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5.xml.rels" ContentType="application/vnd.openxmlformats-package.relationships+xml"/>
  <Override PartName="/xl/worksheets/_rels/sheet9.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12.xml.rels" ContentType="application/vnd.openxmlformats-package.relationships+xml"/>
  <Override PartName="/xl/worksheets/_rels/sheet13.xml.rels" ContentType="application/vnd.openxmlformats-package.relationships+xml"/>
  <Override PartName="/xl/worksheets/_rels/sheet14.xml.rels" ContentType="application/vnd.openxmlformats-package.relationships+xml"/>
  <Override PartName="/xl/worksheets/_rels/sheet10.xml.rels" ContentType="application/vnd.openxmlformats-package.relationships+xml"/>
  <Override PartName="/xl/worksheets/_rels/sheet1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charts/chart1.xml" ContentType="application/vnd.openxmlformats-officedocument.drawingml.chart+xml"/>
  <Override PartName="/xl/tables/table8.xml" ContentType="application/vnd.openxmlformats-officedocument.spreadsheetml.table+xml"/>
  <Override PartName="/xl/tables/table11.xml" ContentType="application/vnd.openxmlformats-officedocument.spreadsheetml.table+xml"/>
  <Override PartName="/xl/tables/table4.xml" ContentType="application/vnd.openxmlformats-officedocument.spreadsheetml.table+xml"/>
  <Override PartName="/xl/tables/table1.xml" ContentType="application/vnd.openxmlformats-officedocument.spreadsheetml.table+xml"/>
  <Override PartName="/xl/tables/table6.xml" ContentType="application/vnd.openxmlformats-officedocument.spreadsheetml.table+xml"/>
  <Override PartName="/xl/tables/table13.xml" ContentType="application/vnd.openxmlformats-officedocument.spreadsheetml.table+xml"/>
  <Override PartName="/xl/tables/table7.xml" ContentType="application/vnd.openxmlformats-officedocument.spreadsheetml.table+xml"/>
  <Override PartName="/xl/tables/table12.xml" ContentType="application/vnd.openxmlformats-officedocument.spreadsheetml.table+xml"/>
  <Override PartName="/xl/tables/table5.xml" ContentType="application/vnd.openxmlformats-officedocument.spreadsheetml.table+xml"/>
  <Override PartName="/xl/tables/table2.xml" ContentType="application/vnd.openxmlformats-officedocument.spreadsheetml.table+xml"/>
  <Override PartName="/xl/tables/table9.xml" ContentType="application/vnd.openxmlformats-officedocument.spreadsheetml.table+xml"/>
  <Override PartName="/xl/tables/table3.xml" ContentType="application/vnd.openxmlformats-officedocument.spreadsheetml.table+xml"/>
  <Override PartName="/xl/tables/table10.xml" ContentType="application/vnd.openxmlformats-officedocument.spreadsheetml.table+xml"/>
  <Override PartName="/xl/comments12.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SUMMARY" sheetId="2" state="visible" r:id="rId4"/>
    <sheet name="QA LOG" sheetId="3" state="visible" r:id="rId5"/>
    <sheet name="RAW KVMC" sheetId="4" state="visible" r:id="rId6"/>
    <sheet name="RAW ASH" sheetId="5" state="visible" r:id="rId7"/>
    <sheet name="RAW CBH" sheetId="6" state="visible" r:id="rId8"/>
    <sheet name="RAW WCH" sheetId="7" state="visible" r:id="rId9"/>
    <sheet name="RAW QHH" sheetId="8" state="visible" r:id="rId10"/>
    <sheet name="STACK" sheetId="9" state="visible" r:id="rId11"/>
    <sheet name="MAP" sheetId="10" state="visible" r:id="rId12"/>
    <sheet name="CONFIRM" sheetId="11" state="visible" r:id="rId13"/>
    <sheet name="RATES" sheetId="12" state="visible" r:id="rId14"/>
    <sheet name="INPUTS" sheetId="13" state="visible" r:id="rId15"/>
    <sheet name="COST" sheetId="14" state="visible" r:id="rId16"/>
    <sheet name="REVIEW" sheetId="15" state="visible" r:id="rId17"/>
  </sheets>
  <calcPr iterateCount="100" refMode="A1" iterate="false" iterateDelta="0.0001"/>
  <extLst>
    <ext xmlns:loext="http://schemas.libreoffice.org/" uri="{7626C862-2A13-11E5-B345-FEFF819CDC9F}">
      <loext:extCalcPr stringRefSyntax="ExcelA1"/>
    </ext>
  </extLst>
</workbook>
</file>

<file path=xl/comments12.xml><?xml version="1.0" encoding="utf-8"?>
<comments xmlns="http://schemas.openxmlformats.org/spreadsheetml/2006/main" xmlns:xdr="http://schemas.openxmlformats.org/drawingml/2006/spreadsheetDrawing">
  <authors>
    <author>Unknown Author</author>
  </authors>
  <commentList>
    <comment ref="C4" authorId="0">
      <text>
        <r>
          <rPr>
            <sz val="10"/>
            <rFont val="Arial"/>
            <family val="2"/>
          </rPr>
          <t xml:space="preserve">Sample assumption: benefits as a share of wages, from the system's payroll and benefits cost report.</t>
        </r>
      </text>
    </comment>
  </commentList>
</comments>
</file>

<file path=xl/sharedStrings.xml><?xml version="1.0" encoding="utf-8"?>
<sst xmlns="http://schemas.openxmlformats.org/spreadsheetml/2006/main" count="13154" uniqueCount="2967">
  <si>
    <t xml:space="preserve">Community Benefit Reporting Workbook</t>
  </si>
  <si>
    <t xml:space="preserve">Kestrel Valley Health, FY2026 (July 1, 2025 to June 30, 2026)</t>
  </si>
  <si>
    <t xml:space="preserve">Sample data. All names, organizations, and figures are fictional.</t>
  </si>
  <si>
    <t xml:space="preserve">What this workbook does</t>
  </si>
  <si>
    <t xml:space="preserve">This workbook consolidates the community benefit activity logs from the five hospitals into one dataset and rolls it up to the lines of IRS Form 990, Schedule H. The work happens in five steps (stack, map, confirm, cost, review), and each step has its own sheet so a reviewer can follow any number on the SUMMARY sheet back to the row a hospital reported.</t>
  </si>
  <si>
    <t xml:space="preserve">The workbook covers activity-based lines: Part I, lines 7e, 7f, 7h, and 7i, and the Part II community building lines. Lines 7a, 7b, 7c, and 7g come from the finance team's cost worksheets and are entered on INPUTS, so the SUMMARY sheet can show the full Part I table.</t>
  </si>
  <si>
    <t xml:space="preserve">How to read the colors</t>
  </si>
  <si>
    <t xml:space="preserve">Yellow cells with blue text are inputs that a person enters or confirms. Green text marks a value pulled from another sheet. Black text is a formula that should not be typed over. On SUMMARY, the Status column turns green for PASS and red for FAIL.</t>
  </si>
  <si>
    <t xml:space="preserve">Sheets in order of use</t>
  </si>
  <si>
    <t xml:space="preserve">Sheet</t>
  </si>
  <si>
    <t xml:space="preserve">Step</t>
  </si>
  <si>
    <t xml:space="preserve">What it does</t>
  </si>
  <si>
    <t xml:space="preserve">Who edits it</t>
  </si>
  <si>
    <t xml:space="preserve">RAW sheets (5)</t>
  </si>
  <si>
    <t xml:space="preserve">Source</t>
  </si>
  <si>
    <t xml:space="preserve">Each hospital has one sheet, pasted exactly as received. Do not clean these, because the later steps reference them.</t>
  </si>
  <si>
    <t xml:space="preserve">Paste only</t>
  </si>
  <si>
    <t xml:space="preserve">STACK</t>
  </si>
  <si>
    <t xml:space="preserve">1. Stack</t>
  </si>
  <si>
    <t xml:space="preserve">Stacks the five logs into one layout with live references and reconciles row counts by hospital.</t>
  </si>
  <si>
    <t xml:space="preserve">No one</t>
  </si>
  <si>
    <t xml:space="preserve">MAP</t>
  </si>
  <si>
    <t xml:space="preserve">2. Map</t>
  </si>
  <si>
    <t xml:space="preserve">Crosswalks for staff titles, categories, and program names. Add a row here when a new spelling appears.</t>
  </si>
  <si>
    <t xml:space="preserve">Community benefit analyst</t>
  </si>
  <si>
    <t xml:space="preserve">CONFIRM</t>
  </si>
  <si>
    <t xml:space="preserve">3. Confirm</t>
  </si>
  <si>
    <t xml:space="preserve">Rows that needed a question back to the hospital, with the confirmed value and how it was confirmed.</t>
  </si>
  <si>
    <t xml:space="preserve">RATES</t>
  </si>
  <si>
    <t xml:space="preserve">4. Cost</t>
  </si>
  <si>
    <t xml:space="preserve">Base hourly wage and benefits load for each standard position.</t>
  </si>
  <si>
    <t xml:space="preserve">Finance or payroll</t>
  </si>
  <si>
    <t xml:space="preserve">INPUTS</t>
  </si>
  <si>
    <t xml:space="preserve">Fiscal year dates, hospital expense totals, indirect cost rates, and finance-supplied lines 7a to 7c and 7g.</t>
  </si>
  <si>
    <t xml:space="preserve">Finance</t>
  </si>
  <si>
    <t xml:space="preserve">COST</t>
  </si>
  <si>
    <t xml:space="preserve">Cleans each row and computes staff cost, indirect cost, total expense, offsetting revenue, and net community benefit.</t>
  </si>
  <si>
    <t xml:space="preserve">REVIEW</t>
  </si>
  <si>
    <t xml:space="preserve">5. Review</t>
  </si>
  <si>
    <t xml:space="preserve">Builds a match key and flags rows that share it. A reviewer records a decision for every flagged row.</t>
  </si>
  <si>
    <t xml:space="preserve">SUMMARY</t>
  </si>
  <si>
    <t xml:space="preserve">Report</t>
  </si>
  <si>
    <t xml:space="preserve">Part I and Part II tables for the system or one hospital, a hospital matrix, and the checks.</t>
  </si>
  <si>
    <t xml:space="preserve">Choose the view in B5</t>
  </si>
  <si>
    <t xml:space="preserve">QA LOG</t>
  </si>
  <si>
    <t xml:space="preserve">Issues found during the year-end review and how each was resolved.</t>
  </si>
  <si>
    <t xml:space="preserve">Year-end steps</t>
  </si>
  <si>
    <t xml:space="preserve">Paste each hospital's log onto its RAW sheet without changing it. If a log has more rows than last year, extend STACK, COST, and REVIEW by filling the formulas down.</t>
  </si>
  <si>
    <t xml:space="preserve">Check the row counts on STACK (columns O to R). Every hospital should show PASS.</t>
  </si>
  <si>
    <t xml:space="preserve">Filter COST on Review flags. Any 'not mapped' flag means a new spelling: add it to the matching crosswalk on MAP.</t>
  </si>
  <si>
    <t xml:space="preserve">For missing hours, unreadable dates, or a category that does not fit the program, ask the hospital and record the confirmed value and the source on CONFIRM.</t>
  </si>
  <si>
    <t xml:space="preserve">Update RATES from payroll and INPUTS from finance. Confirm the fiscal year dates on INPUTS.</t>
  </si>
  <si>
    <t xml:space="preserve">On REVIEW, filter Flag to non-blank and record a decision for every flagged row. Use the Notes column and the hospital contact to decide.</t>
  </si>
  <si>
    <t xml:space="preserve">On SUMMARY, confirm every check shows PASS, then review each hospital in turn with the selector in B5.</t>
  </si>
  <si>
    <t xml:space="preserve">Record each issue and its resolution on QA LOG before the numbers go to the tax preparer.</t>
  </si>
  <si>
    <t xml:space="preserve">Rules this workbook applies</t>
  </si>
  <si>
    <t xml:space="preserve">Line labels and column headings follow the 2025 Schedule H (Form 990). Total community benefit expense includes direct and indirect costs, and direct offsetting revenue is subtracted to reach net community benefit expense (Instructions for Schedule H, Part I, line 7).</t>
  </si>
  <si>
    <t xml:space="preserve">Percent of total expense is based on net community benefit expense, with total expense (Form 990, Part IX, line 25, column (A)) less bad debt expense as the denominator, as described in the instructions for column (f).</t>
  </si>
  <si>
    <t xml:space="preserve">A community building cost is reported in Part II only when it is not already reported on Part I, line 7e (Instructions for Schedule H, Part II).</t>
  </si>
  <si>
    <t xml:space="preserve">Persons served is entered once per session or month, on the first staff row, so that sessions with several staff do not count the same people twice.</t>
  </si>
  <si>
    <t xml:space="preserve">Staff cost is hours times the loaded hourly rate for the standard position. Indirect cost is the hospital's indirect cost rate times staff cost. Both rates are sample assumptions in this file.</t>
  </si>
  <si>
    <t xml:space="preserve">Source for IRS rules: Instructions for Schedule H (Form 990) (2025), irs.gov/instructions/i990sh, and Schedule H (Form 990) 2025, irs.gov/pub/irs-pdf/f990sh.pdf.</t>
  </si>
  <si>
    <t xml:space="preserve">Kestrel Valley Health: Schedule H Community Benefit Summary, FY2026</t>
  </si>
  <si>
    <t xml:space="preserve">This sheet rolls up Part I, line 7 and Part II by hospital, with checks that tie the totals back to the detail. Line labels follow the 2025 Schedule H (Form 990).</t>
  </si>
  <si>
    <t xml:space="preserve">Show</t>
  </si>
  <si>
    <t xml:space="preserve">System</t>
  </si>
  <si>
    <t xml:space="preserve">Pick System or a hospital code.</t>
  </si>
  <si>
    <t xml:space="preserve">Expense used for percent of total expense</t>
  </si>
  <si>
    <t xml:space="preserve">Part I, line 7: Financial Assistance and Certain Other Community Benefits at Cost</t>
  </si>
  <si>
    <t xml:space="preserve">Checks</t>
  </si>
  <si>
    <t xml:space="preserve">Line</t>
  </si>
  <si>
    <t xml:space="preserve">Description</t>
  </si>
  <si>
    <t xml:space="preserve">(a) Number of activities or programs</t>
  </si>
  <si>
    <t xml:space="preserve">(b) Persons served</t>
  </si>
  <si>
    <t xml:space="preserve">(c) Total community benefit expense</t>
  </si>
  <si>
    <t xml:space="preserve">(d) Direct offsetting revenue</t>
  </si>
  <si>
    <t xml:space="preserve">(e) Net community benefit expense</t>
  </si>
  <si>
    <t xml:space="preserve">(f) Percent of total expense</t>
  </si>
  <si>
    <t xml:space="preserve">#</t>
  </si>
  <si>
    <t xml:space="preserve">Check</t>
  </si>
  <si>
    <t xml:space="preserve">Expected</t>
  </si>
  <si>
    <t xml:space="preserve">Actual</t>
  </si>
  <si>
    <t xml:space="preserve">Difference</t>
  </si>
  <si>
    <t xml:space="preserve">Status</t>
  </si>
  <si>
    <t xml:space="preserve">Chart data (system net, $ millions)</t>
  </si>
  <si>
    <t xml:space="preserve">Financial Assistance and Means-Tested Government Programs</t>
  </si>
  <si>
    <t xml:space="preserve">Stacked rows equal the rows on the five RAW sheets</t>
  </si>
  <si>
    <t xml:space="preserve">7a Financial assistance at cost</t>
  </si>
  <si>
    <t xml:space="preserve">7a</t>
  </si>
  <si>
    <t xml:space="preserve">Financial assistance at cost (from Worksheet 1)</t>
  </si>
  <si>
    <t xml:space="preserve">Every program name maps to a standard program</t>
  </si>
  <si>
    <t xml:space="preserve">7b Medicaid</t>
  </si>
  <si>
    <t xml:space="preserve">7b</t>
  </si>
  <si>
    <t xml:space="preserve">Medicaid (from Worksheet 3, column a)</t>
  </si>
  <si>
    <t xml:space="preserve">Every staff title maps to a standard position</t>
  </si>
  <si>
    <t xml:space="preserve">7c Other means-tested programs</t>
  </si>
  <si>
    <t xml:space="preserve">7c</t>
  </si>
  <si>
    <t xml:space="preserve">Costs of other means-tested government programs (from Worksheet 3, column b)</t>
  </si>
  <si>
    <t xml:space="preserve">Every included row has a Schedule H line</t>
  </si>
  <si>
    <t xml:space="preserve">7e Community health improvement and CB operations</t>
  </si>
  <si>
    <t xml:space="preserve">7d</t>
  </si>
  <si>
    <t xml:space="preserve">Total. Financial assistance and means-tested government programs</t>
  </si>
  <si>
    <t xml:space="preserve">Every included staffed row has hours</t>
  </si>
  <si>
    <t xml:space="preserve">7f Health professions education</t>
  </si>
  <si>
    <t xml:space="preserve">Other Benefits</t>
  </si>
  <si>
    <t xml:space="preserve">Every included row is dated inside the fiscal year</t>
  </si>
  <si>
    <t xml:space="preserve">7g Subsidized health services</t>
  </si>
  <si>
    <t xml:space="preserve">7e</t>
  </si>
  <si>
    <t xml:space="preserve">Community health improvement services and community benefit operations (from Worksheet 4)</t>
  </si>
  <si>
    <t xml:space="preserve">Every flagged duplicate has a reviewer decision</t>
  </si>
  <si>
    <t xml:space="preserve">7h Research</t>
  </si>
  <si>
    <t xml:space="preserve">7f</t>
  </si>
  <si>
    <t xml:space="preserve">Health professions education (from Worksheet 5)</t>
  </si>
  <si>
    <t xml:space="preserve">Detail net (included rows) equals summary activity lines</t>
  </si>
  <si>
    <t xml:space="preserve">7i Cash and in-kind contributions</t>
  </si>
  <si>
    <t xml:space="preserve">7g</t>
  </si>
  <si>
    <t xml:space="preserve">Subsidized health services (from Worksheet 6)</t>
  </si>
  <si>
    <t xml:space="preserve">Hospital columns add to the system total</t>
  </si>
  <si>
    <t xml:space="preserve">7h</t>
  </si>
  <si>
    <t xml:space="preserve">Research (from Worksheet 7)</t>
  </si>
  <si>
    <t xml:space="preserve">Selected view line 7k ties to the matrix</t>
  </si>
  <si>
    <t xml:space="preserve">7i</t>
  </si>
  <si>
    <t xml:space="preserve">Cash and in-kind contributions for community benefit (from Worksheet 8)</t>
  </si>
  <si>
    <t xml:space="preserve">Persons served in the summary equals included detail</t>
  </si>
  <si>
    <t xml:space="preserve">7j</t>
  </si>
  <si>
    <t xml:space="preserve">Total. Other benefits</t>
  </si>
  <si>
    <t xml:space="preserve">Overall</t>
  </si>
  <si>
    <t xml:space="preserve">7k</t>
  </si>
  <si>
    <t xml:space="preserve">Total. Add lines 7d and 7j</t>
  </si>
  <si>
    <t xml:space="preserve">Part II: Community Building Activities</t>
  </si>
  <si>
    <t xml:space="preserve">(c) Total community building expense</t>
  </si>
  <si>
    <t xml:space="preserve">(e) Net community building expense</t>
  </si>
  <si>
    <t xml:space="preserve">1</t>
  </si>
  <si>
    <t xml:space="preserve">Physical improvements and housing</t>
  </si>
  <si>
    <t xml:space="preserve">2</t>
  </si>
  <si>
    <t xml:space="preserve">Economic development</t>
  </si>
  <si>
    <t xml:space="preserve">3</t>
  </si>
  <si>
    <t xml:space="preserve">Community support</t>
  </si>
  <si>
    <t xml:space="preserve">4</t>
  </si>
  <si>
    <t xml:space="preserve">Environmental improvements</t>
  </si>
  <si>
    <t xml:space="preserve">5</t>
  </si>
  <si>
    <t xml:space="preserve">Leadership development and training for community members</t>
  </si>
  <si>
    <t xml:space="preserve">6</t>
  </si>
  <si>
    <t xml:space="preserve">Coalition building</t>
  </si>
  <si>
    <t xml:space="preserve">7</t>
  </si>
  <si>
    <t xml:space="preserve">Community health improvement advocacy</t>
  </si>
  <si>
    <t xml:space="preserve">8</t>
  </si>
  <si>
    <t xml:space="preserve">Workforce development</t>
  </si>
  <si>
    <t xml:space="preserve">9</t>
  </si>
  <si>
    <t xml:space="preserve">Other</t>
  </si>
  <si>
    <t xml:space="preserve">10</t>
  </si>
  <si>
    <t xml:space="preserve">Total</t>
  </si>
  <si>
    <t xml:space="preserve">Column (f) divides column (e) by the expense shown in H6 (total expense less bad debt), as the Schedule H instructions describe. Lines 7a to 7c and 7g come from INPUTS.</t>
  </si>
  <si>
    <t xml:space="preserve">Net community benefit expense by line and hospital (all five hospitals, independent of the selector above)</t>
  </si>
  <si>
    <t xml:space="preserve">KVMC</t>
  </si>
  <si>
    <t xml:space="preserve">ASH</t>
  </si>
  <si>
    <t xml:space="preserve">CBH</t>
  </si>
  <si>
    <t xml:space="preserve">WCH</t>
  </si>
  <si>
    <t xml:space="preserve">QHH</t>
  </si>
  <si>
    <t xml:space="preserve">Cross-foot</t>
  </si>
  <si>
    <t xml:space="preserve">Financial assistance at cost</t>
  </si>
  <si>
    <t xml:space="preserve">Medicaid</t>
  </si>
  <si>
    <t xml:space="preserve">Other means-tested programs</t>
  </si>
  <si>
    <t xml:space="preserve">Total financial assistance and means-tested</t>
  </si>
  <si>
    <t xml:space="preserve">Community health improvement and CB operations</t>
  </si>
  <si>
    <t xml:space="preserve">Health professions education</t>
  </si>
  <si>
    <t xml:space="preserve">Subsidized health services</t>
  </si>
  <si>
    <t xml:space="preserve">Research</t>
  </si>
  <si>
    <t xml:space="preserve">Cash and in-kind contributions</t>
  </si>
  <si>
    <t xml:space="preserve">Total other benefits</t>
  </si>
  <si>
    <t xml:space="preserve">Total community benefit (Part I)</t>
  </si>
  <si>
    <t xml:space="preserve">II-1</t>
  </si>
  <si>
    <t xml:space="preserve">II-2</t>
  </si>
  <si>
    <t xml:space="preserve">II-3</t>
  </si>
  <si>
    <t xml:space="preserve">II-4</t>
  </si>
  <si>
    <t xml:space="preserve">II-5</t>
  </si>
  <si>
    <t xml:space="preserve">Leadership development</t>
  </si>
  <si>
    <t xml:space="preserve">II-6</t>
  </si>
  <si>
    <t xml:space="preserve">II-7</t>
  </si>
  <si>
    <t xml:space="preserve">II-8</t>
  </si>
  <si>
    <t xml:space="preserve">II-9</t>
  </si>
  <si>
    <t xml:space="preserve">Other community building</t>
  </si>
  <si>
    <t xml:space="preserve">II-10</t>
  </si>
  <si>
    <t xml:space="preserve">Total community building (Part II)</t>
  </si>
  <si>
    <t xml:space="preserve">QA log</t>
  </si>
  <si>
    <t xml:space="preserve">This log lists the issues found while consolidating the FY2026 logs, how each one was resolved, and where the evidence sits in this workbook.</t>
  </si>
  <si>
    <t xml:space="preserve">Workflow step</t>
  </si>
  <si>
    <t xml:space="preserve">Hospital</t>
  </si>
  <si>
    <t xml:space="preserve">Issue found</t>
  </si>
  <si>
    <t xml:space="preserve">Rows affected</t>
  </si>
  <si>
    <t xml:space="preserve">Resolution</t>
  </si>
  <si>
    <t xml:space="preserve">Reference</t>
  </si>
  <si>
    <t xml:space="preserve">Stack</t>
  </si>
  <si>
    <t xml:space="preserve">All</t>
  </si>
  <si>
    <t xml:space="preserve">The five logs arrived in five layouts. Column order, header names, and the header row position all differ.</t>
  </si>
  <si>
    <t xml:space="preserve">Each layout was mapped to the common STACK layout with cell references, so each stacked row traces back to its source cell. Row counts reconcile on STACK.</t>
  </si>
  <si>
    <t xml:space="preserve">STACK, columns O to R</t>
  </si>
  <si>
    <t xml:space="preserve">Resolved</t>
  </si>
  <si>
    <t xml:space="preserve">Map</t>
  </si>
  <si>
    <t xml:space="preserve">Staff titles were typed in many ways, including abbreviations, extra spaces, and mixed capitalization.</t>
  </si>
  <si>
    <t xml:space="preserve">A title crosswalk maps the variants to 22 standard positions. Lookups trim spaces and ignore capitalization.</t>
  </si>
  <si>
    <t xml:space="preserve">MAP, columns A to C</t>
  </si>
  <si>
    <t xml:space="preserve">WCH, QHH, KVMC</t>
  </si>
  <si>
    <t xml:space="preserve">Three titles had no match in the crosswalk (Staff, Temp, Contract).</t>
  </si>
  <si>
    <t xml:space="preserve">Each hospital confirmed which position the person held, and the confirmed position was entered on CONFIRM. The crosswalk was not changed, because these labels are too vague to map in future years.</t>
  </si>
  <si>
    <t xml:space="preserve">Each hospital uses its own category names for the same Schedule H line.</t>
  </si>
  <si>
    <t xml:space="preserve">A category crosswalk maps each hospital's labels to standard categories and Schedule H lines.</t>
  </si>
  <si>
    <t xml:space="preserve">MAP, columns E to G</t>
  </si>
  <si>
    <t xml:space="preserve">Confirm</t>
  </si>
  <si>
    <t xml:space="preserve">Cedar Bend logged Regional Health Coalition meetings as 'Community Health Improvement', which maps to line 7e. The other four hospitals report the same program in Part II.</t>
  </si>
  <si>
    <t xml:space="preserve">The rows were reassigned to Part II, line 6 (coalition building) so the program is reported in one place across the system. The instructions say not to enter in Part II any community building costs already entered on Part I, line 7e.</t>
  </si>
  <si>
    <t xml:space="preserve">IRS Instructions for Schedule H (Form 990), 2025, Part II</t>
  </si>
  <si>
    <t xml:space="preserve">Wrenfield used one 'community building' label for two programs, so the crosswalk could not assign a line.</t>
  </si>
  <si>
    <t xml:space="preserve">Regional Health Coalition was assigned to Part II, line 6, and Youth Health Careers Pathway was assigned to Part II, line 8.</t>
  </si>
  <si>
    <t xml:space="preserve">All but KVMC</t>
  </si>
  <si>
    <t xml:space="preserve">Some rows had blank staff hours.</t>
  </si>
  <si>
    <t xml:space="preserve">Hospitals confirmed hours from sign-in sheets. Two blank rows were cancelled sessions and were excluded.</t>
  </si>
  <si>
    <t xml:space="preserve">One diabetes prevention class was logged at ten times its usual hours. The event-hours check in COST flagged it.</t>
  </si>
  <si>
    <t xml:space="preserve">The hospital confirmed the correct hours, which were entered on CONFIRM.</t>
  </si>
  <si>
    <t xml:space="preserve">COST, Review flags</t>
  </si>
  <si>
    <t xml:space="preserve">One date had the day and month in swapped positions and could not be read as a date.</t>
  </si>
  <si>
    <t xml:space="preserve">The date was corrected to match the class roster.</t>
  </si>
  <si>
    <t xml:space="preserve">One row was dated June 2025, which falls in the prior fiscal year.</t>
  </si>
  <si>
    <t xml:space="preserve">The fiscal-year check excluded the row. The activity was already counted in FY2025.</t>
  </si>
  <si>
    <t xml:space="preserve">COST, In fiscal year</t>
  </si>
  <si>
    <t xml:space="preserve">An employee wellness fair was logged as community health education.</t>
  </si>
  <si>
    <t xml:space="preserve">The rows were excluded under the system's reporting policy, because the event served employees rather than the community.</t>
  </si>
  <si>
    <t xml:space="preserve">Review</t>
  </si>
  <si>
    <t xml:space="preserve">ASH, QHH</t>
  </si>
  <si>
    <t xml:space="preserve">One month of rows was pasted twice in each of two logs.</t>
  </si>
  <si>
    <t xml:space="preserve">The second copy of each row was excluded.</t>
  </si>
  <si>
    <t xml:space="preserve">ASH, CBH</t>
  </si>
  <si>
    <t xml:space="preserve">System CHNA hours appeared in both the KVMC and Alder Springs logs, and one joint coalition meeting appeared in both the KVMC and Cedar Bend logs.</t>
  </si>
  <si>
    <t xml:space="preserve">The KVMC rows were kept, because KVMC carries system-level staff, and the copies were excluded.</t>
  </si>
  <si>
    <t xml:space="preserve">Two car seat check sessions on the same day matched on the key because they used the same staff and hours.</t>
  </si>
  <si>
    <t xml:space="preserve">Both rows were kept after the Notes column showed separate morning and afternoon sessions.</t>
  </si>
  <si>
    <t xml:space="preserve">Cost</t>
  </si>
  <si>
    <t xml:space="preserve">Total community benefit expense must include indirect costs as well as direct costs.</t>
  </si>
  <si>
    <t xml:space="preserve">Each hospital's indirect cost rate from INPUTS is applied to staff cost. Direct non-staff costs are carried as reported.</t>
  </si>
  <si>
    <t xml:space="preserve">IRS Instructions for Schedule H (Form 990), 2025, Part I, line 7, column (c)</t>
  </si>
  <si>
    <t xml:space="preserve">Program Name</t>
  </si>
  <si>
    <t xml:space="preserve">Category</t>
  </si>
  <si>
    <t xml:space="preserve">Activity Date</t>
  </si>
  <si>
    <t xml:space="preserve">Staff Title</t>
  </si>
  <si>
    <t xml:space="preserve">Staff Hours</t>
  </si>
  <si>
    <t xml:space="preserve">Persons Served</t>
  </si>
  <si>
    <t xml:space="preserve">Supplies &amp; Other Direct Cost</t>
  </si>
  <si>
    <t xml:space="preserve">Offsetting Revenue</t>
  </si>
  <si>
    <t xml:space="preserve">Notes</t>
  </si>
  <si>
    <t xml:space="preserve">Mental Health First Aid Training</t>
  </si>
  <si>
    <t xml:space="preserve">Community Health Education</t>
  </si>
  <si>
    <t xml:space="preserve">Health Education Specialist</t>
  </si>
  <si>
    <t xml:space="preserve">LCSW</t>
  </si>
  <si>
    <t xml:space="preserve">Youth Health Careers Pathway</t>
  </si>
  <si>
    <t xml:space="preserve">Community Building - Workforce</t>
  </si>
  <si>
    <t xml:space="preserve">Clinical Nurse Educator</t>
  </si>
  <si>
    <t xml:space="preserve">Program Coordinator</t>
  </si>
  <si>
    <t xml:space="preserve">Diabetes Prevention Classes</t>
  </si>
  <si>
    <t xml:space="preserve">Health Education Specialist </t>
  </si>
  <si>
    <t xml:space="preserve">Registered Dietitian</t>
  </si>
  <si>
    <t xml:space="preserve">Community Blood Pressure Checks</t>
  </si>
  <si>
    <t xml:space="preserve">Community-Based Clinical Services</t>
  </si>
  <si>
    <t xml:space="preserve">Reg Nurse</t>
  </si>
  <si>
    <t xml:space="preserve">Hlth Educator</t>
  </si>
  <si>
    <t xml:space="preserve">Affordable Housing Partnership</t>
  </si>
  <si>
    <t xml:space="preserve">Community Building - Housing</t>
  </si>
  <si>
    <t xml:space="preserve">DIRECTOR, MISSION</t>
  </si>
  <si>
    <t xml:space="preserve">CHES</t>
  </si>
  <si>
    <t xml:space="preserve">Nutritionist</t>
  </si>
  <si>
    <t xml:space="preserve">Tobacco Cessation Classes</t>
  </si>
  <si>
    <t xml:space="preserve">Licensed Therapist</t>
  </si>
  <si>
    <t xml:space="preserve">Naloxone Training and Distribution</t>
  </si>
  <si>
    <t xml:space="preserve">Community Educator</t>
  </si>
  <si>
    <t xml:space="preserve">Pharmacist</t>
  </si>
  <si>
    <t xml:space="preserve">RN Educator</t>
  </si>
  <si>
    <t xml:space="preserve">residency coordinator</t>
  </si>
  <si>
    <t xml:space="preserve">Health Educator</t>
  </si>
  <si>
    <t xml:space="preserve">Mobile Health Screening Unit</t>
  </si>
  <si>
    <t xml:space="preserve">Comm Health Worker</t>
  </si>
  <si>
    <t xml:space="preserve">Medical Assistant</t>
  </si>
  <si>
    <t xml:space="preserve">Clinical RN</t>
  </si>
  <si>
    <t xml:space="preserve">Free Clinic Provider Staffing</t>
  </si>
  <si>
    <t xml:space="preserve">APRN</t>
  </si>
  <si>
    <t xml:space="preserve">RPh</t>
  </si>
  <si>
    <t xml:space="preserve">Community Health Worker Outreach</t>
  </si>
  <si>
    <t xml:space="preserve">Health Care Support Services</t>
  </si>
  <si>
    <t xml:space="preserve">Community Health Worker</t>
  </si>
  <si>
    <t xml:space="preserve">financial navigator</t>
  </si>
  <si>
    <t xml:space="preserve">Medication Assistance Program</t>
  </si>
  <si>
    <t xml:space="preserve">Financial Navigator</t>
  </si>
  <si>
    <t xml:space="preserve">Community Health Needs Assessment</t>
  </si>
  <si>
    <t xml:space="preserve">CB Operations</t>
  </si>
  <si>
    <t xml:space="preserve">Community Benefit Manager</t>
  </si>
  <si>
    <t xml:space="preserve">Sr Data Analyst</t>
  </si>
  <si>
    <t xml:space="preserve">Community Benefit Program Administration</t>
  </si>
  <si>
    <t xml:space="preserve"> Administrative Assistant</t>
  </si>
  <si>
    <t xml:space="preserve">Interpreter Services for Community Clinics</t>
  </si>
  <si>
    <t xml:space="preserve">Spanish Interpreter</t>
  </si>
  <si>
    <t xml:space="preserve">Nursing Student Clinical Rotations</t>
  </si>
  <si>
    <t xml:space="preserve">Health Professions Education</t>
  </si>
  <si>
    <t xml:space="preserve">Educator, Nursing </t>
  </si>
  <si>
    <t xml:space="preserve">RN III</t>
  </si>
  <si>
    <t xml:space="preserve">Family Medicine Residency Program</t>
  </si>
  <si>
    <t xml:space="preserve">Physician</t>
  </si>
  <si>
    <t xml:space="preserve">Coordinator</t>
  </si>
  <si>
    <t xml:space="preserve">Resident Physician</t>
  </si>
  <si>
    <t xml:space="preserve">Pharmacy Student Rotations</t>
  </si>
  <si>
    <t xml:space="preserve">Community Hypertension Control Study</t>
  </si>
  <si>
    <t xml:space="preserve">BI Analyst</t>
  </si>
  <si>
    <t xml:space="preserve"> Dr.</t>
  </si>
  <si>
    <t xml:space="preserve">Research Coordinator</t>
  </si>
  <si>
    <t xml:space="preserve">Regional Health Coalition</t>
  </si>
  <si>
    <t xml:space="preserve">Community Building - Coalition</t>
  </si>
  <si>
    <t xml:space="preserve">Community Benefit Mgr</t>
  </si>
  <si>
    <t xml:space="preserve">executive director</t>
  </si>
  <si>
    <t xml:space="preserve">Wellness Educator</t>
  </si>
  <si>
    <t xml:space="preserve">Director, Mission</t>
  </si>
  <si>
    <t xml:space="preserve">Event Coordinator</t>
  </si>
  <si>
    <t xml:space="preserve">In-Kind Medical Supply Donations</t>
  </si>
  <si>
    <t xml:space="preserve">Cash &amp; In-Kind Donations</t>
  </si>
  <si>
    <t xml:space="preserve">N/A </t>
  </si>
  <si>
    <t xml:space="preserve">Director of Community Health</t>
  </si>
  <si>
    <t xml:space="preserve"> CHES </t>
  </si>
  <si>
    <t xml:space="preserve">Clinical Social Worker</t>
  </si>
  <si>
    <t xml:space="preserve">Comm. Health Worker</t>
  </si>
  <si>
    <t xml:space="preserve">RN II</t>
  </si>
  <si>
    <t xml:space="preserve">Pharmacist II </t>
  </si>
  <si>
    <t xml:space="preserve">R.N.</t>
  </si>
  <si>
    <t xml:space="preserve">CHW II</t>
  </si>
  <si>
    <t xml:space="preserve">Navigator</t>
  </si>
  <si>
    <t xml:space="preserve">Staff Pharmacist</t>
  </si>
  <si>
    <t xml:space="preserve">Manager Community Benefit</t>
  </si>
  <si>
    <t xml:space="preserve">Data Analyst </t>
  </si>
  <si>
    <t xml:space="preserve">Admin. Assistant</t>
  </si>
  <si>
    <t xml:space="preserve">Interp.</t>
  </si>
  <si>
    <t xml:space="preserve">RN</t>
  </si>
  <si>
    <t xml:space="preserve">Staff Physician</t>
  </si>
  <si>
    <t xml:space="preserve">Residency Coordinator</t>
  </si>
  <si>
    <t xml:space="preserve">PGY-3 </t>
  </si>
  <si>
    <t xml:space="preserve">Pharm.D.</t>
  </si>
  <si>
    <t xml:space="preserve">Charge RN</t>
  </si>
  <si>
    <t xml:space="preserve">Hlth Educator </t>
  </si>
  <si>
    <t xml:space="preserve">LMSW</t>
  </si>
  <si>
    <t xml:space="preserve">Phys Therapist</t>
  </si>
  <si>
    <t xml:space="preserve">Grief Support Group</t>
  </si>
  <si>
    <t xml:space="preserve">Chaplain</t>
  </si>
  <si>
    <t xml:space="preserve">Staff Chaplain</t>
  </si>
  <si>
    <t xml:space="preserve">MSW</t>
  </si>
  <si>
    <t xml:space="preserve">Spiritual Care</t>
  </si>
  <si>
    <t xml:space="preserve">Social Worker</t>
  </si>
  <si>
    <t xml:space="preserve">School-Based Health Center Support Grant</t>
  </si>
  <si>
    <t xml:space="preserve">n.a.</t>
  </si>
  <si>
    <t xml:space="preserve">Free Clinic Operating Grant</t>
  </si>
  <si>
    <t xml:space="preserve">N/A</t>
  </si>
  <si>
    <t xml:space="preserve">Community Emergency Preparedness Drills</t>
  </si>
  <si>
    <t xml:space="preserve">Community Building - Community Support</t>
  </si>
  <si>
    <t xml:space="preserve">Paramedic</t>
  </si>
  <si>
    <t xml:space="preserve">Registered Nurse</t>
  </si>
  <si>
    <t xml:space="preserve">LCSW </t>
  </si>
  <si>
    <t xml:space="preserve"> Phys Therapist</t>
  </si>
  <si>
    <t xml:space="preserve">Outreach Worker</t>
  </si>
  <si>
    <t xml:space="preserve">mgr, community benefit</t>
  </si>
  <si>
    <t xml:space="preserve">Data Analyst</t>
  </si>
  <si>
    <t xml:space="preserve">Community Health Manager</t>
  </si>
  <si>
    <t xml:space="preserve">Educator, Nursing</t>
  </si>
  <si>
    <t xml:space="preserve">Dr.</t>
  </si>
  <si>
    <t xml:space="preserve">PharmD </t>
  </si>
  <si>
    <t xml:space="preserve">CRC</t>
  </si>
  <si>
    <t xml:space="preserve">lcsw</t>
  </si>
  <si>
    <t xml:space="preserve">Resp. Therapy</t>
  </si>
  <si>
    <t xml:space="preserve">FLIGHT PARAMEDIC</t>
  </si>
  <si>
    <t xml:space="preserve">HEALTH ED</t>
  </si>
  <si>
    <t xml:space="preserve">Dietitian</t>
  </si>
  <si>
    <t xml:space="preserve">Director</t>
  </si>
  <si>
    <t xml:space="preserve">Program Coordinator </t>
  </si>
  <si>
    <t xml:space="preserve">respiratory therapist</t>
  </si>
  <si>
    <t xml:space="preserve">Childbirth and Newborn Care Classes</t>
  </si>
  <si>
    <t xml:space="preserve">Residency Coordinator </t>
  </si>
  <si>
    <t xml:space="preserve">NURSE EDUCATOR</t>
  </si>
  <si>
    <t xml:space="preserve"> Program Coordinator</t>
  </si>
  <si>
    <t xml:space="preserve">Family NP</t>
  </si>
  <si>
    <t xml:space="preserve">CHW</t>
  </si>
  <si>
    <t xml:space="preserve"> Patient Navigator</t>
  </si>
  <si>
    <t xml:space="preserve">Patient Navigator</t>
  </si>
  <si>
    <t xml:space="preserve">Analyst</t>
  </si>
  <si>
    <t xml:space="preserve">office coordinator </t>
  </si>
  <si>
    <t xml:space="preserve">INTERPRETER</t>
  </si>
  <si>
    <t xml:space="preserve">Preceptor RN</t>
  </si>
  <si>
    <t xml:space="preserve"> RESIDENCY COORDINATOR</t>
  </si>
  <si>
    <t xml:space="preserve">Res. Physician</t>
  </si>
  <si>
    <t xml:space="preserve">Attending Physician</t>
  </si>
  <si>
    <t xml:space="preserve">Physical Therapist</t>
  </si>
  <si>
    <t xml:space="preserve">Social Work</t>
  </si>
  <si>
    <t xml:space="preserve"> Clinical Social Worker</t>
  </si>
  <si>
    <t xml:space="preserve">Chaplain Resident</t>
  </si>
  <si>
    <t xml:space="preserve">Promotora</t>
  </si>
  <si>
    <t xml:space="preserve">CMA</t>
  </si>
  <si>
    <t xml:space="preserve">FNP</t>
  </si>
  <si>
    <t xml:space="preserve">RN III </t>
  </si>
  <si>
    <t xml:space="preserve">Patient Navigator </t>
  </si>
  <si>
    <t xml:space="preserve">PharmD</t>
  </si>
  <si>
    <t xml:space="preserve">Administrative Assistant</t>
  </si>
  <si>
    <t xml:space="preserve">Interpreter</t>
  </si>
  <si>
    <t xml:space="preserve">Attending Physician </t>
  </si>
  <si>
    <t xml:space="preserve">Volunteer Coordinator</t>
  </si>
  <si>
    <t xml:space="preserve">Resident</t>
  </si>
  <si>
    <t xml:space="preserve">M.D.</t>
  </si>
  <si>
    <t xml:space="preserve">CLINICAL RESEARCH COORD</t>
  </si>
  <si>
    <t xml:space="preserve">clin educator</t>
  </si>
  <si>
    <t xml:space="preserve">Health Ed</t>
  </si>
  <si>
    <t xml:space="preserve">RD</t>
  </si>
  <si>
    <t xml:space="preserve">RDN</t>
  </si>
  <si>
    <t xml:space="preserve">Med Asst </t>
  </si>
  <si>
    <t xml:space="preserve">Nurse Educator</t>
  </si>
  <si>
    <t xml:space="preserve">Nurse Practitioner</t>
  </si>
  <si>
    <t xml:space="preserve">Pharmacist II</t>
  </si>
  <si>
    <t xml:space="preserve">Nurse Navigator </t>
  </si>
  <si>
    <t xml:space="preserve">Pharm.D. </t>
  </si>
  <si>
    <t xml:space="preserve">admin</t>
  </si>
  <si>
    <t xml:space="preserve">CB Manager</t>
  </si>
  <si>
    <t xml:space="preserve">Language Services</t>
  </si>
  <si>
    <t xml:space="preserve">Clin Educator</t>
  </si>
  <si>
    <t xml:space="preserve">Decision Support Analyst </t>
  </si>
  <si>
    <t xml:space="preserve">MD</t>
  </si>
  <si>
    <t xml:space="preserve">Clinical Research Coord</t>
  </si>
  <si>
    <t xml:space="preserve">Nutritionist </t>
  </si>
  <si>
    <t xml:space="preserve"> Chaplain</t>
  </si>
  <si>
    <t xml:space="preserve">Small Business Health Partnership</t>
  </si>
  <si>
    <t xml:space="preserve">Community Building - Economic Dev</t>
  </si>
  <si>
    <t xml:space="preserve">Assoc. Director</t>
  </si>
  <si>
    <t xml:space="preserve"> Volunteer Coordinator</t>
  </si>
  <si>
    <t xml:space="preserve"> Social Worker</t>
  </si>
  <si>
    <t xml:space="preserve">Mgr, Community Benefit</t>
  </si>
  <si>
    <t xml:space="preserve">Executive Director</t>
  </si>
  <si>
    <t xml:space="preserve">Certified Medical Assistant</t>
  </si>
  <si>
    <t xml:space="preserve"> Pt Navigator</t>
  </si>
  <si>
    <t xml:space="preserve">Sr Data Analyst </t>
  </si>
  <si>
    <t xml:space="preserve">Medical Interpreter</t>
  </si>
  <si>
    <t xml:space="preserve">PGY-2</t>
  </si>
  <si>
    <t xml:space="preserve">Study Coordinator</t>
  </si>
  <si>
    <t xml:space="preserve">vp</t>
  </si>
  <si>
    <t xml:space="preserve">Clinical Pharmacist</t>
  </si>
  <si>
    <t xml:space="preserve">Contract</t>
  </si>
  <si>
    <t xml:space="preserve">Wellness Educator </t>
  </si>
  <si>
    <t xml:space="preserve">none</t>
  </si>
  <si>
    <t xml:space="preserve"> CHES</t>
  </si>
  <si>
    <t xml:space="preserve"> Pharm.D.</t>
  </si>
  <si>
    <t xml:space="preserve"> MSW</t>
  </si>
  <si>
    <t xml:space="preserve">Pt Navigator</t>
  </si>
  <si>
    <t xml:space="preserve"> Staff Pharmacist</t>
  </si>
  <si>
    <t xml:space="preserve">Office Coordinator</t>
  </si>
  <si>
    <t xml:space="preserve"> Staff Physician</t>
  </si>
  <si>
    <t xml:space="preserve"> resident</t>
  </si>
  <si>
    <t xml:space="preserve">Pastoral Care</t>
  </si>
  <si>
    <t xml:space="preserve">Dir.</t>
  </si>
  <si>
    <t xml:space="preserve">Outreach Coordinator</t>
  </si>
  <si>
    <t xml:space="preserve">EMS Paramedic</t>
  </si>
  <si>
    <t xml:space="preserve"> Coordinator</t>
  </si>
  <si>
    <t xml:space="preserve">RN - Outreach</t>
  </si>
  <si>
    <t xml:space="preserve">Nurse Navigator</t>
  </si>
  <si>
    <t xml:space="preserve">COMMUNITY BENEFIT MANAGER</t>
  </si>
  <si>
    <t xml:space="preserve">Admin Asst</t>
  </si>
  <si>
    <t xml:space="preserve"> Language Services</t>
  </si>
  <si>
    <t xml:space="preserve">PGY-1</t>
  </si>
  <si>
    <t xml:space="preserve">Respiratory Therapist</t>
  </si>
  <si>
    <t xml:space="preserve"> Spiritual Care</t>
  </si>
  <si>
    <t xml:space="preserve"> Clinical Nurse Educator</t>
  </si>
  <si>
    <t xml:space="preserve">RRT</t>
  </si>
  <si>
    <t xml:space="preserve"> Navigator</t>
  </si>
  <si>
    <t xml:space="preserve">Unit Secretary</t>
  </si>
  <si>
    <t xml:space="preserve">Prog Coord</t>
  </si>
  <si>
    <t xml:space="preserve">RES. PHYSICIAN</t>
  </si>
  <si>
    <t xml:space="preserve">PRECEPTOR RN</t>
  </si>
  <si>
    <t xml:space="preserve">No staff</t>
  </si>
  <si>
    <t xml:space="preserve">DPT</t>
  </si>
  <si>
    <t xml:space="preserve">Clinical Nurse Educator </t>
  </si>
  <si>
    <t xml:space="preserve">RRT </t>
  </si>
  <si>
    <t xml:space="preserve">Sr Director</t>
  </si>
  <si>
    <t xml:space="preserve">C.H.W.</t>
  </si>
  <si>
    <t xml:space="preserve">MED ASST</t>
  </si>
  <si>
    <t xml:space="preserve">interpreter</t>
  </si>
  <si>
    <t xml:space="preserve">PHYSICIAN</t>
  </si>
  <si>
    <t xml:space="preserve">Research Nurse</t>
  </si>
  <si>
    <t xml:space="preserve">HEALTH EDUCATOR</t>
  </si>
  <si>
    <t xml:space="preserve">REG NURSE </t>
  </si>
  <si>
    <t xml:space="preserve">Physical Therapy</t>
  </si>
  <si>
    <t xml:space="preserve"> Health Educator </t>
  </si>
  <si>
    <t xml:space="preserve">VP</t>
  </si>
  <si>
    <t xml:space="preserve">pharmacist</t>
  </si>
  <si>
    <t xml:space="preserve">MA</t>
  </si>
  <si>
    <t xml:space="preserve">admin. assistant</t>
  </si>
  <si>
    <t xml:space="preserve">RESIDENT PHYSICIAN</t>
  </si>
  <si>
    <t xml:space="preserve">Alder Springs Hospital Community Benefit Activity Log FY26</t>
  </si>
  <si>
    <t xml:space="preserve">Prepared by Community Outreach</t>
  </si>
  <si>
    <t xml:space="preserve">Date</t>
  </si>
  <si>
    <t xml:space="preserve">Program</t>
  </si>
  <si>
    <t xml:space="preserve">Type</t>
  </si>
  <si>
    <t xml:space="preserve">Position</t>
  </si>
  <si>
    <t xml:space="preserve">Hrs</t>
  </si>
  <si>
    <t xml:space="preserve"># Served</t>
  </si>
  <si>
    <t xml:space="preserve">Expenses</t>
  </si>
  <si>
    <t xml:space="preserve">Revenue/Grants</t>
  </si>
  <si>
    <t xml:space="preserve">Comments</t>
  </si>
  <si>
    <t xml:space="preserve">07/05/2025</t>
  </si>
  <si>
    <t xml:space="preserve">DPP Classes</t>
  </si>
  <si>
    <t xml:space="preserve">Comm Hlth Ed</t>
  </si>
  <si>
    <t xml:space="preserve">07/08/2025</t>
  </si>
  <si>
    <t xml:space="preserve">Clinical Dietitian</t>
  </si>
  <si>
    <t xml:space="preserve">07/10/2025</t>
  </si>
  <si>
    <t xml:space="preserve">07/12/2025</t>
  </si>
  <si>
    <t xml:space="preserve">BP Checks</t>
  </si>
  <si>
    <t xml:space="preserve">Clinical Svcs</t>
  </si>
  <si>
    <t xml:space="preserve">07/19/2025</t>
  </si>
  <si>
    <t xml:space="preserve">Fall Prevention</t>
  </si>
  <si>
    <t xml:space="preserve">07/31/2025</t>
  </si>
  <si>
    <t xml:space="preserve">Mobile Screening Unit</t>
  </si>
  <si>
    <t xml:space="preserve">87.75 hrs</t>
  </si>
  <si>
    <t xml:space="preserve"> Med Asst</t>
  </si>
  <si>
    <t xml:space="preserve">105.5 hrs</t>
  </si>
  <si>
    <t xml:space="preserve">Grief Support</t>
  </si>
  <si>
    <t xml:space="preserve">Support Svcs</t>
  </si>
  <si>
    <t xml:space="preserve">1.75 hrs</t>
  </si>
  <si>
    <t xml:space="preserve">CHW Outreach</t>
  </si>
  <si>
    <t xml:space="preserve">CHW </t>
  </si>
  <si>
    <t xml:space="preserve">Produce Rx</t>
  </si>
  <si>
    <t xml:space="preserve">CB Program Admin</t>
  </si>
  <si>
    <t xml:space="preserve">CB Admin</t>
  </si>
  <si>
    <t xml:space="preserve">Nursing Clinicals</t>
  </si>
  <si>
    <t xml:space="preserve">HPE</t>
  </si>
  <si>
    <t xml:space="preserve"> Preceptor RN </t>
  </si>
  <si>
    <t xml:space="preserve">RN - Outreach </t>
  </si>
  <si>
    <t xml:space="preserve">Paramedic Students</t>
  </si>
  <si>
    <t xml:space="preserve">Flight Paramedic</t>
  </si>
  <si>
    <t xml:space="preserve">08/06/2025</t>
  </si>
  <si>
    <t xml:space="preserve">08/12/2025</t>
  </si>
  <si>
    <t xml:space="preserve">Leadership Academy</t>
  </si>
  <si>
    <t xml:space="preserve">CB-Leadership Dev</t>
  </si>
  <si>
    <t xml:space="preserve">08/23/2025</t>
  </si>
  <si>
    <t xml:space="preserve">MH First Aid</t>
  </si>
  <si>
    <t xml:space="preserve">08/30/2025</t>
  </si>
  <si>
    <t xml:space="preserve">In-Kind Supplies</t>
  </si>
  <si>
    <t xml:space="preserve">Contributions</t>
  </si>
  <si>
    <t xml:space="preserve">08/31/2025</t>
  </si>
  <si>
    <t xml:space="preserve">24.75 hrs</t>
  </si>
  <si>
    <t xml:space="preserve">41.25 hrs</t>
  </si>
  <si>
    <t xml:space="preserve">Staff RN </t>
  </si>
  <si>
    <t xml:space="preserve">09/03/2025</t>
  </si>
  <si>
    <t xml:space="preserve">Housing Partnership</t>
  </si>
  <si>
    <t xml:space="preserve">CB-Housing</t>
  </si>
  <si>
    <t xml:space="preserve">09/06/2025</t>
  </si>
  <si>
    <t xml:space="preserve">STAFF CHAPLAIN</t>
  </si>
  <si>
    <t xml:space="preserve">Regional Health Coalition Mtg</t>
  </si>
  <si>
    <t xml:space="preserve">CB-Coalition Bldg</t>
  </si>
  <si>
    <t xml:space="preserve">09/13/2025</t>
  </si>
  <si>
    <t xml:space="preserve">09/18/2025</t>
  </si>
  <si>
    <t xml:space="preserve">09/25/2025</t>
  </si>
  <si>
    <t xml:space="preserve">09/29/2025</t>
  </si>
  <si>
    <t xml:space="preserve">Community Benefit Mgr </t>
  </si>
  <si>
    <t xml:space="preserve">2 hrs</t>
  </si>
  <si>
    <t xml:space="preserve">09/30/2025</t>
  </si>
  <si>
    <t xml:space="preserve">CARE NAVIGATOR</t>
  </si>
  <si>
    <t xml:space="preserve">EMT-P</t>
  </si>
  <si>
    <t xml:space="preserve">10/08/2025</t>
  </si>
  <si>
    <t xml:space="preserve">10/10/2025</t>
  </si>
  <si>
    <t xml:space="preserve">10/13/2025</t>
  </si>
  <si>
    <t xml:space="preserve">10/20/2025</t>
  </si>
  <si>
    <t xml:space="preserve">10/27/2025</t>
  </si>
  <si>
    <t xml:space="preserve">10/31/2025</t>
  </si>
  <si>
    <t xml:space="preserve">Staff RN</t>
  </si>
  <si>
    <t xml:space="preserve">RDN </t>
  </si>
  <si>
    <t xml:space="preserve">admin asst</t>
  </si>
  <si>
    <t xml:space="preserve">EMT</t>
  </si>
  <si>
    <t xml:space="preserve">11/17/2025</t>
  </si>
  <si>
    <t xml:space="preserve"> Hlth Educator</t>
  </si>
  <si>
    <t xml:space="preserve">11/26/2025</t>
  </si>
  <si>
    <t xml:space="preserve">11/27/2025</t>
  </si>
  <si>
    <t xml:space="preserve">Car Seat Checks</t>
  </si>
  <si>
    <t xml:space="preserve">11/30/2025</t>
  </si>
  <si>
    <t xml:space="preserve">12/06/2025</t>
  </si>
  <si>
    <t xml:space="preserve">8 hrs</t>
  </si>
  <si>
    <t xml:space="preserve">12/09/2025</t>
  </si>
  <si>
    <t xml:space="preserve">PT</t>
  </si>
  <si>
    <t xml:space="preserve">12/12/2025</t>
  </si>
  <si>
    <t xml:space="preserve">12/16/2025</t>
  </si>
  <si>
    <t xml:space="preserve">12/18/2025</t>
  </si>
  <si>
    <t xml:space="preserve">Food Bank Gift</t>
  </si>
  <si>
    <t xml:space="preserve">-</t>
  </si>
  <si>
    <t xml:space="preserve">12/20/2025</t>
  </si>
  <si>
    <t xml:space="preserve">12/31/2025</t>
  </si>
  <si>
    <t xml:space="preserve">60 hrs</t>
  </si>
  <si>
    <t xml:space="preserve">58.25 hrs</t>
  </si>
  <si>
    <t xml:space="preserve">40.75 hrs</t>
  </si>
  <si>
    <t xml:space="preserve">01/05/2026</t>
  </si>
  <si>
    <t xml:space="preserve">RT</t>
  </si>
  <si>
    <t xml:space="preserve">01/06/2026</t>
  </si>
  <si>
    <t xml:space="preserve">01/08/2026</t>
  </si>
  <si>
    <t xml:space="preserve">01/09/2026</t>
  </si>
  <si>
    <t xml:space="preserve">01/10/2026</t>
  </si>
  <si>
    <t xml:space="preserve"> Physical Therapist</t>
  </si>
  <si>
    <t xml:space="preserve">01/24/2026</t>
  </si>
  <si>
    <t xml:space="preserve">01/28/2026</t>
  </si>
  <si>
    <t xml:space="preserve">01/29/2026</t>
  </si>
  <si>
    <t xml:space="preserve">emt-p</t>
  </si>
  <si>
    <t xml:space="preserve">3.75 hrs</t>
  </si>
  <si>
    <t xml:space="preserve">01/31/2026</t>
  </si>
  <si>
    <t xml:space="preserve">Clinical RN </t>
  </si>
  <si>
    <t xml:space="preserve">ADMIN ASST</t>
  </si>
  <si>
    <t xml:space="preserve">Resp Therapist</t>
  </si>
  <si>
    <t xml:space="preserve">77.5 hrs</t>
  </si>
  <si>
    <t xml:space="preserve">02/02/2026</t>
  </si>
  <si>
    <t xml:space="preserve">02/04/2026</t>
  </si>
  <si>
    <t xml:space="preserve">02/11/2026</t>
  </si>
  <si>
    <t xml:space="preserve"> Paramedic</t>
  </si>
  <si>
    <t xml:space="preserve">02/14/2026</t>
  </si>
  <si>
    <t xml:space="preserve">Health Ed </t>
  </si>
  <si>
    <t xml:space="preserve">02/21/2026</t>
  </si>
  <si>
    <t xml:space="preserve">02/28/2026</t>
  </si>
  <si>
    <t xml:space="preserve">chw ii</t>
  </si>
  <si>
    <t xml:space="preserve">CHNA (system)</t>
  </si>
  <si>
    <t xml:space="preserve">System CHNA work (shared)</t>
  </si>
  <si>
    <t xml:space="preserve">Analyst </t>
  </si>
  <si>
    <t xml:space="preserve">03/07/2026</t>
  </si>
  <si>
    <t xml:space="preserve"> RN III</t>
  </si>
  <si>
    <t xml:space="preserve">03/09/2026</t>
  </si>
  <si>
    <t xml:space="preserve">03/14/2026</t>
  </si>
  <si>
    <t xml:space="preserve">03/18/2026</t>
  </si>
  <si>
    <t xml:space="preserve">03/31/2026</t>
  </si>
  <si>
    <t xml:space="preserve">Care Navigator</t>
  </si>
  <si>
    <t xml:space="preserve">04/06/2026</t>
  </si>
  <si>
    <t xml:space="preserve"> Pastoral Care</t>
  </si>
  <si>
    <t xml:space="preserve">1.5 hrs</t>
  </si>
  <si>
    <t xml:space="preserve">04/11/2026</t>
  </si>
  <si>
    <t xml:space="preserve">04/16/2026</t>
  </si>
  <si>
    <t xml:space="preserve">2.5 hrs</t>
  </si>
  <si>
    <t xml:space="preserve">04/17/2026</t>
  </si>
  <si>
    <t xml:space="preserve">04/20/2026</t>
  </si>
  <si>
    <t xml:space="preserve">04/30/2026</t>
  </si>
  <si>
    <t xml:space="preserve">rdn</t>
  </si>
  <si>
    <t xml:space="preserve"> Unit Secretary</t>
  </si>
  <si>
    <t xml:space="preserve">05/01/2026</t>
  </si>
  <si>
    <t xml:space="preserve">05/02/2026</t>
  </si>
  <si>
    <t xml:space="preserve"> RD</t>
  </si>
  <si>
    <t xml:space="preserve">05/04/2026</t>
  </si>
  <si>
    <t xml:space="preserve"> RN</t>
  </si>
  <si>
    <t xml:space="preserve">05/25/2026</t>
  </si>
  <si>
    <t xml:space="preserve">05/26/2026</t>
  </si>
  <si>
    <t xml:space="preserve">05/29/2026</t>
  </si>
  <si>
    <t xml:space="preserve">05/30/2026</t>
  </si>
  <si>
    <t xml:space="preserve">05/31/2026</t>
  </si>
  <si>
    <t xml:space="preserve">RN </t>
  </si>
  <si>
    <t xml:space="preserve">06/03/2026</t>
  </si>
  <si>
    <t xml:space="preserve">rd</t>
  </si>
  <si>
    <t xml:space="preserve">06/04/2026</t>
  </si>
  <si>
    <t xml:space="preserve">06/06/2026</t>
  </si>
  <si>
    <t xml:space="preserve">REGISTERED DIETITIAN</t>
  </si>
  <si>
    <t xml:space="preserve">06/09/2026</t>
  </si>
  <si>
    <t xml:space="preserve">Health Careers Camp</t>
  </si>
  <si>
    <t xml:space="preserve">06/11/2026</t>
  </si>
  <si>
    <t xml:space="preserve">Nurse Educator </t>
  </si>
  <si>
    <t xml:space="preserve">06/15/2026</t>
  </si>
  <si>
    <t xml:space="preserve">06/17/2026</t>
  </si>
  <si>
    <t xml:space="preserve">06/18/2026</t>
  </si>
  <si>
    <t xml:space="preserve">06/23/2026</t>
  </si>
  <si>
    <t xml:space="preserve">06/25/2026</t>
  </si>
  <si>
    <t xml:space="preserve">06/27/2026</t>
  </si>
  <si>
    <t xml:space="preserve">RD </t>
  </si>
  <si>
    <t xml:space="preserve">06/30/2026</t>
  </si>
  <si>
    <t xml:space="preserve">Community Health Worker </t>
  </si>
  <si>
    <t xml:space="preserve">53 hrs</t>
  </si>
  <si>
    <t xml:space="preserve">outreach worker</t>
  </si>
  <si>
    <t xml:space="preserve">Secretary</t>
  </si>
  <si>
    <t xml:space="preserve">65.75 hrs</t>
  </si>
  <si>
    <t xml:space="preserve">Activity</t>
  </si>
  <si>
    <t xml:space="preserve">Activity Type</t>
  </si>
  <si>
    <t xml:space="preserve">Staff Role</t>
  </si>
  <si>
    <t xml:space="preserve">Date (YYYY-MM-DD)</t>
  </si>
  <si>
    <t xml:space="preserve">Time Spent (hours)</t>
  </si>
  <si>
    <t xml:space="preserve">People Reached</t>
  </si>
  <si>
    <t xml:space="preserve">Direct Costs ($)</t>
  </si>
  <si>
    <t xml:space="preserve">Offsetting Revenue ($)</t>
  </si>
  <si>
    <t xml:space="preserve">Health Coalition</t>
  </si>
  <si>
    <t xml:space="preserve">Community Health Improvement</t>
  </si>
  <si>
    <t xml:space="preserve">2025-07-08</t>
  </si>
  <si>
    <t xml:space="preserve">Matter of Balance Classes</t>
  </si>
  <si>
    <t xml:space="preserve">Health Education</t>
  </si>
  <si>
    <t xml:space="preserve"> DPT</t>
  </si>
  <si>
    <t xml:space="preserve">2025-07-11</t>
  </si>
  <si>
    <t xml:space="preserve">Diabetes Prevention</t>
  </si>
  <si>
    <t xml:space="preserve">2025-07-12</t>
  </si>
  <si>
    <t xml:space="preserve">Mental Health First Aid</t>
  </si>
  <si>
    <t xml:space="preserve">2025-07-14</t>
  </si>
  <si>
    <t xml:space="preserve">2025-07-22</t>
  </si>
  <si>
    <t xml:space="preserve">Clinical Dietitian </t>
  </si>
  <si>
    <t xml:space="preserve">2025-07-30</t>
  </si>
  <si>
    <t xml:space="preserve">Free Clinic Staffing</t>
  </si>
  <si>
    <t xml:space="preserve">Screenings</t>
  </si>
  <si>
    <t xml:space="preserve">2025-07-31</t>
  </si>
  <si>
    <t xml:space="preserve">Med Assistance</t>
  </si>
  <si>
    <t xml:space="preserve">Patient Support</t>
  </si>
  <si>
    <t xml:space="preserve">RPh </t>
  </si>
  <si>
    <t xml:space="preserve">Community Benefit Admin</t>
  </si>
  <si>
    <t xml:space="preserve">Ops</t>
  </si>
  <si>
    <t xml:space="preserve">Admin Support</t>
  </si>
  <si>
    <t xml:space="preserve">Interpreter Services</t>
  </si>
  <si>
    <t xml:space="preserve">Nursing Student Rotations</t>
  </si>
  <si>
    <t xml:space="preserve">Education - Health Professions</t>
  </si>
  <si>
    <t xml:space="preserve"> R.N.</t>
  </si>
  <si>
    <t xml:space="preserve">Pharmacy Students</t>
  </si>
  <si>
    <t xml:space="preserve">Blood Pressure Screening</t>
  </si>
  <si>
    <t xml:space="preserve">2025-08-01</t>
  </si>
  <si>
    <t xml:space="preserve">2025-08-02</t>
  </si>
  <si>
    <t xml:space="preserve">Smoke-Free Parks</t>
  </si>
  <si>
    <t xml:space="preserve">Advocacy</t>
  </si>
  <si>
    <t xml:space="preserve">2025-08-05</t>
  </si>
  <si>
    <t xml:space="preserve">Prenatal &amp; Newborn Classes</t>
  </si>
  <si>
    <t xml:space="preserve">rn educator</t>
  </si>
  <si>
    <t xml:space="preserve">2025-08-07</t>
  </si>
  <si>
    <t xml:space="preserve">Community Benefit Manager </t>
  </si>
  <si>
    <t xml:space="preserve">2025-08-14</t>
  </si>
  <si>
    <t xml:space="preserve">Joint meeting, KVMC hosted</t>
  </si>
  <si>
    <t xml:space="preserve">2025-08-20</t>
  </si>
  <si>
    <t xml:space="preserve">2025-08-28</t>
  </si>
  <si>
    <t xml:space="preserve">2025-08-31</t>
  </si>
  <si>
    <t xml:space="preserve"> Charge RN</t>
  </si>
  <si>
    <t xml:space="preserve">admin support</t>
  </si>
  <si>
    <t xml:space="preserve"> Medical Interpreter</t>
  </si>
  <si>
    <t xml:space="preserve">2025-09-09</t>
  </si>
  <si>
    <t xml:space="preserve"> VP</t>
  </si>
  <si>
    <t xml:space="preserve">2025-09-11</t>
  </si>
  <si>
    <t xml:space="preserve">Bereavement Group</t>
  </si>
  <si>
    <t xml:space="preserve">Pastoral Care </t>
  </si>
  <si>
    <t xml:space="preserve">2025-09-13</t>
  </si>
  <si>
    <t xml:space="preserve">Community Garden</t>
  </si>
  <si>
    <t xml:space="preserve">Environmental</t>
  </si>
  <si>
    <t xml:space="preserve">2025-09-18</t>
  </si>
  <si>
    <t xml:space="preserve">2025-09-20</t>
  </si>
  <si>
    <t xml:space="preserve">Free Clinic Grant</t>
  </si>
  <si>
    <t xml:space="preserve">Donation</t>
  </si>
  <si>
    <t xml:space="preserve">n.a. </t>
  </si>
  <si>
    <t xml:space="preserve">2025-09-24</t>
  </si>
  <si>
    <t xml:space="preserve">Naloxone Training</t>
  </si>
  <si>
    <t xml:space="preserve">2025-09-26</t>
  </si>
  <si>
    <t xml:space="preserve">2025-09-30</t>
  </si>
  <si>
    <t xml:space="preserve"> RPh</t>
  </si>
  <si>
    <t xml:space="preserve">2025-10-02</t>
  </si>
  <si>
    <t xml:space="preserve">2025-10-07</t>
  </si>
  <si>
    <t xml:space="preserve">dietitian</t>
  </si>
  <si>
    <t xml:space="preserve">rn ii</t>
  </si>
  <si>
    <t xml:space="preserve">2025-10-11</t>
  </si>
  <si>
    <t xml:space="preserve">2025-10-13</t>
  </si>
  <si>
    <t xml:space="preserve">2025-10-17</t>
  </si>
  <si>
    <t xml:space="preserve">2025-10-20</t>
  </si>
  <si>
    <t xml:space="preserve">2025-10-24</t>
  </si>
  <si>
    <t xml:space="preserve">2025-10-25</t>
  </si>
  <si>
    <t xml:space="preserve">DIETITIAN</t>
  </si>
  <si>
    <t xml:space="preserve">2025-25-10</t>
  </si>
  <si>
    <t xml:space="preserve">2025-10-28</t>
  </si>
  <si>
    <t xml:space="preserve">2025-10-31</t>
  </si>
  <si>
    <t xml:space="preserve">2025-11-10</t>
  </si>
  <si>
    <t xml:space="preserve">2025-11-14</t>
  </si>
  <si>
    <t xml:space="preserve">2025-11-18</t>
  </si>
  <si>
    <t xml:space="preserve"> Staff RN</t>
  </si>
  <si>
    <t xml:space="preserve">2025-11-22</t>
  </si>
  <si>
    <t xml:space="preserve">2025-11-26</t>
  </si>
  <si>
    <t xml:space="preserve">2025-11-28</t>
  </si>
  <si>
    <t xml:space="preserve">2025-11-29</t>
  </si>
  <si>
    <t xml:space="preserve">MSW </t>
  </si>
  <si>
    <t xml:space="preserve">2025-11-30</t>
  </si>
  <si>
    <t xml:space="preserve">Spanish Interpreter </t>
  </si>
  <si>
    <t xml:space="preserve">2025-12-02</t>
  </si>
  <si>
    <t xml:space="preserve">2025-12-12</t>
  </si>
  <si>
    <t xml:space="preserve">2025-12-13</t>
  </si>
  <si>
    <t xml:space="preserve">2025-12-19</t>
  </si>
  <si>
    <t xml:space="preserve">Clinical Pharmacist </t>
  </si>
  <si>
    <t xml:space="preserve">2025-12-20</t>
  </si>
  <si>
    <t xml:space="preserve">2025-12-23</t>
  </si>
  <si>
    <t xml:space="preserve">2025-12-25</t>
  </si>
  <si>
    <t xml:space="preserve">2025-12-27</t>
  </si>
  <si>
    <t xml:space="preserve">COMMUNITY EDUCATOR</t>
  </si>
  <si>
    <t xml:space="preserve">2025-12-30</t>
  </si>
  <si>
    <t xml:space="preserve">2025-12-31</t>
  </si>
  <si>
    <t xml:space="preserve">2026-01-08</t>
  </si>
  <si>
    <t xml:space="preserve">School Health Center Grant</t>
  </si>
  <si>
    <t xml:space="preserve">2026-01-17</t>
  </si>
  <si>
    <t xml:space="preserve">2026-01-23</t>
  </si>
  <si>
    <t xml:space="preserve">NP</t>
  </si>
  <si>
    <t xml:space="preserve">2026-01-31</t>
  </si>
  <si>
    <t xml:space="preserve"> Clinical Pharmacist </t>
  </si>
  <si>
    <t xml:space="preserve"> Reg Nurse </t>
  </si>
  <si>
    <t xml:space="preserve">MGR, COMMUNITY BENEFIT</t>
  </si>
  <si>
    <t xml:space="preserve"> Spanish Interpreter</t>
  </si>
  <si>
    <t xml:space="preserve"> Sr Director</t>
  </si>
  <si>
    <t xml:space="preserve">2026-02-04</t>
  </si>
  <si>
    <t xml:space="preserve">PHYSICAL THERAPY </t>
  </si>
  <si>
    <t xml:space="preserve">2026-02-05</t>
  </si>
  <si>
    <t xml:space="preserve">2026-02-10</t>
  </si>
  <si>
    <t xml:space="preserve">2026-02-14</t>
  </si>
  <si>
    <t xml:space="preserve">2026-02-19</t>
  </si>
  <si>
    <t xml:space="preserve">2026-02-21</t>
  </si>
  <si>
    <t xml:space="preserve">2026-02-28</t>
  </si>
  <si>
    <t xml:space="preserve">RPH</t>
  </si>
  <si>
    <t xml:space="preserve"> Admin. Assistant</t>
  </si>
  <si>
    <t xml:space="preserve">2026-03-10</t>
  </si>
  <si>
    <t xml:space="preserve">2026-03-13</t>
  </si>
  <si>
    <t xml:space="preserve">2026-03-18</t>
  </si>
  <si>
    <t xml:space="preserve">2026-03-29</t>
  </si>
  <si>
    <t xml:space="preserve">2026-03-30</t>
  </si>
  <si>
    <t xml:space="preserve"> Health Ed</t>
  </si>
  <si>
    <t xml:space="preserve">2026-03-31</t>
  </si>
  <si>
    <t xml:space="preserve"> ADMINISTRATIVE ASSISTANT</t>
  </si>
  <si>
    <t xml:space="preserve">2026-04-01</t>
  </si>
  <si>
    <t xml:space="preserve">2026-04-02</t>
  </si>
  <si>
    <t xml:space="preserve">staff chaplain</t>
  </si>
  <si>
    <t xml:space="preserve">2026-04-15</t>
  </si>
  <si>
    <t xml:space="preserve">Clinical Social Worker </t>
  </si>
  <si>
    <t xml:space="preserve">2026-04-16</t>
  </si>
  <si>
    <t xml:space="preserve">health ed</t>
  </si>
  <si>
    <t xml:space="preserve">2026-04-28</t>
  </si>
  <si>
    <t xml:space="preserve">Family NP </t>
  </si>
  <si>
    <t xml:space="preserve">2026-04-30</t>
  </si>
  <si>
    <t xml:space="preserve">STAFF PHARMACIST </t>
  </si>
  <si>
    <t xml:space="preserve">2026-05-08</t>
  </si>
  <si>
    <t xml:space="preserve">2026-05-09</t>
  </si>
  <si>
    <t xml:space="preserve">2026-05-16</t>
  </si>
  <si>
    <t xml:space="preserve">2026-05-18</t>
  </si>
  <si>
    <t xml:space="preserve">2026-05-19</t>
  </si>
  <si>
    <t xml:space="preserve">Social Work </t>
  </si>
  <si>
    <t xml:space="preserve">R.N. </t>
  </si>
  <si>
    <t xml:space="preserve">2026-05-20</t>
  </si>
  <si>
    <t xml:space="preserve">2026-05-22</t>
  </si>
  <si>
    <t xml:space="preserve">2026-05-28</t>
  </si>
  <si>
    <t xml:space="preserve">2026-05-29</t>
  </si>
  <si>
    <t xml:space="preserve">2026-05-31</t>
  </si>
  <si>
    <t xml:space="preserve"> RN II</t>
  </si>
  <si>
    <t xml:space="preserve">2026-06-01</t>
  </si>
  <si>
    <t xml:space="preserve">2026-06-03</t>
  </si>
  <si>
    <t xml:space="preserve">2026-06-18</t>
  </si>
  <si>
    <t xml:space="preserve">health education specialist</t>
  </si>
  <si>
    <t xml:space="preserve">2026-06-19</t>
  </si>
  <si>
    <t xml:space="preserve">2026-06-20</t>
  </si>
  <si>
    <t xml:space="preserve">Spiritual Care </t>
  </si>
  <si>
    <t xml:space="preserve">2026-06-29</t>
  </si>
  <si>
    <t xml:space="preserve">N.P.</t>
  </si>
  <si>
    <t xml:space="preserve">2026-06-30</t>
  </si>
  <si>
    <t xml:space="preserve">Wrenfield Community Hospital community benefit log (send to system office quarterly)</t>
  </si>
  <si>
    <t xml:space="preserve">Quarter</t>
  </si>
  <si>
    <t xml:space="preserve">Title</t>
  </si>
  <si>
    <t xml:space="preserve">Hours</t>
  </si>
  <si>
    <t xml:space="preserve">Served</t>
  </si>
  <si>
    <t xml:space="preserve">Revenue</t>
  </si>
  <si>
    <t xml:space="preserve">Q4 FY25</t>
  </si>
  <si>
    <t xml:space="preserve">6/24/25</t>
  </si>
  <si>
    <t xml:space="preserve">bp check</t>
  </si>
  <si>
    <t xml:space="preserve">CHIS clinical</t>
  </si>
  <si>
    <t xml:space="preserve">Q1 FY26</t>
  </si>
  <si>
    <t xml:space="preserve">7/22/25</t>
  </si>
  <si>
    <t xml:space="preserve">grief group</t>
  </si>
  <si>
    <t xml:space="preserve">CHIS support</t>
  </si>
  <si>
    <t xml:space="preserve">health coalition</t>
  </si>
  <si>
    <t xml:space="preserve">community building</t>
  </si>
  <si>
    <t xml:space="preserve">7/25/25</t>
  </si>
  <si>
    <t xml:space="preserve">July 29, 2025</t>
  </si>
  <si>
    <t xml:space="preserve">youth pathway</t>
  </si>
  <si>
    <t xml:space="preserve">7/31/25</t>
  </si>
  <si>
    <t xml:space="preserve">mobile van screenings</t>
  </si>
  <si>
    <t xml:space="preserve">Med Asst</t>
  </si>
  <si>
    <t xml:space="preserve">chw outreach</t>
  </si>
  <si>
    <t xml:space="preserve">July 31, 2025</t>
  </si>
  <si>
    <t xml:space="preserve">produce prescription</t>
  </si>
  <si>
    <t xml:space="preserve">cb admin</t>
  </si>
  <si>
    <t xml:space="preserve">cb operations</t>
  </si>
  <si>
    <t xml:space="preserve">community paramedic</t>
  </si>
  <si>
    <t xml:space="preserve">nursing students</t>
  </si>
  <si>
    <t xml:space="preserve">health professions ed</t>
  </si>
  <si>
    <t xml:space="preserve">paramedic students</t>
  </si>
  <si>
    <t xml:space="preserve">rural maternal study</t>
  </si>
  <si>
    <t xml:space="preserve">research</t>
  </si>
  <si>
    <t xml:space="preserve">Research Coordinator </t>
  </si>
  <si>
    <t xml:space="preserve">8/2/25</t>
  </si>
  <si>
    <t xml:space="preserve">2.5 hr</t>
  </si>
  <si>
    <t xml:space="preserve"> Social Work</t>
  </si>
  <si>
    <t xml:space="preserve">car seat check</t>
  </si>
  <si>
    <t xml:space="preserve">community health improvement services</t>
  </si>
  <si>
    <t xml:space="preserve">8/7/25</t>
  </si>
  <si>
    <t xml:space="preserve">diabetes prevention class</t>
  </si>
  <si>
    <t xml:space="preserve">8/13/25</t>
  </si>
  <si>
    <t xml:space="preserve">sports physicals</t>
  </si>
  <si>
    <t xml:space="preserve">August 13, 2025</t>
  </si>
  <si>
    <t xml:space="preserve">August 21, 2025</t>
  </si>
  <si>
    <t xml:space="preserve">8/21/25</t>
  </si>
  <si>
    <t xml:space="preserve">8/30/25</t>
  </si>
  <si>
    <t xml:space="preserve">narcan training</t>
  </si>
  <si>
    <t xml:space="preserve">8/31/25</t>
  </si>
  <si>
    <t xml:space="preserve">August 31, 2025</t>
  </si>
  <si>
    <t xml:space="preserve">CB Manager </t>
  </si>
  <si>
    <t xml:space="preserve">RN EDUCATOR</t>
  </si>
  <si>
    <t xml:space="preserve">Decision Support Analyst</t>
  </si>
  <si>
    <t xml:space="preserve">crc</t>
  </si>
  <si>
    <t xml:space="preserve">9/2/25</t>
  </si>
  <si>
    <t xml:space="preserve">September 2, 2025</t>
  </si>
  <si>
    <t xml:space="preserve">September 3, 2025</t>
  </si>
  <si>
    <t xml:space="preserve">2.75 hr</t>
  </si>
  <si>
    <t xml:space="preserve">9/3/25</t>
  </si>
  <si>
    <t xml:space="preserve"> Director</t>
  </si>
  <si>
    <t xml:space="preserve"> RDN</t>
  </si>
  <si>
    <t xml:space="preserve">September 17, 2025</t>
  </si>
  <si>
    <t xml:space="preserve"> PharmD</t>
  </si>
  <si>
    <t xml:space="preserve">9/27/25</t>
  </si>
  <si>
    <t xml:space="preserve">9/30/25</t>
  </si>
  <si>
    <t xml:space="preserve">Paramedic </t>
  </si>
  <si>
    <t xml:space="preserve">September 30, 2025</t>
  </si>
  <si>
    <t xml:space="preserve">RN Educator </t>
  </si>
  <si>
    <t xml:space="preserve"> RESEARCH COORDINATOR</t>
  </si>
  <si>
    <t xml:space="preserve">Q2 FY26</t>
  </si>
  <si>
    <t xml:space="preserve">10/4/25</t>
  </si>
  <si>
    <t xml:space="preserve">10/7/25</t>
  </si>
  <si>
    <t xml:space="preserve">10/11/25</t>
  </si>
  <si>
    <t xml:space="preserve">October 29, 2025</t>
  </si>
  <si>
    <t xml:space="preserve">3.25 hr</t>
  </si>
  <si>
    <t xml:space="preserve">October 31, 2025</t>
  </si>
  <si>
    <t xml:space="preserve">257.75 hr</t>
  </si>
  <si>
    <t xml:space="preserve">Comm. Health Worker </t>
  </si>
  <si>
    <t xml:space="preserve">10/31/25</t>
  </si>
  <si>
    <t xml:space="preserve">72.75 hr</t>
  </si>
  <si>
    <t xml:space="preserve"> Flight Paramedic</t>
  </si>
  <si>
    <t xml:space="preserve">52.25 hr</t>
  </si>
  <si>
    <t xml:space="preserve">11/6/25</t>
  </si>
  <si>
    <t xml:space="preserve">11/30/25</t>
  </si>
  <si>
    <t xml:space="preserve">November 30, 2025</t>
  </si>
  <si>
    <t xml:space="preserve">71 hr</t>
  </si>
  <si>
    <t xml:space="preserve">12/6/25</t>
  </si>
  <si>
    <t xml:space="preserve">December 6, 2025</t>
  </si>
  <si>
    <t xml:space="preserve">12/8/25</t>
  </si>
  <si>
    <t xml:space="preserve">December 20, 2025</t>
  </si>
  <si>
    <t xml:space="preserve">12/23/25</t>
  </si>
  <si>
    <t xml:space="preserve">12/31/25</t>
  </si>
  <si>
    <t xml:space="preserve">NAVIGATOR </t>
  </si>
  <si>
    <t xml:space="preserve">Admin </t>
  </si>
  <si>
    <t xml:space="preserve">December 31, 2025</t>
  </si>
  <si>
    <t xml:space="preserve">Q3 FY26</t>
  </si>
  <si>
    <t xml:space="preserve">1/3/26</t>
  </si>
  <si>
    <t xml:space="preserve"> Residency Coordinator</t>
  </si>
  <si>
    <t xml:space="preserve">6.75 hr</t>
  </si>
  <si>
    <t xml:space="preserve">1/11/26</t>
  </si>
  <si>
    <t xml:space="preserve">food bank donation</t>
  </si>
  <si>
    <t xml:space="preserve">cash/in-kind</t>
  </si>
  <si>
    <t xml:space="preserve">1/31/26</t>
  </si>
  <si>
    <t xml:space="preserve">January 31, 2026</t>
  </si>
  <si>
    <t xml:space="preserve">Admin</t>
  </si>
  <si>
    <t xml:space="preserve">53.25 hr</t>
  </si>
  <si>
    <t xml:space="preserve">research nurse</t>
  </si>
  <si>
    <t xml:space="preserve">2/14/26</t>
  </si>
  <si>
    <t xml:space="preserve">2/26/26</t>
  </si>
  <si>
    <t xml:space="preserve">1.5 hr</t>
  </si>
  <si>
    <t xml:space="preserve">2/28/26</t>
  </si>
  <si>
    <t xml:space="preserve">Staff</t>
  </si>
  <si>
    <t xml:space="preserve">February 28, 2026</t>
  </si>
  <si>
    <t xml:space="preserve">34 hr</t>
  </si>
  <si>
    <t xml:space="preserve">3/7/26</t>
  </si>
  <si>
    <t xml:space="preserve">Staff Pharmacist </t>
  </si>
  <si>
    <t xml:space="preserve">3/11/26</t>
  </si>
  <si>
    <t xml:space="preserve">March 11, 2026</t>
  </si>
  <si>
    <t xml:space="preserve">3/31/26</t>
  </si>
  <si>
    <t xml:space="preserve"> Care Navigator</t>
  </si>
  <si>
    <t xml:space="preserve">March 31, 2026</t>
  </si>
  <si>
    <t xml:space="preserve">NUTRITIONIST</t>
  </si>
  <si>
    <t xml:space="preserve">Clin Educator </t>
  </si>
  <si>
    <t xml:space="preserve"> Sr Data Analyst</t>
  </si>
  <si>
    <t xml:space="preserve">Q4 FY26</t>
  </si>
  <si>
    <t xml:space="preserve">April 3, 2026</t>
  </si>
  <si>
    <t xml:space="preserve">4/3/26</t>
  </si>
  <si>
    <t xml:space="preserve">1.75 hr</t>
  </si>
  <si>
    <t xml:space="preserve">April 6, 2026</t>
  </si>
  <si>
    <t xml:space="preserve">4/25/26</t>
  </si>
  <si>
    <t xml:space="preserve">4/30/26</t>
  </si>
  <si>
    <t xml:space="preserve">April 30, 2026</t>
  </si>
  <si>
    <t xml:space="preserve">62.25 hr</t>
  </si>
  <si>
    <t xml:space="preserve">5/16/26</t>
  </si>
  <si>
    <t xml:space="preserve">7.25 hr</t>
  </si>
  <si>
    <t xml:space="preserve">May 23, 2026</t>
  </si>
  <si>
    <t xml:space="preserve">May 26, 2026</t>
  </si>
  <si>
    <t xml:space="preserve">2.25 hr</t>
  </si>
  <si>
    <t xml:space="preserve">5/31/26</t>
  </si>
  <si>
    <t xml:space="preserve">May 31, 2026</t>
  </si>
  <si>
    <t xml:space="preserve">36.75 hr</t>
  </si>
  <si>
    <t xml:space="preserve">42 hr</t>
  </si>
  <si>
    <t xml:space="preserve">6/30/26</t>
  </si>
  <si>
    <t xml:space="preserve">Outreach Worker </t>
  </si>
  <si>
    <t xml:space="preserve">June 30, 2026</t>
  </si>
  <si>
    <t xml:space="preserve">Event / Program</t>
  </si>
  <si>
    <t xml:space="preserve">CB Category</t>
  </si>
  <si>
    <t xml:space="preserve">Event Date</t>
  </si>
  <si>
    <t xml:space="preserve">Staff Position</t>
  </si>
  <si>
    <t xml:space="preserve">Attendees</t>
  </si>
  <si>
    <t xml:space="preserve">Non-Staff Expense</t>
  </si>
  <si>
    <t xml:space="preserve">Regional Coalition</t>
  </si>
  <si>
    <t xml:space="preserve">Coalition (CB)</t>
  </si>
  <si>
    <t xml:space="preserve">02-Jul-2025</t>
  </si>
  <si>
    <t xml:space="preserve">Fall Prevention Class</t>
  </si>
  <si>
    <t xml:space="preserve">CHIS - Education</t>
  </si>
  <si>
    <t xml:space="preserve">05-Jul-2025</t>
  </si>
  <si>
    <t xml:space="preserve">Emergency Prep Drill</t>
  </si>
  <si>
    <t xml:space="preserve">Community Support (CB)</t>
  </si>
  <si>
    <t xml:space="preserve">12-Jul-2025</t>
  </si>
  <si>
    <t xml:space="preserve"> Event Coordinator</t>
  </si>
  <si>
    <t xml:space="preserve">Green Space Project</t>
  </si>
  <si>
    <t xml:space="preserve">Environmental (CB)</t>
  </si>
  <si>
    <t xml:space="preserve">19-Jul-2025</t>
  </si>
  <si>
    <t xml:space="preserve">Quit Tobacco Class</t>
  </si>
  <si>
    <t xml:space="preserve">24-Jul-2025</t>
  </si>
  <si>
    <t xml:space="preserve">Sports Physicals</t>
  </si>
  <si>
    <t xml:space="preserve">CHIS - Clinical</t>
  </si>
  <si>
    <t xml:space="preserve">25-Jul-2025</t>
  </si>
  <si>
    <t xml:space="preserve">Temp</t>
  </si>
  <si>
    <t xml:space="preserve">Medication Assistance</t>
  </si>
  <si>
    <t xml:space="preserve">CHIS - Support</t>
  </si>
  <si>
    <t xml:space="preserve">31-Jul-2025</t>
  </si>
  <si>
    <t xml:space="preserve">Community Benefit Admin.</t>
  </si>
  <si>
    <t xml:space="preserve">CBO</t>
  </si>
  <si>
    <t xml:space="preserve">Manager Community Benefit </t>
  </si>
  <si>
    <t xml:space="preserve">Community Paramedicine</t>
  </si>
  <si>
    <t xml:space="preserve">Nursing Clinical Rotations</t>
  </si>
  <si>
    <t xml:space="preserve">HPE - Students</t>
  </si>
  <si>
    <t xml:space="preserve">07-Aug-2025</t>
  </si>
  <si>
    <t xml:space="preserve">12-Aug-2025</t>
  </si>
  <si>
    <t xml:space="preserve">18-Aug-2025</t>
  </si>
  <si>
    <t xml:space="preserve">event coordinator</t>
  </si>
  <si>
    <t xml:space="preserve">Diabetes Prevention Program</t>
  </si>
  <si>
    <t xml:space="preserve">20-Aug-2025</t>
  </si>
  <si>
    <t xml:space="preserve">Car Seat Safety</t>
  </si>
  <si>
    <t xml:space="preserve">AM session</t>
  </si>
  <si>
    <t xml:space="preserve">PM session</t>
  </si>
  <si>
    <t xml:space="preserve">RN II </t>
  </si>
  <si>
    <t xml:space="preserve">Blood Pressure Clinic</t>
  </si>
  <si>
    <t xml:space="preserve">21-Aug-2025</t>
  </si>
  <si>
    <t xml:space="preserve">25-Aug-2025</t>
  </si>
  <si>
    <t xml:space="preserve">31-Aug-2025</t>
  </si>
  <si>
    <t xml:space="preserve">02-Sep-2025</t>
  </si>
  <si>
    <t xml:space="preserve">13-Sep-2025</t>
  </si>
  <si>
    <t xml:space="preserve">20-Sep-2025</t>
  </si>
  <si>
    <t xml:space="preserve">Supply Donations</t>
  </si>
  <si>
    <t xml:space="preserve">Cash Contribution</t>
  </si>
  <si>
    <t xml:space="preserve">26-Sep-2025</t>
  </si>
  <si>
    <t xml:space="preserve">30-Sep-2025</t>
  </si>
  <si>
    <t xml:space="preserve"> Mgr, Community Benefit</t>
  </si>
  <si>
    <t xml:space="preserve">04-Oct-2025</t>
  </si>
  <si>
    <t xml:space="preserve">Childbirth Education</t>
  </si>
  <si>
    <t xml:space="preserve">06-Oct-2025</t>
  </si>
  <si>
    <t xml:space="preserve">14-Oct-2025</t>
  </si>
  <si>
    <t xml:space="preserve">17-Oct-2025</t>
  </si>
  <si>
    <t xml:space="preserve"> Registered Nurse</t>
  </si>
  <si>
    <t xml:space="preserve">31-Oct-2025</t>
  </si>
  <si>
    <t xml:space="preserve">01-Nov-2025</t>
  </si>
  <si>
    <t xml:space="preserve">Youth Pathway Program</t>
  </si>
  <si>
    <t xml:space="preserve">Workforce Dev (CB)</t>
  </si>
  <si>
    <t xml:space="preserve">05-Nov-2025</t>
  </si>
  <si>
    <t xml:space="preserve">10-Nov-2025</t>
  </si>
  <si>
    <t xml:space="preserve">12-Nov-2025</t>
  </si>
  <si>
    <t xml:space="preserve">19-Nov-2025</t>
  </si>
  <si>
    <t xml:space="preserve">22-Nov-2025</t>
  </si>
  <si>
    <t xml:space="preserve">24-Nov-2025</t>
  </si>
  <si>
    <t xml:space="preserve">25-Nov-2025</t>
  </si>
  <si>
    <t xml:space="preserve">30-Nov-2025</t>
  </si>
  <si>
    <t xml:space="preserve">03-Dec-2025</t>
  </si>
  <si>
    <t xml:space="preserve">08-Dec-2025</t>
  </si>
  <si>
    <t xml:space="preserve">11-Dec-2025</t>
  </si>
  <si>
    <t xml:space="preserve">Faculty Physician</t>
  </si>
  <si>
    <t xml:space="preserve">16-Dec-2025</t>
  </si>
  <si>
    <t xml:space="preserve">20-Dec-2025</t>
  </si>
  <si>
    <t xml:space="preserve">Food Bank Contribution</t>
  </si>
  <si>
    <t xml:space="preserve">23-Dec-2025</t>
  </si>
  <si>
    <t xml:space="preserve"> -</t>
  </si>
  <si>
    <t xml:space="preserve">26-Dec-2025</t>
  </si>
  <si>
    <t xml:space="preserve">27-Dec-2025</t>
  </si>
  <si>
    <t xml:space="preserve">30-Dec-2025</t>
  </si>
  <si>
    <t xml:space="preserve">31-Dec-2025</t>
  </si>
  <si>
    <t xml:space="preserve">03-Jan-2026</t>
  </si>
  <si>
    <t xml:space="preserve">10-Jan-2026</t>
  </si>
  <si>
    <t xml:space="preserve">16-Jan-2026</t>
  </si>
  <si>
    <t xml:space="preserve">17-Jan-2026</t>
  </si>
  <si>
    <t xml:space="preserve">24-Jan-2026</t>
  </si>
  <si>
    <t xml:space="preserve">28-Jan-2026</t>
  </si>
  <si>
    <t xml:space="preserve">29-Jan-2026</t>
  </si>
  <si>
    <t xml:space="preserve">31-Jan-2026</t>
  </si>
  <si>
    <t xml:space="preserve"> Secretary</t>
  </si>
  <si>
    <t xml:space="preserve">05-Feb-2026</t>
  </si>
  <si>
    <t xml:space="preserve">12-Feb-2026</t>
  </si>
  <si>
    <t xml:space="preserve">21-Feb-2026</t>
  </si>
  <si>
    <t xml:space="preserve">24-Feb-2026</t>
  </si>
  <si>
    <t xml:space="preserve">28-Feb-2026</t>
  </si>
  <si>
    <t xml:space="preserve">EMT </t>
  </si>
  <si>
    <t xml:space="preserve">14-Mar-2026</t>
  </si>
  <si>
    <t xml:space="preserve">17-Mar-2026</t>
  </si>
  <si>
    <t xml:space="preserve">21-Mar-2026</t>
  </si>
  <si>
    <t xml:space="preserve">LMSW </t>
  </si>
  <si>
    <t xml:space="preserve">27-Mar-2026</t>
  </si>
  <si>
    <t xml:space="preserve">28-Mar-2026</t>
  </si>
  <si>
    <t xml:space="preserve">30-Mar-2026</t>
  </si>
  <si>
    <t xml:space="preserve">31-Mar-2026</t>
  </si>
  <si>
    <t xml:space="preserve">05-Apr-2026</t>
  </si>
  <si>
    <t xml:space="preserve">06-Apr-2026</t>
  </si>
  <si>
    <t xml:space="preserve">07-Apr-2026</t>
  </si>
  <si>
    <t xml:space="preserve">11-Apr-2026</t>
  </si>
  <si>
    <t xml:space="preserve">Employee Wellness Fair</t>
  </si>
  <si>
    <t xml:space="preserve">17-Apr-2026</t>
  </si>
  <si>
    <t xml:space="preserve">24-Apr-2026</t>
  </si>
  <si>
    <t xml:space="preserve">25-Apr-2026</t>
  </si>
  <si>
    <t xml:space="preserve">27-Apr-2026</t>
  </si>
  <si>
    <t xml:space="preserve">28-Apr-2026</t>
  </si>
  <si>
    <t xml:space="preserve">29-Apr-2026</t>
  </si>
  <si>
    <t xml:space="preserve"> Clin Educator</t>
  </si>
  <si>
    <t xml:space="preserve">30-Apr-2026</t>
  </si>
  <si>
    <t xml:space="preserve">Office Coordinator </t>
  </si>
  <si>
    <t xml:space="preserve">13-May-2026</t>
  </si>
  <si>
    <t xml:space="preserve">14-May-2026</t>
  </si>
  <si>
    <t xml:space="preserve"> Clinical Dietitian </t>
  </si>
  <si>
    <t xml:space="preserve">15-May-2026</t>
  </si>
  <si>
    <t xml:space="preserve">16-May-2026</t>
  </si>
  <si>
    <t xml:space="preserve">30-May-2026</t>
  </si>
  <si>
    <t xml:space="preserve">31-May-2026</t>
  </si>
  <si>
    <t xml:space="preserve">03-Jun-2026</t>
  </si>
  <si>
    <t xml:space="preserve">EDUCATOR, NURSING</t>
  </si>
  <si>
    <t xml:space="preserve">Summer Health Careers Camp</t>
  </si>
  <si>
    <t xml:space="preserve">09-Jun-2026</t>
  </si>
  <si>
    <t xml:space="preserve">10-Jun-2026</t>
  </si>
  <si>
    <t xml:space="preserve">12-Jun-2026</t>
  </si>
  <si>
    <t xml:space="preserve">13-Jun-2026</t>
  </si>
  <si>
    <t xml:space="preserve">15-Jun-2026</t>
  </si>
  <si>
    <t xml:space="preserve">20-Jun-2026</t>
  </si>
  <si>
    <t xml:space="preserve">30-Jun-2026</t>
  </si>
  <si>
    <t xml:space="preserve">Step 1. Stack</t>
  </si>
  <si>
    <t xml:space="preserve">Every hospital log is stacked into one layout. Each value is a live reference to its cell on the RAW sheet, so any row can be traced back to its source.</t>
  </si>
  <si>
    <t xml:space="preserve">Row ID</t>
  </si>
  <si>
    <t xml:space="preserve">Source Sheet</t>
  </si>
  <si>
    <t xml:space="preserve">Source Row</t>
  </si>
  <si>
    <t xml:space="preserve">Program (as reported)</t>
  </si>
  <si>
    <t xml:space="preserve">Category (as reported)</t>
  </si>
  <si>
    <t xml:space="preserve">Date (as reported)</t>
  </si>
  <si>
    <t xml:space="preserve">Staff Title (as reported)</t>
  </si>
  <si>
    <t xml:space="preserve">Hours (as reported)</t>
  </si>
  <si>
    <t xml:space="preserve">Direct Cost</t>
  </si>
  <si>
    <t xml:space="preserve">Source sheet</t>
  </si>
  <si>
    <t xml:space="preserve">Rows on RAW sheet</t>
  </si>
  <si>
    <t xml:space="preserve">Rows stacked</t>
  </si>
  <si>
    <t xml:space="preserve">KVMC-0001</t>
  </si>
  <si>
    <t xml:space="preserve">RAW KVMC</t>
  </si>
  <si>
    <t xml:space="preserve">KVMC-0002</t>
  </si>
  <si>
    <t xml:space="preserve">RAW ASH</t>
  </si>
  <si>
    <t xml:space="preserve">KVMC-0003</t>
  </si>
  <si>
    <t xml:space="preserve">RAW CBH</t>
  </si>
  <si>
    <t xml:space="preserve">KVMC-0004</t>
  </si>
  <si>
    <t xml:space="preserve">RAW WCH</t>
  </si>
  <si>
    <t xml:space="preserve">KVMC-0005</t>
  </si>
  <si>
    <t xml:space="preserve">RAW QHH</t>
  </si>
  <si>
    <t xml:space="preserve">KVMC-0006</t>
  </si>
  <si>
    <t xml:space="preserve">KVMC-0007</t>
  </si>
  <si>
    <t xml:space="preserve">KVMC-0008</t>
  </si>
  <si>
    <t xml:space="preserve">KVMC-0009</t>
  </si>
  <si>
    <t xml:space="preserve">KVMC-0010</t>
  </si>
  <si>
    <t xml:space="preserve">KVMC-0011</t>
  </si>
  <si>
    <t xml:space="preserve">KVMC-0012</t>
  </si>
  <si>
    <t xml:space="preserve">KVMC-0013</t>
  </si>
  <si>
    <t xml:space="preserve">KVMC-0014</t>
  </si>
  <si>
    <t xml:space="preserve">KVMC-0015</t>
  </si>
  <si>
    <t xml:space="preserve">KVMC-0016</t>
  </si>
  <si>
    <t xml:space="preserve">KVMC-0017</t>
  </si>
  <si>
    <t xml:space="preserve">KVMC-0018</t>
  </si>
  <si>
    <t xml:space="preserve">KVMC-0019</t>
  </si>
  <si>
    <t xml:space="preserve">KVMC-0020</t>
  </si>
  <si>
    <t xml:space="preserve">KVMC-0021</t>
  </si>
  <si>
    <t xml:space="preserve">KVMC-0022</t>
  </si>
  <si>
    <t xml:space="preserve">KVMC-0023</t>
  </si>
  <si>
    <t xml:space="preserve">KVMC-0024</t>
  </si>
  <si>
    <t xml:space="preserve">KVMC-0025</t>
  </si>
  <si>
    <t xml:space="preserve">KVMC-0026</t>
  </si>
  <si>
    <t xml:space="preserve">KVMC-0027</t>
  </si>
  <si>
    <t xml:space="preserve">KVMC-0028</t>
  </si>
  <si>
    <t xml:space="preserve">KVMC-0029</t>
  </si>
  <si>
    <t xml:space="preserve">KVMC-0030</t>
  </si>
  <si>
    <t xml:space="preserve">KVMC-0031</t>
  </si>
  <si>
    <t xml:space="preserve">KVMC-0032</t>
  </si>
  <si>
    <t xml:space="preserve">KVMC-0033</t>
  </si>
  <si>
    <t xml:space="preserve">KVMC-0034</t>
  </si>
  <si>
    <t xml:space="preserve">KVMC-0035</t>
  </si>
  <si>
    <t xml:space="preserve">KVMC-0036</t>
  </si>
  <si>
    <t xml:space="preserve">KVMC-0037</t>
  </si>
  <si>
    <t xml:space="preserve">KVMC-0038</t>
  </si>
  <si>
    <t xml:space="preserve">KVMC-0039</t>
  </si>
  <si>
    <t xml:space="preserve">KVMC-0040</t>
  </si>
  <si>
    <t xml:space="preserve">KVMC-0041</t>
  </si>
  <si>
    <t xml:space="preserve">KVMC-0042</t>
  </si>
  <si>
    <t xml:space="preserve">KVMC-0043</t>
  </si>
  <si>
    <t xml:space="preserve">KVMC-0044</t>
  </si>
  <si>
    <t xml:space="preserve">KVMC-0045</t>
  </si>
  <si>
    <t xml:space="preserve">KVMC-0046</t>
  </si>
  <si>
    <t xml:space="preserve">KVMC-0047</t>
  </si>
  <si>
    <t xml:space="preserve">KVMC-0048</t>
  </si>
  <si>
    <t xml:space="preserve">KVMC-0049</t>
  </si>
  <si>
    <t xml:space="preserve">KVMC-0050</t>
  </si>
  <si>
    <t xml:space="preserve">KVMC-0051</t>
  </si>
  <si>
    <t xml:space="preserve">KVMC-0052</t>
  </si>
  <si>
    <t xml:space="preserve">KVMC-0053</t>
  </si>
  <si>
    <t xml:space="preserve">KVMC-0054</t>
  </si>
  <si>
    <t xml:space="preserve">KVMC-0055</t>
  </si>
  <si>
    <t xml:space="preserve">KVMC-0056</t>
  </si>
  <si>
    <t xml:space="preserve">KVMC-0057</t>
  </si>
  <si>
    <t xml:space="preserve">KVMC-0058</t>
  </si>
  <si>
    <t xml:space="preserve">KVMC-0059</t>
  </si>
  <si>
    <t xml:space="preserve">KVMC-0060</t>
  </si>
  <si>
    <t xml:space="preserve">KVMC-0061</t>
  </si>
  <si>
    <t xml:space="preserve">KVMC-0062</t>
  </si>
  <si>
    <t xml:space="preserve">KVMC-0063</t>
  </si>
  <si>
    <t xml:space="preserve">KVMC-0064</t>
  </si>
  <si>
    <t xml:space="preserve">KVMC-0065</t>
  </si>
  <si>
    <t xml:space="preserve">KVMC-0066</t>
  </si>
  <si>
    <t xml:space="preserve">KVMC-0067</t>
  </si>
  <si>
    <t xml:space="preserve">KVMC-0068</t>
  </si>
  <si>
    <t xml:space="preserve">KVMC-0069</t>
  </si>
  <si>
    <t xml:space="preserve">KVMC-0070</t>
  </si>
  <si>
    <t xml:space="preserve">KVMC-0071</t>
  </si>
  <si>
    <t xml:space="preserve">KVMC-0072</t>
  </si>
  <si>
    <t xml:space="preserve">KVMC-0073</t>
  </si>
  <si>
    <t xml:space="preserve">KVMC-0074</t>
  </si>
  <si>
    <t xml:space="preserve">KVMC-0075</t>
  </si>
  <si>
    <t xml:space="preserve">KVMC-0076</t>
  </si>
  <si>
    <t xml:space="preserve">KVMC-0077</t>
  </si>
  <si>
    <t xml:space="preserve">KVMC-0078</t>
  </si>
  <si>
    <t xml:space="preserve">KVMC-0079</t>
  </si>
  <si>
    <t xml:space="preserve">KVMC-0080</t>
  </si>
  <si>
    <t xml:space="preserve">KVMC-0081</t>
  </si>
  <si>
    <t xml:space="preserve">KVMC-0082</t>
  </si>
  <si>
    <t xml:space="preserve">KVMC-0083</t>
  </si>
  <si>
    <t xml:space="preserve">KVMC-0084</t>
  </si>
  <si>
    <t xml:space="preserve">KVMC-0085</t>
  </si>
  <si>
    <t xml:space="preserve">KVMC-0086</t>
  </si>
  <si>
    <t xml:space="preserve">KVMC-0087</t>
  </si>
  <si>
    <t xml:space="preserve">KVMC-0088</t>
  </si>
  <si>
    <t xml:space="preserve">KVMC-0089</t>
  </si>
  <si>
    <t xml:space="preserve">KVMC-0090</t>
  </si>
  <si>
    <t xml:space="preserve">KVMC-0091</t>
  </si>
  <si>
    <t xml:space="preserve">KVMC-0092</t>
  </si>
  <si>
    <t xml:space="preserve">KVMC-0093</t>
  </si>
  <si>
    <t xml:space="preserve">KVMC-0094</t>
  </si>
  <si>
    <t xml:space="preserve">KVMC-0095</t>
  </si>
  <si>
    <t xml:space="preserve">KVMC-0096</t>
  </si>
  <si>
    <t xml:space="preserve">KVMC-0097</t>
  </si>
  <si>
    <t xml:space="preserve">KVMC-0098</t>
  </si>
  <si>
    <t xml:space="preserve">KVMC-0099</t>
  </si>
  <si>
    <t xml:space="preserve">KVMC-0100</t>
  </si>
  <si>
    <t xml:space="preserve">KVMC-0101</t>
  </si>
  <si>
    <t xml:space="preserve">KVMC-0102</t>
  </si>
  <si>
    <t xml:space="preserve">KVMC-0103</t>
  </si>
  <si>
    <t xml:space="preserve">KVMC-0104</t>
  </si>
  <si>
    <t xml:space="preserve">KVMC-0105</t>
  </si>
  <si>
    <t xml:space="preserve">KVMC-0106</t>
  </si>
  <si>
    <t xml:space="preserve">KVMC-0107</t>
  </si>
  <si>
    <t xml:space="preserve">KVMC-0108</t>
  </si>
  <si>
    <t xml:space="preserve">KVMC-0109</t>
  </si>
  <si>
    <t xml:space="preserve">KVMC-0110</t>
  </si>
  <si>
    <t xml:space="preserve">KVMC-0111</t>
  </si>
  <si>
    <t xml:space="preserve">KVMC-0112</t>
  </si>
  <si>
    <t xml:space="preserve">KVMC-0113</t>
  </si>
  <si>
    <t xml:space="preserve">KVMC-0114</t>
  </si>
  <si>
    <t xml:space="preserve">KVMC-0115</t>
  </si>
  <si>
    <t xml:space="preserve">KVMC-0116</t>
  </si>
  <si>
    <t xml:space="preserve">KVMC-0117</t>
  </si>
  <si>
    <t xml:space="preserve">KVMC-0118</t>
  </si>
  <si>
    <t xml:space="preserve">KVMC-0119</t>
  </si>
  <si>
    <t xml:space="preserve">KVMC-0120</t>
  </si>
  <si>
    <t xml:space="preserve">KVMC-0121</t>
  </si>
  <si>
    <t xml:space="preserve">KVMC-0122</t>
  </si>
  <si>
    <t xml:space="preserve">KVMC-0123</t>
  </si>
  <si>
    <t xml:space="preserve">KVMC-0124</t>
  </si>
  <si>
    <t xml:space="preserve">KVMC-0125</t>
  </si>
  <si>
    <t xml:space="preserve">KVMC-0126</t>
  </si>
  <si>
    <t xml:space="preserve">KVMC-0127</t>
  </si>
  <si>
    <t xml:space="preserve">KVMC-0128</t>
  </si>
  <si>
    <t xml:space="preserve">KVMC-0129</t>
  </si>
  <si>
    <t xml:space="preserve">KVMC-0130</t>
  </si>
  <si>
    <t xml:space="preserve">KVMC-0131</t>
  </si>
  <si>
    <t xml:space="preserve">KVMC-0132</t>
  </si>
  <si>
    <t xml:space="preserve">KVMC-0133</t>
  </si>
  <si>
    <t xml:space="preserve">KVMC-0134</t>
  </si>
  <si>
    <t xml:space="preserve">KVMC-0135</t>
  </si>
  <si>
    <t xml:space="preserve">KVMC-0136</t>
  </si>
  <si>
    <t xml:space="preserve">KVMC-0137</t>
  </si>
  <si>
    <t xml:space="preserve">KVMC-0138</t>
  </si>
  <si>
    <t xml:space="preserve">KVMC-0139</t>
  </si>
  <si>
    <t xml:space="preserve">KVMC-0140</t>
  </si>
  <si>
    <t xml:space="preserve">KVMC-0141</t>
  </si>
  <si>
    <t xml:space="preserve">KVMC-0142</t>
  </si>
  <si>
    <t xml:space="preserve">KVMC-0143</t>
  </si>
  <si>
    <t xml:space="preserve">KVMC-0144</t>
  </si>
  <si>
    <t xml:space="preserve">KVMC-0145</t>
  </si>
  <si>
    <t xml:space="preserve">KVMC-0146</t>
  </si>
  <si>
    <t xml:space="preserve">KVMC-0147</t>
  </si>
  <si>
    <t xml:space="preserve">KVMC-0148</t>
  </si>
  <si>
    <t xml:space="preserve">KVMC-0149</t>
  </si>
  <si>
    <t xml:space="preserve">KVMC-0150</t>
  </si>
  <si>
    <t xml:space="preserve">KVMC-0151</t>
  </si>
  <si>
    <t xml:space="preserve">KVMC-0152</t>
  </si>
  <si>
    <t xml:space="preserve">KVMC-0153</t>
  </si>
  <si>
    <t xml:space="preserve">KVMC-0154</t>
  </si>
  <si>
    <t xml:space="preserve">KVMC-0155</t>
  </si>
  <si>
    <t xml:space="preserve">KVMC-0156</t>
  </si>
  <si>
    <t xml:space="preserve">KVMC-0157</t>
  </si>
  <si>
    <t xml:space="preserve">KVMC-0158</t>
  </si>
  <si>
    <t xml:space="preserve">KVMC-0159</t>
  </si>
  <si>
    <t xml:space="preserve">KVMC-0160</t>
  </si>
  <si>
    <t xml:space="preserve">KVMC-0161</t>
  </si>
  <si>
    <t xml:space="preserve">KVMC-0162</t>
  </si>
  <si>
    <t xml:space="preserve">KVMC-0163</t>
  </si>
  <si>
    <t xml:space="preserve">KVMC-0164</t>
  </si>
  <si>
    <t xml:space="preserve">KVMC-0165</t>
  </si>
  <si>
    <t xml:space="preserve">KVMC-0166</t>
  </si>
  <si>
    <t xml:space="preserve">KVMC-0167</t>
  </si>
  <si>
    <t xml:space="preserve">KVMC-0168</t>
  </si>
  <si>
    <t xml:space="preserve">KVMC-0169</t>
  </si>
  <si>
    <t xml:space="preserve">KVMC-0170</t>
  </si>
  <si>
    <t xml:space="preserve">KVMC-0171</t>
  </si>
  <si>
    <t xml:space="preserve">KVMC-0172</t>
  </si>
  <si>
    <t xml:space="preserve">KVMC-0173</t>
  </si>
  <si>
    <t xml:space="preserve">KVMC-0174</t>
  </si>
  <si>
    <t xml:space="preserve">KVMC-0175</t>
  </si>
  <si>
    <t xml:space="preserve">KVMC-0176</t>
  </si>
  <si>
    <t xml:space="preserve">KVMC-0177</t>
  </si>
  <si>
    <t xml:space="preserve">KVMC-0178</t>
  </si>
  <si>
    <t xml:space="preserve">KVMC-0179</t>
  </si>
  <si>
    <t xml:space="preserve">KVMC-0180</t>
  </si>
  <si>
    <t xml:space="preserve">KVMC-0181</t>
  </si>
  <si>
    <t xml:space="preserve">KVMC-0182</t>
  </si>
  <si>
    <t xml:space="preserve">KVMC-0183</t>
  </si>
  <si>
    <t xml:space="preserve">KVMC-0184</t>
  </si>
  <si>
    <t xml:space="preserve">KVMC-0185</t>
  </si>
  <si>
    <t xml:space="preserve">KVMC-0186</t>
  </si>
  <si>
    <t xml:space="preserve">KVMC-0187</t>
  </si>
  <si>
    <t xml:space="preserve">KVMC-0188</t>
  </si>
  <si>
    <t xml:space="preserve">KVMC-0189</t>
  </si>
  <si>
    <t xml:space="preserve">KVMC-0190</t>
  </si>
  <si>
    <t xml:space="preserve">KVMC-0191</t>
  </si>
  <si>
    <t xml:space="preserve">KVMC-0192</t>
  </si>
  <si>
    <t xml:space="preserve">KVMC-0193</t>
  </si>
  <si>
    <t xml:space="preserve">KVMC-0194</t>
  </si>
  <si>
    <t xml:space="preserve">KVMC-0195</t>
  </si>
  <si>
    <t xml:space="preserve">KVMC-0196</t>
  </si>
  <si>
    <t xml:space="preserve">KVMC-0197</t>
  </si>
  <si>
    <t xml:space="preserve">KVMC-0198</t>
  </si>
  <si>
    <t xml:space="preserve">KVMC-0199</t>
  </si>
  <si>
    <t xml:space="preserve">KVMC-0200</t>
  </si>
  <si>
    <t xml:space="preserve">KVMC-0201</t>
  </si>
  <si>
    <t xml:space="preserve">KVMC-0202</t>
  </si>
  <si>
    <t xml:space="preserve">KVMC-0203</t>
  </si>
  <si>
    <t xml:space="preserve">KVMC-0204</t>
  </si>
  <si>
    <t xml:space="preserve">KVMC-0205</t>
  </si>
  <si>
    <t xml:space="preserve">KVMC-0206</t>
  </si>
  <si>
    <t xml:space="preserve">KVMC-0207</t>
  </si>
  <si>
    <t xml:space="preserve">KVMC-0208</t>
  </si>
  <si>
    <t xml:space="preserve">KVMC-0209</t>
  </si>
  <si>
    <t xml:space="preserve">KVMC-0210</t>
  </si>
  <si>
    <t xml:space="preserve">KVMC-0211</t>
  </si>
  <si>
    <t xml:space="preserve">KVMC-0212</t>
  </si>
  <si>
    <t xml:space="preserve">KVMC-0213</t>
  </si>
  <si>
    <t xml:space="preserve">KVMC-0214</t>
  </si>
  <si>
    <t xml:space="preserve">KVMC-0215</t>
  </si>
  <si>
    <t xml:space="preserve">KVMC-0216</t>
  </si>
  <si>
    <t xml:space="preserve">KVMC-0217</t>
  </si>
  <si>
    <t xml:space="preserve">KVMC-0218</t>
  </si>
  <si>
    <t xml:space="preserve">KVMC-0219</t>
  </si>
  <si>
    <t xml:space="preserve">KVMC-0220</t>
  </si>
  <si>
    <t xml:space="preserve">KVMC-0221</t>
  </si>
  <si>
    <t xml:space="preserve">KVMC-0222</t>
  </si>
  <si>
    <t xml:space="preserve">KVMC-0223</t>
  </si>
  <si>
    <t xml:space="preserve">KVMC-0224</t>
  </si>
  <si>
    <t xml:space="preserve">KVMC-0225</t>
  </si>
  <si>
    <t xml:space="preserve">KVMC-0226</t>
  </si>
  <si>
    <t xml:space="preserve">KVMC-0227</t>
  </si>
  <si>
    <t xml:space="preserve">KVMC-0228</t>
  </si>
  <si>
    <t xml:space="preserve">KVMC-0229</t>
  </si>
  <si>
    <t xml:space="preserve">KVMC-0230</t>
  </si>
  <si>
    <t xml:space="preserve">KVMC-0231</t>
  </si>
  <si>
    <t xml:space="preserve">KVMC-0232</t>
  </si>
  <si>
    <t xml:space="preserve">KVMC-0233</t>
  </si>
  <si>
    <t xml:space="preserve">KVMC-0234</t>
  </si>
  <si>
    <t xml:space="preserve">KVMC-0235</t>
  </si>
  <si>
    <t xml:space="preserve">KVMC-0236</t>
  </si>
  <si>
    <t xml:space="preserve">KVMC-0237</t>
  </si>
  <si>
    <t xml:space="preserve">KVMC-0238</t>
  </si>
  <si>
    <t xml:space="preserve">KVMC-0239</t>
  </si>
  <si>
    <t xml:space="preserve">KVMC-0240</t>
  </si>
  <si>
    <t xml:space="preserve">KVMC-0241</t>
  </si>
  <si>
    <t xml:space="preserve">KVMC-0242</t>
  </si>
  <si>
    <t xml:space="preserve">KVMC-0243</t>
  </si>
  <si>
    <t xml:space="preserve">KVMC-0244</t>
  </si>
  <si>
    <t xml:space="preserve">KVMC-0245</t>
  </si>
  <si>
    <t xml:space="preserve">KVMC-0246</t>
  </si>
  <si>
    <t xml:space="preserve">KVMC-0247</t>
  </si>
  <si>
    <t xml:space="preserve">KVMC-0248</t>
  </si>
  <si>
    <t xml:space="preserve">KVMC-0249</t>
  </si>
  <si>
    <t xml:space="preserve">KVMC-0250</t>
  </si>
  <si>
    <t xml:space="preserve">KVMC-0251</t>
  </si>
  <si>
    <t xml:space="preserve">KVMC-0252</t>
  </si>
  <si>
    <t xml:space="preserve">KVMC-0253</t>
  </si>
  <si>
    <t xml:space="preserve">KVMC-0254</t>
  </si>
  <si>
    <t xml:space="preserve">KVMC-0255</t>
  </si>
  <si>
    <t xml:space="preserve">KVMC-0256</t>
  </si>
  <si>
    <t xml:space="preserve">KVMC-0257</t>
  </si>
  <si>
    <t xml:space="preserve">KVMC-0258</t>
  </si>
  <si>
    <t xml:space="preserve">KVMC-0259</t>
  </si>
  <si>
    <t xml:space="preserve">KVMC-0260</t>
  </si>
  <si>
    <t xml:space="preserve">KVMC-0261</t>
  </si>
  <si>
    <t xml:space="preserve">KVMC-0262</t>
  </si>
  <si>
    <t xml:space="preserve">KVMC-0263</t>
  </si>
  <si>
    <t xml:space="preserve">KVMC-0264</t>
  </si>
  <si>
    <t xml:space="preserve">KVMC-0265</t>
  </si>
  <si>
    <t xml:space="preserve">KVMC-0266</t>
  </si>
  <si>
    <t xml:space="preserve">KVMC-0267</t>
  </si>
  <si>
    <t xml:space="preserve">KVMC-0268</t>
  </si>
  <si>
    <t xml:space="preserve">KVMC-0269</t>
  </si>
  <si>
    <t xml:space="preserve">KVMC-0270</t>
  </si>
  <si>
    <t xml:space="preserve">KVMC-0271</t>
  </si>
  <si>
    <t xml:space="preserve">KVMC-0272</t>
  </si>
  <si>
    <t xml:space="preserve">KVMC-0273</t>
  </si>
  <si>
    <t xml:space="preserve">KVMC-0274</t>
  </si>
  <si>
    <t xml:space="preserve">KVMC-0275</t>
  </si>
  <si>
    <t xml:space="preserve">KVMC-0276</t>
  </si>
  <si>
    <t xml:space="preserve">KVMC-0277</t>
  </si>
  <si>
    <t xml:space="preserve">KVMC-0278</t>
  </si>
  <si>
    <t xml:space="preserve">KVMC-0279</t>
  </si>
  <si>
    <t xml:space="preserve">KVMC-0280</t>
  </si>
  <si>
    <t xml:space="preserve">KVMC-0281</t>
  </si>
  <si>
    <t xml:space="preserve">KVMC-0282</t>
  </si>
  <si>
    <t xml:space="preserve">KVMC-0283</t>
  </si>
  <si>
    <t xml:space="preserve">KVMC-0284</t>
  </si>
  <si>
    <t xml:space="preserve">KVMC-0285</t>
  </si>
  <si>
    <t xml:space="preserve">KVMC-0286</t>
  </si>
  <si>
    <t xml:space="preserve">KVMC-0287</t>
  </si>
  <si>
    <t xml:space="preserve">KVMC-0288</t>
  </si>
  <si>
    <t xml:space="preserve">KVMC-0289</t>
  </si>
  <si>
    <t xml:space="preserve">KVMC-0290</t>
  </si>
  <si>
    <t xml:space="preserve">KVMC-0291</t>
  </si>
  <si>
    <t xml:space="preserve">KVMC-0292</t>
  </si>
  <si>
    <t xml:space="preserve">KVMC-0293</t>
  </si>
  <si>
    <t xml:space="preserve">KVMC-0294</t>
  </si>
  <si>
    <t xml:space="preserve">KVMC-0295</t>
  </si>
  <si>
    <t xml:space="preserve">KVMC-0296</t>
  </si>
  <si>
    <t xml:space="preserve">KVMC-0297</t>
  </si>
  <si>
    <t xml:space="preserve">KVMC-0298</t>
  </si>
  <si>
    <t xml:space="preserve">KVMC-0299</t>
  </si>
  <si>
    <t xml:space="preserve">KVMC-0300</t>
  </si>
  <si>
    <t xml:space="preserve">KVMC-0301</t>
  </si>
  <si>
    <t xml:space="preserve">KVMC-0302</t>
  </si>
  <si>
    <t xml:space="preserve">KVMC-0303</t>
  </si>
  <si>
    <t xml:space="preserve">KVMC-0304</t>
  </si>
  <si>
    <t xml:space="preserve">KVMC-0305</t>
  </si>
  <si>
    <t xml:space="preserve">KVMC-0306</t>
  </si>
  <si>
    <t xml:space="preserve">KVMC-0307</t>
  </si>
  <si>
    <t xml:space="preserve">KVMC-0308</t>
  </si>
  <si>
    <t xml:space="preserve">KVMC-0309</t>
  </si>
  <si>
    <t xml:space="preserve">KVMC-0310</t>
  </si>
  <si>
    <t xml:space="preserve">KVMC-0311</t>
  </si>
  <si>
    <t xml:space="preserve">KVMC-0312</t>
  </si>
  <si>
    <t xml:space="preserve">KVMC-0313</t>
  </si>
  <si>
    <t xml:space="preserve">KVMC-0314</t>
  </si>
  <si>
    <t xml:space="preserve">KVMC-0315</t>
  </si>
  <si>
    <t xml:space="preserve">KVMC-0316</t>
  </si>
  <si>
    <t xml:space="preserve">KVMC-0317</t>
  </si>
  <si>
    <t xml:space="preserve">KVMC-0318</t>
  </si>
  <si>
    <t xml:space="preserve">KVMC-0319</t>
  </si>
  <si>
    <t xml:space="preserve">KVMC-0320</t>
  </si>
  <si>
    <t xml:space="preserve">KVMC-0321</t>
  </si>
  <si>
    <t xml:space="preserve">KVMC-0322</t>
  </si>
  <si>
    <t xml:space="preserve">KVMC-0323</t>
  </si>
  <si>
    <t xml:space="preserve">KVMC-0324</t>
  </si>
  <si>
    <t xml:space="preserve">KVMC-0325</t>
  </si>
  <si>
    <t xml:space="preserve">KVMC-0326</t>
  </si>
  <si>
    <t xml:space="preserve">KVMC-0327</t>
  </si>
  <si>
    <t xml:space="preserve">KVMC-0328</t>
  </si>
  <si>
    <t xml:space="preserve">KVMC-0329</t>
  </si>
  <si>
    <t xml:space="preserve">KVMC-0330</t>
  </si>
  <si>
    <t xml:space="preserve">KVMC-0331</t>
  </si>
  <si>
    <t xml:space="preserve">KVMC-0332</t>
  </si>
  <si>
    <t xml:space="preserve">KVMC-0333</t>
  </si>
  <si>
    <t xml:space="preserve">KVMC-0334</t>
  </si>
  <si>
    <t xml:space="preserve">KVMC-0335</t>
  </si>
  <si>
    <t xml:space="preserve">KVMC-0336</t>
  </si>
  <si>
    <t xml:space="preserve">KVMC-0337</t>
  </si>
  <si>
    <t xml:space="preserve">KVMC-0338</t>
  </si>
  <si>
    <t xml:space="preserve">KVMC-0339</t>
  </si>
  <si>
    <t xml:space="preserve">KVMC-0340</t>
  </si>
  <si>
    <t xml:space="preserve">KVMC-0341</t>
  </si>
  <si>
    <t xml:space="preserve">KVMC-0342</t>
  </si>
  <si>
    <t xml:space="preserve">KVMC-0343</t>
  </si>
  <si>
    <t xml:space="preserve">KVMC-0344</t>
  </si>
  <si>
    <t xml:space="preserve">KVMC-0345</t>
  </si>
  <si>
    <t xml:space="preserve">KVMC-0346</t>
  </si>
  <si>
    <t xml:space="preserve">KVMC-0347</t>
  </si>
  <si>
    <t xml:space="preserve">KVMC-0348</t>
  </si>
  <si>
    <t xml:space="preserve">KVMC-0349</t>
  </si>
  <si>
    <t xml:space="preserve">KVMC-0350</t>
  </si>
  <si>
    <t xml:space="preserve">KVMC-0351</t>
  </si>
  <si>
    <t xml:space="preserve">KVMC-0352</t>
  </si>
  <si>
    <t xml:space="preserve">KVMC-0353</t>
  </si>
  <si>
    <t xml:space="preserve">KVMC-0354</t>
  </si>
  <si>
    <t xml:space="preserve">KVMC-0355</t>
  </si>
  <si>
    <t xml:space="preserve">KVMC-0356</t>
  </si>
  <si>
    <t xml:space="preserve">KVMC-0357</t>
  </si>
  <si>
    <t xml:space="preserve">KVMC-0358</t>
  </si>
  <si>
    <t xml:space="preserve">KVMC-0359</t>
  </si>
  <si>
    <t xml:space="preserve">KVMC-0360</t>
  </si>
  <si>
    <t xml:space="preserve">KVMC-0361</t>
  </si>
  <si>
    <t xml:space="preserve">KVMC-0362</t>
  </si>
  <si>
    <t xml:space="preserve">KVMC-0363</t>
  </si>
  <si>
    <t xml:space="preserve">KVMC-0364</t>
  </si>
  <si>
    <t xml:space="preserve">KVMC-0365</t>
  </si>
  <si>
    <t xml:space="preserve">KVMC-0366</t>
  </si>
  <si>
    <t xml:space="preserve">KVMC-0367</t>
  </si>
  <si>
    <t xml:space="preserve">KVMC-0368</t>
  </si>
  <si>
    <t xml:space="preserve">KVMC-0369</t>
  </si>
  <si>
    <t xml:space="preserve">KVMC-0370</t>
  </si>
  <si>
    <t xml:space="preserve">KVMC-0371</t>
  </si>
  <si>
    <t xml:space="preserve">KVMC-0372</t>
  </si>
  <si>
    <t xml:space="preserve">KVMC-0373</t>
  </si>
  <si>
    <t xml:space="preserve">KVMC-0374</t>
  </si>
  <si>
    <t xml:space="preserve">KVMC-0375</t>
  </si>
  <si>
    <t xml:space="preserve">KVMC-0376</t>
  </si>
  <si>
    <t xml:space="preserve">KVMC-0377</t>
  </si>
  <si>
    <t xml:space="preserve">KVMC-0378</t>
  </si>
  <si>
    <t xml:space="preserve">KVMC-0379</t>
  </si>
  <si>
    <t xml:space="preserve">KVMC-0380</t>
  </si>
  <si>
    <t xml:space="preserve">KVMC-0381</t>
  </si>
  <si>
    <t xml:space="preserve">KVMC-0382</t>
  </si>
  <si>
    <t xml:space="preserve">KVMC-0383</t>
  </si>
  <si>
    <t xml:space="preserve">KVMC-0384</t>
  </si>
  <si>
    <t xml:space="preserve">KVMC-0385</t>
  </si>
  <si>
    <t xml:space="preserve">KVMC-0386</t>
  </si>
  <si>
    <t xml:space="preserve">KVMC-0387</t>
  </si>
  <si>
    <t xml:space="preserve">KVMC-0388</t>
  </si>
  <si>
    <t xml:space="preserve">KVMC-0389</t>
  </si>
  <si>
    <t xml:space="preserve">KVMC-0390</t>
  </si>
  <si>
    <t xml:space="preserve">KVMC-0391</t>
  </si>
  <si>
    <t xml:space="preserve">KVMC-0392</t>
  </si>
  <si>
    <t xml:space="preserve">KVMC-0393</t>
  </si>
  <si>
    <t xml:space="preserve">KVMC-0394</t>
  </si>
  <si>
    <t xml:space="preserve">KVMC-0395</t>
  </si>
  <si>
    <t xml:space="preserve">KVMC-0396</t>
  </si>
  <si>
    <t xml:space="preserve">KVMC-0397</t>
  </si>
  <si>
    <t xml:space="preserve">KVMC-0398</t>
  </si>
  <si>
    <t xml:space="preserve">KVMC-0399</t>
  </si>
  <si>
    <t xml:space="preserve">KVMC-0400</t>
  </si>
  <si>
    <t xml:space="preserve">KVMC-0401</t>
  </si>
  <si>
    <t xml:space="preserve">KVMC-0402</t>
  </si>
  <si>
    <t xml:space="preserve">KVMC-0403</t>
  </si>
  <si>
    <t xml:space="preserve">KVMC-0404</t>
  </si>
  <si>
    <t xml:space="preserve">KVMC-0405</t>
  </si>
  <si>
    <t xml:space="preserve">KVMC-0406</t>
  </si>
  <si>
    <t xml:space="preserve">KVMC-0407</t>
  </si>
  <si>
    <t xml:space="preserve">KVMC-0408</t>
  </si>
  <si>
    <t xml:space="preserve">KVMC-0409</t>
  </si>
  <si>
    <t xml:space="preserve">KVMC-0410</t>
  </si>
  <si>
    <t xml:space="preserve">KVMC-0411</t>
  </si>
  <si>
    <t xml:space="preserve">KVMC-0412</t>
  </si>
  <si>
    <t xml:space="preserve">KVMC-0413</t>
  </si>
  <si>
    <t xml:space="preserve">KVMC-0414</t>
  </si>
  <si>
    <t xml:space="preserve">KVMC-0415</t>
  </si>
  <si>
    <t xml:space="preserve">KVMC-0416</t>
  </si>
  <si>
    <t xml:space="preserve">KVMC-0417</t>
  </si>
  <si>
    <t xml:space="preserve">KVMC-0418</t>
  </si>
  <si>
    <t xml:space="preserve">KVMC-0419</t>
  </si>
  <si>
    <t xml:space="preserve">KVMC-0420</t>
  </si>
  <si>
    <t xml:space="preserve">KVMC-0421</t>
  </si>
  <si>
    <t xml:space="preserve">KVMC-0422</t>
  </si>
  <si>
    <t xml:space="preserve">KVMC-0423</t>
  </si>
  <si>
    <t xml:space="preserve">KVMC-0424</t>
  </si>
  <si>
    <t xml:space="preserve">KVMC-0425</t>
  </si>
  <si>
    <t xml:space="preserve">KVMC-0426</t>
  </si>
  <si>
    <t xml:space="preserve">KVMC-0427</t>
  </si>
  <si>
    <t xml:space="preserve">KVMC-0428</t>
  </si>
  <si>
    <t xml:space="preserve">KVMC-0429</t>
  </si>
  <si>
    <t xml:space="preserve">KVMC-0430</t>
  </si>
  <si>
    <t xml:space="preserve">KVMC-0431</t>
  </si>
  <si>
    <t xml:space="preserve">KVMC-0432</t>
  </si>
  <si>
    <t xml:space="preserve">KVMC-0433</t>
  </si>
  <si>
    <t xml:space="preserve">KVMC-0434</t>
  </si>
  <si>
    <t xml:space="preserve">KVMC-0435</t>
  </si>
  <si>
    <t xml:space="preserve">KVMC-0436</t>
  </si>
  <si>
    <t xml:space="preserve">KVMC-0437</t>
  </si>
  <si>
    <t xml:space="preserve">KVMC-0438</t>
  </si>
  <si>
    <t xml:space="preserve">KVMC-0439</t>
  </si>
  <si>
    <t xml:space="preserve">KVMC-0440</t>
  </si>
  <si>
    <t xml:space="preserve">KVMC-0441</t>
  </si>
  <si>
    <t xml:space="preserve">KVMC-0442</t>
  </si>
  <si>
    <t xml:space="preserve">KVMC-0443</t>
  </si>
  <si>
    <t xml:space="preserve">KVMC-0444</t>
  </si>
  <si>
    <t xml:space="preserve">KVMC-0445</t>
  </si>
  <si>
    <t xml:space="preserve">KVMC-0446</t>
  </si>
  <si>
    <t xml:space="preserve">KVMC-0447</t>
  </si>
  <si>
    <t xml:space="preserve">KVMC-0448</t>
  </si>
  <si>
    <t xml:space="preserve">KVMC-0449</t>
  </si>
  <si>
    <t xml:space="preserve">KVMC-0450</t>
  </si>
  <si>
    <t xml:space="preserve">KVMC-0451</t>
  </si>
  <si>
    <t xml:space="preserve">KVMC-0452</t>
  </si>
  <si>
    <t xml:space="preserve">KVMC-0453</t>
  </si>
  <si>
    <t xml:space="preserve">KVMC-0454</t>
  </si>
  <si>
    <t xml:space="preserve">KVMC-0455</t>
  </si>
  <si>
    <t xml:space="preserve">KVMC-0456</t>
  </si>
  <si>
    <t xml:space="preserve">KVMC-0457</t>
  </si>
  <si>
    <t xml:space="preserve">KVMC-0458</t>
  </si>
  <si>
    <t xml:space="preserve">KVMC-0459</t>
  </si>
  <si>
    <t xml:space="preserve">KVMC-0460</t>
  </si>
  <si>
    <t xml:space="preserve">KVMC-0461</t>
  </si>
  <si>
    <t xml:space="preserve">KVMC-0462</t>
  </si>
  <si>
    <t xml:space="preserve">KVMC-0463</t>
  </si>
  <si>
    <t xml:space="preserve">KVMC-0464</t>
  </si>
  <si>
    <t xml:space="preserve">KVMC-0465</t>
  </si>
  <si>
    <t xml:space="preserve">KVMC-0466</t>
  </si>
  <si>
    <t xml:space="preserve">KVMC-0467</t>
  </si>
  <si>
    <t xml:space="preserve">KVMC-0468</t>
  </si>
  <si>
    <t xml:space="preserve">KVMC-0469</t>
  </si>
  <si>
    <t xml:space="preserve">KVMC-0470</t>
  </si>
  <si>
    <t xml:space="preserve">KVMC-0471</t>
  </si>
  <si>
    <t xml:space="preserve">KVMC-0472</t>
  </si>
  <si>
    <t xml:space="preserve">KVMC-0473</t>
  </si>
  <si>
    <t xml:space="preserve">KVMC-0474</t>
  </si>
  <si>
    <t xml:space="preserve">KVMC-0475</t>
  </si>
  <si>
    <t xml:space="preserve">KVMC-0476</t>
  </si>
  <si>
    <t xml:space="preserve">KVMC-0477</t>
  </si>
  <si>
    <t xml:space="preserve">KVMC-0478</t>
  </si>
  <si>
    <t xml:space="preserve">KVMC-0479</t>
  </si>
  <si>
    <t xml:space="preserve">KVMC-0480</t>
  </si>
  <si>
    <t xml:space="preserve">KVMC-0481</t>
  </si>
  <si>
    <t xml:space="preserve">KVMC-0482</t>
  </si>
  <si>
    <t xml:space="preserve">KVMC-0483</t>
  </si>
  <si>
    <t xml:space="preserve">KVMC-0484</t>
  </si>
  <si>
    <t xml:space="preserve">KVMC-0485</t>
  </si>
  <si>
    <t xml:space="preserve">KVMC-0486</t>
  </si>
  <si>
    <t xml:space="preserve">KVMC-0487</t>
  </si>
  <si>
    <t xml:space="preserve">KVMC-0488</t>
  </si>
  <si>
    <t xml:space="preserve">KVMC-0489</t>
  </si>
  <si>
    <t xml:space="preserve">KVMC-0490</t>
  </si>
  <si>
    <t xml:space="preserve">KVMC-0491</t>
  </si>
  <si>
    <t xml:space="preserve">KVMC-0492</t>
  </si>
  <si>
    <t xml:space="preserve">KVMC-0493</t>
  </si>
  <si>
    <t xml:space="preserve">KVMC-0494</t>
  </si>
  <si>
    <t xml:space="preserve">KVMC-0495</t>
  </si>
  <si>
    <t xml:space="preserve">KVMC-0496</t>
  </si>
  <si>
    <t xml:space="preserve">KVMC-0497</t>
  </si>
  <si>
    <t xml:space="preserve">KVMC-0498</t>
  </si>
  <si>
    <t xml:space="preserve">KVMC-0499</t>
  </si>
  <si>
    <t xml:space="preserve">KVMC-0500</t>
  </si>
  <si>
    <t xml:space="preserve">KVMC-0501</t>
  </si>
  <si>
    <t xml:space="preserve">KVMC-0502</t>
  </si>
  <si>
    <t xml:space="preserve">KVMC-0503</t>
  </si>
  <si>
    <t xml:space="preserve">KVMC-0504</t>
  </si>
  <si>
    <t xml:space="preserve">KVMC-0505</t>
  </si>
  <si>
    <t xml:space="preserve">KVMC-0506</t>
  </si>
  <si>
    <t xml:space="preserve">KVMC-0507</t>
  </si>
  <si>
    <t xml:space="preserve">KVMC-0508</t>
  </si>
  <si>
    <t xml:space="preserve">KVMC-0509</t>
  </si>
  <si>
    <t xml:space="preserve">KVMC-0510</t>
  </si>
  <si>
    <t xml:space="preserve">KVMC-0511</t>
  </si>
  <si>
    <t xml:space="preserve">KVMC-0512</t>
  </si>
  <si>
    <t xml:space="preserve">KVMC-0513</t>
  </si>
  <si>
    <t xml:space="preserve">KVMC-0514</t>
  </si>
  <si>
    <t xml:space="preserve">KVMC-0515</t>
  </si>
  <si>
    <t xml:space="preserve">KVMC-0516</t>
  </si>
  <si>
    <t xml:space="preserve">KVMC-0517</t>
  </si>
  <si>
    <t xml:space="preserve">KVMC-0518</t>
  </si>
  <si>
    <t xml:space="preserve">KVMC-0519</t>
  </si>
  <si>
    <t xml:space="preserve">KVMC-0520</t>
  </si>
  <si>
    <t xml:space="preserve">KVMC-0521</t>
  </si>
  <si>
    <t xml:space="preserve">KVMC-0522</t>
  </si>
  <si>
    <t xml:space="preserve">KVMC-0523</t>
  </si>
  <si>
    <t xml:space="preserve">KVMC-0524</t>
  </si>
  <si>
    <t xml:space="preserve">KVMC-0525</t>
  </si>
  <si>
    <t xml:space="preserve">KVMC-0526</t>
  </si>
  <si>
    <t xml:space="preserve">KVMC-0527</t>
  </si>
  <si>
    <t xml:space="preserve">KVMC-0528</t>
  </si>
  <si>
    <t xml:space="preserve">KVMC-0529</t>
  </si>
  <si>
    <t xml:space="preserve">ASH-0001</t>
  </si>
  <si>
    <t xml:space="preserve">ASH-0002</t>
  </si>
  <si>
    <t xml:space="preserve">ASH-0003</t>
  </si>
  <si>
    <t xml:space="preserve">ASH-0004</t>
  </si>
  <si>
    <t xml:space="preserve">ASH-0005</t>
  </si>
  <si>
    <t xml:space="preserve">ASH-0006</t>
  </si>
  <si>
    <t xml:space="preserve">ASH-0007</t>
  </si>
  <si>
    <t xml:space="preserve">ASH-0008</t>
  </si>
  <si>
    <t xml:space="preserve">ASH-0009</t>
  </si>
  <si>
    <t xml:space="preserve">ASH-0010</t>
  </si>
  <si>
    <t xml:space="preserve">ASH-0011</t>
  </si>
  <si>
    <t xml:space="preserve">ASH-0012</t>
  </si>
  <si>
    <t xml:space="preserve">ASH-0013</t>
  </si>
  <si>
    <t xml:space="preserve">ASH-0014</t>
  </si>
  <si>
    <t xml:space="preserve">ASH-0015</t>
  </si>
  <si>
    <t xml:space="preserve">ASH-0016</t>
  </si>
  <si>
    <t xml:space="preserve">ASH-0017</t>
  </si>
  <si>
    <t xml:space="preserve">ASH-0018</t>
  </si>
  <si>
    <t xml:space="preserve">ASH-0019</t>
  </si>
  <si>
    <t xml:space="preserve">ASH-0020</t>
  </si>
  <si>
    <t xml:space="preserve">ASH-0021</t>
  </si>
  <si>
    <t xml:space="preserve">ASH-0022</t>
  </si>
  <si>
    <t xml:space="preserve">ASH-0023</t>
  </si>
  <si>
    <t xml:space="preserve">ASH-0024</t>
  </si>
  <si>
    <t xml:space="preserve">ASH-0025</t>
  </si>
  <si>
    <t xml:space="preserve">ASH-0026</t>
  </si>
  <si>
    <t xml:space="preserve">ASH-0027</t>
  </si>
  <si>
    <t xml:space="preserve">ASH-0028</t>
  </si>
  <si>
    <t xml:space="preserve">ASH-0029</t>
  </si>
  <si>
    <t xml:space="preserve">ASH-0030</t>
  </si>
  <si>
    <t xml:space="preserve">ASH-0031</t>
  </si>
  <si>
    <t xml:space="preserve">ASH-0032</t>
  </si>
  <si>
    <t xml:space="preserve">ASH-0033</t>
  </si>
  <si>
    <t xml:space="preserve">ASH-0034</t>
  </si>
  <si>
    <t xml:space="preserve">ASH-0035</t>
  </si>
  <si>
    <t xml:space="preserve">ASH-0036</t>
  </si>
  <si>
    <t xml:space="preserve">ASH-0037</t>
  </si>
  <si>
    <t xml:space="preserve">ASH-0038</t>
  </si>
  <si>
    <t xml:space="preserve">ASH-0039</t>
  </si>
  <si>
    <t xml:space="preserve">ASH-0040</t>
  </si>
  <si>
    <t xml:space="preserve">ASH-0041</t>
  </si>
  <si>
    <t xml:space="preserve">ASH-0042</t>
  </si>
  <si>
    <t xml:space="preserve">ASH-0043</t>
  </si>
  <si>
    <t xml:space="preserve">ASH-0044</t>
  </si>
  <si>
    <t xml:space="preserve">ASH-0045</t>
  </si>
  <si>
    <t xml:space="preserve">ASH-0046</t>
  </si>
  <si>
    <t xml:space="preserve">ASH-0047</t>
  </si>
  <si>
    <t xml:space="preserve">ASH-0048</t>
  </si>
  <si>
    <t xml:space="preserve">ASH-0049</t>
  </si>
  <si>
    <t xml:space="preserve">ASH-0050</t>
  </si>
  <si>
    <t xml:space="preserve">ASH-0051</t>
  </si>
  <si>
    <t xml:space="preserve">ASH-0052</t>
  </si>
  <si>
    <t xml:space="preserve">ASH-0053</t>
  </si>
  <si>
    <t xml:space="preserve">ASH-0054</t>
  </si>
  <si>
    <t xml:space="preserve">ASH-0055</t>
  </si>
  <si>
    <t xml:space="preserve">ASH-0056</t>
  </si>
  <si>
    <t xml:space="preserve">ASH-0057</t>
  </si>
  <si>
    <t xml:space="preserve">ASH-0058</t>
  </si>
  <si>
    <t xml:space="preserve">ASH-0059</t>
  </si>
  <si>
    <t xml:space="preserve">ASH-0060</t>
  </si>
  <si>
    <t xml:space="preserve">ASH-0061</t>
  </si>
  <si>
    <t xml:space="preserve">ASH-0062</t>
  </si>
  <si>
    <t xml:space="preserve">ASH-0063</t>
  </si>
  <si>
    <t xml:space="preserve">ASH-0064</t>
  </si>
  <si>
    <t xml:space="preserve">ASH-0065</t>
  </si>
  <si>
    <t xml:space="preserve">ASH-0066</t>
  </si>
  <si>
    <t xml:space="preserve">ASH-0067</t>
  </si>
  <si>
    <t xml:space="preserve">ASH-0068</t>
  </si>
  <si>
    <t xml:space="preserve">ASH-0069</t>
  </si>
  <si>
    <t xml:space="preserve">ASH-0070</t>
  </si>
  <si>
    <t xml:space="preserve">ASH-0071</t>
  </si>
  <si>
    <t xml:space="preserve">ASH-0072</t>
  </si>
  <si>
    <t xml:space="preserve">ASH-0073</t>
  </si>
  <si>
    <t xml:space="preserve">ASH-0074</t>
  </si>
  <si>
    <t xml:space="preserve">ASH-0075</t>
  </si>
  <si>
    <t xml:space="preserve">ASH-0076</t>
  </si>
  <si>
    <t xml:space="preserve">ASH-0077</t>
  </si>
  <si>
    <t xml:space="preserve">ASH-0078</t>
  </si>
  <si>
    <t xml:space="preserve">ASH-0079</t>
  </si>
  <si>
    <t xml:space="preserve">ASH-0080</t>
  </si>
  <si>
    <t xml:space="preserve">ASH-0081</t>
  </si>
  <si>
    <t xml:space="preserve">ASH-0082</t>
  </si>
  <si>
    <t xml:space="preserve">ASH-0083</t>
  </si>
  <si>
    <t xml:space="preserve">ASH-0084</t>
  </si>
  <si>
    <t xml:space="preserve">ASH-0085</t>
  </si>
  <si>
    <t xml:space="preserve">ASH-0086</t>
  </si>
  <si>
    <t xml:space="preserve">ASH-0087</t>
  </si>
  <si>
    <t xml:space="preserve">ASH-0088</t>
  </si>
  <si>
    <t xml:space="preserve">ASH-0089</t>
  </si>
  <si>
    <t xml:space="preserve">ASH-0090</t>
  </si>
  <si>
    <t xml:space="preserve">ASH-0091</t>
  </si>
  <si>
    <t xml:space="preserve">ASH-0092</t>
  </si>
  <si>
    <t xml:space="preserve">ASH-0093</t>
  </si>
  <si>
    <t xml:space="preserve">ASH-0094</t>
  </si>
  <si>
    <t xml:space="preserve">ASH-0095</t>
  </si>
  <si>
    <t xml:space="preserve">ASH-0096</t>
  </si>
  <si>
    <t xml:space="preserve">ASH-0097</t>
  </si>
  <si>
    <t xml:space="preserve">ASH-0098</t>
  </si>
  <si>
    <t xml:space="preserve">ASH-0099</t>
  </si>
  <si>
    <t xml:space="preserve">ASH-0100</t>
  </si>
  <si>
    <t xml:space="preserve">ASH-0101</t>
  </si>
  <si>
    <t xml:space="preserve">ASH-0102</t>
  </si>
  <si>
    <t xml:space="preserve">ASH-0103</t>
  </si>
  <si>
    <t xml:space="preserve">ASH-0104</t>
  </si>
  <si>
    <t xml:space="preserve">ASH-0105</t>
  </si>
  <si>
    <t xml:space="preserve">ASH-0106</t>
  </si>
  <si>
    <t xml:space="preserve">ASH-0107</t>
  </si>
  <si>
    <t xml:space="preserve">ASH-0108</t>
  </si>
  <si>
    <t xml:space="preserve">ASH-0109</t>
  </si>
  <si>
    <t xml:space="preserve">ASH-0110</t>
  </si>
  <si>
    <t xml:space="preserve">ASH-0111</t>
  </si>
  <si>
    <t xml:space="preserve">ASH-0112</t>
  </si>
  <si>
    <t xml:space="preserve">ASH-0113</t>
  </si>
  <si>
    <t xml:space="preserve">ASH-0114</t>
  </si>
  <si>
    <t xml:space="preserve">ASH-0115</t>
  </si>
  <si>
    <t xml:space="preserve">ASH-0116</t>
  </si>
  <si>
    <t xml:space="preserve">ASH-0117</t>
  </si>
  <si>
    <t xml:space="preserve">ASH-0118</t>
  </si>
  <si>
    <t xml:space="preserve">ASH-0119</t>
  </si>
  <si>
    <t xml:space="preserve">ASH-0120</t>
  </si>
  <si>
    <t xml:space="preserve">ASH-0121</t>
  </si>
  <si>
    <t xml:space="preserve">ASH-0122</t>
  </si>
  <si>
    <t xml:space="preserve">ASH-0123</t>
  </si>
  <si>
    <t xml:space="preserve">ASH-0124</t>
  </si>
  <si>
    <t xml:space="preserve">ASH-0125</t>
  </si>
  <si>
    <t xml:space="preserve">ASH-0126</t>
  </si>
  <si>
    <t xml:space="preserve">ASH-0127</t>
  </si>
  <si>
    <t xml:space="preserve">ASH-0128</t>
  </si>
  <si>
    <t xml:space="preserve">ASH-0129</t>
  </si>
  <si>
    <t xml:space="preserve">ASH-0130</t>
  </si>
  <si>
    <t xml:space="preserve">ASH-0131</t>
  </si>
  <si>
    <t xml:space="preserve">ASH-0132</t>
  </si>
  <si>
    <t xml:space="preserve">ASH-0133</t>
  </si>
  <si>
    <t xml:space="preserve">ASH-0134</t>
  </si>
  <si>
    <t xml:space="preserve">ASH-0135</t>
  </si>
  <si>
    <t xml:space="preserve">ASH-0136</t>
  </si>
  <si>
    <t xml:space="preserve">ASH-0137</t>
  </si>
  <si>
    <t xml:space="preserve">ASH-0138</t>
  </si>
  <si>
    <t xml:space="preserve">ASH-0139</t>
  </si>
  <si>
    <t xml:space="preserve">ASH-0140</t>
  </si>
  <si>
    <t xml:space="preserve">ASH-0141</t>
  </si>
  <si>
    <t xml:space="preserve">ASH-0142</t>
  </si>
  <si>
    <t xml:space="preserve">ASH-0143</t>
  </si>
  <si>
    <t xml:space="preserve">ASH-0144</t>
  </si>
  <si>
    <t xml:space="preserve">ASH-0145</t>
  </si>
  <si>
    <t xml:space="preserve">ASH-0146</t>
  </si>
  <si>
    <t xml:space="preserve">ASH-0147</t>
  </si>
  <si>
    <t xml:space="preserve">ASH-0148</t>
  </si>
  <si>
    <t xml:space="preserve">ASH-0149</t>
  </si>
  <si>
    <t xml:space="preserve">ASH-0150</t>
  </si>
  <si>
    <t xml:space="preserve">ASH-0151</t>
  </si>
  <si>
    <t xml:space="preserve">ASH-0152</t>
  </si>
  <si>
    <t xml:space="preserve">ASH-0153</t>
  </si>
  <si>
    <t xml:space="preserve">ASH-0154</t>
  </si>
  <si>
    <t xml:space="preserve">ASH-0155</t>
  </si>
  <si>
    <t xml:space="preserve">ASH-0156</t>
  </si>
  <si>
    <t xml:space="preserve">ASH-0157</t>
  </si>
  <si>
    <t xml:space="preserve">ASH-0158</t>
  </si>
  <si>
    <t xml:space="preserve">ASH-0159</t>
  </si>
  <si>
    <t xml:space="preserve">ASH-0160</t>
  </si>
  <si>
    <t xml:space="preserve">ASH-0161</t>
  </si>
  <si>
    <t xml:space="preserve">ASH-0162</t>
  </si>
  <si>
    <t xml:space="preserve">ASH-0163</t>
  </si>
  <si>
    <t xml:space="preserve">ASH-0164</t>
  </si>
  <si>
    <t xml:space="preserve">ASH-0165</t>
  </si>
  <si>
    <t xml:space="preserve">ASH-0166</t>
  </si>
  <si>
    <t xml:space="preserve">ASH-0167</t>
  </si>
  <si>
    <t xml:space="preserve">ASH-0168</t>
  </si>
  <si>
    <t xml:space="preserve">ASH-0169</t>
  </si>
  <si>
    <t xml:space="preserve">ASH-0170</t>
  </si>
  <si>
    <t xml:space="preserve">ASH-0171</t>
  </si>
  <si>
    <t xml:space="preserve">ASH-0172</t>
  </si>
  <si>
    <t xml:space="preserve">ASH-0173</t>
  </si>
  <si>
    <t xml:space="preserve">ASH-0174</t>
  </si>
  <si>
    <t xml:space="preserve">ASH-0175</t>
  </si>
  <si>
    <t xml:space="preserve">ASH-0176</t>
  </si>
  <si>
    <t xml:space="preserve">ASH-0177</t>
  </si>
  <si>
    <t xml:space="preserve">ASH-0178</t>
  </si>
  <si>
    <t xml:space="preserve">ASH-0179</t>
  </si>
  <si>
    <t xml:space="preserve">ASH-0180</t>
  </si>
  <si>
    <t xml:space="preserve">ASH-0181</t>
  </si>
  <si>
    <t xml:space="preserve">ASH-0182</t>
  </si>
  <si>
    <t xml:space="preserve">ASH-0183</t>
  </si>
  <si>
    <t xml:space="preserve">ASH-0184</t>
  </si>
  <si>
    <t xml:space="preserve">ASH-0185</t>
  </si>
  <si>
    <t xml:space="preserve">ASH-0186</t>
  </si>
  <si>
    <t xml:space="preserve">ASH-0187</t>
  </si>
  <si>
    <t xml:space="preserve">ASH-0188</t>
  </si>
  <si>
    <t xml:space="preserve">ASH-0189</t>
  </si>
  <si>
    <t xml:space="preserve">ASH-0190</t>
  </si>
  <si>
    <t xml:space="preserve">ASH-0191</t>
  </si>
  <si>
    <t xml:space="preserve">ASH-0192</t>
  </si>
  <si>
    <t xml:space="preserve">ASH-0193</t>
  </si>
  <si>
    <t xml:space="preserve">ASH-0194</t>
  </si>
  <si>
    <t xml:space="preserve">ASH-0195</t>
  </si>
  <si>
    <t xml:space="preserve">ASH-0196</t>
  </si>
  <si>
    <t xml:space="preserve">ASH-0197</t>
  </si>
  <si>
    <t xml:space="preserve">ASH-0198</t>
  </si>
  <si>
    <t xml:space="preserve">ASH-0199</t>
  </si>
  <si>
    <t xml:space="preserve">ASH-0200</t>
  </si>
  <si>
    <t xml:space="preserve">ASH-0201</t>
  </si>
  <si>
    <t xml:space="preserve">ASH-0202</t>
  </si>
  <si>
    <t xml:space="preserve">ASH-0203</t>
  </si>
  <si>
    <t xml:space="preserve">ASH-0204</t>
  </si>
  <si>
    <t xml:space="preserve">ASH-0205</t>
  </si>
  <si>
    <t xml:space="preserve">ASH-0206</t>
  </si>
  <si>
    <t xml:space="preserve">ASH-0207</t>
  </si>
  <si>
    <t xml:space="preserve">ASH-0208</t>
  </si>
  <si>
    <t xml:space="preserve">ASH-0209</t>
  </si>
  <si>
    <t xml:space="preserve">ASH-0210</t>
  </si>
  <si>
    <t xml:space="preserve">ASH-0211</t>
  </si>
  <si>
    <t xml:space="preserve">ASH-0212</t>
  </si>
  <si>
    <t xml:space="preserve">ASH-0213</t>
  </si>
  <si>
    <t xml:space="preserve">ASH-0214</t>
  </si>
  <si>
    <t xml:space="preserve">ASH-0215</t>
  </si>
  <si>
    <t xml:space="preserve">ASH-0216</t>
  </si>
  <si>
    <t xml:space="preserve">ASH-0217</t>
  </si>
  <si>
    <t xml:space="preserve">ASH-0218</t>
  </si>
  <si>
    <t xml:space="preserve">ASH-0219</t>
  </si>
  <si>
    <t xml:space="preserve">ASH-0220</t>
  </si>
  <si>
    <t xml:space="preserve">ASH-0221</t>
  </si>
  <si>
    <t xml:space="preserve">ASH-0222</t>
  </si>
  <si>
    <t xml:space="preserve">ASH-0223</t>
  </si>
  <si>
    <t xml:space="preserve">ASH-0224</t>
  </si>
  <si>
    <t xml:space="preserve">ASH-0225</t>
  </si>
  <si>
    <t xml:space="preserve">ASH-0226</t>
  </si>
  <si>
    <t xml:space="preserve">ASH-0227</t>
  </si>
  <si>
    <t xml:space="preserve">ASH-0228</t>
  </si>
  <si>
    <t xml:space="preserve">ASH-0229</t>
  </si>
  <si>
    <t xml:space="preserve">ASH-0230</t>
  </si>
  <si>
    <t xml:space="preserve">ASH-0231</t>
  </si>
  <si>
    <t xml:space="preserve">ASH-0232</t>
  </si>
  <si>
    <t xml:space="preserve">ASH-0233</t>
  </si>
  <si>
    <t xml:space="preserve">ASH-0234</t>
  </si>
  <si>
    <t xml:space="preserve">ASH-0235</t>
  </si>
  <si>
    <t xml:space="preserve">ASH-0236</t>
  </si>
  <si>
    <t xml:space="preserve">ASH-0237</t>
  </si>
  <si>
    <t xml:space="preserve">ASH-0238</t>
  </si>
  <si>
    <t xml:space="preserve">ASH-0239</t>
  </si>
  <si>
    <t xml:space="preserve">ASH-0240</t>
  </si>
  <si>
    <t xml:space="preserve">ASH-0241</t>
  </si>
  <si>
    <t xml:space="preserve">ASH-0242</t>
  </si>
  <si>
    <t xml:space="preserve">ASH-0243</t>
  </si>
  <si>
    <t xml:space="preserve">ASH-0244</t>
  </si>
  <si>
    <t xml:space="preserve">ASH-0245</t>
  </si>
  <si>
    <t xml:space="preserve">ASH-0246</t>
  </si>
  <si>
    <t xml:space="preserve">ASH-0247</t>
  </si>
  <si>
    <t xml:space="preserve">ASH-0248</t>
  </si>
  <si>
    <t xml:space="preserve">ASH-0249</t>
  </si>
  <si>
    <t xml:space="preserve">ASH-0250</t>
  </si>
  <si>
    <t xml:space="preserve">ASH-0251</t>
  </si>
  <si>
    <t xml:space="preserve">ASH-0252</t>
  </si>
  <si>
    <t xml:space="preserve">ASH-0253</t>
  </si>
  <si>
    <t xml:space="preserve">ASH-0254</t>
  </si>
  <si>
    <t xml:space="preserve">ASH-0255</t>
  </si>
  <si>
    <t xml:space="preserve">ASH-0256</t>
  </si>
  <si>
    <t xml:space="preserve">ASH-0257</t>
  </si>
  <si>
    <t xml:space="preserve">ASH-0258</t>
  </si>
  <si>
    <t xml:space="preserve">ASH-0259</t>
  </si>
  <si>
    <t xml:space="preserve">ASH-0260</t>
  </si>
  <si>
    <t xml:space="preserve">ASH-0261</t>
  </si>
  <si>
    <t xml:space="preserve">ASH-0262</t>
  </si>
  <si>
    <t xml:space="preserve">ASH-0263</t>
  </si>
  <si>
    <t xml:space="preserve">ASH-0264</t>
  </si>
  <si>
    <t xml:space="preserve">ASH-0265</t>
  </si>
  <si>
    <t xml:space="preserve">ASH-0266</t>
  </si>
  <si>
    <t xml:space="preserve">ASH-0267</t>
  </si>
  <si>
    <t xml:space="preserve">ASH-0268</t>
  </si>
  <si>
    <t xml:space="preserve">ASH-0269</t>
  </si>
  <si>
    <t xml:space="preserve">ASH-0270</t>
  </si>
  <si>
    <t xml:space="preserve">ASH-0271</t>
  </si>
  <si>
    <t xml:space="preserve">ASH-0272</t>
  </si>
  <si>
    <t xml:space="preserve">ASH-0273</t>
  </si>
  <si>
    <t xml:space="preserve">ASH-0274</t>
  </si>
  <si>
    <t xml:space="preserve">ASH-0275</t>
  </si>
  <si>
    <t xml:space="preserve">ASH-0276</t>
  </si>
  <si>
    <t xml:space="preserve">ASH-0277</t>
  </si>
  <si>
    <t xml:space="preserve">ASH-0278</t>
  </si>
  <si>
    <t xml:space="preserve">ASH-0279</t>
  </si>
  <si>
    <t xml:space="preserve">ASH-0280</t>
  </si>
  <si>
    <t xml:space="preserve">ASH-0281</t>
  </si>
  <si>
    <t xml:space="preserve">ASH-0282</t>
  </si>
  <si>
    <t xml:space="preserve">ASH-0283</t>
  </si>
  <si>
    <t xml:space="preserve">ASH-0284</t>
  </si>
  <si>
    <t xml:space="preserve">ASH-0285</t>
  </si>
  <si>
    <t xml:space="preserve">ASH-0286</t>
  </si>
  <si>
    <t xml:space="preserve">ASH-0287</t>
  </si>
  <si>
    <t xml:space="preserve">ASH-0288</t>
  </si>
  <si>
    <t xml:space="preserve">ASH-0289</t>
  </si>
  <si>
    <t xml:space="preserve">ASH-0290</t>
  </si>
  <si>
    <t xml:space="preserve">ASH-0291</t>
  </si>
  <si>
    <t xml:space="preserve">ASH-0292</t>
  </si>
  <si>
    <t xml:space="preserve">ASH-0293</t>
  </si>
  <si>
    <t xml:space="preserve">ASH-0294</t>
  </si>
  <si>
    <t xml:space="preserve">ASH-0295</t>
  </si>
  <si>
    <t xml:space="preserve">CBH-0001</t>
  </si>
  <si>
    <t xml:space="preserve">CBH-0002</t>
  </si>
  <si>
    <t xml:space="preserve">CBH-0003</t>
  </si>
  <si>
    <t xml:space="preserve">CBH-0004</t>
  </si>
  <si>
    <t xml:space="preserve">CBH-0005</t>
  </si>
  <si>
    <t xml:space="preserve">CBH-0006</t>
  </si>
  <si>
    <t xml:space="preserve">CBH-0007</t>
  </si>
  <si>
    <t xml:space="preserve">CBH-0008</t>
  </si>
  <si>
    <t xml:space="preserve">CBH-0009</t>
  </si>
  <si>
    <t xml:space="preserve">CBH-0010</t>
  </si>
  <si>
    <t xml:space="preserve">CBH-0011</t>
  </si>
  <si>
    <t xml:space="preserve">CBH-0012</t>
  </si>
  <si>
    <t xml:space="preserve">CBH-0013</t>
  </si>
  <si>
    <t xml:space="preserve">CBH-0014</t>
  </si>
  <si>
    <t xml:space="preserve">CBH-0015</t>
  </si>
  <si>
    <t xml:space="preserve">CBH-0016</t>
  </si>
  <si>
    <t xml:space="preserve">CBH-0017</t>
  </si>
  <si>
    <t xml:space="preserve">CBH-0018</t>
  </si>
  <si>
    <t xml:space="preserve">CBH-0019</t>
  </si>
  <si>
    <t xml:space="preserve">CBH-0020</t>
  </si>
  <si>
    <t xml:space="preserve">CBH-0021</t>
  </si>
  <si>
    <t xml:space="preserve">CBH-0022</t>
  </si>
  <si>
    <t xml:space="preserve">CBH-0023</t>
  </si>
  <si>
    <t xml:space="preserve">CBH-0024</t>
  </si>
  <si>
    <t xml:space="preserve">CBH-0025</t>
  </si>
  <si>
    <t xml:space="preserve">CBH-0026</t>
  </si>
  <si>
    <t xml:space="preserve">CBH-0027</t>
  </si>
  <si>
    <t xml:space="preserve">CBH-0028</t>
  </si>
  <si>
    <t xml:space="preserve">CBH-0029</t>
  </si>
  <si>
    <t xml:space="preserve">CBH-0030</t>
  </si>
  <si>
    <t xml:space="preserve">CBH-0031</t>
  </si>
  <si>
    <t xml:space="preserve">CBH-0032</t>
  </si>
  <si>
    <t xml:space="preserve">CBH-0033</t>
  </si>
  <si>
    <t xml:space="preserve">CBH-0034</t>
  </si>
  <si>
    <t xml:space="preserve">CBH-0035</t>
  </si>
  <si>
    <t xml:space="preserve">CBH-0036</t>
  </si>
  <si>
    <t xml:space="preserve">CBH-0037</t>
  </si>
  <si>
    <t xml:space="preserve">CBH-0038</t>
  </si>
  <si>
    <t xml:space="preserve">CBH-0039</t>
  </si>
  <si>
    <t xml:space="preserve">CBH-0040</t>
  </si>
  <si>
    <t xml:space="preserve">CBH-0041</t>
  </si>
  <si>
    <t xml:space="preserve">CBH-0042</t>
  </si>
  <si>
    <t xml:space="preserve">CBH-0043</t>
  </si>
  <si>
    <t xml:space="preserve">CBH-0044</t>
  </si>
  <si>
    <t xml:space="preserve">CBH-0045</t>
  </si>
  <si>
    <t xml:space="preserve">CBH-0046</t>
  </si>
  <si>
    <t xml:space="preserve">CBH-0047</t>
  </si>
  <si>
    <t xml:space="preserve">CBH-0048</t>
  </si>
  <si>
    <t xml:space="preserve">CBH-0049</t>
  </si>
  <si>
    <t xml:space="preserve">CBH-0050</t>
  </si>
  <si>
    <t xml:space="preserve">CBH-0051</t>
  </si>
  <si>
    <t xml:space="preserve">CBH-0052</t>
  </si>
  <si>
    <t xml:space="preserve">CBH-0053</t>
  </si>
  <si>
    <t xml:space="preserve">CBH-0054</t>
  </si>
  <si>
    <t xml:space="preserve">CBH-0055</t>
  </si>
  <si>
    <t xml:space="preserve">CBH-0056</t>
  </si>
  <si>
    <t xml:space="preserve">CBH-0057</t>
  </si>
  <si>
    <t xml:space="preserve">CBH-0058</t>
  </si>
  <si>
    <t xml:space="preserve">CBH-0059</t>
  </si>
  <si>
    <t xml:space="preserve">CBH-0060</t>
  </si>
  <si>
    <t xml:space="preserve">CBH-0061</t>
  </si>
  <si>
    <t xml:space="preserve">CBH-0062</t>
  </si>
  <si>
    <t xml:space="preserve">CBH-0063</t>
  </si>
  <si>
    <t xml:space="preserve">CBH-0064</t>
  </si>
  <si>
    <t xml:space="preserve">CBH-0065</t>
  </si>
  <si>
    <t xml:space="preserve">CBH-0066</t>
  </si>
  <si>
    <t xml:space="preserve">CBH-0067</t>
  </si>
  <si>
    <t xml:space="preserve">CBH-0068</t>
  </si>
  <si>
    <t xml:space="preserve">CBH-0069</t>
  </si>
  <si>
    <t xml:space="preserve">CBH-0070</t>
  </si>
  <si>
    <t xml:space="preserve">CBH-0071</t>
  </si>
  <si>
    <t xml:space="preserve">CBH-0072</t>
  </si>
  <si>
    <t xml:space="preserve">CBH-0073</t>
  </si>
  <si>
    <t xml:space="preserve">CBH-0074</t>
  </si>
  <si>
    <t xml:space="preserve">CBH-0075</t>
  </si>
  <si>
    <t xml:space="preserve">CBH-0076</t>
  </si>
  <si>
    <t xml:space="preserve">CBH-0077</t>
  </si>
  <si>
    <t xml:space="preserve">CBH-0078</t>
  </si>
  <si>
    <t xml:space="preserve">CBH-0079</t>
  </si>
  <si>
    <t xml:space="preserve">CBH-0080</t>
  </si>
  <si>
    <t xml:space="preserve">CBH-0081</t>
  </si>
  <si>
    <t xml:space="preserve">CBH-0082</t>
  </si>
  <si>
    <t xml:space="preserve">CBH-0083</t>
  </si>
  <si>
    <t xml:space="preserve">CBH-0084</t>
  </si>
  <si>
    <t xml:space="preserve">CBH-0085</t>
  </si>
  <si>
    <t xml:space="preserve">CBH-0086</t>
  </si>
  <si>
    <t xml:space="preserve">CBH-0087</t>
  </si>
  <si>
    <t xml:space="preserve">CBH-0088</t>
  </si>
  <si>
    <t xml:space="preserve">CBH-0089</t>
  </si>
  <si>
    <t xml:space="preserve">CBH-0090</t>
  </si>
  <si>
    <t xml:space="preserve">CBH-0091</t>
  </si>
  <si>
    <t xml:space="preserve">CBH-0092</t>
  </si>
  <si>
    <t xml:space="preserve">CBH-0093</t>
  </si>
  <si>
    <t xml:space="preserve">CBH-0094</t>
  </si>
  <si>
    <t xml:space="preserve">CBH-0095</t>
  </si>
  <si>
    <t xml:space="preserve">CBH-0096</t>
  </si>
  <si>
    <t xml:space="preserve">CBH-0097</t>
  </si>
  <si>
    <t xml:space="preserve">CBH-0098</t>
  </si>
  <si>
    <t xml:space="preserve">CBH-0099</t>
  </si>
  <si>
    <t xml:space="preserve">CBH-0100</t>
  </si>
  <si>
    <t xml:space="preserve">CBH-0101</t>
  </si>
  <si>
    <t xml:space="preserve">CBH-0102</t>
  </si>
  <si>
    <t xml:space="preserve">CBH-0103</t>
  </si>
  <si>
    <t xml:space="preserve">CBH-0104</t>
  </si>
  <si>
    <t xml:space="preserve">CBH-0105</t>
  </si>
  <si>
    <t xml:space="preserve">CBH-0106</t>
  </si>
  <si>
    <t xml:space="preserve">CBH-0107</t>
  </si>
  <si>
    <t xml:space="preserve">CBH-0108</t>
  </si>
  <si>
    <t xml:space="preserve">CBH-0109</t>
  </si>
  <si>
    <t xml:space="preserve">CBH-0110</t>
  </si>
  <si>
    <t xml:space="preserve">CBH-0111</t>
  </si>
  <si>
    <t xml:space="preserve">CBH-0112</t>
  </si>
  <si>
    <t xml:space="preserve">CBH-0113</t>
  </si>
  <si>
    <t xml:space="preserve">CBH-0114</t>
  </si>
  <si>
    <t xml:space="preserve">CBH-0115</t>
  </si>
  <si>
    <t xml:space="preserve">CBH-0116</t>
  </si>
  <si>
    <t xml:space="preserve">CBH-0117</t>
  </si>
  <si>
    <t xml:space="preserve">CBH-0118</t>
  </si>
  <si>
    <t xml:space="preserve">CBH-0119</t>
  </si>
  <si>
    <t xml:space="preserve">CBH-0120</t>
  </si>
  <si>
    <t xml:space="preserve">CBH-0121</t>
  </si>
  <si>
    <t xml:space="preserve">CBH-0122</t>
  </si>
  <si>
    <t xml:space="preserve">CBH-0123</t>
  </si>
  <si>
    <t xml:space="preserve">CBH-0124</t>
  </si>
  <si>
    <t xml:space="preserve">CBH-0125</t>
  </si>
  <si>
    <t xml:space="preserve">CBH-0126</t>
  </si>
  <si>
    <t xml:space="preserve">CBH-0127</t>
  </si>
  <si>
    <t xml:space="preserve">CBH-0128</t>
  </si>
  <si>
    <t xml:space="preserve">CBH-0129</t>
  </si>
  <si>
    <t xml:space="preserve">CBH-0130</t>
  </si>
  <si>
    <t xml:space="preserve">CBH-0131</t>
  </si>
  <si>
    <t xml:space="preserve">CBH-0132</t>
  </si>
  <si>
    <t xml:space="preserve">CBH-0133</t>
  </si>
  <si>
    <t xml:space="preserve">CBH-0134</t>
  </si>
  <si>
    <t xml:space="preserve">CBH-0135</t>
  </si>
  <si>
    <t xml:space="preserve">CBH-0136</t>
  </si>
  <si>
    <t xml:space="preserve">CBH-0137</t>
  </si>
  <si>
    <t xml:space="preserve">CBH-0138</t>
  </si>
  <si>
    <t xml:space="preserve">CBH-0139</t>
  </si>
  <si>
    <t xml:space="preserve">CBH-0140</t>
  </si>
  <si>
    <t xml:space="preserve">CBH-0141</t>
  </si>
  <si>
    <t xml:space="preserve">CBH-0142</t>
  </si>
  <si>
    <t xml:space="preserve">CBH-0143</t>
  </si>
  <si>
    <t xml:space="preserve">CBH-0144</t>
  </si>
  <si>
    <t xml:space="preserve">CBH-0145</t>
  </si>
  <si>
    <t xml:space="preserve">CBH-0146</t>
  </si>
  <si>
    <t xml:space="preserve">CBH-0147</t>
  </si>
  <si>
    <t xml:space="preserve">CBH-0148</t>
  </si>
  <si>
    <t xml:space="preserve">CBH-0149</t>
  </si>
  <si>
    <t xml:space="preserve">CBH-0150</t>
  </si>
  <si>
    <t xml:space="preserve">CBH-0151</t>
  </si>
  <si>
    <t xml:space="preserve">CBH-0152</t>
  </si>
  <si>
    <t xml:space="preserve">CBH-0153</t>
  </si>
  <si>
    <t xml:space="preserve">CBH-0154</t>
  </si>
  <si>
    <t xml:space="preserve">CBH-0155</t>
  </si>
  <si>
    <t xml:space="preserve">CBH-0156</t>
  </si>
  <si>
    <t xml:space="preserve">CBH-0157</t>
  </si>
  <si>
    <t xml:space="preserve">CBH-0158</t>
  </si>
  <si>
    <t xml:space="preserve">CBH-0159</t>
  </si>
  <si>
    <t xml:space="preserve">CBH-0160</t>
  </si>
  <si>
    <t xml:space="preserve">CBH-0161</t>
  </si>
  <si>
    <t xml:space="preserve">CBH-0162</t>
  </si>
  <si>
    <t xml:space="preserve">CBH-0163</t>
  </si>
  <si>
    <t xml:space="preserve">CBH-0164</t>
  </si>
  <si>
    <t xml:space="preserve">CBH-0165</t>
  </si>
  <si>
    <t xml:space="preserve">CBH-0166</t>
  </si>
  <si>
    <t xml:space="preserve">CBH-0167</t>
  </si>
  <si>
    <t xml:space="preserve">CBH-0168</t>
  </si>
  <si>
    <t xml:space="preserve">CBH-0169</t>
  </si>
  <si>
    <t xml:space="preserve">CBH-0170</t>
  </si>
  <si>
    <t xml:space="preserve">CBH-0171</t>
  </si>
  <si>
    <t xml:space="preserve">CBH-0172</t>
  </si>
  <si>
    <t xml:space="preserve">CBH-0173</t>
  </si>
  <si>
    <t xml:space="preserve">CBH-0174</t>
  </si>
  <si>
    <t xml:space="preserve">CBH-0175</t>
  </si>
  <si>
    <t xml:space="preserve">CBH-0176</t>
  </si>
  <si>
    <t xml:space="preserve">CBH-0177</t>
  </si>
  <si>
    <t xml:space="preserve">CBH-0178</t>
  </si>
  <si>
    <t xml:space="preserve">CBH-0179</t>
  </si>
  <si>
    <t xml:space="preserve">CBH-0180</t>
  </si>
  <si>
    <t xml:space="preserve">CBH-0181</t>
  </si>
  <si>
    <t xml:space="preserve">CBH-0182</t>
  </si>
  <si>
    <t xml:space="preserve">CBH-0183</t>
  </si>
  <si>
    <t xml:space="preserve">CBH-0184</t>
  </si>
  <si>
    <t xml:space="preserve">CBH-0185</t>
  </si>
  <si>
    <t xml:space="preserve">CBH-0186</t>
  </si>
  <si>
    <t xml:space="preserve">CBH-0187</t>
  </si>
  <si>
    <t xml:space="preserve">CBH-0188</t>
  </si>
  <si>
    <t xml:space="preserve">CBH-0189</t>
  </si>
  <si>
    <t xml:space="preserve">CBH-0190</t>
  </si>
  <si>
    <t xml:space="preserve">CBH-0191</t>
  </si>
  <si>
    <t xml:space="preserve">CBH-0192</t>
  </si>
  <si>
    <t xml:space="preserve">CBH-0193</t>
  </si>
  <si>
    <t xml:space="preserve">CBH-0194</t>
  </si>
  <si>
    <t xml:space="preserve">CBH-0195</t>
  </si>
  <si>
    <t xml:space="preserve">CBH-0196</t>
  </si>
  <si>
    <t xml:space="preserve">CBH-0197</t>
  </si>
  <si>
    <t xml:space="preserve">CBH-0198</t>
  </si>
  <si>
    <t xml:space="preserve">CBH-0199</t>
  </si>
  <si>
    <t xml:space="preserve">CBH-0200</t>
  </si>
  <si>
    <t xml:space="preserve">CBH-0201</t>
  </si>
  <si>
    <t xml:space="preserve">CBH-0202</t>
  </si>
  <si>
    <t xml:space="preserve">CBH-0203</t>
  </si>
  <si>
    <t xml:space="preserve">CBH-0204</t>
  </si>
  <si>
    <t xml:space="preserve">CBH-0205</t>
  </si>
  <si>
    <t xml:space="preserve">CBH-0206</t>
  </si>
  <si>
    <t xml:space="preserve">CBH-0207</t>
  </si>
  <si>
    <t xml:space="preserve">CBH-0208</t>
  </si>
  <si>
    <t xml:space="preserve">CBH-0209</t>
  </si>
  <si>
    <t xml:space="preserve">CBH-0210</t>
  </si>
  <si>
    <t xml:space="preserve">CBH-0211</t>
  </si>
  <si>
    <t xml:space="preserve">CBH-0212</t>
  </si>
  <si>
    <t xml:space="preserve">CBH-0213</t>
  </si>
  <si>
    <t xml:space="preserve">CBH-0214</t>
  </si>
  <si>
    <t xml:space="preserve">CBH-0215</t>
  </si>
  <si>
    <t xml:space="preserve">CBH-0216</t>
  </si>
  <si>
    <t xml:space="preserve">CBH-0217</t>
  </si>
  <si>
    <t xml:space="preserve">CBH-0218</t>
  </si>
  <si>
    <t xml:space="preserve">CBH-0219</t>
  </si>
  <si>
    <t xml:space="preserve">CBH-0220</t>
  </si>
  <si>
    <t xml:space="preserve">CBH-0221</t>
  </si>
  <si>
    <t xml:space="preserve">CBH-0222</t>
  </si>
  <si>
    <t xml:space="preserve">CBH-0223</t>
  </si>
  <si>
    <t xml:space="preserve">CBH-0224</t>
  </si>
  <si>
    <t xml:space="preserve">CBH-0225</t>
  </si>
  <si>
    <t xml:space="preserve">CBH-0226</t>
  </si>
  <si>
    <t xml:space="preserve">CBH-0227</t>
  </si>
  <si>
    <t xml:space="preserve">CBH-0228</t>
  </si>
  <si>
    <t xml:space="preserve">CBH-0229</t>
  </si>
  <si>
    <t xml:space="preserve">CBH-0230</t>
  </si>
  <si>
    <t xml:space="preserve">CBH-0231</t>
  </si>
  <si>
    <t xml:space="preserve">CBH-0232</t>
  </si>
  <si>
    <t xml:space="preserve">CBH-0233</t>
  </si>
  <si>
    <t xml:space="preserve">CBH-0234</t>
  </si>
  <si>
    <t xml:space="preserve">CBH-0235</t>
  </si>
  <si>
    <t xml:space="preserve">CBH-0236</t>
  </si>
  <si>
    <t xml:space="preserve">CBH-0237</t>
  </si>
  <si>
    <t xml:space="preserve">CBH-0238</t>
  </si>
  <si>
    <t xml:space="preserve">CBH-0239</t>
  </si>
  <si>
    <t xml:space="preserve">CBH-0240</t>
  </si>
  <si>
    <t xml:space="preserve">CBH-0241</t>
  </si>
  <si>
    <t xml:space="preserve">CBH-0242</t>
  </si>
  <si>
    <t xml:space="preserve">CBH-0243</t>
  </si>
  <si>
    <t xml:space="preserve">CBH-0244</t>
  </si>
  <si>
    <t xml:space="preserve">CBH-0245</t>
  </si>
  <si>
    <t xml:space="preserve">CBH-0246</t>
  </si>
  <si>
    <t xml:space="preserve">CBH-0247</t>
  </si>
  <si>
    <t xml:space="preserve">CBH-0248</t>
  </si>
  <si>
    <t xml:space="preserve">CBH-0249</t>
  </si>
  <si>
    <t xml:space="preserve">CBH-0250</t>
  </si>
  <si>
    <t xml:space="preserve">CBH-0251</t>
  </si>
  <si>
    <t xml:space="preserve">CBH-0252</t>
  </si>
  <si>
    <t xml:space="preserve">CBH-0253</t>
  </si>
  <si>
    <t xml:space="preserve">CBH-0254</t>
  </si>
  <si>
    <t xml:space="preserve">CBH-0255</t>
  </si>
  <si>
    <t xml:space="preserve">CBH-0256</t>
  </si>
  <si>
    <t xml:space="preserve">CBH-0257</t>
  </si>
  <si>
    <t xml:space="preserve">CBH-0258</t>
  </si>
  <si>
    <t xml:space="preserve">CBH-0259</t>
  </si>
  <si>
    <t xml:space="preserve">CBH-0260</t>
  </si>
  <si>
    <t xml:space="preserve">CBH-0261</t>
  </si>
  <si>
    <t xml:space="preserve">CBH-0262</t>
  </si>
  <si>
    <t xml:space="preserve">CBH-0263</t>
  </si>
  <si>
    <t xml:space="preserve">CBH-0264</t>
  </si>
  <si>
    <t xml:space="preserve">CBH-0265</t>
  </si>
  <si>
    <t xml:space="preserve">CBH-0266</t>
  </si>
  <si>
    <t xml:space="preserve">CBH-0267</t>
  </si>
  <si>
    <t xml:space="preserve">CBH-0268</t>
  </si>
  <si>
    <t xml:space="preserve">CBH-0269</t>
  </si>
  <si>
    <t xml:space="preserve">CBH-0270</t>
  </si>
  <si>
    <t xml:space="preserve">CBH-0271</t>
  </si>
  <si>
    <t xml:space="preserve">CBH-0272</t>
  </si>
  <si>
    <t xml:space="preserve">CBH-0273</t>
  </si>
  <si>
    <t xml:space="preserve">CBH-0274</t>
  </si>
  <si>
    <t xml:space="preserve">CBH-0275</t>
  </si>
  <si>
    <t xml:space="preserve">CBH-0276</t>
  </si>
  <si>
    <t xml:space="preserve">CBH-0277</t>
  </si>
  <si>
    <t xml:space="preserve">CBH-0278</t>
  </si>
  <si>
    <t xml:space="preserve">CBH-0279</t>
  </si>
  <si>
    <t xml:space="preserve">WCH-0001</t>
  </si>
  <si>
    <t xml:space="preserve">WCH-0002</t>
  </si>
  <si>
    <t xml:space="preserve">WCH-0003</t>
  </si>
  <si>
    <t xml:space="preserve">WCH-0004</t>
  </si>
  <si>
    <t xml:space="preserve">WCH-0005</t>
  </si>
  <si>
    <t xml:space="preserve">WCH-0006</t>
  </si>
  <si>
    <t xml:space="preserve">WCH-0007</t>
  </si>
  <si>
    <t xml:space="preserve">WCH-0008</t>
  </si>
  <si>
    <t xml:space="preserve">WCH-0009</t>
  </si>
  <si>
    <t xml:space="preserve">WCH-0010</t>
  </si>
  <si>
    <t xml:space="preserve">WCH-0011</t>
  </si>
  <si>
    <t xml:space="preserve">WCH-0012</t>
  </si>
  <si>
    <t xml:space="preserve">WCH-0013</t>
  </si>
  <si>
    <t xml:space="preserve">WCH-0014</t>
  </si>
  <si>
    <t xml:space="preserve">WCH-0015</t>
  </si>
  <si>
    <t xml:space="preserve">WCH-0016</t>
  </si>
  <si>
    <t xml:space="preserve">WCH-0017</t>
  </si>
  <si>
    <t xml:space="preserve">WCH-0018</t>
  </si>
  <si>
    <t xml:space="preserve">WCH-0019</t>
  </si>
  <si>
    <t xml:space="preserve">WCH-0020</t>
  </si>
  <si>
    <t xml:space="preserve">WCH-0021</t>
  </si>
  <si>
    <t xml:space="preserve">WCH-0022</t>
  </si>
  <si>
    <t xml:space="preserve">WCH-0023</t>
  </si>
  <si>
    <t xml:space="preserve">WCH-0024</t>
  </si>
  <si>
    <t xml:space="preserve">WCH-0025</t>
  </si>
  <si>
    <t xml:space="preserve">WCH-0026</t>
  </si>
  <si>
    <t xml:space="preserve">WCH-0027</t>
  </si>
  <si>
    <t xml:space="preserve">WCH-0028</t>
  </si>
  <si>
    <t xml:space="preserve">WCH-0029</t>
  </si>
  <si>
    <t xml:space="preserve">WCH-0030</t>
  </si>
  <si>
    <t xml:space="preserve">WCH-0031</t>
  </si>
  <si>
    <t xml:space="preserve">WCH-0032</t>
  </si>
  <si>
    <t xml:space="preserve">WCH-0033</t>
  </si>
  <si>
    <t xml:space="preserve">WCH-0034</t>
  </si>
  <si>
    <t xml:space="preserve">WCH-0035</t>
  </si>
  <si>
    <t xml:space="preserve">WCH-0036</t>
  </si>
  <si>
    <t xml:space="preserve">WCH-0037</t>
  </si>
  <si>
    <t xml:space="preserve">WCH-0038</t>
  </si>
  <si>
    <t xml:space="preserve">WCH-0039</t>
  </si>
  <si>
    <t xml:space="preserve">WCH-0040</t>
  </si>
  <si>
    <t xml:space="preserve">WCH-0041</t>
  </si>
  <si>
    <t xml:space="preserve">WCH-0042</t>
  </si>
  <si>
    <t xml:space="preserve">WCH-0043</t>
  </si>
  <si>
    <t xml:space="preserve">WCH-0044</t>
  </si>
  <si>
    <t xml:space="preserve">WCH-0045</t>
  </si>
  <si>
    <t xml:space="preserve">WCH-0046</t>
  </si>
  <si>
    <t xml:space="preserve">WCH-0047</t>
  </si>
  <si>
    <t xml:space="preserve">WCH-0048</t>
  </si>
  <si>
    <t xml:space="preserve">WCH-0049</t>
  </si>
  <si>
    <t xml:space="preserve">WCH-0050</t>
  </si>
  <si>
    <t xml:space="preserve">WCH-0051</t>
  </si>
  <si>
    <t xml:space="preserve">WCH-0052</t>
  </si>
  <si>
    <t xml:space="preserve">WCH-0053</t>
  </si>
  <si>
    <t xml:space="preserve">WCH-0054</t>
  </si>
  <si>
    <t xml:space="preserve">WCH-0055</t>
  </si>
  <si>
    <t xml:space="preserve">WCH-0056</t>
  </si>
  <si>
    <t xml:space="preserve">WCH-0057</t>
  </si>
  <si>
    <t xml:space="preserve">WCH-0058</t>
  </si>
  <si>
    <t xml:space="preserve">WCH-0059</t>
  </si>
  <si>
    <t xml:space="preserve">WCH-0060</t>
  </si>
  <si>
    <t xml:space="preserve">WCH-0061</t>
  </si>
  <si>
    <t xml:space="preserve">WCH-0062</t>
  </si>
  <si>
    <t xml:space="preserve">WCH-0063</t>
  </si>
  <si>
    <t xml:space="preserve">WCH-0064</t>
  </si>
  <si>
    <t xml:space="preserve">WCH-0065</t>
  </si>
  <si>
    <t xml:space="preserve">WCH-0066</t>
  </si>
  <si>
    <t xml:space="preserve">WCH-0067</t>
  </si>
  <si>
    <t xml:space="preserve">WCH-0068</t>
  </si>
  <si>
    <t xml:space="preserve">WCH-0069</t>
  </si>
  <si>
    <t xml:space="preserve">WCH-0070</t>
  </si>
  <si>
    <t xml:space="preserve">WCH-0071</t>
  </si>
  <si>
    <t xml:space="preserve">WCH-0072</t>
  </si>
  <si>
    <t xml:space="preserve">WCH-0073</t>
  </si>
  <si>
    <t xml:space="preserve">WCH-0074</t>
  </si>
  <si>
    <t xml:space="preserve">WCH-0075</t>
  </si>
  <si>
    <t xml:space="preserve">WCH-0076</t>
  </si>
  <si>
    <t xml:space="preserve">WCH-0077</t>
  </si>
  <si>
    <t xml:space="preserve">WCH-0078</t>
  </si>
  <si>
    <t xml:space="preserve">WCH-0079</t>
  </si>
  <si>
    <t xml:space="preserve">WCH-0080</t>
  </si>
  <si>
    <t xml:space="preserve">WCH-0081</t>
  </si>
  <si>
    <t xml:space="preserve">WCH-0082</t>
  </si>
  <si>
    <t xml:space="preserve">WCH-0083</t>
  </si>
  <si>
    <t xml:space="preserve">WCH-0084</t>
  </si>
  <si>
    <t xml:space="preserve">WCH-0085</t>
  </si>
  <si>
    <t xml:space="preserve">WCH-0086</t>
  </si>
  <si>
    <t xml:space="preserve">WCH-0087</t>
  </si>
  <si>
    <t xml:space="preserve">WCH-0088</t>
  </si>
  <si>
    <t xml:space="preserve">WCH-0089</t>
  </si>
  <si>
    <t xml:space="preserve">WCH-0090</t>
  </si>
  <si>
    <t xml:space="preserve">WCH-0091</t>
  </si>
  <si>
    <t xml:space="preserve">WCH-0092</t>
  </si>
  <si>
    <t xml:space="preserve">WCH-0093</t>
  </si>
  <si>
    <t xml:space="preserve">WCH-0094</t>
  </si>
  <si>
    <t xml:space="preserve">WCH-0095</t>
  </si>
  <si>
    <t xml:space="preserve">WCH-0096</t>
  </si>
  <si>
    <t xml:space="preserve">WCH-0097</t>
  </si>
  <si>
    <t xml:space="preserve">WCH-0098</t>
  </si>
  <si>
    <t xml:space="preserve">WCH-0099</t>
  </si>
  <si>
    <t xml:space="preserve">WCH-0100</t>
  </si>
  <si>
    <t xml:space="preserve">WCH-0101</t>
  </si>
  <si>
    <t xml:space="preserve">WCH-0102</t>
  </si>
  <si>
    <t xml:space="preserve">WCH-0103</t>
  </si>
  <si>
    <t xml:space="preserve">WCH-0104</t>
  </si>
  <si>
    <t xml:space="preserve">WCH-0105</t>
  </si>
  <si>
    <t xml:space="preserve">WCH-0106</t>
  </si>
  <si>
    <t xml:space="preserve">WCH-0107</t>
  </si>
  <si>
    <t xml:space="preserve">WCH-0108</t>
  </si>
  <si>
    <t xml:space="preserve">WCH-0109</t>
  </si>
  <si>
    <t xml:space="preserve">WCH-0110</t>
  </si>
  <si>
    <t xml:space="preserve">WCH-0111</t>
  </si>
  <si>
    <t xml:space="preserve">WCH-0112</t>
  </si>
  <si>
    <t xml:space="preserve">WCH-0113</t>
  </si>
  <si>
    <t xml:space="preserve">WCH-0114</t>
  </si>
  <si>
    <t xml:space="preserve">WCH-0115</t>
  </si>
  <si>
    <t xml:space="preserve">WCH-0116</t>
  </si>
  <si>
    <t xml:space="preserve">WCH-0117</t>
  </si>
  <si>
    <t xml:space="preserve">WCH-0118</t>
  </si>
  <si>
    <t xml:space="preserve">WCH-0119</t>
  </si>
  <si>
    <t xml:space="preserve">WCH-0120</t>
  </si>
  <si>
    <t xml:space="preserve">WCH-0121</t>
  </si>
  <si>
    <t xml:space="preserve">WCH-0122</t>
  </si>
  <si>
    <t xml:space="preserve">WCH-0123</t>
  </si>
  <si>
    <t xml:space="preserve">WCH-0124</t>
  </si>
  <si>
    <t xml:space="preserve">WCH-0125</t>
  </si>
  <si>
    <t xml:space="preserve">WCH-0126</t>
  </si>
  <si>
    <t xml:space="preserve">WCH-0127</t>
  </si>
  <si>
    <t xml:space="preserve">WCH-0128</t>
  </si>
  <si>
    <t xml:space="preserve">WCH-0129</t>
  </si>
  <si>
    <t xml:space="preserve">WCH-0130</t>
  </si>
  <si>
    <t xml:space="preserve">WCH-0131</t>
  </si>
  <si>
    <t xml:space="preserve">WCH-0132</t>
  </si>
  <si>
    <t xml:space="preserve">WCH-0133</t>
  </si>
  <si>
    <t xml:space="preserve">WCH-0134</t>
  </si>
  <si>
    <t xml:space="preserve">WCH-0135</t>
  </si>
  <si>
    <t xml:space="preserve">WCH-0136</t>
  </si>
  <si>
    <t xml:space="preserve">WCH-0137</t>
  </si>
  <si>
    <t xml:space="preserve">WCH-0138</t>
  </si>
  <si>
    <t xml:space="preserve">WCH-0139</t>
  </si>
  <si>
    <t xml:space="preserve">WCH-0140</t>
  </si>
  <si>
    <t xml:space="preserve">WCH-0141</t>
  </si>
  <si>
    <t xml:space="preserve">WCH-0142</t>
  </si>
  <si>
    <t xml:space="preserve">WCH-0143</t>
  </si>
  <si>
    <t xml:space="preserve">WCH-0144</t>
  </si>
  <si>
    <t xml:space="preserve">WCH-0145</t>
  </si>
  <si>
    <t xml:space="preserve">WCH-0146</t>
  </si>
  <si>
    <t xml:space="preserve">WCH-0147</t>
  </si>
  <si>
    <t xml:space="preserve">WCH-0148</t>
  </si>
  <si>
    <t xml:space="preserve">WCH-0149</t>
  </si>
  <si>
    <t xml:space="preserve">WCH-0150</t>
  </si>
  <si>
    <t xml:space="preserve">WCH-0151</t>
  </si>
  <si>
    <t xml:space="preserve">WCH-0152</t>
  </si>
  <si>
    <t xml:space="preserve">WCH-0153</t>
  </si>
  <si>
    <t xml:space="preserve">WCH-0154</t>
  </si>
  <si>
    <t xml:space="preserve">WCH-0155</t>
  </si>
  <si>
    <t xml:space="preserve">WCH-0156</t>
  </si>
  <si>
    <t xml:space="preserve">WCH-0157</t>
  </si>
  <si>
    <t xml:space="preserve">WCH-0158</t>
  </si>
  <si>
    <t xml:space="preserve">WCH-0159</t>
  </si>
  <si>
    <t xml:space="preserve">WCH-0160</t>
  </si>
  <si>
    <t xml:space="preserve">WCH-0161</t>
  </si>
  <si>
    <t xml:space="preserve">WCH-0162</t>
  </si>
  <si>
    <t xml:space="preserve">WCH-0163</t>
  </si>
  <si>
    <t xml:space="preserve">WCH-0164</t>
  </si>
  <si>
    <t xml:space="preserve">WCH-0165</t>
  </si>
  <si>
    <t xml:space="preserve">WCH-0166</t>
  </si>
  <si>
    <t xml:space="preserve">WCH-0167</t>
  </si>
  <si>
    <t xml:space="preserve">WCH-0168</t>
  </si>
  <si>
    <t xml:space="preserve">WCH-0169</t>
  </si>
  <si>
    <t xml:space="preserve">WCH-0170</t>
  </si>
  <si>
    <t xml:space="preserve">WCH-0171</t>
  </si>
  <si>
    <t xml:space="preserve">WCH-0172</t>
  </si>
  <si>
    <t xml:space="preserve">WCH-0173</t>
  </si>
  <si>
    <t xml:space="preserve">WCH-0174</t>
  </si>
  <si>
    <t xml:space="preserve">WCH-0175</t>
  </si>
  <si>
    <t xml:space="preserve">WCH-0176</t>
  </si>
  <si>
    <t xml:space="preserve">WCH-0177</t>
  </si>
  <si>
    <t xml:space="preserve">WCH-0178</t>
  </si>
  <si>
    <t xml:space="preserve">WCH-0179</t>
  </si>
  <si>
    <t xml:space="preserve">WCH-0180</t>
  </si>
  <si>
    <t xml:space="preserve">WCH-0181</t>
  </si>
  <si>
    <t xml:space="preserve">WCH-0182</t>
  </si>
  <si>
    <t xml:space="preserve">WCH-0183</t>
  </si>
  <si>
    <t xml:space="preserve">WCH-0184</t>
  </si>
  <si>
    <t xml:space="preserve">WCH-0185</t>
  </si>
  <si>
    <t xml:space="preserve">WCH-0186</t>
  </si>
  <si>
    <t xml:space="preserve">WCH-0187</t>
  </si>
  <si>
    <t xml:space="preserve">WCH-0188</t>
  </si>
  <si>
    <t xml:space="preserve">WCH-0189</t>
  </si>
  <si>
    <t xml:space="preserve">WCH-0190</t>
  </si>
  <si>
    <t xml:space="preserve">WCH-0191</t>
  </si>
  <si>
    <t xml:space="preserve">WCH-0192</t>
  </si>
  <si>
    <t xml:space="preserve">WCH-0193</t>
  </si>
  <si>
    <t xml:space="preserve">WCH-0194</t>
  </si>
  <si>
    <t xml:space="preserve">WCH-0195</t>
  </si>
  <si>
    <t xml:space="preserve">WCH-0196</t>
  </si>
  <si>
    <t xml:space="preserve">WCH-0197</t>
  </si>
  <si>
    <t xml:space="preserve">WCH-0198</t>
  </si>
  <si>
    <t xml:space="preserve">WCH-0199</t>
  </si>
  <si>
    <t xml:space="preserve">WCH-0200</t>
  </si>
  <si>
    <t xml:space="preserve">WCH-0201</t>
  </si>
  <si>
    <t xml:space="preserve">WCH-0202</t>
  </si>
  <si>
    <t xml:space="preserve">WCH-0203</t>
  </si>
  <si>
    <t xml:space="preserve">WCH-0204</t>
  </si>
  <si>
    <t xml:space="preserve">WCH-0205</t>
  </si>
  <si>
    <t xml:space="preserve">WCH-0206</t>
  </si>
  <si>
    <t xml:space="preserve">WCH-0207</t>
  </si>
  <si>
    <t xml:space="preserve">WCH-0208</t>
  </si>
  <si>
    <t xml:space="preserve">WCH-0209</t>
  </si>
  <si>
    <t xml:space="preserve">WCH-0210</t>
  </si>
  <si>
    <t xml:space="preserve">WCH-0211</t>
  </si>
  <si>
    <t xml:space="preserve">WCH-0212</t>
  </si>
  <si>
    <t xml:space="preserve">WCH-0213</t>
  </si>
  <si>
    <t xml:space="preserve">WCH-0214</t>
  </si>
  <si>
    <t xml:space="preserve">WCH-0215</t>
  </si>
  <si>
    <t xml:space="preserve">WCH-0216</t>
  </si>
  <si>
    <t xml:space="preserve">WCH-0217</t>
  </si>
  <si>
    <t xml:space="preserve">WCH-0218</t>
  </si>
  <si>
    <t xml:space="preserve">WCH-0219</t>
  </si>
  <si>
    <t xml:space="preserve">WCH-0220</t>
  </si>
  <si>
    <t xml:space="preserve">WCH-0221</t>
  </si>
  <si>
    <t xml:space="preserve">WCH-0222</t>
  </si>
  <si>
    <t xml:space="preserve">WCH-0223</t>
  </si>
  <si>
    <t xml:space="preserve">WCH-0224</t>
  </si>
  <si>
    <t xml:space="preserve">WCH-0225</t>
  </si>
  <si>
    <t xml:space="preserve">WCH-0226</t>
  </si>
  <si>
    <t xml:space="preserve">WCH-0227</t>
  </si>
  <si>
    <t xml:space="preserve">WCH-0228</t>
  </si>
  <si>
    <t xml:space="preserve">WCH-0229</t>
  </si>
  <si>
    <t xml:space="preserve">WCH-0230</t>
  </si>
  <si>
    <t xml:space="preserve">WCH-0231</t>
  </si>
  <si>
    <t xml:space="preserve">WCH-0232</t>
  </si>
  <si>
    <t xml:space="preserve">WCH-0233</t>
  </si>
  <si>
    <t xml:space="preserve">WCH-0234</t>
  </si>
  <si>
    <t xml:space="preserve">WCH-0235</t>
  </si>
  <si>
    <t xml:space="preserve">WCH-0236</t>
  </si>
  <si>
    <t xml:space="preserve">WCH-0237</t>
  </si>
  <si>
    <t xml:space="preserve">WCH-0238</t>
  </si>
  <si>
    <t xml:space="preserve">WCH-0239</t>
  </si>
  <si>
    <t xml:space="preserve">WCH-0240</t>
  </si>
  <si>
    <t xml:space="preserve">WCH-0241</t>
  </si>
  <si>
    <t xml:space="preserve">WCH-0242</t>
  </si>
  <si>
    <t xml:space="preserve">WCH-0243</t>
  </si>
  <si>
    <t xml:space="preserve">WCH-0244</t>
  </si>
  <si>
    <t xml:space="preserve">WCH-0245</t>
  </si>
  <si>
    <t xml:space="preserve">WCH-0246</t>
  </si>
  <si>
    <t xml:space="preserve">WCH-0247</t>
  </si>
  <si>
    <t xml:space="preserve">WCH-0248</t>
  </si>
  <si>
    <t xml:space="preserve">WCH-0249</t>
  </si>
  <si>
    <t xml:space="preserve">WCH-0250</t>
  </si>
  <si>
    <t xml:space="preserve">WCH-0251</t>
  </si>
  <si>
    <t xml:space="preserve">WCH-0252</t>
  </si>
  <si>
    <t xml:space="preserve">WCH-0253</t>
  </si>
  <si>
    <t xml:space="preserve">WCH-0254</t>
  </si>
  <si>
    <t xml:space="preserve">WCH-0255</t>
  </si>
  <si>
    <t xml:space="preserve">WCH-0256</t>
  </si>
  <si>
    <t xml:space="preserve">WCH-0257</t>
  </si>
  <si>
    <t xml:space="preserve">WCH-0258</t>
  </si>
  <si>
    <t xml:space="preserve">WCH-0259</t>
  </si>
  <si>
    <t xml:space="preserve">WCH-0260</t>
  </si>
  <si>
    <t xml:space="preserve">WCH-0261</t>
  </si>
  <si>
    <t xml:space="preserve">WCH-0262</t>
  </si>
  <si>
    <t xml:space="preserve">WCH-0263</t>
  </si>
  <si>
    <t xml:space="preserve">WCH-0264</t>
  </si>
  <si>
    <t xml:space="preserve">WCH-0265</t>
  </si>
  <si>
    <t xml:space="preserve">WCH-0266</t>
  </si>
  <si>
    <t xml:space="preserve">WCH-0267</t>
  </si>
  <si>
    <t xml:space="preserve">WCH-0268</t>
  </si>
  <si>
    <t xml:space="preserve">WCH-0269</t>
  </si>
  <si>
    <t xml:space="preserve">WCH-0270</t>
  </si>
  <si>
    <t xml:space="preserve">WCH-0271</t>
  </si>
  <si>
    <t xml:space="preserve">WCH-0272</t>
  </si>
  <si>
    <t xml:space="preserve">WCH-0273</t>
  </si>
  <si>
    <t xml:space="preserve">WCH-0274</t>
  </si>
  <si>
    <t xml:space="preserve">QHH-0001</t>
  </si>
  <si>
    <t xml:space="preserve">QHH-0002</t>
  </si>
  <si>
    <t xml:space="preserve">QHH-0003</t>
  </si>
  <si>
    <t xml:space="preserve">QHH-0004</t>
  </si>
  <si>
    <t xml:space="preserve">QHH-0005</t>
  </si>
  <si>
    <t xml:space="preserve">QHH-0006</t>
  </si>
  <si>
    <t xml:space="preserve">QHH-0007</t>
  </si>
  <si>
    <t xml:space="preserve">QHH-0008</t>
  </si>
  <si>
    <t xml:space="preserve">QHH-0009</t>
  </si>
  <si>
    <t xml:space="preserve">QHH-0010</t>
  </si>
  <si>
    <t xml:space="preserve">QHH-0011</t>
  </si>
  <si>
    <t xml:space="preserve">QHH-0012</t>
  </si>
  <si>
    <t xml:space="preserve">QHH-0013</t>
  </si>
  <si>
    <t xml:space="preserve">QHH-0014</t>
  </si>
  <si>
    <t xml:space="preserve">QHH-0015</t>
  </si>
  <si>
    <t xml:space="preserve">QHH-0016</t>
  </si>
  <si>
    <t xml:space="preserve">QHH-0017</t>
  </si>
  <si>
    <t xml:space="preserve">QHH-0018</t>
  </si>
  <si>
    <t xml:space="preserve">QHH-0019</t>
  </si>
  <si>
    <t xml:space="preserve">QHH-0020</t>
  </si>
  <si>
    <t xml:space="preserve">QHH-0021</t>
  </si>
  <si>
    <t xml:space="preserve">QHH-0022</t>
  </si>
  <si>
    <t xml:space="preserve">QHH-0023</t>
  </si>
  <si>
    <t xml:space="preserve">QHH-0024</t>
  </si>
  <si>
    <t xml:space="preserve">QHH-0025</t>
  </si>
  <si>
    <t xml:space="preserve">QHH-0026</t>
  </si>
  <si>
    <t xml:space="preserve">QHH-0027</t>
  </si>
  <si>
    <t xml:space="preserve">QHH-0028</t>
  </si>
  <si>
    <t xml:space="preserve">QHH-0029</t>
  </si>
  <si>
    <t xml:space="preserve">QHH-0030</t>
  </si>
  <si>
    <t xml:space="preserve">QHH-0031</t>
  </si>
  <si>
    <t xml:space="preserve">QHH-0032</t>
  </si>
  <si>
    <t xml:space="preserve">QHH-0033</t>
  </si>
  <si>
    <t xml:space="preserve">QHH-0034</t>
  </si>
  <si>
    <t xml:space="preserve">QHH-0035</t>
  </si>
  <si>
    <t xml:space="preserve">QHH-0036</t>
  </si>
  <si>
    <t xml:space="preserve">QHH-0037</t>
  </si>
  <si>
    <t xml:space="preserve">QHH-0038</t>
  </si>
  <si>
    <t xml:space="preserve">QHH-0039</t>
  </si>
  <si>
    <t xml:space="preserve">QHH-0040</t>
  </si>
  <si>
    <t xml:space="preserve">QHH-0041</t>
  </si>
  <si>
    <t xml:space="preserve">QHH-0042</t>
  </si>
  <si>
    <t xml:space="preserve">QHH-0043</t>
  </si>
  <si>
    <t xml:space="preserve">QHH-0044</t>
  </si>
  <si>
    <t xml:space="preserve">QHH-0045</t>
  </si>
  <si>
    <t xml:space="preserve">QHH-0046</t>
  </si>
  <si>
    <t xml:space="preserve">QHH-0047</t>
  </si>
  <si>
    <t xml:space="preserve">QHH-0048</t>
  </si>
  <si>
    <t xml:space="preserve">QHH-0049</t>
  </si>
  <si>
    <t xml:space="preserve">QHH-0050</t>
  </si>
  <si>
    <t xml:space="preserve">QHH-0051</t>
  </si>
  <si>
    <t xml:space="preserve">QHH-0052</t>
  </si>
  <si>
    <t xml:space="preserve">QHH-0053</t>
  </si>
  <si>
    <t xml:space="preserve">QHH-0054</t>
  </si>
  <si>
    <t xml:space="preserve">QHH-0055</t>
  </si>
  <si>
    <t xml:space="preserve">QHH-0056</t>
  </si>
  <si>
    <t xml:space="preserve">QHH-0057</t>
  </si>
  <si>
    <t xml:space="preserve">QHH-0058</t>
  </si>
  <si>
    <t xml:space="preserve">QHH-0059</t>
  </si>
  <si>
    <t xml:space="preserve">QHH-0060</t>
  </si>
  <si>
    <t xml:space="preserve">QHH-0061</t>
  </si>
  <si>
    <t xml:space="preserve">QHH-0062</t>
  </si>
  <si>
    <t xml:space="preserve">QHH-0063</t>
  </si>
  <si>
    <t xml:space="preserve">QHH-0064</t>
  </si>
  <si>
    <t xml:space="preserve">QHH-0065</t>
  </si>
  <si>
    <t xml:space="preserve">QHH-0066</t>
  </si>
  <si>
    <t xml:space="preserve">QHH-0067</t>
  </si>
  <si>
    <t xml:space="preserve">QHH-0068</t>
  </si>
  <si>
    <t xml:space="preserve">QHH-0069</t>
  </si>
  <si>
    <t xml:space="preserve">QHH-0070</t>
  </si>
  <si>
    <t xml:space="preserve">QHH-0071</t>
  </si>
  <si>
    <t xml:space="preserve">QHH-0072</t>
  </si>
  <si>
    <t xml:space="preserve">QHH-0073</t>
  </si>
  <si>
    <t xml:space="preserve">QHH-0074</t>
  </si>
  <si>
    <t xml:space="preserve">QHH-0075</t>
  </si>
  <si>
    <t xml:space="preserve">QHH-0076</t>
  </si>
  <si>
    <t xml:space="preserve">QHH-0077</t>
  </si>
  <si>
    <t xml:space="preserve">QHH-0078</t>
  </si>
  <si>
    <t xml:space="preserve">QHH-0079</t>
  </si>
  <si>
    <t xml:space="preserve">QHH-0080</t>
  </si>
  <si>
    <t xml:space="preserve">QHH-0081</t>
  </si>
  <si>
    <t xml:space="preserve">QHH-0082</t>
  </si>
  <si>
    <t xml:space="preserve">QHH-0083</t>
  </si>
  <si>
    <t xml:space="preserve">QHH-0084</t>
  </si>
  <si>
    <t xml:space="preserve">QHH-0085</t>
  </si>
  <si>
    <t xml:space="preserve">QHH-0086</t>
  </si>
  <si>
    <t xml:space="preserve">QHH-0087</t>
  </si>
  <si>
    <t xml:space="preserve">QHH-0088</t>
  </si>
  <si>
    <t xml:space="preserve">QHH-0089</t>
  </si>
  <si>
    <t xml:space="preserve">QHH-0090</t>
  </si>
  <si>
    <t xml:space="preserve">QHH-0091</t>
  </si>
  <si>
    <t xml:space="preserve">QHH-0092</t>
  </si>
  <si>
    <t xml:space="preserve">QHH-0093</t>
  </si>
  <si>
    <t xml:space="preserve">QHH-0094</t>
  </si>
  <si>
    <t xml:space="preserve">QHH-0095</t>
  </si>
  <si>
    <t xml:space="preserve">QHH-0096</t>
  </si>
  <si>
    <t xml:space="preserve">QHH-0097</t>
  </si>
  <si>
    <t xml:space="preserve">QHH-0098</t>
  </si>
  <si>
    <t xml:space="preserve">QHH-0099</t>
  </si>
  <si>
    <t xml:space="preserve">QHH-0100</t>
  </si>
  <si>
    <t xml:space="preserve">QHH-0101</t>
  </si>
  <si>
    <t xml:space="preserve">QHH-0102</t>
  </si>
  <si>
    <t xml:space="preserve">QHH-0103</t>
  </si>
  <si>
    <t xml:space="preserve">QHH-0104</t>
  </si>
  <si>
    <t xml:space="preserve">QHH-0105</t>
  </si>
  <si>
    <t xml:space="preserve">QHH-0106</t>
  </si>
  <si>
    <t xml:space="preserve">QHH-0107</t>
  </si>
  <si>
    <t xml:space="preserve">QHH-0108</t>
  </si>
  <si>
    <t xml:space="preserve">QHH-0109</t>
  </si>
  <si>
    <t xml:space="preserve">QHH-0110</t>
  </si>
  <si>
    <t xml:space="preserve">QHH-0111</t>
  </si>
  <si>
    <t xml:space="preserve">QHH-0112</t>
  </si>
  <si>
    <t xml:space="preserve">QHH-0113</t>
  </si>
  <si>
    <t xml:space="preserve">QHH-0114</t>
  </si>
  <si>
    <t xml:space="preserve">QHH-0115</t>
  </si>
  <si>
    <t xml:space="preserve">QHH-0116</t>
  </si>
  <si>
    <t xml:space="preserve">QHH-0117</t>
  </si>
  <si>
    <t xml:space="preserve">QHH-0118</t>
  </si>
  <si>
    <t xml:space="preserve">QHH-0119</t>
  </si>
  <si>
    <t xml:space="preserve">QHH-0120</t>
  </si>
  <si>
    <t xml:space="preserve">QHH-0121</t>
  </si>
  <si>
    <t xml:space="preserve">QHH-0122</t>
  </si>
  <si>
    <t xml:space="preserve">QHH-0123</t>
  </si>
  <si>
    <t xml:space="preserve">QHH-0124</t>
  </si>
  <si>
    <t xml:space="preserve">QHH-0125</t>
  </si>
  <si>
    <t xml:space="preserve">QHH-0126</t>
  </si>
  <si>
    <t xml:space="preserve">QHH-0127</t>
  </si>
  <si>
    <t xml:space="preserve">QHH-0128</t>
  </si>
  <si>
    <t xml:space="preserve">QHH-0129</t>
  </si>
  <si>
    <t xml:space="preserve">QHH-0130</t>
  </si>
  <si>
    <t xml:space="preserve">QHH-0131</t>
  </si>
  <si>
    <t xml:space="preserve">QHH-0132</t>
  </si>
  <si>
    <t xml:space="preserve">QHH-0133</t>
  </si>
  <si>
    <t xml:space="preserve">QHH-0134</t>
  </si>
  <si>
    <t xml:space="preserve">QHH-0135</t>
  </si>
  <si>
    <t xml:space="preserve">QHH-0136</t>
  </si>
  <si>
    <t xml:space="preserve">QHH-0137</t>
  </si>
  <si>
    <t xml:space="preserve">QHH-0138</t>
  </si>
  <si>
    <t xml:space="preserve">QHH-0139</t>
  </si>
  <si>
    <t xml:space="preserve">QHH-0140</t>
  </si>
  <si>
    <t xml:space="preserve">QHH-0141</t>
  </si>
  <si>
    <t xml:space="preserve">QHH-0142</t>
  </si>
  <si>
    <t xml:space="preserve">QHH-0143</t>
  </si>
  <si>
    <t xml:space="preserve">QHH-0144</t>
  </si>
  <si>
    <t xml:space="preserve">QHH-0145</t>
  </si>
  <si>
    <t xml:space="preserve">QHH-0146</t>
  </si>
  <si>
    <t xml:space="preserve">QHH-0147</t>
  </si>
  <si>
    <t xml:space="preserve">QHH-0148</t>
  </si>
  <si>
    <t xml:space="preserve">QHH-0149</t>
  </si>
  <si>
    <t xml:space="preserve">QHH-0150</t>
  </si>
  <si>
    <t xml:space="preserve">QHH-0151</t>
  </si>
  <si>
    <t xml:space="preserve">QHH-0152</t>
  </si>
  <si>
    <t xml:space="preserve">QHH-0153</t>
  </si>
  <si>
    <t xml:space="preserve">QHH-0154</t>
  </si>
  <si>
    <t xml:space="preserve">QHH-0155</t>
  </si>
  <si>
    <t xml:space="preserve">QHH-0156</t>
  </si>
  <si>
    <t xml:space="preserve">QHH-0157</t>
  </si>
  <si>
    <t xml:space="preserve">QHH-0158</t>
  </si>
  <si>
    <t xml:space="preserve">QHH-0159</t>
  </si>
  <si>
    <t xml:space="preserve">QHH-0160</t>
  </si>
  <si>
    <t xml:space="preserve">QHH-0161</t>
  </si>
  <si>
    <t xml:space="preserve">QHH-0162</t>
  </si>
  <si>
    <t xml:space="preserve">QHH-0163</t>
  </si>
  <si>
    <t xml:space="preserve">QHH-0164</t>
  </si>
  <si>
    <t xml:space="preserve">QHH-0165</t>
  </si>
  <si>
    <t xml:space="preserve">QHH-0166</t>
  </si>
  <si>
    <t xml:space="preserve">QHH-0167</t>
  </si>
  <si>
    <t xml:space="preserve">QHH-0168</t>
  </si>
  <si>
    <t xml:space="preserve">QHH-0169</t>
  </si>
  <si>
    <t xml:space="preserve">QHH-0170</t>
  </si>
  <si>
    <t xml:space="preserve">QHH-0171</t>
  </si>
  <si>
    <t xml:space="preserve">QHH-0172</t>
  </si>
  <si>
    <t xml:space="preserve">QHH-0173</t>
  </si>
  <si>
    <t xml:space="preserve">QHH-0174</t>
  </si>
  <si>
    <t xml:space="preserve">QHH-0175</t>
  </si>
  <si>
    <t xml:space="preserve">QHH-0176</t>
  </si>
  <si>
    <t xml:space="preserve">QHH-0177</t>
  </si>
  <si>
    <t xml:space="preserve">QHH-0178</t>
  </si>
  <si>
    <t xml:space="preserve">QHH-0179</t>
  </si>
  <si>
    <t xml:space="preserve">QHH-0180</t>
  </si>
  <si>
    <t xml:space="preserve">QHH-0181</t>
  </si>
  <si>
    <t xml:space="preserve">QHH-0182</t>
  </si>
  <si>
    <t xml:space="preserve">QHH-0183</t>
  </si>
  <si>
    <t xml:space="preserve">QHH-0184</t>
  </si>
  <si>
    <t xml:space="preserve">QHH-0185</t>
  </si>
  <si>
    <t xml:space="preserve">QHH-0186</t>
  </si>
  <si>
    <t xml:space="preserve">QHH-0187</t>
  </si>
  <si>
    <t xml:space="preserve">QHH-0188</t>
  </si>
  <si>
    <t xml:space="preserve">QHH-0189</t>
  </si>
  <si>
    <t xml:space="preserve">QHH-0190</t>
  </si>
  <si>
    <t xml:space="preserve">QHH-0191</t>
  </si>
  <si>
    <t xml:space="preserve">QHH-0192</t>
  </si>
  <si>
    <t xml:space="preserve">QHH-0193</t>
  </si>
  <si>
    <t xml:space="preserve">QHH-0194</t>
  </si>
  <si>
    <t xml:space="preserve">QHH-0195</t>
  </si>
  <si>
    <t xml:space="preserve">QHH-0196</t>
  </si>
  <si>
    <t xml:space="preserve">QHH-0197</t>
  </si>
  <si>
    <t xml:space="preserve">QHH-0198</t>
  </si>
  <si>
    <t xml:space="preserve">QHH-0199</t>
  </si>
  <si>
    <t xml:space="preserve">QHH-0200</t>
  </si>
  <si>
    <t xml:space="preserve">QHH-0201</t>
  </si>
  <si>
    <t xml:space="preserve">QHH-0202</t>
  </si>
  <si>
    <t xml:space="preserve">QHH-0203</t>
  </si>
  <si>
    <t xml:space="preserve">QHH-0204</t>
  </si>
  <si>
    <t xml:space="preserve">QHH-0205</t>
  </si>
  <si>
    <t xml:space="preserve">QHH-0206</t>
  </si>
  <si>
    <t xml:space="preserve">QHH-0207</t>
  </si>
  <si>
    <t xml:space="preserve">QHH-0208</t>
  </si>
  <si>
    <t xml:space="preserve">QHH-0209</t>
  </si>
  <si>
    <t xml:space="preserve">QHH-0210</t>
  </si>
  <si>
    <t xml:space="preserve">QHH-0211</t>
  </si>
  <si>
    <t xml:space="preserve">QHH-0212</t>
  </si>
  <si>
    <t xml:space="preserve">QHH-0213</t>
  </si>
  <si>
    <t xml:space="preserve">QHH-0214</t>
  </si>
  <si>
    <t xml:space="preserve">QHH-0215</t>
  </si>
  <si>
    <t xml:space="preserve">QHH-0216</t>
  </si>
  <si>
    <t xml:space="preserve">QHH-0217</t>
  </si>
  <si>
    <t xml:space="preserve">QHH-0218</t>
  </si>
  <si>
    <t xml:space="preserve">QHH-0219</t>
  </si>
  <si>
    <t xml:space="preserve">QHH-0220</t>
  </si>
  <si>
    <t xml:space="preserve">QHH-0221</t>
  </si>
  <si>
    <t xml:space="preserve">QHH-0222</t>
  </si>
  <si>
    <t xml:space="preserve">QHH-0223</t>
  </si>
  <si>
    <t xml:space="preserve">QHH-0224</t>
  </si>
  <si>
    <t xml:space="preserve">QHH-0225</t>
  </si>
  <si>
    <t xml:space="preserve">QHH-0226</t>
  </si>
  <si>
    <t xml:space="preserve">QHH-0227</t>
  </si>
  <si>
    <t xml:space="preserve">QHH-0228</t>
  </si>
  <si>
    <t xml:space="preserve">QHH-0229</t>
  </si>
  <si>
    <t xml:space="preserve">QHH-0230</t>
  </si>
  <si>
    <t xml:space="preserve">QHH-0231</t>
  </si>
  <si>
    <t xml:space="preserve">QHH-0232</t>
  </si>
  <si>
    <t xml:space="preserve">QHH-0233</t>
  </si>
  <si>
    <t xml:space="preserve">QHH-0234</t>
  </si>
  <si>
    <t xml:space="preserve">QHH-0235</t>
  </si>
  <si>
    <t xml:space="preserve">QHH-0236</t>
  </si>
  <si>
    <t xml:space="preserve">QHH-0237</t>
  </si>
  <si>
    <t xml:space="preserve">QHH-0238</t>
  </si>
  <si>
    <t xml:space="preserve">QHH-0239</t>
  </si>
  <si>
    <t xml:space="preserve">QHH-0240</t>
  </si>
  <si>
    <t xml:space="preserve">QHH-0241</t>
  </si>
  <si>
    <t xml:space="preserve">QHH-0242</t>
  </si>
  <si>
    <t xml:space="preserve">QHH-0243</t>
  </si>
  <si>
    <t xml:space="preserve">Step 2. Map</t>
  </si>
  <si>
    <t xml:space="preserve">These crosswalks translate each hospital's wording into one set of standard positions, reporting categories, and programs. Matching ignores capitalization and extra spaces.</t>
  </si>
  <si>
    <t xml:space="preserve">Title as reported</t>
  </si>
  <si>
    <t xml:space="preserve">Standard position</t>
  </si>
  <si>
    <t xml:space="preserve">Job family</t>
  </si>
  <si>
    <t xml:space="preserve">Category as reported</t>
  </si>
  <si>
    <t xml:space="preserve">Standard category</t>
  </si>
  <si>
    <t xml:space="preserve">Schedule H line</t>
  </si>
  <si>
    <t xml:space="preserve">Program as reported</t>
  </si>
  <si>
    <t xml:space="preserve">Standard program</t>
  </si>
  <si>
    <t xml:space="preserve">Health priority area</t>
  </si>
  <si>
    <t xml:space="preserve">Logging basis</t>
  </si>
  <si>
    <t xml:space="preserve">Line label on the 2025 Schedule H (Form 990)</t>
  </si>
  <si>
    <t xml:space="preserve">Provider</t>
  </si>
  <si>
    <t xml:space="preserve">Community health education</t>
  </si>
  <si>
    <t xml:space="preserve">Food and housing security</t>
  </si>
  <si>
    <t xml:space="preserve">Event</t>
  </si>
  <si>
    <t xml:space="preserve">Part I, line 7a: Financial assistance at cost (from Worksheet 1)</t>
  </si>
  <si>
    <t xml:space="preserve">Community-based clinical services</t>
  </si>
  <si>
    <t xml:space="preserve">Part I, line 7b: Medicaid (from Worksheet 3, column a)</t>
  </si>
  <si>
    <t xml:space="preserve">Health care support services</t>
  </si>
  <si>
    <t xml:space="preserve">Car Seat Safety Checks</t>
  </si>
  <si>
    <t xml:space="preserve">Maternal and child health</t>
  </si>
  <si>
    <t xml:space="preserve">Part I, line 7c: Costs of other means-tested government programs (from Worksheet 3, column b)</t>
  </si>
  <si>
    <t xml:space="preserve">Community benefit operations</t>
  </si>
  <si>
    <t xml:space="preserve">Part I, line 7d: Total. Financial assistance and means-tested government programs</t>
  </si>
  <si>
    <t xml:space="preserve">Part I, line 7e: Community health improvement services and community benefit operations (from Worksheet 4)</t>
  </si>
  <si>
    <t xml:space="preserve">Part I, line 7f: Health professions education (from Worksheet 5)</t>
  </si>
  <si>
    <t xml:space="preserve">Part I, line 7g: Subsidized health services (from Worksheet 6)</t>
  </si>
  <si>
    <t xml:space="preserve">Community building: physical improvements and housing</t>
  </si>
  <si>
    <t xml:space="preserve">Part I, line 7h: Research (from Worksheet 7)</t>
  </si>
  <si>
    <t xml:space="preserve">Community building: economic development</t>
  </si>
  <si>
    <t xml:space="preserve">Community benefit infrastructure</t>
  </si>
  <si>
    <t xml:space="preserve">Monthly</t>
  </si>
  <si>
    <t xml:space="preserve">Part I, line 7i: Cash and in-kind contributions for community benefit (from Worksheet 8)</t>
  </si>
  <si>
    <t xml:space="preserve">Community building: coalition building</t>
  </si>
  <si>
    <t xml:space="preserve">Community building: community support</t>
  </si>
  <si>
    <t xml:space="preserve">Part I, line 7j: Total. Other benefits</t>
  </si>
  <si>
    <t xml:space="preserve">Community building: workforce development</t>
  </si>
  <si>
    <t xml:space="preserve">Community building: environmental improvements</t>
  </si>
  <si>
    <t xml:space="preserve">Part I, line 7k: Total. Add lines 7d and 7j</t>
  </si>
  <si>
    <t xml:space="preserve">PGY-3</t>
  </si>
  <si>
    <t xml:space="preserve">Community building: leadership development</t>
  </si>
  <si>
    <t xml:space="preserve">Part II, line 1: Physical improvements and housing</t>
  </si>
  <si>
    <t xml:space="preserve">Part II, line 2: Economic development</t>
  </si>
  <si>
    <t xml:space="preserve">Chronic disease prevention</t>
  </si>
  <si>
    <t xml:space="preserve">Community building: health improvement advocacy</t>
  </si>
  <si>
    <t xml:space="preserve">Part II, line 3: Community support</t>
  </si>
  <si>
    <t xml:space="preserve">Part II, line 4: Environmental improvements</t>
  </si>
  <si>
    <t xml:space="preserve">Needs review</t>
  </si>
  <si>
    <t xml:space="preserve">UNASSIGNED</t>
  </si>
  <si>
    <t xml:space="preserve">Part II, line 5: Leadership development and training for community members</t>
  </si>
  <si>
    <t xml:space="preserve">Part II, line 6: Coalition building</t>
  </si>
  <si>
    <t xml:space="preserve">Part II, line 7: Community health improvement advocacy</t>
  </si>
  <si>
    <t xml:space="preserve">Part II, line 8: Workforce development</t>
  </si>
  <si>
    <t xml:space="preserve">Nursing</t>
  </si>
  <si>
    <t xml:space="preserve">Part II, line 9: Other</t>
  </si>
  <si>
    <t xml:space="preserve">Community Garden and Green Space Project</t>
  </si>
  <si>
    <t xml:space="preserve">Part II, line 10: Total</t>
  </si>
  <si>
    <t xml:space="preserve">CB-Workforce</t>
  </si>
  <si>
    <t xml:space="preserve">Not yet assigned. Resolve on CONFIRM before the summary is final.</t>
  </si>
  <si>
    <t xml:space="preserve">Access to care</t>
  </si>
  <si>
    <t xml:space="preserve">Community Paramedic Home Visits</t>
  </si>
  <si>
    <t xml:space="preserve">Clinical support</t>
  </si>
  <si>
    <t xml:space="preserve">Fall Prevention Classes for Older Adults</t>
  </si>
  <si>
    <t xml:space="preserve">Health workforce</t>
  </si>
  <si>
    <t xml:space="preserve">Contribution</t>
  </si>
  <si>
    <t xml:space="preserve">Allied health</t>
  </si>
  <si>
    <t xml:space="preserve">Free Sports Physicals</t>
  </si>
  <si>
    <t xml:space="preserve">Behavioral health</t>
  </si>
  <si>
    <t xml:space="preserve">Comm Health Ed</t>
  </si>
  <si>
    <t xml:space="preserve">Health Careers Summer Camp</t>
  </si>
  <si>
    <t xml:space="preserve">In-Kind</t>
  </si>
  <si>
    <t xml:space="preserve">Cash Donation</t>
  </si>
  <si>
    <t xml:space="preserve">Student Precepting</t>
  </si>
  <si>
    <t xml:space="preserve">Clinical Rotations</t>
  </si>
  <si>
    <t xml:space="preserve">CB Ops</t>
  </si>
  <si>
    <t xml:space="preserve">Coalition</t>
  </si>
  <si>
    <t xml:space="preserve">Workforce</t>
  </si>
  <si>
    <t xml:space="preserve">Housing</t>
  </si>
  <si>
    <t xml:space="preserve">Neighborhood Leadership Academy</t>
  </si>
  <si>
    <t xml:space="preserve">Paramedic Student Field Training</t>
  </si>
  <si>
    <t xml:space="preserve">Produce Prescription Program</t>
  </si>
  <si>
    <t xml:space="preserve">Regional Food Bank Contribution</t>
  </si>
  <si>
    <t xml:space="preserve">Community health</t>
  </si>
  <si>
    <t xml:space="preserve">Rural Maternal Outcomes Study</t>
  </si>
  <si>
    <t xml:space="preserve">Smoke-Free Parks Advocacy</t>
  </si>
  <si>
    <t xml:space="preserve">Administration</t>
  </si>
  <si>
    <t xml:space="preserve">Leadership</t>
  </si>
  <si>
    <t xml:space="preserve">No staff time</t>
  </si>
  <si>
    <t xml:space="preserve">None</t>
  </si>
  <si>
    <t xml:space="preserve">Step 3. Confirm</t>
  </si>
  <si>
    <t xml:space="preserve">These rows needed a question back to the hospital. Yellow cells hold the confirmed value, which COST uses in place of the reported value. Leave a cell blank to keep the reported value.</t>
  </si>
  <si>
    <t xml:space="preserve">Issue</t>
  </si>
  <si>
    <t xml:space="preserve">Field</t>
  </si>
  <si>
    <t xml:space="preserve">Value as reported</t>
  </si>
  <si>
    <t xml:space="preserve">Confirmed hours</t>
  </si>
  <si>
    <t xml:space="preserve">Confirmed date</t>
  </si>
  <si>
    <t xml:space="preserve">Confirmed position</t>
  </si>
  <si>
    <t xml:space="preserve">Confirmed category</t>
  </si>
  <si>
    <t xml:space="preserve">Include (0 = exclude)</t>
  </si>
  <si>
    <t xml:space="preserve">Blank hours</t>
  </si>
  <si>
    <t xml:space="preserve">(blank)</t>
  </si>
  <si>
    <t xml:space="preserve">Hours confirmed by the KVMC community benefit lead from the program sign-in sheet.</t>
  </si>
  <si>
    <t xml:space="preserve">Unknown staff title</t>
  </si>
  <si>
    <t xml:space="preserve">Staff title</t>
  </si>
  <si>
    <t xml:space="preserve">The KVMC community benefit lead identified the position as Licensed Therapist.</t>
  </si>
  <si>
    <t xml:space="preserve">Hours look high</t>
  </si>
  <si>
    <t xml:space="preserve">A 2 to 3 hour class was logged as 20.0 hours. The Alder Springs outreach manager confirmed 2 hours.</t>
  </si>
  <si>
    <t xml:space="preserve">Hours confirmed by the Alder Springs outreach manager from the program sign-in sheet.</t>
  </si>
  <si>
    <t xml:space="preserve">Category conflicts with program</t>
  </si>
  <si>
    <t xml:space="preserve">Coalition meetings are reported in Part II, line 6 by every other hospital. The rows were reassigned so the program is reported in one place only.</t>
  </si>
  <si>
    <t xml:space="preserve">Date not readable</t>
  </si>
  <si>
    <t xml:space="preserve">Day and month were typed in swapped positions, so the date was corrected to match the class roster.</t>
  </si>
  <si>
    <t xml:space="preserve">Hours confirmed by the Cedar Bend community health director from the program sign-in sheet.</t>
  </si>
  <si>
    <t xml:space="preserve">The Cedar Bend community health director confirmed the session was cancelled for weather, so the row was excluded.</t>
  </si>
  <si>
    <t xml:space="preserve">Outside fiscal year</t>
  </si>
  <si>
    <t xml:space="preserve">The activity took place in FY2025 and was already reported last year, so the row was excluded.</t>
  </si>
  <si>
    <t xml:space="preserve">Category needs review</t>
  </si>
  <si>
    <t xml:space="preserve">Wrenfield uses one 'community building' label for two programs. Each program was assigned the Part II line that fits it.</t>
  </si>
  <si>
    <t xml:space="preserve">Hours confirmed by the Wrenfield CFO's office from the program sign-in sheet.</t>
  </si>
  <si>
    <t xml:space="preserve">The Wrenfield CFO's office identified the position as Community Health Worker.</t>
  </si>
  <si>
    <t xml:space="preserve">The Quarry Hill community benefit coordinator identified the position as Medical Assistant.</t>
  </si>
  <si>
    <t xml:space="preserve">The Quarry Hill community benefit coordinator confirmed the session was cancelled for weather, so the row was excluded.</t>
  </si>
  <si>
    <t xml:space="preserve">Hours confirmed by the Quarry Hill community benefit coordinator from the program sign-in sheet.</t>
  </si>
  <si>
    <t xml:space="preserve">Not a community activity</t>
  </si>
  <si>
    <t xml:space="preserve">Include</t>
  </si>
  <si>
    <t xml:space="preserve">This was a staff-only event, so it was excluded under the system's community benefit reporting policy.</t>
  </si>
  <si>
    <t xml:space="preserve">Hourly cost rates</t>
  </si>
  <si>
    <t xml:space="preserve">Loaded hourly rate = base hourly wage x (1 + benefits load). Yellow cells are inputs.</t>
  </si>
  <si>
    <t xml:space="preserve">System benefits load</t>
  </si>
  <si>
    <t xml:space="preserve">Base hourly wage</t>
  </si>
  <si>
    <t xml:space="preserve">Benefits load</t>
  </si>
  <si>
    <t xml:space="preserve">Loaded hourly rate</t>
  </si>
  <si>
    <t xml:space="preserve">Rate note</t>
  </si>
  <si>
    <t xml:space="preserve">Resident benefits package differs from the system load.</t>
  </si>
  <si>
    <t xml:space="preserve">Used for cash and in-kind contributions, which carry no staff time.</t>
  </si>
  <si>
    <t xml:space="preserve">These are sample rates for illustration. In live use, base wages come from payroll as the average hourly wage by job code for the fiscal year.</t>
  </si>
  <si>
    <t xml:space="preserve">Inputs from finance</t>
  </si>
  <si>
    <t xml:space="preserve">This sheet holds the reporting period, hospital expense totals, indirect cost rates, and the Schedule H lines that come from finance worksheets rather than activity logs.</t>
  </si>
  <si>
    <t xml:space="preserve">Fiscal year</t>
  </si>
  <si>
    <t xml:space="preserve">FY2026</t>
  </si>
  <si>
    <t xml:space="preserve">Fiscal year start</t>
  </si>
  <si>
    <t xml:space="preserve">Fiscal year end</t>
  </si>
  <si>
    <t xml:space="preserve">Hospital code</t>
  </si>
  <si>
    <t xml:space="preserve">Setting</t>
  </si>
  <si>
    <t xml:space="preserve">Licensed beds</t>
  </si>
  <si>
    <t xml:space="preserve">Total expense (Form 990, Part IX, line 25, col. A)</t>
  </si>
  <si>
    <t xml:space="preserve">Bad debt expense included in total expense</t>
  </si>
  <si>
    <t xml:space="preserve">Indirect cost rate (applied to staff cost)</t>
  </si>
  <si>
    <t xml:space="preserve">Kestrel Valley Medical Center</t>
  </si>
  <si>
    <t xml:space="preserve">Urban teaching hospital</t>
  </si>
  <si>
    <t xml:space="preserve">Alder Springs Hospital</t>
  </si>
  <si>
    <t xml:space="preserve">Suburban community hospital</t>
  </si>
  <si>
    <t xml:space="preserve">Cedar Bend Hospital</t>
  </si>
  <si>
    <t xml:space="preserve">Wrenfield Community Hospital</t>
  </si>
  <si>
    <t xml:space="preserve">Rural community hospital</t>
  </si>
  <si>
    <t xml:space="preserve">Quarry Hill Hospital</t>
  </si>
  <si>
    <t xml:space="preserve">Small-city community hospital</t>
  </si>
  <si>
    <t xml:space="preserve">Percent of total expense uses net community benefit expense over total expense less bad debt, following the Schedule H instructions for column (f).</t>
  </si>
  <si>
    <t xml:space="preserve">Line description</t>
  </si>
  <si>
    <t xml:space="preserve">Total community benefit expense</t>
  </si>
  <si>
    <t xml:space="preserve">Direct offsetting revenue</t>
  </si>
  <si>
    <t xml:space="preserve">Net community benefit expense</t>
  </si>
  <si>
    <t xml:space="preserve">Finance, Worksheet 1</t>
  </si>
  <si>
    <t xml:space="preserve">Finance, Worksheet 3, column a</t>
  </si>
  <si>
    <t xml:space="preserve">Finance, Worksheet 3, column b</t>
  </si>
  <si>
    <t xml:space="preserve">Finance, Worksheet 6</t>
  </si>
  <si>
    <t xml:space="preserve">Step 4. Cost</t>
  </si>
  <si>
    <t xml:space="preserve">Each stacked row gets its standard program, position, and Schedule H line, cleaned hours and dates, and a cost at the loaded hourly rate. Total expense includes the hospital's indirect cost rate on staff cost.</t>
  </si>
  <si>
    <t xml:space="preserve">CONFIRM row</t>
  </si>
  <si>
    <t xml:space="preserve">Category (after review)</t>
  </si>
  <si>
    <t xml:space="preserve">In fiscal year</t>
  </si>
  <si>
    <t xml:space="preserve">Staff title (as reported)</t>
  </si>
  <si>
    <t xml:space="preserve">Staff cost</t>
  </si>
  <si>
    <t xml:space="preserve">Indirect cost</t>
  </si>
  <si>
    <t xml:space="preserve">Direct non-staff cost</t>
  </si>
  <si>
    <t xml:space="preserve">Persons served</t>
  </si>
  <si>
    <t xml:space="preserve">Review flags</t>
  </si>
  <si>
    <t xml:space="preserve">Include (1 = yes)</t>
  </si>
  <si>
    <t xml:space="preserve">Counts as activity</t>
  </si>
  <si>
    <t xml:space="preserve">Step 5. Review</t>
  </si>
  <si>
    <t xml:space="preserve">Each row gets a match key (standard program, date, standard position, hours). Rows that share a key are flagged for review, and the reviewer decision controls whether the row is included.</t>
  </si>
  <si>
    <t xml:space="preserve">Match key</t>
  </si>
  <si>
    <t xml:space="preserve">Rows with this key</t>
  </si>
  <si>
    <t xml:space="preserve">Occurrence</t>
  </si>
  <si>
    <t xml:space="preserve">Matches at another hospital</t>
  </si>
  <si>
    <t xml:space="preserve">Flag</t>
  </si>
  <si>
    <t xml:space="preserve">Reviewer decision</t>
  </si>
  <si>
    <t xml:space="preserve">Reviewer note</t>
  </si>
  <si>
    <t xml:space="preserve">Keep</t>
  </si>
  <si>
    <t xml:space="preserve">This is the reporting hospital of record.</t>
  </si>
  <si>
    <t xml:space="preserve">This is the first occurrence.</t>
  </si>
  <si>
    <t xml:space="preserve">Exclude (duplicate)</t>
  </si>
  <si>
    <t xml:space="preserve">The same month was pasted twice in the log.</t>
  </si>
  <si>
    <t xml:space="preserve">KVMC also reported this row and carries system-level work, so it was removed from this hospital's total.</t>
  </si>
  <si>
    <t xml:space="preserve">Keep (not a duplicate)</t>
  </si>
  <si>
    <t xml:space="preserve">These were separate AM and PM sessions on the same day (see Notes).</t>
  </si>
</sst>
</file>

<file path=xl/styles.xml><?xml version="1.0" encoding="utf-8"?>
<styleSheet xmlns="http://schemas.openxmlformats.org/spreadsheetml/2006/main">
  <numFmts count="11">
    <numFmt numFmtId="164" formatCode="General"/>
    <numFmt numFmtId="165" formatCode="\$#,##0;&quot;($&quot;#,##0\);\-"/>
    <numFmt numFmtId="166" formatCode="#,##0;\(#,##0\);\-"/>
    <numFmt numFmtId="167" formatCode="0.0"/>
    <numFmt numFmtId="168" formatCode="0.00%"/>
    <numFmt numFmtId="169" formatCode="m/d/yyyy"/>
    <numFmt numFmtId="170" formatCode="mm/dd/yyyy"/>
    <numFmt numFmtId="171" formatCode="0.0%"/>
    <numFmt numFmtId="172" formatCode="\$#,##0.00"/>
    <numFmt numFmtId="173" formatCode="0.00"/>
    <numFmt numFmtId="174" formatCode="#,##0.00;\(#,##0.00\);\-"/>
  </numFmts>
  <fonts count="24">
    <font>
      <sz val="11"/>
      <color theme="1"/>
      <name val="Calibri"/>
      <family val="2"/>
      <charset val="1"/>
    </font>
    <font>
      <sz val="10"/>
      <name val="Arial"/>
      <family val="0"/>
    </font>
    <font>
      <sz val="10"/>
      <name val="Arial"/>
      <family val="0"/>
    </font>
    <font>
      <sz val="10"/>
      <name val="Arial"/>
      <family val="0"/>
    </font>
    <font>
      <b val="true"/>
      <sz val="18"/>
      <color rgb="FF1F5F5B"/>
      <name val="Arial"/>
      <family val="0"/>
      <charset val="1"/>
    </font>
    <font>
      <sz val="11"/>
      <color rgb="FF6B7B7F"/>
      <name val="Arial"/>
      <family val="0"/>
      <charset val="1"/>
    </font>
    <font>
      <i val="true"/>
      <sz val="9"/>
      <color rgb="FF6B7B7F"/>
      <name val="Arial"/>
      <family val="0"/>
      <charset val="1"/>
    </font>
    <font>
      <b val="true"/>
      <sz val="12"/>
      <color rgb="FF1F5F5B"/>
      <name val="Arial"/>
      <family val="0"/>
      <charset val="1"/>
    </font>
    <font>
      <sz val="10"/>
      <color rgb="FF1C2B30"/>
      <name val="Arial"/>
      <family val="0"/>
      <charset val="1"/>
    </font>
    <font>
      <b val="true"/>
      <sz val="10"/>
      <color rgb="FFFFFFFF"/>
      <name val="Arial"/>
      <family val="0"/>
      <charset val="1"/>
    </font>
    <font>
      <b val="true"/>
      <sz val="15"/>
      <color rgb="FF1F5F5B"/>
      <name val="Arial"/>
      <family val="0"/>
      <charset val="1"/>
    </font>
    <font>
      <sz val="10"/>
      <color rgb="FF6B7B7F"/>
      <name val="Arial"/>
      <family val="0"/>
      <charset val="1"/>
    </font>
    <font>
      <b val="true"/>
      <sz val="10"/>
      <color rgb="FF1C2B30"/>
      <name val="Arial"/>
      <family val="0"/>
      <charset val="1"/>
    </font>
    <font>
      <b val="true"/>
      <sz val="11"/>
      <color rgb="FF1F3FBF"/>
      <name val="Arial"/>
      <family val="0"/>
      <charset val="1"/>
    </font>
    <font>
      <b val="true"/>
      <sz val="11"/>
      <color rgb="FF1C2B30"/>
      <name val="Arial"/>
      <family val="0"/>
      <charset val="1"/>
    </font>
    <font>
      <b val="true"/>
      <sz val="11"/>
      <color rgb="FF1F5F5B"/>
      <name val="Arial"/>
      <family val="0"/>
      <charset val="1"/>
    </font>
    <font>
      <b val="true"/>
      <i val="true"/>
      <sz val="10"/>
      <color rgb="FF1C2B30"/>
      <name val="Arial"/>
      <family val="0"/>
      <charset val="1"/>
    </font>
    <font>
      <sz val="9"/>
      <color rgb="FF6B7B7F"/>
      <name val="Arial"/>
      <family val="0"/>
      <charset val="1"/>
    </font>
    <font>
      <b val="true"/>
      <sz val="18"/>
      <color rgb="FF000000"/>
      <name val="Calibri"/>
      <family val="2"/>
    </font>
    <font>
      <sz val="10"/>
      <color rgb="FF000000"/>
      <name val="Calibri"/>
      <family val="2"/>
    </font>
    <font>
      <sz val="10"/>
      <color rgb="FF1E7B34"/>
      <name val="Arial"/>
      <family val="0"/>
      <charset val="1"/>
    </font>
    <font>
      <b val="true"/>
      <sz val="10"/>
      <color rgb="FF1F5F5B"/>
      <name val="Arial"/>
      <family val="0"/>
      <charset val="1"/>
    </font>
    <font>
      <sz val="10"/>
      <color rgb="FF1F3FBF"/>
      <name val="Arial"/>
      <family val="0"/>
      <charset val="1"/>
    </font>
    <font>
      <sz val="10"/>
      <name val="Arial"/>
      <family val="2"/>
    </font>
  </fonts>
  <fills count="6">
    <fill>
      <patternFill patternType="none"/>
    </fill>
    <fill>
      <patternFill patternType="gray125"/>
    </fill>
    <fill>
      <patternFill patternType="solid">
        <fgColor rgb="FF1F5F5B"/>
        <bgColor rgb="FF1E6B34"/>
      </patternFill>
    </fill>
    <fill>
      <patternFill patternType="solid">
        <fgColor rgb="FFFFF6D5"/>
        <bgColor rgb="FFF2F5F4"/>
      </patternFill>
    </fill>
    <fill>
      <patternFill patternType="solid">
        <fgColor rgb="FFF2F5F4"/>
        <bgColor rgb="FFE9ECEC"/>
      </patternFill>
    </fill>
    <fill>
      <patternFill patternType="solid">
        <fgColor rgb="FFE9ECEC"/>
        <bgColor rgb="FFF2F5F4"/>
      </patternFill>
    </fill>
  </fills>
  <borders count="3">
    <border diagonalUp="false" diagonalDown="false">
      <left/>
      <right/>
      <top/>
      <bottom/>
      <diagonal/>
    </border>
    <border diagonalUp="false" diagonalDown="false">
      <left/>
      <right/>
      <top/>
      <bottom style="thin">
        <color rgb="FFD5DEDC"/>
      </bottom>
      <diagonal/>
    </border>
    <border diagonalUp="false" diagonalDown="false">
      <left/>
      <right/>
      <top style="thin">
        <color rgb="FF1C2B3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true" applyAlignment="true" applyProtection="true">
      <alignment horizontal="general" vertical="top" textRotation="0" wrapText="true" indent="0" shrinkToFit="false"/>
      <protection locked="true" hidden="false"/>
    </xf>
    <xf numFmtId="164" fontId="9" fillId="2" borderId="0" xfId="0" applyFont="true" applyBorder="false" applyAlignment="true" applyProtection="true">
      <alignment horizontal="general" vertical="center" textRotation="0" wrapText="true" indent="0" shrinkToFit="false"/>
      <protection locked="true" hidden="false"/>
    </xf>
    <xf numFmtId="164" fontId="0" fillId="0" borderId="1" xfId="0" applyFont="true" applyBorder="true" applyAlignment="true" applyProtection="true">
      <alignment horizontal="general" vertical="top" textRotation="0" wrapText="true" indent="0" shrinkToFit="false"/>
      <protection locked="true" hidden="false"/>
    </xf>
    <xf numFmtId="164" fontId="0" fillId="0" borderId="0" xfId="0" applyFont="false" applyBorder="false" applyAlignment="true" applyProtection="true">
      <alignment horizontal="right" vertical="top" textRotation="0" wrapText="false" indent="0" shrinkToFit="false"/>
      <protection locked="true" hidden="false"/>
    </xf>
    <xf numFmtId="164" fontId="0" fillId="0" borderId="0" xfId="0" applyFont="true" applyBorder="true" applyAlignment="true" applyProtection="true">
      <alignment horizontal="general" vertical="top" textRotation="0" wrapText="tru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3" borderId="0" xfId="0" applyFont="true" applyBorder="false" applyAlignment="true" applyProtection="true">
      <alignment horizontal="general"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5" fontId="12"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16" fillId="4" borderId="0" xfId="0" applyFont="true" applyBorder="false" applyAlignment="true" applyProtection="true">
      <alignment horizontal="general" vertical="bottom" textRotation="0" wrapText="false" indent="0" shrinkToFit="false"/>
      <protection locked="true" hidden="false"/>
    </xf>
    <xf numFmtId="164" fontId="0" fillId="4"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top" textRotation="0" wrapText="true" indent="0" shrinkToFit="false"/>
      <protection locked="true" hidden="false"/>
    </xf>
    <xf numFmtId="166"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7" fontId="17"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center" textRotation="0" wrapText="false" indent="0" shrinkToFit="false"/>
      <protection locked="true" hidden="false"/>
    </xf>
    <xf numFmtId="164" fontId="0" fillId="0" borderId="0" xfId="0" applyFont="true" applyBorder="false" applyAlignment="true" applyProtection="true">
      <alignment horizontal="general" vertical="center" textRotation="0" wrapText="true" indent="0" shrinkToFit="false"/>
      <protection locked="true" hidden="false"/>
    </xf>
    <xf numFmtId="166" fontId="0" fillId="0" borderId="0" xfId="0" applyFont="false" applyBorder="false" applyAlignment="true" applyProtection="true">
      <alignment horizontal="general" vertical="center" textRotation="0" wrapText="false" indent="0" shrinkToFit="false"/>
      <protection locked="true" hidden="false"/>
    </xf>
    <xf numFmtId="165" fontId="0" fillId="0" borderId="0" xfId="0" applyFont="false" applyBorder="false" applyAlignment="true" applyProtection="true">
      <alignment horizontal="general" vertical="center" textRotation="0" wrapText="false" indent="0" shrinkToFit="false"/>
      <protection locked="true" hidden="false"/>
    </xf>
    <xf numFmtId="168" fontId="0" fillId="0" borderId="0" xfId="0" applyFont="false" applyBorder="false" applyAlignment="true" applyProtection="true">
      <alignment horizontal="general" vertical="center" textRotation="0" wrapText="false" indent="0" shrinkToFit="false"/>
      <protection locked="true" hidden="false"/>
    </xf>
    <xf numFmtId="164" fontId="12" fillId="0" borderId="2" xfId="0" applyFont="true" applyBorder="true" applyAlignment="true" applyProtection="true">
      <alignment horizontal="general" vertical="center" textRotation="0" wrapText="false" indent="0" shrinkToFit="false"/>
      <protection locked="true" hidden="false"/>
    </xf>
    <xf numFmtId="164" fontId="12" fillId="0" borderId="2" xfId="0" applyFont="true" applyBorder="true" applyAlignment="true" applyProtection="true">
      <alignment horizontal="general" vertical="center" textRotation="0" wrapText="true" indent="0" shrinkToFit="false"/>
      <protection locked="true" hidden="false"/>
    </xf>
    <xf numFmtId="166" fontId="12" fillId="0" borderId="2" xfId="0" applyFont="true" applyBorder="true" applyAlignment="true" applyProtection="true">
      <alignment horizontal="general" vertical="center" textRotation="0" wrapText="false" indent="0" shrinkToFit="false"/>
      <protection locked="true" hidden="false"/>
    </xf>
    <xf numFmtId="165" fontId="12" fillId="0" borderId="2" xfId="0" applyFont="true" applyBorder="true" applyAlignment="true" applyProtection="true">
      <alignment horizontal="general" vertical="center" textRotation="0" wrapText="false" indent="0" shrinkToFit="false"/>
      <protection locked="true" hidden="false"/>
    </xf>
    <xf numFmtId="168" fontId="12" fillId="0" borderId="2" xfId="0" applyFont="true" applyBorder="true" applyAlignment="true" applyProtection="true">
      <alignment horizontal="general" vertical="center"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8" fontId="0" fillId="0" borderId="0" xfId="0" applyFont="false" applyBorder="false" applyAlignment="true" applyProtection="true">
      <alignment horizontal="general" vertical="bottom" textRotation="0" wrapText="false" indent="0" shrinkToFit="false"/>
      <protection locked="true" hidden="false"/>
    </xf>
    <xf numFmtId="164" fontId="12" fillId="0" borderId="2" xfId="0" applyFont="true" applyBorder="true" applyAlignment="true" applyProtection="true">
      <alignment horizontal="general" vertical="bottom" textRotation="0" wrapText="false" indent="0" shrinkToFit="false"/>
      <protection locked="true" hidden="false"/>
    </xf>
    <xf numFmtId="166" fontId="12" fillId="0" borderId="2" xfId="0" applyFont="true" applyBorder="true" applyAlignment="true" applyProtection="true">
      <alignment horizontal="general" vertical="bottom" textRotation="0" wrapText="false" indent="0" shrinkToFit="false"/>
      <protection locked="true" hidden="false"/>
    </xf>
    <xf numFmtId="165" fontId="12" fillId="0" borderId="2" xfId="0" applyFont="true" applyBorder="true" applyAlignment="true" applyProtection="true">
      <alignment horizontal="general" vertical="bottom" textRotation="0" wrapText="false" indent="0" shrinkToFit="false"/>
      <protection locked="true" hidden="false"/>
    </xf>
    <xf numFmtId="168" fontId="12" fillId="0" borderId="2" xfId="0" applyFont="true" applyBorder="true" applyAlignment="true" applyProtection="true">
      <alignment horizontal="general" vertical="bottom" textRotation="0" wrapText="false" indent="0" shrinkToFit="false"/>
      <protection locked="true" hidden="false"/>
    </xf>
    <xf numFmtId="166" fontId="0" fillId="0" borderId="0" xfId="0" applyFont="false" applyBorder="false" applyAlignment="true" applyProtection="true">
      <alignment horizontal="general" vertical="top" textRotation="0" wrapText="true" indent="0" shrinkToFit="false"/>
      <protection locked="true" hidden="false"/>
    </xf>
    <xf numFmtId="164" fontId="12" fillId="5"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9" fontId="8" fillId="0" borderId="0" xfId="0" applyFont="true" applyBorder="false" applyAlignment="true" applyProtection="true">
      <alignment horizontal="general" vertical="bottom" textRotation="0" wrapText="false" indent="0" shrinkToFit="false"/>
      <protection locked="true" hidden="false"/>
    </xf>
    <xf numFmtId="164" fontId="9" fillId="2" borderId="0" xfId="0" applyFont="true" applyBorder="false" applyAlignment="true" applyProtection="true">
      <alignment horizontal="general" vertical="bottom" textRotation="0" wrapText="fals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9" fontId="20" fillId="0" borderId="0" xfId="0" applyFont="true" applyBorder="false" applyAlignment="true" applyProtection="true">
      <alignment horizontal="general" vertical="bottom" textRotation="0" wrapText="false" indent="0" shrinkToFit="false"/>
      <protection locked="true" hidden="false"/>
    </xf>
    <xf numFmtId="165" fontId="20" fillId="0" borderId="0" xfId="0" applyFont="true" applyBorder="fals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4" fontId="22" fillId="3" borderId="0" xfId="0" applyFont="true" applyBorder="false" applyAlignment="true" applyProtection="true">
      <alignment horizontal="general" vertical="bottom" textRotation="0" wrapText="false" indent="0" shrinkToFit="false"/>
      <protection locked="true" hidden="false"/>
    </xf>
    <xf numFmtId="170" fontId="22" fillId="3" borderId="0" xfId="0" applyFont="true" applyBorder="false" applyAlignment="true" applyProtection="true">
      <alignment horizontal="general" vertical="bottom" textRotation="0" wrapText="false" indent="0" shrinkToFit="false"/>
      <protection locked="true" hidden="false"/>
    </xf>
    <xf numFmtId="171" fontId="22" fillId="3" borderId="0" xfId="0" applyFont="true" applyBorder="false" applyAlignment="true" applyProtection="true">
      <alignment horizontal="general" vertical="bottom" textRotation="0" wrapText="false" indent="0" shrinkToFit="false"/>
      <protection locked="true" hidden="false"/>
    </xf>
    <xf numFmtId="172" fontId="22" fillId="3" borderId="0" xfId="0" applyFont="true" applyBorder="false" applyAlignment="true" applyProtection="true">
      <alignment horizontal="general" vertical="bottom" textRotation="0" wrapText="false" indent="0" shrinkToFit="false"/>
      <protection locked="true" hidden="false"/>
    </xf>
    <xf numFmtId="171" fontId="0" fillId="0" borderId="0" xfId="0" applyFont="false" applyBorder="false" applyAlignment="true" applyProtection="true">
      <alignment horizontal="general" vertical="bottom" textRotation="0" wrapText="false" indent="0" shrinkToFit="false"/>
      <protection locked="true" hidden="false"/>
    </xf>
    <xf numFmtId="172" fontId="0" fillId="0" borderId="0" xfId="0" applyFont="false" applyBorder="false" applyAlignment="true" applyProtection="true">
      <alignment horizontal="general" vertical="bottom" textRotation="0" wrapText="false" indent="0" shrinkToFit="false"/>
      <protection locked="true" hidden="false"/>
    </xf>
    <xf numFmtId="165" fontId="22" fillId="3" borderId="0" xfId="0" applyFont="true" applyBorder="false" applyAlignment="true" applyProtection="true">
      <alignment horizontal="general" vertical="bottom" textRotation="0" wrapText="false" indent="0" shrinkToFit="false"/>
      <protection locked="true" hidden="false"/>
    </xf>
    <xf numFmtId="170" fontId="0" fillId="0" borderId="0" xfId="0" applyFont="false" applyBorder="false" applyAlignment="true" applyProtection="true">
      <alignment horizontal="general" vertical="bottom" textRotation="0" wrapText="false" indent="0" shrinkToFit="false"/>
      <protection locked="true" hidden="false"/>
    </xf>
    <xf numFmtId="173" fontId="0" fillId="0" borderId="0" xfId="0" applyFont="false" applyBorder="false" applyAlignment="true" applyProtection="true">
      <alignment horizontal="general" vertical="bottom" textRotation="0" wrapText="false" indent="0" shrinkToFit="false"/>
      <protection locked="true" hidden="false"/>
    </xf>
    <xf numFmtId="174" fontId="0" fillId="0" borderId="0" xfId="0" applyFont="false" applyBorder="false" applyAlignment="true" applyProtection="true">
      <alignment horizontal="general" vertical="bottom" textRotation="0" wrapText="false" indent="0" shrinkToFit="false"/>
      <protection locked="true" hidden="false"/>
    </xf>
    <xf numFmtId="170" fontId="20" fillId="0" borderId="0" xfId="0" applyFont="true" applyBorder="false" applyAlignment="true" applyProtection="true">
      <alignment horizontal="general" vertical="bottom" textRotation="0" wrapText="false" indent="0" shrinkToFit="false"/>
      <protection locked="true" hidden="false"/>
    </xf>
    <xf numFmtId="173" fontId="20"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6">
    <dxf>
      <fill>
        <patternFill>
          <bgColor rgb="FFF6D3D0"/>
        </patternFill>
      </fill>
    </dxf>
    <dxf>
      <font>
        <b val="1"/>
        <color rgb="FF1E6B34"/>
      </font>
      <fill>
        <patternFill>
          <bgColor rgb="FFD7EEDC"/>
        </patternFill>
      </fill>
    </dxf>
    <dxf>
      <font>
        <b val="1"/>
        <color rgb="FFA12622"/>
      </font>
      <fill>
        <patternFill>
          <bgColor rgb="FFF6D3D0"/>
        </patternFill>
      </fill>
    </dxf>
    <dxf>
      <fill>
        <patternFill patternType="solid">
          <fgColor rgb="FF1F5F5B"/>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D7EEDC"/>
          <bgColor rgb="FF000000"/>
        </patternFill>
      </fill>
    </dxf>
    <dxf>
      <fill>
        <patternFill patternType="solid">
          <fgColor rgb="FF1E6B34"/>
          <bgColor rgb="FF000000"/>
        </patternFill>
      </fill>
    </dxf>
    <dxf>
      <fill>
        <patternFill patternType="solid">
          <fgColor rgb="FF1E7B34"/>
          <bgColor rgb="FF000000"/>
        </patternFill>
      </fill>
    </dxf>
    <dxf>
      <fill>
        <patternFill patternType="solid">
          <fgColor rgb="FFFFF6D5"/>
          <bgColor rgb="FF000000"/>
        </patternFill>
      </fill>
    </dxf>
    <dxf>
      <fill>
        <patternFill patternType="solid">
          <fgColor rgb="FF1F3FBF"/>
          <bgColor rgb="FF000000"/>
        </patternFill>
      </fill>
    </dxf>
    <dxf>
      <fill>
        <patternFill patternType="solid">
          <fgColor rgb="FF9AA5A8"/>
          <bgColor rgb="FF000000"/>
        </patternFill>
      </fill>
    </dxf>
    <dxf>
      <fill>
        <patternFill patternType="solid">
          <fgColor rgb="FFFBE7C6"/>
          <bgColor rgb="FF000000"/>
        </patternFill>
      </fill>
    </dxf>
    <dxf>
      <fill>
        <patternFill>
          <bgColor rgb="FFFBE7C6"/>
        </patternFill>
      </fill>
    </dxf>
    <dxf>
      <font>
        <strike val="1"/>
        <color rgb="FF9AA5A8"/>
      </font>
    </dxf>
  </dxfs>
  <colors>
    <indexedColors>
      <rgbColor rgb="FF000000"/>
      <rgbColor rgb="FFFFFFFF"/>
      <rgbColor rgb="FFFF0000"/>
      <rgbColor rgb="FF00FF00"/>
      <rgbColor rgb="FF0000FF"/>
      <rgbColor rgb="FFFFFF00"/>
      <rgbColor rgb="FFFF00FF"/>
      <rgbColor rgb="FF00FFFF"/>
      <rgbColor rgb="FF800000"/>
      <rgbColor rgb="FF1E7B34"/>
      <rgbColor rgb="FF000080"/>
      <rgbColor rgb="FFB07A1F"/>
      <rgbColor rgb="FF800080"/>
      <rgbColor rgb="FF1F5F5B"/>
      <rgbColor rgb="FFD5DEDC"/>
      <rgbColor rgb="FF878787"/>
      <rgbColor rgb="FF9999FF"/>
      <rgbColor rgb="FF993366"/>
      <rgbColor rgb="FFFFF6D5"/>
      <rgbColor rgb="FFE9ECEC"/>
      <rgbColor rgb="FF660066"/>
      <rgbColor rgb="FFFF8080"/>
      <rgbColor rgb="FF0066CC"/>
      <rgbColor rgb="FFD9D9D9"/>
      <rgbColor rgb="FF000080"/>
      <rgbColor rgb="FFFF00FF"/>
      <rgbColor rgb="FFFFFF00"/>
      <rgbColor rgb="FF00FFFF"/>
      <rgbColor rgb="FF800080"/>
      <rgbColor rgb="FF800000"/>
      <rgbColor rgb="FF1E6B34"/>
      <rgbColor rgb="FF0000FF"/>
      <rgbColor rgb="FF00CCFF"/>
      <rgbColor rgb="FFF2F5F4"/>
      <rgbColor rgb="FFD7EEDC"/>
      <rgbColor rgb="FFFBE7C6"/>
      <rgbColor rgb="FF99CCFF"/>
      <rgbColor rgb="FFFF99CC"/>
      <rgbColor rgb="FFCC99FF"/>
      <rgbColor rgb="FFF6D3D0"/>
      <rgbColor rgb="FF3366FF"/>
      <rgbColor rgb="FF33CCCC"/>
      <rgbColor rgb="FF99CC00"/>
      <rgbColor rgb="FFFFCC00"/>
      <rgbColor rgb="FFFF9900"/>
      <rgbColor rgb="FFFF6600"/>
      <rgbColor rgb="FF6B7B7F"/>
      <rgbColor rgb="FF9AA5A8"/>
      <rgbColor rgb="FF003366"/>
      <rgbColor rgb="FF3E7C78"/>
      <rgbColor rgb="FF003300"/>
      <rgbColor rgb="FF333300"/>
      <rgbColor rgb="FFA12622"/>
      <rgbColor rgb="FF993366"/>
      <rgbColor rgb="FF1F3FBF"/>
      <rgbColor rgb="FF1C2B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System net community benefit by Part I line ($ millions)</a:t>
            </a:r>
          </a:p>
        </c:rich>
      </c:tx>
      <c:overlay val="0"/>
      <c:spPr>
        <a:noFill/>
        <a:ln w="0">
          <a:noFill/>
        </a:ln>
      </c:spPr>
    </c:title>
    <c:autoTitleDeleted val="0"/>
    <c:plotArea>
      <c:barChart>
        <c:barDir val="bar"/>
        <c:grouping val="clustered"/>
        <c:varyColors val="0"/>
        <c:ser>
          <c:idx val="0"/>
          <c:order val="0"/>
          <c:spPr>
            <a:solidFill>
              <a:srgbClr val="1f5f5b"/>
            </a:solidFill>
            <a:ln w="9360">
              <a:solidFill>
                <a:srgbClr val="1f5f5b"/>
              </a:solidFill>
              <a:round/>
            </a:ln>
          </c:spPr>
          <c:invertIfNegative val="0"/>
          <c:dLbls>
            <c:numFmt formatCode="0.0" sourceLinked="1"/>
            <c:txPr>
              <a:bodyPr wrap="square"/>
              <a:lstStyle/>
              <a:p>
                <a:pPr>
                  <a:defRPr b="0" sz="1000" spc="-1" strike="noStrike">
                    <a:solidFill>
                      <a:srgbClr val="000000"/>
                    </a:solidFill>
                    <a:latin typeface="Calibri"/>
                  </a:defRPr>
                </a:pPr>
              </a:p>
            </c:txPr>
            <c:dLblPos val="outEnd"/>
            <c:showLegendKey val="1"/>
            <c:showVal val="1"/>
            <c:showCatName val="1"/>
            <c:showSerName val="1"/>
            <c:showPercent val="0"/>
            <c:separator>; </c:separator>
            <c:showLeaderLines val="1"/>
            <c:extLst>
              <c:ext xmlns:c15="http://schemas.microsoft.com/office/drawing/2012/chart" uri="{CE6537A1-D6FC-4f65-9D91-7224C49458BB}">
                <c15:showLeaderLines val="1"/>
              </c:ext>
            </c:extLst>
          </c:dLbls>
          <c:cat>
            <c:strRef>
              <c:f>SUMMARY!$Q$10:$Q$17</c:f>
              <c:strCache>
                <c:ptCount val="8"/>
                <c:pt idx="0">
                  <c:v>7a Financial assistance at cost</c:v>
                </c:pt>
                <c:pt idx="1">
                  <c:v>7b Medicaid</c:v>
                </c:pt>
                <c:pt idx="2">
                  <c:v>7c Other means-tested programs</c:v>
                </c:pt>
                <c:pt idx="3">
                  <c:v>7e Community health improvement and CB operations</c:v>
                </c:pt>
                <c:pt idx="4">
                  <c:v>7f Health professions education</c:v>
                </c:pt>
                <c:pt idx="5">
                  <c:v>7g Subsidized health services</c:v>
                </c:pt>
                <c:pt idx="6">
                  <c:v>7h Research</c:v>
                </c:pt>
                <c:pt idx="7">
                  <c:v>7i Cash and in-kind contributions</c:v>
                </c:pt>
              </c:strCache>
            </c:strRef>
          </c:cat>
          <c:val>
            <c:numRef>
              <c:f>SUMMARY!$R$10:$R$17</c:f>
              <c:numCache>
                <c:formatCode>0.0</c:formatCode>
                <c:ptCount val="8"/>
                <c:pt idx="0">
                  <c:v>62.49</c:v>
                </c:pt>
                <c:pt idx="1">
                  <c:v>126.35</c:v>
                </c:pt>
                <c:pt idx="2">
                  <c:v>4.59</c:v>
                </c:pt>
                <c:pt idx="3">
                  <c:v>3.4380906102675</c:v>
                </c:pt>
                <c:pt idx="4">
                  <c:v>2.99381165572875</c:v>
                </c:pt>
                <c:pt idx="5">
                  <c:v>19.07</c:v>
                </c:pt>
                <c:pt idx="6">
                  <c:v>0.152171987415</c:v>
                </c:pt>
                <c:pt idx="7">
                  <c:v>0.7436</c:v>
                </c:pt>
              </c:numCache>
            </c:numRef>
          </c:val>
        </c:ser>
        <c:gapWidth val="60"/>
        <c:overlap val="0"/>
        <c:axId val="21864322"/>
        <c:axId val="13034466"/>
      </c:barChart>
      <c:catAx>
        <c:axId val="21864322"/>
        <c:scaling>
          <c:orientation val="maxMin"/>
        </c:scaling>
        <c:delete val="0"/>
        <c:axPos val="b"/>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3034466"/>
        <c:crosses val="autoZero"/>
        <c:auto val="1"/>
        <c:lblAlgn val="ctr"/>
        <c:lblOffset val="100"/>
        <c:noMultiLvlLbl val="0"/>
      </c:catAx>
      <c:valAx>
        <c:axId val="13034466"/>
        <c:scaling>
          <c:orientation val="minMax"/>
        </c:scaling>
        <c:delete val="1"/>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1864322"/>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21</xdr:row>
      <xdr:rowOff>335880</xdr:rowOff>
    </xdr:from>
    <xdr:to>
      <xdr:col>13</xdr:col>
      <xdr:colOff>480240</xdr:colOff>
      <xdr:row>35</xdr:row>
      <xdr:rowOff>147240</xdr:rowOff>
    </xdr:to>
    <xdr:graphicFrame>
      <xdr:nvGraphicFramePr>
        <xdr:cNvPr id="0" name="Chart 1"/>
        <xdr:cNvGraphicFramePr/>
      </xdr:nvGraphicFramePr>
      <xdr:xfrm>
        <a:off x="12123360" y="6981840"/>
        <a:ext cx="6119280" cy="305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blCategoryXwalk" displayName="tblCategoryXwalk" ref="E6:G74" headerRowCount="1" totalsRowCount="0" totalsRowShown="0">
  <autoFilter ref="E6:G74"/>
  <tableColumns count="3">
    <tableColumn id="1" name="Category as reported"/>
    <tableColumn id="2" name="Standard category"/>
    <tableColumn id="3" name="Schedule H line"/>
  </tableColumns>
</table>
</file>

<file path=xl/tables/table2.xml><?xml version="1.0" encoding="utf-8"?>
<table xmlns="http://schemas.openxmlformats.org/spreadsheetml/2006/main" id="2" name="tblConfirm" displayName="tblConfirm" ref="A4:K53" headerRowCount="1" totalsRowCount="0" totalsRowShown="0">
  <autoFilter ref="A4:K53"/>
  <tableColumns count="11">
    <tableColumn id="1" name="Row ID"/>
    <tableColumn id="2" name="Hospital"/>
    <tableColumn id="3" name="Issue"/>
    <tableColumn id="4" name="Field"/>
    <tableColumn id="5" name="Value as reported"/>
    <tableColumn id="6" name="Confirmed hours"/>
    <tableColumn id="7" name="Confirmed date"/>
    <tableColumn id="8" name="Confirmed position"/>
    <tableColumn id="9" name="Confirmed category"/>
    <tableColumn id="10" name="Include (0 = exclude)"/>
    <tableColumn id="11" name="Resolution"/>
  </tableColumns>
</table>
</file>

<file path=xl/tables/table3.xml><?xml version="1.0" encoding="utf-8"?>
<table xmlns="http://schemas.openxmlformats.org/spreadsheetml/2006/main" id="3" name="tblCost" displayName="tblCost" ref="A4:AC1624" headerRowCount="1" totalsRowCount="0" totalsRowShown="0">
  <autoFilter ref="A4:AC1624"/>
  <tableColumns count="29">
    <tableColumn id="1" name="Row ID"/>
    <tableColumn id="2" name="Hospital"/>
    <tableColumn id="3" name="Program (as reported)"/>
    <tableColumn id="4" name="Standard program"/>
    <tableColumn id="5" name="Health priority area"/>
    <tableColumn id="6" name="Logging basis"/>
    <tableColumn id="7" name="CONFIRM row"/>
    <tableColumn id="8" name="Category (as reported)"/>
    <tableColumn id="9" name="Category (after review)"/>
    <tableColumn id="10" name="Standard category"/>
    <tableColumn id="11" name="Schedule H line"/>
    <tableColumn id="12" name="Date (as reported)"/>
    <tableColumn id="13" name="Date"/>
    <tableColumn id="14" name="In fiscal year"/>
    <tableColumn id="15" name="Staff title (as reported)"/>
    <tableColumn id="16" name="Standard position"/>
    <tableColumn id="17" name="Hours (as reported)"/>
    <tableColumn id="18" name="Hours"/>
    <tableColumn id="19" name="Loaded hourly rate"/>
    <tableColumn id="20" name="Staff cost"/>
    <tableColumn id="21" name="Indirect cost"/>
    <tableColumn id="22" name="Direct non-staff cost"/>
    <tableColumn id="23" name="Total community benefit expense"/>
    <tableColumn id="24" name="Direct offsetting revenue"/>
    <tableColumn id="25" name="Net community benefit expense"/>
    <tableColumn id="26" name="Persons served"/>
    <tableColumn id="27" name="Review flags"/>
    <tableColumn id="28" name="Include (1 = yes)"/>
    <tableColumn id="29" name="Counts as activity"/>
  </tableColumns>
</table>
</file>

<file path=xl/tables/table4.xml><?xml version="1.0" encoding="utf-8"?>
<table xmlns="http://schemas.openxmlformats.org/spreadsheetml/2006/main" id="4" name="tblFinanceLines" displayName="tblFinanceLines" ref="A18:G38" headerRowCount="1" totalsRowCount="0" totalsRowShown="0">
  <autoFilter ref="A18:G38"/>
  <tableColumns count="7">
    <tableColumn id="1" name="Hospital code"/>
    <tableColumn id="2" name="Schedule H line"/>
    <tableColumn id="3" name="Line description"/>
    <tableColumn id="4" name="Total community benefit expense"/>
    <tableColumn id="5" name="Direct offsetting revenue"/>
    <tableColumn id="6" name="Net community benefit expense"/>
    <tableColumn id="7" name="Source"/>
  </tableColumns>
</table>
</file>

<file path=xl/tables/table5.xml><?xml version="1.0" encoding="utf-8"?>
<table xmlns="http://schemas.openxmlformats.org/spreadsheetml/2006/main" id="5" name="tblHospitals" displayName="tblHospitals" ref="A9:H14" headerRowCount="1" totalsRowCount="0" totalsRowShown="0">
  <autoFilter ref="A9:H14"/>
  <tableColumns count="8">
    <tableColumn id="1" name="Hospital code"/>
    <tableColumn id="2" name="Hospital"/>
    <tableColumn id="3" name="Setting"/>
    <tableColumn id="4" name="Licensed beds"/>
    <tableColumn id="5" name="Total expense (Form 990, Part IX, line 25, col. A)"/>
    <tableColumn id="6" name="Bad debt expense included in total expense"/>
    <tableColumn id="7" name="Expense used for percent of total expense"/>
    <tableColumn id="8" name="Indirect cost rate (applied to staff cost)"/>
  </tableColumns>
</table>
</file>

<file path=xl/tables/table6.xml><?xml version="1.0" encoding="utf-8"?>
<table xmlns="http://schemas.openxmlformats.org/spreadsheetml/2006/main" id="6" name="tblLines" displayName="tblLines" ref="Q6:R28" headerRowCount="1" totalsRowCount="0" totalsRowShown="0">
  <autoFilter ref="Q6:R28"/>
  <tableColumns count="2">
    <tableColumn id="1" name="Line"/>
    <tableColumn id="2" name="Line label on the 2025 Schedule H (Form 990)"/>
  </tableColumns>
</table>
</file>

<file path=xl/tables/table7.xml><?xml version="1.0" encoding="utf-8"?>
<table xmlns="http://schemas.openxmlformats.org/spreadsheetml/2006/main" id="7" name="tblProgramXwalk" displayName="tblProgramXwalk" ref="I6:L101" headerRowCount="1" totalsRowCount="0" totalsRowShown="0">
  <autoFilter ref="I6:L101"/>
  <tableColumns count="4">
    <tableColumn id="1" name="Program as reported"/>
    <tableColumn id="2" name="Standard program"/>
    <tableColumn id="3" name="Health priority area"/>
    <tableColumn id="4" name="Logging basis"/>
  </tableColumns>
</table>
</file>

<file path=xl/tables/table8.xml><?xml version="1.0" encoding="utf-8"?>
<table xmlns="http://schemas.openxmlformats.org/spreadsheetml/2006/main" id="8" name="tblQALog" displayName="tblQALog" ref="A5:H20" headerRowCount="1" totalsRowCount="0" totalsRowShown="0">
  <autoFilter ref="A5:H20"/>
  <tableColumns count="8">
    <tableColumn id="1" name="#"/>
    <tableColumn id="2" name="Workflow step"/>
    <tableColumn id="3" name="Hospital"/>
    <tableColumn id="4" name="Issue found"/>
    <tableColumn id="5" name="Rows affected"/>
    <tableColumn id="6" name="Resolution"/>
    <tableColumn id="7" name="Reference"/>
    <tableColumn id="8" name="Status"/>
  </tableColumns>
</table>
</file>

<file path=xl/tables/table9.xml><?xml version="1.0" encoding="utf-8"?>
<table xmlns="http://schemas.openxmlformats.org/spreadsheetml/2006/main" id="9" name="tblRates" displayName="tblRates" ref="A5:F28" headerRowCount="1" totalsRowCount="0" totalsRowShown="0">
  <autoFilter ref="A5:F28"/>
  <tableColumns count="6">
    <tableColumn id="1" name="Standard position"/>
    <tableColumn id="2" name="Job family"/>
    <tableColumn id="3" name="Base hourly wage"/>
    <tableColumn id="4" name="Benefits load"/>
    <tableColumn id="5" name="Loaded hourly rate"/>
    <tableColumn id="6" name="Rate note"/>
  </tableColumns>
</table>
</file>

<file path=xl/tables/table10.xml><?xml version="1.0" encoding="utf-8"?>
<table xmlns="http://schemas.openxmlformats.org/spreadsheetml/2006/main" id="10" name="tblReview" displayName="tblReview" ref="A4:P1624" headerRowCount="1" totalsRowCount="0" totalsRowShown="0">
  <autoFilter ref="A4:P1624"/>
  <tableColumns count="16">
    <tableColumn id="1" name="Row ID"/>
    <tableColumn id="2" name="Hospital"/>
    <tableColumn id="3" name="Standard program"/>
    <tableColumn id="4" name="Date"/>
    <tableColumn id="5" name="Standard position"/>
    <tableColumn id="6" name="Hours"/>
    <tableColumn id="7" name="Notes"/>
    <tableColumn id="8" name="Match key"/>
    <tableColumn id="9" name="Rows with this key"/>
    <tableColumn id="10" name="Occurrence"/>
    <tableColumn id="11" name="Matches at another hospital"/>
    <tableColumn id="12" name="Flag"/>
    <tableColumn id="13" name="Reviewer decision"/>
    <tableColumn id="14" name="Reviewer note"/>
    <tableColumn id="15" name="Include (1 = yes)"/>
    <tableColumn id="16" name="Status"/>
  </tableColumns>
</table>
</file>

<file path=xl/tables/table11.xml><?xml version="1.0" encoding="utf-8"?>
<table xmlns="http://schemas.openxmlformats.org/spreadsheetml/2006/main" id="11" name="tblStack" displayName="tblStack" ref="A4:M1624" headerRowCount="1" totalsRowCount="0" totalsRowShown="0">
  <autoFilter ref="A4:M1624"/>
  <tableColumns count="13">
    <tableColumn id="1" name="Row ID"/>
    <tableColumn id="2" name="Hospital"/>
    <tableColumn id="3" name="Source Sheet"/>
    <tableColumn id="4" name="Source Row"/>
    <tableColumn id="5" name="Program (as reported)"/>
    <tableColumn id="6" name="Category (as reported)"/>
    <tableColumn id="7" name="Date (as reported)"/>
    <tableColumn id="8" name="Staff Title (as reported)"/>
    <tableColumn id="9" name="Hours (as reported)"/>
    <tableColumn id="10" name="Persons Served"/>
    <tableColumn id="11" name="Direct Cost"/>
    <tableColumn id="12" name="Offsetting Revenue"/>
    <tableColumn id="13" name="Notes"/>
  </tableColumns>
</table>
</file>

<file path=xl/tables/table12.xml><?xml version="1.0" encoding="utf-8"?>
<table xmlns="http://schemas.openxmlformats.org/spreadsheetml/2006/main" id="12" name="tblStdCategory" displayName="tblStdCategory" ref="N6:O22" headerRowCount="1" totalsRowCount="0" totalsRowShown="0">
  <autoFilter ref="N6:O22"/>
  <tableColumns count="2">
    <tableColumn id="1" name="Standard category"/>
    <tableColumn id="2" name="Schedule H line"/>
  </tableColumns>
</table>
</file>

<file path=xl/tables/table13.xml><?xml version="1.0" encoding="utf-8"?>
<table xmlns="http://schemas.openxmlformats.org/spreadsheetml/2006/main" id="13" name="tblTitleXwalk" displayName="tblTitleXwalk" ref="A6:C156" headerRowCount="1" totalsRowCount="0" totalsRowShown="0">
  <autoFilter ref="A6:C156"/>
  <tableColumns count="3">
    <tableColumn id="1" name="Title as reported"/>
    <tableColumn id="2" name="Standard position"/>
    <tableColumn id="3" name="Job family"/>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table" Target="../tables/table8.xml"/>
</Relationships>
</file>

<file path=xl/worksheets/_rels/sheet9.xml.rels><?xml version="1.0" encoding="UTF-8"?>
<Relationships xmlns="http://schemas.openxmlformats.org/package/2006/relationships"><Relationship Id="rId1" Type="http://schemas.openxmlformats.org/officeDocument/2006/relationships/table" Target="../tables/table11.xml"/>
</Relationships>
</file>

<file path=xl/worksheets/_rels/sheet10.xml.rels><?xml version="1.0" encoding="UTF-8"?>
<Relationships xmlns="http://schemas.openxmlformats.org/package/2006/relationships"><Relationship Id="rId1" Type="http://schemas.openxmlformats.org/officeDocument/2006/relationships/table" Target="../tables/table1.xml"/><Relationship Id="rId2" Type="http://schemas.openxmlformats.org/officeDocument/2006/relationships/table" Target="../tables/table6.xml"/><Relationship Id="rId3" Type="http://schemas.openxmlformats.org/officeDocument/2006/relationships/table" Target="../tables/table7.xml"/><Relationship Id="rId4" Type="http://schemas.openxmlformats.org/officeDocument/2006/relationships/table" Target="../tables/table12.xml"/><Relationship Id="rId5" Type="http://schemas.openxmlformats.org/officeDocument/2006/relationships/table" Target="../tables/table13.xml"/>
</Relationships>
</file>

<file path=xl/worksheets/_rels/sheet11.xml.rels><?xml version="1.0" encoding="UTF-8"?>
<Relationships xmlns="http://schemas.openxmlformats.org/package/2006/relationships"><Relationship Id="rId1" Type="http://schemas.openxmlformats.org/officeDocument/2006/relationships/table" Target="../tables/table2.xml"/>
</Relationships>
</file>

<file path=xl/worksheets/_rels/sheet12.xml.rels><?xml version="1.0" encoding="UTF-8"?>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1.vml"/><Relationship Id="rId3" Type="http://schemas.openxmlformats.org/officeDocument/2006/relationships/table" Target="../tables/table9.xml"/>
</Relationships>
</file>

<file path=xl/worksheets/_rels/sheet13.xml.rels><?xml version="1.0" encoding="UTF-8"?>
<Relationships xmlns="http://schemas.openxmlformats.org/package/2006/relationships"><Relationship Id="rId1" Type="http://schemas.openxmlformats.org/officeDocument/2006/relationships/table" Target="../tables/table4.xml"/><Relationship Id="rId2" Type="http://schemas.openxmlformats.org/officeDocument/2006/relationships/table" Target="../tables/table5.xml"/>
</Relationships>
</file>

<file path=xl/worksheets/_rels/sheet14.xml.rels><?xml version="1.0" encoding="UTF-8"?>
<Relationships xmlns="http://schemas.openxmlformats.org/package/2006/relationships"><Relationship Id="rId1" Type="http://schemas.openxmlformats.org/officeDocument/2006/relationships/table" Target="../tables/table3.xml"/>
</Relationships>
</file>

<file path=xl/worksheets/_rels/sheet15.xml.rels><?xml version="1.0" encoding="UTF-8"?>
<Relationships xmlns="http://schemas.openxmlformats.org/package/2006/relationships"><Relationship Id="rId1" Type="http://schemas.openxmlformats.org/officeDocument/2006/relationships/table" Target="../tables/table10.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2B30"/>
    <pageSetUpPr fitToPage="false"/>
  </sheetPr>
  <dimension ref="A1:D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8"/>
    <col collapsed="false" customWidth="true" hidden="false" outlineLevel="0" max="3" min="3" style="1" width="72"/>
    <col collapsed="false" customWidth="true" hidden="false" outlineLevel="0" max="4" min="4" style="1" width="26"/>
  </cols>
  <sheetData>
    <row r="1" customFormat="false" ht="22.05" hidden="false" customHeight="false" outlineLevel="0" collapsed="false">
      <c r="A1" s="2" t="s">
        <v>0</v>
      </c>
    </row>
    <row r="2" customFormat="false" ht="15" hidden="false" customHeight="false" outlineLevel="0" collapsed="false">
      <c r="A2" s="3" t="s">
        <v>1</v>
      </c>
    </row>
    <row r="3" customFormat="false" ht="15" hidden="false" customHeight="false" outlineLevel="0" collapsed="false">
      <c r="A3" s="4" t="s">
        <v>2</v>
      </c>
    </row>
    <row r="5" customFormat="false" ht="15" hidden="false" customHeight="false" outlineLevel="0" collapsed="false">
      <c r="A5" s="5" t="s">
        <v>3</v>
      </c>
    </row>
    <row r="6" customFormat="false" ht="60" hidden="false" customHeight="true" outlineLevel="0" collapsed="false">
      <c r="A6" s="6" t="s">
        <v>4</v>
      </c>
      <c r="B6" s="6"/>
      <c r="C6" s="6"/>
      <c r="D6" s="6"/>
    </row>
    <row r="7" customFormat="false" ht="45" hidden="false" customHeight="true" outlineLevel="0" collapsed="false">
      <c r="A7" s="6" t="s">
        <v>5</v>
      </c>
      <c r="B7" s="6"/>
      <c r="C7" s="6"/>
      <c r="D7" s="6"/>
    </row>
    <row r="9" customFormat="false" ht="15" hidden="false" customHeight="false" outlineLevel="0" collapsed="false">
      <c r="A9" s="5" t="s">
        <v>6</v>
      </c>
    </row>
    <row r="10" customFormat="false" ht="45" hidden="false" customHeight="true" outlineLevel="0" collapsed="false">
      <c r="A10" s="6" t="s">
        <v>7</v>
      </c>
      <c r="B10" s="6"/>
      <c r="C10" s="6"/>
      <c r="D10" s="6"/>
    </row>
    <row r="12" customFormat="false" ht="15" hidden="false" customHeight="false" outlineLevel="0" collapsed="false">
      <c r="A12" s="5" t="s">
        <v>8</v>
      </c>
    </row>
    <row r="13" customFormat="false" ht="21.75" hidden="false" customHeight="true" outlineLevel="0" collapsed="false">
      <c r="A13" s="7" t="s">
        <v>9</v>
      </c>
      <c r="B13" s="7" t="s">
        <v>10</v>
      </c>
      <c r="C13" s="7" t="s">
        <v>11</v>
      </c>
      <c r="D13" s="7" t="s">
        <v>12</v>
      </c>
    </row>
    <row r="14" customFormat="false" ht="30" hidden="false" customHeight="true" outlineLevel="0" collapsed="false">
      <c r="A14" s="8" t="s">
        <v>13</v>
      </c>
      <c r="B14" s="8" t="s">
        <v>14</v>
      </c>
      <c r="C14" s="8" t="s">
        <v>15</v>
      </c>
      <c r="D14" s="8" t="s">
        <v>16</v>
      </c>
    </row>
    <row r="15" customFormat="false" ht="30" hidden="false" customHeight="true" outlineLevel="0" collapsed="false">
      <c r="A15" s="8" t="s">
        <v>17</v>
      </c>
      <c r="B15" s="8" t="s">
        <v>18</v>
      </c>
      <c r="C15" s="8" t="s">
        <v>19</v>
      </c>
      <c r="D15" s="8" t="s">
        <v>20</v>
      </c>
    </row>
    <row r="16" customFormat="false" ht="30" hidden="false" customHeight="true" outlineLevel="0" collapsed="false">
      <c r="A16" s="8" t="s">
        <v>21</v>
      </c>
      <c r="B16" s="8" t="s">
        <v>22</v>
      </c>
      <c r="C16" s="8" t="s">
        <v>23</v>
      </c>
      <c r="D16" s="8" t="s">
        <v>24</v>
      </c>
    </row>
    <row r="17" customFormat="false" ht="30" hidden="false" customHeight="true" outlineLevel="0" collapsed="false">
      <c r="A17" s="8" t="s">
        <v>25</v>
      </c>
      <c r="B17" s="8" t="s">
        <v>26</v>
      </c>
      <c r="C17" s="8" t="s">
        <v>27</v>
      </c>
      <c r="D17" s="8" t="s">
        <v>24</v>
      </c>
    </row>
    <row r="18" customFormat="false" ht="30" hidden="false" customHeight="true" outlineLevel="0" collapsed="false">
      <c r="A18" s="8" t="s">
        <v>28</v>
      </c>
      <c r="B18" s="8" t="s">
        <v>29</v>
      </c>
      <c r="C18" s="8" t="s">
        <v>30</v>
      </c>
      <c r="D18" s="8" t="s">
        <v>31</v>
      </c>
    </row>
    <row r="19" customFormat="false" ht="30" hidden="false" customHeight="true" outlineLevel="0" collapsed="false">
      <c r="A19" s="8" t="s">
        <v>32</v>
      </c>
      <c r="B19" s="8" t="s">
        <v>29</v>
      </c>
      <c r="C19" s="8" t="s">
        <v>33</v>
      </c>
      <c r="D19" s="8" t="s">
        <v>34</v>
      </c>
    </row>
    <row r="20" customFormat="false" ht="30" hidden="false" customHeight="true" outlineLevel="0" collapsed="false">
      <c r="A20" s="8" t="s">
        <v>35</v>
      </c>
      <c r="B20" s="8" t="s">
        <v>29</v>
      </c>
      <c r="C20" s="8" t="s">
        <v>36</v>
      </c>
      <c r="D20" s="8" t="s">
        <v>20</v>
      </c>
    </row>
    <row r="21" customFormat="false" ht="30" hidden="false" customHeight="true" outlineLevel="0" collapsed="false">
      <c r="A21" s="8" t="s">
        <v>37</v>
      </c>
      <c r="B21" s="8" t="s">
        <v>38</v>
      </c>
      <c r="C21" s="8" t="s">
        <v>39</v>
      </c>
      <c r="D21" s="8" t="s">
        <v>24</v>
      </c>
    </row>
    <row r="22" customFormat="false" ht="30" hidden="false" customHeight="true" outlineLevel="0" collapsed="false">
      <c r="A22" s="8" t="s">
        <v>40</v>
      </c>
      <c r="B22" s="8" t="s">
        <v>41</v>
      </c>
      <c r="C22" s="8" t="s">
        <v>42</v>
      </c>
      <c r="D22" s="8" t="s">
        <v>43</v>
      </c>
    </row>
    <row r="23" customFormat="false" ht="30" hidden="false" customHeight="true" outlineLevel="0" collapsed="false">
      <c r="A23" s="8" t="s">
        <v>44</v>
      </c>
      <c r="B23" s="8" t="s">
        <v>41</v>
      </c>
      <c r="C23" s="8" t="s">
        <v>45</v>
      </c>
      <c r="D23" s="8" t="s">
        <v>24</v>
      </c>
    </row>
    <row r="25" customFormat="false" ht="15" hidden="false" customHeight="false" outlineLevel="0" collapsed="false">
      <c r="A25" s="5" t="s">
        <v>46</v>
      </c>
    </row>
    <row r="26" customFormat="false" ht="30" hidden="false" customHeight="true" outlineLevel="0" collapsed="false">
      <c r="A26" s="9" t="n">
        <v>1</v>
      </c>
      <c r="B26" s="10" t="s">
        <v>47</v>
      </c>
      <c r="C26" s="10"/>
      <c r="D26" s="10"/>
    </row>
    <row r="27" customFormat="false" ht="30" hidden="false" customHeight="true" outlineLevel="0" collapsed="false">
      <c r="A27" s="9" t="n">
        <v>2</v>
      </c>
      <c r="B27" s="10" t="s">
        <v>48</v>
      </c>
      <c r="C27" s="10"/>
      <c r="D27" s="10"/>
    </row>
    <row r="28" customFormat="false" ht="30" hidden="false" customHeight="true" outlineLevel="0" collapsed="false">
      <c r="A28" s="9" t="n">
        <v>3</v>
      </c>
      <c r="B28" s="10" t="s">
        <v>49</v>
      </c>
      <c r="C28" s="10"/>
      <c r="D28" s="10"/>
    </row>
    <row r="29" customFormat="false" ht="30" hidden="false" customHeight="true" outlineLevel="0" collapsed="false">
      <c r="A29" s="9" t="n">
        <v>4</v>
      </c>
      <c r="B29" s="10" t="s">
        <v>50</v>
      </c>
      <c r="C29" s="10"/>
      <c r="D29" s="10"/>
    </row>
    <row r="30" customFormat="false" ht="30" hidden="false" customHeight="true" outlineLevel="0" collapsed="false">
      <c r="A30" s="9" t="n">
        <v>5</v>
      </c>
      <c r="B30" s="10" t="s">
        <v>51</v>
      </c>
      <c r="C30" s="10"/>
      <c r="D30" s="10"/>
    </row>
    <row r="31" customFormat="false" ht="30" hidden="false" customHeight="true" outlineLevel="0" collapsed="false">
      <c r="A31" s="9" t="n">
        <v>6</v>
      </c>
      <c r="B31" s="10" t="s">
        <v>52</v>
      </c>
      <c r="C31" s="10"/>
      <c r="D31" s="10"/>
    </row>
    <row r="32" customFormat="false" ht="30" hidden="false" customHeight="true" outlineLevel="0" collapsed="false">
      <c r="A32" s="9" t="n">
        <v>7</v>
      </c>
      <c r="B32" s="10" t="s">
        <v>53</v>
      </c>
      <c r="C32" s="10"/>
      <c r="D32" s="10"/>
    </row>
    <row r="33" customFormat="false" ht="30" hidden="false" customHeight="true" outlineLevel="0" collapsed="false">
      <c r="A33" s="9" t="n">
        <v>8</v>
      </c>
      <c r="B33" s="10" t="s">
        <v>54</v>
      </c>
      <c r="C33" s="10"/>
      <c r="D33" s="10"/>
    </row>
    <row r="35" customFormat="false" ht="15" hidden="false" customHeight="false" outlineLevel="0" collapsed="false">
      <c r="A35" s="5" t="s">
        <v>55</v>
      </c>
    </row>
    <row r="36" customFormat="false" ht="45" hidden="false" customHeight="true" outlineLevel="0" collapsed="false">
      <c r="A36" s="10" t="s">
        <v>56</v>
      </c>
      <c r="B36" s="10"/>
      <c r="C36" s="10"/>
      <c r="D36" s="10"/>
    </row>
    <row r="37" customFormat="false" ht="30" hidden="false" customHeight="true" outlineLevel="0" collapsed="false">
      <c r="A37" s="10" t="s">
        <v>57</v>
      </c>
      <c r="B37" s="10"/>
      <c r="C37" s="10"/>
      <c r="D37" s="10"/>
    </row>
    <row r="38" customFormat="false" ht="30" hidden="false" customHeight="true" outlineLevel="0" collapsed="false">
      <c r="A38" s="10" t="s">
        <v>58</v>
      </c>
      <c r="B38" s="10"/>
      <c r="C38" s="10"/>
      <c r="D38" s="10"/>
    </row>
    <row r="39" customFormat="false" ht="30" hidden="false" customHeight="true" outlineLevel="0" collapsed="false">
      <c r="A39" s="10" t="s">
        <v>59</v>
      </c>
      <c r="B39" s="10"/>
      <c r="C39" s="10"/>
      <c r="D39" s="10"/>
    </row>
    <row r="40" customFormat="false" ht="30" hidden="false" customHeight="true" outlineLevel="0" collapsed="false">
      <c r="A40" s="10" t="s">
        <v>60</v>
      </c>
      <c r="B40" s="10"/>
      <c r="C40" s="10"/>
      <c r="D40" s="10"/>
    </row>
    <row r="41" customFormat="false" ht="30" hidden="false" customHeight="true" outlineLevel="0" collapsed="false">
      <c r="A41" s="10" t="s">
        <v>61</v>
      </c>
      <c r="B41" s="10"/>
      <c r="C41" s="10"/>
      <c r="D41" s="10"/>
    </row>
  </sheetData>
  <mergeCells count="17">
    <mergeCell ref="A6:D6"/>
    <mergeCell ref="A7:D7"/>
    <mergeCell ref="A10:D10"/>
    <mergeCell ref="B26:D26"/>
    <mergeCell ref="B27:D27"/>
    <mergeCell ref="B28:D28"/>
    <mergeCell ref="B29:D29"/>
    <mergeCell ref="B30:D30"/>
    <mergeCell ref="B31:D31"/>
    <mergeCell ref="B32:D32"/>
    <mergeCell ref="B33:D33"/>
    <mergeCell ref="A36:D36"/>
    <mergeCell ref="A37:D37"/>
    <mergeCell ref="A38:D38"/>
    <mergeCell ref="A39:D39"/>
    <mergeCell ref="A40:D40"/>
    <mergeCell ref="A41:D4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07A1F"/>
    <pageSetUpPr fitToPage="false"/>
  </sheetPr>
  <dimension ref="A1:R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58"/>
    <col collapsed="false" customWidth="true" hidden="false" outlineLevel="0" max="3" min="3" style="1" width="16"/>
    <col collapsed="false" customWidth="true" hidden="false" outlineLevel="0" max="4" min="4" style="1" width="13"/>
    <col collapsed="false" customWidth="true" hidden="false" outlineLevel="0" max="5" min="5" style="1" width="17"/>
    <col collapsed="false" customWidth="true" hidden="false" outlineLevel="0" max="6" min="6" style="1" width="16"/>
    <col collapsed="false" customWidth="true" hidden="false" outlineLevel="0" max="7" min="7" style="1" width="17"/>
    <col collapsed="false" customWidth="true" hidden="false" outlineLevel="0" max="8" min="8" style="1" width="16"/>
    <col collapsed="false" customWidth="true" hidden="false" outlineLevel="0" max="9" min="9" style="1" width="11"/>
    <col collapsed="false" customWidth="true" hidden="false" outlineLevel="0" max="10" min="10" style="1" width="4"/>
    <col collapsed="false" customWidth="true" hidden="false" outlineLevel="0" max="11" min="11" style="1" width="44"/>
    <col collapsed="false" customWidth="true" hidden="false" outlineLevel="0" max="13" min="12" style="1" width="16"/>
    <col collapsed="false" customWidth="true" hidden="false" outlineLevel="0" max="14" min="14" style="1" width="11"/>
    <col collapsed="false" customWidth="true" hidden="false" outlineLevel="0" max="15" min="15" style="1" width="12"/>
    <col collapsed="false" customWidth="true" hidden="false" outlineLevel="0" max="17" min="17" style="1" width="46"/>
    <col collapsed="false" customWidth="true" hidden="false" outlineLevel="0" max="18" min="18" style="1" width="12"/>
  </cols>
  <sheetData>
    <row r="1" customFormat="false" ht="18.55" hidden="false" customHeight="false" outlineLevel="0" collapsed="false">
      <c r="A1" s="11" t="s">
        <v>62</v>
      </c>
    </row>
    <row r="2" customFormat="false" ht="15" hidden="false" customHeight="false" outlineLevel="0" collapsed="false">
      <c r="A2" s="12" t="s">
        <v>63</v>
      </c>
    </row>
    <row r="3" customFormat="false" ht="15" hidden="false" customHeight="false" outlineLevel="0" collapsed="false">
      <c r="A3" s="4" t="s">
        <v>2</v>
      </c>
    </row>
    <row r="5" customFormat="false" ht="15" hidden="false" customHeight="false" outlineLevel="0" collapsed="false">
      <c r="A5" s="13" t="s">
        <v>64</v>
      </c>
      <c r="B5" s="14" t="s">
        <v>65</v>
      </c>
      <c r="C5" s="15" t="str">
        <f aca="false">IF(B5="System","Kestrel Valley Health (all five hospitals)",INDEX(INPUTS!$B$10:$B$14,MATCH(B5,INPUTS!$A$10:$A$14,0)))</f>
        <v>Kestrel Valley Health (all five hospitals)</v>
      </c>
    </row>
    <row r="6" customFormat="false" ht="15" hidden="false" customHeight="false" outlineLevel="0" collapsed="false">
      <c r="B6" s="4" t="s">
        <v>66</v>
      </c>
      <c r="E6" s="12" t="s">
        <v>67</v>
      </c>
      <c r="H6" s="16" t="n">
        <f aca="false">IF(B5="System",INPUTS!$G$15,INDEX(INPUTS!$G$10:$G$14,MATCH(B5,INPUTS!$A$10:$A$14,0)))</f>
        <v>2133050000</v>
      </c>
    </row>
    <row r="8" customFormat="false" ht="15" hidden="false" customHeight="false" outlineLevel="0" collapsed="false">
      <c r="A8" s="17" t="s">
        <v>68</v>
      </c>
      <c r="J8" s="17" t="s">
        <v>69</v>
      </c>
    </row>
    <row r="9" customFormat="false" ht="45.75" hidden="false" customHeight="true" outlineLevel="0" collapsed="false">
      <c r="A9" s="7" t="s">
        <v>70</v>
      </c>
      <c r="B9" s="7" t="s">
        <v>71</v>
      </c>
      <c r="C9" s="7" t="s">
        <v>72</v>
      </c>
      <c r="D9" s="7" t="s">
        <v>73</v>
      </c>
      <c r="E9" s="7" t="s">
        <v>74</v>
      </c>
      <c r="F9" s="7" t="s">
        <v>75</v>
      </c>
      <c r="G9" s="7" t="s">
        <v>76</v>
      </c>
      <c r="H9" s="7" t="s">
        <v>77</v>
      </c>
      <c r="J9" s="7" t="s">
        <v>78</v>
      </c>
      <c r="K9" s="7" t="s">
        <v>79</v>
      </c>
      <c r="L9" s="7" t="s">
        <v>80</v>
      </c>
      <c r="M9" s="7" t="s">
        <v>81</v>
      </c>
      <c r="N9" s="7" t="s">
        <v>82</v>
      </c>
      <c r="O9" s="7" t="s">
        <v>83</v>
      </c>
      <c r="Q9" s="4" t="s">
        <v>84</v>
      </c>
    </row>
    <row r="10" customFormat="false" ht="27" hidden="false" customHeight="true" outlineLevel="0" collapsed="false">
      <c r="A10" s="18" t="s">
        <v>85</v>
      </c>
      <c r="B10" s="19"/>
      <c r="C10" s="19"/>
      <c r="D10" s="19"/>
      <c r="E10" s="19"/>
      <c r="F10" s="19"/>
      <c r="G10" s="19"/>
      <c r="H10" s="19"/>
      <c r="J10" s="1" t="n">
        <v>1</v>
      </c>
      <c r="K10" s="20" t="s">
        <v>86</v>
      </c>
      <c r="L10" s="21" t="n">
        <f aca="false">STACK!P10</f>
        <v>1620</v>
      </c>
      <c r="M10" s="21" t="n">
        <f aca="false">STACK!Q10</f>
        <v>1620</v>
      </c>
      <c r="N10" s="21" t="n">
        <f aca="false">M10-L10</f>
        <v>0</v>
      </c>
      <c r="O10" s="22" t="str">
        <f aca="false">IF(ABS(N10)&lt;0.005,"PASS","FAIL")</f>
        <v>PASS</v>
      </c>
      <c r="Q10" s="23" t="s">
        <v>87</v>
      </c>
      <c r="R10" s="24" t="n">
        <f aca="false">H40/1000000</f>
        <v>62.49</v>
      </c>
    </row>
    <row r="11" customFormat="false" ht="30" hidden="false" customHeight="true" outlineLevel="0" collapsed="false">
      <c r="A11" s="25" t="s">
        <v>88</v>
      </c>
      <c r="B11" s="26" t="s">
        <v>89</v>
      </c>
      <c r="C11" s="27"/>
      <c r="D11" s="27"/>
      <c r="E11" s="28" t="n">
        <f aca="false">SUMPRODUCT((INPUTS!$B$19:$B$38=A11)*((($B$5="System")+(INPUTS!$A$19:$A$38=$B$5))&gt;0)*INPUTS!$D$19:$D$38)</f>
        <v>66590000</v>
      </c>
      <c r="F11" s="28" t="n">
        <f aca="false">SUMPRODUCT((INPUTS!$B$19:$B$38=A11)*((($B$5="System")+(INPUTS!$A$19:$A$38=$B$5))&gt;0)*INPUTS!$E$19:$E$38)</f>
        <v>4100000</v>
      </c>
      <c r="G11" s="28" t="n">
        <f aca="false">E11-F11</f>
        <v>62490000</v>
      </c>
      <c r="H11" s="29" t="n">
        <f aca="false">IF($H$6=0,0,G11/$H$6)</f>
        <v>0.0292960783854106</v>
      </c>
      <c r="J11" s="1" t="n">
        <v>2</v>
      </c>
      <c r="K11" s="20" t="s">
        <v>90</v>
      </c>
      <c r="L11" s="21" t="n">
        <v>0</v>
      </c>
      <c r="M11" s="21" t="n">
        <f aca="false">COUNTIF(COST!$D$5:$D$1624,"UNMAPPED")</f>
        <v>0</v>
      </c>
      <c r="N11" s="21" t="n">
        <f aca="false">M11-L11</f>
        <v>0</v>
      </c>
      <c r="O11" s="22" t="str">
        <f aca="false">IF(ABS(N11)&lt;0.005,"PASS","FAIL")</f>
        <v>PASS</v>
      </c>
      <c r="Q11" s="23" t="s">
        <v>91</v>
      </c>
      <c r="R11" s="24" t="n">
        <f aca="false">H41/1000000</f>
        <v>126.35</v>
      </c>
    </row>
    <row r="12" customFormat="false" ht="30" hidden="false" customHeight="true" outlineLevel="0" collapsed="false">
      <c r="A12" s="25" t="s">
        <v>92</v>
      </c>
      <c r="B12" s="26" t="s">
        <v>93</v>
      </c>
      <c r="C12" s="27"/>
      <c r="D12" s="27"/>
      <c r="E12" s="28" t="n">
        <f aca="false">SUMPRODUCT((INPUTS!$B$19:$B$38=A12)*((($B$5="System")+(INPUTS!$A$19:$A$38=$B$5))&gt;0)*INPUTS!$D$19:$D$38)</f>
        <v>506400000</v>
      </c>
      <c r="F12" s="28" t="n">
        <f aca="false">SUMPRODUCT((INPUTS!$B$19:$B$38=A12)*((($B$5="System")+(INPUTS!$A$19:$A$38=$B$5))&gt;0)*INPUTS!$E$19:$E$38)</f>
        <v>380050000</v>
      </c>
      <c r="G12" s="28" t="n">
        <f aca="false">E12-F12</f>
        <v>126350000</v>
      </c>
      <c r="H12" s="29" t="n">
        <f aca="false">IF($H$6=0,0,G12/$H$6)</f>
        <v>0.0592344295726776</v>
      </c>
      <c r="J12" s="1" t="n">
        <v>3</v>
      </c>
      <c r="K12" s="20" t="s">
        <v>94</v>
      </c>
      <c r="L12" s="21" t="n">
        <v>0</v>
      </c>
      <c r="M12" s="21" t="n">
        <f aca="false">COUNTIF(COST!$P$5:$P$1624,"UNMAPPED")</f>
        <v>0</v>
      </c>
      <c r="N12" s="21" t="n">
        <f aca="false">M12-L12</f>
        <v>0</v>
      </c>
      <c r="O12" s="22" t="str">
        <f aca="false">IF(ABS(N12)&lt;0.005,"PASS","FAIL")</f>
        <v>PASS</v>
      </c>
      <c r="Q12" s="23" t="s">
        <v>95</v>
      </c>
      <c r="R12" s="24" t="n">
        <f aca="false">H42/1000000</f>
        <v>4.59</v>
      </c>
    </row>
    <row r="13" customFormat="false" ht="30" hidden="false" customHeight="true" outlineLevel="0" collapsed="false">
      <c r="A13" s="25" t="s">
        <v>96</v>
      </c>
      <c r="B13" s="26" t="s">
        <v>97</v>
      </c>
      <c r="C13" s="27"/>
      <c r="D13" s="27"/>
      <c r="E13" s="28" t="n">
        <f aca="false">SUMPRODUCT((INPUTS!$B$19:$B$38=A13)*((($B$5="System")+(INPUTS!$A$19:$A$38=$B$5))&gt;0)*INPUTS!$D$19:$D$38)</f>
        <v>18800000</v>
      </c>
      <c r="F13" s="28" t="n">
        <f aca="false">SUMPRODUCT((INPUTS!$B$19:$B$38=A13)*((($B$5="System")+(INPUTS!$A$19:$A$38=$B$5))&gt;0)*INPUTS!$E$19:$E$38)</f>
        <v>14210000</v>
      </c>
      <c r="G13" s="28" t="n">
        <f aca="false">E13-F13</f>
        <v>4590000</v>
      </c>
      <c r="H13" s="29" t="n">
        <f aca="false">IF($H$6=0,0,G13/$H$6)</f>
        <v>0.00215184829235133</v>
      </c>
      <c r="J13" s="1" t="n">
        <v>4</v>
      </c>
      <c r="K13" s="20" t="s">
        <v>98</v>
      </c>
      <c r="L13" s="21" t="n">
        <v>0</v>
      </c>
      <c r="M13" s="21" t="n">
        <f aca="false">COUNTIFS(COST!$K$5:$K$1624,"UNASSIGNED",COST!$AB$5:$AB$1624,1)+COUNTIFS(COST!$K$5:$K$1624,"UNMAPPED",COST!$AB$5:$AB$1624,1)</f>
        <v>0</v>
      </c>
      <c r="N13" s="21" t="n">
        <f aca="false">M13-L13</f>
        <v>0</v>
      </c>
      <c r="O13" s="22" t="str">
        <f aca="false">IF(ABS(N13)&lt;0.005,"PASS","FAIL")</f>
        <v>PASS</v>
      </c>
      <c r="Q13" s="23" t="s">
        <v>99</v>
      </c>
      <c r="R13" s="24" t="n">
        <f aca="false">H44/1000000</f>
        <v>3.4380906102675</v>
      </c>
    </row>
    <row r="14" customFormat="false" ht="30" hidden="false" customHeight="true" outlineLevel="0" collapsed="false">
      <c r="A14" s="30" t="s">
        <v>100</v>
      </c>
      <c r="B14" s="31" t="s">
        <v>101</v>
      </c>
      <c r="C14" s="32" t="n">
        <f aca="false">C11+C12+C13</f>
        <v>0</v>
      </c>
      <c r="D14" s="32" t="n">
        <f aca="false">D11+D12+D13</f>
        <v>0</v>
      </c>
      <c r="E14" s="33" t="n">
        <f aca="false">E11+E12+E13</f>
        <v>591790000</v>
      </c>
      <c r="F14" s="33" t="n">
        <f aca="false">F11+F12+F13</f>
        <v>398360000</v>
      </c>
      <c r="G14" s="33" t="n">
        <f aca="false">E14-F14</f>
        <v>193430000</v>
      </c>
      <c r="H14" s="34" t="n">
        <f aca="false">IF($H$6=0,0,G14/$H$6)</f>
        <v>0.0906823562504395</v>
      </c>
      <c r="J14" s="1" t="n">
        <v>5</v>
      </c>
      <c r="K14" s="20" t="s">
        <v>102</v>
      </c>
      <c r="L14" s="21" t="n">
        <v>0</v>
      </c>
      <c r="M14" s="21" t="n">
        <f aca="false">COUNTIFS(COST!$R$5:$R$1624,"",COST!$AB$5:$AB$1624,1,COST!$P$5:$P$1624,"&lt;&gt;No staff time")</f>
        <v>0</v>
      </c>
      <c r="N14" s="21" t="n">
        <f aca="false">M14-L14</f>
        <v>0</v>
      </c>
      <c r="O14" s="22" t="str">
        <f aca="false">IF(ABS(N14)&lt;0.005,"PASS","FAIL")</f>
        <v>PASS</v>
      </c>
      <c r="Q14" s="23" t="s">
        <v>103</v>
      </c>
      <c r="R14" s="24" t="n">
        <f aca="false">H45/1000000</f>
        <v>2.99381165572875</v>
      </c>
    </row>
    <row r="15" customFormat="false" ht="27" hidden="false" customHeight="true" outlineLevel="0" collapsed="false">
      <c r="A15" s="18" t="s">
        <v>104</v>
      </c>
      <c r="B15" s="19"/>
      <c r="C15" s="19"/>
      <c r="D15" s="19"/>
      <c r="E15" s="19"/>
      <c r="F15" s="19"/>
      <c r="G15" s="19"/>
      <c r="H15" s="19"/>
      <c r="J15" s="1" t="n">
        <v>6</v>
      </c>
      <c r="K15" s="20" t="s">
        <v>105</v>
      </c>
      <c r="L15" s="21" t="n">
        <v>0</v>
      </c>
      <c r="M15" s="21" t="n">
        <f aca="false">COUNTIFS(COST!$N$5:$N$1624,"&lt;&gt;Yes",COST!$AB$5:$AB$1624,1)</f>
        <v>0</v>
      </c>
      <c r="N15" s="21" t="n">
        <f aca="false">M15-L15</f>
        <v>0</v>
      </c>
      <c r="O15" s="22" t="str">
        <f aca="false">IF(ABS(N15)&lt;0.005,"PASS","FAIL")</f>
        <v>PASS</v>
      </c>
      <c r="Q15" s="23" t="s">
        <v>106</v>
      </c>
      <c r="R15" s="24" t="n">
        <f aca="false">H46/1000000</f>
        <v>19.07</v>
      </c>
    </row>
    <row r="16" customFormat="false" ht="30" hidden="false" customHeight="true" outlineLevel="0" collapsed="false">
      <c r="A16" s="25" t="s">
        <v>107</v>
      </c>
      <c r="B16" s="26" t="s">
        <v>108</v>
      </c>
      <c r="C16" s="27" t="n">
        <f aca="false">SUMPRODUCT((COST!$K$5:$K$1624=A16)*((($B$5="System")+(COST!$B$5:$B$1624=$B$5))&gt;0)*COST!$AC$5:$AC$1624)</f>
        <v>57</v>
      </c>
      <c r="D16" s="27" t="n">
        <f aca="false">SUMPRODUCT((COST!$K$5:$K$1624=A16)*((($B$5="System")+(COST!$B$5:$B$1624=$B$5))&gt;0)*COST!$AB$5:$AB$1624*COST!$Z$5:$Z$1624)</f>
        <v>48823</v>
      </c>
      <c r="E16" s="28" t="n">
        <f aca="false">SUMPRODUCT((COST!$K$5:$K$1624=A16)*((($B$5="System")+(COST!$B$5:$B$1624=$B$5))&gt;0)*COST!$AB$5:$AB$1624*COST!$W$5:$W$1624)</f>
        <v>3643470.6102675</v>
      </c>
      <c r="F16" s="28" t="n">
        <f aca="false">SUMPRODUCT((COST!$K$5:$K$1624=A16)*((($B$5="System")+(COST!$B$5:$B$1624=$B$5))&gt;0)*COST!$AB$5:$AB$1624*COST!$X$5:$X$1624)</f>
        <v>205380</v>
      </c>
      <c r="G16" s="28" t="n">
        <f aca="false">E16-F16</f>
        <v>3438090.6102675</v>
      </c>
      <c r="H16" s="29" t="n">
        <f aca="false">IF($H$6=0,0,G16/$H$6)</f>
        <v>0.00161181904327958</v>
      </c>
      <c r="J16" s="1" t="n">
        <v>7</v>
      </c>
      <c r="K16" s="20" t="s">
        <v>109</v>
      </c>
      <c r="L16" s="21" t="n">
        <v>0</v>
      </c>
      <c r="M16" s="21" t="n">
        <f aca="false">COUNTIF(REVIEW!$P$5:$P$1624,"Needs decision")</f>
        <v>0</v>
      </c>
      <c r="N16" s="21" t="n">
        <f aca="false">M16-L16</f>
        <v>0</v>
      </c>
      <c r="O16" s="22" t="str">
        <f aca="false">IF(ABS(N16)&lt;0.005,"PASS","FAIL")</f>
        <v>PASS</v>
      </c>
      <c r="Q16" s="23" t="s">
        <v>110</v>
      </c>
      <c r="R16" s="24" t="n">
        <f aca="false">H47/1000000</f>
        <v>0.152171987415</v>
      </c>
    </row>
    <row r="17" customFormat="false" ht="30" hidden="false" customHeight="true" outlineLevel="0" collapsed="false">
      <c r="A17" s="25" t="s">
        <v>111</v>
      </c>
      <c r="B17" s="26" t="s">
        <v>112</v>
      </c>
      <c r="C17" s="27" t="n">
        <f aca="false">SUMPRODUCT((COST!$K$5:$K$1624=A17)*((($B$5="System")+(COST!$B$5:$B$1624=$B$5))&gt;0)*COST!$AC$5:$AC$1624)</f>
        <v>12</v>
      </c>
      <c r="D17" s="27" t="n">
        <f aca="false">SUMPRODUCT((COST!$K$5:$K$1624=A17)*((($B$5="System")+(COST!$B$5:$B$1624=$B$5))&gt;0)*COST!$AB$5:$AB$1624*COST!$Z$5:$Z$1624)</f>
        <v>1981</v>
      </c>
      <c r="E17" s="28" t="n">
        <f aca="false">SUMPRODUCT((COST!$K$5:$K$1624=A17)*((($B$5="System")+(COST!$B$5:$B$1624=$B$5))&gt;0)*COST!$AB$5:$AB$1624*COST!$W$5:$W$1624)</f>
        <v>4989656.65572875</v>
      </c>
      <c r="F17" s="28" t="n">
        <f aca="false">SUMPRODUCT((COST!$K$5:$K$1624=A17)*((($B$5="System")+(COST!$B$5:$B$1624=$B$5))&gt;0)*COST!$AB$5:$AB$1624*COST!$X$5:$X$1624)</f>
        <v>1995845</v>
      </c>
      <c r="G17" s="28" t="n">
        <f aca="false">E17-F17</f>
        <v>2993811.65572875</v>
      </c>
      <c r="H17" s="29" t="n">
        <f aca="false">IF($H$6=0,0,G17/$H$6)</f>
        <v>0.00140353562069748</v>
      </c>
      <c r="J17" s="1" t="n">
        <v>8</v>
      </c>
      <c r="K17" s="20" t="s">
        <v>113</v>
      </c>
      <c r="L17" s="35" t="n">
        <f aca="false">SUMIFS(COST!$Y$5:$Y$1624,COST!$AB$5:$AB$1624,1)</f>
        <v>7892886.11624313</v>
      </c>
      <c r="M17" s="35" t="n">
        <f aca="false">H44+H45+H47+H48+H60</f>
        <v>7892886.11624312</v>
      </c>
      <c r="N17" s="35" t="n">
        <f aca="false">M17-L17</f>
        <v>0</v>
      </c>
      <c r="O17" s="22" t="str">
        <f aca="false">IF(ABS(N17)&lt;0.005,"PASS","FAIL")</f>
        <v>PASS</v>
      </c>
      <c r="Q17" s="23" t="s">
        <v>114</v>
      </c>
      <c r="R17" s="24" t="n">
        <f aca="false">H48/1000000</f>
        <v>0.7436</v>
      </c>
    </row>
    <row r="18" customFormat="false" ht="30" hidden="false" customHeight="true" outlineLevel="0" collapsed="false">
      <c r="A18" s="25" t="s">
        <v>115</v>
      </c>
      <c r="B18" s="26" t="s">
        <v>116</v>
      </c>
      <c r="C18" s="27"/>
      <c r="D18" s="27"/>
      <c r="E18" s="28" t="n">
        <f aca="false">SUMPRODUCT((INPUTS!$B$19:$B$38=A18)*((($B$5="System")+(INPUTS!$A$19:$A$38=$B$5))&gt;0)*INPUTS!$D$19:$D$38)</f>
        <v>46000000</v>
      </c>
      <c r="F18" s="28" t="n">
        <f aca="false">SUMPRODUCT((INPUTS!$B$19:$B$38=A18)*((($B$5="System")+(INPUTS!$A$19:$A$38=$B$5))&gt;0)*INPUTS!$E$19:$E$38)</f>
        <v>26930000</v>
      </c>
      <c r="G18" s="28" t="n">
        <f aca="false">E18-F18</f>
        <v>19070000</v>
      </c>
      <c r="H18" s="29" t="n">
        <f aca="false">IF($H$6=0,0,G18/$H$6)</f>
        <v>0.00894024987693678</v>
      </c>
      <c r="J18" s="1" t="n">
        <v>9</v>
      </c>
      <c r="K18" s="20" t="s">
        <v>117</v>
      </c>
      <c r="L18" s="35" t="n">
        <f aca="false">H50+H60</f>
        <v>220392886.116243</v>
      </c>
      <c r="M18" s="35" t="n">
        <f aca="false">SUM(C50:G50)+SUM(C60:G60)</f>
        <v>220392886.116243</v>
      </c>
      <c r="N18" s="35" t="n">
        <f aca="false">M18-L18</f>
        <v>0</v>
      </c>
      <c r="O18" s="22" t="str">
        <f aca="false">IF(ABS(N18)&lt;0.005,"PASS","FAIL")</f>
        <v>PASS</v>
      </c>
    </row>
    <row r="19" customFormat="false" ht="30" hidden="false" customHeight="true" outlineLevel="0" collapsed="false">
      <c r="A19" s="25" t="s">
        <v>118</v>
      </c>
      <c r="B19" s="26" t="s">
        <v>119</v>
      </c>
      <c r="C19" s="27" t="n">
        <f aca="false">SUMPRODUCT((COST!$K$5:$K$1624=A19)*((($B$5="System")+(COST!$B$5:$B$1624=$B$5))&gt;0)*COST!$AC$5:$AC$1624)</f>
        <v>2</v>
      </c>
      <c r="D19" s="27" t="n">
        <f aca="false">SUMPRODUCT((COST!$K$5:$K$1624=A19)*((($B$5="System")+(COST!$B$5:$B$1624=$B$5))&gt;0)*COST!$AB$5:$AB$1624*COST!$Z$5:$Z$1624)</f>
        <v>1040</v>
      </c>
      <c r="E19" s="28" t="n">
        <f aca="false">SUMPRODUCT((COST!$K$5:$K$1624=A19)*((($B$5="System")+(COST!$B$5:$B$1624=$B$5))&gt;0)*COST!$AB$5:$AB$1624*COST!$W$5:$W$1624)</f>
        <v>340291.987415</v>
      </c>
      <c r="F19" s="28" t="n">
        <f aca="false">SUMPRODUCT((COST!$K$5:$K$1624=A19)*((($B$5="System")+(COST!$B$5:$B$1624=$B$5))&gt;0)*COST!$AB$5:$AB$1624*COST!$X$5:$X$1624)</f>
        <v>188120</v>
      </c>
      <c r="G19" s="28" t="n">
        <f aca="false">E19-F19</f>
        <v>152171.987415</v>
      </c>
      <c r="H19" s="29" t="n">
        <f aca="false">IF($H$6=0,0,G19/$H$6)</f>
        <v>7.13400939570099E-005</v>
      </c>
      <c r="J19" s="1" t="n">
        <v>10</v>
      </c>
      <c r="K19" s="20" t="s">
        <v>120</v>
      </c>
      <c r="L19" s="35" t="n">
        <f aca="false">IF($B$5="System",H50,INDEX(C50:G50,MATCH($B$5,C39:G39,0)))</f>
        <v>219827674.253411</v>
      </c>
      <c r="M19" s="35" t="n">
        <f aca="false">G22</f>
        <v>219827674.253411</v>
      </c>
      <c r="N19" s="35" t="n">
        <f aca="false">M19-L19</f>
        <v>0</v>
      </c>
      <c r="O19" s="22" t="str">
        <f aca="false">IF(ABS(N19)&lt;0.005,"PASS","FAIL")</f>
        <v>PASS</v>
      </c>
    </row>
    <row r="20" customFormat="false" ht="30" hidden="false" customHeight="true" outlineLevel="0" collapsed="false">
      <c r="A20" s="25" t="s">
        <v>121</v>
      </c>
      <c r="B20" s="26" t="s">
        <v>122</v>
      </c>
      <c r="C20" s="27" t="n">
        <f aca="false">SUMPRODUCT((COST!$K$5:$K$1624=A20)*((($B$5="System")+(COST!$B$5:$B$1624=$B$5))&gt;0)*COST!$AC$5:$AC$1624)</f>
        <v>10</v>
      </c>
      <c r="D20" s="27" t="n">
        <f aca="false">SUMPRODUCT((COST!$K$5:$K$1624=A20)*((($B$5="System")+(COST!$B$5:$B$1624=$B$5))&gt;0)*COST!$AB$5:$AB$1624*COST!$Z$5:$Z$1624)</f>
        <v>0</v>
      </c>
      <c r="E20" s="28" t="n">
        <f aca="false">SUMPRODUCT((COST!$K$5:$K$1624=A20)*((($B$5="System")+(COST!$B$5:$B$1624=$B$5))&gt;0)*COST!$AB$5:$AB$1624*COST!$W$5:$W$1624)</f>
        <v>743600</v>
      </c>
      <c r="F20" s="28" t="n">
        <f aca="false">SUMPRODUCT((COST!$K$5:$K$1624=A20)*((($B$5="System")+(COST!$B$5:$B$1624=$B$5))&gt;0)*COST!$AB$5:$AB$1624*COST!$X$5:$X$1624)</f>
        <v>0</v>
      </c>
      <c r="G20" s="28" t="n">
        <f aca="false">E20-F20</f>
        <v>743600</v>
      </c>
      <c r="H20" s="29" t="n">
        <f aca="false">IF($H$6=0,0,G20/$H$6)</f>
        <v>0.000348608799606198</v>
      </c>
      <c r="J20" s="1" t="n">
        <v>11</v>
      </c>
      <c r="K20" s="20" t="s">
        <v>123</v>
      </c>
      <c r="L20" s="21" t="n">
        <f aca="false">SUMPRODUCT(((($B$5="System")+(COST!$B$5:$B$1624=$B$5))&gt;0)*COST!$AB$5:$AB$1624*COST!$Z$5:$Z$1624)</f>
        <v>53299</v>
      </c>
      <c r="M20" s="21" t="n">
        <f aca="false">D21+D35</f>
        <v>53299</v>
      </c>
      <c r="N20" s="21" t="n">
        <f aca="false">M20-L20</f>
        <v>0</v>
      </c>
      <c r="O20" s="22" t="str">
        <f aca="false">IF(ABS(N20)&lt;0.005,"PASS","FAIL")</f>
        <v>PASS</v>
      </c>
    </row>
    <row r="21" customFormat="false" ht="30" hidden="false" customHeight="true" outlineLevel="0" collapsed="false">
      <c r="A21" s="30" t="s">
        <v>124</v>
      </c>
      <c r="B21" s="31" t="s">
        <v>125</v>
      </c>
      <c r="C21" s="32" t="n">
        <f aca="false">C16+C17+C18+C19+C20</f>
        <v>81</v>
      </c>
      <c r="D21" s="32" t="n">
        <f aca="false">D16+D17+D18+D19+D20</f>
        <v>51844</v>
      </c>
      <c r="E21" s="33" t="n">
        <f aca="false">E16+E17+E18+E19+E20</f>
        <v>55717019.2534113</v>
      </c>
      <c r="F21" s="33" t="n">
        <f aca="false">F16+F17+F18+F19+F20</f>
        <v>29319345</v>
      </c>
      <c r="G21" s="33" t="n">
        <f aca="false">E21-F21</f>
        <v>26397674.2534113</v>
      </c>
      <c r="H21" s="34" t="n">
        <f aca="false">IF($H$6=0,0,G21/$H$6)</f>
        <v>0.012375553434477</v>
      </c>
      <c r="K21" s="13" t="s">
        <v>126</v>
      </c>
      <c r="O21" s="36" t="str">
        <f aca="false">IF(COUNTIF(O10:O20,"PASS")=11,"ALL PASS","CHECK")</f>
        <v>ALL PASS</v>
      </c>
    </row>
    <row r="22" customFormat="false" ht="30" hidden="false" customHeight="true" outlineLevel="0" collapsed="false">
      <c r="A22" s="30" t="s">
        <v>127</v>
      </c>
      <c r="B22" s="31" t="s">
        <v>128</v>
      </c>
      <c r="C22" s="32" t="n">
        <f aca="false">C14+C21</f>
        <v>81</v>
      </c>
      <c r="D22" s="32" t="n">
        <f aca="false">D14+D21</f>
        <v>51844</v>
      </c>
      <c r="E22" s="33" t="n">
        <f aca="false">E14+E21</f>
        <v>647507019.253411</v>
      </c>
      <c r="F22" s="33" t="n">
        <f aca="false">F14+F21</f>
        <v>427679345</v>
      </c>
      <c r="G22" s="33" t="n">
        <f aca="false">E22-F22</f>
        <v>219827674.253411</v>
      </c>
      <c r="H22" s="34" t="n">
        <f aca="false">IF($H$6=0,0,G22/$H$6)</f>
        <v>0.103057909684917</v>
      </c>
    </row>
    <row r="24" customFormat="false" ht="15" hidden="false" customHeight="false" outlineLevel="0" collapsed="false">
      <c r="A24" s="17" t="s">
        <v>129</v>
      </c>
    </row>
    <row r="25" customFormat="false" ht="45.75" hidden="false" customHeight="true" outlineLevel="0" collapsed="false">
      <c r="A25" s="7" t="s">
        <v>70</v>
      </c>
      <c r="B25" s="7" t="s">
        <v>71</v>
      </c>
      <c r="C25" s="7" t="s">
        <v>72</v>
      </c>
      <c r="D25" s="7" t="s">
        <v>73</v>
      </c>
      <c r="E25" s="7" t="s">
        <v>130</v>
      </c>
      <c r="F25" s="7" t="s">
        <v>75</v>
      </c>
      <c r="G25" s="7" t="s">
        <v>131</v>
      </c>
      <c r="H25" s="7" t="s">
        <v>77</v>
      </c>
    </row>
    <row r="26" customFormat="false" ht="15" hidden="false" customHeight="false" outlineLevel="0" collapsed="false">
      <c r="A26" s="13" t="s">
        <v>132</v>
      </c>
      <c r="B26" s="37" t="s">
        <v>133</v>
      </c>
      <c r="C26" s="21" t="n">
        <f aca="false">SUMPRODUCT((COST!$K$5:$K$1624="II-1")*((($B$5="System")+(COST!$B$5:$B$1624=$B$5))&gt;0)*COST!$AC$5:$AC$1624)</f>
        <v>2</v>
      </c>
      <c r="D26" s="21" t="n">
        <f aca="false">SUMPRODUCT((COST!$K$5:$K$1624="II-1")*((($B$5="System")+(COST!$B$5:$B$1624=$B$5))&gt;0)*COST!$AB$5:$AB$1624*COST!$Z$5:$Z$1624)</f>
        <v>0</v>
      </c>
      <c r="E26" s="35" t="n">
        <f aca="false">SUMPRODUCT((COST!$K$5:$K$1624="II-1")*((($B$5="System")+(COST!$B$5:$B$1624=$B$5))&gt;0)*COST!$AB$5:$AB$1624*COST!$W$5:$W$1624)</f>
        <v>457764.542111875</v>
      </c>
      <c r="F26" s="35" t="n">
        <f aca="false">SUMPRODUCT((COST!$K$5:$K$1624="II-1")*((($B$5="System")+(COST!$B$5:$B$1624=$B$5))&gt;0)*COST!$AB$5:$AB$1624*COST!$X$5:$X$1624)</f>
        <v>0</v>
      </c>
      <c r="G26" s="35" t="n">
        <f aca="false">E26-F26</f>
        <v>457764.542111875</v>
      </c>
      <c r="H26" s="38" t="n">
        <f aca="false">IF($H$6=0,0,G26/$H$6)</f>
        <v>0.000214605631425365</v>
      </c>
    </row>
    <row r="27" customFormat="false" ht="15" hidden="false" customHeight="false" outlineLevel="0" collapsed="false">
      <c r="A27" s="13" t="s">
        <v>134</v>
      </c>
      <c r="B27" s="37" t="s">
        <v>135</v>
      </c>
      <c r="C27" s="21" t="n">
        <f aca="false">SUMPRODUCT((COST!$K$5:$K$1624="II-2")*((($B$5="System")+(COST!$B$5:$B$1624=$B$5))&gt;0)*COST!$AC$5:$AC$1624)</f>
        <v>1</v>
      </c>
      <c r="D27" s="21" t="n">
        <f aca="false">SUMPRODUCT((COST!$K$5:$K$1624="II-2")*((($B$5="System")+(COST!$B$5:$B$1624=$B$5))&gt;0)*COST!$AB$5:$AB$1624*COST!$Z$5:$Z$1624)</f>
        <v>0</v>
      </c>
      <c r="E27" s="35" t="n">
        <f aca="false">SUMPRODUCT((COST!$K$5:$K$1624="II-2")*((($B$5="System")+(COST!$B$5:$B$1624=$B$5))&gt;0)*COST!$AB$5:$AB$1624*COST!$W$5:$W$1624)</f>
        <v>13767.97921875</v>
      </c>
      <c r="F27" s="35" t="n">
        <f aca="false">SUMPRODUCT((COST!$K$5:$K$1624="II-2")*((($B$5="System")+(COST!$B$5:$B$1624=$B$5))&gt;0)*COST!$AB$5:$AB$1624*COST!$X$5:$X$1624)</f>
        <v>0</v>
      </c>
      <c r="G27" s="35" t="n">
        <f aca="false">E27-F27</f>
        <v>13767.97921875</v>
      </c>
      <c r="H27" s="38" t="n">
        <f aca="false">IF($H$6=0,0,G27/$H$6)</f>
        <v>6.45459751002086E-006</v>
      </c>
    </row>
    <row r="28" customFormat="false" ht="15" hidden="false" customHeight="false" outlineLevel="0" collapsed="false">
      <c r="A28" s="13" t="s">
        <v>136</v>
      </c>
      <c r="B28" s="37" t="s">
        <v>137</v>
      </c>
      <c r="C28" s="21" t="n">
        <f aca="false">SUMPRODUCT((COST!$K$5:$K$1624="II-3")*((($B$5="System")+(COST!$B$5:$B$1624=$B$5))&gt;0)*COST!$AC$5:$AC$1624)</f>
        <v>2</v>
      </c>
      <c r="D28" s="21" t="n">
        <f aca="false">SUMPRODUCT((COST!$K$5:$K$1624="II-3")*((($B$5="System")+(COST!$B$5:$B$1624=$B$5))&gt;0)*COST!$AB$5:$AB$1624*COST!$Z$5:$Z$1624)</f>
        <v>498</v>
      </c>
      <c r="E28" s="35" t="n">
        <f aca="false">SUMPRODUCT((COST!$K$5:$K$1624="II-3")*((($B$5="System")+(COST!$B$5:$B$1624=$B$5))&gt;0)*COST!$AB$5:$AB$1624*COST!$W$5:$W$1624)</f>
        <v>11522.544175625</v>
      </c>
      <c r="F28" s="35" t="n">
        <f aca="false">SUMPRODUCT((COST!$K$5:$K$1624="II-3")*((($B$5="System")+(COST!$B$5:$B$1624=$B$5))&gt;0)*COST!$AB$5:$AB$1624*COST!$X$5:$X$1624)</f>
        <v>0</v>
      </c>
      <c r="G28" s="35" t="n">
        <f aca="false">E28-F28</f>
        <v>11522.544175625</v>
      </c>
      <c r="H28" s="38" t="n">
        <f aca="false">IF($H$6=0,0,G28/$H$6)</f>
        <v>5.40191002349921E-006</v>
      </c>
    </row>
    <row r="29" customFormat="false" ht="15" hidden="false" customHeight="false" outlineLevel="0" collapsed="false">
      <c r="A29" s="13" t="s">
        <v>138</v>
      </c>
      <c r="B29" s="37" t="s">
        <v>139</v>
      </c>
      <c r="C29" s="21" t="n">
        <f aca="false">SUMPRODUCT((COST!$K$5:$K$1624="II-4")*((($B$5="System")+(COST!$B$5:$B$1624=$B$5))&gt;0)*COST!$AC$5:$AC$1624)</f>
        <v>2</v>
      </c>
      <c r="D29" s="21" t="n">
        <f aca="false">SUMPRODUCT((COST!$K$5:$K$1624="II-4")*((($B$5="System")+(COST!$B$5:$B$1624=$B$5))&gt;0)*COST!$AB$5:$AB$1624*COST!$Z$5:$Z$1624)</f>
        <v>350</v>
      </c>
      <c r="E29" s="35" t="n">
        <f aca="false">SUMPRODUCT((COST!$K$5:$K$1624="II-4")*((($B$5="System")+(COST!$B$5:$B$1624=$B$5))&gt;0)*COST!$AB$5:$AB$1624*COST!$W$5:$W$1624)</f>
        <v>28258.45470625</v>
      </c>
      <c r="F29" s="35" t="n">
        <f aca="false">SUMPRODUCT((COST!$K$5:$K$1624="II-4")*((($B$5="System")+(COST!$B$5:$B$1624=$B$5))&gt;0)*COST!$AB$5:$AB$1624*COST!$X$5:$X$1624)</f>
        <v>0</v>
      </c>
      <c r="G29" s="35" t="n">
        <f aca="false">E29-F29</f>
        <v>28258.45470625</v>
      </c>
      <c r="H29" s="38" t="n">
        <f aca="false">IF($H$6=0,0,G29/$H$6)</f>
        <v>1.3247910131619E-005</v>
      </c>
    </row>
    <row r="30" customFormat="false" ht="15" hidden="false" customHeight="false" outlineLevel="0" collapsed="false">
      <c r="A30" s="13" t="s">
        <v>140</v>
      </c>
      <c r="B30" s="37" t="s">
        <v>141</v>
      </c>
      <c r="C30" s="21" t="n">
        <f aca="false">SUMPRODUCT((COST!$K$5:$K$1624="II-5")*((($B$5="System")+(COST!$B$5:$B$1624=$B$5))&gt;0)*COST!$AC$5:$AC$1624)</f>
        <v>1</v>
      </c>
      <c r="D30" s="21" t="n">
        <f aca="false">SUMPRODUCT((COST!$K$5:$K$1624="II-5")*((($B$5="System")+(COST!$B$5:$B$1624=$B$5))&gt;0)*COST!$AB$5:$AB$1624*COST!$Z$5:$Z$1624)</f>
        <v>163</v>
      </c>
      <c r="E30" s="35" t="n">
        <f aca="false">SUMPRODUCT((COST!$K$5:$K$1624="II-5")*((($B$5="System")+(COST!$B$5:$B$1624=$B$5))&gt;0)*COST!$AB$5:$AB$1624*COST!$W$5:$W$1624)</f>
        <v>7023.37662875</v>
      </c>
      <c r="F30" s="35" t="n">
        <f aca="false">SUMPRODUCT((COST!$K$5:$K$1624="II-5")*((($B$5="System")+(COST!$B$5:$B$1624=$B$5))&gt;0)*COST!$AB$5:$AB$1624*COST!$X$5:$X$1624)</f>
        <v>0</v>
      </c>
      <c r="G30" s="35" t="n">
        <f aca="false">E30-F30</f>
        <v>7023.37662875</v>
      </c>
      <c r="H30" s="38" t="n">
        <f aca="false">IF($H$6=0,0,G30/$H$6)</f>
        <v>3.29264509915379E-006</v>
      </c>
    </row>
    <row r="31" customFormat="false" ht="15" hidden="false" customHeight="false" outlineLevel="0" collapsed="false">
      <c r="A31" s="13" t="s">
        <v>142</v>
      </c>
      <c r="B31" s="37" t="s">
        <v>143</v>
      </c>
      <c r="C31" s="21" t="n">
        <f aca="false">SUMPRODUCT((COST!$K$5:$K$1624="II-6")*((($B$5="System")+(COST!$B$5:$B$1624=$B$5))&gt;0)*COST!$AC$5:$AC$1624)</f>
        <v>5</v>
      </c>
      <c r="D31" s="21" t="n">
        <f aca="false">SUMPRODUCT((COST!$K$5:$K$1624="II-6")*((($B$5="System")+(COST!$B$5:$B$1624=$B$5))&gt;0)*COST!$AB$5:$AB$1624*COST!$Z$5:$Z$1624)</f>
        <v>0</v>
      </c>
      <c r="E31" s="35" t="n">
        <f aca="false">SUMPRODUCT((COST!$K$5:$K$1624="II-6")*((($B$5="System")+(COST!$B$5:$B$1624=$B$5))&gt;0)*COST!$AB$5:$AB$1624*COST!$W$5:$W$1624)</f>
        <v>16260.78336</v>
      </c>
      <c r="F31" s="35" t="n">
        <f aca="false">SUMPRODUCT((COST!$K$5:$K$1624="II-6")*((($B$5="System")+(COST!$B$5:$B$1624=$B$5))&gt;0)*COST!$AB$5:$AB$1624*COST!$X$5:$X$1624)</f>
        <v>0</v>
      </c>
      <c r="G31" s="35" t="n">
        <f aca="false">E31-F31</f>
        <v>16260.78336</v>
      </c>
      <c r="H31" s="38" t="n">
        <f aca="false">IF($H$6=0,0,G31/$H$6)</f>
        <v>7.62325466351E-006</v>
      </c>
    </row>
    <row r="32" customFormat="false" ht="15" hidden="false" customHeight="false" outlineLevel="0" collapsed="false">
      <c r="A32" s="13" t="s">
        <v>144</v>
      </c>
      <c r="B32" s="37" t="s">
        <v>145</v>
      </c>
      <c r="C32" s="21" t="n">
        <f aca="false">SUMPRODUCT((COST!$K$5:$K$1624="II-7")*((($B$5="System")+(COST!$B$5:$B$1624=$B$5))&gt;0)*COST!$AC$5:$AC$1624)</f>
        <v>1</v>
      </c>
      <c r="D32" s="21" t="n">
        <f aca="false">SUMPRODUCT((COST!$K$5:$K$1624="II-7")*((($B$5="System")+(COST!$B$5:$B$1624=$B$5))&gt;0)*COST!$AB$5:$AB$1624*COST!$Z$5:$Z$1624)</f>
        <v>0</v>
      </c>
      <c r="E32" s="35" t="n">
        <f aca="false">SUMPRODUCT((COST!$K$5:$K$1624="II-7")*((($B$5="System")+(COST!$B$5:$B$1624=$B$5))&gt;0)*COST!$AB$5:$AB$1624*COST!$W$5:$W$1624)</f>
        <v>3909.184745</v>
      </c>
      <c r="F32" s="35" t="n">
        <f aca="false">SUMPRODUCT((COST!$K$5:$K$1624="II-7")*((($B$5="System")+(COST!$B$5:$B$1624=$B$5))&gt;0)*COST!$AB$5:$AB$1624*COST!$X$5:$X$1624)</f>
        <v>0</v>
      </c>
      <c r="G32" s="35" t="n">
        <f aca="false">E32-F32</f>
        <v>3909.184745</v>
      </c>
      <c r="H32" s="38" t="n">
        <f aca="false">IF($H$6=0,0,G32/$H$6)</f>
        <v>1.83267375120133E-006</v>
      </c>
    </row>
    <row r="33" customFormat="false" ht="15" hidden="false" customHeight="false" outlineLevel="0" collapsed="false">
      <c r="A33" s="13" t="s">
        <v>146</v>
      </c>
      <c r="B33" s="37" t="s">
        <v>147</v>
      </c>
      <c r="C33" s="21" t="n">
        <f aca="false">SUMPRODUCT((COST!$K$5:$K$1624="II-8")*((($B$5="System")+(COST!$B$5:$B$1624=$B$5))&gt;0)*COST!$AC$5:$AC$1624)</f>
        <v>3</v>
      </c>
      <c r="D33" s="21" t="n">
        <f aca="false">SUMPRODUCT((COST!$K$5:$K$1624="II-8")*((($B$5="System")+(COST!$B$5:$B$1624=$B$5))&gt;0)*COST!$AB$5:$AB$1624*COST!$Z$5:$Z$1624)</f>
        <v>444</v>
      </c>
      <c r="E33" s="35" t="n">
        <f aca="false">SUMPRODUCT((COST!$K$5:$K$1624="II-8")*((($B$5="System")+(COST!$B$5:$B$1624=$B$5))&gt;0)*COST!$AB$5:$AB$1624*COST!$W$5:$W$1624)</f>
        <v>26704.997885625</v>
      </c>
      <c r="F33" s="35" t="n">
        <f aca="false">SUMPRODUCT((COST!$K$5:$K$1624="II-8")*((($B$5="System")+(COST!$B$5:$B$1624=$B$5))&gt;0)*COST!$AB$5:$AB$1624*COST!$X$5:$X$1624)</f>
        <v>0</v>
      </c>
      <c r="G33" s="35" t="n">
        <f aca="false">E33-F33</f>
        <v>26704.997885625</v>
      </c>
      <c r="H33" s="38" t="n">
        <f aca="false">IF($H$6=0,0,G33/$H$6)</f>
        <v>1.25196305223155E-005</v>
      </c>
    </row>
    <row r="34" customFormat="false" ht="15" hidden="false" customHeight="false" outlineLevel="0" collapsed="false">
      <c r="A34" s="13" t="s">
        <v>148</v>
      </c>
      <c r="B34" s="37" t="s">
        <v>149</v>
      </c>
      <c r="C34" s="21" t="n">
        <f aca="false">SUMPRODUCT((COST!$K$5:$K$1624="II-9")*((($B$5="System")+(COST!$B$5:$B$1624=$B$5))&gt;0)*COST!$AC$5:$AC$1624)</f>
        <v>0</v>
      </c>
      <c r="D34" s="21" t="n">
        <f aca="false">SUMPRODUCT((COST!$K$5:$K$1624="II-9")*((($B$5="System")+(COST!$B$5:$B$1624=$B$5))&gt;0)*COST!$AB$5:$AB$1624*COST!$Z$5:$Z$1624)</f>
        <v>0</v>
      </c>
      <c r="E34" s="35" t="n">
        <f aca="false">SUMPRODUCT((COST!$K$5:$K$1624="II-9")*((($B$5="System")+(COST!$B$5:$B$1624=$B$5))&gt;0)*COST!$AB$5:$AB$1624*COST!$W$5:$W$1624)</f>
        <v>0</v>
      </c>
      <c r="F34" s="35" t="n">
        <f aca="false">SUMPRODUCT((COST!$K$5:$K$1624="II-9")*((($B$5="System")+(COST!$B$5:$B$1624=$B$5))&gt;0)*COST!$AB$5:$AB$1624*COST!$X$5:$X$1624)</f>
        <v>0</v>
      </c>
      <c r="G34" s="35" t="n">
        <f aca="false">E34-F34</f>
        <v>0</v>
      </c>
      <c r="H34" s="38" t="n">
        <f aca="false">IF($H$6=0,0,G34/$H$6)</f>
        <v>0</v>
      </c>
    </row>
    <row r="35" customFormat="false" ht="15" hidden="false" customHeight="false" outlineLevel="0" collapsed="false">
      <c r="A35" s="39" t="s">
        <v>150</v>
      </c>
      <c r="B35" s="39" t="s">
        <v>151</v>
      </c>
      <c r="C35" s="40" t="n">
        <f aca="false">SUM(C26:C34)</f>
        <v>17</v>
      </c>
      <c r="D35" s="40" t="n">
        <f aca="false">SUM(D26:D34)</f>
        <v>1455</v>
      </c>
      <c r="E35" s="41" t="n">
        <f aca="false">SUM(E26:E34)</f>
        <v>565211.862831875</v>
      </c>
      <c r="F35" s="41" t="n">
        <f aca="false">SUM(F26:F34)</f>
        <v>0</v>
      </c>
      <c r="G35" s="41" t="n">
        <f aca="false">E35-F35</f>
        <v>565211.862831875</v>
      </c>
      <c r="H35" s="42" t="n">
        <f aca="false">IF($H$6=0,0,G35/$H$6)</f>
        <v>0.000264978253126685</v>
      </c>
    </row>
    <row r="36" customFormat="false" ht="15" hidden="false" customHeight="false" outlineLevel="0" collapsed="false">
      <c r="A36" s="4" t="s">
        <v>152</v>
      </c>
    </row>
    <row r="38" customFormat="false" ht="15" hidden="false" customHeight="false" outlineLevel="0" collapsed="false">
      <c r="A38" s="17" t="s">
        <v>153</v>
      </c>
    </row>
    <row r="39" customFormat="false" ht="30" hidden="false" customHeight="true" outlineLevel="0" collapsed="false">
      <c r="A39" s="7" t="s">
        <v>70</v>
      </c>
      <c r="B39" s="7" t="s">
        <v>71</v>
      </c>
      <c r="C39" s="7" t="s">
        <v>154</v>
      </c>
      <c r="D39" s="7" t="s">
        <v>155</v>
      </c>
      <c r="E39" s="7" t="s">
        <v>156</v>
      </c>
      <c r="F39" s="7" t="s">
        <v>157</v>
      </c>
      <c r="G39" s="7" t="s">
        <v>158</v>
      </c>
      <c r="H39" s="7" t="s">
        <v>65</v>
      </c>
      <c r="I39" s="7" t="s">
        <v>159</v>
      </c>
    </row>
    <row r="40" customFormat="false" ht="15" hidden="false" customHeight="false" outlineLevel="0" collapsed="false">
      <c r="A40" s="13" t="s">
        <v>88</v>
      </c>
      <c r="B40" s="37" t="s">
        <v>160</v>
      </c>
      <c r="C40" s="35" t="n">
        <f aca="false">SUMIFS(INPUTS!$F$19:$F$38,INPUTS!$B$19:$B$38,$A40,INPUTS!$A$19:$A$38,"KVMC")</f>
        <v>29690000</v>
      </c>
      <c r="D40" s="35" t="n">
        <f aca="false">SUMIFS(INPUTS!$F$19:$F$38,INPUTS!$B$19:$B$38,$A40,INPUTS!$A$19:$A$38,"ASH")</f>
        <v>11850000</v>
      </c>
      <c r="E40" s="35" t="n">
        <f aca="false">SUMIFS(INPUTS!$F$19:$F$38,INPUTS!$B$19:$B$38,$A40,INPUTS!$A$19:$A$38,"CBH")</f>
        <v>9840000</v>
      </c>
      <c r="F40" s="35" t="n">
        <f aca="false">SUMIFS(INPUTS!$F$19:$F$38,INPUTS!$B$19:$B$38,$A40,INPUTS!$A$19:$A$38,"WCH")</f>
        <v>4240000</v>
      </c>
      <c r="G40" s="35" t="n">
        <f aca="false">SUMIFS(INPUTS!$F$19:$F$38,INPUTS!$B$19:$B$38,$A40,INPUTS!$A$19:$A$38,"QHH")</f>
        <v>6870000</v>
      </c>
      <c r="H40" s="35" t="n">
        <f aca="false">SUMIFS(INPUTS!$F$19:$F$38,INPUTS!$B$19:$B$38,$A40)</f>
        <v>62490000</v>
      </c>
      <c r="I40" s="21" t="n">
        <f aca="false">SUM(C40:G40)-H40</f>
        <v>0</v>
      </c>
    </row>
    <row r="41" customFormat="false" ht="15" hidden="false" customHeight="false" outlineLevel="0" collapsed="false">
      <c r="A41" s="13" t="s">
        <v>92</v>
      </c>
      <c r="B41" s="37" t="s">
        <v>161</v>
      </c>
      <c r="C41" s="35" t="n">
        <f aca="false">SUMIFS(INPUTS!$F$19:$F$38,INPUTS!$B$19:$B$38,$A41,INPUTS!$A$19:$A$38,"KVMC")</f>
        <v>65700000</v>
      </c>
      <c r="D41" s="35" t="n">
        <f aca="false">SUMIFS(INPUTS!$F$19:$F$38,INPUTS!$B$19:$B$38,$A41,INPUTS!$A$19:$A$38,"ASH")</f>
        <v>22700000</v>
      </c>
      <c r="E41" s="35" t="n">
        <f aca="false">SUMIFS(INPUTS!$F$19:$F$38,INPUTS!$B$19:$B$38,$A41,INPUTS!$A$19:$A$38,"CBH")</f>
        <v>17600000</v>
      </c>
      <c r="F41" s="35" t="n">
        <f aca="false">SUMIFS(INPUTS!$F$19:$F$38,INPUTS!$B$19:$B$38,$A41,INPUTS!$A$19:$A$38,"WCH")</f>
        <v>7550000</v>
      </c>
      <c r="G41" s="35" t="n">
        <f aca="false">SUMIFS(INPUTS!$F$19:$F$38,INPUTS!$B$19:$B$38,$A41,INPUTS!$A$19:$A$38,"QHH")</f>
        <v>12800000</v>
      </c>
      <c r="H41" s="35" t="n">
        <f aca="false">SUMIFS(INPUTS!$F$19:$F$38,INPUTS!$B$19:$B$38,$A41)</f>
        <v>126350000</v>
      </c>
      <c r="I41" s="21" t="n">
        <f aca="false">SUM(C41:G41)-H41</f>
        <v>0</v>
      </c>
    </row>
    <row r="42" customFormat="false" ht="15" hidden="false" customHeight="false" outlineLevel="0" collapsed="false">
      <c r="A42" s="13" t="s">
        <v>96</v>
      </c>
      <c r="B42" s="37" t="s">
        <v>162</v>
      </c>
      <c r="C42" s="35" t="n">
        <f aca="false">SUMIFS(INPUTS!$F$19:$F$38,INPUTS!$B$19:$B$38,$A42,INPUTS!$A$19:$A$38,"KVMC")</f>
        <v>2450000</v>
      </c>
      <c r="D42" s="35" t="n">
        <f aca="false">SUMIFS(INPUTS!$F$19:$F$38,INPUTS!$B$19:$B$38,$A42,INPUTS!$A$19:$A$38,"ASH")</f>
        <v>770000</v>
      </c>
      <c r="E42" s="35" t="n">
        <f aca="false">SUMIFS(INPUTS!$F$19:$F$38,INPUTS!$B$19:$B$38,$A42,INPUTS!$A$19:$A$38,"CBH")</f>
        <v>630000</v>
      </c>
      <c r="F42" s="35" t="n">
        <f aca="false">SUMIFS(INPUTS!$F$19:$F$38,INPUTS!$B$19:$B$38,$A42,INPUTS!$A$19:$A$38,"WCH")</f>
        <v>275000</v>
      </c>
      <c r="G42" s="35" t="n">
        <f aca="false">SUMIFS(INPUTS!$F$19:$F$38,INPUTS!$B$19:$B$38,$A42,INPUTS!$A$19:$A$38,"QHH")</f>
        <v>465000</v>
      </c>
      <c r="H42" s="35" t="n">
        <f aca="false">SUMIFS(INPUTS!$F$19:$F$38,INPUTS!$B$19:$B$38,$A42)</f>
        <v>4590000</v>
      </c>
      <c r="I42" s="21" t="n">
        <f aca="false">SUM(C42:G42)-H42</f>
        <v>0</v>
      </c>
    </row>
    <row r="43" customFormat="false" ht="15" hidden="false" customHeight="false" outlineLevel="0" collapsed="false">
      <c r="A43" s="39" t="s">
        <v>100</v>
      </c>
      <c r="B43" s="39" t="s">
        <v>163</v>
      </c>
      <c r="C43" s="41" t="n">
        <f aca="false">SUM(C40:C42)</f>
        <v>97840000</v>
      </c>
      <c r="D43" s="41" t="n">
        <f aca="false">SUM(D40:D42)</f>
        <v>35320000</v>
      </c>
      <c r="E43" s="41" t="n">
        <f aca="false">SUM(E40:E42)</f>
        <v>28070000</v>
      </c>
      <c r="F43" s="41" t="n">
        <f aca="false">SUM(F40:F42)</f>
        <v>12065000</v>
      </c>
      <c r="G43" s="41" t="n">
        <f aca="false">SUM(G40:G42)</f>
        <v>20135000</v>
      </c>
      <c r="H43" s="41" t="n">
        <f aca="false">SUM(H40:H42)</f>
        <v>193430000</v>
      </c>
      <c r="I43" s="40" t="n">
        <f aca="false">SUM(C43:G43)-H43</f>
        <v>0</v>
      </c>
    </row>
    <row r="44" customFormat="false" ht="15" hidden="false" customHeight="false" outlineLevel="0" collapsed="false">
      <c r="A44" s="13" t="s">
        <v>107</v>
      </c>
      <c r="B44" s="37" t="s">
        <v>164</v>
      </c>
      <c r="C44" s="35" t="n">
        <f aca="false">SUMIFS(COST!$Y$5:$Y$1624,COST!$K$5:$K$1624,$A44,COST!$B$5:$B$1624,"KVMC",COST!$AB$5:$AB$1624,1)</f>
        <v>1388480.62908438</v>
      </c>
      <c r="D44" s="35" t="n">
        <f aca="false">SUMIFS(COST!$Y$5:$Y$1624,COST!$K$5:$K$1624,$A44,COST!$B$5:$B$1624,"ASH",COST!$AB$5:$AB$1624,1)</f>
        <v>636207.397331875</v>
      </c>
      <c r="E44" s="35" t="n">
        <f aca="false">SUMIFS(COST!$Y$5:$Y$1624,COST!$K$5:$K$1624,$A44,COST!$B$5:$B$1624,"CBH",COST!$AB$5:$AB$1624,1)</f>
        <v>547465.9430175</v>
      </c>
      <c r="F44" s="35" t="n">
        <f aca="false">SUMIFS(COST!$Y$5:$Y$1624,COST!$K$5:$K$1624,$A44,COST!$B$5:$B$1624,"WCH",COST!$AB$5:$AB$1624,1)</f>
        <v>484650.642254062</v>
      </c>
      <c r="G44" s="35" t="n">
        <f aca="false">SUMIFS(COST!$Y$5:$Y$1624,COST!$K$5:$K$1624,$A44,COST!$B$5:$B$1624,"QHH",COST!$AB$5:$AB$1624,1)</f>
        <v>381285.998579688</v>
      </c>
      <c r="H44" s="35" t="n">
        <f aca="false">SUMIFS(COST!$Y$5:$Y$1624,COST!$K$5:$K$1624,$A44,COST!$AB$5:$AB$1624,1)</f>
        <v>3438090.6102675</v>
      </c>
      <c r="I44" s="21" t="n">
        <f aca="false">SUM(C44:G44)-H44</f>
        <v>0</v>
      </c>
    </row>
    <row r="45" customFormat="false" ht="15" hidden="false" customHeight="false" outlineLevel="0" collapsed="false">
      <c r="A45" s="13" t="s">
        <v>111</v>
      </c>
      <c r="B45" s="37" t="s">
        <v>165</v>
      </c>
      <c r="C45" s="35" t="n">
        <f aca="false">SUMIFS(COST!$Y$5:$Y$1624,COST!$K$5:$K$1624,$A45,COST!$B$5:$B$1624,"KVMC",COST!$AB$5:$AB$1624,1)</f>
        <v>2020655.43025938</v>
      </c>
      <c r="D45" s="35" t="n">
        <f aca="false">SUMIFS(COST!$Y$5:$Y$1624,COST!$K$5:$K$1624,$A45,COST!$B$5:$B$1624,"ASH",COST!$AB$5:$AB$1624,1)</f>
        <v>282022.0919575</v>
      </c>
      <c r="E45" s="35" t="n">
        <f aca="false">SUMIFS(COST!$Y$5:$Y$1624,COST!$K$5:$K$1624,$A45,COST!$B$5:$B$1624,"CBH",COST!$AB$5:$AB$1624,1)</f>
        <v>295731.09519625</v>
      </c>
      <c r="F45" s="35" t="n">
        <f aca="false">SUMIFS(COST!$Y$5:$Y$1624,COST!$K$5:$K$1624,$A45,COST!$B$5:$B$1624,"WCH",COST!$AB$5:$AB$1624,1)</f>
        <v>192435.11560125</v>
      </c>
      <c r="G45" s="35" t="n">
        <f aca="false">SUMIFS(COST!$Y$5:$Y$1624,COST!$K$5:$K$1624,$A45,COST!$B$5:$B$1624,"QHH",COST!$AB$5:$AB$1624,1)</f>
        <v>202967.922714375</v>
      </c>
      <c r="H45" s="35" t="n">
        <f aca="false">SUMIFS(COST!$Y$5:$Y$1624,COST!$K$5:$K$1624,$A45,COST!$AB$5:$AB$1624,1)</f>
        <v>2993811.65572875</v>
      </c>
      <c r="I45" s="21" t="n">
        <f aca="false">SUM(C45:G45)-H45</f>
        <v>0</v>
      </c>
    </row>
    <row r="46" customFormat="false" ht="15" hidden="false" customHeight="false" outlineLevel="0" collapsed="false">
      <c r="A46" s="13" t="s">
        <v>115</v>
      </c>
      <c r="B46" s="37" t="s">
        <v>166</v>
      </c>
      <c r="C46" s="35" t="n">
        <f aca="false">SUMIFS(INPUTS!$F$19:$F$38,INPUTS!$B$19:$B$38,$A46,INPUTS!$A$19:$A$38,"KVMC")</f>
        <v>10400000</v>
      </c>
      <c r="D46" s="35" t="n">
        <f aca="false">SUMIFS(INPUTS!$F$19:$F$38,INPUTS!$B$19:$B$38,$A46,INPUTS!$A$19:$A$38,"ASH")</f>
        <v>3230000</v>
      </c>
      <c r="E46" s="35" t="n">
        <f aca="false">SUMIFS(INPUTS!$F$19:$F$38,INPUTS!$B$19:$B$38,$A46,INPUTS!$A$19:$A$38,"CBH")</f>
        <v>2420000</v>
      </c>
      <c r="F46" s="35" t="n">
        <f aca="false">SUMIFS(INPUTS!$F$19:$F$38,INPUTS!$B$19:$B$38,$A46,INPUTS!$A$19:$A$38,"WCH")</f>
        <v>1250000</v>
      </c>
      <c r="G46" s="35" t="n">
        <f aca="false">SUMIFS(INPUTS!$F$19:$F$38,INPUTS!$B$19:$B$38,$A46,INPUTS!$A$19:$A$38,"QHH")</f>
        <v>1770000</v>
      </c>
      <c r="H46" s="35" t="n">
        <f aca="false">SUMIFS(INPUTS!$F$19:$F$38,INPUTS!$B$19:$B$38,$A46)</f>
        <v>19070000</v>
      </c>
      <c r="I46" s="21" t="n">
        <f aca="false">SUM(C46:G46)-H46</f>
        <v>0</v>
      </c>
    </row>
    <row r="47" customFormat="false" ht="15" hidden="false" customHeight="false" outlineLevel="0" collapsed="false">
      <c r="A47" s="13" t="s">
        <v>118</v>
      </c>
      <c r="B47" s="37" t="s">
        <v>167</v>
      </c>
      <c r="C47" s="35" t="n">
        <f aca="false">SUMIFS(COST!$Y$5:$Y$1624,COST!$K$5:$K$1624,$A47,COST!$B$5:$B$1624,"KVMC",COST!$AB$5:$AB$1624,1)</f>
        <v>151627.48146875</v>
      </c>
      <c r="D47" s="35" t="n">
        <f aca="false">SUMIFS(COST!$Y$5:$Y$1624,COST!$K$5:$K$1624,$A47,COST!$B$5:$B$1624,"ASH",COST!$AB$5:$AB$1624,1)</f>
        <v>0</v>
      </c>
      <c r="E47" s="35" t="n">
        <f aca="false">SUMIFS(COST!$Y$5:$Y$1624,COST!$K$5:$K$1624,$A47,COST!$B$5:$B$1624,"CBH",COST!$AB$5:$AB$1624,1)</f>
        <v>0</v>
      </c>
      <c r="F47" s="35" t="n">
        <f aca="false">SUMIFS(COST!$Y$5:$Y$1624,COST!$K$5:$K$1624,$A47,COST!$B$5:$B$1624,"WCH",COST!$AB$5:$AB$1624,1)</f>
        <v>544.505946249997</v>
      </c>
      <c r="G47" s="35" t="n">
        <f aca="false">SUMIFS(COST!$Y$5:$Y$1624,COST!$K$5:$K$1624,$A47,COST!$B$5:$B$1624,"QHH",COST!$AB$5:$AB$1624,1)</f>
        <v>0</v>
      </c>
      <c r="H47" s="35" t="n">
        <f aca="false">SUMIFS(COST!$Y$5:$Y$1624,COST!$K$5:$K$1624,$A47,COST!$AB$5:$AB$1624,1)</f>
        <v>152171.987415</v>
      </c>
      <c r="I47" s="21" t="n">
        <f aca="false">SUM(C47:G47)-H47</f>
        <v>0</v>
      </c>
    </row>
    <row r="48" customFormat="false" ht="15" hidden="false" customHeight="false" outlineLevel="0" collapsed="false">
      <c r="A48" s="13" t="s">
        <v>121</v>
      </c>
      <c r="B48" s="37" t="s">
        <v>168</v>
      </c>
      <c r="C48" s="35" t="n">
        <f aca="false">SUMIFS(COST!$Y$5:$Y$1624,COST!$K$5:$K$1624,$A48,COST!$B$5:$B$1624,"KVMC",COST!$AB$5:$AB$1624,1)</f>
        <v>388665</v>
      </c>
      <c r="D48" s="35" t="n">
        <f aca="false">SUMIFS(COST!$Y$5:$Y$1624,COST!$K$5:$K$1624,$A48,COST!$B$5:$B$1624,"ASH",COST!$AB$5:$AB$1624,1)</f>
        <v>103360</v>
      </c>
      <c r="E48" s="35" t="n">
        <f aca="false">SUMIFS(COST!$Y$5:$Y$1624,COST!$K$5:$K$1624,$A48,COST!$B$5:$B$1624,"CBH",COST!$AB$5:$AB$1624,1)</f>
        <v>152955</v>
      </c>
      <c r="F48" s="35" t="n">
        <f aca="false">SUMIFS(COST!$Y$5:$Y$1624,COST!$K$5:$K$1624,$A48,COST!$B$5:$B$1624,"WCH",COST!$AB$5:$AB$1624,1)</f>
        <v>32145</v>
      </c>
      <c r="G48" s="35" t="n">
        <f aca="false">SUMIFS(COST!$Y$5:$Y$1624,COST!$K$5:$K$1624,$A48,COST!$B$5:$B$1624,"QHH",COST!$AB$5:$AB$1624,1)</f>
        <v>66475</v>
      </c>
      <c r="H48" s="35" t="n">
        <f aca="false">SUMIFS(COST!$Y$5:$Y$1624,COST!$K$5:$K$1624,$A48,COST!$AB$5:$AB$1624,1)</f>
        <v>743600</v>
      </c>
      <c r="I48" s="21" t="n">
        <f aca="false">SUM(C48:G48)-H48</f>
        <v>0</v>
      </c>
    </row>
    <row r="49" customFormat="false" ht="15" hidden="false" customHeight="false" outlineLevel="0" collapsed="false">
      <c r="A49" s="39" t="s">
        <v>124</v>
      </c>
      <c r="B49" s="39" t="s">
        <v>169</v>
      </c>
      <c r="C49" s="41" t="n">
        <f aca="false">SUM(C44:C48)</f>
        <v>14349428.5408125</v>
      </c>
      <c r="D49" s="41" t="n">
        <f aca="false">SUM(D44:D48)</f>
        <v>4251589.48928938</v>
      </c>
      <c r="E49" s="41" t="n">
        <f aca="false">SUM(E44:E48)</f>
        <v>3416152.03821375</v>
      </c>
      <c r="F49" s="41" t="n">
        <f aca="false">SUM(F44:F48)</f>
        <v>1959775.26380156</v>
      </c>
      <c r="G49" s="41" t="n">
        <f aca="false">SUM(G44:G48)</f>
        <v>2420728.92129406</v>
      </c>
      <c r="H49" s="41" t="n">
        <f aca="false">SUM(H44:H48)</f>
        <v>26397674.2534113</v>
      </c>
      <c r="I49" s="40" t="n">
        <f aca="false">SUM(C49:G49)-H49</f>
        <v>0</v>
      </c>
    </row>
    <row r="50" customFormat="false" ht="15" hidden="false" customHeight="false" outlineLevel="0" collapsed="false">
      <c r="A50" s="39" t="s">
        <v>127</v>
      </c>
      <c r="B50" s="39" t="s">
        <v>170</v>
      </c>
      <c r="C50" s="41" t="n">
        <f aca="false">C43+C49</f>
        <v>112189428.540812</v>
      </c>
      <c r="D50" s="41" t="n">
        <f aca="false">D43+D49</f>
        <v>39571589.4892894</v>
      </c>
      <c r="E50" s="41" t="n">
        <f aca="false">E43+E49</f>
        <v>31486152.0382138</v>
      </c>
      <c r="F50" s="41" t="n">
        <f aca="false">F43+F49</f>
        <v>14024775.2638016</v>
      </c>
      <c r="G50" s="41" t="n">
        <f aca="false">G43+G49</f>
        <v>22555728.9212941</v>
      </c>
      <c r="H50" s="41" t="n">
        <f aca="false">H43+H49</f>
        <v>219827674.253411</v>
      </c>
      <c r="I50" s="40" t="n">
        <f aca="false">SUM(C50:G50)-H50</f>
        <v>0</v>
      </c>
    </row>
    <row r="51" customFormat="false" ht="15" hidden="false" customHeight="false" outlineLevel="0" collapsed="false">
      <c r="A51" s="13" t="s">
        <v>171</v>
      </c>
      <c r="B51" s="37" t="s">
        <v>133</v>
      </c>
      <c r="C51" s="35" t="n">
        <f aca="false">SUMIFS(COST!$Y$5:$Y$1624,COST!$K$5:$K$1624,$A51,COST!$B$5:$B$1624,"KVMC",COST!$AB$5:$AB$1624,1)</f>
        <v>234129.934915625</v>
      </c>
      <c r="D51" s="35" t="n">
        <f aca="false">SUMIFS(COST!$Y$5:$Y$1624,COST!$K$5:$K$1624,$A51,COST!$B$5:$B$1624,"ASH",COST!$AB$5:$AB$1624,1)</f>
        <v>223634.60719625</v>
      </c>
      <c r="E51" s="35" t="n">
        <f aca="false">SUMIFS(COST!$Y$5:$Y$1624,COST!$K$5:$K$1624,$A51,COST!$B$5:$B$1624,"CBH",COST!$AB$5:$AB$1624,1)</f>
        <v>0</v>
      </c>
      <c r="F51" s="35" t="n">
        <f aca="false">SUMIFS(COST!$Y$5:$Y$1624,COST!$K$5:$K$1624,$A51,COST!$B$5:$B$1624,"WCH",COST!$AB$5:$AB$1624,1)</f>
        <v>0</v>
      </c>
      <c r="G51" s="35" t="n">
        <f aca="false">SUMIFS(COST!$Y$5:$Y$1624,COST!$K$5:$K$1624,$A51,COST!$B$5:$B$1624,"QHH",COST!$AB$5:$AB$1624,1)</f>
        <v>0</v>
      </c>
      <c r="H51" s="35" t="n">
        <f aca="false">SUMIFS(COST!$Y$5:$Y$1624,COST!$K$5:$K$1624,$A51,COST!$AB$5:$AB$1624,1)</f>
        <v>457764.542111875</v>
      </c>
      <c r="I51" s="21" t="n">
        <f aca="false">SUM(C51:G51)-H51</f>
        <v>0</v>
      </c>
    </row>
    <row r="52" customFormat="false" ht="15" hidden="false" customHeight="false" outlineLevel="0" collapsed="false">
      <c r="A52" s="13" t="s">
        <v>172</v>
      </c>
      <c r="B52" s="37" t="s">
        <v>135</v>
      </c>
      <c r="C52" s="35" t="n">
        <f aca="false">SUMIFS(COST!$Y$5:$Y$1624,COST!$K$5:$K$1624,$A52,COST!$B$5:$B$1624,"KVMC",COST!$AB$5:$AB$1624,1)</f>
        <v>13767.97921875</v>
      </c>
      <c r="D52" s="35" t="n">
        <f aca="false">SUMIFS(COST!$Y$5:$Y$1624,COST!$K$5:$K$1624,$A52,COST!$B$5:$B$1624,"ASH",COST!$AB$5:$AB$1624,1)</f>
        <v>0</v>
      </c>
      <c r="E52" s="35" t="n">
        <f aca="false">SUMIFS(COST!$Y$5:$Y$1624,COST!$K$5:$K$1624,$A52,COST!$B$5:$B$1624,"CBH",COST!$AB$5:$AB$1624,1)</f>
        <v>0</v>
      </c>
      <c r="F52" s="35" t="n">
        <f aca="false">SUMIFS(COST!$Y$5:$Y$1624,COST!$K$5:$K$1624,$A52,COST!$B$5:$B$1624,"WCH",COST!$AB$5:$AB$1624,1)</f>
        <v>0</v>
      </c>
      <c r="G52" s="35" t="n">
        <f aca="false">SUMIFS(COST!$Y$5:$Y$1624,COST!$K$5:$K$1624,$A52,COST!$B$5:$B$1624,"QHH",COST!$AB$5:$AB$1624,1)</f>
        <v>0</v>
      </c>
      <c r="H52" s="35" t="n">
        <f aca="false">SUMIFS(COST!$Y$5:$Y$1624,COST!$K$5:$K$1624,$A52,COST!$AB$5:$AB$1624,1)</f>
        <v>13767.97921875</v>
      </c>
      <c r="I52" s="21" t="n">
        <f aca="false">SUM(C52:G52)-H52</f>
        <v>0</v>
      </c>
    </row>
    <row r="53" customFormat="false" ht="15" hidden="false" customHeight="false" outlineLevel="0" collapsed="false">
      <c r="A53" s="13" t="s">
        <v>173</v>
      </c>
      <c r="B53" s="37" t="s">
        <v>137</v>
      </c>
      <c r="C53" s="35" t="n">
        <f aca="false">SUMIFS(COST!$Y$5:$Y$1624,COST!$K$5:$K$1624,$A53,COST!$B$5:$B$1624,"KVMC",COST!$AB$5:$AB$1624,1)</f>
        <v>7176.305709375</v>
      </c>
      <c r="D53" s="35" t="n">
        <f aca="false">SUMIFS(COST!$Y$5:$Y$1624,COST!$K$5:$K$1624,$A53,COST!$B$5:$B$1624,"ASH",COST!$AB$5:$AB$1624,1)</f>
        <v>0</v>
      </c>
      <c r="E53" s="35" t="n">
        <f aca="false">SUMIFS(COST!$Y$5:$Y$1624,COST!$K$5:$K$1624,$A53,COST!$B$5:$B$1624,"CBH",COST!$AB$5:$AB$1624,1)</f>
        <v>0</v>
      </c>
      <c r="F53" s="35" t="n">
        <f aca="false">SUMIFS(COST!$Y$5:$Y$1624,COST!$K$5:$K$1624,$A53,COST!$B$5:$B$1624,"WCH",COST!$AB$5:$AB$1624,1)</f>
        <v>0</v>
      </c>
      <c r="G53" s="35" t="n">
        <f aca="false">SUMIFS(COST!$Y$5:$Y$1624,COST!$K$5:$K$1624,$A53,COST!$B$5:$B$1624,"QHH",COST!$AB$5:$AB$1624,1)</f>
        <v>4346.23846625</v>
      </c>
      <c r="H53" s="35" t="n">
        <f aca="false">SUMIFS(COST!$Y$5:$Y$1624,COST!$K$5:$K$1624,$A53,COST!$AB$5:$AB$1624,1)</f>
        <v>11522.544175625</v>
      </c>
      <c r="I53" s="21" t="n">
        <f aca="false">SUM(C53:G53)-H53</f>
        <v>0</v>
      </c>
    </row>
    <row r="54" customFormat="false" ht="15" hidden="false" customHeight="false" outlineLevel="0" collapsed="false">
      <c r="A54" s="13" t="s">
        <v>174</v>
      </c>
      <c r="B54" s="37" t="s">
        <v>139</v>
      </c>
      <c r="C54" s="35" t="n">
        <f aca="false">SUMIFS(COST!$Y$5:$Y$1624,COST!$K$5:$K$1624,$A54,COST!$B$5:$B$1624,"KVMC",COST!$AB$5:$AB$1624,1)</f>
        <v>0</v>
      </c>
      <c r="D54" s="35" t="n">
        <f aca="false">SUMIFS(COST!$Y$5:$Y$1624,COST!$K$5:$K$1624,$A54,COST!$B$5:$B$1624,"ASH",COST!$AB$5:$AB$1624,1)</f>
        <v>0</v>
      </c>
      <c r="E54" s="35" t="n">
        <f aca="false">SUMIFS(COST!$Y$5:$Y$1624,COST!$K$5:$K$1624,$A54,COST!$B$5:$B$1624,"CBH",COST!$AB$5:$AB$1624,1)</f>
        <v>14938.25083125</v>
      </c>
      <c r="F54" s="35" t="n">
        <f aca="false">SUMIFS(COST!$Y$5:$Y$1624,COST!$K$5:$K$1624,$A54,COST!$B$5:$B$1624,"WCH",COST!$AB$5:$AB$1624,1)</f>
        <v>0</v>
      </c>
      <c r="G54" s="35" t="n">
        <f aca="false">SUMIFS(COST!$Y$5:$Y$1624,COST!$K$5:$K$1624,$A54,COST!$B$5:$B$1624,"QHH",COST!$AB$5:$AB$1624,1)</f>
        <v>13320.203875</v>
      </c>
      <c r="H54" s="35" t="n">
        <f aca="false">SUMIFS(COST!$Y$5:$Y$1624,COST!$K$5:$K$1624,$A54,COST!$AB$5:$AB$1624,1)</f>
        <v>28258.45470625</v>
      </c>
      <c r="I54" s="21" t="n">
        <f aca="false">SUM(C54:G54)-H54</f>
        <v>0</v>
      </c>
    </row>
    <row r="55" customFormat="false" ht="15" hidden="false" customHeight="false" outlineLevel="0" collapsed="false">
      <c r="A55" s="13" t="s">
        <v>175</v>
      </c>
      <c r="B55" s="37" t="s">
        <v>176</v>
      </c>
      <c r="C55" s="35" t="n">
        <f aca="false">SUMIFS(COST!$Y$5:$Y$1624,COST!$K$5:$K$1624,$A55,COST!$B$5:$B$1624,"KVMC",COST!$AB$5:$AB$1624,1)</f>
        <v>0</v>
      </c>
      <c r="D55" s="35" t="n">
        <f aca="false">SUMIFS(COST!$Y$5:$Y$1624,COST!$K$5:$K$1624,$A55,COST!$B$5:$B$1624,"ASH",COST!$AB$5:$AB$1624,1)</f>
        <v>7023.37662875</v>
      </c>
      <c r="E55" s="35" t="n">
        <f aca="false">SUMIFS(COST!$Y$5:$Y$1624,COST!$K$5:$K$1624,$A55,COST!$B$5:$B$1624,"CBH",COST!$AB$5:$AB$1624,1)</f>
        <v>0</v>
      </c>
      <c r="F55" s="35" t="n">
        <f aca="false">SUMIFS(COST!$Y$5:$Y$1624,COST!$K$5:$K$1624,$A55,COST!$B$5:$B$1624,"WCH",COST!$AB$5:$AB$1624,1)</f>
        <v>0</v>
      </c>
      <c r="G55" s="35" t="n">
        <f aca="false">SUMIFS(COST!$Y$5:$Y$1624,COST!$K$5:$K$1624,$A55,COST!$B$5:$B$1624,"QHH",COST!$AB$5:$AB$1624,1)</f>
        <v>0</v>
      </c>
      <c r="H55" s="35" t="n">
        <f aca="false">SUMIFS(COST!$Y$5:$Y$1624,COST!$K$5:$K$1624,$A55,COST!$AB$5:$AB$1624,1)</f>
        <v>7023.37662875</v>
      </c>
      <c r="I55" s="21" t="n">
        <f aca="false">SUM(C55:G55)-H55</f>
        <v>0</v>
      </c>
    </row>
    <row r="56" customFormat="false" ht="15" hidden="false" customHeight="false" outlineLevel="0" collapsed="false">
      <c r="A56" s="13" t="s">
        <v>177</v>
      </c>
      <c r="B56" s="37" t="s">
        <v>143</v>
      </c>
      <c r="C56" s="35" t="n">
        <f aca="false">SUMIFS(COST!$Y$5:$Y$1624,COST!$K$5:$K$1624,$A56,COST!$B$5:$B$1624,"KVMC",COST!$AB$5:$AB$1624,1)</f>
        <v>5239.8116</v>
      </c>
      <c r="D56" s="35" t="n">
        <f aca="false">SUMIFS(COST!$Y$5:$Y$1624,COST!$K$5:$K$1624,$A56,COST!$B$5:$B$1624,"ASH",COST!$AB$5:$AB$1624,1)</f>
        <v>2936.396535</v>
      </c>
      <c r="E56" s="35" t="n">
        <f aca="false">SUMIFS(COST!$Y$5:$Y$1624,COST!$K$5:$K$1624,$A56,COST!$B$5:$B$1624,"CBH",COST!$AB$5:$AB$1624,1)</f>
        <v>3026.37295</v>
      </c>
      <c r="F56" s="35" t="n">
        <f aca="false">SUMIFS(COST!$Y$5:$Y$1624,COST!$K$5:$K$1624,$A56,COST!$B$5:$B$1624,"WCH",COST!$AB$5:$AB$1624,1)</f>
        <v>2030.9062475</v>
      </c>
      <c r="G56" s="35" t="n">
        <f aca="false">SUMIFS(COST!$Y$5:$Y$1624,COST!$K$5:$K$1624,$A56,COST!$B$5:$B$1624,"QHH",COST!$AB$5:$AB$1624,1)</f>
        <v>3027.2960275</v>
      </c>
      <c r="H56" s="35" t="n">
        <f aca="false">SUMIFS(COST!$Y$5:$Y$1624,COST!$K$5:$K$1624,$A56,COST!$AB$5:$AB$1624,1)</f>
        <v>16260.78336</v>
      </c>
      <c r="I56" s="21" t="n">
        <f aca="false">SUM(C56:G56)-H56</f>
        <v>0</v>
      </c>
    </row>
    <row r="57" customFormat="false" ht="15" hidden="false" customHeight="false" outlineLevel="0" collapsed="false">
      <c r="A57" s="13" t="s">
        <v>178</v>
      </c>
      <c r="B57" s="37" t="s">
        <v>145</v>
      </c>
      <c r="C57" s="35" t="n">
        <f aca="false">SUMIFS(COST!$Y$5:$Y$1624,COST!$K$5:$K$1624,$A57,COST!$B$5:$B$1624,"KVMC",COST!$AB$5:$AB$1624,1)</f>
        <v>0</v>
      </c>
      <c r="D57" s="35" t="n">
        <f aca="false">SUMIFS(COST!$Y$5:$Y$1624,COST!$K$5:$K$1624,$A57,COST!$B$5:$B$1624,"ASH",COST!$AB$5:$AB$1624,1)</f>
        <v>0</v>
      </c>
      <c r="E57" s="35" t="n">
        <f aca="false">SUMIFS(COST!$Y$5:$Y$1624,COST!$K$5:$K$1624,$A57,COST!$B$5:$B$1624,"CBH",COST!$AB$5:$AB$1624,1)</f>
        <v>3909.184745</v>
      </c>
      <c r="F57" s="35" t="n">
        <f aca="false">SUMIFS(COST!$Y$5:$Y$1624,COST!$K$5:$K$1624,$A57,COST!$B$5:$B$1624,"WCH",COST!$AB$5:$AB$1624,1)</f>
        <v>0</v>
      </c>
      <c r="G57" s="35" t="n">
        <f aca="false">SUMIFS(COST!$Y$5:$Y$1624,COST!$K$5:$K$1624,$A57,COST!$B$5:$B$1624,"QHH",COST!$AB$5:$AB$1624,1)</f>
        <v>0</v>
      </c>
      <c r="H57" s="35" t="n">
        <f aca="false">SUMIFS(COST!$Y$5:$Y$1624,COST!$K$5:$K$1624,$A57,COST!$AB$5:$AB$1624,1)</f>
        <v>3909.184745</v>
      </c>
      <c r="I57" s="21" t="n">
        <f aca="false">SUM(C57:G57)-H57</f>
        <v>0</v>
      </c>
    </row>
    <row r="58" customFormat="false" ht="15" hidden="false" customHeight="false" outlineLevel="0" collapsed="false">
      <c r="A58" s="13" t="s">
        <v>179</v>
      </c>
      <c r="B58" s="37" t="s">
        <v>147</v>
      </c>
      <c r="C58" s="35" t="n">
        <f aca="false">SUMIFS(COST!$Y$5:$Y$1624,COST!$K$5:$K$1624,$A58,COST!$B$5:$B$1624,"KVMC",COST!$AB$5:$AB$1624,1)</f>
        <v>10758.065771875</v>
      </c>
      <c r="D58" s="35" t="n">
        <f aca="false">SUMIFS(COST!$Y$5:$Y$1624,COST!$K$5:$K$1624,$A58,COST!$B$5:$B$1624,"ASH",COST!$AB$5:$AB$1624,1)</f>
        <v>0</v>
      </c>
      <c r="E58" s="35" t="n">
        <f aca="false">SUMIFS(COST!$Y$5:$Y$1624,COST!$K$5:$K$1624,$A58,COST!$B$5:$B$1624,"CBH",COST!$AB$5:$AB$1624,1)</f>
        <v>0</v>
      </c>
      <c r="F58" s="35" t="n">
        <f aca="false">SUMIFS(COST!$Y$5:$Y$1624,COST!$K$5:$K$1624,$A58,COST!$B$5:$B$1624,"WCH",COST!$AB$5:$AB$1624,1)</f>
        <v>7366.688446875</v>
      </c>
      <c r="G58" s="35" t="n">
        <f aca="false">SUMIFS(COST!$Y$5:$Y$1624,COST!$K$5:$K$1624,$A58,COST!$B$5:$B$1624,"QHH",COST!$AB$5:$AB$1624,1)</f>
        <v>8580.243666875</v>
      </c>
      <c r="H58" s="35" t="n">
        <f aca="false">SUMIFS(COST!$Y$5:$Y$1624,COST!$K$5:$K$1624,$A58,COST!$AB$5:$AB$1624,1)</f>
        <v>26704.997885625</v>
      </c>
      <c r="I58" s="21" t="n">
        <f aca="false">SUM(C58:G58)-H58</f>
        <v>0</v>
      </c>
    </row>
    <row r="59" customFormat="false" ht="15" hidden="false" customHeight="false" outlineLevel="0" collapsed="false">
      <c r="A59" s="13" t="s">
        <v>180</v>
      </c>
      <c r="B59" s="37" t="s">
        <v>181</v>
      </c>
      <c r="C59" s="35" t="n">
        <f aca="false">SUMIFS(COST!$Y$5:$Y$1624,COST!$K$5:$K$1624,$A59,COST!$B$5:$B$1624,"KVMC",COST!$AB$5:$AB$1624,1)</f>
        <v>0</v>
      </c>
      <c r="D59" s="35" t="n">
        <f aca="false">SUMIFS(COST!$Y$5:$Y$1624,COST!$K$5:$K$1624,$A59,COST!$B$5:$B$1624,"ASH",COST!$AB$5:$AB$1624,1)</f>
        <v>0</v>
      </c>
      <c r="E59" s="35" t="n">
        <f aca="false">SUMIFS(COST!$Y$5:$Y$1624,COST!$K$5:$K$1624,$A59,COST!$B$5:$B$1624,"CBH",COST!$AB$5:$AB$1624,1)</f>
        <v>0</v>
      </c>
      <c r="F59" s="35" t="n">
        <f aca="false">SUMIFS(COST!$Y$5:$Y$1624,COST!$K$5:$K$1624,$A59,COST!$B$5:$B$1624,"WCH",COST!$AB$5:$AB$1624,1)</f>
        <v>0</v>
      </c>
      <c r="G59" s="35" t="n">
        <f aca="false">SUMIFS(COST!$Y$5:$Y$1624,COST!$K$5:$K$1624,$A59,COST!$B$5:$B$1624,"QHH",COST!$AB$5:$AB$1624,1)</f>
        <v>0</v>
      </c>
      <c r="H59" s="35" t="n">
        <f aca="false">SUMIFS(COST!$Y$5:$Y$1624,COST!$K$5:$K$1624,$A59,COST!$AB$5:$AB$1624,1)</f>
        <v>0</v>
      </c>
      <c r="I59" s="21" t="n">
        <f aca="false">SUM(C59:G59)-H59</f>
        <v>0</v>
      </c>
    </row>
    <row r="60" customFormat="false" ht="15" hidden="false" customHeight="false" outlineLevel="0" collapsed="false">
      <c r="A60" s="39" t="s">
        <v>182</v>
      </c>
      <c r="B60" s="39" t="s">
        <v>183</v>
      </c>
      <c r="C60" s="41" t="n">
        <f aca="false">SUM(C51:C59)</f>
        <v>271072.097215625</v>
      </c>
      <c r="D60" s="41" t="n">
        <f aca="false">SUM(D51:D59)</f>
        <v>233594.38036</v>
      </c>
      <c r="E60" s="41" t="n">
        <f aca="false">SUM(E51:E59)</f>
        <v>21873.80852625</v>
      </c>
      <c r="F60" s="41" t="n">
        <f aca="false">SUM(F51:F59)</f>
        <v>9397.594694375</v>
      </c>
      <c r="G60" s="41" t="n">
        <f aca="false">SUM(G51:G59)</f>
        <v>29273.982035625</v>
      </c>
      <c r="H60" s="41" t="n">
        <f aca="false">SUM(H51:H59)</f>
        <v>565211.862831875</v>
      </c>
      <c r="I60" s="40" t="n">
        <f aca="false">SUM(C60:G60)-H60</f>
        <v>0</v>
      </c>
    </row>
  </sheetData>
  <conditionalFormatting sqref="I40:I60">
    <cfRule type="expression" priority="2" aboveAverage="0" equalAverage="0" bottom="0" percent="0" rank="0" text="" dxfId="0">
      <formula>ABS(I40)&gt;0.005</formula>
    </cfRule>
  </conditionalFormatting>
  <conditionalFormatting sqref="O10:O21">
    <cfRule type="expression" priority="3" aboveAverage="0" equalAverage="0" bottom="0" percent="0" rank="0" text="" dxfId="1">
      <formula>LEFT(O10,3)="ALL"</formula>
    </cfRule>
    <cfRule type="cellIs" priority="4" operator="equal" aboveAverage="0" equalAverage="0" bottom="0" percent="0" rank="0" text="" dxfId="1">
      <formula>"PASS"</formula>
    </cfRule>
    <cfRule type="cellIs" priority="5" operator="equal" aboveAverage="0" equalAverage="0" bottom="0" percent="0" rank="0" text="" dxfId="2">
      <formula>"FAIL"</formula>
    </cfRule>
    <cfRule type="cellIs" priority="6" operator="equal" aboveAverage="0" equalAverage="0" bottom="0" percent="0" rank="0" text="" dxfId="2">
      <formula>"CHECK"</formula>
    </cfRule>
  </conditionalFormatting>
  <dataValidations count="1">
    <dataValidation allowBlank="false" errorStyle="stop" operator="between" showDropDown="false" showErrorMessage="false" showInputMessage="false" sqref="B5" type="list">
      <formula1>"System,KVMC,ASH,CBH,WCH,QHH"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07A1F"/>
    <pageSetUpPr fitToPage="false"/>
  </sheetPr>
  <dimension ref="A1:H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3" min="2" style="1" width="13"/>
    <col collapsed="false" customWidth="true" hidden="false" outlineLevel="0" max="4" min="4" style="1" width="50"/>
    <col collapsed="false" customWidth="true" hidden="false" outlineLevel="0" max="5" min="5" style="1" width="10"/>
    <col collapsed="false" customWidth="true" hidden="false" outlineLevel="0" max="6" min="6" style="1" width="58"/>
    <col collapsed="false" customWidth="true" hidden="false" outlineLevel="0" max="7" min="7" style="1" width="30"/>
    <col collapsed="false" customWidth="true" hidden="false" outlineLevel="0" max="8" min="8" style="1" width="11"/>
  </cols>
  <sheetData>
    <row r="1" customFormat="false" ht="18.55" hidden="false" customHeight="false" outlineLevel="0" collapsed="false">
      <c r="A1" s="11" t="s">
        <v>184</v>
      </c>
    </row>
    <row r="2" customFormat="false" ht="15" hidden="false" customHeight="false" outlineLevel="0" collapsed="false">
      <c r="A2" s="12" t="s">
        <v>185</v>
      </c>
    </row>
    <row r="3" customFormat="false" ht="15" hidden="false" customHeight="false" outlineLevel="0" collapsed="false">
      <c r="A3" s="4" t="s">
        <v>2</v>
      </c>
    </row>
    <row r="5" customFormat="false" ht="30" hidden="false" customHeight="true" outlineLevel="0" collapsed="false">
      <c r="A5" s="7" t="s">
        <v>78</v>
      </c>
      <c r="B5" s="7" t="s">
        <v>186</v>
      </c>
      <c r="C5" s="7" t="s">
        <v>187</v>
      </c>
      <c r="D5" s="7" t="s">
        <v>188</v>
      </c>
      <c r="E5" s="7" t="s">
        <v>189</v>
      </c>
      <c r="F5" s="7" t="s">
        <v>190</v>
      </c>
      <c r="G5" s="7" t="s">
        <v>191</v>
      </c>
      <c r="H5" s="7" t="s">
        <v>83</v>
      </c>
    </row>
    <row r="6" customFormat="false" ht="42.75" hidden="false" customHeight="true" outlineLevel="0" collapsed="false">
      <c r="A6" s="20" t="n">
        <v>1</v>
      </c>
      <c r="B6" s="20" t="s">
        <v>192</v>
      </c>
      <c r="C6" s="20" t="s">
        <v>193</v>
      </c>
      <c r="D6" s="20" t="s">
        <v>194</v>
      </c>
      <c r="E6" s="43" t="n">
        <f aca="false">STACK!Q10</f>
        <v>1620</v>
      </c>
      <c r="F6" s="20" t="s">
        <v>195</v>
      </c>
      <c r="G6" s="20" t="s">
        <v>196</v>
      </c>
      <c r="H6" s="20" t="s">
        <v>197</v>
      </c>
    </row>
    <row r="7" customFormat="false" ht="42.75" hidden="false" customHeight="true" outlineLevel="0" collapsed="false">
      <c r="A7" s="20" t="n">
        <v>2</v>
      </c>
      <c r="B7" s="20" t="s">
        <v>198</v>
      </c>
      <c r="C7" s="20" t="s">
        <v>193</v>
      </c>
      <c r="D7" s="20" t="s">
        <v>199</v>
      </c>
      <c r="E7" s="43" t="n">
        <f aca="false">SUMPRODUCT(--(TRIM(COST!$O$5:$O$1624)&lt;&gt;COST!$P$5:$P$1624))</f>
        <v>1352</v>
      </c>
      <c r="F7" s="20" t="s">
        <v>200</v>
      </c>
      <c r="G7" s="20" t="s">
        <v>201</v>
      </c>
      <c r="H7" s="20" t="s">
        <v>197</v>
      </c>
    </row>
    <row r="8" customFormat="false" ht="55.5" hidden="false" customHeight="true" outlineLevel="0" collapsed="false">
      <c r="A8" s="20" t="n">
        <v>3</v>
      </c>
      <c r="B8" s="20" t="s">
        <v>198</v>
      </c>
      <c r="C8" s="20" t="s">
        <v>202</v>
      </c>
      <c r="D8" s="20" t="s">
        <v>203</v>
      </c>
      <c r="E8" s="43" t="n">
        <f aca="false">COUNTIF(CONFIRM!$C$5:$C$53,"Unknown staff title")</f>
        <v>3</v>
      </c>
      <c r="F8" s="20" t="s">
        <v>204</v>
      </c>
      <c r="G8" s="20" t="s">
        <v>25</v>
      </c>
      <c r="H8" s="20" t="s">
        <v>197</v>
      </c>
    </row>
    <row r="9" customFormat="false" ht="30" hidden="false" customHeight="true" outlineLevel="0" collapsed="false">
      <c r="A9" s="20" t="n">
        <v>4</v>
      </c>
      <c r="B9" s="20" t="s">
        <v>198</v>
      </c>
      <c r="C9" s="20" t="s">
        <v>193</v>
      </c>
      <c r="D9" s="20" t="s">
        <v>205</v>
      </c>
      <c r="E9" s="43" t="n">
        <f aca="false">COUNTA(MAP!$E$7:$E$74)</f>
        <v>68</v>
      </c>
      <c r="F9" s="20" t="s">
        <v>206</v>
      </c>
      <c r="G9" s="20" t="s">
        <v>207</v>
      </c>
      <c r="H9" s="20" t="s">
        <v>197</v>
      </c>
    </row>
    <row r="10" customFormat="false" ht="69" hidden="false" customHeight="true" outlineLevel="0" collapsed="false">
      <c r="A10" s="20" t="n">
        <v>5</v>
      </c>
      <c r="B10" s="20" t="s">
        <v>208</v>
      </c>
      <c r="C10" s="20" t="s">
        <v>156</v>
      </c>
      <c r="D10" s="20" t="s">
        <v>209</v>
      </c>
      <c r="E10" s="43" t="n">
        <f aca="false">COUNTIF(CONFIRM!$C$5:$C$53,"Category conflicts with program")</f>
        <v>14</v>
      </c>
      <c r="F10" s="20" t="s">
        <v>210</v>
      </c>
      <c r="G10" s="20" t="s">
        <v>211</v>
      </c>
      <c r="H10" s="20" t="s">
        <v>197</v>
      </c>
    </row>
    <row r="11" customFormat="false" ht="42.75" hidden="false" customHeight="true" outlineLevel="0" collapsed="false">
      <c r="A11" s="20" t="n">
        <v>6</v>
      </c>
      <c r="B11" s="20" t="s">
        <v>208</v>
      </c>
      <c r="C11" s="20" t="s">
        <v>157</v>
      </c>
      <c r="D11" s="20" t="s">
        <v>212</v>
      </c>
      <c r="E11" s="43" t="n">
        <f aca="false">COUNTIF(CONFIRM!$C$5:$C$53,"Category needs review")</f>
        <v>16</v>
      </c>
      <c r="F11" s="20" t="s">
        <v>213</v>
      </c>
      <c r="G11" s="20" t="s">
        <v>25</v>
      </c>
      <c r="H11" s="20" t="s">
        <v>197</v>
      </c>
    </row>
    <row r="12" customFormat="false" ht="30" hidden="false" customHeight="true" outlineLevel="0" collapsed="false">
      <c r="A12" s="20" t="n">
        <v>7</v>
      </c>
      <c r="B12" s="20" t="s">
        <v>208</v>
      </c>
      <c r="C12" s="20" t="s">
        <v>214</v>
      </c>
      <c r="D12" s="20" t="s">
        <v>215</v>
      </c>
      <c r="E12" s="43" t="n">
        <f aca="false">COUNTIF(CONFIRM!$C$5:$C$53,"Blank hours")</f>
        <v>11</v>
      </c>
      <c r="F12" s="20" t="s">
        <v>216</v>
      </c>
      <c r="G12" s="20" t="s">
        <v>25</v>
      </c>
      <c r="H12" s="20" t="s">
        <v>197</v>
      </c>
    </row>
    <row r="13" customFormat="false" ht="42.75" hidden="false" customHeight="true" outlineLevel="0" collapsed="false">
      <c r="A13" s="20" t="n">
        <v>8</v>
      </c>
      <c r="B13" s="20" t="s">
        <v>208</v>
      </c>
      <c r="C13" s="20" t="s">
        <v>155</v>
      </c>
      <c r="D13" s="20" t="s">
        <v>217</v>
      </c>
      <c r="E13" s="43" t="n">
        <f aca="false">COUNTIF(CONFIRM!$C$5:$C$53,"Hours look high")</f>
        <v>1</v>
      </c>
      <c r="F13" s="20" t="s">
        <v>218</v>
      </c>
      <c r="G13" s="20" t="s">
        <v>219</v>
      </c>
      <c r="H13" s="20" t="s">
        <v>197</v>
      </c>
    </row>
    <row r="14" customFormat="false" ht="30" hidden="false" customHeight="true" outlineLevel="0" collapsed="false">
      <c r="A14" s="20" t="n">
        <v>9</v>
      </c>
      <c r="B14" s="20" t="s">
        <v>208</v>
      </c>
      <c r="C14" s="20" t="s">
        <v>156</v>
      </c>
      <c r="D14" s="20" t="s">
        <v>220</v>
      </c>
      <c r="E14" s="43" t="n">
        <f aca="false">COUNTIF(CONFIRM!$C$5:$C$53,"Date not readable")</f>
        <v>1</v>
      </c>
      <c r="F14" s="20" t="s">
        <v>221</v>
      </c>
      <c r="G14" s="20" t="s">
        <v>25</v>
      </c>
      <c r="H14" s="20" t="s">
        <v>197</v>
      </c>
    </row>
    <row r="15" customFormat="false" ht="30" hidden="false" customHeight="true" outlineLevel="0" collapsed="false">
      <c r="A15" s="20" t="n">
        <v>10</v>
      </c>
      <c r="B15" s="20" t="s">
        <v>208</v>
      </c>
      <c r="C15" s="20" t="s">
        <v>157</v>
      </c>
      <c r="D15" s="20" t="s">
        <v>222</v>
      </c>
      <c r="E15" s="43" t="n">
        <f aca="false">COUNTIF(CONFIRM!$C$5:$C$53,"Outside fiscal year")</f>
        <v>1</v>
      </c>
      <c r="F15" s="20" t="s">
        <v>223</v>
      </c>
      <c r="G15" s="20" t="s">
        <v>224</v>
      </c>
      <c r="H15" s="20" t="s">
        <v>197</v>
      </c>
    </row>
    <row r="16" customFormat="false" ht="42.75" hidden="false" customHeight="true" outlineLevel="0" collapsed="false">
      <c r="A16" s="20" t="n">
        <v>11</v>
      </c>
      <c r="B16" s="20" t="s">
        <v>208</v>
      </c>
      <c r="C16" s="20" t="s">
        <v>158</v>
      </c>
      <c r="D16" s="20" t="s">
        <v>225</v>
      </c>
      <c r="E16" s="43" t="n">
        <f aca="false">COUNTIF(CONFIRM!$C$5:$C$53,"Not a community activity")</f>
        <v>2</v>
      </c>
      <c r="F16" s="20" t="s">
        <v>226</v>
      </c>
      <c r="G16" s="20" t="s">
        <v>25</v>
      </c>
      <c r="H16" s="20" t="s">
        <v>197</v>
      </c>
    </row>
    <row r="17" customFormat="false" ht="30" hidden="false" customHeight="true" outlineLevel="0" collapsed="false">
      <c r="A17" s="20" t="n">
        <v>12</v>
      </c>
      <c r="B17" s="20" t="s">
        <v>227</v>
      </c>
      <c r="C17" s="20" t="s">
        <v>228</v>
      </c>
      <c r="D17" s="20" t="s">
        <v>229</v>
      </c>
      <c r="E17" s="43" t="n">
        <f aca="false">SUMPRODUCT((REVIEW!$L$5:$L$1624="Same-hospital match")*(REVIEW!$M$5:$M$1624="Exclude (duplicate)"))</f>
        <v>5</v>
      </c>
      <c r="F17" s="20" t="s">
        <v>230</v>
      </c>
      <c r="G17" s="20" t="s">
        <v>37</v>
      </c>
      <c r="H17" s="20" t="s">
        <v>197</v>
      </c>
    </row>
    <row r="18" customFormat="false" ht="55.5" hidden="false" customHeight="true" outlineLevel="0" collapsed="false">
      <c r="A18" s="20" t="n">
        <v>13</v>
      </c>
      <c r="B18" s="20" t="s">
        <v>227</v>
      </c>
      <c r="C18" s="20" t="s">
        <v>231</v>
      </c>
      <c r="D18" s="20" t="s">
        <v>232</v>
      </c>
      <c r="E18" s="43" t="n">
        <f aca="false">SUMPRODUCT((REVIEW!$L$5:$L$1624="Cross-hospital match")*(REVIEW!$M$5:$M$1624="Exclude (duplicate)"))</f>
        <v>6</v>
      </c>
      <c r="F18" s="20" t="s">
        <v>233</v>
      </c>
      <c r="G18" s="20" t="s">
        <v>37</v>
      </c>
      <c r="H18" s="20" t="s">
        <v>197</v>
      </c>
    </row>
    <row r="19" customFormat="false" ht="42.75" hidden="false" customHeight="true" outlineLevel="0" collapsed="false">
      <c r="A19" s="20" t="n">
        <v>14</v>
      </c>
      <c r="B19" s="20" t="s">
        <v>227</v>
      </c>
      <c r="C19" s="20" t="s">
        <v>158</v>
      </c>
      <c r="D19" s="20" t="s">
        <v>234</v>
      </c>
      <c r="E19" s="43" t="n">
        <f aca="false">COUNTIF(REVIEW!$M$5:$M$1624,"Keep (not a duplicate)")</f>
        <v>4</v>
      </c>
      <c r="F19" s="20" t="s">
        <v>235</v>
      </c>
      <c r="G19" s="20" t="s">
        <v>37</v>
      </c>
      <c r="H19" s="20" t="s">
        <v>197</v>
      </c>
    </row>
    <row r="20" customFormat="false" ht="42.75" hidden="false" customHeight="true" outlineLevel="0" collapsed="false">
      <c r="A20" s="20" t="n">
        <v>15</v>
      </c>
      <c r="B20" s="20" t="s">
        <v>236</v>
      </c>
      <c r="C20" s="20" t="s">
        <v>193</v>
      </c>
      <c r="D20" s="20" t="s">
        <v>237</v>
      </c>
      <c r="E20" s="43" t="n">
        <f aca="false">COUNTIF(COST!$AB$5:$AB$1624,1)</f>
        <v>1604</v>
      </c>
      <c r="F20" s="20" t="s">
        <v>238</v>
      </c>
      <c r="G20" s="20" t="s">
        <v>239</v>
      </c>
      <c r="H20" s="20" t="s">
        <v>197</v>
      </c>
    </row>
  </sheetData>
  <conditionalFormatting sqref="H6:H50">
    <cfRule type="cellIs" priority="2" operator="equal" aboveAverage="0" equalAverage="0" bottom="0" percent="0" rank="0" text="" dxfId="1">
      <formula>"Resolved"</formula>
    </cfRule>
    <cfRule type="cellIs" priority="3" operator="equal" aboveAverage="0" equalAverage="0" bottom="0" percent="0" rank="0" text="" dxfId="2">
      <formula>"Open"</formula>
    </cfRule>
  </conditionalFormatting>
  <dataValidations count="1">
    <dataValidation allowBlank="true" errorStyle="stop" operator="between" showDropDown="false" showErrorMessage="false" showInputMessage="false" sqref="H6:H50" type="list">
      <formula1>"Open,In progress,Resolved"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5A8"/>
    <pageSetUpPr fitToPage="false"/>
  </sheetPr>
  <dimension ref="A1:I5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30"/>
    <col collapsed="false" customWidth="true" hidden="false" outlineLevel="0" max="8" min="3" style="1" width="16"/>
    <col collapsed="false" customWidth="true" hidden="false" outlineLevel="0" max="9" min="9" style="1" width="26"/>
  </cols>
  <sheetData>
    <row r="1" customFormat="false" ht="15" hidden="false" customHeight="false" outlineLevel="0" collapsed="false">
      <c r="A1" s="44" t="s">
        <v>240</v>
      </c>
      <c r="B1" s="44" t="s">
        <v>241</v>
      </c>
      <c r="C1" s="44" t="s">
        <v>242</v>
      </c>
      <c r="D1" s="44" t="s">
        <v>243</v>
      </c>
      <c r="E1" s="44" t="s">
        <v>244</v>
      </c>
      <c r="F1" s="44" t="s">
        <v>245</v>
      </c>
      <c r="G1" s="44" t="s">
        <v>246</v>
      </c>
      <c r="H1" s="44" t="s">
        <v>247</v>
      </c>
      <c r="I1" s="44" t="s">
        <v>248</v>
      </c>
    </row>
    <row r="2" customFormat="false" ht="15" hidden="false" customHeight="false" outlineLevel="0" collapsed="false">
      <c r="A2" s="45" t="s">
        <v>249</v>
      </c>
      <c r="B2" s="45" t="s">
        <v>250</v>
      </c>
      <c r="C2" s="46" t="n">
        <v>45840</v>
      </c>
      <c r="D2" s="45" t="s">
        <v>251</v>
      </c>
      <c r="E2" s="45" t="n">
        <v>8</v>
      </c>
      <c r="F2" s="45" t="n">
        <v>0</v>
      </c>
      <c r="G2" s="45" t="n">
        <v>0</v>
      </c>
      <c r="H2" s="45" t="n">
        <v>0</v>
      </c>
      <c r="I2" s="45"/>
    </row>
    <row r="3" customFormat="false" ht="15" hidden="false" customHeight="false" outlineLevel="0" collapsed="false">
      <c r="A3" s="45" t="s">
        <v>249</v>
      </c>
      <c r="B3" s="45" t="s">
        <v>250</v>
      </c>
      <c r="C3" s="46" t="n">
        <v>45840</v>
      </c>
      <c r="D3" s="45" t="s">
        <v>252</v>
      </c>
      <c r="E3" s="45" t="n">
        <v>8</v>
      </c>
      <c r="F3" s="45" t="n">
        <v>32</v>
      </c>
      <c r="G3" s="45" t="n">
        <v>345</v>
      </c>
      <c r="H3" s="45" t="n">
        <v>0</v>
      </c>
      <c r="I3" s="45"/>
    </row>
    <row r="4" customFormat="false" ht="15" hidden="false" customHeight="false" outlineLevel="0" collapsed="false">
      <c r="A4" s="45" t="s">
        <v>253</v>
      </c>
      <c r="B4" s="45" t="s">
        <v>254</v>
      </c>
      <c r="C4" s="46" t="n">
        <v>45850</v>
      </c>
      <c r="D4" s="45" t="s">
        <v>255</v>
      </c>
      <c r="E4" s="45" t="n">
        <v>3.25</v>
      </c>
      <c r="F4" s="45" t="n">
        <v>0</v>
      </c>
      <c r="G4" s="45" t="n">
        <v>0</v>
      </c>
      <c r="H4" s="45" t="n">
        <v>0</v>
      </c>
      <c r="I4" s="45"/>
    </row>
    <row r="5" customFormat="false" ht="15" hidden="false" customHeight="false" outlineLevel="0" collapsed="false">
      <c r="A5" s="45" t="s">
        <v>253</v>
      </c>
      <c r="B5" s="45" t="s">
        <v>254</v>
      </c>
      <c r="C5" s="46" t="n">
        <v>45850</v>
      </c>
      <c r="D5" s="45" t="s">
        <v>256</v>
      </c>
      <c r="E5" s="45" t="n">
        <v>7.5</v>
      </c>
      <c r="F5" s="45" t="n">
        <v>20</v>
      </c>
      <c r="G5" s="45" t="n">
        <v>1190</v>
      </c>
      <c r="H5" s="45" t="n">
        <v>0</v>
      </c>
      <c r="I5" s="45"/>
    </row>
    <row r="6" customFormat="false" ht="15" hidden="false" customHeight="false" outlineLevel="0" collapsed="false">
      <c r="A6" s="45" t="s">
        <v>257</v>
      </c>
      <c r="B6" s="45" t="s">
        <v>250</v>
      </c>
      <c r="C6" s="46" t="n">
        <v>45852</v>
      </c>
      <c r="D6" s="45" t="s">
        <v>258</v>
      </c>
      <c r="E6" s="45" t="n">
        <v>2.5</v>
      </c>
      <c r="F6" s="45" t="n">
        <v>15</v>
      </c>
      <c r="G6" s="45" t="n">
        <v>110</v>
      </c>
      <c r="H6" s="45" t="n">
        <v>0</v>
      </c>
      <c r="I6" s="45"/>
    </row>
    <row r="7" customFormat="false" ht="15" hidden="false" customHeight="false" outlineLevel="0" collapsed="false">
      <c r="A7" s="45" t="s">
        <v>257</v>
      </c>
      <c r="B7" s="45" t="s">
        <v>250</v>
      </c>
      <c r="C7" s="46" t="n">
        <v>45852</v>
      </c>
      <c r="D7" s="45" t="s">
        <v>259</v>
      </c>
      <c r="E7" s="45" t="n">
        <v>1.5</v>
      </c>
      <c r="F7" s="45" t="n">
        <v>0</v>
      </c>
      <c r="G7" s="45" t="n">
        <v>0</v>
      </c>
      <c r="H7" s="45" t="n">
        <v>0</v>
      </c>
      <c r="I7" s="45"/>
    </row>
    <row r="8" customFormat="false" ht="15" hidden="false" customHeight="false" outlineLevel="0" collapsed="false">
      <c r="A8" s="45" t="s">
        <v>260</v>
      </c>
      <c r="B8" s="45" t="s">
        <v>261</v>
      </c>
      <c r="C8" s="46" t="n">
        <v>45856</v>
      </c>
      <c r="D8" s="45" t="s">
        <v>262</v>
      </c>
      <c r="E8" s="45" t="n">
        <v>3.75</v>
      </c>
      <c r="F8" s="45" t="n">
        <v>65</v>
      </c>
      <c r="G8" s="45" t="n">
        <v>110</v>
      </c>
      <c r="H8" s="45" t="n">
        <v>0</v>
      </c>
      <c r="I8" s="45"/>
    </row>
    <row r="9" customFormat="false" ht="15" hidden="false" customHeight="false" outlineLevel="0" collapsed="false">
      <c r="A9" s="45" t="s">
        <v>249</v>
      </c>
      <c r="B9" s="45" t="s">
        <v>250</v>
      </c>
      <c r="C9" s="46" t="n">
        <v>45856</v>
      </c>
      <c r="D9" s="45" t="s">
        <v>263</v>
      </c>
      <c r="E9" s="45" t="n">
        <v>8</v>
      </c>
      <c r="F9" s="45" t="n">
        <v>0</v>
      </c>
      <c r="G9" s="45" t="n">
        <v>0</v>
      </c>
      <c r="H9" s="45" t="n">
        <v>0</v>
      </c>
      <c r="I9" s="45"/>
    </row>
    <row r="10" customFormat="false" ht="15" hidden="false" customHeight="false" outlineLevel="0" collapsed="false">
      <c r="A10" s="45" t="s">
        <v>249</v>
      </c>
      <c r="B10" s="45" t="s">
        <v>250</v>
      </c>
      <c r="C10" s="46" t="n">
        <v>45856</v>
      </c>
      <c r="D10" s="45" t="s">
        <v>252</v>
      </c>
      <c r="E10" s="45" t="n">
        <v>8</v>
      </c>
      <c r="F10" s="45" t="n">
        <v>16</v>
      </c>
      <c r="G10" s="45" t="n">
        <v>465</v>
      </c>
      <c r="H10" s="45" t="n">
        <v>0</v>
      </c>
      <c r="I10" s="45"/>
    </row>
    <row r="11" customFormat="false" ht="15" hidden="false" customHeight="false" outlineLevel="0" collapsed="false">
      <c r="A11" s="45" t="s">
        <v>264</v>
      </c>
      <c r="B11" s="45" t="s">
        <v>265</v>
      </c>
      <c r="C11" s="46" t="n">
        <v>45862</v>
      </c>
      <c r="D11" s="45" t="s">
        <v>266</v>
      </c>
      <c r="E11" s="45" t="n">
        <v>4.25</v>
      </c>
      <c r="F11" s="45" t="n">
        <v>0</v>
      </c>
      <c r="G11" s="45" t="n">
        <v>51545</v>
      </c>
      <c r="H11" s="45" t="n">
        <v>0</v>
      </c>
      <c r="I11" s="45"/>
    </row>
    <row r="12" customFormat="false" ht="15" hidden="false" customHeight="false" outlineLevel="0" collapsed="false">
      <c r="A12" s="45" t="s">
        <v>264</v>
      </c>
      <c r="B12" s="45" t="s">
        <v>265</v>
      </c>
      <c r="C12" s="46" t="n">
        <v>45862</v>
      </c>
      <c r="D12" s="45" t="s">
        <v>256</v>
      </c>
      <c r="E12" s="45" t="n">
        <v>8.5</v>
      </c>
      <c r="F12" s="45" t="n">
        <v>0</v>
      </c>
      <c r="G12" s="45" t="n">
        <v>0</v>
      </c>
      <c r="H12" s="45" t="n">
        <v>0</v>
      </c>
      <c r="I12" s="45"/>
    </row>
    <row r="13" customFormat="false" ht="15" hidden="false" customHeight="false" outlineLevel="0" collapsed="false">
      <c r="A13" s="45" t="s">
        <v>257</v>
      </c>
      <c r="B13" s="45" t="s">
        <v>250</v>
      </c>
      <c r="C13" s="46" t="n">
        <v>45863</v>
      </c>
      <c r="D13" s="45" t="s">
        <v>267</v>
      </c>
      <c r="E13" s="45"/>
      <c r="F13" s="45" t="n">
        <v>10</v>
      </c>
      <c r="G13" s="45" t="n">
        <v>125</v>
      </c>
      <c r="H13" s="45" t="n">
        <v>0</v>
      </c>
      <c r="I13" s="45"/>
    </row>
    <row r="14" customFormat="false" ht="15" hidden="false" customHeight="false" outlineLevel="0" collapsed="false">
      <c r="A14" s="45" t="s">
        <v>257</v>
      </c>
      <c r="B14" s="45" t="s">
        <v>250</v>
      </c>
      <c r="C14" s="46" t="n">
        <v>45863</v>
      </c>
      <c r="D14" s="45" t="s">
        <v>268</v>
      </c>
      <c r="E14" s="45" t="n">
        <v>1.75</v>
      </c>
      <c r="F14" s="45" t="n">
        <v>0</v>
      </c>
      <c r="G14" s="45" t="n">
        <v>0</v>
      </c>
      <c r="H14" s="45" t="n">
        <v>0</v>
      </c>
      <c r="I14" s="45"/>
    </row>
    <row r="15" customFormat="false" ht="15" hidden="false" customHeight="false" outlineLevel="0" collapsed="false">
      <c r="A15" s="45" t="s">
        <v>269</v>
      </c>
      <c r="B15" s="45" t="s">
        <v>250</v>
      </c>
      <c r="C15" s="46" t="n">
        <v>45863</v>
      </c>
      <c r="D15" s="45" t="s">
        <v>270</v>
      </c>
      <c r="E15" s="45" t="n">
        <v>2</v>
      </c>
      <c r="F15" s="45" t="n">
        <v>14</v>
      </c>
      <c r="G15" s="45" t="n">
        <v>190</v>
      </c>
      <c r="H15" s="45" t="n">
        <v>0</v>
      </c>
      <c r="I15" s="45"/>
    </row>
    <row r="16" customFormat="false" ht="15" hidden="false" customHeight="false" outlineLevel="0" collapsed="false">
      <c r="A16" s="45" t="s">
        <v>271</v>
      </c>
      <c r="B16" s="45" t="s">
        <v>250</v>
      </c>
      <c r="C16" s="46" t="n">
        <v>45866</v>
      </c>
      <c r="D16" s="45" t="s">
        <v>272</v>
      </c>
      <c r="E16" s="45" t="n">
        <v>2</v>
      </c>
      <c r="F16" s="45" t="n">
        <v>0</v>
      </c>
      <c r="G16" s="45" t="n">
        <v>0</v>
      </c>
      <c r="H16" s="45" t="n">
        <v>0</v>
      </c>
      <c r="I16" s="45"/>
    </row>
    <row r="17" customFormat="false" ht="15" hidden="false" customHeight="false" outlineLevel="0" collapsed="false">
      <c r="A17" s="45" t="s">
        <v>271</v>
      </c>
      <c r="B17" s="45" t="s">
        <v>250</v>
      </c>
      <c r="C17" s="46" t="n">
        <v>45866</v>
      </c>
      <c r="D17" s="45" t="s">
        <v>273</v>
      </c>
      <c r="E17" s="45" t="n">
        <v>2.25</v>
      </c>
      <c r="F17" s="45" t="n">
        <v>31</v>
      </c>
      <c r="G17" s="45" t="n">
        <v>1620</v>
      </c>
      <c r="H17" s="45" t="n">
        <v>690</v>
      </c>
      <c r="I17" s="45"/>
    </row>
    <row r="18" customFormat="false" ht="15" hidden="false" customHeight="false" outlineLevel="0" collapsed="false">
      <c r="A18" s="45" t="s">
        <v>257</v>
      </c>
      <c r="B18" s="45" t="s">
        <v>250</v>
      </c>
      <c r="C18" s="46" t="n">
        <v>45868</v>
      </c>
      <c r="D18" s="45" t="s">
        <v>267</v>
      </c>
      <c r="E18" s="45" t="n">
        <v>2.25</v>
      </c>
      <c r="F18" s="45" t="n">
        <v>18</v>
      </c>
      <c r="G18" s="45" t="n">
        <v>135</v>
      </c>
      <c r="H18" s="45" t="n">
        <v>0</v>
      </c>
      <c r="I18" s="45"/>
    </row>
    <row r="19" customFormat="false" ht="15" hidden="false" customHeight="false" outlineLevel="0" collapsed="false">
      <c r="A19" s="45" t="s">
        <v>257</v>
      </c>
      <c r="B19" s="45" t="s">
        <v>250</v>
      </c>
      <c r="C19" s="46" t="n">
        <v>45868</v>
      </c>
      <c r="D19" s="45" t="s">
        <v>259</v>
      </c>
      <c r="E19" s="45" t="n">
        <v>1.5</v>
      </c>
      <c r="F19" s="45" t="n">
        <v>0</v>
      </c>
      <c r="G19" s="45" t="n">
        <v>0</v>
      </c>
      <c r="H19" s="45" t="n">
        <v>0</v>
      </c>
      <c r="I19" s="45"/>
    </row>
    <row r="20" customFormat="false" ht="15" hidden="false" customHeight="false" outlineLevel="0" collapsed="false">
      <c r="A20" s="45" t="s">
        <v>253</v>
      </c>
      <c r="B20" s="45" t="s">
        <v>254</v>
      </c>
      <c r="C20" s="46" t="n">
        <v>45868</v>
      </c>
      <c r="D20" s="45" t="s">
        <v>274</v>
      </c>
      <c r="E20" s="45" t="n">
        <v>4.75</v>
      </c>
      <c r="F20" s="45" t="n">
        <v>0</v>
      </c>
      <c r="G20" s="45" t="n">
        <v>0</v>
      </c>
      <c r="H20" s="45" t="n">
        <v>0</v>
      </c>
      <c r="I20" s="45"/>
    </row>
    <row r="21" customFormat="false" ht="15" hidden="false" customHeight="false" outlineLevel="0" collapsed="false">
      <c r="A21" s="45" t="s">
        <v>253</v>
      </c>
      <c r="B21" s="45" t="s">
        <v>254</v>
      </c>
      <c r="C21" s="46" t="n">
        <v>45868</v>
      </c>
      <c r="D21" s="45" t="s">
        <v>275</v>
      </c>
      <c r="E21" s="45" t="n">
        <v>6.75</v>
      </c>
      <c r="F21" s="45" t="n">
        <v>38</v>
      </c>
      <c r="G21" s="45" t="n">
        <v>1580</v>
      </c>
      <c r="H21" s="45" t="n">
        <v>0</v>
      </c>
      <c r="I21" s="45"/>
    </row>
    <row r="22" customFormat="false" ht="15" hidden="false" customHeight="false" outlineLevel="0" collapsed="false">
      <c r="A22" s="45" t="s">
        <v>257</v>
      </c>
      <c r="B22" s="45" t="s">
        <v>250</v>
      </c>
      <c r="C22" s="46" t="n">
        <v>45869</v>
      </c>
      <c r="D22" s="45" t="s">
        <v>276</v>
      </c>
      <c r="E22" s="45" t="n">
        <v>2.25</v>
      </c>
      <c r="F22" s="45" t="n">
        <v>12</v>
      </c>
      <c r="G22" s="45" t="n">
        <v>155</v>
      </c>
      <c r="H22" s="45" t="n">
        <v>0</v>
      </c>
      <c r="I22" s="45"/>
    </row>
    <row r="23" customFormat="false" ht="15" hidden="false" customHeight="false" outlineLevel="0" collapsed="false">
      <c r="A23" s="45" t="s">
        <v>257</v>
      </c>
      <c r="B23" s="45" t="s">
        <v>250</v>
      </c>
      <c r="C23" s="46" t="n">
        <v>45869</v>
      </c>
      <c r="D23" s="45" t="s">
        <v>268</v>
      </c>
      <c r="E23" s="45" t="n">
        <v>1.75</v>
      </c>
      <c r="F23" s="45" t="n">
        <v>0</v>
      </c>
      <c r="G23" s="45" t="n">
        <v>0</v>
      </c>
      <c r="H23" s="45" t="n">
        <v>0</v>
      </c>
      <c r="I23" s="45"/>
    </row>
    <row r="24" customFormat="false" ht="15" hidden="false" customHeight="false" outlineLevel="0" collapsed="false">
      <c r="A24" s="45" t="s">
        <v>277</v>
      </c>
      <c r="B24" s="45" t="s">
        <v>261</v>
      </c>
      <c r="C24" s="46" t="n">
        <v>45869</v>
      </c>
      <c r="D24" s="45" t="s">
        <v>278</v>
      </c>
      <c r="E24" s="45" t="n">
        <v>105.75</v>
      </c>
      <c r="F24" s="45" t="n">
        <v>0</v>
      </c>
      <c r="G24" s="45" t="n">
        <v>0</v>
      </c>
      <c r="H24" s="45" t="n">
        <v>0</v>
      </c>
      <c r="I24" s="45"/>
    </row>
    <row r="25" customFormat="false" ht="15" hidden="false" customHeight="false" outlineLevel="0" collapsed="false">
      <c r="A25" s="45" t="s">
        <v>277</v>
      </c>
      <c r="B25" s="45" t="s">
        <v>261</v>
      </c>
      <c r="C25" s="46" t="n">
        <v>45869</v>
      </c>
      <c r="D25" s="45" t="s">
        <v>279</v>
      </c>
      <c r="E25" s="45" t="n">
        <v>130.25</v>
      </c>
      <c r="F25" s="45" t="n">
        <v>0</v>
      </c>
      <c r="G25" s="45" t="n">
        <v>0</v>
      </c>
      <c r="H25" s="45" t="n">
        <v>0</v>
      </c>
      <c r="I25" s="45"/>
    </row>
    <row r="26" customFormat="false" ht="15" hidden="false" customHeight="false" outlineLevel="0" collapsed="false">
      <c r="A26" s="45" t="s">
        <v>277</v>
      </c>
      <c r="B26" s="45" t="s">
        <v>261</v>
      </c>
      <c r="C26" s="46" t="n">
        <v>45869</v>
      </c>
      <c r="D26" s="45" t="s">
        <v>280</v>
      </c>
      <c r="E26" s="45" t="n">
        <v>115.25</v>
      </c>
      <c r="F26" s="45" t="n">
        <v>245</v>
      </c>
      <c r="G26" s="45" t="n">
        <v>10540</v>
      </c>
      <c r="H26" s="45" t="n">
        <v>0</v>
      </c>
      <c r="I26" s="45"/>
    </row>
    <row r="27" customFormat="false" ht="15" hidden="false" customHeight="false" outlineLevel="0" collapsed="false">
      <c r="A27" s="45" t="s">
        <v>281</v>
      </c>
      <c r="B27" s="45" t="s">
        <v>261</v>
      </c>
      <c r="C27" s="46" t="n">
        <v>45869</v>
      </c>
      <c r="D27" s="45" t="s">
        <v>282</v>
      </c>
      <c r="E27" s="45" t="n">
        <v>44</v>
      </c>
      <c r="F27" s="45" t="n">
        <v>301</v>
      </c>
      <c r="G27" s="45" t="n">
        <v>3920</v>
      </c>
      <c r="H27" s="45" t="n">
        <v>0</v>
      </c>
      <c r="I27" s="45"/>
    </row>
    <row r="28" customFormat="false" ht="15" hidden="false" customHeight="false" outlineLevel="0" collapsed="false">
      <c r="A28" s="45" t="s">
        <v>281</v>
      </c>
      <c r="B28" s="45" t="s">
        <v>261</v>
      </c>
      <c r="C28" s="46" t="n">
        <v>45869</v>
      </c>
      <c r="D28" s="45" t="s">
        <v>283</v>
      </c>
      <c r="E28" s="45" t="n">
        <v>13.75</v>
      </c>
      <c r="F28" s="45" t="n">
        <v>0</v>
      </c>
      <c r="G28" s="45" t="n">
        <v>0</v>
      </c>
      <c r="H28" s="45" t="n">
        <v>0</v>
      </c>
      <c r="I28" s="45"/>
    </row>
    <row r="29" customFormat="false" ht="15" hidden="false" customHeight="false" outlineLevel="0" collapsed="false">
      <c r="A29" s="45" t="s">
        <v>281</v>
      </c>
      <c r="B29" s="45" t="s">
        <v>261</v>
      </c>
      <c r="C29" s="46" t="n">
        <v>45869</v>
      </c>
      <c r="D29" s="45" t="s">
        <v>262</v>
      </c>
      <c r="E29" s="45" t="n">
        <v>59.25</v>
      </c>
      <c r="F29" s="45" t="n">
        <v>0</v>
      </c>
      <c r="G29" s="45" t="n">
        <v>0</v>
      </c>
      <c r="H29" s="45" t="n">
        <v>0</v>
      </c>
      <c r="I29" s="45"/>
    </row>
    <row r="30" customFormat="false" ht="15" hidden="false" customHeight="false" outlineLevel="0" collapsed="false">
      <c r="A30" s="45" t="s">
        <v>284</v>
      </c>
      <c r="B30" s="45" t="s">
        <v>285</v>
      </c>
      <c r="C30" s="46" t="n">
        <v>45869</v>
      </c>
      <c r="D30" s="45" t="s">
        <v>286</v>
      </c>
      <c r="E30" s="45" t="n">
        <v>387.75</v>
      </c>
      <c r="F30" s="45" t="n">
        <v>398</v>
      </c>
      <c r="G30" s="45" t="n">
        <v>2035</v>
      </c>
      <c r="H30" s="45" t="n">
        <v>0</v>
      </c>
      <c r="I30" s="45"/>
    </row>
    <row r="31" customFormat="false" ht="15" hidden="false" customHeight="false" outlineLevel="0" collapsed="false">
      <c r="A31" s="45" t="s">
        <v>284</v>
      </c>
      <c r="B31" s="45" t="s">
        <v>285</v>
      </c>
      <c r="C31" s="46" t="n">
        <v>45869</v>
      </c>
      <c r="D31" s="45" t="s">
        <v>287</v>
      </c>
      <c r="E31" s="45" t="n">
        <v>155.5</v>
      </c>
      <c r="F31" s="45" t="n">
        <v>0</v>
      </c>
      <c r="G31" s="45" t="n">
        <v>0</v>
      </c>
      <c r="H31" s="45" t="n">
        <v>0</v>
      </c>
      <c r="I31" s="45"/>
    </row>
    <row r="32" customFormat="false" ht="15" hidden="false" customHeight="false" outlineLevel="0" collapsed="false">
      <c r="A32" s="45" t="s">
        <v>288</v>
      </c>
      <c r="B32" s="45" t="s">
        <v>285</v>
      </c>
      <c r="C32" s="46" t="n">
        <v>45869</v>
      </c>
      <c r="D32" s="45" t="s">
        <v>289</v>
      </c>
      <c r="E32" s="45" t="n">
        <v>90.75</v>
      </c>
      <c r="F32" s="45" t="n">
        <v>0</v>
      </c>
      <c r="G32" s="45" t="n">
        <v>0</v>
      </c>
      <c r="H32" s="45" t="n">
        <v>0</v>
      </c>
      <c r="I32" s="45"/>
    </row>
    <row r="33" customFormat="false" ht="15" hidden="false" customHeight="false" outlineLevel="0" collapsed="false">
      <c r="A33" s="45" t="s">
        <v>288</v>
      </c>
      <c r="B33" s="45" t="s">
        <v>285</v>
      </c>
      <c r="C33" s="46" t="n">
        <v>45869</v>
      </c>
      <c r="D33" s="45" t="s">
        <v>283</v>
      </c>
      <c r="E33" s="45" t="n">
        <v>24.25</v>
      </c>
      <c r="F33" s="45" t="n">
        <v>93</v>
      </c>
      <c r="G33" s="45" t="n">
        <v>29375</v>
      </c>
      <c r="H33" s="45" t="n">
        <v>0</v>
      </c>
      <c r="I33" s="45"/>
    </row>
    <row r="34" customFormat="false" ht="15" hidden="false" customHeight="false" outlineLevel="0" collapsed="false">
      <c r="A34" s="45" t="s">
        <v>290</v>
      </c>
      <c r="B34" s="45" t="s">
        <v>291</v>
      </c>
      <c r="C34" s="46" t="n">
        <v>45869</v>
      </c>
      <c r="D34" s="45" t="s">
        <v>292</v>
      </c>
      <c r="E34" s="45" t="n">
        <v>38.25</v>
      </c>
      <c r="F34" s="45" t="n">
        <v>0</v>
      </c>
      <c r="G34" s="45" t="n">
        <v>1250</v>
      </c>
      <c r="H34" s="45" t="n">
        <v>0</v>
      </c>
      <c r="I34" s="45"/>
    </row>
    <row r="35" customFormat="false" ht="15" hidden="false" customHeight="false" outlineLevel="0" collapsed="false">
      <c r="A35" s="45" t="s">
        <v>290</v>
      </c>
      <c r="B35" s="45" t="s">
        <v>291</v>
      </c>
      <c r="C35" s="46" t="n">
        <v>45869</v>
      </c>
      <c r="D35" s="45" t="s">
        <v>293</v>
      </c>
      <c r="E35" s="45" t="n">
        <v>24</v>
      </c>
      <c r="F35" s="45" t="n">
        <v>0</v>
      </c>
      <c r="G35" s="45" t="n">
        <v>0</v>
      </c>
      <c r="H35" s="45" t="n">
        <v>0</v>
      </c>
      <c r="I35" s="45"/>
    </row>
    <row r="36" customFormat="false" ht="15" hidden="false" customHeight="false" outlineLevel="0" collapsed="false">
      <c r="A36" s="45" t="s">
        <v>294</v>
      </c>
      <c r="B36" s="45" t="s">
        <v>291</v>
      </c>
      <c r="C36" s="46" t="n">
        <v>45869</v>
      </c>
      <c r="D36" s="45" t="s">
        <v>295</v>
      </c>
      <c r="E36" s="45" t="n">
        <v>48.75</v>
      </c>
      <c r="F36" s="45" t="n">
        <v>0</v>
      </c>
      <c r="G36" s="45" t="n">
        <v>0</v>
      </c>
      <c r="H36" s="45" t="n">
        <v>0</v>
      </c>
      <c r="I36" s="45"/>
    </row>
    <row r="37" customFormat="false" ht="15" hidden="false" customHeight="false" outlineLevel="0" collapsed="false">
      <c r="A37" s="45" t="s">
        <v>294</v>
      </c>
      <c r="B37" s="45" t="s">
        <v>291</v>
      </c>
      <c r="C37" s="46" t="n">
        <v>45869</v>
      </c>
      <c r="D37" s="45" t="s">
        <v>292</v>
      </c>
      <c r="E37" s="45" t="n">
        <v>92</v>
      </c>
      <c r="F37" s="45" t="n">
        <v>0</v>
      </c>
      <c r="G37" s="45" t="n">
        <v>590</v>
      </c>
      <c r="H37" s="45" t="n">
        <v>0</v>
      </c>
      <c r="I37" s="45"/>
    </row>
    <row r="38" customFormat="false" ht="15" hidden="false" customHeight="false" outlineLevel="0" collapsed="false">
      <c r="A38" s="45" t="s">
        <v>296</v>
      </c>
      <c r="B38" s="45" t="s">
        <v>285</v>
      </c>
      <c r="C38" s="46" t="n">
        <v>45869</v>
      </c>
      <c r="D38" s="45" t="s">
        <v>297</v>
      </c>
      <c r="E38" s="45" t="n">
        <v>51</v>
      </c>
      <c r="F38" s="45" t="n">
        <v>186</v>
      </c>
      <c r="G38" s="45" t="n">
        <v>0</v>
      </c>
      <c r="H38" s="45" t="n">
        <v>0</v>
      </c>
      <c r="I38" s="45"/>
    </row>
    <row r="39" customFormat="false" ht="15" hidden="false" customHeight="false" outlineLevel="0" collapsed="false">
      <c r="A39" s="45" t="s">
        <v>298</v>
      </c>
      <c r="B39" s="45" t="s">
        <v>299</v>
      </c>
      <c r="C39" s="46" t="n">
        <v>45869</v>
      </c>
      <c r="D39" s="45" t="s">
        <v>300</v>
      </c>
      <c r="E39" s="45" t="n">
        <v>61</v>
      </c>
      <c r="F39" s="45" t="n">
        <v>9</v>
      </c>
      <c r="G39" s="45" t="n">
        <v>600</v>
      </c>
      <c r="H39" s="45" t="n">
        <v>0</v>
      </c>
      <c r="I39" s="45"/>
    </row>
    <row r="40" customFormat="false" ht="15" hidden="false" customHeight="false" outlineLevel="0" collapsed="false">
      <c r="A40" s="45" t="s">
        <v>298</v>
      </c>
      <c r="B40" s="45" t="s">
        <v>299</v>
      </c>
      <c r="C40" s="46" t="n">
        <v>45869</v>
      </c>
      <c r="D40" s="45" t="s">
        <v>301</v>
      </c>
      <c r="E40" s="45" t="n">
        <v>110.25</v>
      </c>
      <c r="F40" s="45" t="n">
        <v>0</v>
      </c>
      <c r="G40" s="45" t="n">
        <v>0</v>
      </c>
      <c r="H40" s="45" t="n">
        <v>0</v>
      </c>
      <c r="I40" s="45"/>
    </row>
    <row r="41" customFormat="false" ht="15" hidden="false" customHeight="false" outlineLevel="0" collapsed="false">
      <c r="A41" s="45" t="s">
        <v>302</v>
      </c>
      <c r="B41" s="45" t="s">
        <v>299</v>
      </c>
      <c r="C41" s="46" t="n">
        <v>45869</v>
      </c>
      <c r="D41" s="45" t="s">
        <v>303</v>
      </c>
      <c r="E41" s="45" t="n">
        <v>367.5</v>
      </c>
      <c r="F41" s="45" t="n">
        <v>24</v>
      </c>
      <c r="G41" s="45" t="n">
        <v>31560</v>
      </c>
      <c r="H41" s="45" t="n">
        <v>168940</v>
      </c>
      <c r="I41" s="45"/>
    </row>
    <row r="42" customFormat="false" ht="15" hidden="false" customHeight="false" outlineLevel="0" collapsed="false">
      <c r="A42" s="45" t="s">
        <v>302</v>
      </c>
      <c r="B42" s="45" t="s">
        <v>299</v>
      </c>
      <c r="C42" s="46" t="n">
        <v>45869</v>
      </c>
      <c r="D42" s="45" t="s">
        <v>304</v>
      </c>
      <c r="E42" s="45" t="n">
        <v>162</v>
      </c>
      <c r="F42" s="45" t="n">
        <v>0</v>
      </c>
      <c r="G42" s="45" t="n">
        <v>0</v>
      </c>
      <c r="H42" s="45" t="n">
        <v>0</v>
      </c>
      <c r="I42" s="45"/>
    </row>
    <row r="43" customFormat="false" ht="15" hidden="false" customHeight="false" outlineLevel="0" collapsed="false">
      <c r="A43" s="45" t="s">
        <v>302</v>
      </c>
      <c r="B43" s="45" t="s">
        <v>299</v>
      </c>
      <c r="C43" s="46" t="n">
        <v>45869</v>
      </c>
      <c r="D43" s="45" t="s">
        <v>305</v>
      </c>
      <c r="E43" s="45" t="n">
        <v>3989.5</v>
      </c>
      <c r="F43" s="45" t="n">
        <v>0</v>
      </c>
      <c r="G43" s="45" t="n">
        <v>0</v>
      </c>
      <c r="H43" s="45" t="n">
        <v>0</v>
      </c>
      <c r="I43" s="45"/>
    </row>
    <row r="44" customFormat="false" ht="15" hidden="false" customHeight="false" outlineLevel="0" collapsed="false">
      <c r="A44" s="45" t="s">
        <v>306</v>
      </c>
      <c r="B44" s="45" t="s">
        <v>299</v>
      </c>
      <c r="C44" s="46" t="n">
        <v>45869</v>
      </c>
      <c r="D44" s="45" t="s">
        <v>273</v>
      </c>
      <c r="E44" s="45" t="n">
        <v>77.5</v>
      </c>
      <c r="F44" s="45" t="n">
        <v>5</v>
      </c>
      <c r="G44" s="45" t="n">
        <v>215</v>
      </c>
      <c r="H44" s="45" t="n">
        <v>0</v>
      </c>
      <c r="I44" s="45"/>
    </row>
    <row r="45" customFormat="false" ht="15" hidden="false" customHeight="false" outlineLevel="0" collapsed="false">
      <c r="A45" s="45" t="s">
        <v>307</v>
      </c>
      <c r="B45" s="45" t="s">
        <v>167</v>
      </c>
      <c r="C45" s="46" t="n">
        <v>45869</v>
      </c>
      <c r="D45" s="45" t="s">
        <v>308</v>
      </c>
      <c r="E45" s="45" t="n">
        <v>43.75</v>
      </c>
      <c r="F45" s="45" t="n">
        <v>0</v>
      </c>
      <c r="G45" s="45" t="n">
        <v>0</v>
      </c>
      <c r="H45" s="45" t="n">
        <v>0</v>
      </c>
      <c r="I45" s="45"/>
    </row>
    <row r="46" customFormat="false" ht="15" hidden="false" customHeight="false" outlineLevel="0" collapsed="false">
      <c r="A46" s="45" t="s">
        <v>307</v>
      </c>
      <c r="B46" s="45" t="s">
        <v>167</v>
      </c>
      <c r="C46" s="46" t="n">
        <v>45869</v>
      </c>
      <c r="D46" s="45" t="s">
        <v>309</v>
      </c>
      <c r="E46" s="45" t="n">
        <v>23</v>
      </c>
      <c r="F46" s="45" t="n">
        <v>0</v>
      </c>
      <c r="G46" s="45" t="n">
        <v>0</v>
      </c>
      <c r="H46" s="45" t="n">
        <v>0</v>
      </c>
      <c r="I46" s="45"/>
    </row>
    <row r="47" customFormat="false" ht="15" hidden="false" customHeight="false" outlineLevel="0" collapsed="false">
      <c r="A47" s="45" t="s">
        <v>307</v>
      </c>
      <c r="B47" s="45" t="s">
        <v>167</v>
      </c>
      <c r="C47" s="46" t="n">
        <v>45869</v>
      </c>
      <c r="D47" s="45" t="s">
        <v>310</v>
      </c>
      <c r="E47" s="45" t="n">
        <v>174.75</v>
      </c>
      <c r="F47" s="45" t="n">
        <v>53</v>
      </c>
      <c r="G47" s="45" t="n">
        <v>10740</v>
      </c>
      <c r="H47" s="45" t="n">
        <v>12080</v>
      </c>
      <c r="I47" s="45"/>
    </row>
    <row r="48" customFormat="false" ht="15" hidden="false" customHeight="false" outlineLevel="0" collapsed="false">
      <c r="A48" s="45" t="s">
        <v>311</v>
      </c>
      <c r="B48" s="45" t="s">
        <v>312</v>
      </c>
      <c r="C48" s="46" t="n">
        <v>45873</v>
      </c>
      <c r="D48" s="45" t="s">
        <v>313</v>
      </c>
      <c r="E48" s="45" t="n">
        <v>2.75</v>
      </c>
      <c r="F48" s="45" t="n">
        <v>0</v>
      </c>
      <c r="G48" s="45" t="n">
        <v>0</v>
      </c>
      <c r="H48" s="45" t="n">
        <v>0</v>
      </c>
      <c r="I48" s="45"/>
    </row>
    <row r="49" customFormat="false" ht="15" hidden="false" customHeight="false" outlineLevel="0" collapsed="false">
      <c r="A49" s="45" t="s">
        <v>311</v>
      </c>
      <c r="B49" s="45" t="s">
        <v>312</v>
      </c>
      <c r="C49" s="46" t="n">
        <v>45873</v>
      </c>
      <c r="D49" s="45" t="s">
        <v>314</v>
      </c>
      <c r="E49" s="45" t="n">
        <v>2.5</v>
      </c>
      <c r="F49" s="45" t="n">
        <v>0</v>
      </c>
      <c r="G49" s="45" t="n">
        <v>145</v>
      </c>
      <c r="H49" s="45" t="n">
        <v>0</v>
      </c>
      <c r="I49" s="45"/>
    </row>
    <row r="50" customFormat="false" ht="15" hidden="false" customHeight="false" outlineLevel="0" collapsed="false">
      <c r="A50" s="45" t="s">
        <v>257</v>
      </c>
      <c r="B50" s="45" t="s">
        <v>250</v>
      </c>
      <c r="C50" s="46" t="n">
        <v>45874</v>
      </c>
      <c r="D50" s="45" t="s">
        <v>276</v>
      </c>
      <c r="E50" s="45" t="n">
        <v>2.25</v>
      </c>
      <c r="F50" s="45" t="n">
        <v>18</v>
      </c>
      <c r="G50" s="45" t="n">
        <v>160</v>
      </c>
      <c r="H50" s="45" t="n">
        <v>0</v>
      </c>
      <c r="I50" s="45"/>
    </row>
    <row r="51" customFormat="false" ht="15" hidden="false" customHeight="false" outlineLevel="0" collapsed="false">
      <c r="A51" s="45" t="s">
        <v>257</v>
      </c>
      <c r="B51" s="45" t="s">
        <v>250</v>
      </c>
      <c r="C51" s="46" t="n">
        <v>45874</v>
      </c>
      <c r="D51" s="45" t="s">
        <v>268</v>
      </c>
      <c r="E51" s="45" t="n">
        <v>1.5</v>
      </c>
      <c r="F51" s="45" t="n">
        <v>0</v>
      </c>
      <c r="G51" s="45" t="n">
        <v>0</v>
      </c>
      <c r="H51" s="45" t="n">
        <v>0</v>
      </c>
      <c r="I51" s="45"/>
    </row>
    <row r="52" customFormat="false" ht="15" hidden="false" customHeight="false" outlineLevel="0" collapsed="false">
      <c r="A52" s="45" t="s">
        <v>271</v>
      </c>
      <c r="B52" s="45" t="s">
        <v>250</v>
      </c>
      <c r="C52" s="46" t="n">
        <v>45876</v>
      </c>
      <c r="D52" s="45" t="s">
        <v>315</v>
      </c>
      <c r="E52" s="45" t="n">
        <v>2</v>
      </c>
      <c r="F52" s="45" t="n">
        <v>0</v>
      </c>
      <c r="G52" s="45" t="n">
        <v>0</v>
      </c>
      <c r="H52" s="45" t="n">
        <v>0</v>
      </c>
      <c r="I52" s="45"/>
    </row>
    <row r="53" customFormat="false" ht="15" hidden="false" customHeight="false" outlineLevel="0" collapsed="false">
      <c r="A53" s="45" t="s">
        <v>271</v>
      </c>
      <c r="B53" s="45" t="s">
        <v>250</v>
      </c>
      <c r="C53" s="46" t="n">
        <v>45876</v>
      </c>
      <c r="D53" s="45" t="s">
        <v>273</v>
      </c>
      <c r="E53" s="45" t="n">
        <v>2.75</v>
      </c>
      <c r="F53" s="45" t="n">
        <v>19</v>
      </c>
      <c r="G53" s="45" t="n">
        <v>2550</v>
      </c>
      <c r="H53" s="45" t="n">
        <v>985</v>
      </c>
      <c r="I53" s="45"/>
    </row>
    <row r="54" customFormat="false" ht="15" hidden="false" customHeight="false" outlineLevel="0" collapsed="false">
      <c r="A54" s="45" t="s">
        <v>260</v>
      </c>
      <c r="B54" s="45" t="s">
        <v>261</v>
      </c>
      <c r="C54" s="46" t="n">
        <v>45878</v>
      </c>
      <c r="D54" s="45" t="s">
        <v>262</v>
      </c>
      <c r="E54" s="45" t="n">
        <v>3.5</v>
      </c>
      <c r="F54" s="45" t="n">
        <v>74</v>
      </c>
      <c r="G54" s="45" t="n">
        <v>100</v>
      </c>
      <c r="H54" s="45" t="n">
        <v>0</v>
      </c>
      <c r="I54" s="45"/>
    </row>
    <row r="55" customFormat="false" ht="15" hidden="false" customHeight="false" outlineLevel="0" collapsed="false">
      <c r="A55" s="45" t="s">
        <v>264</v>
      </c>
      <c r="B55" s="45" t="s">
        <v>265</v>
      </c>
      <c r="C55" s="46" t="n">
        <v>45878</v>
      </c>
      <c r="D55" s="45" t="s">
        <v>316</v>
      </c>
      <c r="E55" s="45" t="n">
        <v>5.5</v>
      </c>
      <c r="F55" s="45" t="n">
        <v>0</v>
      </c>
      <c r="G55" s="45" t="n">
        <v>44005</v>
      </c>
      <c r="H55" s="45" t="n">
        <v>0</v>
      </c>
      <c r="I55" s="45"/>
    </row>
    <row r="56" customFormat="false" ht="15" hidden="false" customHeight="false" outlineLevel="0" collapsed="false">
      <c r="A56" s="45" t="s">
        <v>264</v>
      </c>
      <c r="B56" s="45" t="s">
        <v>265</v>
      </c>
      <c r="C56" s="46" t="n">
        <v>45878</v>
      </c>
      <c r="D56" s="45" t="s">
        <v>317</v>
      </c>
      <c r="E56" s="45" t="n">
        <v>9.75</v>
      </c>
      <c r="F56" s="45" t="n">
        <v>0</v>
      </c>
      <c r="G56" s="45" t="n">
        <v>0</v>
      </c>
      <c r="H56" s="45" t="n">
        <v>0</v>
      </c>
      <c r="I56" s="45"/>
    </row>
    <row r="57" customFormat="false" ht="15" hidden="false" customHeight="false" outlineLevel="0" collapsed="false">
      <c r="A57" s="45" t="s">
        <v>318</v>
      </c>
      <c r="B57" s="45" t="s">
        <v>319</v>
      </c>
      <c r="C57" s="46" t="n">
        <v>45881</v>
      </c>
      <c r="D57" s="45" t="s">
        <v>320</v>
      </c>
      <c r="E57" s="45" t="n">
        <v>0</v>
      </c>
      <c r="F57" s="45" t="n">
        <v>0</v>
      </c>
      <c r="G57" s="45" t="n">
        <v>9090</v>
      </c>
      <c r="H57" s="45" t="n">
        <v>0</v>
      </c>
      <c r="I57" s="45"/>
    </row>
    <row r="58" customFormat="false" ht="15" hidden="false" customHeight="false" outlineLevel="0" collapsed="false">
      <c r="A58" s="45" t="s">
        <v>311</v>
      </c>
      <c r="B58" s="45" t="s">
        <v>312</v>
      </c>
      <c r="C58" s="46" t="n">
        <v>45883</v>
      </c>
      <c r="D58" s="45" t="s">
        <v>292</v>
      </c>
      <c r="E58" s="45" t="n">
        <v>2.5</v>
      </c>
      <c r="F58" s="45" t="n">
        <v>0</v>
      </c>
      <c r="G58" s="45" t="n">
        <v>0</v>
      </c>
      <c r="H58" s="45" t="n">
        <v>0</v>
      </c>
      <c r="I58" s="45"/>
    </row>
    <row r="59" customFormat="false" ht="15" hidden="false" customHeight="false" outlineLevel="0" collapsed="false">
      <c r="A59" s="45" t="s">
        <v>311</v>
      </c>
      <c r="B59" s="45" t="s">
        <v>312</v>
      </c>
      <c r="C59" s="46" t="n">
        <v>45883</v>
      </c>
      <c r="D59" s="45" t="s">
        <v>321</v>
      </c>
      <c r="E59" s="45" t="n">
        <v>2.25</v>
      </c>
      <c r="F59" s="45" t="n">
        <v>0</v>
      </c>
      <c r="G59" s="45" t="n">
        <v>90</v>
      </c>
      <c r="H59" s="45" t="n">
        <v>0</v>
      </c>
      <c r="I59" s="45"/>
    </row>
    <row r="60" customFormat="false" ht="15" hidden="false" customHeight="false" outlineLevel="0" collapsed="false">
      <c r="A60" s="45" t="s">
        <v>271</v>
      </c>
      <c r="B60" s="45" t="s">
        <v>250</v>
      </c>
      <c r="C60" s="46" t="n">
        <v>45889</v>
      </c>
      <c r="D60" s="45" t="s">
        <v>322</v>
      </c>
      <c r="E60" s="45" t="n">
        <v>2.5</v>
      </c>
      <c r="F60" s="45" t="n">
        <v>0</v>
      </c>
      <c r="G60" s="45" t="n">
        <v>0</v>
      </c>
      <c r="H60" s="45" t="n">
        <v>0</v>
      </c>
      <c r="I60" s="45"/>
    </row>
    <row r="61" customFormat="false" ht="15" hidden="false" customHeight="false" outlineLevel="0" collapsed="false">
      <c r="A61" s="45" t="s">
        <v>271</v>
      </c>
      <c r="B61" s="45" t="s">
        <v>250</v>
      </c>
      <c r="C61" s="46" t="n">
        <v>45889</v>
      </c>
      <c r="D61" s="45" t="s">
        <v>273</v>
      </c>
      <c r="E61" s="45" t="n">
        <v>2.25</v>
      </c>
      <c r="F61" s="45" t="n">
        <v>24</v>
      </c>
      <c r="G61" s="45" t="n">
        <v>2420</v>
      </c>
      <c r="H61" s="45" t="n">
        <v>1650</v>
      </c>
      <c r="I61" s="45"/>
    </row>
    <row r="62" customFormat="false" ht="15" hidden="false" customHeight="false" outlineLevel="0" collapsed="false">
      <c r="A62" s="45" t="s">
        <v>249</v>
      </c>
      <c r="B62" s="45" t="s">
        <v>250</v>
      </c>
      <c r="C62" s="46" t="n">
        <v>45891</v>
      </c>
      <c r="D62" s="45" t="s">
        <v>267</v>
      </c>
      <c r="E62" s="45" t="n">
        <v>8</v>
      </c>
      <c r="F62" s="45" t="n">
        <v>0</v>
      </c>
      <c r="G62" s="45" t="n">
        <v>0</v>
      </c>
      <c r="H62" s="45" t="n">
        <v>0</v>
      </c>
      <c r="I62" s="45"/>
    </row>
    <row r="63" customFormat="false" ht="15" hidden="false" customHeight="false" outlineLevel="0" collapsed="false">
      <c r="A63" s="45" t="s">
        <v>249</v>
      </c>
      <c r="B63" s="45" t="s">
        <v>250</v>
      </c>
      <c r="C63" s="46" t="n">
        <v>45891</v>
      </c>
      <c r="D63" s="45" t="s">
        <v>323</v>
      </c>
      <c r="E63" s="45" t="n">
        <v>8</v>
      </c>
      <c r="F63" s="45" t="n">
        <v>19</v>
      </c>
      <c r="G63" s="45" t="n">
        <v>540</v>
      </c>
      <c r="H63" s="45" t="n">
        <v>0</v>
      </c>
      <c r="I63" s="45"/>
    </row>
    <row r="64" customFormat="false" ht="15" hidden="false" customHeight="false" outlineLevel="0" collapsed="false">
      <c r="A64" s="45" t="s">
        <v>277</v>
      </c>
      <c r="B64" s="45" t="s">
        <v>261</v>
      </c>
      <c r="C64" s="46" t="n">
        <v>45900</v>
      </c>
      <c r="D64" s="45" t="s">
        <v>324</v>
      </c>
      <c r="E64" s="45" t="n">
        <v>98.25</v>
      </c>
      <c r="F64" s="45" t="n">
        <v>0</v>
      </c>
      <c r="G64" s="45" t="n">
        <v>0</v>
      </c>
      <c r="H64" s="45" t="n">
        <v>0</v>
      </c>
      <c r="I64" s="45"/>
    </row>
    <row r="65" customFormat="false" ht="15" hidden="false" customHeight="false" outlineLevel="0" collapsed="false">
      <c r="A65" s="45" t="s">
        <v>277</v>
      </c>
      <c r="B65" s="45" t="s">
        <v>261</v>
      </c>
      <c r="C65" s="46" t="n">
        <v>45900</v>
      </c>
      <c r="D65" s="45" t="s">
        <v>279</v>
      </c>
      <c r="E65" s="45" t="n">
        <v>114</v>
      </c>
      <c r="F65" s="45" t="n">
        <v>0</v>
      </c>
      <c r="G65" s="45" t="n">
        <v>0</v>
      </c>
      <c r="H65" s="45" t="n">
        <v>0</v>
      </c>
      <c r="I65" s="45"/>
    </row>
    <row r="66" customFormat="false" ht="15" hidden="false" customHeight="false" outlineLevel="0" collapsed="false">
      <c r="A66" s="45" t="s">
        <v>277</v>
      </c>
      <c r="B66" s="45" t="s">
        <v>261</v>
      </c>
      <c r="C66" s="46" t="n">
        <v>45900</v>
      </c>
      <c r="D66" s="45" t="s">
        <v>325</v>
      </c>
      <c r="E66" s="45" t="n">
        <v>149.25</v>
      </c>
      <c r="F66" s="45" t="n">
        <v>408</v>
      </c>
      <c r="G66" s="45" t="n">
        <v>10775</v>
      </c>
      <c r="H66" s="45" t="n">
        <v>0</v>
      </c>
      <c r="I66" s="45"/>
    </row>
    <row r="67" customFormat="false" ht="15" hidden="false" customHeight="false" outlineLevel="0" collapsed="false">
      <c r="A67" s="45" t="s">
        <v>281</v>
      </c>
      <c r="B67" s="45" t="s">
        <v>261</v>
      </c>
      <c r="C67" s="46" t="n">
        <v>45900</v>
      </c>
      <c r="D67" s="45" t="s">
        <v>282</v>
      </c>
      <c r="E67" s="45" t="n">
        <v>43.25</v>
      </c>
      <c r="F67" s="45" t="n">
        <v>296</v>
      </c>
      <c r="G67" s="45" t="n">
        <v>3660</v>
      </c>
      <c r="H67" s="45" t="n">
        <v>0</v>
      </c>
      <c r="I67" s="45"/>
    </row>
    <row r="68" customFormat="false" ht="15" hidden="false" customHeight="false" outlineLevel="0" collapsed="false">
      <c r="A68" s="45" t="s">
        <v>281</v>
      </c>
      <c r="B68" s="45" t="s">
        <v>261</v>
      </c>
      <c r="C68" s="46" t="n">
        <v>45900</v>
      </c>
      <c r="D68" s="45" t="s">
        <v>326</v>
      </c>
      <c r="E68" s="45" t="n">
        <v>21.25</v>
      </c>
      <c r="F68" s="45" t="n">
        <v>0</v>
      </c>
      <c r="G68" s="45" t="n">
        <v>0</v>
      </c>
      <c r="H68" s="45" t="n">
        <v>0</v>
      </c>
      <c r="I68" s="45"/>
    </row>
    <row r="69" customFormat="false" ht="15" hidden="false" customHeight="false" outlineLevel="0" collapsed="false">
      <c r="A69" s="45" t="s">
        <v>281</v>
      </c>
      <c r="B69" s="45" t="s">
        <v>261</v>
      </c>
      <c r="C69" s="46" t="n">
        <v>45900</v>
      </c>
      <c r="D69" s="45" t="s">
        <v>327</v>
      </c>
      <c r="E69" s="45" t="n">
        <v>50.75</v>
      </c>
      <c r="F69" s="45" t="n">
        <v>0</v>
      </c>
      <c r="G69" s="45" t="n">
        <v>0</v>
      </c>
      <c r="H69" s="45" t="n">
        <v>0</v>
      </c>
      <c r="I69" s="45"/>
    </row>
    <row r="70" customFormat="false" ht="15" hidden="false" customHeight="false" outlineLevel="0" collapsed="false">
      <c r="A70" s="45" t="s">
        <v>284</v>
      </c>
      <c r="B70" s="45" t="s">
        <v>285</v>
      </c>
      <c r="C70" s="46" t="n">
        <v>45900</v>
      </c>
      <c r="D70" s="45" t="s">
        <v>328</v>
      </c>
      <c r="E70" s="45" t="n">
        <v>498.25</v>
      </c>
      <c r="F70" s="45" t="n">
        <v>670</v>
      </c>
      <c r="G70" s="45" t="n">
        <v>2950</v>
      </c>
      <c r="H70" s="45" t="n">
        <v>0</v>
      </c>
      <c r="I70" s="45"/>
    </row>
    <row r="71" customFormat="false" ht="15" hidden="false" customHeight="false" outlineLevel="0" collapsed="false">
      <c r="A71" s="45" t="s">
        <v>284</v>
      </c>
      <c r="B71" s="45" t="s">
        <v>285</v>
      </c>
      <c r="C71" s="46" t="n">
        <v>45900</v>
      </c>
      <c r="D71" s="45" t="s">
        <v>289</v>
      </c>
      <c r="E71" s="45" t="n">
        <v>187.75</v>
      </c>
      <c r="F71" s="45" t="n">
        <v>0</v>
      </c>
      <c r="G71" s="45" t="n">
        <v>0</v>
      </c>
      <c r="H71" s="45" t="n">
        <v>0</v>
      </c>
      <c r="I71" s="45"/>
    </row>
    <row r="72" customFormat="false" ht="15" hidden="false" customHeight="false" outlineLevel="0" collapsed="false">
      <c r="A72" s="45" t="s">
        <v>288</v>
      </c>
      <c r="B72" s="45" t="s">
        <v>285</v>
      </c>
      <c r="C72" s="46" t="n">
        <v>45900</v>
      </c>
      <c r="D72" s="45" t="s">
        <v>329</v>
      </c>
      <c r="E72" s="45" t="n">
        <v>111.75</v>
      </c>
      <c r="F72" s="45" t="n">
        <v>0</v>
      </c>
      <c r="G72" s="45" t="n">
        <v>0</v>
      </c>
      <c r="H72" s="45" t="n">
        <v>0</v>
      </c>
      <c r="I72" s="45"/>
    </row>
    <row r="73" customFormat="false" ht="15" hidden="false" customHeight="false" outlineLevel="0" collapsed="false">
      <c r="A73" s="45" t="s">
        <v>288</v>
      </c>
      <c r="B73" s="45" t="s">
        <v>285</v>
      </c>
      <c r="C73" s="46" t="n">
        <v>45900</v>
      </c>
      <c r="D73" s="45" t="s">
        <v>330</v>
      </c>
      <c r="E73" s="45" t="n">
        <v>21.25</v>
      </c>
      <c r="F73" s="45" t="n">
        <v>88</v>
      </c>
      <c r="G73" s="45" t="n">
        <v>24975</v>
      </c>
      <c r="H73" s="45" t="n">
        <v>0</v>
      </c>
      <c r="I73" s="45"/>
    </row>
    <row r="74" customFormat="false" ht="15" hidden="false" customHeight="false" outlineLevel="0" collapsed="false">
      <c r="A74" s="45" t="s">
        <v>290</v>
      </c>
      <c r="B74" s="45" t="s">
        <v>291</v>
      </c>
      <c r="C74" s="46" t="n">
        <v>45900</v>
      </c>
      <c r="D74" s="45" t="s">
        <v>331</v>
      </c>
      <c r="E74" s="45" t="n">
        <v>34</v>
      </c>
      <c r="F74" s="45" t="n">
        <v>0</v>
      </c>
      <c r="G74" s="45" t="n">
        <v>1435</v>
      </c>
      <c r="H74" s="45" t="n">
        <v>0</v>
      </c>
      <c r="I74" s="45"/>
    </row>
    <row r="75" customFormat="false" ht="15" hidden="false" customHeight="false" outlineLevel="0" collapsed="false">
      <c r="A75" s="45" t="s">
        <v>290</v>
      </c>
      <c r="B75" s="45" t="s">
        <v>291</v>
      </c>
      <c r="C75" s="46" t="n">
        <v>45900</v>
      </c>
      <c r="D75" s="45" t="s">
        <v>332</v>
      </c>
      <c r="E75" s="45" t="n">
        <v>21.5</v>
      </c>
      <c r="F75" s="45" t="n">
        <v>0</v>
      </c>
      <c r="G75" s="45" t="n">
        <v>0</v>
      </c>
      <c r="H75" s="45" t="n">
        <v>0</v>
      </c>
      <c r="I75" s="45"/>
    </row>
    <row r="76" customFormat="false" ht="15" hidden="false" customHeight="false" outlineLevel="0" collapsed="false">
      <c r="A76" s="45" t="s">
        <v>294</v>
      </c>
      <c r="B76" s="45" t="s">
        <v>291</v>
      </c>
      <c r="C76" s="46" t="n">
        <v>45900</v>
      </c>
      <c r="D76" s="45" t="s">
        <v>333</v>
      </c>
      <c r="E76" s="45" t="n">
        <v>61.75</v>
      </c>
      <c r="F76" s="45" t="n">
        <v>0</v>
      </c>
      <c r="G76" s="45" t="n">
        <v>0</v>
      </c>
      <c r="H76" s="45" t="n">
        <v>0</v>
      </c>
      <c r="I76" s="45"/>
    </row>
    <row r="77" customFormat="false" ht="15" hidden="false" customHeight="false" outlineLevel="0" collapsed="false">
      <c r="A77" s="45" t="s">
        <v>294</v>
      </c>
      <c r="B77" s="45" t="s">
        <v>291</v>
      </c>
      <c r="C77" s="46" t="n">
        <v>45900</v>
      </c>
      <c r="D77" s="45" t="s">
        <v>292</v>
      </c>
      <c r="E77" s="45" t="n">
        <v>90.25</v>
      </c>
      <c r="F77" s="45" t="n">
        <v>0</v>
      </c>
      <c r="G77" s="45" t="n">
        <v>1120</v>
      </c>
      <c r="H77" s="45" t="n">
        <v>0</v>
      </c>
      <c r="I77" s="45"/>
    </row>
    <row r="78" customFormat="false" ht="15" hidden="false" customHeight="false" outlineLevel="0" collapsed="false">
      <c r="A78" s="45" t="s">
        <v>296</v>
      </c>
      <c r="B78" s="45" t="s">
        <v>285</v>
      </c>
      <c r="C78" s="46" t="n">
        <v>45900</v>
      </c>
      <c r="D78" s="45" t="s">
        <v>334</v>
      </c>
      <c r="E78" s="45" t="n">
        <v>76.75</v>
      </c>
      <c r="F78" s="45" t="n">
        <v>168</v>
      </c>
      <c r="G78" s="45" t="n">
        <v>0</v>
      </c>
      <c r="H78" s="45" t="n">
        <v>0</v>
      </c>
      <c r="I78" s="45"/>
    </row>
    <row r="79" customFormat="false" ht="15" hidden="false" customHeight="false" outlineLevel="0" collapsed="false">
      <c r="A79" s="45" t="s">
        <v>298</v>
      </c>
      <c r="B79" s="45" t="s">
        <v>299</v>
      </c>
      <c r="C79" s="46" t="n">
        <v>45900</v>
      </c>
      <c r="D79" s="45" t="s">
        <v>255</v>
      </c>
      <c r="E79" s="45" t="n">
        <v>133.25</v>
      </c>
      <c r="F79" s="45" t="n">
        <v>53</v>
      </c>
      <c r="G79" s="45" t="n">
        <v>800</v>
      </c>
      <c r="H79" s="45" t="n">
        <v>0</v>
      </c>
      <c r="I79" s="45"/>
    </row>
    <row r="80" customFormat="false" ht="15" hidden="false" customHeight="false" outlineLevel="0" collapsed="false">
      <c r="A80" s="45" t="s">
        <v>298</v>
      </c>
      <c r="B80" s="45" t="s">
        <v>299</v>
      </c>
      <c r="C80" s="46" t="n">
        <v>45900</v>
      </c>
      <c r="D80" s="45" t="s">
        <v>335</v>
      </c>
      <c r="E80" s="45" t="n">
        <v>214.25</v>
      </c>
      <c r="F80" s="45" t="n">
        <v>0</v>
      </c>
      <c r="G80" s="45" t="n">
        <v>0</v>
      </c>
      <c r="H80" s="45" t="n">
        <v>0</v>
      </c>
      <c r="I80" s="45"/>
    </row>
    <row r="81" customFormat="false" ht="15" hidden="false" customHeight="false" outlineLevel="0" collapsed="false">
      <c r="A81" s="45" t="s">
        <v>302</v>
      </c>
      <c r="B81" s="45" t="s">
        <v>299</v>
      </c>
      <c r="C81" s="46" t="n">
        <v>45900</v>
      </c>
      <c r="D81" s="45" t="s">
        <v>336</v>
      </c>
      <c r="E81" s="45" t="n">
        <v>388.25</v>
      </c>
      <c r="F81" s="45" t="n">
        <v>0</v>
      </c>
      <c r="G81" s="45" t="n">
        <v>35940</v>
      </c>
      <c r="H81" s="45" t="n">
        <v>160085</v>
      </c>
      <c r="I81" s="45"/>
    </row>
    <row r="82" customFormat="false" ht="15" hidden="false" customHeight="false" outlineLevel="0" collapsed="false">
      <c r="A82" s="45" t="s">
        <v>302</v>
      </c>
      <c r="B82" s="45" t="s">
        <v>299</v>
      </c>
      <c r="C82" s="46" t="n">
        <v>45900</v>
      </c>
      <c r="D82" s="45" t="s">
        <v>337</v>
      </c>
      <c r="E82" s="45" t="n">
        <v>165</v>
      </c>
      <c r="F82" s="45" t="n">
        <v>0</v>
      </c>
      <c r="G82" s="45" t="n">
        <v>0</v>
      </c>
      <c r="H82" s="45" t="n">
        <v>0</v>
      </c>
      <c r="I82" s="45"/>
    </row>
    <row r="83" customFormat="false" ht="15" hidden="false" customHeight="false" outlineLevel="0" collapsed="false">
      <c r="A83" s="45" t="s">
        <v>302</v>
      </c>
      <c r="B83" s="45" t="s">
        <v>299</v>
      </c>
      <c r="C83" s="46" t="n">
        <v>45900</v>
      </c>
      <c r="D83" s="45" t="s">
        <v>338</v>
      </c>
      <c r="E83" s="45" t="n">
        <v>4264</v>
      </c>
      <c r="F83" s="45" t="n">
        <v>0</v>
      </c>
      <c r="G83" s="45" t="n">
        <v>0</v>
      </c>
      <c r="H83" s="45" t="n">
        <v>0</v>
      </c>
      <c r="I83" s="45"/>
    </row>
    <row r="84" customFormat="false" ht="15" hidden="false" customHeight="false" outlineLevel="0" collapsed="false">
      <c r="A84" s="45" t="s">
        <v>306</v>
      </c>
      <c r="B84" s="45" t="s">
        <v>299</v>
      </c>
      <c r="C84" s="46" t="n">
        <v>45900</v>
      </c>
      <c r="D84" s="45" t="s">
        <v>339</v>
      </c>
      <c r="E84" s="45" t="n">
        <v>85.75</v>
      </c>
      <c r="F84" s="45" t="n">
        <v>3</v>
      </c>
      <c r="G84" s="45" t="n">
        <v>240</v>
      </c>
      <c r="H84" s="45" t="n">
        <v>0</v>
      </c>
      <c r="I84" s="45"/>
    </row>
    <row r="85" customFormat="false" ht="15" hidden="false" customHeight="false" outlineLevel="0" collapsed="false">
      <c r="A85" s="45" t="s">
        <v>307</v>
      </c>
      <c r="B85" s="45" t="s">
        <v>167</v>
      </c>
      <c r="C85" s="46" t="n">
        <v>45900</v>
      </c>
      <c r="D85" s="45" t="s">
        <v>293</v>
      </c>
      <c r="E85" s="45" t="n">
        <v>42.75</v>
      </c>
      <c r="F85" s="45" t="n">
        <v>0</v>
      </c>
      <c r="G85" s="45" t="n">
        <v>0</v>
      </c>
      <c r="H85" s="45" t="n">
        <v>0</v>
      </c>
      <c r="I85" s="45"/>
    </row>
    <row r="86" customFormat="false" ht="15" hidden="false" customHeight="false" outlineLevel="0" collapsed="false">
      <c r="A86" s="45" t="s">
        <v>307</v>
      </c>
      <c r="B86" s="45" t="s">
        <v>167</v>
      </c>
      <c r="C86" s="46" t="n">
        <v>45900</v>
      </c>
      <c r="D86" s="45" t="s">
        <v>303</v>
      </c>
      <c r="E86" s="45" t="n">
        <v>16</v>
      </c>
      <c r="F86" s="45" t="n">
        <v>0</v>
      </c>
      <c r="G86" s="45" t="n">
        <v>0</v>
      </c>
      <c r="H86" s="45" t="n">
        <v>0</v>
      </c>
      <c r="I86" s="45"/>
    </row>
    <row r="87" customFormat="false" ht="15" hidden="false" customHeight="false" outlineLevel="0" collapsed="false">
      <c r="A87" s="45" t="s">
        <v>307</v>
      </c>
      <c r="B87" s="45" t="s">
        <v>167</v>
      </c>
      <c r="C87" s="46" t="n">
        <v>45900</v>
      </c>
      <c r="D87" s="45" t="s">
        <v>310</v>
      </c>
      <c r="E87" s="45" t="n">
        <v>158</v>
      </c>
      <c r="F87" s="45" t="n">
        <v>71</v>
      </c>
      <c r="G87" s="45" t="n">
        <v>8485</v>
      </c>
      <c r="H87" s="45" t="n">
        <v>12185</v>
      </c>
      <c r="I87" s="45"/>
    </row>
    <row r="88" customFormat="false" ht="15" hidden="false" customHeight="false" outlineLevel="0" collapsed="false">
      <c r="A88" s="45" t="s">
        <v>260</v>
      </c>
      <c r="B88" s="45" t="s">
        <v>261</v>
      </c>
      <c r="C88" s="46" t="n">
        <v>45901</v>
      </c>
      <c r="D88" s="45" t="s">
        <v>340</v>
      </c>
      <c r="E88" s="45" t="n">
        <v>4.25</v>
      </c>
      <c r="F88" s="45" t="n">
        <v>80</v>
      </c>
      <c r="G88" s="45" t="n">
        <v>115</v>
      </c>
      <c r="H88" s="45" t="n">
        <v>0</v>
      </c>
      <c r="I88" s="45"/>
    </row>
    <row r="89" customFormat="false" ht="15" hidden="false" customHeight="false" outlineLevel="0" collapsed="false">
      <c r="A89" s="45" t="s">
        <v>260</v>
      </c>
      <c r="B89" s="45" t="s">
        <v>261</v>
      </c>
      <c r="C89" s="46" t="n">
        <v>45903</v>
      </c>
      <c r="D89" s="45" t="s">
        <v>327</v>
      </c>
      <c r="E89" s="45" t="n">
        <v>3.5</v>
      </c>
      <c r="F89" s="45" t="n">
        <v>69</v>
      </c>
      <c r="G89" s="45" t="n">
        <v>60</v>
      </c>
      <c r="H89" s="45" t="n">
        <v>0</v>
      </c>
      <c r="I89" s="45"/>
    </row>
    <row r="90" customFormat="false" ht="15" hidden="false" customHeight="false" outlineLevel="0" collapsed="false">
      <c r="A90" s="45" t="s">
        <v>249</v>
      </c>
      <c r="B90" s="45" t="s">
        <v>250</v>
      </c>
      <c r="C90" s="46" t="n">
        <v>45906</v>
      </c>
      <c r="D90" s="45" t="s">
        <v>341</v>
      </c>
      <c r="E90" s="45" t="n">
        <v>8</v>
      </c>
      <c r="F90" s="45" t="n">
        <v>0</v>
      </c>
      <c r="G90" s="45" t="n">
        <v>0</v>
      </c>
      <c r="H90" s="45" t="n">
        <v>0</v>
      </c>
      <c r="I90" s="45"/>
    </row>
    <row r="91" customFormat="false" ht="15" hidden="false" customHeight="false" outlineLevel="0" collapsed="false">
      <c r="A91" s="45" t="s">
        <v>249</v>
      </c>
      <c r="B91" s="45" t="s">
        <v>250</v>
      </c>
      <c r="C91" s="46" t="n">
        <v>45906</v>
      </c>
      <c r="D91" s="45" t="s">
        <v>342</v>
      </c>
      <c r="E91" s="45" t="n">
        <v>8</v>
      </c>
      <c r="F91" s="45" t="n">
        <v>28</v>
      </c>
      <c r="G91" s="45" t="n">
        <v>450</v>
      </c>
      <c r="H91" s="45" t="n">
        <v>0</v>
      </c>
      <c r="I91" s="45"/>
    </row>
    <row r="92" customFormat="false" ht="15" hidden="false" customHeight="false" outlineLevel="0" collapsed="false">
      <c r="A92" s="45" t="s">
        <v>269</v>
      </c>
      <c r="B92" s="45" t="s">
        <v>250</v>
      </c>
      <c r="C92" s="46" t="n">
        <v>45908</v>
      </c>
      <c r="D92" s="45" t="s">
        <v>343</v>
      </c>
      <c r="E92" s="45" t="n">
        <v>2</v>
      </c>
      <c r="F92" s="45" t="n">
        <v>15</v>
      </c>
      <c r="G92" s="45" t="n">
        <v>140</v>
      </c>
      <c r="H92" s="45" t="n">
        <v>0</v>
      </c>
      <c r="I92" s="45"/>
    </row>
    <row r="93" customFormat="false" ht="15" hidden="false" customHeight="false" outlineLevel="0" collapsed="false">
      <c r="A93" s="45" t="s">
        <v>344</v>
      </c>
      <c r="B93" s="45" t="s">
        <v>285</v>
      </c>
      <c r="C93" s="46" t="n">
        <v>45913</v>
      </c>
      <c r="D93" s="45" t="s">
        <v>345</v>
      </c>
      <c r="E93" s="45" t="n">
        <v>2</v>
      </c>
      <c r="F93" s="45" t="n">
        <v>15</v>
      </c>
      <c r="G93" s="45" t="n">
        <v>55</v>
      </c>
      <c r="H93" s="45" t="n">
        <v>0</v>
      </c>
      <c r="I93" s="45"/>
    </row>
    <row r="94" customFormat="false" ht="15" hidden="false" customHeight="false" outlineLevel="0" collapsed="false">
      <c r="A94" s="45" t="s">
        <v>344</v>
      </c>
      <c r="B94" s="45" t="s">
        <v>285</v>
      </c>
      <c r="C94" s="46" t="n">
        <v>45913</v>
      </c>
      <c r="D94" s="45" t="s">
        <v>342</v>
      </c>
      <c r="E94" s="45" t="n">
        <v>2</v>
      </c>
      <c r="F94" s="45" t="n">
        <v>0</v>
      </c>
      <c r="G94" s="45" t="n">
        <v>0</v>
      </c>
      <c r="H94" s="45" t="n">
        <v>0</v>
      </c>
      <c r="I94" s="45"/>
    </row>
    <row r="95" customFormat="false" ht="15" hidden="false" customHeight="false" outlineLevel="0" collapsed="false">
      <c r="A95" s="45" t="s">
        <v>344</v>
      </c>
      <c r="B95" s="45" t="s">
        <v>285</v>
      </c>
      <c r="C95" s="46" t="n">
        <v>45915</v>
      </c>
      <c r="D95" s="45" t="s">
        <v>346</v>
      </c>
      <c r="E95" s="45" t="n">
        <v>2.25</v>
      </c>
      <c r="F95" s="45" t="n">
        <v>16</v>
      </c>
      <c r="G95" s="45" t="n">
        <v>30</v>
      </c>
      <c r="H95" s="45" t="n">
        <v>0</v>
      </c>
      <c r="I95" s="45"/>
    </row>
    <row r="96" customFormat="false" ht="15" hidden="false" customHeight="false" outlineLevel="0" collapsed="false">
      <c r="A96" s="45" t="s">
        <v>344</v>
      </c>
      <c r="B96" s="45" t="s">
        <v>285</v>
      </c>
      <c r="C96" s="46" t="n">
        <v>45915</v>
      </c>
      <c r="D96" s="45" t="s">
        <v>347</v>
      </c>
      <c r="E96" s="45" t="n">
        <v>2</v>
      </c>
      <c r="F96" s="45" t="n">
        <v>0</v>
      </c>
      <c r="G96" s="45" t="n">
        <v>0</v>
      </c>
      <c r="H96" s="45" t="n">
        <v>0</v>
      </c>
      <c r="I96" s="45"/>
    </row>
    <row r="97" customFormat="false" ht="15" hidden="false" customHeight="false" outlineLevel="0" collapsed="false">
      <c r="A97" s="45" t="s">
        <v>344</v>
      </c>
      <c r="B97" s="45" t="s">
        <v>285</v>
      </c>
      <c r="C97" s="46" t="n">
        <v>45916</v>
      </c>
      <c r="D97" s="45" t="s">
        <v>348</v>
      </c>
      <c r="E97" s="45" t="n">
        <v>2</v>
      </c>
      <c r="F97" s="45" t="n">
        <v>14</v>
      </c>
      <c r="G97" s="45" t="n">
        <v>35</v>
      </c>
      <c r="H97" s="45" t="n">
        <v>0</v>
      </c>
      <c r="I97" s="45"/>
    </row>
    <row r="98" customFormat="false" ht="15" hidden="false" customHeight="false" outlineLevel="0" collapsed="false">
      <c r="A98" s="45" t="s">
        <v>344</v>
      </c>
      <c r="B98" s="45" t="s">
        <v>285</v>
      </c>
      <c r="C98" s="46" t="n">
        <v>45916</v>
      </c>
      <c r="D98" s="45" t="s">
        <v>349</v>
      </c>
      <c r="E98" s="45" t="n">
        <v>2</v>
      </c>
      <c r="F98" s="45" t="n">
        <v>0</v>
      </c>
      <c r="G98" s="45" t="n">
        <v>0</v>
      </c>
      <c r="H98" s="45" t="n">
        <v>0</v>
      </c>
      <c r="I98" s="45"/>
    </row>
    <row r="99" customFormat="false" ht="15" hidden="false" customHeight="false" outlineLevel="0" collapsed="false">
      <c r="A99" s="45" t="s">
        <v>257</v>
      </c>
      <c r="B99" s="45" t="s">
        <v>250</v>
      </c>
      <c r="C99" s="46" t="n">
        <v>45917</v>
      </c>
      <c r="D99" s="45" t="s">
        <v>276</v>
      </c>
      <c r="E99" s="45" t="n">
        <v>3</v>
      </c>
      <c r="F99" s="45" t="n">
        <v>12</v>
      </c>
      <c r="G99" s="45" t="n">
        <v>135</v>
      </c>
      <c r="H99" s="45" t="n">
        <v>0</v>
      </c>
      <c r="I99" s="45"/>
    </row>
    <row r="100" customFormat="false" ht="15" hidden="false" customHeight="false" outlineLevel="0" collapsed="false">
      <c r="A100" s="45" t="s">
        <v>257</v>
      </c>
      <c r="B100" s="45" t="s">
        <v>250</v>
      </c>
      <c r="C100" s="46" t="n">
        <v>45917</v>
      </c>
      <c r="D100" s="45" t="s">
        <v>268</v>
      </c>
      <c r="E100" s="45" t="n">
        <v>2</v>
      </c>
      <c r="F100" s="45" t="n">
        <v>0</v>
      </c>
      <c r="G100" s="45" t="n">
        <v>0</v>
      </c>
      <c r="H100" s="45" t="n">
        <v>0</v>
      </c>
      <c r="I100" s="45"/>
    </row>
    <row r="101" customFormat="false" ht="15" hidden="false" customHeight="false" outlineLevel="0" collapsed="false">
      <c r="A101" s="45" t="s">
        <v>350</v>
      </c>
      <c r="B101" s="45" t="s">
        <v>319</v>
      </c>
      <c r="C101" s="46" t="n">
        <v>45918</v>
      </c>
      <c r="D101" s="45" t="s">
        <v>351</v>
      </c>
      <c r="E101" s="45" t="n">
        <v>0</v>
      </c>
      <c r="F101" s="45" t="n">
        <v>0</v>
      </c>
      <c r="G101" s="45" t="n">
        <v>67360</v>
      </c>
      <c r="H101" s="45" t="n">
        <v>0</v>
      </c>
      <c r="I101" s="45"/>
    </row>
    <row r="102" customFormat="false" ht="15" hidden="false" customHeight="false" outlineLevel="0" collapsed="false">
      <c r="A102" s="45" t="s">
        <v>352</v>
      </c>
      <c r="B102" s="45" t="s">
        <v>319</v>
      </c>
      <c r="C102" s="46" t="n">
        <v>45927</v>
      </c>
      <c r="D102" s="45" t="s">
        <v>353</v>
      </c>
      <c r="E102" s="45" t="n">
        <v>0</v>
      </c>
      <c r="F102" s="45" t="n">
        <v>0</v>
      </c>
      <c r="G102" s="45" t="n">
        <v>113185</v>
      </c>
      <c r="H102" s="45" t="n">
        <v>0</v>
      </c>
      <c r="I102" s="45"/>
    </row>
    <row r="103" customFormat="false" ht="15" hidden="false" customHeight="false" outlineLevel="0" collapsed="false">
      <c r="A103" s="45" t="s">
        <v>354</v>
      </c>
      <c r="B103" s="45" t="s">
        <v>355</v>
      </c>
      <c r="C103" s="46" t="n">
        <v>45929</v>
      </c>
      <c r="D103" s="45" t="s">
        <v>356</v>
      </c>
      <c r="E103" s="45" t="n">
        <v>7.75</v>
      </c>
      <c r="F103" s="45" t="n">
        <v>112</v>
      </c>
      <c r="G103" s="45" t="n">
        <v>1765</v>
      </c>
      <c r="H103" s="45" t="n">
        <v>0</v>
      </c>
      <c r="I103" s="45"/>
    </row>
    <row r="104" customFormat="false" ht="15" hidden="false" customHeight="false" outlineLevel="0" collapsed="false">
      <c r="A104" s="45" t="s">
        <v>354</v>
      </c>
      <c r="B104" s="45" t="s">
        <v>355</v>
      </c>
      <c r="C104" s="46" t="n">
        <v>45929</v>
      </c>
      <c r="D104" s="45" t="s">
        <v>256</v>
      </c>
      <c r="E104" s="45" t="n">
        <v>4.25</v>
      </c>
      <c r="F104" s="45" t="n">
        <v>0</v>
      </c>
      <c r="G104" s="45" t="n">
        <v>0</v>
      </c>
      <c r="H104" s="45" t="n">
        <v>0</v>
      </c>
      <c r="I104" s="45"/>
    </row>
    <row r="105" customFormat="false" ht="15" hidden="false" customHeight="false" outlineLevel="0" collapsed="false">
      <c r="A105" s="45" t="s">
        <v>354</v>
      </c>
      <c r="B105" s="45" t="s">
        <v>355</v>
      </c>
      <c r="C105" s="46" t="n">
        <v>45929</v>
      </c>
      <c r="D105" s="45" t="s">
        <v>357</v>
      </c>
      <c r="E105" s="45" t="n">
        <v>7</v>
      </c>
      <c r="F105" s="45" t="n">
        <v>0</v>
      </c>
      <c r="G105" s="45" t="n">
        <v>0</v>
      </c>
      <c r="H105" s="45" t="n">
        <v>0</v>
      </c>
      <c r="I105" s="45"/>
    </row>
    <row r="106" customFormat="false" ht="15" hidden="false" customHeight="false" outlineLevel="0" collapsed="false">
      <c r="A106" s="45" t="s">
        <v>277</v>
      </c>
      <c r="B106" s="45" t="s">
        <v>261</v>
      </c>
      <c r="C106" s="46" t="n">
        <v>45930</v>
      </c>
      <c r="D106" s="45" t="s">
        <v>286</v>
      </c>
      <c r="E106" s="45" t="n">
        <v>102.25</v>
      </c>
      <c r="F106" s="45" t="n">
        <v>0</v>
      </c>
      <c r="G106" s="45" t="n">
        <v>0</v>
      </c>
      <c r="H106" s="45" t="n">
        <v>0</v>
      </c>
      <c r="I106" s="45"/>
    </row>
    <row r="107" customFormat="false" ht="15" hidden="false" customHeight="false" outlineLevel="0" collapsed="false">
      <c r="A107" s="45" t="s">
        <v>277</v>
      </c>
      <c r="B107" s="45" t="s">
        <v>261</v>
      </c>
      <c r="C107" s="46" t="n">
        <v>45930</v>
      </c>
      <c r="D107" s="45" t="s">
        <v>279</v>
      </c>
      <c r="E107" s="45" t="n">
        <v>110</v>
      </c>
      <c r="F107" s="45" t="n">
        <v>0</v>
      </c>
      <c r="G107" s="45" t="n">
        <v>0</v>
      </c>
      <c r="H107" s="45" t="n">
        <v>0</v>
      </c>
      <c r="I107" s="45"/>
    </row>
    <row r="108" customFormat="false" ht="15" hidden="false" customHeight="false" outlineLevel="0" collapsed="false">
      <c r="A108" s="45" t="s">
        <v>277</v>
      </c>
      <c r="B108" s="45" t="s">
        <v>261</v>
      </c>
      <c r="C108" s="46" t="n">
        <v>45930</v>
      </c>
      <c r="D108" s="45" t="s">
        <v>357</v>
      </c>
      <c r="E108" s="45" t="n">
        <v>147.5</v>
      </c>
      <c r="F108" s="45" t="n">
        <v>357</v>
      </c>
      <c r="G108" s="45" t="n">
        <v>7940</v>
      </c>
      <c r="H108" s="45" t="n">
        <v>0</v>
      </c>
      <c r="I108" s="45"/>
    </row>
    <row r="109" customFormat="false" ht="15" hidden="false" customHeight="false" outlineLevel="0" collapsed="false">
      <c r="A109" s="45" t="s">
        <v>344</v>
      </c>
      <c r="B109" s="45" t="s">
        <v>285</v>
      </c>
      <c r="C109" s="46" t="n">
        <v>45930</v>
      </c>
      <c r="D109" s="45" t="s">
        <v>345</v>
      </c>
      <c r="E109" s="45" t="n">
        <v>2.25</v>
      </c>
      <c r="F109" s="45" t="n">
        <v>15</v>
      </c>
      <c r="G109" s="45" t="n">
        <v>30</v>
      </c>
      <c r="H109" s="45" t="n">
        <v>0</v>
      </c>
      <c r="I109" s="45"/>
    </row>
    <row r="110" customFormat="false" ht="15" hidden="false" customHeight="false" outlineLevel="0" collapsed="false">
      <c r="A110" s="45" t="s">
        <v>344</v>
      </c>
      <c r="B110" s="45" t="s">
        <v>285</v>
      </c>
      <c r="C110" s="46" t="n">
        <v>45930</v>
      </c>
      <c r="D110" s="45" t="s">
        <v>358</v>
      </c>
      <c r="E110" s="45" t="n">
        <v>1.5</v>
      </c>
      <c r="F110" s="45" t="n">
        <v>0</v>
      </c>
      <c r="G110" s="45" t="n">
        <v>0</v>
      </c>
      <c r="H110" s="45" t="n">
        <v>0</v>
      </c>
      <c r="I110" s="45"/>
    </row>
    <row r="111" customFormat="false" ht="15" hidden="false" customHeight="false" outlineLevel="0" collapsed="false">
      <c r="A111" s="45" t="s">
        <v>269</v>
      </c>
      <c r="B111" s="45" t="s">
        <v>250</v>
      </c>
      <c r="C111" s="46" t="n">
        <v>45930</v>
      </c>
      <c r="D111" s="45" t="s">
        <v>359</v>
      </c>
      <c r="E111" s="45" t="n">
        <v>2</v>
      </c>
      <c r="F111" s="45" t="n">
        <v>10</v>
      </c>
      <c r="G111" s="45" t="n">
        <v>255</v>
      </c>
      <c r="H111" s="45" t="n">
        <v>0</v>
      </c>
      <c r="I111" s="45"/>
    </row>
    <row r="112" customFormat="false" ht="15" hidden="false" customHeight="false" outlineLevel="0" collapsed="false">
      <c r="A112" s="45" t="s">
        <v>281</v>
      </c>
      <c r="B112" s="45" t="s">
        <v>261</v>
      </c>
      <c r="C112" s="46" t="n">
        <v>45930</v>
      </c>
      <c r="D112" s="45" t="s">
        <v>282</v>
      </c>
      <c r="E112" s="45" t="n">
        <v>42</v>
      </c>
      <c r="F112" s="45" t="n">
        <v>234</v>
      </c>
      <c r="G112" s="45" t="n">
        <v>5625</v>
      </c>
      <c r="H112" s="45" t="n">
        <v>0</v>
      </c>
      <c r="I112" s="45"/>
    </row>
    <row r="113" customFormat="false" ht="15" hidden="false" customHeight="false" outlineLevel="0" collapsed="false">
      <c r="A113" s="45" t="s">
        <v>281</v>
      </c>
      <c r="B113" s="45" t="s">
        <v>261</v>
      </c>
      <c r="C113" s="46" t="n">
        <v>45930</v>
      </c>
      <c r="D113" s="45" t="s">
        <v>273</v>
      </c>
      <c r="E113" s="45" t="n">
        <v>13.25</v>
      </c>
      <c r="F113" s="45" t="n">
        <v>0</v>
      </c>
      <c r="G113" s="45" t="n">
        <v>0</v>
      </c>
      <c r="H113" s="45" t="n">
        <v>0</v>
      </c>
      <c r="I113" s="45"/>
    </row>
    <row r="114" customFormat="false" ht="15" hidden="false" customHeight="false" outlineLevel="0" collapsed="false">
      <c r="A114" s="45" t="s">
        <v>281</v>
      </c>
      <c r="B114" s="45" t="s">
        <v>261</v>
      </c>
      <c r="C114" s="46" t="n">
        <v>45930</v>
      </c>
      <c r="D114" s="45" t="s">
        <v>262</v>
      </c>
      <c r="E114" s="45" t="n">
        <v>41.75</v>
      </c>
      <c r="F114" s="45" t="n">
        <v>0</v>
      </c>
      <c r="G114" s="45" t="n">
        <v>0</v>
      </c>
      <c r="H114" s="45" t="n">
        <v>0</v>
      </c>
      <c r="I114" s="45"/>
    </row>
    <row r="115" customFormat="false" ht="15" hidden="false" customHeight="false" outlineLevel="0" collapsed="false">
      <c r="A115" s="45" t="s">
        <v>284</v>
      </c>
      <c r="B115" s="45" t="s">
        <v>285</v>
      </c>
      <c r="C115" s="46" t="n">
        <v>45930</v>
      </c>
      <c r="D115" s="45" t="s">
        <v>360</v>
      </c>
      <c r="E115" s="45" t="n">
        <v>499.5</v>
      </c>
      <c r="F115" s="45" t="n">
        <v>481</v>
      </c>
      <c r="G115" s="45" t="n">
        <v>2070</v>
      </c>
      <c r="H115" s="45" t="n">
        <v>0</v>
      </c>
      <c r="I115" s="45"/>
    </row>
    <row r="116" customFormat="false" ht="15" hidden="false" customHeight="false" outlineLevel="0" collapsed="false">
      <c r="A116" s="45" t="s">
        <v>284</v>
      </c>
      <c r="B116" s="45" t="s">
        <v>285</v>
      </c>
      <c r="C116" s="46" t="n">
        <v>45930</v>
      </c>
      <c r="D116" s="45" t="s">
        <v>329</v>
      </c>
      <c r="E116" s="45" t="n">
        <v>205.25</v>
      </c>
      <c r="F116" s="45" t="n">
        <v>0</v>
      </c>
      <c r="G116" s="45" t="n">
        <v>0</v>
      </c>
      <c r="H116" s="45" t="n">
        <v>0</v>
      </c>
      <c r="I116" s="45"/>
    </row>
    <row r="117" customFormat="false" ht="15" hidden="false" customHeight="false" outlineLevel="0" collapsed="false">
      <c r="A117" s="45" t="s">
        <v>288</v>
      </c>
      <c r="B117" s="45" t="s">
        <v>285</v>
      </c>
      <c r="C117" s="46" t="n">
        <v>45930</v>
      </c>
      <c r="D117" s="45" t="s">
        <v>329</v>
      </c>
      <c r="E117" s="45" t="n">
        <v>111.75</v>
      </c>
      <c r="F117" s="45" t="n">
        <v>0</v>
      </c>
      <c r="G117" s="45" t="n">
        <v>0</v>
      </c>
      <c r="H117" s="45" t="n">
        <v>0</v>
      </c>
      <c r="I117" s="45"/>
    </row>
    <row r="118" customFormat="false" ht="15" hidden="false" customHeight="false" outlineLevel="0" collapsed="false">
      <c r="A118" s="45" t="s">
        <v>288</v>
      </c>
      <c r="B118" s="45" t="s">
        <v>285</v>
      </c>
      <c r="C118" s="46" t="n">
        <v>45930</v>
      </c>
      <c r="D118" s="45" t="s">
        <v>339</v>
      </c>
      <c r="E118" s="45" t="n">
        <v>20.5</v>
      </c>
      <c r="F118" s="45" t="n">
        <v>165</v>
      </c>
      <c r="G118" s="45" t="n">
        <v>24395</v>
      </c>
      <c r="H118" s="45" t="n">
        <v>0</v>
      </c>
      <c r="I118" s="45"/>
    </row>
    <row r="119" customFormat="false" ht="15" hidden="false" customHeight="false" outlineLevel="0" collapsed="false">
      <c r="A119" s="45" t="s">
        <v>290</v>
      </c>
      <c r="B119" s="45" t="s">
        <v>291</v>
      </c>
      <c r="C119" s="46" t="n">
        <v>45930</v>
      </c>
      <c r="D119" s="45" t="s">
        <v>361</v>
      </c>
      <c r="E119" s="45" t="n">
        <v>43.5</v>
      </c>
      <c r="F119" s="45" t="n">
        <v>0</v>
      </c>
      <c r="G119" s="45" t="n">
        <v>3470</v>
      </c>
      <c r="H119" s="45" t="n">
        <v>0</v>
      </c>
      <c r="I119" s="45"/>
    </row>
    <row r="120" customFormat="false" ht="15" hidden="false" customHeight="false" outlineLevel="0" collapsed="false">
      <c r="A120" s="45" t="s">
        <v>290</v>
      </c>
      <c r="B120" s="45" t="s">
        <v>291</v>
      </c>
      <c r="C120" s="46" t="n">
        <v>45930</v>
      </c>
      <c r="D120" s="45" t="s">
        <v>362</v>
      </c>
      <c r="E120" s="45" t="n">
        <v>32.75</v>
      </c>
      <c r="F120" s="45" t="n">
        <v>0</v>
      </c>
      <c r="G120" s="45" t="n">
        <v>0</v>
      </c>
      <c r="H120" s="45" t="n">
        <v>0</v>
      </c>
      <c r="I120" s="45"/>
    </row>
    <row r="121" customFormat="false" ht="15" hidden="false" customHeight="false" outlineLevel="0" collapsed="false">
      <c r="A121" s="45" t="s">
        <v>294</v>
      </c>
      <c r="B121" s="45" t="s">
        <v>291</v>
      </c>
      <c r="C121" s="46" t="n">
        <v>45930</v>
      </c>
      <c r="D121" s="45" t="s">
        <v>295</v>
      </c>
      <c r="E121" s="45" t="n">
        <v>67.5</v>
      </c>
      <c r="F121" s="45" t="n">
        <v>0</v>
      </c>
      <c r="G121" s="45" t="n">
        <v>0</v>
      </c>
      <c r="H121" s="45" t="n">
        <v>0</v>
      </c>
      <c r="I121" s="45"/>
    </row>
    <row r="122" customFormat="false" ht="15" hidden="false" customHeight="false" outlineLevel="0" collapsed="false">
      <c r="A122" s="45" t="s">
        <v>294</v>
      </c>
      <c r="B122" s="45" t="s">
        <v>291</v>
      </c>
      <c r="C122" s="46" t="n">
        <v>45930</v>
      </c>
      <c r="D122" s="45" t="s">
        <v>363</v>
      </c>
      <c r="E122" s="45" t="n">
        <v>86.5</v>
      </c>
      <c r="F122" s="45" t="n">
        <v>0</v>
      </c>
      <c r="G122" s="45" t="n">
        <v>810</v>
      </c>
      <c r="H122" s="45" t="n">
        <v>0</v>
      </c>
      <c r="I122" s="45"/>
    </row>
    <row r="123" customFormat="false" ht="15" hidden="false" customHeight="false" outlineLevel="0" collapsed="false">
      <c r="A123" s="45" t="s">
        <v>296</v>
      </c>
      <c r="B123" s="45" t="s">
        <v>285</v>
      </c>
      <c r="C123" s="46" t="n">
        <v>45930</v>
      </c>
      <c r="D123" s="45" t="s">
        <v>334</v>
      </c>
      <c r="E123" s="45" t="n">
        <v>64</v>
      </c>
      <c r="F123" s="45" t="n">
        <v>164</v>
      </c>
      <c r="G123" s="45" t="n">
        <v>0</v>
      </c>
      <c r="H123" s="45" t="n">
        <v>0</v>
      </c>
      <c r="I123" s="45"/>
    </row>
    <row r="124" customFormat="false" ht="15" hidden="false" customHeight="false" outlineLevel="0" collapsed="false">
      <c r="A124" s="45" t="s">
        <v>298</v>
      </c>
      <c r="B124" s="45" t="s">
        <v>299</v>
      </c>
      <c r="C124" s="46" t="n">
        <v>45930</v>
      </c>
      <c r="D124" s="45" t="s">
        <v>364</v>
      </c>
      <c r="E124" s="45" t="n">
        <v>116.75</v>
      </c>
      <c r="F124" s="45" t="n">
        <v>36</v>
      </c>
      <c r="G124" s="45" t="n">
        <v>765</v>
      </c>
      <c r="H124" s="45" t="n">
        <v>0</v>
      </c>
      <c r="I124" s="45"/>
    </row>
    <row r="125" customFormat="false" ht="15" hidden="false" customHeight="false" outlineLevel="0" collapsed="false">
      <c r="A125" s="45" t="s">
        <v>298</v>
      </c>
      <c r="B125" s="45" t="s">
        <v>299</v>
      </c>
      <c r="C125" s="46" t="n">
        <v>45930</v>
      </c>
      <c r="D125" s="45" t="s">
        <v>340</v>
      </c>
      <c r="E125" s="45" t="n">
        <v>282</v>
      </c>
      <c r="F125" s="45" t="n">
        <v>0</v>
      </c>
      <c r="G125" s="45" t="n">
        <v>0</v>
      </c>
      <c r="H125" s="45" t="n">
        <v>0</v>
      </c>
      <c r="I125" s="45"/>
    </row>
    <row r="126" customFormat="false" ht="15" hidden="false" customHeight="false" outlineLevel="0" collapsed="false">
      <c r="A126" s="45" t="s">
        <v>302</v>
      </c>
      <c r="B126" s="45" t="s">
        <v>299</v>
      </c>
      <c r="C126" s="46" t="n">
        <v>45930</v>
      </c>
      <c r="D126" s="45" t="s">
        <v>365</v>
      </c>
      <c r="E126" s="45" t="n">
        <v>410.25</v>
      </c>
      <c r="F126" s="45" t="n">
        <v>0</v>
      </c>
      <c r="G126" s="45" t="n">
        <v>33305</v>
      </c>
      <c r="H126" s="45" t="n">
        <v>169490</v>
      </c>
      <c r="I126" s="45"/>
    </row>
    <row r="127" customFormat="false" ht="15" hidden="false" customHeight="false" outlineLevel="0" collapsed="false">
      <c r="A127" s="45" t="s">
        <v>302</v>
      </c>
      <c r="B127" s="45" t="s">
        <v>299</v>
      </c>
      <c r="C127" s="46" t="n">
        <v>45930</v>
      </c>
      <c r="D127" s="45" t="s">
        <v>337</v>
      </c>
      <c r="E127" s="45" t="n">
        <v>167</v>
      </c>
      <c r="F127" s="45" t="n">
        <v>0</v>
      </c>
      <c r="G127" s="45" t="n">
        <v>0</v>
      </c>
      <c r="H127" s="45" t="n">
        <v>0</v>
      </c>
      <c r="I127" s="45"/>
    </row>
    <row r="128" customFormat="false" ht="15" hidden="false" customHeight="false" outlineLevel="0" collapsed="false">
      <c r="A128" s="45" t="s">
        <v>302</v>
      </c>
      <c r="B128" s="45" t="s">
        <v>299</v>
      </c>
      <c r="C128" s="46" t="n">
        <v>45930</v>
      </c>
      <c r="D128" s="45" t="s">
        <v>305</v>
      </c>
      <c r="E128" s="45" t="n">
        <v>3939.5</v>
      </c>
      <c r="F128" s="45" t="n">
        <v>0</v>
      </c>
      <c r="G128" s="45" t="n">
        <v>0</v>
      </c>
      <c r="H128" s="45" t="n">
        <v>0</v>
      </c>
      <c r="I128" s="45"/>
    </row>
    <row r="129" customFormat="false" ht="15" hidden="false" customHeight="false" outlineLevel="0" collapsed="false">
      <c r="A129" s="45" t="s">
        <v>306</v>
      </c>
      <c r="B129" s="45" t="s">
        <v>299</v>
      </c>
      <c r="C129" s="46" t="n">
        <v>45930</v>
      </c>
      <c r="D129" s="45" t="s">
        <v>366</v>
      </c>
      <c r="E129" s="45" t="n">
        <v>85.5</v>
      </c>
      <c r="F129" s="45" t="n">
        <v>6</v>
      </c>
      <c r="G129" s="45" t="n">
        <v>140</v>
      </c>
      <c r="H129" s="45" t="n">
        <v>0</v>
      </c>
      <c r="I129" s="45"/>
    </row>
    <row r="130" customFormat="false" ht="15" hidden="false" customHeight="false" outlineLevel="0" collapsed="false">
      <c r="A130" s="45" t="s">
        <v>307</v>
      </c>
      <c r="B130" s="45" t="s">
        <v>167</v>
      </c>
      <c r="C130" s="46" t="n">
        <v>45930</v>
      </c>
      <c r="D130" s="45" t="s">
        <v>308</v>
      </c>
      <c r="E130" s="45" t="n">
        <v>43</v>
      </c>
      <c r="F130" s="45" t="n">
        <v>0</v>
      </c>
      <c r="G130" s="45" t="n">
        <v>0</v>
      </c>
      <c r="H130" s="45" t="n">
        <v>0</v>
      </c>
      <c r="I130" s="45"/>
    </row>
    <row r="131" customFormat="false" ht="15" hidden="false" customHeight="false" outlineLevel="0" collapsed="false">
      <c r="A131" s="45" t="s">
        <v>307</v>
      </c>
      <c r="B131" s="45" t="s">
        <v>167</v>
      </c>
      <c r="C131" s="46" t="n">
        <v>45930</v>
      </c>
      <c r="D131" s="45" t="s">
        <v>303</v>
      </c>
      <c r="E131" s="45" t="n">
        <v>24.5</v>
      </c>
      <c r="F131" s="45" t="n">
        <v>0</v>
      </c>
      <c r="G131" s="45" t="n">
        <v>0</v>
      </c>
      <c r="H131" s="45" t="n">
        <v>0</v>
      </c>
      <c r="I131" s="45"/>
    </row>
    <row r="132" customFormat="false" ht="15" hidden="false" customHeight="false" outlineLevel="0" collapsed="false">
      <c r="A132" s="45" t="s">
        <v>307</v>
      </c>
      <c r="B132" s="45" t="s">
        <v>167</v>
      </c>
      <c r="C132" s="46" t="n">
        <v>45930</v>
      </c>
      <c r="D132" s="45" t="s">
        <v>367</v>
      </c>
      <c r="E132" s="45" t="n">
        <v>168.5</v>
      </c>
      <c r="F132" s="45" t="n">
        <v>56</v>
      </c>
      <c r="G132" s="45" t="n">
        <v>7820</v>
      </c>
      <c r="H132" s="45" t="n">
        <v>12230</v>
      </c>
      <c r="I132" s="45"/>
    </row>
    <row r="133" customFormat="false" ht="15" hidden="false" customHeight="false" outlineLevel="0" collapsed="false">
      <c r="A133" s="45" t="s">
        <v>260</v>
      </c>
      <c r="B133" s="45" t="s">
        <v>261</v>
      </c>
      <c r="C133" s="46" t="n">
        <v>45934</v>
      </c>
      <c r="D133" s="45" t="s">
        <v>301</v>
      </c>
      <c r="E133" s="45" t="n">
        <v>4.5</v>
      </c>
      <c r="F133" s="45" t="n">
        <v>50</v>
      </c>
      <c r="G133" s="45" t="n">
        <v>45</v>
      </c>
      <c r="H133" s="45" t="n">
        <v>0</v>
      </c>
      <c r="I133" s="45"/>
    </row>
    <row r="134" customFormat="false" ht="15" hidden="false" customHeight="false" outlineLevel="0" collapsed="false">
      <c r="A134" s="45" t="s">
        <v>344</v>
      </c>
      <c r="B134" s="45" t="s">
        <v>285</v>
      </c>
      <c r="C134" s="46" t="n">
        <v>45936</v>
      </c>
      <c r="D134" s="45" t="s">
        <v>346</v>
      </c>
      <c r="E134" s="45" t="n">
        <v>2.25</v>
      </c>
      <c r="F134" s="45" t="n">
        <v>11</v>
      </c>
      <c r="G134" s="45" t="n">
        <v>20</v>
      </c>
      <c r="H134" s="45" t="n">
        <v>0</v>
      </c>
      <c r="I134" s="45"/>
    </row>
    <row r="135" customFormat="false" ht="15" hidden="false" customHeight="false" outlineLevel="0" collapsed="false">
      <c r="A135" s="45" t="s">
        <v>344</v>
      </c>
      <c r="B135" s="45" t="s">
        <v>285</v>
      </c>
      <c r="C135" s="46" t="n">
        <v>45936</v>
      </c>
      <c r="D135" s="45" t="s">
        <v>368</v>
      </c>
      <c r="E135" s="45" t="n">
        <v>1.75</v>
      </c>
      <c r="F135" s="45" t="n">
        <v>0</v>
      </c>
      <c r="G135" s="45" t="n">
        <v>0</v>
      </c>
      <c r="H135" s="45" t="n">
        <v>0</v>
      </c>
      <c r="I135" s="45"/>
    </row>
    <row r="136" customFormat="false" ht="15" hidden="false" customHeight="false" outlineLevel="0" collapsed="false">
      <c r="A136" s="45" t="s">
        <v>269</v>
      </c>
      <c r="B136" s="45" t="s">
        <v>250</v>
      </c>
      <c r="C136" s="46" t="n">
        <v>45936</v>
      </c>
      <c r="D136" s="45" t="s">
        <v>369</v>
      </c>
      <c r="E136" s="45" t="n">
        <v>2</v>
      </c>
      <c r="F136" s="45" t="n">
        <v>14</v>
      </c>
      <c r="G136" s="45" t="n">
        <v>120</v>
      </c>
      <c r="H136" s="45" t="n">
        <v>0</v>
      </c>
      <c r="I136" s="45"/>
    </row>
    <row r="137" customFormat="false" ht="15" hidden="false" customHeight="false" outlineLevel="0" collapsed="false">
      <c r="A137" s="45" t="s">
        <v>354</v>
      </c>
      <c r="B137" s="45" t="s">
        <v>355</v>
      </c>
      <c r="C137" s="46" t="n">
        <v>45937</v>
      </c>
      <c r="D137" s="45" t="s">
        <v>370</v>
      </c>
      <c r="E137" s="45" t="n">
        <v>6</v>
      </c>
      <c r="F137" s="45" t="n">
        <v>108</v>
      </c>
      <c r="G137" s="45" t="n">
        <v>1820</v>
      </c>
      <c r="H137" s="45" t="n">
        <v>0</v>
      </c>
      <c r="I137" s="45"/>
    </row>
    <row r="138" customFormat="false" ht="15" hidden="false" customHeight="false" outlineLevel="0" collapsed="false">
      <c r="A138" s="45" t="s">
        <v>354</v>
      </c>
      <c r="B138" s="45" t="s">
        <v>355</v>
      </c>
      <c r="C138" s="46" t="n">
        <v>45937</v>
      </c>
      <c r="D138" s="45" t="s">
        <v>317</v>
      </c>
      <c r="E138" s="45" t="n">
        <v>5.25</v>
      </c>
      <c r="F138" s="45" t="n">
        <v>0</v>
      </c>
      <c r="G138" s="45" t="n">
        <v>0</v>
      </c>
      <c r="H138" s="45" t="n">
        <v>0</v>
      </c>
      <c r="I138" s="45"/>
    </row>
    <row r="139" customFormat="false" ht="15" hidden="false" customHeight="false" outlineLevel="0" collapsed="false">
      <c r="A139" s="45" t="s">
        <v>354</v>
      </c>
      <c r="B139" s="45" t="s">
        <v>355</v>
      </c>
      <c r="C139" s="46" t="n">
        <v>45937</v>
      </c>
      <c r="D139" s="45" t="s">
        <v>357</v>
      </c>
      <c r="E139" s="45" t="n">
        <v>6</v>
      </c>
      <c r="F139" s="45" t="n">
        <v>0</v>
      </c>
      <c r="G139" s="45" t="n">
        <v>0</v>
      </c>
      <c r="H139" s="45" t="n">
        <v>0</v>
      </c>
      <c r="I139" s="45"/>
    </row>
    <row r="140" customFormat="false" ht="15" hidden="false" customHeight="false" outlineLevel="0" collapsed="false">
      <c r="A140" s="45" t="s">
        <v>257</v>
      </c>
      <c r="B140" s="45" t="s">
        <v>250</v>
      </c>
      <c r="C140" s="46" t="n">
        <v>45941</v>
      </c>
      <c r="D140" s="45" t="s">
        <v>371</v>
      </c>
      <c r="E140" s="45" t="n">
        <v>2.75</v>
      </c>
      <c r="F140" s="45" t="n">
        <v>21</v>
      </c>
      <c r="G140" s="45" t="n">
        <v>60</v>
      </c>
      <c r="H140" s="45" t="n">
        <v>0</v>
      </c>
      <c r="I140" s="45"/>
    </row>
    <row r="141" customFormat="false" ht="15" hidden="false" customHeight="false" outlineLevel="0" collapsed="false">
      <c r="A141" s="45" t="s">
        <v>257</v>
      </c>
      <c r="B141" s="45" t="s">
        <v>250</v>
      </c>
      <c r="C141" s="46" t="n">
        <v>45941</v>
      </c>
      <c r="D141" s="45" t="s">
        <v>251</v>
      </c>
      <c r="E141" s="45" t="n">
        <v>3</v>
      </c>
      <c r="F141" s="45" t="n">
        <v>19</v>
      </c>
      <c r="G141" s="45" t="n">
        <v>165</v>
      </c>
      <c r="H141" s="45" t="n">
        <v>0</v>
      </c>
      <c r="I141" s="45"/>
    </row>
    <row r="142" customFormat="false" ht="15" hidden="false" customHeight="false" outlineLevel="0" collapsed="false">
      <c r="A142" s="45" t="s">
        <v>257</v>
      </c>
      <c r="B142" s="45" t="s">
        <v>250</v>
      </c>
      <c r="C142" s="46" t="n">
        <v>45941</v>
      </c>
      <c r="D142" s="45" t="s">
        <v>372</v>
      </c>
      <c r="E142" s="45" t="n">
        <v>1.75</v>
      </c>
      <c r="F142" s="45" t="n">
        <v>0</v>
      </c>
      <c r="G142" s="45" t="n">
        <v>0</v>
      </c>
      <c r="H142" s="45" t="n">
        <v>0</v>
      </c>
      <c r="I142" s="45"/>
    </row>
    <row r="143" customFormat="false" ht="15" hidden="false" customHeight="false" outlineLevel="0" collapsed="false">
      <c r="A143" s="45" t="s">
        <v>257</v>
      </c>
      <c r="B143" s="45" t="s">
        <v>250</v>
      </c>
      <c r="C143" s="46" t="n">
        <v>45941</v>
      </c>
      <c r="D143" s="45" t="s">
        <v>268</v>
      </c>
      <c r="E143" s="45" t="n">
        <v>2</v>
      </c>
      <c r="F143" s="45" t="n">
        <v>0</v>
      </c>
      <c r="G143" s="45" t="n">
        <v>0</v>
      </c>
      <c r="H143" s="45" t="n">
        <v>0</v>
      </c>
      <c r="I143" s="45"/>
    </row>
    <row r="144" customFormat="false" ht="15" hidden="false" customHeight="false" outlineLevel="0" collapsed="false">
      <c r="A144" s="45" t="s">
        <v>264</v>
      </c>
      <c r="B144" s="45" t="s">
        <v>265</v>
      </c>
      <c r="C144" s="46" t="n">
        <v>45943</v>
      </c>
      <c r="D144" s="45" t="s">
        <v>373</v>
      </c>
      <c r="E144" s="45" t="n">
        <v>4.75</v>
      </c>
      <c r="F144" s="45" t="n">
        <v>0</v>
      </c>
      <c r="G144" s="45" t="n">
        <v>75635</v>
      </c>
      <c r="H144" s="45" t="n">
        <v>0</v>
      </c>
      <c r="I144" s="45"/>
    </row>
    <row r="145" customFormat="false" ht="15" hidden="false" customHeight="false" outlineLevel="0" collapsed="false">
      <c r="A145" s="45" t="s">
        <v>264</v>
      </c>
      <c r="B145" s="45" t="s">
        <v>265</v>
      </c>
      <c r="C145" s="46" t="n">
        <v>45943</v>
      </c>
      <c r="D145" s="45" t="s">
        <v>374</v>
      </c>
      <c r="E145" s="45" t="n">
        <v>8.25</v>
      </c>
      <c r="F145" s="45" t="n">
        <v>0</v>
      </c>
      <c r="G145" s="45" t="n">
        <v>0</v>
      </c>
      <c r="H145" s="45" t="n">
        <v>0</v>
      </c>
      <c r="I145" s="45"/>
    </row>
    <row r="146" customFormat="false" ht="15" hidden="false" customHeight="false" outlineLevel="0" collapsed="false">
      <c r="A146" s="45" t="s">
        <v>269</v>
      </c>
      <c r="B146" s="45" t="s">
        <v>250</v>
      </c>
      <c r="C146" s="46" t="n">
        <v>45945</v>
      </c>
      <c r="D146" s="45" t="s">
        <v>375</v>
      </c>
      <c r="E146" s="45" t="n">
        <v>2</v>
      </c>
      <c r="F146" s="45" t="n">
        <v>14</v>
      </c>
      <c r="G146" s="45" t="n">
        <v>215</v>
      </c>
      <c r="H146" s="45" t="n">
        <v>0</v>
      </c>
      <c r="I146" s="45"/>
    </row>
    <row r="147" customFormat="false" ht="15" hidden="false" customHeight="false" outlineLevel="0" collapsed="false">
      <c r="A147" s="45" t="s">
        <v>269</v>
      </c>
      <c r="B147" s="45" t="s">
        <v>250</v>
      </c>
      <c r="C147" s="46" t="n">
        <v>45947</v>
      </c>
      <c r="D147" s="45" t="s">
        <v>270</v>
      </c>
      <c r="E147" s="45" t="n">
        <v>2</v>
      </c>
      <c r="F147" s="45" t="n">
        <v>9</v>
      </c>
      <c r="G147" s="45" t="n">
        <v>95</v>
      </c>
      <c r="H147" s="45" t="n">
        <v>0</v>
      </c>
      <c r="I147" s="45"/>
    </row>
    <row r="148" customFormat="false" ht="15" hidden="false" customHeight="false" outlineLevel="0" collapsed="false">
      <c r="A148" s="45" t="s">
        <v>376</v>
      </c>
      <c r="B148" s="45" t="s">
        <v>250</v>
      </c>
      <c r="C148" s="46" t="n">
        <v>45948</v>
      </c>
      <c r="D148" s="45" t="s">
        <v>255</v>
      </c>
      <c r="E148" s="45" t="n">
        <v>3.25</v>
      </c>
      <c r="F148" s="45" t="n">
        <v>23</v>
      </c>
      <c r="G148" s="45" t="n">
        <v>190</v>
      </c>
      <c r="H148" s="45" t="n">
        <v>460</v>
      </c>
      <c r="I148" s="45"/>
    </row>
    <row r="149" customFormat="false" ht="15" hidden="false" customHeight="false" outlineLevel="0" collapsed="false">
      <c r="A149" s="45" t="s">
        <v>253</v>
      </c>
      <c r="B149" s="45" t="s">
        <v>254</v>
      </c>
      <c r="C149" s="46" t="n">
        <v>45948</v>
      </c>
      <c r="D149" s="45" t="s">
        <v>364</v>
      </c>
      <c r="E149" s="45" t="n">
        <v>3.5</v>
      </c>
      <c r="F149" s="45" t="n">
        <v>0</v>
      </c>
      <c r="G149" s="45" t="n">
        <v>0</v>
      </c>
      <c r="H149" s="45" t="n">
        <v>0</v>
      </c>
      <c r="I149" s="45"/>
    </row>
    <row r="150" customFormat="false" ht="15" hidden="false" customHeight="false" outlineLevel="0" collapsed="false">
      <c r="A150" s="45" t="s">
        <v>253</v>
      </c>
      <c r="B150" s="45" t="s">
        <v>254</v>
      </c>
      <c r="C150" s="46" t="n">
        <v>45948</v>
      </c>
      <c r="D150" s="45" t="s">
        <v>256</v>
      </c>
      <c r="E150" s="45" t="n">
        <v>6</v>
      </c>
      <c r="F150" s="45" t="n">
        <v>25</v>
      </c>
      <c r="G150" s="45" t="n">
        <v>1235</v>
      </c>
      <c r="H150" s="45" t="n">
        <v>0</v>
      </c>
      <c r="I150" s="45"/>
    </row>
    <row r="151" customFormat="false" ht="15" hidden="false" customHeight="false" outlineLevel="0" collapsed="false">
      <c r="A151" s="45" t="s">
        <v>264</v>
      </c>
      <c r="B151" s="45" t="s">
        <v>265</v>
      </c>
      <c r="C151" s="46" t="n">
        <v>45958</v>
      </c>
      <c r="D151" s="45" t="s">
        <v>316</v>
      </c>
      <c r="E151" s="45" t="n">
        <v>5</v>
      </c>
      <c r="F151" s="45" t="n">
        <v>0</v>
      </c>
      <c r="G151" s="45" t="n">
        <v>59310</v>
      </c>
      <c r="H151" s="45" t="n">
        <v>0</v>
      </c>
      <c r="I151" s="45"/>
    </row>
    <row r="152" customFormat="false" ht="15" hidden="false" customHeight="false" outlineLevel="0" collapsed="false">
      <c r="A152" s="45" t="s">
        <v>264</v>
      </c>
      <c r="B152" s="45" t="s">
        <v>265</v>
      </c>
      <c r="C152" s="46" t="n">
        <v>45958</v>
      </c>
      <c r="D152" s="45" t="s">
        <v>377</v>
      </c>
      <c r="E152" s="45" t="n">
        <v>9.25</v>
      </c>
      <c r="F152" s="45" t="n">
        <v>0</v>
      </c>
      <c r="G152" s="45" t="n">
        <v>0</v>
      </c>
      <c r="H152" s="45" t="n">
        <v>0</v>
      </c>
      <c r="I152" s="45"/>
    </row>
    <row r="153" customFormat="false" ht="15" hidden="false" customHeight="false" outlineLevel="0" collapsed="false">
      <c r="A153" s="45" t="s">
        <v>376</v>
      </c>
      <c r="B153" s="45" t="s">
        <v>250</v>
      </c>
      <c r="C153" s="46" t="n">
        <v>45959</v>
      </c>
      <c r="D153" s="45" t="s">
        <v>255</v>
      </c>
      <c r="E153" s="45" t="n">
        <v>3</v>
      </c>
      <c r="F153" s="45" t="n">
        <v>22</v>
      </c>
      <c r="G153" s="45" t="n">
        <v>175</v>
      </c>
      <c r="H153" s="45" t="n">
        <v>0</v>
      </c>
      <c r="I153" s="45"/>
    </row>
    <row r="154" customFormat="false" ht="15" hidden="false" customHeight="false" outlineLevel="0" collapsed="false">
      <c r="A154" s="45" t="s">
        <v>253</v>
      </c>
      <c r="B154" s="45" t="s">
        <v>254</v>
      </c>
      <c r="C154" s="46" t="n">
        <v>45959</v>
      </c>
      <c r="D154" s="45" t="s">
        <v>378</v>
      </c>
      <c r="E154" s="45" t="n">
        <v>4.5</v>
      </c>
      <c r="F154" s="45" t="n">
        <v>0</v>
      </c>
      <c r="G154" s="45" t="n">
        <v>0</v>
      </c>
      <c r="H154" s="45" t="n">
        <v>0</v>
      </c>
      <c r="I154" s="45"/>
    </row>
    <row r="155" customFormat="false" ht="15" hidden="false" customHeight="false" outlineLevel="0" collapsed="false">
      <c r="A155" s="45" t="s">
        <v>253</v>
      </c>
      <c r="B155" s="45" t="s">
        <v>254</v>
      </c>
      <c r="C155" s="46" t="n">
        <v>45959</v>
      </c>
      <c r="D155" s="45" t="s">
        <v>379</v>
      </c>
      <c r="E155" s="45" t="n">
        <v>6.5</v>
      </c>
      <c r="F155" s="45" t="n">
        <v>24</v>
      </c>
      <c r="G155" s="45" t="n">
        <v>1020</v>
      </c>
      <c r="H155" s="45" t="n">
        <v>0</v>
      </c>
      <c r="I155" s="45"/>
    </row>
    <row r="156" customFormat="false" ht="15" hidden="false" customHeight="false" outlineLevel="0" collapsed="false">
      <c r="A156" s="45" t="s">
        <v>257</v>
      </c>
      <c r="B156" s="45" t="s">
        <v>250</v>
      </c>
      <c r="C156" s="46" t="n">
        <v>45960</v>
      </c>
      <c r="D156" s="45" t="s">
        <v>276</v>
      </c>
      <c r="E156" s="45" t="n">
        <v>2.25</v>
      </c>
      <c r="F156" s="45" t="n">
        <v>21</v>
      </c>
      <c r="G156" s="45" t="n">
        <v>165</v>
      </c>
      <c r="H156" s="45" t="n">
        <v>0</v>
      </c>
      <c r="I156" s="45"/>
    </row>
    <row r="157" customFormat="false" ht="15" hidden="false" customHeight="false" outlineLevel="0" collapsed="false">
      <c r="A157" s="45" t="s">
        <v>257</v>
      </c>
      <c r="B157" s="45" t="s">
        <v>250</v>
      </c>
      <c r="C157" s="46" t="n">
        <v>45960</v>
      </c>
      <c r="D157" s="45" t="s">
        <v>268</v>
      </c>
      <c r="E157" s="45" t="n">
        <v>1.5</v>
      </c>
      <c r="F157" s="45" t="n">
        <v>0</v>
      </c>
      <c r="G157" s="45" t="n">
        <v>0</v>
      </c>
      <c r="H157" s="45" t="n">
        <v>0</v>
      </c>
      <c r="I157" s="45"/>
    </row>
    <row r="158" customFormat="false" ht="15" hidden="false" customHeight="false" outlineLevel="0" collapsed="false">
      <c r="A158" s="45" t="s">
        <v>277</v>
      </c>
      <c r="B158" s="45" t="s">
        <v>261</v>
      </c>
      <c r="C158" s="46" t="n">
        <v>45961</v>
      </c>
      <c r="D158" s="45" t="s">
        <v>286</v>
      </c>
      <c r="E158" s="45" t="n">
        <v>103.75</v>
      </c>
      <c r="F158" s="45" t="n">
        <v>0</v>
      </c>
      <c r="G158" s="45" t="n">
        <v>0</v>
      </c>
      <c r="H158" s="45" t="n">
        <v>0</v>
      </c>
      <c r="I158" s="45"/>
    </row>
    <row r="159" customFormat="false" ht="15" hidden="false" customHeight="false" outlineLevel="0" collapsed="false">
      <c r="A159" s="45" t="s">
        <v>277</v>
      </c>
      <c r="B159" s="45" t="s">
        <v>261</v>
      </c>
      <c r="C159" s="46" t="n">
        <v>45961</v>
      </c>
      <c r="D159" s="45" t="s">
        <v>279</v>
      </c>
      <c r="E159" s="45" t="n">
        <v>108.5</v>
      </c>
      <c r="F159" s="45" t="n">
        <v>0</v>
      </c>
      <c r="G159" s="45" t="n">
        <v>0</v>
      </c>
      <c r="H159" s="45" t="n">
        <v>0</v>
      </c>
      <c r="I159" s="45"/>
    </row>
    <row r="160" customFormat="false" ht="15" hidden="false" customHeight="false" outlineLevel="0" collapsed="false">
      <c r="A160" s="45" t="s">
        <v>277</v>
      </c>
      <c r="B160" s="45" t="s">
        <v>261</v>
      </c>
      <c r="C160" s="46" t="n">
        <v>45961</v>
      </c>
      <c r="D160" s="45" t="s">
        <v>357</v>
      </c>
      <c r="E160" s="45" t="n">
        <v>117</v>
      </c>
      <c r="F160" s="45" t="n">
        <v>348</v>
      </c>
      <c r="G160" s="45" t="n">
        <v>7880</v>
      </c>
      <c r="H160" s="45" t="n">
        <v>0</v>
      </c>
      <c r="I160" s="45"/>
    </row>
    <row r="161" customFormat="false" ht="15" hidden="false" customHeight="false" outlineLevel="0" collapsed="false">
      <c r="A161" s="45" t="s">
        <v>281</v>
      </c>
      <c r="B161" s="45" t="s">
        <v>261</v>
      </c>
      <c r="C161" s="46" t="n">
        <v>45961</v>
      </c>
      <c r="D161" s="45" t="s">
        <v>380</v>
      </c>
      <c r="E161" s="45" t="n">
        <v>42.75</v>
      </c>
      <c r="F161" s="45" t="n">
        <v>287</v>
      </c>
      <c r="G161" s="45" t="n">
        <v>5030</v>
      </c>
      <c r="H161" s="45" t="n">
        <v>0</v>
      </c>
      <c r="I161" s="45"/>
    </row>
    <row r="162" customFormat="false" ht="15" hidden="false" customHeight="false" outlineLevel="0" collapsed="false">
      <c r="A162" s="45" t="s">
        <v>281</v>
      </c>
      <c r="B162" s="45" t="s">
        <v>261</v>
      </c>
      <c r="C162" s="46" t="n">
        <v>45961</v>
      </c>
      <c r="D162" s="45" t="s">
        <v>339</v>
      </c>
      <c r="E162" s="45" t="n">
        <v>12.75</v>
      </c>
      <c r="F162" s="45" t="n">
        <v>0</v>
      </c>
      <c r="G162" s="45" t="n">
        <v>0</v>
      </c>
      <c r="H162" s="45" t="n">
        <v>0</v>
      </c>
      <c r="I162" s="45"/>
    </row>
    <row r="163" customFormat="false" ht="15" hidden="false" customHeight="false" outlineLevel="0" collapsed="false">
      <c r="A163" s="45" t="s">
        <v>281</v>
      </c>
      <c r="B163" s="45" t="s">
        <v>261</v>
      </c>
      <c r="C163" s="46" t="n">
        <v>45961</v>
      </c>
      <c r="D163" s="45" t="s">
        <v>357</v>
      </c>
      <c r="E163" s="45" t="n">
        <v>42.75</v>
      </c>
      <c r="F163" s="45" t="n">
        <v>0</v>
      </c>
      <c r="G163" s="45" t="n">
        <v>0</v>
      </c>
      <c r="H163" s="45" t="n">
        <v>0</v>
      </c>
      <c r="I163" s="45"/>
    </row>
    <row r="164" customFormat="false" ht="15" hidden="false" customHeight="false" outlineLevel="0" collapsed="false">
      <c r="A164" s="45" t="s">
        <v>284</v>
      </c>
      <c r="B164" s="45" t="s">
        <v>285</v>
      </c>
      <c r="C164" s="46" t="n">
        <v>45961</v>
      </c>
      <c r="D164" s="45" t="s">
        <v>381</v>
      </c>
      <c r="E164" s="45" t="n">
        <v>485.75</v>
      </c>
      <c r="F164" s="45" t="n">
        <v>523</v>
      </c>
      <c r="G164" s="45" t="n">
        <v>1385</v>
      </c>
      <c r="H164" s="45" t="n">
        <v>0</v>
      </c>
      <c r="I164" s="45"/>
    </row>
    <row r="165" customFormat="false" ht="15" hidden="false" customHeight="false" outlineLevel="0" collapsed="false">
      <c r="A165" s="45" t="s">
        <v>284</v>
      </c>
      <c r="B165" s="45" t="s">
        <v>285</v>
      </c>
      <c r="C165" s="46" t="n">
        <v>45961</v>
      </c>
      <c r="D165" s="45" t="s">
        <v>382</v>
      </c>
      <c r="E165" s="45" t="n">
        <v>214.5</v>
      </c>
      <c r="F165" s="45" t="n">
        <v>0</v>
      </c>
      <c r="G165" s="45" t="n">
        <v>0</v>
      </c>
      <c r="H165" s="45" t="n">
        <v>0</v>
      </c>
      <c r="I165" s="45"/>
    </row>
    <row r="166" customFormat="false" ht="15" hidden="false" customHeight="false" outlineLevel="0" collapsed="false">
      <c r="A166" s="45" t="s">
        <v>288</v>
      </c>
      <c r="B166" s="45" t="s">
        <v>285</v>
      </c>
      <c r="C166" s="46" t="n">
        <v>45961</v>
      </c>
      <c r="D166" s="45" t="s">
        <v>383</v>
      </c>
      <c r="E166" s="45" t="n">
        <v>98.25</v>
      </c>
      <c r="F166" s="45" t="n">
        <v>0</v>
      </c>
      <c r="G166" s="45" t="n">
        <v>0</v>
      </c>
      <c r="H166" s="45" t="n">
        <v>0</v>
      </c>
      <c r="I166" s="45"/>
    </row>
    <row r="167" customFormat="false" ht="15" hidden="false" customHeight="false" outlineLevel="0" collapsed="false">
      <c r="A167" s="45" t="s">
        <v>288</v>
      </c>
      <c r="B167" s="45" t="s">
        <v>285</v>
      </c>
      <c r="C167" s="46" t="n">
        <v>45961</v>
      </c>
      <c r="D167" s="45" t="s">
        <v>339</v>
      </c>
      <c r="E167" s="45" t="n">
        <v>31.5</v>
      </c>
      <c r="F167" s="45" t="n">
        <v>153</v>
      </c>
      <c r="G167" s="45" t="n">
        <v>25195</v>
      </c>
      <c r="H167" s="45" t="n">
        <v>0</v>
      </c>
      <c r="I167" s="45"/>
    </row>
    <row r="168" customFormat="false" ht="15" hidden="false" customHeight="false" outlineLevel="0" collapsed="false">
      <c r="A168" s="45" t="s">
        <v>290</v>
      </c>
      <c r="B168" s="45" t="s">
        <v>291</v>
      </c>
      <c r="C168" s="46" t="n">
        <v>45961</v>
      </c>
      <c r="D168" s="45" t="s">
        <v>292</v>
      </c>
      <c r="E168" s="45" t="n">
        <v>43.75</v>
      </c>
      <c r="F168" s="45" t="n">
        <v>0</v>
      </c>
      <c r="G168" s="45" t="n">
        <v>1680</v>
      </c>
      <c r="H168" s="45" t="n">
        <v>0</v>
      </c>
      <c r="I168" s="45"/>
    </row>
    <row r="169" customFormat="false" ht="15" hidden="false" customHeight="false" outlineLevel="0" collapsed="false">
      <c r="A169" s="45" t="s">
        <v>290</v>
      </c>
      <c r="B169" s="45" t="s">
        <v>291</v>
      </c>
      <c r="C169" s="46" t="n">
        <v>45961</v>
      </c>
      <c r="D169" s="45" t="s">
        <v>384</v>
      </c>
      <c r="E169" s="45" t="n">
        <v>33.5</v>
      </c>
      <c r="F169" s="45" t="n">
        <v>0</v>
      </c>
      <c r="G169" s="45" t="n">
        <v>0</v>
      </c>
      <c r="H169" s="45" t="n">
        <v>0</v>
      </c>
      <c r="I169" s="45"/>
    </row>
    <row r="170" customFormat="false" ht="15" hidden="false" customHeight="false" outlineLevel="0" collapsed="false">
      <c r="A170" s="45" t="s">
        <v>294</v>
      </c>
      <c r="B170" s="45" t="s">
        <v>291</v>
      </c>
      <c r="C170" s="46" t="n">
        <v>45961</v>
      </c>
      <c r="D170" s="45" t="s">
        <v>385</v>
      </c>
      <c r="E170" s="45" t="n">
        <v>51.25</v>
      </c>
      <c r="F170" s="45" t="n">
        <v>0</v>
      </c>
      <c r="G170" s="45" t="n">
        <v>0</v>
      </c>
      <c r="H170" s="45" t="n">
        <v>0</v>
      </c>
      <c r="I170" s="45"/>
    </row>
    <row r="171" customFormat="false" ht="15" hidden="false" customHeight="false" outlineLevel="0" collapsed="false">
      <c r="A171" s="45" t="s">
        <v>294</v>
      </c>
      <c r="B171" s="45" t="s">
        <v>291</v>
      </c>
      <c r="C171" s="46" t="n">
        <v>45961</v>
      </c>
      <c r="D171" s="45" t="s">
        <v>313</v>
      </c>
      <c r="E171" s="45" t="n">
        <v>97.25</v>
      </c>
      <c r="F171" s="45" t="n">
        <v>0</v>
      </c>
      <c r="G171" s="45" t="n">
        <v>290</v>
      </c>
      <c r="H171" s="45" t="n">
        <v>0</v>
      </c>
      <c r="I171" s="45"/>
    </row>
    <row r="172" customFormat="false" ht="15" hidden="false" customHeight="false" outlineLevel="0" collapsed="false">
      <c r="A172" s="45" t="s">
        <v>296</v>
      </c>
      <c r="B172" s="45" t="s">
        <v>285</v>
      </c>
      <c r="C172" s="46" t="n">
        <v>45961</v>
      </c>
      <c r="D172" s="45" t="s">
        <v>386</v>
      </c>
      <c r="E172" s="45" t="n">
        <v>68.25</v>
      </c>
      <c r="F172" s="45" t="n">
        <v>212</v>
      </c>
      <c r="G172" s="45" t="n">
        <v>0</v>
      </c>
      <c r="H172" s="45" t="n">
        <v>0</v>
      </c>
      <c r="I172" s="45"/>
    </row>
    <row r="173" customFormat="false" ht="15" hidden="false" customHeight="false" outlineLevel="0" collapsed="false">
      <c r="A173" s="45" t="s">
        <v>298</v>
      </c>
      <c r="B173" s="45" t="s">
        <v>299</v>
      </c>
      <c r="C173" s="46" t="n">
        <v>45961</v>
      </c>
      <c r="D173" s="45" t="s">
        <v>387</v>
      </c>
      <c r="E173" s="45" t="n">
        <v>150</v>
      </c>
      <c r="F173" s="45" t="n">
        <v>26</v>
      </c>
      <c r="G173" s="45" t="n">
        <v>800</v>
      </c>
      <c r="H173" s="45" t="n">
        <v>0</v>
      </c>
      <c r="I173" s="45"/>
    </row>
    <row r="174" customFormat="false" ht="15" hidden="false" customHeight="false" outlineLevel="0" collapsed="false">
      <c r="A174" s="45" t="s">
        <v>298</v>
      </c>
      <c r="B174" s="45" t="s">
        <v>299</v>
      </c>
      <c r="C174" s="46" t="n">
        <v>45961</v>
      </c>
      <c r="D174" s="45" t="s">
        <v>325</v>
      </c>
      <c r="E174" s="45" t="n">
        <v>209.25</v>
      </c>
      <c r="F174" s="45" t="n">
        <v>0</v>
      </c>
      <c r="G174" s="45" t="n">
        <v>0</v>
      </c>
      <c r="H174" s="45" t="n">
        <v>0</v>
      </c>
      <c r="I174" s="45"/>
    </row>
    <row r="175" customFormat="false" ht="15" hidden="false" customHeight="false" outlineLevel="0" collapsed="false">
      <c r="A175" s="45" t="s">
        <v>302</v>
      </c>
      <c r="B175" s="45" t="s">
        <v>299</v>
      </c>
      <c r="C175" s="46" t="n">
        <v>45961</v>
      </c>
      <c r="D175" s="45" t="s">
        <v>309</v>
      </c>
      <c r="E175" s="45" t="n">
        <v>373.5</v>
      </c>
      <c r="F175" s="45" t="n">
        <v>0</v>
      </c>
      <c r="G175" s="45" t="n">
        <v>38785</v>
      </c>
      <c r="H175" s="45" t="n">
        <v>167285</v>
      </c>
      <c r="I175" s="45"/>
    </row>
    <row r="176" customFormat="false" ht="15" hidden="false" customHeight="false" outlineLevel="0" collapsed="false">
      <c r="A176" s="45" t="s">
        <v>302</v>
      </c>
      <c r="B176" s="45" t="s">
        <v>299</v>
      </c>
      <c r="C176" s="46" t="n">
        <v>45961</v>
      </c>
      <c r="D176" s="45" t="s">
        <v>388</v>
      </c>
      <c r="E176" s="45" t="n">
        <v>163.75</v>
      </c>
      <c r="F176" s="45" t="n">
        <v>0</v>
      </c>
      <c r="G176" s="45" t="n">
        <v>0</v>
      </c>
      <c r="H176" s="45" t="n">
        <v>0</v>
      </c>
      <c r="I176" s="45"/>
    </row>
    <row r="177" customFormat="false" ht="15" hidden="false" customHeight="false" outlineLevel="0" collapsed="false">
      <c r="A177" s="45" t="s">
        <v>302</v>
      </c>
      <c r="B177" s="45" t="s">
        <v>299</v>
      </c>
      <c r="C177" s="46" t="n">
        <v>45961</v>
      </c>
      <c r="D177" s="45" t="s">
        <v>389</v>
      </c>
      <c r="E177" s="45" t="n">
        <v>4206.75</v>
      </c>
      <c r="F177" s="45" t="n">
        <v>0</v>
      </c>
      <c r="G177" s="45" t="n">
        <v>0</v>
      </c>
      <c r="H177" s="45" t="n">
        <v>0</v>
      </c>
      <c r="I177" s="45"/>
    </row>
    <row r="178" customFormat="false" ht="15" hidden="false" customHeight="false" outlineLevel="0" collapsed="false">
      <c r="A178" s="45" t="s">
        <v>306</v>
      </c>
      <c r="B178" s="45" t="s">
        <v>299</v>
      </c>
      <c r="C178" s="46" t="n">
        <v>45961</v>
      </c>
      <c r="D178" s="45" t="s">
        <v>273</v>
      </c>
      <c r="E178" s="45" t="n">
        <v>82.5</v>
      </c>
      <c r="F178" s="45" t="n">
        <v>3</v>
      </c>
      <c r="G178" s="45" t="n">
        <v>190</v>
      </c>
      <c r="H178" s="45" t="n">
        <v>0</v>
      </c>
      <c r="I178" s="45"/>
    </row>
    <row r="179" customFormat="false" ht="15" hidden="false" customHeight="false" outlineLevel="0" collapsed="false">
      <c r="A179" s="45" t="s">
        <v>307</v>
      </c>
      <c r="B179" s="45" t="s">
        <v>167</v>
      </c>
      <c r="C179" s="46" t="n">
        <v>45961</v>
      </c>
      <c r="D179" s="45" t="s">
        <v>362</v>
      </c>
      <c r="E179" s="45" t="n">
        <v>50.25</v>
      </c>
      <c r="F179" s="45" t="n">
        <v>0</v>
      </c>
      <c r="G179" s="45" t="n">
        <v>0</v>
      </c>
      <c r="H179" s="45" t="n">
        <v>0</v>
      </c>
      <c r="I179" s="45"/>
    </row>
    <row r="180" customFormat="false" ht="15" hidden="false" customHeight="false" outlineLevel="0" collapsed="false">
      <c r="A180" s="45" t="s">
        <v>307</v>
      </c>
      <c r="B180" s="45" t="s">
        <v>167</v>
      </c>
      <c r="C180" s="46" t="n">
        <v>45961</v>
      </c>
      <c r="D180" s="45" t="s">
        <v>390</v>
      </c>
      <c r="E180" s="45" t="n">
        <v>15.25</v>
      </c>
      <c r="F180" s="45" t="n">
        <v>0</v>
      </c>
      <c r="G180" s="45" t="n">
        <v>0</v>
      </c>
      <c r="H180" s="45" t="n">
        <v>0</v>
      </c>
      <c r="I180" s="45"/>
    </row>
    <row r="181" customFormat="false" ht="15" hidden="false" customHeight="false" outlineLevel="0" collapsed="false">
      <c r="A181" s="45" t="s">
        <v>307</v>
      </c>
      <c r="B181" s="45" t="s">
        <v>167</v>
      </c>
      <c r="C181" s="46" t="n">
        <v>45961</v>
      </c>
      <c r="D181" s="45" t="s">
        <v>310</v>
      </c>
      <c r="E181" s="45" t="n">
        <v>196.5</v>
      </c>
      <c r="F181" s="45" t="n">
        <v>103</v>
      </c>
      <c r="G181" s="45" t="n">
        <v>9350</v>
      </c>
      <c r="H181" s="45" t="n">
        <v>10555</v>
      </c>
      <c r="I181" s="45"/>
    </row>
    <row r="182" customFormat="false" ht="15" hidden="false" customHeight="false" outlineLevel="0" collapsed="false">
      <c r="A182" s="45" t="s">
        <v>260</v>
      </c>
      <c r="B182" s="45" t="s">
        <v>261</v>
      </c>
      <c r="C182" s="46" t="n">
        <v>45972</v>
      </c>
      <c r="D182" s="45" t="s">
        <v>262</v>
      </c>
      <c r="E182" s="45" t="n">
        <v>3.25</v>
      </c>
      <c r="F182" s="45" t="n">
        <v>79</v>
      </c>
      <c r="G182" s="45" t="n">
        <v>45</v>
      </c>
      <c r="H182" s="45" t="n">
        <v>0</v>
      </c>
      <c r="I182" s="45"/>
    </row>
    <row r="183" customFormat="false" ht="15" hidden="false" customHeight="false" outlineLevel="0" collapsed="false">
      <c r="A183" s="45" t="s">
        <v>269</v>
      </c>
      <c r="B183" s="45" t="s">
        <v>250</v>
      </c>
      <c r="C183" s="46" t="n">
        <v>45972</v>
      </c>
      <c r="D183" s="45" t="s">
        <v>391</v>
      </c>
      <c r="E183" s="45" t="n">
        <v>2</v>
      </c>
      <c r="F183" s="45" t="n">
        <v>16</v>
      </c>
      <c r="G183" s="45" t="n">
        <v>210</v>
      </c>
      <c r="H183" s="45" t="n">
        <v>0</v>
      </c>
      <c r="I183" s="45"/>
    </row>
    <row r="184" customFormat="false" ht="15" hidden="false" customHeight="false" outlineLevel="0" collapsed="false">
      <c r="A184" s="45" t="s">
        <v>376</v>
      </c>
      <c r="B184" s="45" t="s">
        <v>250</v>
      </c>
      <c r="C184" s="46" t="n">
        <v>45976</v>
      </c>
      <c r="D184" s="45" t="s">
        <v>387</v>
      </c>
      <c r="E184" s="45" t="n">
        <v>3.5</v>
      </c>
      <c r="F184" s="45" t="n">
        <v>19</v>
      </c>
      <c r="G184" s="45" t="n">
        <v>95</v>
      </c>
      <c r="H184" s="45" t="n">
        <v>0</v>
      </c>
      <c r="I184" s="45"/>
    </row>
    <row r="185" customFormat="false" ht="15" hidden="false" customHeight="false" outlineLevel="0" collapsed="false">
      <c r="A185" s="45" t="s">
        <v>318</v>
      </c>
      <c r="B185" s="45" t="s">
        <v>319</v>
      </c>
      <c r="C185" s="46" t="n">
        <v>45977</v>
      </c>
      <c r="D185" s="45" t="s">
        <v>351</v>
      </c>
      <c r="E185" s="45" t="n">
        <v>0</v>
      </c>
      <c r="F185" s="45" t="n">
        <v>0</v>
      </c>
      <c r="G185" s="45" t="n">
        <v>10220</v>
      </c>
      <c r="H185" s="45" t="n">
        <v>0</v>
      </c>
      <c r="I185" s="45"/>
    </row>
    <row r="186" customFormat="false" ht="15" hidden="false" customHeight="false" outlineLevel="0" collapsed="false">
      <c r="A186" s="45" t="s">
        <v>344</v>
      </c>
      <c r="B186" s="45" t="s">
        <v>285</v>
      </c>
      <c r="C186" s="46" t="n">
        <v>45980</v>
      </c>
      <c r="D186" s="45" t="s">
        <v>348</v>
      </c>
      <c r="E186" s="45" t="n">
        <v>2.5</v>
      </c>
      <c r="F186" s="45" t="n">
        <v>15</v>
      </c>
      <c r="G186" s="45" t="n">
        <v>35</v>
      </c>
      <c r="H186" s="45" t="n">
        <v>0</v>
      </c>
      <c r="I186" s="45"/>
    </row>
    <row r="187" customFormat="false" ht="15" hidden="false" customHeight="false" outlineLevel="0" collapsed="false">
      <c r="A187" s="45" t="s">
        <v>344</v>
      </c>
      <c r="B187" s="45" t="s">
        <v>285</v>
      </c>
      <c r="C187" s="46" t="n">
        <v>45980</v>
      </c>
      <c r="D187" s="45" t="s">
        <v>392</v>
      </c>
      <c r="E187" s="45" t="n">
        <v>1.5</v>
      </c>
      <c r="F187" s="45" t="n">
        <v>0</v>
      </c>
      <c r="G187" s="45" t="n">
        <v>0</v>
      </c>
      <c r="H187" s="45" t="n">
        <v>0</v>
      </c>
      <c r="I187" s="45"/>
    </row>
    <row r="188" customFormat="false" ht="15" hidden="false" customHeight="false" outlineLevel="0" collapsed="false">
      <c r="A188" s="45" t="s">
        <v>376</v>
      </c>
      <c r="B188" s="45" t="s">
        <v>250</v>
      </c>
      <c r="C188" s="46" t="n">
        <v>45981</v>
      </c>
      <c r="D188" s="45" t="s">
        <v>274</v>
      </c>
      <c r="E188" s="45" t="n">
        <v>3.5</v>
      </c>
      <c r="F188" s="45" t="n">
        <v>27</v>
      </c>
      <c r="G188" s="45" t="n">
        <v>115</v>
      </c>
      <c r="H188" s="45" t="n">
        <v>0</v>
      </c>
      <c r="I188" s="45"/>
    </row>
    <row r="189" customFormat="false" ht="15" hidden="false" customHeight="false" outlineLevel="0" collapsed="false">
      <c r="A189" s="45" t="s">
        <v>376</v>
      </c>
      <c r="B189" s="45" t="s">
        <v>250</v>
      </c>
      <c r="C189" s="46" t="n">
        <v>45988</v>
      </c>
      <c r="D189" s="45" t="s">
        <v>387</v>
      </c>
      <c r="E189" s="45" t="n">
        <v>3</v>
      </c>
      <c r="F189" s="45" t="n">
        <v>15</v>
      </c>
      <c r="G189" s="45" t="n">
        <v>175</v>
      </c>
      <c r="H189" s="45" t="n">
        <v>300</v>
      </c>
      <c r="I189" s="45"/>
    </row>
    <row r="190" customFormat="false" ht="15" hidden="false" customHeight="false" outlineLevel="0" collapsed="false">
      <c r="A190" s="45" t="s">
        <v>249</v>
      </c>
      <c r="B190" s="45" t="s">
        <v>250</v>
      </c>
      <c r="C190" s="46" t="n">
        <v>45990</v>
      </c>
      <c r="D190" s="45" t="s">
        <v>267</v>
      </c>
      <c r="E190" s="45" t="n">
        <v>8</v>
      </c>
      <c r="F190" s="45" t="n">
        <v>0</v>
      </c>
      <c r="G190" s="45" t="n">
        <v>0</v>
      </c>
      <c r="H190" s="45" t="n">
        <v>0</v>
      </c>
      <c r="I190" s="45"/>
    </row>
    <row r="191" customFormat="false" ht="15" hidden="false" customHeight="false" outlineLevel="0" collapsed="false">
      <c r="A191" s="45" t="s">
        <v>249</v>
      </c>
      <c r="B191" s="45" t="s">
        <v>250</v>
      </c>
      <c r="C191" s="46" t="n">
        <v>45990</v>
      </c>
      <c r="D191" s="45" t="s">
        <v>393</v>
      </c>
      <c r="E191" s="45" t="n">
        <v>8</v>
      </c>
      <c r="F191" s="45" t="n">
        <v>20</v>
      </c>
      <c r="G191" s="45" t="n">
        <v>455</v>
      </c>
      <c r="H191" s="45" t="n">
        <v>0</v>
      </c>
      <c r="I191" s="45"/>
    </row>
    <row r="192" customFormat="false" ht="15" hidden="false" customHeight="false" outlineLevel="0" collapsed="false">
      <c r="A192" s="45" t="s">
        <v>344</v>
      </c>
      <c r="B192" s="45" t="s">
        <v>285</v>
      </c>
      <c r="C192" s="46" t="n">
        <v>45990</v>
      </c>
      <c r="D192" s="45" t="s">
        <v>394</v>
      </c>
      <c r="E192" s="45" t="n">
        <v>2.25</v>
      </c>
      <c r="F192" s="45" t="n">
        <v>13</v>
      </c>
      <c r="G192" s="45" t="n">
        <v>35</v>
      </c>
      <c r="H192" s="45" t="n">
        <v>0</v>
      </c>
      <c r="I192" s="45"/>
    </row>
    <row r="193" customFormat="false" ht="15" hidden="false" customHeight="false" outlineLevel="0" collapsed="false">
      <c r="A193" s="45" t="s">
        <v>344</v>
      </c>
      <c r="B193" s="45" t="s">
        <v>285</v>
      </c>
      <c r="C193" s="46" t="n">
        <v>45990</v>
      </c>
      <c r="D193" s="45" t="s">
        <v>345</v>
      </c>
      <c r="E193" s="45" t="n">
        <v>2.5</v>
      </c>
      <c r="F193" s="45" t="n">
        <v>12</v>
      </c>
      <c r="G193" s="45" t="n">
        <v>25</v>
      </c>
      <c r="H193" s="45" t="n">
        <v>0</v>
      </c>
      <c r="I193" s="45"/>
    </row>
    <row r="194" customFormat="false" ht="15" hidden="false" customHeight="false" outlineLevel="0" collapsed="false">
      <c r="A194" s="45" t="s">
        <v>344</v>
      </c>
      <c r="B194" s="45" t="s">
        <v>285</v>
      </c>
      <c r="C194" s="46" t="n">
        <v>45990</v>
      </c>
      <c r="D194" s="45" t="s">
        <v>342</v>
      </c>
      <c r="E194" s="45" t="n">
        <v>1.5</v>
      </c>
      <c r="F194" s="45" t="n">
        <v>0</v>
      </c>
      <c r="G194" s="45" t="n">
        <v>0</v>
      </c>
      <c r="H194" s="45" t="n">
        <v>0</v>
      </c>
      <c r="I194" s="45"/>
    </row>
    <row r="195" customFormat="false" ht="15" hidden="false" customHeight="false" outlineLevel="0" collapsed="false">
      <c r="A195" s="45" t="s">
        <v>344</v>
      </c>
      <c r="B195" s="45" t="s">
        <v>285</v>
      </c>
      <c r="C195" s="46" t="n">
        <v>45990</v>
      </c>
      <c r="D195" s="45" t="s">
        <v>347</v>
      </c>
      <c r="E195" s="45" t="n">
        <v>1.75</v>
      </c>
      <c r="F195" s="45" t="n">
        <v>0</v>
      </c>
      <c r="G195" s="45" t="n">
        <v>0</v>
      </c>
      <c r="H195" s="45" t="n">
        <v>0</v>
      </c>
      <c r="I195" s="45"/>
    </row>
    <row r="196" customFormat="false" ht="15" hidden="false" customHeight="false" outlineLevel="0" collapsed="false">
      <c r="A196" s="45" t="s">
        <v>277</v>
      </c>
      <c r="B196" s="45" t="s">
        <v>261</v>
      </c>
      <c r="C196" s="46" t="n">
        <v>45991</v>
      </c>
      <c r="D196" s="45" t="s">
        <v>395</v>
      </c>
      <c r="E196" s="45" t="n">
        <v>92.25</v>
      </c>
      <c r="F196" s="45" t="n">
        <v>0</v>
      </c>
      <c r="G196" s="45" t="n">
        <v>0</v>
      </c>
      <c r="H196" s="45" t="n">
        <v>0</v>
      </c>
      <c r="I196" s="45"/>
    </row>
    <row r="197" customFormat="false" ht="15" hidden="false" customHeight="false" outlineLevel="0" collapsed="false">
      <c r="A197" s="45" t="s">
        <v>277</v>
      </c>
      <c r="B197" s="45" t="s">
        <v>261</v>
      </c>
      <c r="C197" s="46" t="n">
        <v>45991</v>
      </c>
      <c r="D197" s="45" t="s">
        <v>396</v>
      </c>
      <c r="E197" s="45" t="n">
        <v>99</v>
      </c>
      <c r="F197" s="45" t="n">
        <v>0</v>
      </c>
      <c r="G197" s="45" t="n">
        <v>0</v>
      </c>
      <c r="H197" s="45" t="n">
        <v>0</v>
      </c>
      <c r="I197" s="45"/>
    </row>
    <row r="198" customFormat="false" ht="15" hidden="false" customHeight="false" outlineLevel="0" collapsed="false">
      <c r="A198" s="45" t="s">
        <v>277</v>
      </c>
      <c r="B198" s="45" t="s">
        <v>261</v>
      </c>
      <c r="C198" s="46" t="n">
        <v>45991</v>
      </c>
      <c r="D198" s="45" t="s">
        <v>262</v>
      </c>
      <c r="E198" s="45" t="n">
        <v>133</v>
      </c>
      <c r="F198" s="45" t="n">
        <v>332</v>
      </c>
      <c r="G198" s="45" t="n">
        <v>10005</v>
      </c>
      <c r="H198" s="45" t="n">
        <v>0</v>
      </c>
      <c r="I198" s="45"/>
    </row>
    <row r="199" customFormat="false" ht="15" hidden="false" customHeight="false" outlineLevel="0" collapsed="false">
      <c r="A199" s="45" t="s">
        <v>281</v>
      </c>
      <c r="B199" s="45" t="s">
        <v>261</v>
      </c>
      <c r="C199" s="46" t="n">
        <v>45991</v>
      </c>
      <c r="D199" s="45" t="s">
        <v>397</v>
      </c>
      <c r="E199" s="45" t="n">
        <v>59.5</v>
      </c>
      <c r="F199" s="45" t="n">
        <v>391</v>
      </c>
      <c r="G199" s="45" t="n">
        <v>4965</v>
      </c>
      <c r="H199" s="45" t="n">
        <v>0</v>
      </c>
      <c r="I199" s="45"/>
    </row>
    <row r="200" customFormat="false" ht="15" hidden="false" customHeight="false" outlineLevel="0" collapsed="false">
      <c r="A200" s="45" t="s">
        <v>281</v>
      </c>
      <c r="B200" s="45" t="s">
        <v>261</v>
      </c>
      <c r="C200" s="46" t="n">
        <v>45991</v>
      </c>
      <c r="D200" s="45" t="s">
        <v>330</v>
      </c>
      <c r="E200" s="45" t="n">
        <v>21.5</v>
      </c>
      <c r="F200" s="45" t="n">
        <v>0</v>
      </c>
      <c r="G200" s="45" t="n">
        <v>0</v>
      </c>
      <c r="H200" s="45" t="n">
        <v>0</v>
      </c>
      <c r="I200" s="45"/>
    </row>
    <row r="201" customFormat="false" ht="15" hidden="false" customHeight="false" outlineLevel="0" collapsed="false">
      <c r="A201" s="45" t="s">
        <v>281</v>
      </c>
      <c r="B201" s="45" t="s">
        <v>261</v>
      </c>
      <c r="C201" s="46" t="n">
        <v>45991</v>
      </c>
      <c r="D201" s="45" t="s">
        <v>398</v>
      </c>
      <c r="E201" s="45" t="n">
        <v>45</v>
      </c>
      <c r="F201" s="45" t="n">
        <v>0</v>
      </c>
      <c r="G201" s="45" t="n">
        <v>0</v>
      </c>
      <c r="H201" s="45" t="n">
        <v>0</v>
      </c>
      <c r="I201" s="45"/>
    </row>
    <row r="202" customFormat="false" ht="15" hidden="false" customHeight="false" outlineLevel="0" collapsed="false">
      <c r="A202" s="45" t="s">
        <v>284</v>
      </c>
      <c r="B202" s="45" t="s">
        <v>285</v>
      </c>
      <c r="C202" s="46" t="n">
        <v>45991</v>
      </c>
      <c r="D202" s="45" t="s">
        <v>395</v>
      </c>
      <c r="E202" s="45" t="n">
        <v>376.5</v>
      </c>
      <c r="F202" s="45" t="n">
        <v>423</v>
      </c>
      <c r="G202" s="45" t="n">
        <v>1995</v>
      </c>
      <c r="H202" s="45" t="n">
        <v>0</v>
      </c>
      <c r="I202" s="45"/>
    </row>
    <row r="203" customFormat="false" ht="15" hidden="false" customHeight="false" outlineLevel="0" collapsed="false">
      <c r="A203" s="45" t="s">
        <v>284</v>
      </c>
      <c r="B203" s="45" t="s">
        <v>285</v>
      </c>
      <c r="C203" s="46" t="n">
        <v>45991</v>
      </c>
      <c r="D203" s="45" t="s">
        <v>383</v>
      </c>
      <c r="E203" s="45" t="n">
        <v>202</v>
      </c>
      <c r="F203" s="45" t="n">
        <v>0</v>
      </c>
      <c r="G203" s="45" t="n">
        <v>0</v>
      </c>
      <c r="H203" s="45" t="n">
        <v>0</v>
      </c>
      <c r="I203" s="45"/>
    </row>
    <row r="204" customFormat="false" ht="15" hidden="false" customHeight="false" outlineLevel="0" collapsed="false">
      <c r="A204" s="45" t="s">
        <v>288</v>
      </c>
      <c r="B204" s="45" t="s">
        <v>285</v>
      </c>
      <c r="C204" s="46" t="n">
        <v>45991</v>
      </c>
      <c r="D204" s="45" t="s">
        <v>399</v>
      </c>
      <c r="E204" s="45" t="n">
        <v>78</v>
      </c>
      <c r="F204" s="45" t="n">
        <v>0</v>
      </c>
      <c r="G204" s="45" t="n">
        <v>0</v>
      </c>
      <c r="H204" s="45" t="n">
        <v>0</v>
      </c>
      <c r="I204" s="45"/>
    </row>
    <row r="205" customFormat="false" ht="15" hidden="false" customHeight="false" outlineLevel="0" collapsed="false">
      <c r="A205" s="45" t="s">
        <v>288</v>
      </c>
      <c r="B205" s="45" t="s">
        <v>285</v>
      </c>
      <c r="C205" s="46" t="n">
        <v>45991</v>
      </c>
      <c r="D205" s="45" t="s">
        <v>400</v>
      </c>
      <c r="E205" s="45" t="n">
        <v>25.25</v>
      </c>
      <c r="F205" s="45" t="n">
        <v>100</v>
      </c>
      <c r="G205" s="45" t="n">
        <v>20340</v>
      </c>
      <c r="H205" s="45" t="n">
        <v>0</v>
      </c>
      <c r="I205" s="45"/>
    </row>
    <row r="206" customFormat="false" ht="15" hidden="false" customHeight="false" outlineLevel="0" collapsed="false">
      <c r="A206" s="45" t="s">
        <v>290</v>
      </c>
      <c r="B206" s="45" t="s">
        <v>291</v>
      </c>
      <c r="C206" s="46" t="n">
        <v>45991</v>
      </c>
      <c r="D206" s="45" t="s">
        <v>292</v>
      </c>
      <c r="E206" s="45" t="n">
        <v>32.5</v>
      </c>
      <c r="F206" s="45" t="n">
        <v>0</v>
      </c>
      <c r="G206" s="45" t="n">
        <v>2485</v>
      </c>
      <c r="H206" s="45" t="n">
        <v>0</v>
      </c>
      <c r="I206" s="45"/>
    </row>
    <row r="207" customFormat="false" ht="15" hidden="false" customHeight="false" outlineLevel="0" collapsed="false">
      <c r="A207" s="45" t="s">
        <v>290</v>
      </c>
      <c r="B207" s="45" t="s">
        <v>291</v>
      </c>
      <c r="C207" s="46" t="n">
        <v>45991</v>
      </c>
      <c r="D207" s="45" t="s">
        <v>362</v>
      </c>
      <c r="E207" s="45" t="n">
        <v>25.25</v>
      </c>
      <c r="F207" s="45" t="n">
        <v>0</v>
      </c>
      <c r="G207" s="45" t="n">
        <v>0</v>
      </c>
      <c r="H207" s="45" t="n">
        <v>0</v>
      </c>
      <c r="I207" s="45"/>
    </row>
    <row r="208" customFormat="false" ht="15" hidden="false" customHeight="false" outlineLevel="0" collapsed="false">
      <c r="A208" s="45" t="s">
        <v>294</v>
      </c>
      <c r="B208" s="45" t="s">
        <v>291</v>
      </c>
      <c r="C208" s="46" t="n">
        <v>45991</v>
      </c>
      <c r="D208" s="45" t="s">
        <v>401</v>
      </c>
      <c r="E208" s="45" t="n">
        <v>49.5</v>
      </c>
      <c r="F208" s="45" t="n">
        <v>0</v>
      </c>
      <c r="G208" s="45" t="n">
        <v>0</v>
      </c>
      <c r="H208" s="45" t="n">
        <v>0</v>
      </c>
      <c r="I208" s="45"/>
    </row>
    <row r="209" customFormat="false" ht="15" hidden="false" customHeight="false" outlineLevel="0" collapsed="false">
      <c r="A209" s="45" t="s">
        <v>294</v>
      </c>
      <c r="B209" s="45" t="s">
        <v>291</v>
      </c>
      <c r="C209" s="46" t="n">
        <v>45991</v>
      </c>
      <c r="D209" s="45" t="s">
        <v>313</v>
      </c>
      <c r="E209" s="45" t="n">
        <v>89</v>
      </c>
      <c r="F209" s="45" t="n">
        <v>0</v>
      </c>
      <c r="G209" s="45" t="n">
        <v>1100</v>
      </c>
      <c r="H209" s="45" t="n">
        <v>0</v>
      </c>
      <c r="I209" s="45"/>
    </row>
    <row r="210" customFormat="false" ht="15" hidden="false" customHeight="false" outlineLevel="0" collapsed="false">
      <c r="A210" s="45" t="s">
        <v>296</v>
      </c>
      <c r="B210" s="45" t="s">
        <v>285</v>
      </c>
      <c r="C210" s="46" t="n">
        <v>45991</v>
      </c>
      <c r="D210" s="45" t="s">
        <v>402</v>
      </c>
      <c r="E210" s="45" t="n">
        <v>78.25</v>
      </c>
      <c r="F210" s="45" t="n">
        <v>217</v>
      </c>
      <c r="G210" s="45" t="n">
        <v>0</v>
      </c>
      <c r="H210" s="45" t="n">
        <v>0</v>
      </c>
      <c r="I210" s="45"/>
    </row>
    <row r="211" customFormat="false" ht="15" hidden="false" customHeight="false" outlineLevel="0" collapsed="false">
      <c r="A211" s="45" t="s">
        <v>298</v>
      </c>
      <c r="B211" s="45" t="s">
        <v>299</v>
      </c>
      <c r="C211" s="46" t="n">
        <v>45991</v>
      </c>
      <c r="D211" s="45" t="s">
        <v>387</v>
      </c>
      <c r="E211" s="45" t="n">
        <v>179.5</v>
      </c>
      <c r="F211" s="45" t="n">
        <v>47</v>
      </c>
      <c r="G211" s="45" t="n">
        <v>580</v>
      </c>
      <c r="H211" s="45" t="n">
        <v>0</v>
      </c>
      <c r="I211" s="45"/>
    </row>
    <row r="212" customFormat="false" ht="15" hidden="false" customHeight="false" outlineLevel="0" collapsed="false">
      <c r="A212" s="45" t="s">
        <v>298</v>
      </c>
      <c r="B212" s="45" t="s">
        <v>299</v>
      </c>
      <c r="C212" s="46" t="n">
        <v>45991</v>
      </c>
      <c r="D212" s="45" t="s">
        <v>340</v>
      </c>
      <c r="E212" s="45" t="n">
        <v>296</v>
      </c>
      <c r="F212" s="45" t="n">
        <v>0</v>
      </c>
      <c r="G212" s="45" t="n">
        <v>0</v>
      </c>
      <c r="H212" s="45" t="n">
        <v>0</v>
      </c>
      <c r="I212" s="45"/>
    </row>
    <row r="213" customFormat="false" ht="15" hidden="false" customHeight="false" outlineLevel="0" collapsed="false">
      <c r="A213" s="45" t="s">
        <v>302</v>
      </c>
      <c r="B213" s="45" t="s">
        <v>299</v>
      </c>
      <c r="C213" s="46" t="n">
        <v>45991</v>
      </c>
      <c r="D213" s="45" t="s">
        <v>403</v>
      </c>
      <c r="E213" s="45" t="n">
        <v>384.75</v>
      </c>
      <c r="F213" s="45" t="n">
        <v>0</v>
      </c>
      <c r="G213" s="45" t="n">
        <v>42780</v>
      </c>
      <c r="H213" s="45" t="n">
        <v>162940</v>
      </c>
      <c r="I213" s="45"/>
    </row>
    <row r="214" customFormat="false" ht="15" hidden="false" customHeight="false" outlineLevel="0" collapsed="false">
      <c r="A214" s="45" t="s">
        <v>302</v>
      </c>
      <c r="B214" s="45" t="s">
        <v>299</v>
      </c>
      <c r="C214" s="46" t="n">
        <v>45991</v>
      </c>
      <c r="D214" s="45" t="s">
        <v>404</v>
      </c>
      <c r="E214" s="45" t="n">
        <v>162.75</v>
      </c>
      <c r="F214" s="45" t="n">
        <v>0</v>
      </c>
      <c r="G214" s="45" t="n">
        <v>0</v>
      </c>
      <c r="H214" s="45" t="n">
        <v>0</v>
      </c>
      <c r="I214" s="45"/>
    </row>
    <row r="215" customFormat="false" ht="15" hidden="false" customHeight="false" outlineLevel="0" collapsed="false">
      <c r="A215" s="45" t="s">
        <v>302</v>
      </c>
      <c r="B215" s="45" t="s">
        <v>299</v>
      </c>
      <c r="C215" s="46" t="n">
        <v>45991</v>
      </c>
      <c r="D215" s="45" t="s">
        <v>405</v>
      </c>
      <c r="E215" s="45" t="n">
        <v>4019.75</v>
      </c>
      <c r="F215" s="45" t="n">
        <v>0</v>
      </c>
      <c r="G215" s="45" t="n">
        <v>0</v>
      </c>
      <c r="H215" s="45" t="n">
        <v>0</v>
      </c>
      <c r="I215" s="45"/>
    </row>
    <row r="216" customFormat="false" ht="15" hidden="false" customHeight="false" outlineLevel="0" collapsed="false">
      <c r="A216" s="45" t="s">
        <v>306</v>
      </c>
      <c r="B216" s="45" t="s">
        <v>299</v>
      </c>
      <c r="C216" s="46" t="n">
        <v>45991</v>
      </c>
      <c r="D216" s="45" t="s">
        <v>339</v>
      </c>
      <c r="E216" s="45" t="n">
        <v>81.75</v>
      </c>
      <c r="F216" s="45" t="n">
        <v>3</v>
      </c>
      <c r="G216" s="45" t="n">
        <v>95</v>
      </c>
      <c r="H216" s="45" t="n">
        <v>0</v>
      </c>
      <c r="I216" s="45"/>
    </row>
    <row r="217" customFormat="false" ht="15" hidden="false" customHeight="false" outlineLevel="0" collapsed="false">
      <c r="A217" s="45" t="s">
        <v>307</v>
      </c>
      <c r="B217" s="45" t="s">
        <v>167</v>
      </c>
      <c r="C217" s="46" t="n">
        <v>45991</v>
      </c>
      <c r="D217" s="45" t="s">
        <v>384</v>
      </c>
      <c r="E217" s="45" t="n">
        <v>40.25</v>
      </c>
      <c r="F217" s="45" t="n">
        <v>0</v>
      </c>
      <c r="G217" s="45" t="n">
        <v>0</v>
      </c>
      <c r="H217" s="45" t="n">
        <v>0</v>
      </c>
      <c r="I217" s="45"/>
    </row>
    <row r="218" customFormat="false" ht="15" hidden="false" customHeight="false" outlineLevel="0" collapsed="false">
      <c r="A218" s="45" t="s">
        <v>307</v>
      </c>
      <c r="B218" s="45" t="s">
        <v>167</v>
      </c>
      <c r="C218" s="46" t="n">
        <v>45991</v>
      </c>
      <c r="D218" s="45" t="s">
        <v>406</v>
      </c>
      <c r="E218" s="45" t="n">
        <v>16</v>
      </c>
      <c r="F218" s="45" t="n">
        <v>0</v>
      </c>
      <c r="G218" s="45" t="n">
        <v>0</v>
      </c>
      <c r="H218" s="45" t="n">
        <v>0</v>
      </c>
      <c r="I218" s="45"/>
    </row>
    <row r="219" customFormat="false" ht="15" hidden="false" customHeight="false" outlineLevel="0" collapsed="false">
      <c r="A219" s="45" t="s">
        <v>307</v>
      </c>
      <c r="B219" s="45" t="s">
        <v>167</v>
      </c>
      <c r="C219" s="46" t="n">
        <v>45991</v>
      </c>
      <c r="D219" s="45" t="s">
        <v>407</v>
      </c>
      <c r="E219" s="45" t="n">
        <v>181.75</v>
      </c>
      <c r="F219" s="45" t="n">
        <v>94</v>
      </c>
      <c r="G219" s="45" t="n">
        <v>9320</v>
      </c>
      <c r="H219" s="45" t="n">
        <v>10395</v>
      </c>
      <c r="I219" s="45"/>
    </row>
    <row r="220" customFormat="false" ht="15" hidden="false" customHeight="false" outlineLevel="0" collapsed="false">
      <c r="A220" s="45" t="s">
        <v>257</v>
      </c>
      <c r="B220" s="45" t="s">
        <v>250</v>
      </c>
      <c r="C220" s="46" t="n">
        <v>45992</v>
      </c>
      <c r="D220" s="45" t="s">
        <v>263</v>
      </c>
      <c r="E220" s="45" t="n">
        <v>2.25</v>
      </c>
      <c r="F220" s="45" t="n">
        <v>20</v>
      </c>
      <c r="G220" s="45" t="n">
        <v>160</v>
      </c>
      <c r="H220" s="45" t="n">
        <v>0</v>
      </c>
      <c r="I220" s="45"/>
    </row>
    <row r="221" customFormat="false" ht="15" hidden="false" customHeight="false" outlineLevel="0" collapsed="false">
      <c r="A221" s="45" t="s">
        <v>257</v>
      </c>
      <c r="B221" s="45" t="s">
        <v>250</v>
      </c>
      <c r="C221" s="46" t="n">
        <v>45992</v>
      </c>
      <c r="D221" s="45" t="s">
        <v>259</v>
      </c>
      <c r="E221" s="45" t="n">
        <v>1.75</v>
      </c>
      <c r="F221" s="45" t="n">
        <v>0</v>
      </c>
      <c r="G221" s="45" t="n">
        <v>0</v>
      </c>
      <c r="H221" s="45" t="n">
        <v>0</v>
      </c>
      <c r="I221" s="45"/>
    </row>
    <row r="222" customFormat="false" ht="15" hidden="false" customHeight="false" outlineLevel="0" collapsed="false">
      <c r="A222" s="45" t="s">
        <v>376</v>
      </c>
      <c r="B222" s="45" t="s">
        <v>250</v>
      </c>
      <c r="C222" s="46" t="n">
        <v>45992</v>
      </c>
      <c r="D222" s="45" t="s">
        <v>387</v>
      </c>
      <c r="E222" s="45" t="n">
        <v>3.25</v>
      </c>
      <c r="F222" s="45" t="n">
        <v>23</v>
      </c>
      <c r="G222" s="45" t="n">
        <v>110</v>
      </c>
      <c r="H222" s="45" t="n">
        <v>460</v>
      </c>
      <c r="I222" s="45"/>
    </row>
    <row r="223" customFormat="false" ht="15" hidden="false" customHeight="false" outlineLevel="0" collapsed="false">
      <c r="A223" s="45" t="s">
        <v>257</v>
      </c>
      <c r="B223" s="45" t="s">
        <v>250</v>
      </c>
      <c r="C223" s="46" t="n">
        <v>45993</v>
      </c>
      <c r="D223" s="45" t="s">
        <v>267</v>
      </c>
      <c r="E223" s="45" t="n">
        <v>2.75</v>
      </c>
      <c r="F223" s="45" t="n">
        <v>17</v>
      </c>
      <c r="G223" s="45" t="n">
        <v>80</v>
      </c>
      <c r="H223" s="45" t="n">
        <v>0</v>
      </c>
      <c r="I223" s="45"/>
    </row>
    <row r="224" customFormat="false" ht="15" hidden="false" customHeight="false" outlineLevel="0" collapsed="false">
      <c r="A224" s="45" t="s">
        <v>257</v>
      </c>
      <c r="B224" s="45" t="s">
        <v>250</v>
      </c>
      <c r="C224" s="46" t="n">
        <v>45993</v>
      </c>
      <c r="D224" s="45" t="s">
        <v>372</v>
      </c>
      <c r="E224" s="45" t="n">
        <v>1.5</v>
      </c>
      <c r="F224" s="45" t="n">
        <v>0</v>
      </c>
      <c r="G224" s="45" t="n">
        <v>0</v>
      </c>
      <c r="H224" s="45" t="n">
        <v>0</v>
      </c>
      <c r="I224" s="45"/>
    </row>
    <row r="225" customFormat="false" ht="15" hidden="false" customHeight="false" outlineLevel="0" collapsed="false">
      <c r="A225" s="45" t="s">
        <v>376</v>
      </c>
      <c r="B225" s="45" t="s">
        <v>250</v>
      </c>
      <c r="C225" s="46" t="n">
        <v>46004</v>
      </c>
      <c r="D225" s="45" t="s">
        <v>408</v>
      </c>
      <c r="E225" s="45" t="n">
        <v>3.25</v>
      </c>
      <c r="F225" s="45" t="n">
        <v>13</v>
      </c>
      <c r="G225" s="45" t="n">
        <v>190</v>
      </c>
      <c r="H225" s="45" t="n">
        <v>260</v>
      </c>
      <c r="I225" s="45"/>
    </row>
    <row r="226" customFormat="false" ht="15" hidden="false" customHeight="false" outlineLevel="0" collapsed="false">
      <c r="A226" s="45" t="s">
        <v>257</v>
      </c>
      <c r="B226" s="45" t="s">
        <v>250</v>
      </c>
      <c r="C226" s="46" t="n">
        <v>46008</v>
      </c>
      <c r="D226" s="45" t="s">
        <v>251</v>
      </c>
      <c r="E226" s="45" t="n">
        <v>2.5</v>
      </c>
      <c r="F226" s="45" t="n">
        <v>20</v>
      </c>
      <c r="G226" s="45" t="n">
        <v>150</v>
      </c>
      <c r="H226" s="45" t="n">
        <v>0</v>
      </c>
      <c r="I226" s="45"/>
    </row>
    <row r="227" customFormat="false" ht="15" hidden="false" customHeight="false" outlineLevel="0" collapsed="false">
      <c r="A227" s="45" t="s">
        <v>257</v>
      </c>
      <c r="B227" s="45" t="s">
        <v>250</v>
      </c>
      <c r="C227" s="46" t="n">
        <v>46008</v>
      </c>
      <c r="D227" s="45" t="s">
        <v>268</v>
      </c>
      <c r="E227" s="45" t="n">
        <v>1.75</v>
      </c>
      <c r="F227" s="45" t="n">
        <v>0</v>
      </c>
      <c r="G227" s="45" t="n">
        <v>0</v>
      </c>
      <c r="H227" s="45" t="n">
        <v>0</v>
      </c>
      <c r="I227" s="45"/>
    </row>
    <row r="228" customFormat="false" ht="15" hidden="false" customHeight="false" outlineLevel="0" collapsed="false">
      <c r="A228" s="45" t="s">
        <v>344</v>
      </c>
      <c r="B228" s="45" t="s">
        <v>285</v>
      </c>
      <c r="C228" s="46" t="n">
        <v>46015</v>
      </c>
      <c r="D228" s="45" t="s">
        <v>345</v>
      </c>
      <c r="E228" s="45" t="n">
        <v>2.25</v>
      </c>
      <c r="F228" s="45" t="n">
        <v>9</v>
      </c>
      <c r="G228" s="45" t="n">
        <v>50</v>
      </c>
      <c r="H228" s="45" t="n">
        <v>0</v>
      </c>
      <c r="I228" s="45"/>
    </row>
    <row r="229" customFormat="false" ht="15" hidden="false" customHeight="false" outlineLevel="0" collapsed="false">
      <c r="A229" s="45" t="s">
        <v>344</v>
      </c>
      <c r="B229" s="45" t="s">
        <v>285</v>
      </c>
      <c r="C229" s="46" t="n">
        <v>46015</v>
      </c>
      <c r="D229" s="45" t="s">
        <v>342</v>
      </c>
      <c r="E229" s="45" t="n">
        <v>2</v>
      </c>
      <c r="F229" s="45" t="n">
        <v>0</v>
      </c>
      <c r="G229" s="45" t="n">
        <v>0</v>
      </c>
      <c r="H229" s="45" t="n">
        <v>0</v>
      </c>
      <c r="I229" s="45"/>
    </row>
    <row r="230" customFormat="false" ht="15" hidden="false" customHeight="false" outlineLevel="0" collapsed="false">
      <c r="A230" s="45" t="s">
        <v>257</v>
      </c>
      <c r="B230" s="45" t="s">
        <v>250</v>
      </c>
      <c r="C230" s="46" t="n">
        <v>46016</v>
      </c>
      <c r="D230" s="45" t="s">
        <v>409</v>
      </c>
      <c r="E230" s="45" t="n">
        <v>2</v>
      </c>
      <c r="F230" s="45" t="n">
        <v>16</v>
      </c>
      <c r="G230" s="45" t="n">
        <v>80</v>
      </c>
      <c r="H230" s="45" t="n">
        <v>0</v>
      </c>
      <c r="I230" s="45"/>
    </row>
    <row r="231" customFormat="false" ht="15" hidden="false" customHeight="false" outlineLevel="0" collapsed="false">
      <c r="A231" s="45" t="s">
        <v>257</v>
      </c>
      <c r="B231" s="45" t="s">
        <v>250</v>
      </c>
      <c r="C231" s="46" t="n">
        <v>46016</v>
      </c>
      <c r="D231" s="45" t="s">
        <v>410</v>
      </c>
      <c r="E231" s="45" t="n">
        <v>1.75</v>
      </c>
      <c r="F231" s="45" t="n">
        <v>0</v>
      </c>
      <c r="G231" s="45" t="n">
        <v>0</v>
      </c>
      <c r="H231" s="45" t="n">
        <v>0</v>
      </c>
      <c r="I231" s="45"/>
    </row>
    <row r="232" customFormat="false" ht="15" hidden="false" customHeight="false" outlineLevel="0" collapsed="false">
      <c r="A232" s="45" t="s">
        <v>257</v>
      </c>
      <c r="B232" s="45" t="s">
        <v>250</v>
      </c>
      <c r="C232" s="46" t="n">
        <v>46017</v>
      </c>
      <c r="D232" s="45" t="s">
        <v>276</v>
      </c>
      <c r="E232" s="45" t="n">
        <v>2</v>
      </c>
      <c r="F232" s="45" t="n">
        <v>15</v>
      </c>
      <c r="G232" s="45" t="n">
        <v>165</v>
      </c>
      <c r="H232" s="45" t="n">
        <v>0</v>
      </c>
      <c r="I232" s="45"/>
    </row>
    <row r="233" customFormat="false" ht="15" hidden="false" customHeight="false" outlineLevel="0" collapsed="false">
      <c r="A233" s="45" t="s">
        <v>257</v>
      </c>
      <c r="B233" s="45" t="s">
        <v>250</v>
      </c>
      <c r="C233" s="46" t="n">
        <v>46017</v>
      </c>
      <c r="D233" s="45" t="s">
        <v>411</v>
      </c>
      <c r="E233" s="45" t="n">
        <v>1.75</v>
      </c>
      <c r="F233" s="45" t="n">
        <v>0</v>
      </c>
      <c r="G233" s="45" t="n">
        <v>0</v>
      </c>
      <c r="H233" s="45" t="n">
        <v>0</v>
      </c>
      <c r="I233" s="45"/>
    </row>
    <row r="234" customFormat="false" ht="15" hidden="false" customHeight="false" outlineLevel="0" collapsed="false">
      <c r="A234" s="45" t="s">
        <v>257</v>
      </c>
      <c r="B234" s="45" t="s">
        <v>250</v>
      </c>
      <c r="C234" s="46" t="n">
        <v>46018</v>
      </c>
      <c r="D234" s="45" t="s">
        <v>341</v>
      </c>
      <c r="E234" s="45" t="n">
        <v>2.5</v>
      </c>
      <c r="F234" s="45" t="n">
        <v>9</v>
      </c>
      <c r="G234" s="45" t="n">
        <v>60</v>
      </c>
      <c r="H234" s="45" t="n">
        <v>0</v>
      </c>
      <c r="I234" s="45"/>
    </row>
    <row r="235" customFormat="false" ht="15" hidden="false" customHeight="false" outlineLevel="0" collapsed="false">
      <c r="A235" s="45" t="s">
        <v>257</v>
      </c>
      <c r="B235" s="45" t="s">
        <v>250</v>
      </c>
      <c r="C235" s="46" t="n">
        <v>46018</v>
      </c>
      <c r="D235" s="45" t="s">
        <v>259</v>
      </c>
      <c r="E235" s="45" t="n">
        <v>1.75</v>
      </c>
      <c r="F235" s="45" t="n">
        <v>0</v>
      </c>
      <c r="G235" s="45" t="n">
        <v>0</v>
      </c>
      <c r="H235" s="45" t="n">
        <v>0</v>
      </c>
      <c r="I235" s="45"/>
    </row>
    <row r="236" customFormat="false" ht="15" hidden="false" customHeight="false" outlineLevel="0" collapsed="false">
      <c r="A236" s="45" t="s">
        <v>260</v>
      </c>
      <c r="B236" s="45" t="s">
        <v>261</v>
      </c>
      <c r="C236" s="46" t="n">
        <v>46021</v>
      </c>
      <c r="D236" s="45" t="s">
        <v>340</v>
      </c>
      <c r="E236" s="45" t="n">
        <v>3.5</v>
      </c>
      <c r="F236" s="45" t="n">
        <v>70</v>
      </c>
      <c r="G236" s="45" t="n">
        <v>60</v>
      </c>
      <c r="H236" s="45" t="n">
        <v>0</v>
      </c>
      <c r="I236" s="45"/>
    </row>
    <row r="237" customFormat="false" ht="15" hidden="false" customHeight="false" outlineLevel="0" collapsed="false">
      <c r="A237" s="45" t="s">
        <v>311</v>
      </c>
      <c r="B237" s="45" t="s">
        <v>312</v>
      </c>
      <c r="C237" s="46" t="n">
        <v>46021</v>
      </c>
      <c r="D237" s="45" t="s">
        <v>363</v>
      </c>
      <c r="E237" s="45" t="n">
        <v>2.25</v>
      </c>
      <c r="F237" s="45" t="n">
        <v>0</v>
      </c>
      <c r="G237" s="45" t="n">
        <v>0</v>
      </c>
      <c r="H237" s="45" t="n">
        <v>0</v>
      </c>
      <c r="I237" s="45"/>
    </row>
    <row r="238" customFormat="false" ht="15" hidden="false" customHeight="false" outlineLevel="0" collapsed="false">
      <c r="A238" s="45" t="s">
        <v>311</v>
      </c>
      <c r="B238" s="45" t="s">
        <v>312</v>
      </c>
      <c r="C238" s="46" t="n">
        <v>46021</v>
      </c>
      <c r="D238" s="45" t="s">
        <v>321</v>
      </c>
      <c r="E238" s="45" t="n">
        <v>2.75</v>
      </c>
      <c r="F238" s="45" t="n">
        <v>0</v>
      </c>
      <c r="G238" s="45" t="n">
        <v>50</v>
      </c>
      <c r="H238" s="45" t="n">
        <v>0</v>
      </c>
      <c r="I238" s="45"/>
    </row>
    <row r="239" customFormat="false" ht="15" hidden="false" customHeight="false" outlineLevel="0" collapsed="false">
      <c r="A239" s="45" t="s">
        <v>277</v>
      </c>
      <c r="B239" s="45" t="s">
        <v>261</v>
      </c>
      <c r="C239" s="46" t="n">
        <v>46022</v>
      </c>
      <c r="D239" s="45" t="s">
        <v>360</v>
      </c>
      <c r="E239" s="45" t="n">
        <v>73.75</v>
      </c>
      <c r="F239" s="45" t="n">
        <v>0</v>
      </c>
      <c r="G239" s="45" t="n">
        <v>0</v>
      </c>
      <c r="H239" s="45" t="n">
        <v>0</v>
      </c>
      <c r="I239" s="45"/>
    </row>
    <row r="240" customFormat="false" ht="15" hidden="false" customHeight="false" outlineLevel="0" collapsed="false">
      <c r="A240" s="45" t="s">
        <v>277</v>
      </c>
      <c r="B240" s="45" t="s">
        <v>261</v>
      </c>
      <c r="C240" s="46" t="n">
        <v>46022</v>
      </c>
      <c r="D240" s="45" t="s">
        <v>412</v>
      </c>
      <c r="E240" s="45" t="n">
        <v>123.5</v>
      </c>
      <c r="F240" s="45" t="n">
        <v>0</v>
      </c>
      <c r="G240" s="45" t="n">
        <v>0</v>
      </c>
      <c r="H240" s="45" t="n">
        <v>0</v>
      </c>
      <c r="I240" s="45"/>
    </row>
    <row r="241" customFormat="false" ht="15" hidden="false" customHeight="false" outlineLevel="0" collapsed="false">
      <c r="A241" s="45" t="s">
        <v>277</v>
      </c>
      <c r="B241" s="45" t="s">
        <v>261</v>
      </c>
      <c r="C241" s="46" t="n">
        <v>46022</v>
      </c>
      <c r="D241" s="45" t="s">
        <v>357</v>
      </c>
      <c r="E241" s="45" t="n">
        <v>122</v>
      </c>
      <c r="F241" s="45" t="n">
        <v>264</v>
      </c>
      <c r="G241" s="45" t="n">
        <v>6205</v>
      </c>
      <c r="H241" s="45" t="n">
        <v>0</v>
      </c>
      <c r="I241" s="45"/>
    </row>
    <row r="242" customFormat="false" ht="15" hidden="false" customHeight="false" outlineLevel="0" collapsed="false">
      <c r="A242" s="45" t="s">
        <v>376</v>
      </c>
      <c r="B242" s="45" t="s">
        <v>250</v>
      </c>
      <c r="C242" s="46" t="n">
        <v>46022</v>
      </c>
      <c r="D242" s="45" t="s">
        <v>413</v>
      </c>
      <c r="E242" s="45" t="n">
        <v>3.25</v>
      </c>
      <c r="F242" s="45" t="n">
        <v>18</v>
      </c>
      <c r="G242" s="45" t="n">
        <v>170</v>
      </c>
      <c r="H242" s="45" t="n">
        <v>360</v>
      </c>
      <c r="I242" s="45"/>
    </row>
    <row r="243" customFormat="false" ht="15" hidden="false" customHeight="false" outlineLevel="0" collapsed="false">
      <c r="A243" s="45" t="s">
        <v>344</v>
      </c>
      <c r="B243" s="45" t="s">
        <v>285</v>
      </c>
      <c r="C243" s="46" t="n">
        <v>46022</v>
      </c>
      <c r="D243" s="45" t="s">
        <v>345</v>
      </c>
      <c r="E243" s="45" t="n">
        <v>2</v>
      </c>
      <c r="F243" s="45" t="n">
        <v>12</v>
      </c>
      <c r="G243" s="45" t="n">
        <v>35</v>
      </c>
      <c r="H243" s="45" t="n">
        <v>0</v>
      </c>
      <c r="I243" s="45"/>
    </row>
    <row r="244" customFormat="false" ht="15" hidden="false" customHeight="false" outlineLevel="0" collapsed="false">
      <c r="A244" s="45" t="s">
        <v>344</v>
      </c>
      <c r="B244" s="45" t="s">
        <v>285</v>
      </c>
      <c r="C244" s="46" t="n">
        <v>46022</v>
      </c>
      <c r="D244" s="45" t="s">
        <v>342</v>
      </c>
      <c r="E244" s="45" t="n">
        <v>1.5</v>
      </c>
      <c r="F244" s="45" t="n">
        <v>0</v>
      </c>
      <c r="G244" s="45" t="n">
        <v>0</v>
      </c>
      <c r="H244" s="45" t="n">
        <v>0</v>
      </c>
      <c r="I244" s="45"/>
    </row>
    <row r="245" customFormat="false" ht="15" hidden="false" customHeight="false" outlineLevel="0" collapsed="false">
      <c r="A245" s="45" t="s">
        <v>281</v>
      </c>
      <c r="B245" s="45" t="s">
        <v>261</v>
      </c>
      <c r="C245" s="46" t="n">
        <v>46022</v>
      </c>
      <c r="D245" s="45" t="s">
        <v>414</v>
      </c>
      <c r="E245" s="45" t="n">
        <v>50.25</v>
      </c>
      <c r="F245" s="45" t="n">
        <v>289</v>
      </c>
      <c r="G245" s="45" t="n">
        <v>3925</v>
      </c>
      <c r="H245" s="45" t="n">
        <v>0</v>
      </c>
      <c r="I245" s="45"/>
    </row>
    <row r="246" customFormat="false" ht="15" hidden="false" customHeight="false" outlineLevel="0" collapsed="false">
      <c r="A246" s="45" t="s">
        <v>281</v>
      </c>
      <c r="B246" s="45" t="s">
        <v>261</v>
      </c>
      <c r="C246" s="46" t="n">
        <v>46022</v>
      </c>
      <c r="D246" s="45" t="s">
        <v>415</v>
      </c>
      <c r="E246" s="45" t="n">
        <v>16.25</v>
      </c>
      <c r="F246" s="45" t="n">
        <v>0</v>
      </c>
      <c r="G246" s="45" t="n">
        <v>0</v>
      </c>
      <c r="H246" s="45" t="n">
        <v>0</v>
      </c>
      <c r="I246" s="45"/>
    </row>
    <row r="247" customFormat="false" ht="15" hidden="false" customHeight="false" outlineLevel="0" collapsed="false">
      <c r="A247" s="45" t="s">
        <v>281</v>
      </c>
      <c r="B247" s="45" t="s">
        <v>261</v>
      </c>
      <c r="C247" s="46" t="n">
        <v>46022</v>
      </c>
      <c r="D247" s="45" t="s">
        <v>325</v>
      </c>
      <c r="E247" s="45" t="n">
        <v>43.75</v>
      </c>
      <c r="F247" s="45" t="n">
        <v>0</v>
      </c>
      <c r="G247" s="45" t="n">
        <v>0</v>
      </c>
      <c r="H247" s="45" t="n">
        <v>0</v>
      </c>
      <c r="I247" s="45"/>
    </row>
    <row r="248" customFormat="false" ht="15" hidden="false" customHeight="false" outlineLevel="0" collapsed="false">
      <c r="A248" s="45" t="s">
        <v>284</v>
      </c>
      <c r="B248" s="45" t="s">
        <v>285</v>
      </c>
      <c r="C248" s="46" t="n">
        <v>46022</v>
      </c>
      <c r="D248" s="45" t="s">
        <v>286</v>
      </c>
      <c r="E248" s="45" t="n">
        <v>383.5</v>
      </c>
      <c r="F248" s="45" t="n">
        <v>435</v>
      </c>
      <c r="G248" s="45" t="n">
        <v>2335</v>
      </c>
      <c r="H248" s="45" t="n">
        <v>0</v>
      </c>
      <c r="I248" s="45"/>
    </row>
    <row r="249" customFormat="false" ht="15" hidden="false" customHeight="false" outlineLevel="0" collapsed="false">
      <c r="A249" s="45" t="s">
        <v>284</v>
      </c>
      <c r="B249" s="45" t="s">
        <v>285</v>
      </c>
      <c r="C249" s="46" t="n">
        <v>46022</v>
      </c>
      <c r="D249" s="45" t="s">
        <v>289</v>
      </c>
      <c r="E249" s="45" t="n">
        <v>159.5</v>
      </c>
      <c r="F249" s="45" t="n">
        <v>0</v>
      </c>
      <c r="G249" s="45" t="n">
        <v>0</v>
      </c>
      <c r="H249" s="45" t="n">
        <v>0</v>
      </c>
      <c r="I249" s="45"/>
    </row>
    <row r="250" customFormat="false" ht="15" hidden="false" customHeight="false" outlineLevel="0" collapsed="false">
      <c r="A250" s="45" t="s">
        <v>288</v>
      </c>
      <c r="B250" s="45" t="s">
        <v>285</v>
      </c>
      <c r="C250" s="46" t="n">
        <v>46022</v>
      </c>
      <c r="D250" s="45" t="s">
        <v>416</v>
      </c>
      <c r="E250" s="45" t="n">
        <v>81.25</v>
      </c>
      <c r="F250" s="45" t="n">
        <v>0</v>
      </c>
      <c r="G250" s="45" t="n">
        <v>0</v>
      </c>
      <c r="H250" s="45" t="n">
        <v>0</v>
      </c>
      <c r="I250" s="45"/>
    </row>
    <row r="251" customFormat="false" ht="15" hidden="false" customHeight="false" outlineLevel="0" collapsed="false">
      <c r="A251" s="45" t="s">
        <v>288</v>
      </c>
      <c r="B251" s="45" t="s">
        <v>285</v>
      </c>
      <c r="C251" s="46" t="n">
        <v>46022</v>
      </c>
      <c r="D251" s="45" t="s">
        <v>417</v>
      </c>
      <c r="E251" s="45" t="n">
        <v>32.5</v>
      </c>
      <c r="F251" s="45" t="n">
        <v>185</v>
      </c>
      <c r="G251" s="45" t="n">
        <v>20895</v>
      </c>
      <c r="H251" s="45" t="n">
        <v>0</v>
      </c>
      <c r="I251" s="45"/>
    </row>
    <row r="252" customFormat="false" ht="15" hidden="false" customHeight="false" outlineLevel="0" collapsed="false">
      <c r="A252" s="45" t="s">
        <v>290</v>
      </c>
      <c r="B252" s="45" t="s">
        <v>291</v>
      </c>
      <c r="C252" s="46" t="n">
        <v>46022</v>
      </c>
      <c r="D252" s="45" t="s">
        <v>292</v>
      </c>
      <c r="E252" s="45" t="n">
        <v>41.5</v>
      </c>
      <c r="F252" s="45" t="n">
        <v>0</v>
      </c>
      <c r="G252" s="45" t="n">
        <v>2045</v>
      </c>
      <c r="H252" s="45" t="n">
        <v>0</v>
      </c>
      <c r="I252" s="45"/>
    </row>
    <row r="253" customFormat="false" ht="15" hidden="false" customHeight="false" outlineLevel="0" collapsed="false">
      <c r="A253" s="45" t="s">
        <v>290</v>
      </c>
      <c r="B253" s="45" t="s">
        <v>291</v>
      </c>
      <c r="C253" s="46" t="n">
        <v>46022</v>
      </c>
      <c r="D253" s="45" t="s">
        <v>362</v>
      </c>
      <c r="E253" s="45" t="n">
        <v>20.75</v>
      </c>
      <c r="F253" s="45" t="n">
        <v>0</v>
      </c>
      <c r="G253" s="45" t="n">
        <v>0</v>
      </c>
      <c r="H253" s="45" t="n">
        <v>0</v>
      </c>
      <c r="I253" s="45"/>
    </row>
    <row r="254" customFormat="false" ht="15" hidden="false" customHeight="false" outlineLevel="0" collapsed="false">
      <c r="A254" s="45" t="s">
        <v>294</v>
      </c>
      <c r="B254" s="45" t="s">
        <v>291</v>
      </c>
      <c r="C254" s="46" t="n">
        <v>46022</v>
      </c>
      <c r="D254" s="45" t="s">
        <v>418</v>
      </c>
      <c r="E254" s="45" t="n">
        <v>73.5</v>
      </c>
      <c r="F254" s="45" t="n">
        <v>0</v>
      </c>
      <c r="G254" s="45" t="n">
        <v>0</v>
      </c>
      <c r="H254" s="45" t="n">
        <v>0</v>
      </c>
      <c r="I254" s="45"/>
    </row>
    <row r="255" customFormat="false" ht="15" hidden="false" customHeight="false" outlineLevel="0" collapsed="false">
      <c r="A255" s="45" t="s">
        <v>294</v>
      </c>
      <c r="B255" s="45" t="s">
        <v>291</v>
      </c>
      <c r="C255" s="46" t="n">
        <v>46022</v>
      </c>
      <c r="D255" s="45" t="s">
        <v>419</v>
      </c>
      <c r="E255" s="45" t="n">
        <v>76.75</v>
      </c>
      <c r="F255" s="45" t="n">
        <v>0</v>
      </c>
      <c r="G255" s="45" t="n">
        <v>1000</v>
      </c>
      <c r="H255" s="45" t="n">
        <v>0</v>
      </c>
      <c r="I255" s="45"/>
    </row>
    <row r="256" customFormat="false" ht="15" hidden="false" customHeight="false" outlineLevel="0" collapsed="false">
      <c r="A256" s="45" t="s">
        <v>271</v>
      </c>
      <c r="B256" s="45" t="s">
        <v>250</v>
      </c>
      <c r="C256" s="46" t="n">
        <v>46022</v>
      </c>
      <c r="D256" s="45" t="s">
        <v>276</v>
      </c>
      <c r="E256" s="45" t="n">
        <v>3</v>
      </c>
      <c r="F256" s="45" t="n">
        <v>0</v>
      </c>
      <c r="G256" s="45" t="n">
        <v>0</v>
      </c>
      <c r="H256" s="45" t="n">
        <v>0</v>
      </c>
      <c r="I256" s="45"/>
    </row>
    <row r="257" customFormat="false" ht="15" hidden="false" customHeight="false" outlineLevel="0" collapsed="false">
      <c r="A257" s="45" t="s">
        <v>271</v>
      </c>
      <c r="B257" s="45" t="s">
        <v>250</v>
      </c>
      <c r="C257" s="46" t="n">
        <v>46022</v>
      </c>
      <c r="D257" s="45" t="s">
        <v>400</v>
      </c>
      <c r="E257" s="45" t="n">
        <v>2.5</v>
      </c>
      <c r="F257" s="45" t="n">
        <v>24</v>
      </c>
      <c r="G257" s="45" t="n">
        <v>1220</v>
      </c>
      <c r="H257" s="45" t="n">
        <v>800</v>
      </c>
      <c r="I257" s="45"/>
    </row>
    <row r="258" customFormat="false" ht="15" hidden="false" customHeight="false" outlineLevel="0" collapsed="false">
      <c r="A258" s="45" t="s">
        <v>296</v>
      </c>
      <c r="B258" s="45" t="s">
        <v>285</v>
      </c>
      <c r="C258" s="46" t="n">
        <v>46022</v>
      </c>
      <c r="D258" s="45" t="s">
        <v>420</v>
      </c>
      <c r="E258" s="45" t="n">
        <v>83.25</v>
      </c>
      <c r="F258" s="45" t="n">
        <v>213</v>
      </c>
      <c r="G258" s="45" t="n">
        <v>0</v>
      </c>
      <c r="H258" s="45" t="n">
        <v>0</v>
      </c>
      <c r="I258" s="45"/>
    </row>
    <row r="259" customFormat="false" ht="15" hidden="false" customHeight="false" outlineLevel="0" collapsed="false">
      <c r="A259" s="45" t="s">
        <v>298</v>
      </c>
      <c r="B259" s="45" t="s">
        <v>299</v>
      </c>
      <c r="C259" s="46" t="n">
        <v>46022</v>
      </c>
      <c r="D259" s="45" t="s">
        <v>421</v>
      </c>
      <c r="E259" s="45" t="n">
        <v>57</v>
      </c>
      <c r="F259" s="45" t="n">
        <v>15</v>
      </c>
      <c r="G259" s="45" t="n">
        <v>385</v>
      </c>
      <c r="H259" s="45" t="n">
        <v>0</v>
      </c>
      <c r="I259" s="45"/>
    </row>
    <row r="260" customFormat="false" ht="15" hidden="false" customHeight="false" outlineLevel="0" collapsed="false">
      <c r="A260" s="45" t="s">
        <v>298</v>
      </c>
      <c r="B260" s="45" t="s">
        <v>299</v>
      </c>
      <c r="C260" s="46" t="n">
        <v>46022</v>
      </c>
      <c r="D260" s="45" t="s">
        <v>325</v>
      </c>
      <c r="E260" s="45" t="n">
        <v>85.75</v>
      </c>
      <c r="F260" s="45" t="n">
        <v>0</v>
      </c>
      <c r="G260" s="45" t="n">
        <v>0</v>
      </c>
      <c r="H260" s="45" t="n">
        <v>0</v>
      </c>
      <c r="I260" s="45"/>
    </row>
    <row r="261" customFormat="false" ht="15" hidden="false" customHeight="false" outlineLevel="0" collapsed="false">
      <c r="A261" s="45" t="s">
        <v>302</v>
      </c>
      <c r="B261" s="45" t="s">
        <v>299</v>
      </c>
      <c r="C261" s="46" t="n">
        <v>46022</v>
      </c>
      <c r="D261" s="45" t="s">
        <v>303</v>
      </c>
      <c r="E261" s="45" t="n">
        <v>414</v>
      </c>
      <c r="F261" s="45" t="n">
        <v>0</v>
      </c>
      <c r="G261" s="45" t="n">
        <v>44745</v>
      </c>
      <c r="H261" s="45" t="n">
        <v>174555</v>
      </c>
      <c r="I261" s="45"/>
    </row>
    <row r="262" customFormat="false" ht="15" hidden="false" customHeight="false" outlineLevel="0" collapsed="false">
      <c r="A262" s="45" t="s">
        <v>302</v>
      </c>
      <c r="B262" s="45" t="s">
        <v>299</v>
      </c>
      <c r="C262" s="46" t="n">
        <v>46022</v>
      </c>
      <c r="D262" s="45" t="s">
        <v>337</v>
      </c>
      <c r="E262" s="45" t="n">
        <v>167.5</v>
      </c>
      <c r="F262" s="45" t="n">
        <v>0</v>
      </c>
      <c r="G262" s="45" t="n">
        <v>0</v>
      </c>
      <c r="H262" s="45" t="n">
        <v>0</v>
      </c>
      <c r="I262" s="45"/>
    </row>
    <row r="263" customFormat="false" ht="15" hidden="false" customHeight="false" outlineLevel="0" collapsed="false">
      <c r="A263" s="45" t="s">
        <v>302</v>
      </c>
      <c r="B263" s="45" t="s">
        <v>299</v>
      </c>
      <c r="C263" s="46" t="n">
        <v>46022</v>
      </c>
      <c r="D263" s="45" t="s">
        <v>389</v>
      </c>
      <c r="E263" s="45" t="n">
        <v>4291.25</v>
      </c>
      <c r="F263" s="45" t="n">
        <v>0</v>
      </c>
      <c r="G263" s="45" t="n">
        <v>0</v>
      </c>
      <c r="H263" s="45" t="n">
        <v>0</v>
      </c>
      <c r="I263" s="45"/>
    </row>
    <row r="264" customFormat="false" ht="15" hidden="false" customHeight="false" outlineLevel="0" collapsed="false">
      <c r="A264" s="45" t="s">
        <v>306</v>
      </c>
      <c r="B264" s="45" t="s">
        <v>299</v>
      </c>
      <c r="C264" s="46" t="n">
        <v>46022</v>
      </c>
      <c r="D264" s="45" t="s">
        <v>283</v>
      </c>
      <c r="E264" s="45" t="n">
        <v>76.75</v>
      </c>
      <c r="F264" s="45" t="n">
        <v>4</v>
      </c>
      <c r="G264" s="45" t="n">
        <v>185</v>
      </c>
      <c r="H264" s="45" t="n">
        <v>0</v>
      </c>
      <c r="I264" s="45"/>
    </row>
    <row r="265" customFormat="false" ht="15" hidden="false" customHeight="false" outlineLevel="0" collapsed="false">
      <c r="A265" s="45" t="s">
        <v>307</v>
      </c>
      <c r="B265" s="45" t="s">
        <v>167</v>
      </c>
      <c r="C265" s="46" t="n">
        <v>46022</v>
      </c>
      <c r="D265" s="45" t="s">
        <v>422</v>
      </c>
      <c r="E265" s="45" t="n">
        <v>49.25</v>
      </c>
      <c r="F265" s="45" t="n">
        <v>0</v>
      </c>
      <c r="G265" s="45" t="n">
        <v>0</v>
      </c>
      <c r="H265" s="45" t="n">
        <v>0</v>
      </c>
      <c r="I265" s="45"/>
    </row>
    <row r="266" customFormat="false" ht="15" hidden="false" customHeight="false" outlineLevel="0" collapsed="false">
      <c r="A266" s="45" t="s">
        <v>307</v>
      </c>
      <c r="B266" s="45" t="s">
        <v>167</v>
      </c>
      <c r="C266" s="46" t="n">
        <v>46022</v>
      </c>
      <c r="D266" s="45" t="s">
        <v>423</v>
      </c>
      <c r="E266" s="45" t="n">
        <v>16.75</v>
      </c>
      <c r="F266" s="45" t="n">
        <v>0</v>
      </c>
      <c r="G266" s="45" t="n">
        <v>0</v>
      </c>
      <c r="H266" s="45" t="n">
        <v>0</v>
      </c>
      <c r="I266" s="45"/>
    </row>
    <row r="267" customFormat="false" ht="15" hidden="false" customHeight="false" outlineLevel="0" collapsed="false">
      <c r="A267" s="45" t="s">
        <v>307</v>
      </c>
      <c r="B267" s="45" t="s">
        <v>167</v>
      </c>
      <c r="C267" s="46" t="n">
        <v>46022</v>
      </c>
      <c r="D267" s="45" t="s">
        <v>424</v>
      </c>
      <c r="E267" s="45" t="n">
        <v>158.75</v>
      </c>
      <c r="F267" s="45" t="n">
        <v>104</v>
      </c>
      <c r="G267" s="45" t="n">
        <v>7625</v>
      </c>
      <c r="H267" s="45" t="n">
        <v>12780</v>
      </c>
      <c r="I267" s="45"/>
    </row>
    <row r="268" customFormat="false" ht="15" hidden="false" customHeight="false" outlineLevel="0" collapsed="false">
      <c r="A268" s="45" t="s">
        <v>271</v>
      </c>
      <c r="B268" s="45" t="s">
        <v>250</v>
      </c>
      <c r="C268" s="46" t="n">
        <v>46024</v>
      </c>
      <c r="D268" s="45" t="s">
        <v>315</v>
      </c>
      <c r="E268" s="45" t="n">
        <v>3</v>
      </c>
      <c r="F268" s="45" t="n">
        <v>0</v>
      </c>
      <c r="G268" s="45" t="n">
        <v>0</v>
      </c>
      <c r="H268" s="45" t="n">
        <v>0</v>
      </c>
      <c r="I268" s="45"/>
    </row>
    <row r="269" customFormat="false" ht="15" hidden="false" customHeight="false" outlineLevel="0" collapsed="false">
      <c r="A269" s="45" t="s">
        <v>271</v>
      </c>
      <c r="B269" s="45" t="s">
        <v>250</v>
      </c>
      <c r="C269" s="46" t="n">
        <v>46024</v>
      </c>
      <c r="D269" s="45" t="s">
        <v>400</v>
      </c>
      <c r="E269" s="45" t="n">
        <v>2.5</v>
      </c>
      <c r="F269" s="45" t="n">
        <v>35</v>
      </c>
      <c r="G269" s="45" t="n">
        <v>1105</v>
      </c>
      <c r="H269" s="45" t="n">
        <v>1590</v>
      </c>
      <c r="I269" s="45"/>
    </row>
    <row r="270" customFormat="false" ht="15" hidden="false" customHeight="false" outlineLevel="0" collapsed="false">
      <c r="A270" s="45" t="s">
        <v>257</v>
      </c>
      <c r="B270" s="45" t="s">
        <v>250</v>
      </c>
      <c r="C270" s="46" t="n">
        <v>46025</v>
      </c>
      <c r="D270" s="45" t="s">
        <v>263</v>
      </c>
      <c r="E270" s="45" t="n">
        <v>2.25</v>
      </c>
      <c r="F270" s="45" t="n">
        <v>15</v>
      </c>
      <c r="G270" s="45" t="n">
        <v>150</v>
      </c>
      <c r="H270" s="45" t="n">
        <v>0</v>
      </c>
      <c r="I270" s="45"/>
    </row>
    <row r="271" customFormat="false" ht="15" hidden="false" customHeight="false" outlineLevel="0" collapsed="false">
      <c r="A271" s="45" t="s">
        <v>257</v>
      </c>
      <c r="B271" s="45" t="s">
        <v>250</v>
      </c>
      <c r="C271" s="46" t="n">
        <v>46025</v>
      </c>
      <c r="D271" s="45" t="s">
        <v>268</v>
      </c>
      <c r="E271" s="45" t="n">
        <v>1.5</v>
      </c>
      <c r="F271" s="45" t="n">
        <v>0</v>
      </c>
      <c r="G271" s="45" t="n">
        <v>0</v>
      </c>
      <c r="H271" s="45" t="n">
        <v>0</v>
      </c>
      <c r="I271" s="45"/>
    </row>
    <row r="272" customFormat="false" ht="15" hidden="false" customHeight="false" outlineLevel="0" collapsed="false">
      <c r="A272" s="45" t="s">
        <v>257</v>
      </c>
      <c r="B272" s="45" t="s">
        <v>250</v>
      </c>
      <c r="C272" s="46" t="n">
        <v>46031</v>
      </c>
      <c r="D272" s="45" t="s">
        <v>276</v>
      </c>
      <c r="E272" s="45" t="n">
        <v>2.5</v>
      </c>
      <c r="F272" s="45" t="n">
        <v>20</v>
      </c>
      <c r="G272" s="45" t="n">
        <v>75</v>
      </c>
      <c r="H272" s="45" t="n">
        <v>0</v>
      </c>
      <c r="I272" s="45"/>
    </row>
    <row r="273" customFormat="false" ht="15" hidden="false" customHeight="false" outlineLevel="0" collapsed="false">
      <c r="A273" s="45" t="s">
        <v>257</v>
      </c>
      <c r="B273" s="45" t="s">
        <v>250</v>
      </c>
      <c r="C273" s="46" t="n">
        <v>46031</v>
      </c>
      <c r="D273" s="45" t="s">
        <v>425</v>
      </c>
      <c r="E273" s="45" t="n">
        <v>1.75</v>
      </c>
      <c r="F273" s="45" t="n">
        <v>0</v>
      </c>
      <c r="G273" s="45" t="n">
        <v>0</v>
      </c>
      <c r="H273" s="45" t="n">
        <v>0</v>
      </c>
      <c r="I273" s="45"/>
    </row>
    <row r="274" customFormat="false" ht="15" hidden="false" customHeight="false" outlineLevel="0" collapsed="false">
      <c r="A274" s="45" t="s">
        <v>344</v>
      </c>
      <c r="B274" s="45" t="s">
        <v>285</v>
      </c>
      <c r="C274" s="46" t="n">
        <v>46031</v>
      </c>
      <c r="D274" s="45" t="s">
        <v>426</v>
      </c>
      <c r="E274" s="45" t="n">
        <v>2.25</v>
      </c>
      <c r="F274" s="45" t="n">
        <v>16</v>
      </c>
      <c r="G274" s="45" t="n">
        <v>55</v>
      </c>
      <c r="H274" s="45" t="n">
        <v>0</v>
      </c>
      <c r="I274" s="45"/>
    </row>
    <row r="275" customFormat="false" ht="15" hidden="false" customHeight="false" outlineLevel="0" collapsed="false">
      <c r="A275" s="45" t="s">
        <v>344</v>
      </c>
      <c r="B275" s="45" t="s">
        <v>285</v>
      </c>
      <c r="C275" s="46" t="n">
        <v>46031</v>
      </c>
      <c r="D275" s="45" t="s">
        <v>349</v>
      </c>
      <c r="E275" s="45" t="n">
        <v>1.5</v>
      </c>
      <c r="F275" s="45" t="n">
        <v>0</v>
      </c>
      <c r="G275" s="45" t="n">
        <v>0</v>
      </c>
      <c r="H275" s="45" t="n">
        <v>0</v>
      </c>
      <c r="I275" s="45"/>
    </row>
    <row r="276" customFormat="false" ht="15" hidden="false" customHeight="false" outlineLevel="0" collapsed="false">
      <c r="A276" s="45" t="s">
        <v>427</v>
      </c>
      <c r="B276" s="45" t="s">
        <v>428</v>
      </c>
      <c r="C276" s="46" t="n">
        <v>46032</v>
      </c>
      <c r="D276" s="45" t="s">
        <v>429</v>
      </c>
      <c r="E276" s="45" t="n">
        <v>3.25</v>
      </c>
      <c r="F276" s="45" t="n">
        <v>0</v>
      </c>
      <c r="G276" s="45" t="n">
        <v>3295</v>
      </c>
      <c r="H276" s="45" t="n">
        <v>0</v>
      </c>
      <c r="I276" s="45"/>
    </row>
    <row r="277" customFormat="false" ht="15" hidden="false" customHeight="false" outlineLevel="0" collapsed="false">
      <c r="A277" s="45" t="s">
        <v>427</v>
      </c>
      <c r="B277" s="45" t="s">
        <v>428</v>
      </c>
      <c r="C277" s="46" t="n">
        <v>46032</v>
      </c>
      <c r="D277" s="45" t="s">
        <v>430</v>
      </c>
      <c r="E277" s="45" t="n">
        <v>5.25</v>
      </c>
      <c r="F277" s="45" t="n">
        <v>0</v>
      </c>
      <c r="G277" s="45" t="n">
        <v>0</v>
      </c>
      <c r="H277" s="45" t="n">
        <v>0</v>
      </c>
      <c r="I277" s="45"/>
    </row>
    <row r="278" customFormat="false" ht="15" hidden="false" customHeight="false" outlineLevel="0" collapsed="false">
      <c r="A278" s="45" t="s">
        <v>376</v>
      </c>
      <c r="B278" s="45" t="s">
        <v>250</v>
      </c>
      <c r="C278" s="46" t="n">
        <v>46035</v>
      </c>
      <c r="D278" s="45" t="s">
        <v>421</v>
      </c>
      <c r="E278" s="45" t="n">
        <v>3.25</v>
      </c>
      <c r="F278" s="45" t="n">
        <v>22</v>
      </c>
      <c r="G278" s="45" t="n">
        <v>170</v>
      </c>
      <c r="H278" s="45" t="n">
        <v>440</v>
      </c>
      <c r="I278" s="45"/>
    </row>
    <row r="279" customFormat="false" ht="15" hidden="false" customHeight="false" outlineLevel="0" collapsed="false">
      <c r="A279" s="45" t="s">
        <v>344</v>
      </c>
      <c r="B279" s="45" t="s">
        <v>285</v>
      </c>
      <c r="C279" s="46" t="n">
        <v>46039</v>
      </c>
      <c r="D279" s="45" t="s">
        <v>346</v>
      </c>
      <c r="E279" s="45" t="n">
        <v>2.25</v>
      </c>
      <c r="F279" s="45" t="n">
        <v>9</v>
      </c>
      <c r="G279" s="45" t="n">
        <v>40</v>
      </c>
      <c r="H279" s="45" t="n">
        <v>0</v>
      </c>
      <c r="I279" s="45"/>
    </row>
    <row r="280" customFormat="false" ht="15" hidden="false" customHeight="false" outlineLevel="0" collapsed="false">
      <c r="A280" s="45" t="s">
        <v>344</v>
      </c>
      <c r="B280" s="45" t="s">
        <v>285</v>
      </c>
      <c r="C280" s="46" t="n">
        <v>46039</v>
      </c>
      <c r="D280" s="45" t="s">
        <v>392</v>
      </c>
      <c r="E280" s="45" t="n">
        <v>1.5</v>
      </c>
      <c r="F280" s="45" t="n">
        <v>0</v>
      </c>
      <c r="G280" s="45" t="n">
        <v>0</v>
      </c>
      <c r="H280" s="45" t="n">
        <v>0</v>
      </c>
      <c r="I280" s="45"/>
    </row>
    <row r="281" customFormat="false" ht="15" hidden="false" customHeight="false" outlineLevel="0" collapsed="false">
      <c r="A281" s="45" t="s">
        <v>376</v>
      </c>
      <c r="B281" s="45" t="s">
        <v>250</v>
      </c>
      <c r="C281" s="46" t="n">
        <v>46041</v>
      </c>
      <c r="D281" s="45" t="s">
        <v>387</v>
      </c>
      <c r="E281" s="45" t="n">
        <v>3</v>
      </c>
      <c r="F281" s="45" t="n">
        <v>16</v>
      </c>
      <c r="G281" s="45" t="n">
        <v>160</v>
      </c>
      <c r="H281" s="45" t="n">
        <v>320</v>
      </c>
      <c r="I281" s="45"/>
    </row>
    <row r="282" customFormat="false" ht="15" hidden="false" customHeight="false" outlineLevel="0" collapsed="false">
      <c r="A282" s="45" t="s">
        <v>257</v>
      </c>
      <c r="B282" s="45" t="s">
        <v>250</v>
      </c>
      <c r="C282" s="46" t="n">
        <v>46043</v>
      </c>
      <c r="D282" s="45" t="s">
        <v>263</v>
      </c>
      <c r="E282" s="45" t="n">
        <v>2.5</v>
      </c>
      <c r="F282" s="45" t="n">
        <v>18</v>
      </c>
      <c r="G282" s="45" t="n">
        <v>80</v>
      </c>
      <c r="H282" s="45" t="n">
        <v>0</v>
      </c>
      <c r="I282" s="45"/>
    </row>
    <row r="283" customFormat="false" ht="15" hidden="false" customHeight="false" outlineLevel="0" collapsed="false">
      <c r="A283" s="45" t="s">
        <v>257</v>
      </c>
      <c r="B283" s="45" t="s">
        <v>250</v>
      </c>
      <c r="C283" s="46" t="n">
        <v>46043</v>
      </c>
      <c r="D283" s="45" t="s">
        <v>259</v>
      </c>
      <c r="E283" s="45" t="n">
        <v>1.5</v>
      </c>
      <c r="F283" s="45" t="n">
        <v>0</v>
      </c>
      <c r="G283" s="45" t="n">
        <v>0</v>
      </c>
      <c r="H283" s="45" t="n">
        <v>0</v>
      </c>
      <c r="I283" s="45"/>
    </row>
    <row r="284" customFormat="false" ht="15" hidden="false" customHeight="false" outlineLevel="0" collapsed="false">
      <c r="A284" s="45" t="s">
        <v>344</v>
      </c>
      <c r="B284" s="45" t="s">
        <v>285</v>
      </c>
      <c r="C284" s="46" t="n">
        <v>46046</v>
      </c>
      <c r="D284" s="45" t="s">
        <v>345</v>
      </c>
      <c r="E284" s="45" t="n">
        <v>2</v>
      </c>
      <c r="F284" s="45" t="n">
        <v>13</v>
      </c>
      <c r="G284" s="45" t="n">
        <v>25</v>
      </c>
      <c r="H284" s="45" t="n">
        <v>0</v>
      </c>
      <c r="I284" s="45"/>
    </row>
    <row r="285" customFormat="false" ht="15" hidden="false" customHeight="false" outlineLevel="0" collapsed="false">
      <c r="A285" s="45" t="s">
        <v>344</v>
      </c>
      <c r="B285" s="45" t="s">
        <v>285</v>
      </c>
      <c r="C285" s="46" t="n">
        <v>46046</v>
      </c>
      <c r="D285" s="45" t="s">
        <v>431</v>
      </c>
      <c r="E285" s="45" t="n">
        <v>2</v>
      </c>
      <c r="F285" s="45" t="n">
        <v>0</v>
      </c>
      <c r="G285" s="45" t="n">
        <v>0</v>
      </c>
      <c r="H285" s="45" t="n">
        <v>0</v>
      </c>
      <c r="I285" s="45"/>
    </row>
    <row r="286" customFormat="false" ht="15" hidden="false" customHeight="false" outlineLevel="0" collapsed="false">
      <c r="A286" s="45" t="s">
        <v>311</v>
      </c>
      <c r="B286" s="45" t="s">
        <v>312</v>
      </c>
      <c r="C286" s="46" t="n">
        <v>46046</v>
      </c>
      <c r="D286" s="45" t="s">
        <v>432</v>
      </c>
      <c r="E286" s="45" t="n">
        <v>2.5</v>
      </c>
      <c r="F286" s="45" t="n">
        <v>0</v>
      </c>
      <c r="G286" s="45" t="n">
        <v>0</v>
      </c>
      <c r="H286" s="45" t="n">
        <v>0</v>
      </c>
      <c r="I286" s="45"/>
    </row>
    <row r="287" customFormat="false" ht="15" hidden="false" customHeight="false" outlineLevel="0" collapsed="false">
      <c r="A287" s="45" t="s">
        <v>311</v>
      </c>
      <c r="B287" s="45" t="s">
        <v>312</v>
      </c>
      <c r="C287" s="46" t="n">
        <v>46046</v>
      </c>
      <c r="D287" s="45" t="s">
        <v>433</v>
      </c>
      <c r="E287" s="45" t="n">
        <v>2.5</v>
      </c>
      <c r="F287" s="45" t="n">
        <v>0</v>
      </c>
      <c r="G287" s="45" t="n">
        <v>40</v>
      </c>
      <c r="H287" s="45" t="n">
        <v>0</v>
      </c>
      <c r="I287" s="45"/>
    </row>
    <row r="288" customFormat="false" ht="15" hidden="false" customHeight="false" outlineLevel="0" collapsed="false">
      <c r="A288" s="45" t="s">
        <v>277</v>
      </c>
      <c r="B288" s="45" t="s">
        <v>261</v>
      </c>
      <c r="C288" s="46" t="n">
        <v>46053</v>
      </c>
      <c r="D288" s="45" t="s">
        <v>286</v>
      </c>
      <c r="E288" s="45" t="n">
        <v>92.75</v>
      </c>
      <c r="F288" s="45" t="n">
        <v>0</v>
      </c>
      <c r="G288" s="45" t="n">
        <v>0</v>
      </c>
      <c r="H288" s="45" t="n">
        <v>0</v>
      </c>
      <c r="I288" s="45"/>
    </row>
    <row r="289" customFormat="false" ht="15" hidden="false" customHeight="false" outlineLevel="0" collapsed="false">
      <c r="A289" s="45" t="s">
        <v>277</v>
      </c>
      <c r="B289" s="45" t="s">
        <v>261</v>
      </c>
      <c r="C289" s="46" t="n">
        <v>46053</v>
      </c>
      <c r="D289" s="45" t="s">
        <v>434</v>
      </c>
      <c r="E289" s="45" t="n">
        <v>97</v>
      </c>
      <c r="F289" s="45" t="n">
        <v>0</v>
      </c>
      <c r="G289" s="45" t="n">
        <v>0</v>
      </c>
      <c r="H289" s="45" t="n">
        <v>0</v>
      </c>
      <c r="I289" s="45"/>
    </row>
    <row r="290" customFormat="false" ht="15" hidden="false" customHeight="false" outlineLevel="0" collapsed="false">
      <c r="A290" s="45" t="s">
        <v>277</v>
      </c>
      <c r="B290" s="45" t="s">
        <v>261</v>
      </c>
      <c r="C290" s="46" t="n">
        <v>46053</v>
      </c>
      <c r="D290" s="45" t="s">
        <v>280</v>
      </c>
      <c r="E290" s="45" t="n">
        <v>120.5</v>
      </c>
      <c r="F290" s="45" t="n">
        <v>321</v>
      </c>
      <c r="G290" s="45" t="n">
        <v>10585</v>
      </c>
      <c r="H290" s="45" t="n">
        <v>0</v>
      </c>
      <c r="I290" s="45"/>
    </row>
    <row r="291" customFormat="false" ht="15" hidden="false" customHeight="false" outlineLevel="0" collapsed="false">
      <c r="A291" s="45" t="s">
        <v>281</v>
      </c>
      <c r="B291" s="45" t="s">
        <v>261</v>
      </c>
      <c r="C291" s="46" t="n">
        <v>46053</v>
      </c>
      <c r="D291" s="45" t="s">
        <v>380</v>
      </c>
      <c r="E291" s="45" t="n">
        <v>39</v>
      </c>
      <c r="F291" s="45" t="n">
        <v>397</v>
      </c>
      <c r="G291" s="45" t="n">
        <v>4615</v>
      </c>
      <c r="H291" s="45" t="n">
        <v>0</v>
      </c>
      <c r="I291" s="45"/>
    </row>
    <row r="292" customFormat="false" ht="15" hidden="false" customHeight="false" outlineLevel="0" collapsed="false">
      <c r="A292" s="45" t="s">
        <v>281</v>
      </c>
      <c r="B292" s="45" t="s">
        <v>261</v>
      </c>
      <c r="C292" s="46" t="n">
        <v>46053</v>
      </c>
      <c r="D292" s="45" t="s">
        <v>273</v>
      </c>
      <c r="E292" s="45" t="n">
        <v>19.5</v>
      </c>
      <c r="F292" s="45" t="n">
        <v>0</v>
      </c>
      <c r="G292" s="45" t="n">
        <v>0</v>
      </c>
      <c r="H292" s="45" t="n">
        <v>0</v>
      </c>
      <c r="I292" s="45"/>
    </row>
    <row r="293" customFormat="false" ht="15" hidden="false" customHeight="false" outlineLevel="0" collapsed="false">
      <c r="A293" s="45" t="s">
        <v>281</v>
      </c>
      <c r="B293" s="45" t="s">
        <v>261</v>
      </c>
      <c r="C293" s="46" t="n">
        <v>46053</v>
      </c>
      <c r="D293" s="45" t="s">
        <v>262</v>
      </c>
      <c r="E293" s="45" t="n">
        <v>59</v>
      </c>
      <c r="F293" s="45" t="n">
        <v>0</v>
      </c>
      <c r="G293" s="45" t="n">
        <v>0</v>
      </c>
      <c r="H293" s="45" t="n">
        <v>0</v>
      </c>
      <c r="I293" s="45"/>
    </row>
    <row r="294" customFormat="false" ht="15" hidden="false" customHeight="false" outlineLevel="0" collapsed="false">
      <c r="A294" s="45" t="s">
        <v>284</v>
      </c>
      <c r="B294" s="45" t="s">
        <v>285</v>
      </c>
      <c r="C294" s="46" t="n">
        <v>46053</v>
      </c>
      <c r="D294" s="45" t="s">
        <v>324</v>
      </c>
      <c r="E294" s="45" t="n">
        <v>370.75</v>
      </c>
      <c r="F294" s="45" t="n">
        <v>438</v>
      </c>
      <c r="G294" s="45" t="n">
        <v>1085</v>
      </c>
      <c r="H294" s="45" t="n">
        <v>0</v>
      </c>
      <c r="I294" s="45"/>
    </row>
    <row r="295" customFormat="false" ht="15" hidden="false" customHeight="false" outlineLevel="0" collapsed="false">
      <c r="A295" s="45" t="s">
        <v>284</v>
      </c>
      <c r="B295" s="45" t="s">
        <v>285</v>
      </c>
      <c r="C295" s="46" t="n">
        <v>46053</v>
      </c>
      <c r="D295" s="45" t="s">
        <v>435</v>
      </c>
      <c r="E295" s="45" t="n">
        <v>144.5</v>
      </c>
      <c r="F295" s="45" t="n">
        <v>0</v>
      </c>
      <c r="G295" s="45" t="n">
        <v>0</v>
      </c>
      <c r="H295" s="45" t="n">
        <v>0</v>
      </c>
      <c r="I295" s="45"/>
    </row>
    <row r="296" customFormat="false" ht="15" hidden="false" customHeight="false" outlineLevel="0" collapsed="false">
      <c r="A296" s="45" t="s">
        <v>288</v>
      </c>
      <c r="B296" s="45" t="s">
        <v>285</v>
      </c>
      <c r="C296" s="46" t="n">
        <v>46053</v>
      </c>
      <c r="D296" s="45" t="s">
        <v>289</v>
      </c>
      <c r="E296" s="45" t="n">
        <v>103.75</v>
      </c>
      <c r="F296" s="45" t="n">
        <v>0</v>
      </c>
      <c r="G296" s="45" t="n">
        <v>0</v>
      </c>
      <c r="H296" s="45" t="n">
        <v>0</v>
      </c>
      <c r="I296" s="45"/>
    </row>
    <row r="297" customFormat="false" ht="15" hidden="false" customHeight="false" outlineLevel="0" collapsed="false">
      <c r="A297" s="45" t="s">
        <v>288</v>
      </c>
      <c r="B297" s="45" t="s">
        <v>285</v>
      </c>
      <c r="C297" s="46" t="n">
        <v>46053</v>
      </c>
      <c r="D297" s="45" t="s">
        <v>273</v>
      </c>
      <c r="E297" s="45" t="n">
        <v>20.5</v>
      </c>
      <c r="F297" s="45" t="n">
        <v>100</v>
      </c>
      <c r="G297" s="45" t="n">
        <v>18270</v>
      </c>
      <c r="H297" s="45" t="n">
        <v>0</v>
      </c>
      <c r="I297" s="45"/>
    </row>
    <row r="298" customFormat="false" ht="15" hidden="false" customHeight="false" outlineLevel="0" collapsed="false">
      <c r="A298" s="45" t="s">
        <v>290</v>
      </c>
      <c r="B298" s="45" t="s">
        <v>291</v>
      </c>
      <c r="C298" s="46" t="n">
        <v>46053</v>
      </c>
      <c r="D298" s="45" t="s">
        <v>292</v>
      </c>
      <c r="E298" s="45" t="n">
        <v>121.25</v>
      </c>
      <c r="F298" s="45" t="n">
        <v>0</v>
      </c>
      <c r="G298" s="45" t="n">
        <v>4310</v>
      </c>
      <c r="H298" s="45" t="n">
        <v>0</v>
      </c>
      <c r="I298" s="45"/>
    </row>
    <row r="299" customFormat="false" ht="15" hidden="false" customHeight="false" outlineLevel="0" collapsed="false">
      <c r="A299" s="45" t="s">
        <v>290</v>
      </c>
      <c r="B299" s="45" t="s">
        <v>291</v>
      </c>
      <c r="C299" s="46" t="n">
        <v>46053</v>
      </c>
      <c r="D299" s="45" t="s">
        <v>436</v>
      </c>
      <c r="E299" s="45" t="n">
        <v>63.75</v>
      </c>
      <c r="F299" s="45" t="n">
        <v>0</v>
      </c>
      <c r="G299" s="45" t="n">
        <v>0</v>
      </c>
      <c r="H299" s="45" t="n">
        <v>0</v>
      </c>
      <c r="I299" s="45"/>
    </row>
    <row r="300" customFormat="false" ht="15" hidden="false" customHeight="false" outlineLevel="0" collapsed="false">
      <c r="A300" s="45" t="s">
        <v>294</v>
      </c>
      <c r="B300" s="45" t="s">
        <v>291</v>
      </c>
      <c r="C300" s="46" t="n">
        <v>46053</v>
      </c>
      <c r="D300" s="45" t="s">
        <v>401</v>
      </c>
      <c r="E300" s="45" t="n">
        <v>37.5</v>
      </c>
      <c r="F300" s="45" t="n">
        <v>0</v>
      </c>
      <c r="G300" s="45" t="n">
        <v>0</v>
      </c>
      <c r="H300" s="45" t="n">
        <v>0</v>
      </c>
      <c r="I300" s="45"/>
    </row>
    <row r="301" customFormat="false" ht="15" hidden="false" customHeight="false" outlineLevel="0" collapsed="false">
      <c r="A301" s="45" t="s">
        <v>294</v>
      </c>
      <c r="B301" s="45" t="s">
        <v>291</v>
      </c>
      <c r="C301" s="46" t="n">
        <v>46053</v>
      </c>
      <c r="D301" s="45" t="s">
        <v>363</v>
      </c>
      <c r="E301" s="45" t="n">
        <v>70.75</v>
      </c>
      <c r="F301" s="45" t="n">
        <v>0</v>
      </c>
      <c r="G301" s="45" t="n">
        <v>385</v>
      </c>
      <c r="H301" s="45" t="n">
        <v>0</v>
      </c>
      <c r="I301" s="45"/>
    </row>
    <row r="302" customFormat="false" ht="15" hidden="false" customHeight="false" outlineLevel="0" collapsed="false">
      <c r="A302" s="45" t="s">
        <v>296</v>
      </c>
      <c r="B302" s="45" t="s">
        <v>285</v>
      </c>
      <c r="C302" s="46" t="n">
        <v>46053</v>
      </c>
      <c r="D302" s="45" t="s">
        <v>437</v>
      </c>
      <c r="E302" s="45" t="n">
        <v>66</v>
      </c>
      <c r="F302" s="45" t="n">
        <v>134</v>
      </c>
      <c r="G302" s="45" t="n">
        <v>0</v>
      </c>
      <c r="H302" s="45" t="n">
        <v>0</v>
      </c>
      <c r="I302" s="45"/>
    </row>
    <row r="303" customFormat="false" ht="15" hidden="false" customHeight="false" outlineLevel="0" collapsed="false">
      <c r="A303" s="45" t="s">
        <v>298</v>
      </c>
      <c r="B303" s="45" t="s">
        <v>299</v>
      </c>
      <c r="C303" s="46" t="n">
        <v>46053</v>
      </c>
      <c r="D303" s="45" t="s">
        <v>364</v>
      </c>
      <c r="E303" s="45" t="n">
        <v>183.75</v>
      </c>
      <c r="F303" s="45" t="n">
        <v>27</v>
      </c>
      <c r="G303" s="45" t="n">
        <v>675</v>
      </c>
      <c r="H303" s="45" t="n">
        <v>0</v>
      </c>
      <c r="I303" s="45"/>
    </row>
    <row r="304" customFormat="false" ht="15" hidden="false" customHeight="false" outlineLevel="0" collapsed="false">
      <c r="A304" s="45" t="s">
        <v>298</v>
      </c>
      <c r="B304" s="45" t="s">
        <v>299</v>
      </c>
      <c r="C304" s="46" t="n">
        <v>46053</v>
      </c>
      <c r="D304" s="45" t="s">
        <v>357</v>
      </c>
      <c r="E304" s="45" t="n">
        <v>305.5</v>
      </c>
      <c r="F304" s="45" t="n">
        <v>0</v>
      </c>
      <c r="G304" s="45" t="n">
        <v>0</v>
      </c>
      <c r="H304" s="45" t="n">
        <v>0</v>
      </c>
      <c r="I304" s="45"/>
    </row>
    <row r="305" customFormat="false" ht="15" hidden="false" customHeight="false" outlineLevel="0" collapsed="false">
      <c r="A305" s="45" t="s">
        <v>302</v>
      </c>
      <c r="B305" s="45" t="s">
        <v>299</v>
      </c>
      <c r="C305" s="46" t="n">
        <v>46053</v>
      </c>
      <c r="D305" s="45" t="s">
        <v>336</v>
      </c>
      <c r="E305" s="45" t="n">
        <v>403.25</v>
      </c>
      <c r="F305" s="45" t="n">
        <v>0</v>
      </c>
      <c r="G305" s="45" t="n">
        <v>39425</v>
      </c>
      <c r="H305" s="45" t="n">
        <v>166625</v>
      </c>
      <c r="I305" s="45"/>
    </row>
    <row r="306" customFormat="false" ht="15" hidden="false" customHeight="false" outlineLevel="0" collapsed="false">
      <c r="A306" s="45" t="s">
        <v>302</v>
      </c>
      <c r="B306" s="45" t="s">
        <v>299</v>
      </c>
      <c r="C306" s="46" t="n">
        <v>46053</v>
      </c>
      <c r="D306" s="45" t="s">
        <v>337</v>
      </c>
      <c r="E306" s="45" t="n">
        <v>165.25</v>
      </c>
      <c r="F306" s="45" t="n">
        <v>0</v>
      </c>
      <c r="G306" s="45" t="n">
        <v>0</v>
      </c>
      <c r="H306" s="45" t="n">
        <v>0</v>
      </c>
      <c r="I306" s="45"/>
    </row>
    <row r="307" customFormat="false" ht="15" hidden="false" customHeight="false" outlineLevel="0" collapsed="false">
      <c r="A307" s="45" t="s">
        <v>302</v>
      </c>
      <c r="B307" s="45" t="s">
        <v>299</v>
      </c>
      <c r="C307" s="46" t="n">
        <v>46053</v>
      </c>
      <c r="D307" s="45" t="s">
        <v>438</v>
      </c>
      <c r="E307" s="45" t="n">
        <v>3925.5</v>
      </c>
      <c r="F307" s="45" t="n">
        <v>0</v>
      </c>
      <c r="G307" s="45" t="n">
        <v>0</v>
      </c>
      <c r="H307" s="45" t="n">
        <v>0</v>
      </c>
      <c r="I307" s="45"/>
    </row>
    <row r="308" customFormat="false" ht="15" hidden="false" customHeight="false" outlineLevel="0" collapsed="false">
      <c r="A308" s="45" t="s">
        <v>306</v>
      </c>
      <c r="B308" s="45" t="s">
        <v>299</v>
      </c>
      <c r="C308" s="46" t="n">
        <v>46053</v>
      </c>
      <c r="D308" s="45" t="s">
        <v>273</v>
      </c>
      <c r="E308" s="45" t="n">
        <v>58</v>
      </c>
      <c r="F308" s="45" t="n">
        <v>5</v>
      </c>
      <c r="G308" s="45" t="n">
        <v>55</v>
      </c>
      <c r="H308" s="45" t="n">
        <v>0</v>
      </c>
      <c r="I308" s="45"/>
    </row>
    <row r="309" customFormat="false" ht="15" hidden="false" customHeight="false" outlineLevel="0" collapsed="false">
      <c r="A309" s="45" t="s">
        <v>307</v>
      </c>
      <c r="B309" s="45" t="s">
        <v>167</v>
      </c>
      <c r="C309" s="46" t="n">
        <v>46053</v>
      </c>
      <c r="D309" s="45" t="s">
        <v>332</v>
      </c>
      <c r="E309" s="45" t="n">
        <v>57.75</v>
      </c>
      <c r="F309" s="45" t="n">
        <v>0</v>
      </c>
      <c r="G309" s="45" t="n">
        <v>0</v>
      </c>
      <c r="H309" s="45" t="n">
        <v>0</v>
      </c>
      <c r="I309" s="45"/>
    </row>
    <row r="310" customFormat="false" ht="15" hidden="false" customHeight="false" outlineLevel="0" collapsed="false">
      <c r="A310" s="45" t="s">
        <v>307</v>
      </c>
      <c r="B310" s="45" t="s">
        <v>167</v>
      </c>
      <c r="C310" s="46" t="n">
        <v>46053</v>
      </c>
      <c r="D310" s="45" t="s">
        <v>365</v>
      </c>
      <c r="E310" s="45" t="n">
        <v>21</v>
      </c>
      <c r="F310" s="45" t="n">
        <v>0</v>
      </c>
      <c r="G310" s="45" t="n">
        <v>0</v>
      </c>
      <c r="H310" s="45" t="n">
        <v>0</v>
      </c>
      <c r="I310" s="45"/>
    </row>
    <row r="311" customFormat="false" ht="15" hidden="false" customHeight="false" outlineLevel="0" collapsed="false">
      <c r="A311" s="45" t="s">
        <v>307</v>
      </c>
      <c r="B311" s="45" t="s">
        <v>167</v>
      </c>
      <c r="C311" s="46" t="n">
        <v>46053</v>
      </c>
      <c r="D311" s="45" t="s">
        <v>439</v>
      </c>
      <c r="E311" s="45" t="n">
        <v>184.25</v>
      </c>
      <c r="F311" s="45" t="n">
        <v>63</v>
      </c>
      <c r="G311" s="45" t="n">
        <v>10665</v>
      </c>
      <c r="H311" s="45" t="n">
        <v>11945</v>
      </c>
      <c r="I311" s="45"/>
    </row>
    <row r="312" customFormat="false" ht="15" hidden="false" customHeight="false" outlineLevel="0" collapsed="false">
      <c r="A312" s="45" t="s">
        <v>311</v>
      </c>
      <c r="B312" s="45" t="s">
        <v>312</v>
      </c>
      <c r="C312" s="46" t="n">
        <v>46053</v>
      </c>
      <c r="D312" s="45" t="s">
        <v>313</v>
      </c>
      <c r="E312" s="45" t="n">
        <v>2.75</v>
      </c>
      <c r="F312" s="45" t="n">
        <v>0</v>
      </c>
      <c r="G312" s="45" t="n">
        <v>0</v>
      </c>
      <c r="H312" s="45" t="n">
        <v>0</v>
      </c>
      <c r="I312" s="45"/>
    </row>
    <row r="313" customFormat="false" ht="15" hidden="false" customHeight="false" outlineLevel="0" collapsed="false">
      <c r="A313" s="45" t="s">
        <v>311</v>
      </c>
      <c r="B313" s="45" t="s">
        <v>312</v>
      </c>
      <c r="C313" s="46" t="n">
        <v>46053</v>
      </c>
      <c r="D313" s="45" t="s">
        <v>440</v>
      </c>
      <c r="E313" s="45" t="n">
        <v>2</v>
      </c>
      <c r="F313" s="45" t="n">
        <v>0</v>
      </c>
      <c r="G313" s="45" t="n">
        <v>105</v>
      </c>
      <c r="H313" s="45" t="n">
        <v>0</v>
      </c>
      <c r="I313" s="45"/>
    </row>
    <row r="314" customFormat="false" ht="15" hidden="false" customHeight="false" outlineLevel="0" collapsed="false">
      <c r="A314" s="45" t="s">
        <v>271</v>
      </c>
      <c r="B314" s="45" t="s">
        <v>250</v>
      </c>
      <c r="C314" s="46" t="n">
        <v>46058</v>
      </c>
      <c r="D314" s="45" t="s">
        <v>267</v>
      </c>
      <c r="E314" s="45" t="n">
        <v>2</v>
      </c>
      <c r="F314" s="45" t="n">
        <v>0</v>
      </c>
      <c r="G314" s="45" t="n">
        <v>0</v>
      </c>
      <c r="H314" s="45" t="n">
        <v>0</v>
      </c>
      <c r="I314" s="45"/>
    </row>
    <row r="315" customFormat="false" ht="15" hidden="false" customHeight="false" outlineLevel="0" collapsed="false">
      <c r="A315" s="45" t="s">
        <v>271</v>
      </c>
      <c r="B315" s="45" t="s">
        <v>250</v>
      </c>
      <c r="C315" s="46" t="n">
        <v>46058</v>
      </c>
      <c r="D315" s="45" t="s">
        <v>441</v>
      </c>
      <c r="E315" s="45" t="n">
        <v>2.75</v>
      </c>
      <c r="F315" s="45" t="n">
        <v>44</v>
      </c>
      <c r="G315" s="45" t="n">
        <v>1100</v>
      </c>
      <c r="H315" s="45" t="n">
        <v>520</v>
      </c>
      <c r="I315" s="45"/>
    </row>
    <row r="316" customFormat="false" ht="15" hidden="false" customHeight="false" outlineLevel="0" collapsed="false">
      <c r="A316" s="45" t="s">
        <v>269</v>
      </c>
      <c r="B316" s="45" t="s">
        <v>250</v>
      </c>
      <c r="C316" s="46" t="n">
        <v>46060</v>
      </c>
      <c r="D316" s="45" t="s">
        <v>442</v>
      </c>
      <c r="E316" s="45" t="n">
        <v>2</v>
      </c>
      <c r="F316" s="45" t="n">
        <v>12</v>
      </c>
      <c r="G316" s="45" t="n">
        <v>195</v>
      </c>
      <c r="H316" s="45" t="n">
        <v>0</v>
      </c>
      <c r="I316" s="45"/>
    </row>
    <row r="317" customFormat="false" ht="15" hidden="false" customHeight="false" outlineLevel="0" collapsed="false">
      <c r="A317" s="45" t="s">
        <v>427</v>
      </c>
      <c r="B317" s="45" t="s">
        <v>428</v>
      </c>
      <c r="C317" s="46" t="n">
        <v>46060</v>
      </c>
      <c r="D317" s="45" t="s">
        <v>373</v>
      </c>
      <c r="E317" s="45" t="n">
        <v>4</v>
      </c>
      <c r="F317" s="45" t="n">
        <v>0</v>
      </c>
      <c r="G317" s="45" t="n">
        <v>1940</v>
      </c>
      <c r="H317" s="45" t="n">
        <v>0</v>
      </c>
      <c r="I317" s="45"/>
    </row>
    <row r="318" customFormat="false" ht="15" hidden="false" customHeight="false" outlineLevel="0" collapsed="false">
      <c r="A318" s="45" t="s">
        <v>427</v>
      </c>
      <c r="B318" s="45" t="s">
        <v>428</v>
      </c>
      <c r="C318" s="46" t="n">
        <v>46060</v>
      </c>
      <c r="D318" s="45" t="s">
        <v>374</v>
      </c>
      <c r="E318" s="45" t="n">
        <v>6</v>
      </c>
      <c r="F318" s="45" t="n">
        <v>0</v>
      </c>
      <c r="G318" s="45" t="n">
        <v>0</v>
      </c>
      <c r="H318" s="45" t="n">
        <v>0</v>
      </c>
      <c r="I318" s="45"/>
    </row>
    <row r="319" customFormat="false" ht="15" hidden="false" customHeight="false" outlineLevel="0" collapsed="false">
      <c r="A319" s="45" t="s">
        <v>271</v>
      </c>
      <c r="B319" s="45" t="s">
        <v>250</v>
      </c>
      <c r="C319" s="46" t="n">
        <v>46064</v>
      </c>
      <c r="D319" s="45" t="s">
        <v>443</v>
      </c>
      <c r="E319" s="45" t="n">
        <v>2.25</v>
      </c>
      <c r="F319" s="45" t="n">
        <v>0</v>
      </c>
      <c r="G319" s="45" t="n">
        <v>0</v>
      </c>
      <c r="H319" s="45" t="n">
        <v>0</v>
      </c>
      <c r="I319" s="45"/>
    </row>
    <row r="320" customFormat="false" ht="15" hidden="false" customHeight="false" outlineLevel="0" collapsed="false">
      <c r="A320" s="45" t="s">
        <v>271</v>
      </c>
      <c r="B320" s="45" t="s">
        <v>250</v>
      </c>
      <c r="C320" s="46" t="n">
        <v>46064</v>
      </c>
      <c r="D320" s="45" t="s">
        <v>273</v>
      </c>
      <c r="E320" s="45" t="n">
        <v>2.5</v>
      </c>
      <c r="F320" s="45" t="n">
        <v>36</v>
      </c>
      <c r="G320" s="45" t="n">
        <v>1200</v>
      </c>
      <c r="H320" s="45" t="n">
        <v>895</v>
      </c>
      <c r="I320" s="45"/>
    </row>
    <row r="321" customFormat="false" ht="15" hidden="false" customHeight="false" outlineLevel="0" collapsed="false">
      <c r="A321" s="45" t="s">
        <v>318</v>
      </c>
      <c r="B321" s="45" t="s">
        <v>319</v>
      </c>
      <c r="C321" s="46" t="n">
        <v>46065</v>
      </c>
      <c r="D321" s="45" t="s">
        <v>444</v>
      </c>
      <c r="E321" s="45" t="n">
        <v>0</v>
      </c>
      <c r="F321" s="45" t="n">
        <v>0</v>
      </c>
      <c r="G321" s="45" t="n">
        <v>9800</v>
      </c>
      <c r="H321" s="45" t="n">
        <v>0</v>
      </c>
      <c r="I321" s="45"/>
    </row>
    <row r="322" customFormat="false" ht="15" hidden="false" customHeight="false" outlineLevel="0" collapsed="false">
      <c r="A322" s="45" t="s">
        <v>376</v>
      </c>
      <c r="B322" s="45" t="s">
        <v>250</v>
      </c>
      <c r="C322" s="46" t="n">
        <v>46070</v>
      </c>
      <c r="D322" s="45" t="s">
        <v>387</v>
      </c>
      <c r="E322" s="45" t="n">
        <v>3</v>
      </c>
      <c r="F322" s="45" t="n">
        <v>17</v>
      </c>
      <c r="G322" s="45" t="n">
        <v>165</v>
      </c>
      <c r="H322" s="45" t="n">
        <v>0</v>
      </c>
      <c r="I322" s="45"/>
    </row>
    <row r="323" customFormat="false" ht="15" hidden="false" customHeight="false" outlineLevel="0" collapsed="false">
      <c r="A323" s="45" t="s">
        <v>311</v>
      </c>
      <c r="B323" s="45" t="s">
        <v>312</v>
      </c>
      <c r="C323" s="46" t="n">
        <v>46071</v>
      </c>
      <c r="D323" s="45" t="s">
        <v>331</v>
      </c>
      <c r="E323" s="45" t="n">
        <v>2.5</v>
      </c>
      <c r="F323" s="45" t="n">
        <v>0</v>
      </c>
      <c r="G323" s="45" t="n">
        <v>0</v>
      </c>
      <c r="H323" s="45" t="n">
        <v>0</v>
      </c>
      <c r="I323" s="45"/>
    </row>
    <row r="324" customFormat="false" ht="15" hidden="false" customHeight="false" outlineLevel="0" collapsed="false">
      <c r="A324" s="45" t="s">
        <v>311</v>
      </c>
      <c r="B324" s="45" t="s">
        <v>312</v>
      </c>
      <c r="C324" s="46" t="n">
        <v>46071</v>
      </c>
      <c r="D324" s="45" t="s">
        <v>429</v>
      </c>
      <c r="E324" s="45" t="n">
        <v>2</v>
      </c>
      <c r="F324" s="45" t="n">
        <v>0</v>
      </c>
      <c r="G324" s="45" t="n">
        <v>75</v>
      </c>
      <c r="H324" s="45" t="n">
        <v>0</v>
      </c>
      <c r="I324" s="45"/>
    </row>
    <row r="325" customFormat="false" ht="15" hidden="false" customHeight="false" outlineLevel="0" collapsed="false">
      <c r="A325" s="45" t="s">
        <v>257</v>
      </c>
      <c r="B325" s="45" t="s">
        <v>250</v>
      </c>
      <c r="C325" s="46" t="n">
        <v>46072</v>
      </c>
      <c r="D325" s="45" t="s">
        <v>267</v>
      </c>
      <c r="E325" s="45" t="n">
        <v>2.75</v>
      </c>
      <c r="F325" s="45" t="n">
        <v>13</v>
      </c>
      <c r="G325" s="45" t="n">
        <v>90</v>
      </c>
      <c r="H325" s="45" t="n">
        <v>0</v>
      </c>
      <c r="I325" s="45"/>
    </row>
    <row r="326" customFormat="false" ht="15" hidden="false" customHeight="false" outlineLevel="0" collapsed="false">
      <c r="A326" s="45" t="s">
        <v>257</v>
      </c>
      <c r="B326" s="45" t="s">
        <v>250</v>
      </c>
      <c r="C326" s="46" t="n">
        <v>46072</v>
      </c>
      <c r="D326" s="45" t="s">
        <v>268</v>
      </c>
      <c r="E326" s="45" t="n">
        <v>1.5</v>
      </c>
      <c r="F326" s="45" t="n">
        <v>0</v>
      </c>
      <c r="G326" s="45" t="n">
        <v>0</v>
      </c>
      <c r="H326" s="45" t="n">
        <v>0</v>
      </c>
      <c r="I326" s="45"/>
    </row>
    <row r="327" customFormat="false" ht="15" hidden="false" customHeight="false" outlineLevel="0" collapsed="false">
      <c r="A327" s="45" t="s">
        <v>376</v>
      </c>
      <c r="B327" s="45" t="s">
        <v>250</v>
      </c>
      <c r="C327" s="46" t="n">
        <v>46073</v>
      </c>
      <c r="D327" s="45" t="s">
        <v>300</v>
      </c>
      <c r="E327" s="45" t="n">
        <v>3.5</v>
      </c>
      <c r="F327" s="45" t="n">
        <v>19</v>
      </c>
      <c r="G327" s="45" t="n">
        <v>200</v>
      </c>
      <c r="H327" s="45" t="n">
        <v>0</v>
      </c>
      <c r="I327" s="45"/>
    </row>
    <row r="328" customFormat="false" ht="15" hidden="false" customHeight="false" outlineLevel="0" collapsed="false">
      <c r="A328" s="45" t="s">
        <v>257</v>
      </c>
      <c r="B328" s="45" t="s">
        <v>250</v>
      </c>
      <c r="C328" s="46" t="n">
        <v>46074</v>
      </c>
      <c r="D328" s="45" t="s">
        <v>263</v>
      </c>
      <c r="E328" s="45" t="n">
        <v>3</v>
      </c>
      <c r="F328" s="45" t="n">
        <v>10</v>
      </c>
      <c r="G328" s="45" t="n">
        <v>90</v>
      </c>
      <c r="H328" s="45" t="n">
        <v>0</v>
      </c>
      <c r="I328" s="45"/>
    </row>
    <row r="329" customFormat="false" ht="15" hidden="false" customHeight="false" outlineLevel="0" collapsed="false">
      <c r="A329" s="45" t="s">
        <v>257</v>
      </c>
      <c r="B329" s="45" t="s">
        <v>250</v>
      </c>
      <c r="C329" s="46" t="n">
        <v>46074</v>
      </c>
      <c r="D329" s="45" t="s">
        <v>259</v>
      </c>
      <c r="E329" s="45" t="n">
        <v>1.5</v>
      </c>
      <c r="F329" s="45" t="n">
        <v>0</v>
      </c>
      <c r="G329" s="45" t="n">
        <v>0</v>
      </c>
      <c r="H329" s="45" t="n">
        <v>0</v>
      </c>
      <c r="I329" s="45"/>
    </row>
    <row r="330" customFormat="false" ht="15" hidden="false" customHeight="false" outlineLevel="0" collapsed="false">
      <c r="A330" s="45" t="s">
        <v>271</v>
      </c>
      <c r="B330" s="45" t="s">
        <v>250</v>
      </c>
      <c r="C330" s="46" t="n">
        <v>46077</v>
      </c>
      <c r="D330" s="45" t="s">
        <v>445</v>
      </c>
      <c r="E330" s="45" t="n">
        <v>2.25</v>
      </c>
      <c r="F330" s="45" t="n">
        <v>0</v>
      </c>
      <c r="G330" s="45" t="n">
        <v>0</v>
      </c>
      <c r="H330" s="45" t="n">
        <v>0</v>
      </c>
      <c r="I330" s="45"/>
    </row>
    <row r="331" customFormat="false" ht="15" hidden="false" customHeight="false" outlineLevel="0" collapsed="false">
      <c r="A331" s="45" t="s">
        <v>271</v>
      </c>
      <c r="B331" s="45" t="s">
        <v>250</v>
      </c>
      <c r="C331" s="46" t="n">
        <v>46077</v>
      </c>
      <c r="D331" s="45" t="s">
        <v>446</v>
      </c>
      <c r="E331" s="45" t="n">
        <v>2.25</v>
      </c>
      <c r="F331" s="45" t="n">
        <v>51</v>
      </c>
      <c r="G331" s="45" t="n">
        <v>2215</v>
      </c>
      <c r="H331" s="45" t="n">
        <v>1685</v>
      </c>
      <c r="I331" s="45"/>
    </row>
    <row r="332" customFormat="false" ht="15" hidden="false" customHeight="false" outlineLevel="0" collapsed="false">
      <c r="A332" s="45" t="s">
        <v>277</v>
      </c>
      <c r="B332" s="45" t="s">
        <v>261</v>
      </c>
      <c r="C332" s="46" t="n">
        <v>46081</v>
      </c>
      <c r="D332" s="45" t="s">
        <v>324</v>
      </c>
      <c r="E332" s="45" t="n">
        <v>70</v>
      </c>
      <c r="F332" s="45" t="n">
        <v>0</v>
      </c>
      <c r="G332" s="45" t="n">
        <v>0</v>
      </c>
      <c r="H332" s="45" t="n">
        <v>0</v>
      </c>
      <c r="I332" s="45"/>
    </row>
    <row r="333" customFormat="false" ht="15" hidden="false" customHeight="false" outlineLevel="0" collapsed="false">
      <c r="A333" s="45" t="s">
        <v>277</v>
      </c>
      <c r="B333" s="45" t="s">
        <v>261</v>
      </c>
      <c r="C333" s="46" t="n">
        <v>46081</v>
      </c>
      <c r="D333" s="45" t="s">
        <v>396</v>
      </c>
      <c r="E333" s="45" t="n">
        <v>96.25</v>
      </c>
      <c r="F333" s="45" t="n">
        <v>0</v>
      </c>
      <c r="G333" s="45" t="n">
        <v>0</v>
      </c>
      <c r="H333" s="45" t="n">
        <v>0</v>
      </c>
      <c r="I333" s="45"/>
    </row>
    <row r="334" customFormat="false" ht="15" hidden="false" customHeight="false" outlineLevel="0" collapsed="false">
      <c r="A334" s="45" t="s">
        <v>277</v>
      </c>
      <c r="B334" s="45" t="s">
        <v>261</v>
      </c>
      <c r="C334" s="46" t="n">
        <v>46081</v>
      </c>
      <c r="D334" s="45" t="s">
        <v>325</v>
      </c>
      <c r="E334" s="45" t="n">
        <v>106.25</v>
      </c>
      <c r="F334" s="45" t="n">
        <v>380</v>
      </c>
      <c r="G334" s="45" t="n">
        <v>12085</v>
      </c>
      <c r="H334" s="45" t="n">
        <v>0</v>
      </c>
      <c r="I334" s="45"/>
    </row>
    <row r="335" customFormat="false" ht="15" hidden="false" customHeight="false" outlineLevel="0" collapsed="false">
      <c r="A335" s="45" t="s">
        <v>344</v>
      </c>
      <c r="B335" s="45" t="s">
        <v>285</v>
      </c>
      <c r="C335" s="46" t="n">
        <v>46081</v>
      </c>
      <c r="D335" s="45" t="s">
        <v>345</v>
      </c>
      <c r="E335" s="45" t="n">
        <v>2</v>
      </c>
      <c r="F335" s="45" t="n">
        <v>13</v>
      </c>
      <c r="G335" s="45" t="n">
        <v>45</v>
      </c>
      <c r="H335" s="45" t="n">
        <v>0</v>
      </c>
      <c r="I335" s="45"/>
    </row>
    <row r="336" customFormat="false" ht="15" hidden="false" customHeight="false" outlineLevel="0" collapsed="false">
      <c r="A336" s="45" t="s">
        <v>344</v>
      </c>
      <c r="B336" s="45" t="s">
        <v>285</v>
      </c>
      <c r="C336" s="46" t="n">
        <v>46081</v>
      </c>
      <c r="D336" s="45" t="s">
        <v>447</v>
      </c>
      <c r="E336" s="45" t="n">
        <v>2</v>
      </c>
      <c r="F336" s="45" t="n">
        <v>0</v>
      </c>
      <c r="G336" s="45" t="n">
        <v>0</v>
      </c>
      <c r="H336" s="45" t="n">
        <v>0</v>
      </c>
      <c r="I336" s="45"/>
    </row>
    <row r="337" customFormat="false" ht="15" hidden="false" customHeight="false" outlineLevel="0" collapsed="false">
      <c r="A337" s="45" t="s">
        <v>281</v>
      </c>
      <c r="B337" s="45" t="s">
        <v>261</v>
      </c>
      <c r="C337" s="46" t="n">
        <v>46081</v>
      </c>
      <c r="D337" s="45" t="s">
        <v>282</v>
      </c>
      <c r="E337" s="45" t="n">
        <v>38.75</v>
      </c>
      <c r="F337" s="45" t="n">
        <v>231</v>
      </c>
      <c r="G337" s="45" t="n">
        <v>4585</v>
      </c>
      <c r="H337" s="45" t="n">
        <v>0</v>
      </c>
      <c r="I337" s="45"/>
    </row>
    <row r="338" customFormat="false" ht="15" hidden="false" customHeight="false" outlineLevel="0" collapsed="false">
      <c r="A338" s="45" t="s">
        <v>281</v>
      </c>
      <c r="B338" s="45" t="s">
        <v>261</v>
      </c>
      <c r="C338" s="46" t="n">
        <v>46081</v>
      </c>
      <c r="D338" s="45" t="s">
        <v>283</v>
      </c>
      <c r="E338" s="45" t="n">
        <v>21</v>
      </c>
      <c r="F338" s="45" t="n">
        <v>0</v>
      </c>
      <c r="G338" s="45" t="n">
        <v>0</v>
      </c>
      <c r="H338" s="45" t="n">
        <v>0</v>
      </c>
      <c r="I338" s="45"/>
    </row>
    <row r="339" customFormat="false" ht="15" hidden="false" customHeight="false" outlineLevel="0" collapsed="false">
      <c r="A339" s="45" t="s">
        <v>281</v>
      </c>
      <c r="B339" s="45" t="s">
        <v>261</v>
      </c>
      <c r="C339" s="46" t="n">
        <v>46081</v>
      </c>
      <c r="D339" s="45" t="s">
        <v>340</v>
      </c>
      <c r="E339" s="45" t="n">
        <v>56.75</v>
      </c>
      <c r="F339" s="45" t="n">
        <v>0</v>
      </c>
      <c r="G339" s="45" t="n">
        <v>0</v>
      </c>
      <c r="H339" s="45" t="n">
        <v>0</v>
      </c>
      <c r="I339" s="45"/>
    </row>
    <row r="340" customFormat="false" ht="15" hidden="false" customHeight="false" outlineLevel="0" collapsed="false">
      <c r="A340" s="45" t="s">
        <v>284</v>
      </c>
      <c r="B340" s="45" t="s">
        <v>285</v>
      </c>
      <c r="C340" s="46" t="n">
        <v>46081</v>
      </c>
      <c r="D340" s="45" t="s">
        <v>324</v>
      </c>
      <c r="E340" s="45" t="n">
        <v>391.5</v>
      </c>
      <c r="F340" s="45" t="n">
        <v>419</v>
      </c>
      <c r="G340" s="45" t="n">
        <v>1915</v>
      </c>
      <c r="H340" s="45" t="n">
        <v>0</v>
      </c>
      <c r="I340" s="45"/>
    </row>
    <row r="341" customFormat="false" ht="15" hidden="false" customHeight="false" outlineLevel="0" collapsed="false">
      <c r="A341" s="45" t="s">
        <v>284</v>
      </c>
      <c r="B341" s="45" t="s">
        <v>285</v>
      </c>
      <c r="C341" s="46" t="n">
        <v>46081</v>
      </c>
      <c r="D341" s="45" t="s">
        <v>448</v>
      </c>
      <c r="E341" s="45" t="n">
        <v>187.25</v>
      </c>
      <c r="F341" s="45" t="n">
        <v>0</v>
      </c>
      <c r="G341" s="45" t="n">
        <v>0</v>
      </c>
      <c r="H341" s="45" t="n">
        <v>0</v>
      </c>
      <c r="I341" s="45"/>
    </row>
    <row r="342" customFormat="false" ht="15" hidden="false" customHeight="false" outlineLevel="0" collapsed="false">
      <c r="A342" s="45" t="s">
        <v>288</v>
      </c>
      <c r="B342" s="45" t="s">
        <v>285</v>
      </c>
      <c r="C342" s="46" t="n">
        <v>46081</v>
      </c>
      <c r="D342" s="45" t="s">
        <v>383</v>
      </c>
      <c r="E342" s="45" t="n">
        <v>103</v>
      </c>
      <c r="F342" s="45" t="n">
        <v>0</v>
      </c>
      <c r="G342" s="45" t="n">
        <v>0</v>
      </c>
      <c r="H342" s="45" t="n">
        <v>0</v>
      </c>
      <c r="I342" s="45"/>
    </row>
    <row r="343" customFormat="false" ht="15" hidden="false" customHeight="false" outlineLevel="0" collapsed="false">
      <c r="A343" s="45" t="s">
        <v>288</v>
      </c>
      <c r="B343" s="45" t="s">
        <v>285</v>
      </c>
      <c r="C343" s="46" t="n">
        <v>46081</v>
      </c>
      <c r="D343" s="45" t="s">
        <v>449</v>
      </c>
      <c r="E343" s="45" t="n">
        <v>22.75</v>
      </c>
      <c r="F343" s="45" t="n">
        <v>105</v>
      </c>
      <c r="G343" s="45" t="n">
        <v>25855</v>
      </c>
      <c r="H343" s="45" t="n">
        <v>0</v>
      </c>
      <c r="I343" s="45"/>
    </row>
    <row r="344" customFormat="false" ht="15" hidden="false" customHeight="false" outlineLevel="0" collapsed="false">
      <c r="A344" s="45" t="s">
        <v>290</v>
      </c>
      <c r="B344" s="45" t="s">
        <v>291</v>
      </c>
      <c r="C344" s="46" t="n">
        <v>46081</v>
      </c>
      <c r="D344" s="45" t="s">
        <v>313</v>
      </c>
      <c r="E344" s="45" t="n">
        <v>121.75</v>
      </c>
      <c r="F344" s="45" t="n">
        <v>0</v>
      </c>
      <c r="G344" s="45" t="n">
        <v>3915</v>
      </c>
      <c r="H344" s="45" t="n">
        <v>0</v>
      </c>
      <c r="I344" s="45"/>
    </row>
    <row r="345" customFormat="false" ht="15" hidden="false" customHeight="false" outlineLevel="0" collapsed="false">
      <c r="A345" s="45" t="s">
        <v>290</v>
      </c>
      <c r="B345" s="45" t="s">
        <v>291</v>
      </c>
      <c r="C345" s="46" t="n">
        <v>46081</v>
      </c>
      <c r="D345" s="45" t="s">
        <v>362</v>
      </c>
      <c r="E345" s="45" t="n">
        <v>71</v>
      </c>
      <c r="F345" s="45" t="n">
        <v>0</v>
      </c>
      <c r="G345" s="45" t="n">
        <v>0</v>
      </c>
      <c r="H345" s="45" t="n">
        <v>0</v>
      </c>
      <c r="I345" s="45"/>
    </row>
    <row r="346" customFormat="false" ht="15" hidden="false" customHeight="false" outlineLevel="0" collapsed="false">
      <c r="A346" s="45" t="s">
        <v>294</v>
      </c>
      <c r="B346" s="45" t="s">
        <v>291</v>
      </c>
      <c r="C346" s="46" t="n">
        <v>46081</v>
      </c>
      <c r="D346" s="45" t="s">
        <v>450</v>
      </c>
      <c r="E346" s="45" t="n">
        <v>59.75</v>
      </c>
      <c r="F346" s="45" t="n">
        <v>0</v>
      </c>
      <c r="G346" s="45" t="n">
        <v>0</v>
      </c>
      <c r="H346" s="45" t="n">
        <v>0</v>
      </c>
      <c r="I346" s="45"/>
    </row>
    <row r="347" customFormat="false" ht="15" hidden="false" customHeight="false" outlineLevel="0" collapsed="false">
      <c r="A347" s="45" t="s">
        <v>294</v>
      </c>
      <c r="B347" s="45" t="s">
        <v>291</v>
      </c>
      <c r="C347" s="46" t="n">
        <v>46081</v>
      </c>
      <c r="D347" s="45" t="s">
        <v>419</v>
      </c>
      <c r="E347" s="45" t="n">
        <v>73.75</v>
      </c>
      <c r="F347" s="45" t="n">
        <v>0</v>
      </c>
      <c r="G347" s="45" t="n">
        <v>1010</v>
      </c>
      <c r="H347" s="45" t="n">
        <v>0</v>
      </c>
      <c r="I347" s="45"/>
    </row>
    <row r="348" customFormat="false" ht="15" hidden="false" customHeight="false" outlineLevel="0" collapsed="false">
      <c r="A348" s="45" t="s">
        <v>296</v>
      </c>
      <c r="B348" s="45" t="s">
        <v>285</v>
      </c>
      <c r="C348" s="46" t="n">
        <v>46081</v>
      </c>
      <c r="D348" s="45" t="s">
        <v>297</v>
      </c>
      <c r="E348" s="45" t="n">
        <v>70.5</v>
      </c>
      <c r="F348" s="45" t="n">
        <v>192</v>
      </c>
      <c r="G348" s="45" t="n">
        <v>0</v>
      </c>
      <c r="H348" s="45" t="n">
        <v>0</v>
      </c>
      <c r="I348" s="45"/>
    </row>
    <row r="349" customFormat="false" ht="15" hidden="false" customHeight="false" outlineLevel="0" collapsed="false">
      <c r="A349" s="45" t="s">
        <v>298</v>
      </c>
      <c r="B349" s="45" t="s">
        <v>299</v>
      </c>
      <c r="C349" s="46" t="n">
        <v>46081</v>
      </c>
      <c r="D349" s="45" t="s">
        <v>255</v>
      </c>
      <c r="E349" s="45" t="n">
        <v>169.75</v>
      </c>
      <c r="F349" s="45" t="n">
        <v>23</v>
      </c>
      <c r="G349" s="45" t="n">
        <v>1390</v>
      </c>
      <c r="H349" s="45" t="n">
        <v>0</v>
      </c>
      <c r="I349" s="45"/>
    </row>
    <row r="350" customFormat="false" ht="15" hidden="false" customHeight="false" outlineLevel="0" collapsed="false">
      <c r="A350" s="45" t="s">
        <v>298</v>
      </c>
      <c r="B350" s="45" t="s">
        <v>299</v>
      </c>
      <c r="C350" s="46" t="n">
        <v>46081</v>
      </c>
      <c r="D350" s="45" t="s">
        <v>357</v>
      </c>
      <c r="E350" s="45" t="n">
        <v>229.25</v>
      </c>
      <c r="F350" s="45" t="n">
        <v>0</v>
      </c>
      <c r="G350" s="45" t="n">
        <v>0</v>
      </c>
      <c r="H350" s="45" t="n">
        <v>0</v>
      </c>
      <c r="I350" s="45"/>
    </row>
    <row r="351" customFormat="false" ht="15" hidden="false" customHeight="false" outlineLevel="0" collapsed="false">
      <c r="A351" s="45" t="s">
        <v>302</v>
      </c>
      <c r="B351" s="45" t="s">
        <v>299</v>
      </c>
      <c r="C351" s="46" t="n">
        <v>46081</v>
      </c>
      <c r="D351" s="45" t="s">
        <v>451</v>
      </c>
      <c r="E351" s="45" t="n">
        <v>410.75</v>
      </c>
      <c r="F351" s="45" t="n">
        <v>0</v>
      </c>
      <c r="G351" s="45" t="n">
        <v>39660</v>
      </c>
      <c r="H351" s="45" t="n">
        <v>169175</v>
      </c>
      <c r="I351" s="45"/>
    </row>
    <row r="352" customFormat="false" ht="15" hidden="false" customHeight="false" outlineLevel="0" collapsed="false">
      <c r="A352" s="45" t="s">
        <v>302</v>
      </c>
      <c r="B352" s="45" t="s">
        <v>299</v>
      </c>
      <c r="C352" s="46" t="n">
        <v>46081</v>
      </c>
      <c r="D352" s="45" t="s">
        <v>337</v>
      </c>
      <c r="E352" s="45" t="n">
        <v>174.25</v>
      </c>
      <c r="F352" s="45" t="n">
        <v>0</v>
      </c>
      <c r="G352" s="45" t="n">
        <v>0</v>
      </c>
      <c r="H352" s="45" t="n">
        <v>0</v>
      </c>
      <c r="I352" s="45"/>
    </row>
    <row r="353" customFormat="false" ht="15" hidden="false" customHeight="false" outlineLevel="0" collapsed="false">
      <c r="A353" s="45" t="s">
        <v>302</v>
      </c>
      <c r="B353" s="45" t="s">
        <v>299</v>
      </c>
      <c r="C353" s="46" t="n">
        <v>46081</v>
      </c>
      <c r="D353" s="45" t="s">
        <v>452</v>
      </c>
      <c r="E353" s="45" t="n">
        <v>4104</v>
      </c>
      <c r="F353" s="45" t="n">
        <v>0</v>
      </c>
      <c r="G353" s="45" t="n">
        <v>0</v>
      </c>
      <c r="H353" s="45" t="n">
        <v>0</v>
      </c>
      <c r="I353" s="45"/>
    </row>
    <row r="354" customFormat="false" ht="15" hidden="false" customHeight="false" outlineLevel="0" collapsed="false">
      <c r="A354" s="45" t="s">
        <v>306</v>
      </c>
      <c r="B354" s="45" t="s">
        <v>299</v>
      </c>
      <c r="C354" s="46" t="n">
        <v>46081</v>
      </c>
      <c r="D354" s="45" t="s">
        <v>273</v>
      </c>
      <c r="E354" s="45" t="n">
        <v>86.75</v>
      </c>
      <c r="F354" s="45" t="n">
        <v>4</v>
      </c>
      <c r="G354" s="45" t="n">
        <v>40</v>
      </c>
      <c r="H354" s="45" t="n">
        <v>0</v>
      </c>
      <c r="I354" s="45"/>
    </row>
    <row r="355" customFormat="false" ht="15" hidden="false" customHeight="false" outlineLevel="0" collapsed="false">
      <c r="A355" s="45" t="s">
        <v>307</v>
      </c>
      <c r="B355" s="45" t="s">
        <v>167</v>
      </c>
      <c r="C355" s="46" t="n">
        <v>46081</v>
      </c>
      <c r="D355" s="45" t="s">
        <v>362</v>
      </c>
      <c r="E355" s="45" t="n">
        <v>59.75</v>
      </c>
      <c r="F355" s="45" t="n">
        <v>0</v>
      </c>
      <c r="G355" s="45" t="n">
        <v>0</v>
      </c>
      <c r="H355" s="45" t="n">
        <v>0</v>
      </c>
      <c r="I355" s="45"/>
    </row>
    <row r="356" customFormat="false" ht="15" hidden="false" customHeight="false" outlineLevel="0" collapsed="false">
      <c r="A356" s="45" t="s">
        <v>307</v>
      </c>
      <c r="B356" s="45" t="s">
        <v>167</v>
      </c>
      <c r="C356" s="46" t="n">
        <v>46081</v>
      </c>
      <c r="D356" s="45" t="s">
        <v>303</v>
      </c>
      <c r="E356" s="45" t="n">
        <v>21.75</v>
      </c>
      <c r="F356" s="45" t="n">
        <v>0</v>
      </c>
      <c r="G356" s="45" t="n">
        <v>0</v>
      </c>
      <c r="H356" s="45" t="n">
        <v>0</v>
      </c>
      <c r="I356" s="45"/>
    </row>
    <row r="357" customFormat="false" ht="15" hidden="false" customHeight="false" outlineLevel="0" collapsed="false">
      <c r="A357" s="45" t="s">
        <v>307</v>
      </c>
      <c r="B357" s="45" t="s">
        <v>167</v>
      </c>
      <c r="C357" s="46" t="n">
        <v>46081</v>
      </c>
      <c r="D357" s="45" t="s">
        <v>310</v>
      </c>
      <c r="E357" s="45" t="n">
        <v>189.5</v>
      </c>
      <c r="F357" s="45" t="n">
        <v>79</v>
      </c>
      <c r="G357" s="45" t="n">
        <v>7300</v>
      </c>
      <c r="H357" s="45" t="n">
        <v>9695</v>
      </c>
      <c r="I357" s="45"/>
    </row>
    <row r="358" customFormat="false" ht="15" hidden="false" customHeight="false" outlineLevel="0" collapsed="false">
      <c r="A358" s="45" t="s">
        <v>344</v>
      </c>
      <c r="B358" s="45" t="s">
        <v>285</v>
      </c>
      <c r="C358" s="46" t="n">
        <v>46083</v>
      </c>
      <c r="D358" s="45" t="s">
        <v>453</v>
      </c>
      <c r="E358" s="45" t="n">
        <v>2</v>
      </c>
      <c r="F358" s="45" t="n">
        <v>18</v>
      </c>
      <c r="G358" s="45" t="n">
        <v>45</v>
      </c>
      <c r="H358" s="45" t="n">
        <v>0</v>
      </c>
      <c r="I358" s="45"/>
    </row>
    <row r="359" customFormat="false" ht="15" hidden="false" customHeight="false" outlineLevel="0" collapsed="false">
      <c r="A359" s="45" t="s">
        <v>344</v>
      </c>
      <c r="B359" s="45" t="s">
        <v>285</v>
      </c>
      <c r="C359" s="46" t="n">
        <v>46083</v>
      </c>
      <c r="D359" s="45" t="s">
        <v>342</v>
      </c>
      <c r="E359" s="45" t="n">
        <v>1.75</v>
      </c>
      <c r="F359" s="45" t="n">
        <v>0</v>
      </c>
      <c r="G359" s="45" t="n">
        <v>0</v>
      </c>
      <c r="H359" s="45" t="n">
        <v>0</v>
      </c>
      <c r="I359" s="45"/>
    </row>
    <row r="360" customFormat="false" ht="15" hidden="false" customHeight="false" outlineLevel="0" collapsed="false">
      <c r="A360" s="45" t="s">
        <v>311</v>
      </c>
      <c r="B360" s="45" t="s">
        <v>312</v>
      </c>
      <c r="C360" s="46" t="n">
        <v>46084</v>
      </c>
      <c r="D360" s="45" t="s">
        <v>313</v>
      </c>
      <c r="E360" s="45" t="n">
        <v>2.25</v>
      </c>
      <c r="F360" s="45" t="n">
        <v>0</v>
      </c>
      <c r="G360" s="45" t="n">
        <v>0</v>
      </c>
      <c r="H360" s="45" t="n">
        <v>0</v>
      </c>
      <c r="I360" s="45"/>
    </row>
    <row r="361" customFormat="false" ht="15" hidden="false" customHeight="false" outlineLevel="0" collapsed="false">
      <c r="A361" s="45" t="s">
        <v>311</v>
      </c>
      <c r="B361" s="45" t="s">
        <v>312</v>
      </c>
      <c r="C361" s="46" t="n">
        <v>46084</v>
      </c>
      <c r="D361" s="45" t="s">
        <v>454</v>
      </c>
      <c r="E361" s="45" t="n">
        <v>2.5</v>
      </c>
      <c r="F361" s="45" t="n">
        <v>0</v>
      </c>
      <c r="G361" s="45" t="n">
        <v>80</v>
      </c>
      <c r="H361" s="45" t="n">
        <v>0</v>
      </c>
      <c r="I361" s="45"/>
    </row>
    <row r="362" customFormat="false" ht="15" hidden="false" customHeight="false" outlineLevel="0" collapsed="false">
      <c r="A362" s="45" t="s">
        <v>271</v>
      </c>
      <c r="B362" s="45" t="s">
        <v>250</v>
      </c>
      <c r="C362" s="46" t="n">
        <v>46085</v>
      </c>
      <c r="D362" s="45" t="s">
        <v>409</v>
      </c>
      <c r="E362" s="45" t="n">
        <v>2.5</v>
      </c>
      <c r="F362" s="45" t="n">
        <v>0</v>
      </c>
      <c r="G362" s="45" t="n">
        <v>0</v>
      </c>
      <c r="H362" s="45" t="n">
        <v>0</v>
      </c>
      <c r="I362" s="45"/>
    </row>
    <row r="363" customFormat="false" ht="15" hidden="false" customHeight="false" outlineLevel="0" collapsed="false">
      <c r="A363" s="45" t="s">
        <v>271</v>
      </c>
      <c r="B363" s="45" t="s">
        <v>250</v>
      </c>
      <c r="C363" s="46" t="n">
        <v>46085</v>
      </c>
      <c r="D363" s="45" t="s">
        <v>339</v>
      </c>
      <c r="E363" s="45" t="n">
        <v>3</v>
      </c>
      <c r="F363" s="45" t="n">
        <v>26</v>
      </c>
      <c r="G363" s="45" t="n">
        <v>2500</v>
      </c>
      <c r="H363" s="45" t="n">
        <v>1670</v>
      </c>
      <c r="I363" s="45"/>
    </row>
    <row r="364" customFormat="false" ht="15" hidden="false" customHeight="false" outlineLevel="0" collapsed="false">
      <c r="A364" s="45" t="s">
        <v>253</v>
      </c>
      <c r="B364" s="45" t="s">
        <v>254</v>
      </c>
      <c r="C364" s="46" t="n">
        <v>46085</v>
      </c>
      <c r="D364" s="45" t="s">
        <v>421</v>
      </c>
      <c r="E364" s="45" t="n">
        <v>4.75</v>
      </c>
      <c r="F364" s="45" t="n">
        <v>0</v>
      </c>
      <c r="G364" s="45" t="n">
        <v>0</v>
      </c>
      <c r="H364" s="45" t="n">
        <v>0</v>
      </c>
      <c r="I364" s="45"/>
    </row>
    <row r="365" customFormat="false" ht="15" hidden="false" customHeight="false" outlineLevel="0" collapsed="false">
      <c r="A365" s="45" t="s">
        <v>253</v>
      </c>
      <c r="B365" s="45" t="s">
        <v>254</v>
      </c>
      <c r="C365" s="46" t="n">
        <v>46085</v>
      </c>
      <c r="D365" s="45" t="s">
        <v>455</v>
      </c>
      <c r="E365" s="45" t="n">
        <v>7.25</v>
      </c>
      <c r="F365" s="45" t="n">
        <v>31</v>
      </c>
      <c r="G365" s="45" t="n">
        <v>510</v>
      </c>
      <c r="H365" s="45" t="n">
        <v>0</v>
      </c>
      <c r="I365" s="45"/>
    </row>
    <row r="366" customFormat="false" ht="15" hidden="false" customHeight="false" outlineLevel="0" collapsed="false">
      <c r="A366" s="45" t="s">
        <v>376</v>
      </c>
      <c r="B366" s="45" t="s">
        <v>250</v>
      </c>
      <c r="C366" s="46" t="n">
        <v>46088</v>
      </c>
      <c r="D366" s="45" t="s">
        <v>387</v>
      </c>
      <c r="E366" s="45" t="n">
        <v>3</v>
      </c>
      <c r="F366" s="45" t="n">
        <v>20</v>
      </c>
      <c r="G366" s="45" t="n">
        <v>110</v>
      </c>
      <c r="H366" s="45" t="n">
        <v>400</v>
      </c>
      <c r="I366" s="45"/>
    </row>
    <row r="367" customFormat="false" ht="15" hidden="false" customHeight="false" outlineLevel="0" collapsed="false">
      <c r="A367" s="45" t="s">
        <v>269</v>
      </c>
      <c r="B367" s="45" t="s">
        <v>250</v>
      </c>
      <c r="C367" s="46" t="n">
        <v>46093</v>
      </c>
      <c r="D367" s="45" t="s">
        <v>369</v>
      </c>
      <c r="E367" s="45" t="n">
        <v>2</v>
      </c>
      <c r="F367" s="45" t="n">
        <v>8</v>
      </c>
      <c r="G367" s="45" t="n">
        <v>140</v>
      </c>
      <c r="H367" s="45" t="n">
        <v>0</v>
      </c>
      <c r="I367" s="45"/>
    </row>
    <row r="368" customFormat="false" ht="15" hidden="false" customHeight="false" outlineLevel="0" collapsed="false">
      <c r="A368" s="45" t="s">
        <v>344</v>
      </c>
      <c r="B368" s="45" t="s">
        <v>285</v>
      </c>
      <c r="C368" s="46" t="n">
        <v>46094</v>
      </c>
      <c r="D368" s="45" t="s">
        <v>345</v>
      </c>
      <c r="E368" s="45" t="n">
        <v>2</v>
      </c>
      <c r="F368" s="45" t="n">
        <v>17</v>
      </c>
      <c r="G368" s="45" t="n">
        <v>40</v>
      </c>
      <c r="H368" s="45" t="n">
        <v>0</v>
      </c>
      <c r="I368" s="45"/>
    </row>
    <row r="369" customFormat="false" ht="15" hidden="false" customHeight="false" outlineLevel="0" collapsed="false">
      <c r="A369" s="45" t="s">
        <v>344</v>
      </c>
      <c r="B369" s="45" t="s">
        <v>285</v>
      </c>
      <c r="C369" s="46" t="n">
        <v>46094</v>
      </c>
      <c r="D369" s="45" t="s">
        <v>323</v>
      </c>
      <c r="E369" s="45" t="n">
        <v>2</v>
      </c>
      <c r="F369" s="45" t="n">
        <v>0</v>
      </c>
      <c r="G369" s="45" t="n">
        <v>0</v>
      </c>
      <c r="H369" s="45" t="n">
        <v>0</v>
      </c>
      <c r="I369" s="45"/>
    </row>
    <row r="370" customFormat="false" ht="15" hidden="false" customHeight="false" outlineLevel="0" collapsed="false">
      <c r="A370" s="45" t="s">
        <v>354</v>
      </c>
      <c r="B370" s="45" t="s">
        <v>355</v>
      </c>
      <c r="C370" s="46" t="n">
        <v>46101</v>
      </c>
      <c r="D370" s="45" t="s">
        <v>456</v>
      </c>
      <c r="E370" s="45" t="n">
        <v>6</v>
      </c>
      <c r="F370" s="45" t="n">
        <v>82</v>
      </c>
      <c r="G370" s="45" t="n">
        <v>945</v>
      </c>
      <c r="H370" s="45" t="n">
        <v>0</v>
      </c>
      <c r="I370" s="45"/>
    </row>
    <row r="371" customFormat="false" ht="15" hidden="false" customHeight="false" outlineLevel="0" collapsed="false">
      <c r="A371" s="45" t="s">
        <v>354</v>
      </c>
      <c r="B371" s="45" t="s">
        <v>355</v>
      </c>
      <c r="C371" s="46" t="n">
        <v>46101</v>
      </c>
      <c r="D371" s="45" t="s">
        <v>457</v>
      </c>
      <c r="E371" s="45" t="n">
        <v>4.25</v>
      </c>
      <c r="F371" s="45" t="n">
        <v>0</v>
      </c>
      <c r="G371" s="45" t="n">
        <v>0</v>
      </c>
      <c r="H371" s="45" t="n">
        <v>0</v>
      </c>
      <c r="I371" s="45"/>
    </row>
    <row r="372" customFormat="false" ht="15" hidden="false" customHeight="false" outlineLevel="0" collapsed="false">
      <c r="A372" s="45" t="s">
        <v>354</v>
      </c>
      <c r="B372" s="45" t="s">
        <v>355</v>
      </c>
      <c r="C372" s="46" t="n">
        <v>46101</v>
      </c>
      <c r="D372" s="45" t="s">
        <v>458</v>
      </c>
      <c r="E372" s="45" t="n">
        <v>6</v>
      </c>
      <c r="F372" s="45" t="n">
        <v>0</v>
      </c>
      <c r="G372" s="45" t="n">
        <v>0</v>
      </c>
      <c r="H372" s="45" t="n">
        <v>0</v>
      </c>
      <c r="I372" s="45"/>
    </row>
    <row r="373" customFormat="false" ht="15" hidden="false" customHeight="false" outlineLevel="0" collapsed="false">
      <c r="A373" s="45" t="s">
        <v>352</v>
      </c>
      <c r="B373" s="45" t="s">
        <v>319</v>
      </c>
      <c r="C373" s="46" t="n">
        <v>46105</v>
      </c>
      <c r="D373" s="45" t="s">
        <v>351</v>
      </c>
      <c r="E373" s="45" t="n">
        <v>0</v>
      </c>
      <c r="F373" s="45" t="n">
        <v>0</v>
      </c>
      <c r="G373" s="45" t="n">
        <v>102265</v>
      </c>
      <c r="H373" s="45" t="n">
        <v>0</v>
      </c>
      <c r="I373" s="45"/>
    </row>
    <row r="374" customFormat="false" ht="15" hidden="false" customHeight="false" outlineLevel="0" collapsed="false">
      <c r="A374" s="45" t="s">
        <v>277</v>
      </c>
      <c r="B374" s="45" t="s">
        <v>261</v>
      </c>
      <c r="C374" s="46" t="n">
        <v>46112</v>
      </c>
      <c r="D374" s="45" t="s">
        <v>286</v>
      </c>
      <c r="E374" s="45" t="n">
        <v>87.25</v>
      </c>
      <c r="F374" s="45" t="n">
        <v>0</v>
      </c>
      <c r="G374" s="45" t="n">
        <v>0</v>
      </c>
      <c r="H374" s="45" t="n">
        <v>0</v>
      </c>
      <c r="I374" s="45"/>
    </row>
    <row r="375" customFormat="false" ht="15" hidden="false" customHeight="false" outlineLevel="0" collapsed="false">
      <c r="A375" s="45" t="s">
        <v>277</v>
      </c>
      <c r="B375" s="45" t="s">
        <v>261</v>
      </c>
      <c r="C375" s="46" t="n">
        <v>46112</v>
      </c>
      <c r="D375" s="45" t="s">
        <v>396</v>
      </c>
      <c r="E375" s="45" t="n">
        <v>131</v>
      </c>
      <c r="F375" s="45" t="n">
        <v>0</v>
      </c>
      <c r="G375" s="45" t="n">
        <v>0</v>
      </c>
      <c r="H375" s="45" t="n">
        <v>0</v>
      </c>
      <c r="I375" s="45"/>
    </row>
    <row r="376" customFormat="false" ht="15" hidden="false" customHeight="false" outlineLevel="0" collapsed="false">
      <c r="A376" s="45" t="s">
        <v>277</v>
      </c>
      <c r="B376" s="45" t="s">
        <v>261</v>
      </c>
      <c r="C376" s="46" t="n">
        <v>46112</v>
      </c>
      <c r="D376" s="45" t="s">
        <v>262</v>
      </c>
      <c r="E376" s="45" t="n">
        <v>131.25</v>
      </c>
      <c r="F376" s="45" t="n">
        <v>270</v>
      </c>
      <c r="G376" s="45" t="n">
        <v>6695</v>
      </c>
      <c r="H376" s="45" t="n">
        <v>0</v>
      </c>
      <c r="I376" s="45"/>
    </row>
    <row r="377" customFormat="false" ht="15" hidden="false" customHeight="false" outlineLevel="0" collapsed="false">
      <c r="A377" s="45" t="s">
        <v>281</v>
      </c>
      <c r="B377" s="45" t="s">
        <v>261</v>
      </c>
      <c r="C377" s="46" t="n">
        <v>46112</v>
      </c>
      <c r="D377" s="45" t="s">
        <v>414</v>
      </c>
      <c r="E377" s="45" t="n">
        <v>40</v>
      </c>
      <c r="F377" s="45" t="n">
        <v>396</v>
      </c>
      <c r="G377" s="45" t="n">
        <v>5850</v>
      </c>
      <c r="H377" s="45" t="n">
        <v>0</v>
      </c>
      <c r="I377" s="45"/>
    </row>
    <row r="378" customFormat="false" ht="15" hidden="false" customHeight="false" outlineLevel="0" collapsed="false">
      <c r="A378" s="45" t="s">
        <v>281</v>
      </c>
      <c r="B378" s="45" t="s">
        <v>261</v>
      </c>
      <c r="C378" s="46" t="n">
        <v>46112</v>
      </c>
      <c r="D378" s="45" t="s">
        <v>273</v>
      </c>
      <c r="E378" s="45" t="n">
        <v>22.25</v>
      </c>
      <c r="F378" s="45" t="n">
        <v>0</v>
      </c>
      <c r="G378" s="45" t="n">
        <v>0</v>
      </c>
      <c r="H378" s="45" t="n">
        <v>0</v>
      </c>
      <c r="I378" s="45"/>
    </row>
    <row r="379" customFormat="false" ht="15" hidden="false" customHeight="false" outlineLevel="0" collapsed="false">
      <c r="A379" s="45" t="s">
        <v>281</v>
      </c>
      <c r="B379" s="45" t="s">
        <v>261</v>
      </c>
      <c r="C379" s="46" t="n">
        <v>46112</v>
      </c>
      <c r="D379" s="45" t="s">
        <v>327</v>
      </c>
      <c r="E379" s="45" t="n">
        <v>56.25</v>
      </c>
      <c r="F379" s="45" t="n">
        <v>0</v>
      </c>
      <c r="G379" s="45" t="n">
        <v>0</v>
      </c>
      <c r="H379" s="45" t="n">
        <v>0</v>
      </c>
      <c r="I379" s="45"/>
    </row>
    <row r="380" customFormat="false" ht="15" hidden="false" customHeight="false" outlineLevel="0" collapsed="false">
      <c r="A380" s="45" t="s">
        <v>284</v>
      </c>
      <c r="B380" s="45" t="s">
        <v>285</v>
      </c>
      <c r="C380" s="46" t="n">
        <v>46112</v>
      </c>
      <c r="D380" s="45" t="s">
        <v>278</v>
      </c>
      <c r="E380" s="45" t="n">
        <v>377</v>
      </c>
      <c r="F380" s="45" t="n">
        <v>603</v>
      </c>
      <c r="G380" s="45" t="n">
        <v>1495</v>
      </c>
      <c r="H380" s="45" t="n">
        <v>0</v>
      </c>
      <c r="I380" s="45"/>
    </row>
    <row r="381" customFormat="false" ht="15" hidden="false" customHeight="false" outlineLevel="0" collapsed="false">
      <c r="A381" s="45" t="s">
        <v>284</v>
      </c>
      <c r="B381" s="45" t="s">
        <v>285</v>
      </c>
      <c r="C381" s="46" t="n">
        <v>46112</v>
      </c>
      <c r="D381" s="45" t="s">
        <v>289</v>
      </c>
      <c r="E381" s="45" t="n">
        <v>170.5</v>
      </c>
      <c r="F381" s="45" t="n">
        <v>0</v>
      </c>
      <c r="G381" s="45" t="n">
        <v>0</v>
      </c>
      <c r="H381" s="45" t="n">
        <v>0</v>
      </c>
      <c r="I381" s="45"/>
    </row>
    <row r="382" customFormat="false" ht="15" hidden="false" customHeight="false" outlineLevel="0" collapsed="false">
      <c r="A382" s="45" t="s">
        <v>288</v>
      </c>
      <c r="B382" s="45" t="s">
        <v>285</v>
      </c>
      <c r="C382" s="46" t="n">
        <v>46112</v>
      </c>
      <c r="D382" s="45" t="s">
        <v>459</v>
      </c>
      <c r="E382" s="45" t="n">
        <v>83</v>
      </c>
      <c r="F382" s="45" t="n">
        <v>0</v>
      </c>
      <c r="G382" s="45" t="n">
        <v>0</v>
      </c>
      <c r="H382" s="45" t="n">
        <v>0</v>
      </c>
      <c r="I382" s="45"/>
    </row>
    <row r="383" customFormat="false" ht="15" hidden="false" customHeight="false" outlineLevel="0" collapsed="false">
      <c r="A383" s="45" t="s">
        <v>288</v>
      </c>
      <c r="B383" s="45" t="s">
        <v>285</v>
      </c>
      <c r="C383" s="46" t="n">
        <v>46112</v>
      </c>
      <c r="D383" s="45" t="s">
        <v>283</v>
      </c>
      <c r="E383" s="45" t="n">
        <v>27.25</v>
      </c>
      <c r="F383" s="45" t="n">
        <v>159</v>
      </c>
      <c r="G383" s="45" t="n">
        <v>22280</v>
      </c>
      <c r="H383" s="45" t="n">
        <v>0</v>
      </c>
      <c r="I383" s="45"/>
    </row>
    <row r="384" customFormat="false" ht="15" hidden="false" customHeight="false" outlineLevel="0" collapsed="false">
      <c r="A384" s="45" t="s">
        <v>290</v>
      </c>
      <c r="B384" s="45" t="s">
        <v>291</v>
      </c>
      <c r="C384" s="46" t="n">
        <v>46112</v>
      </c>
      <c r="D384" s="45" t="s">
        <v>460</v>
      </c>
      <c r="E384" s="45" t="n">
        <v>90.75</v>
      </c>
      <c r="F384" s="45" t="n">
        <v>0</v>
      </c>
      <c r="G384" s="45" t="n">
        <v>10320</v>
      </c>
      <c r="H384" s="45" t="n">
        <v>0</v>
      </c>
      <c r="I384" s="45"/>
    </row>
    <row r="385" customFormat="false" ht="15" hidden="false" customHeight="false" outlineLevel="0" collapsed="false">
      <c r="A385" s="45" t="s">
        <v>290</v>
      </c>
      <c r="B385" s="45" t="s">
        <v>291</v>
      </c>
      <c r="C385" s="46" t="n">
        <v>46112</v>
      </c>
      <c r="D385" s="45" t="s">
        <v>362</v>
      </c>
      <c r="E385" s="45" t="n">
        <v>99.25</v>
      </c>
      <c r="F385" s="45" t="n">
        <v>0</v>
      </c>
      <c r="G385" s="45" t="n">
        <v>0</v>
      </c>
      <c r="H385" s="45" t="n">
        <v>0</v>
      </c>
      <c r="I385" s="45"/>
    </row>
    <row r="386" customFormat="false" ht="15" hidden="false" customHeight="false" outlineLevel="0" collapsed="false">
      <c r="A386" s="45" t="s">
        <v>294</v>
      </c>
      <c r="B386" s="45" t="s">
        <v>291</v>
      </c>
      <c r="C386" s="46" t="n">
        <v>46112</v>
      </c>
      <c r="D386" s="45" t="s">
        <v>461</v>
      </c>
      <c r="E386" s="45" t="n">
        <v>68.25</v>
      </c>
      <c r="F386" s="45" t="n">
        <v>0</v>
      </c>
      <c r="G386" s="45" t="n">
        <v>0</v>
      </c>
      <c r="H386" s="45" t="n">
        <v>0</v>
      </c>
      <c r="I386" s="45"/>
    </row>
    <row r="387" customFormat="false" ht="15" hidden="false" customHeight="false" outlineLevel="0" collapsed="false">
      <c r="A387" s="45" t="s">
        <v>294</v>
      </c>
      <c r="B387" s="45" t="s">
        <v>291</v>
      </c>
      <c r="C387" s="46" t="n">
        <v>46112</v>
      </c>
      <c r="D387" s="45" t="s">
        <v>313</v>
      </c>
      <c r="E387" s="45" t="n">
        <v>80.25</v>
      </c>
      <c r="F387" s="45" t="n">
        <v>0</v>
      </c>
      <c r="G387" s="45" t="n">
        <v>435</v>
      </c>
      <c r="H387" s="45" t="n">
        <v>0</v>
      </c>
      <c r="I387" s="45"/>
    </row>
    <row r="388" customFormat="false" ht="15" hidden="false" customHeight="false" outlineLevel="0" collapsed="false">
      <c r="A388" s="45" t="s">
        <v>296</v>
      </c>
      <c r="B388" s="45" t="s">
        <v>285</v>
      </c>
      <c r="C388" s="46" t="n">
        <v>46112</v>
      </c>
      <c r="D388" s="45" t="s">
        <v>462</v>
      </c>
      <c r="E388" s="45" t="n">
        <v>55.5</v>
      </c>
      <c r="F388" s="45" t="n">
        <v>133</v>
      </c>
      <c r="G388" s="45" t="n">
        <v>0</v>
      </c>
      <c r="H388" s="45" t="n">
        <v>0</v>
      </c>
      <c r="I388" s="45"/>
    </row>
    <row r="389" customFormat="false" ht="15" hidden="false" customHeight="false" outlineLevel="0" collapsed="false">
      <c r="A389" s="45" t="s">
        <v>298</v>
      </c>
      <c r="B389" s="45" t="s">
        <v>299</v>
      </c>
      <c r="C389" s="46" t="n">
        <v>46112</v>
      </c>
      <c r="D389" s="45" t="s">
        <v>255</v>
      </c>
      <c r="E389" s="45" t="n">
        <v>115.25</v>
      </c>
      <c r="F389" s="45" t="n">
        <v>45</v>
      </c>
      <c r="G389" s="45" t="n">
        <v>1325</v>
      </c>
      <c r="H389" s="45" t="n">
        <v>0</v>
      </c>
      <c r="I389" s="45"/>
    </row>
    <row r="390" customFormat="false" ht="15" hidden="false" customHeight="false" outlineLevel="0" collapsed="false">
      <c r="A390" s="45" t="s">
        <v>298</v>
      </c>
      <c r="B390" s="45" t="s">
        <v>299</v>
      </c>
      <c r="C390" s="46" t="n">
        <v>46112</v>
      </c>
      <c r="D390" s="45" t="s">
        <v>301</v>
      </c>
      <c r="E390" s="45" t="n">
        <v>311.25</v>
      </c>
      <c r="F390" s="45" t="n">
        <v>0</v>
      </c>
      <c r="G390" s="45" t="n">
        <v>0</v>
      </c>
      <c r="H390" s="45" t="n">
        <v>0</v>
      </c>
      <c r="I390" s="45"/>
    </row>
    <row r="391" customFormat="false" ht="15" hidden="false" customHeight="false" outlineLevel="0" collapsed="false">
      <c r="A391" s="45" t="s">
        <v>302</v>
      </c>
      <c r="B391" s="45" t="s">
        <v>299</v>
      </c>
      <c r="C391" s="46" t="n">
        <v>46112</v>
      </c>
      <c r="D391" s="45" t="s">
        <v>365</v>
      </c>
      <c r="E391" s="45" t="n">
        <v>384.75</v>
      </c>
      <c r="F391" s="45" t="n">
        <v>0</v>
      </c>
      <c r="G391" s="45" t="n">
        <v>43920</v>
      </c>
      <c r="H391" s="45" t="n">
        <v>165325</v>
      </c>
      <c r="I391" s="45"/>
    </row>
    <row r="392" customFormat="false" ht="15" hidden="false" customHeight="false" outlineLevel="0" collapsed="false">
      <c r="A392" s="45" t="s">
        <v>302</v>
      </c>
      <c r="B392" s="45" t="s">
        <v>299</v>
      </c>
      <c r="C392" s="46" t="n">
        <v>46112</v>
      </c>
      <c r="D392" s="45" t="s">
        <v>455</v>
      </c>
      <c r="E392" s="45" t="n">
        <v>174.25</v>
      </c>
      <c r="F392" s="45" t="n">
        <v>0</v>
      </c>
      <c r="G392" s="45" t="n">
        <v>0</v>
      </c>
      <c r="H392" s="45" t="n">
        <v>0</v>
      </c>
      <c r="I392" s="45"/>
    </row>
    <row r="393" customFormat="false" ht="15" hidden="false" customHeight="false" outlineLevel="0" collapsed="false">
      <c r="A393" s="45" t="s">
        <v>302</v>
      </c>
      <c r="B393" s="45" t="s">
        <v>299</v>
      </c>
      <c r="C393" s="46" t="n">
        <v>46112</v>
      </c>
      <c r="D393" s="45" t="s">
        <v>463</v>
      </c>
      <c r="E393" s="45" t="n">
        <v>4146.75</v>
      </c>
      <c r="F393" s="45" t="n">
        <v>0</v>
      </c>
      <c r="G393" s="45" t="n">
        <v>0</v>
      </c>
      <c r="H393" s="45" t="n">
        <v>0</v>
      </c>
      <c r="I393" s="45"/>
    </row>
    <row r="394" customFormat="false" ht="15" hidden="false" customHeight="false" outlineLevel="0" collapsed="false">
      <c r="A394" s="45" t="s">
        <v>306</v>
      </c>
      <c r="B394" s="45" t="s">
        <v>299</v>
      </c>
      <c r="C394" s="46" t="n">
        <v>46112</v>
      </c>
      <c r="D394" s="45" t="s">
        <v>283</v>
      </c>
      <c r="E394" s="45" t="n">
        <v>63.75</v>
      </c>
      <c r="F394" s="45" t="n">
        <v>5</v>
      </c>
      <c r="G394" s="45" t="n">
        <v>145</v>
      </c>
      <c r="H394" s="45" t="n">
        <v>0</v>
      </c>
      <c r="I394" s="45"/>
    </row>
    <row r="395" customFormat="false" ht="15" hidden="false" customHeight="false" outlineLevel="0" collapsed="false">
      <c r="A395" s="45" t="s">
        <v>307</v>
      </c>
      <c r="B395" s="45" t="s">
        <v>167</v>
      </c>
      <c r="C395" s="46" t="n">
        <v>46112</v>
      </c>
      <c r="D395" s="45" t="s">
        <v>293</v>
      </c>
      <c r="E395" s="45" t="n">
        <v>41.75</v>
      </c>
      <c r="F395" s="45" t="n">
        <v>0</v>
      </c>
      <c r="G395" s="45" t="n">
        <v>0</v>
      </c>
      <c r="H395" s="45" t="n">
        <v>0</v>
      </c>
      <c r="I395" s="45"/>
    </row>
    <row r="396" customFormat="false" ht="15" hidden="false" customHeight="false" outlineLevel="0" collapsed="false">
      <c r="A396" s="45" t="s">
        <v>307</v>
      </c>
      <c r="B396" s="45" t="s">
        <v>167</v>
      </c>
      <c r="C396" s="46" t="n">
        <v>46112</v>
      </c>
      <c r="D396" s="45" t="s">
        <v>365</v>
      </c>
      <c r="E396" s="45" t="n">
        <v>21</v>
      </c>
      <c r="F396" s="45" t="n">
        <v>0</v>
      </c>
      <c r="G396" s="45" t="n">
        <v>0</v>
      </c>
      <c r="H396" s="45" t="n">
        <v>0</v>
      </c>
      <c r="I396" s="45"/>
    </row>
    <row r="397" customFormat="false" ht="15" hidden="false" customHeight="false" outlineLevel="0" collapsed="false">
      <c r="A397" s="45" t="s">
        <v>307</v>
      </c>
      <c r="B397" s="45" t="s">
        <v>167</v>
      </c>
      <c r="C397" s="46" t="n">
        <v>46112</v>
      </c>
      <c r="D397" s="45" t="s">
        <v>310</v>
      </c>
      <c r="E397" s="45" t="n">
        <v>159.5</v>
      </c>
      <c r="F397" s="45" t="n">
        <v>68</v>
      </c>
      <c r="G397" s="45" t="n">
        <v>7990</v>
      </c>
      <c r="H397" s="45" t="n">
        <v>12195</v>
      </c>
      <c r="I397" s="45"/>
    </row>
    <row r="398" customFormat="false" ht="15" hidden="false" customHeight="false" outlineLevel="0" collapsed="false">
      <c r="A398" s="45" t="s">
        <v>427</v>
      </c>
      <c r="B398" s="45" t="s">
        <v>428</v>
      </c>
      <c r="C398" s="46" t="n">
        <v>46113</v>
      </c>
      <c r="D398" s="45" t="s">
        <v>373</v>
      </c>
      <c r="E398" s="45" t="n">
        <v>4</v>
      </c>
      <c r="F398" s="45" t="n">
        <v>0</v>
      </c>
      <c r="G398" s="45" t="n">
        <v>1725</v>
      </c>
      <c r="H398" s="45" t="n">
        <v>0</v>
      </c>
      <c r="I398" s="45"/>
    </row>
    <row r="399" customFormat="false" ht="15" hidden="false" customHeight="false" outlineLevel="0" collapsed="false">
      <c r="A399" s="45" t="s">
        <v>427</v>
      </c>
      <c r="B399" s="45" t="s">
        <v>428</v>
      </c>
      <c r="C399" s="46" t="n">
        <v>46113</v>
      </c>
      <c r="D399" s="45" t="s">
        <v>317</v>
      </c>
      <c r="E399" s="45" t="n">
        <v>4.5</v>
      </c>
      <c r="F399" s="45" t="n">
        <v>0</v>
      </c>
      <c r="G399" s="45" t="n">
        <v>0</v>
      </c>
      <c r="H399" s="45" t="n">
        <v>0</v>
      </c>
      <c r="I399" s="45"/>
    </row>
    <row r="400" customFormat="false" ht="15" hidden="false" customHeight="false" outlineLevel="0" collapsed="false">
      <c r="A400" s="45" t="s">
        <v>269</v>
      </c>
      <c r="B400" s="45" t="s">
        <v>250</v>
      </c>
      <c r="C400" s="46" t="n">
        <v>46114</v>
      </c>
      <c r="D400" s="45" t="s">
        <v>464</v>
      </c>
      <c r="E400" s="45" t="n">
        <v>2</v>
      </c>
      <c r="F400" s="45" t="n">
        <v>9</v>
      </c>
      <c r="G400" s="45" t="n">
        <v>235</v>
      </c>
      <c r="H400" s="45" t="n">
        <v>0</v>
      </c>
      <c r="I400" s="45"/>
    </row>
    <row r="401" customFormat="false" ht="15" hidden="false" customHeight="false" outlineLevel="0" collapsed="false">
      <c r="A401" s="45" t="s">
        <v>271</v>
      </c>
      <c r="B401" s="45" t="s">
        <v>250</v>
      </c>
      <c r="C401" s="46" t="n">
        <v>46116</v>
      </c>
      <c r="D401" s="45" t="s">
        <v>409</v>
      </c>
      <c r="E401" s="45" t="n">
        <v>2.5</v>
      </c>
      <c r="F401" s="45" t="n">
        <v>0</v>
      </c>
      <c r="G401" s="45" t="n">
        <v>0</v>
      </c>
      <c r="H401" s="45" t="n">
        <v>0</v>
      </c>
      <c r="I401" s="45"/>
    </row>
    <row r="402" customFormat="false" ht="15" hidden="false" customHeight="false" outlineLevel="0" collapsed="false">
      <c r="A402" s="45" t="s">
        <v>271</v>
      </c>
      <c r="B402" s="45" t="s">
        <v>250</v>
      </c>
      <c r="C402" s="46" t="n">
        <v>46116</v>
      </c>
      <c r="D402" s="45" t="s">
        <v>339</v>
      </c>
      <c r="E402" s="45" t="n">
        <v>2.25</v>
      </c>
      <c r="F402" s="45" t="n">
        <v>35</v>
      </c>
      <c r="G402" s="45" t="n">
        <v>1325</v>
      </c>
      <c r="H402" s="45" t="n">
        <v>995</v>
      </c>
      <c r="I402" s="45"/>
    </row>
    <row r="403" customFormat="false" ht="15" hidden="false" customHeight="false" outlineLevel="0" collapsed="false">
      <c r="A403" s="45" t="s">
        <v>350</v>
      </c>
      <c r="B403" s="45" t="s">
        <v>319</v>
      </c>
      <c r="C403" s="46" t="n">
        <v>46117</v>
      </c>
      <c r="D403" s="45" t="s">
        <v>353</v>
      </c>
      <c r="E403" s="45" t="n">
        <v>0</v>
      </c>
      <c r="F403" s="45" t="n">
        <v>0</v>
      </c>
      <c r="G403" s="45" t="n">
        <v>67520</v>
      </c>
      <c r="H403" s="45" t="n">
        <v>0</v>
      </c>
      <c r="I403" s="45"/>
    </row>
    <row r="404" customFormat="false" ht="15" hidden="false" customHeight="false" outlineLevel="0" collapsed="false">
      <c r="A404" s="45" t="s">
        <v>249</v>
      </c>
      <c r="B404" s="45" t="s">
        <v>250</v>
      </c>
      <c r="C404" s="46" t="n">
        <v>46126</v>
      </c>
      <c r="D404" s="45" t="s">
        <v>267</v>
      </c>
      <c r="E404" s="45" t="n">
        <v>8</v>
      </c>
      <c r="F404" s="45" t="n">
        <v>0</v>
      </c>
      <c r="G404" s="45" t="n">
        <v>0</v>
      </c>
      <c r="H404" s="45" t="n">
        <v>0</v>
      </c>
      <c r="I404" s="45"/>
    </row>
    <row r="405" customFormat="false" ht="15" hidden="false" customHeight="false" outlineLevel="0" collapsed="false">
      <c r="A405" s="45" t="s">
        <v>249</v>
      </c>
      <c r="B405" s="45" t="s">
        <v>250</v>
      </c>
      <c r="C405" s="46" t="n">
        <v>46126</v>
      </c>
      <c r="D405" s="45" t="s">
        <v>342</v>
      </c>
      <c r="E405" s="45" t="n">
        <v>8</v>
      </c>
      <c r="F405" s="45" t="n">
        <v>27</v>
      </c>
      <c r="G405" s="45" t="n">
        <v>325</v>
      </c>
      <c r="H405" s="45" t="n">
        <v>0</v>
      </c>
      <c r="I405" s="45"/>
    </row>
    <row r="406" customFormat="false" ht="15" hidden="false" customHeight="false" outlineLevel="0" collapsed="false">
      <c r="A406" s="45" t="s">
        <v>344</v>
      </c>
      <c r="B406" s="45" t="s">
        <v>285</v>
      </c>
      <c r="C406" s="46" t="n">
        <v>46127</v>
      </c>
      <c r="D406" s="45" t="s">
        <v>465</v>
      </c>
      <c r="E406" s="45" t="n">
        <v>2.25</v>
      </c>
      <c r="F406" s="45" t="n">
        <v>11</v>
      </c>
      <c r="G406" s="45" t="n">
        <v>20</v>
      </c>
      <c r="H406" s="45" t="n">
        <v>0</v>
      </c>
      <c r="I406" s="45"/>
    </row>
    <row r="407" customFormat="false" ht="15" hidden="false" customHeight="false" outlineLevel="0" collapsed="false">
      <c r="A407" s="45" t="s">
        <v>344</v>
      </c>
      <c r="B407" s="45" t="s">
        <v>285</v>
      </c>
      <c r="C407" s="46" t="n">
        <v>46127</v>
      </c>
      <c r="D407" s="45" t="s">
        <v>342</v>
      </c>
      <c r="E407" s="45" t="n">
        <v>1.75</v>
      </c>
      <c r="F407" s="45" t="n">
        <v>0</v>
      </c>
      <c r="G407" s="45" t="n">
        <v>0</v>
      </c>
      <c r="H407" s="45" t="n">
        <v>0</v>
      </c>
      <c r="I407" s="45"/>
    </row>
    <row r="408" customFormat="false" ht="15" hidden="false" customHeight="false" outlineLevel="0" collapsed="false">
      <c r="A408" s="45" t="s">
        <v>260</v>
      </c>
      <c r="B408" s="45" t="s">
        <v>261</v>
      </c>
      <c r="C408" s="46" t="n">
        <v>46130</v>
      </c>
      <c r="D408" s="45" t="s">
        <v>458</v>
      </c>
      <c r="E408" s="45" t="n">
        <v>3.75</v>
      </c>
      <c r="F408" s="45" t="n">
        <v>47</v>
      </c>
      <c r="G408" s="45" t="n">
        <v>50</v>
      </c>
      <c r="H408" s="45" t="n">
        <v>0</v>
      </c>
      <c r="I408" s="45"/>
    </row>
    <row r="409" customFormat="false" ht="15" hidden="false" customHeight="false" outlineLevel="0" collapsed="false">
      <c r="A409" s="45" t="s">
        <v>311</v>
      </c>
      <c r="B409" s="45" t="s">
        <v>312</v>
      </c>
      <c r="C409" s="46" t="n">
        <v>46130</v>
      </c>
      <c r="D409" s="45" t="s">
        <v>292</v>
      </c>
      <c r="E409" s="45" t="n">
        <v>2.5</v>
      </c>
      <c r="F409" s="45" t="n">
        <v>0</v>
      </c>
      <c r="G409" s="45" t="n">
        <v>0</v>
      </c>
      <c r="H409" s="45" t="n">
        <v>0</v>
      </c>
      <c r="I409" s="45"/>
    </row>
    <row r="410" customFormat="false" ht="15" hidden="false" customHeight="false" outlineLevel="0" collapsed="false">
      <c r="A410" s="45" t="s">
        <v>311</v>
      </c>
      <c r="B410" s="45" t="s">
        <v>312</v>
      </c>
      <c r="C410" s="46" t="n">
        <v>46130</v>
      </c>
      <c r="D410" s="45" t="s">
        <v>316</v>
      </c>
      <c r="E410" s="45" t="n">
        <v>2.75</v>
      </c>
      <c r="F410" s="45" t="n">
        <v>0</v>
      </c>
      <c r="G410" s="45" t="n">
        <v>55</v>
      </c>
      <c r="H410" s="45" t="n">
        <v>0</v>
      </c>
      <c r="I410" s="45"/>
    </row>
    <row r="411" customFormat="false" ht="15" hidden="false" customHeight="false" outlineLevel="0" collapsed="false">
      <c r="A411" s="45" t="s">
        <v>376</v>
      </c>
      <c r="B411" s="45" t="s">
        <v>250</v>
      </c>
      <c r="C411" s="46" t="n">
        <v>46132</v>
      </c>
      <c r="D411" s="45" t="s">
        <v>466</v>
      </c>
      <c r="E411" s="45" t="n">
        <v>3</v>
      </c>
      <c r="F411" s="45" t="n">
        <v>15</v>
      </c>
      <c r="G411" s="45" t="n">
        <v>160</v>
      </c>
      <c r="H411" s="45" t="n">
        <v>0</v>
      </c>
      <c r="I411" s="45"/>
    </row>
    <row r="412" customFormat="false" ht="15" hidden="false" customHeight="false" outlineLevel="0" collapsed="false">
      <c r="A412" s="45" t="s">
        <v>249</v>
      </c>
      <c r="B412" s="45" t="s">
        <v>250</v>
      </c>
      <c r="C412" s="46" t="n">
        <v>46136</v>
      </c>
      <c r="D412" s="45" t="s">
        <v>263</v>
      </c>
      <c r="E412" s="45" t="n">
        <v>8</v>
      </c>
      <c r="F412" s="45" t="n">
        <v>0</v>
      </c>
      <c r="G412" s="45" t="n">
        <v>0</v>
      </c>
      <c r="H412" s="45" t="n">
        <v>0</v>
      </c>
      <c r="I412" s="45"/>
    </row>
    <row r="413" customFormat="false" ht="15" hidden="false" customHeight="false" outlineLevel="0" collapsed="false">
      <c r="A413" s="45" t="s">
        <v>249</v>
      </c>
      <c r="B413" s="45" t="s">
        <v>250</v>
      </c>
      <c r="C413" s="46" t="n">
        <v>46136</v>
      </c>
      <c r="D413" s="45" t="s">
        <v>342</v>
      </c>
      <c r="E413" s="45" t="n">
        <v>8</v>
      </c>
      <c r="F413" s="45" t="n">
        <v>24</v>
      </c>
      <c r="G413" s="45" t="n">
        <v>370</v>
      </c>
      <c r="H413" s="45" t="n">
        <v>0</v>
      </c>
      <c r="I413" s="45"/>
    </row>
    <row r="414" customFormat="false" ht="15" hidden="false" customHeight="false" outlineLevel="0" collapsed="false">
      <c r="A414" s="45" t="s">
        <v>277</v>
      </c>
      <c r="B414" s="45" t="s">
        <v>261</v>
      </c>
      <c r="C414" s="46" t="n">
        <v>46142</v>
      </c>
      <c r="D414" s="45" t="s">
        <v>324</v>
      </c>
      <c r="E414" s="45" t="n">
        <v>65.75</v>
      </c>
      <c r="F414" s="45" t="n">
        <v>0</v>
      </c>
      <c r="G414" s="45" t="n">
        <v>0</v>
      </c>
      <c r="H414" s="45" t="n">
        <v>0</v>
      </c>
      <c r="I414" s="45"/>
    </row>
    <row r="415" customFormat="false" ht="15" hidden="false" customHeight="false" outlineLevel="0" collapsed="false">
      <c r="A415" s="45" t="s">
        <v>277</v>
      </c>
      <c r="B415" s="45" t="s">
        <v>261</v>
      </c>
      <c r="C415" s="46" t="n">
        <v>46142</v>
      </c>
      <c r="D415" s="45" t="s">
        <v>412</v>
      </c>
      <c r="E415" s="45" t="n">
        <v>127.75</v>
      </c>
      <c r="F415" s="45" t="n">
        <v>0</v>
      </c>
      <c r="G415" s="45" t="n">
        <v>0</v>
      </c>
      <c r="H415" s="45" t="n">
        <v>0</v>
      </c>
      <c r="I415" s="45"/>
    </row>
    <row r="416" customFormat="false" ht="15" hidden="false" customHeight="false" outlineLevel="0" collapsed="false">
      <c r="A416" s="45" t="s">
        <v>277</v>
      </c>
      <c r="B416" s="45" t="s">
        <v>261</v>
      </c>
      <c r="C416" s="46" t="n">
        <v>46142</v>
      </c>
      <c r="D416" s="45" t="s">
        <v>357</v>
      </c>
      <c r="E416" s="45" t="n">
        <v>111.5</v>
      </c>
      <c r="F416" s="45" t="n">
        <v>374</v>
      </c>
      <c r="G416" s="45" t="n">
        <v>11015</v>
      </c>
      <c r="H416" s="45" t="n">
        <v>0</v>
      </c>
      <c r="I416" s="45"/>
    </row>
    <row r="417" customFormat="false" ht="15" hidden="false" customHeight="false" outlineLevel="0" collapsed="false">
      <c r="A417" s="45" t="s">
        <v>269</v>
      </c>
      <c r="B417" s="45" t="s">
        <v>250</v>
      </c>
      <c r="C417" s="46" t="n">
        <v>46142</v>
      </c>
      <c r="D417" s="45" t="s">
        <v>467</v>
      </c>
      <c r="E417" s="45" t="n">
        <v>2</v>
      </c>
      <c r="F417" s="45" t="n">
        <v>13</v>
      </c>
      <c r="G417" s="45" t="n">
        <v>145</v>
      </c>
      <c r="H417" s="45" t="n">
        <v>0</v>
      </c>
      <c r="I417" s="45"/>
    </row>
    <row r="418" customFormat="false" ht="15" hidden="false" customHeight="false" outlineLevel="0" collapsed="false">
      <c r="A418" s="45" t="s">
        <v>281</v>
      </c>
      <c r="B418" s="45" t="s">
        <v>261</v>
      </c>
      <c r="C418" s="46" t="n">
        <v>46142</v>
      </c>
      <c r="D418" s="45" t="s">
        <v>397</v>
      </c>
      <c r="E418" s="45" t="n">
        <v>46.5</v>
      </c>
      <c r="F418" s="45" t="n">
        <v>275</v>
      </c>
      <c r="G418" s="45" t="n">
        <v>5295</v>
      </c>
      <c r="H418" s="45" t="n">
        <v>0</v>
      </c>
      <c r="I418" s="45"/>
    </row>
    <row r="419" customFormat="false" ht="15" hidden="false" customHeight="false" outlineLevel="0" collapsed="false">
      <c r="A419" s="45" t="s">
        <v>281</v>
      </c>
      <c r="B419" s="45" t="s">
        <v>261</v>
      </c>
      <c r="C419" s="46" t="n">
        <v>46142</v>
      </c>
      <c r="D419" s="45" t="s">
        <v>339</v>
      </c>
      <c r="E419" s="45" t="n">
        <v>20</v>
      </c>
      <c r="F419" s="45" t="n">
        <v>0</v>
      </c>
      <c r="G419" s="45" t="n">
        <v>0</v>
      </c>
      <c r="H419" s="45" t="n">
        <v>0</v>
      </c>
      <c r="I419" s="45"/>
    </row>
    <row r="420" customFormat="false" ht="15" hidden="false" customHeight="false" outlineLevel="0" collapsed="false">
      <c r="A420" s="45" t="s">
        <v>281</v>
      </c>
      <c r="B420" s="45" t="s">
        <v>261</v>
      </c>
      <c r="C420" s="46" t="n">
        <v>46142</v>
      </c>
      <c r="D420" s="45" t="s">
        <v>357</v>
      </c>
      <c r="E420" s="45" t="n">
        <v>48</v>
      </c>
      <c r="F420" s="45" t="n">
        <v>0</v>
      </c>
      <c r="G420" s="45" t="n">
        <v>0</v>
      </c>
      <c r="H420" s="45" t="n">
        <v>0</v>
      </c>
      <c r="I420" s="45"/>
    </row>
    <row r="421" customFormat="false" ht="15" hidden="false" customHeight="false" outlineLevel="0" collapsed="false">
      <c r="A421" s="45" t="s">
        <v>284</v>
      </c>
      <c r="B421" s="45" t="s">
        <v>285</v>
      </c>
      <c r="C421" s="46" t="n">
        <v>46142</v>
      </c>
      <c r="D421" s="45" t="s">
        <v>381</v>
      </c>
      <c r="E421" s="45" t="n">
        <v>419.25</v>
      </c>
      <c r="F421" s="45" t="n">
        <v>359</v>
      </c>
      <c r="G421" s="45" t="n">
        <v>2610</v>
      </c>
      <c r="H421" s="45" t="n">
        <v>0</v>
      </c>
      <c r="I421" s="45"/>
    </row>
    <row r="422" customFormat="false" ht="15" hidden="false" customHeight="false" outlineLevel="0" collapsed="false">
      <c r="A422" s="45" t="s">
        <v>284</v>
      </c>
      <c r="B422" s="45" t="s">
        <v>285</v>
      </c>
      <c r="C422" s="46" t="n">
        <v>46142</v>
      </c>
      <c r="D422" s="45" t="s">
        <v>289</v>
      </c>
      <c r="E422" s="45" t="n">
        <v>203.25</v>
      </c>
      <c r="F422" s="45" t="n">
        <v>0</v>
      </c>
      <c r="G422" s="45" t="n">
        <v>0</v>
      </c>
      <c r="H422" s="45" t="n">
        <v>0</v>
      </c>
      <c r="I422" s="45"/>
    </row>
    <row r="423" customFormat="false" ht="15" hidden="false" customHeight="false" outlineLevel="0" collapsed="false">
      <c r="A423" s="45" t="s">
        <v>288</v>
      </c>
      <c r="B423" s="45" t="s">
        <v>285</v>
      </c>
      <c r="C423" s="46" t="n">
        <v>46142</v>
      </c>
      <c r="D423" s="45" t="s">
        <v>468</v>
      </c>
      <c r="E423" s="45" t="n">
        <v>111.5</v>
      </c>
      <c r="F423" s="45" t="n">
        <v>0</v>
      </c>
      <c r="G423" s="45" t="n">
        <v>0</v>
      </c>
      <c r="H423" s="45" t="n">
        <v>0</v>
      </c>
      <c r="I423" s="45"/>
    </row>
    <row r="424" customFormat="false" ht="15" hidden="false" customHeight="false" outlineLevel="0" collapsed="false">
      <c r="A424" s="45" t="s">
        <v>288</v>
      </c>
      <c r="B424" s="45" t="s">
        <v>285</v>
      </c>
      <c r="C424" s="46" t="n">
        <v>46142</v>
      </c>
      <c r="D424" s="45" t="s">
        <v>441</v>
      </c>
      <c r="E424" s="45" t="n">
        <v>28.25</v>
      </c>
      <c r="F424" s="45" t="n">
        <v>163</v>
      </c>
      <c r="G424" s="45" t="n">
        <v>30985</v>
      </c>
      <c r="H424" s="45" t="n">
        <v>0</v>
      </c>
      <c r="I424" s="45"/>
    </row>
    <row r="425" customFormat="false" ht="15" hidden="false" customHeight="false" outlineLevel="0" collapsed="false">
      <c r="A425" s="45" t="s">
        <v>290</v>
      </c>
      <c r="B425" s="45" t="s">
        <v>291</v>
      </c>
      <c r="C425" s="46" t="n">
        <v>46142</v>
      </c>
      <c r="D425" s="45" t="s">
        <v>313</v>
      </c>
      <c r="E425" s="45" t="n">
        <v>91.25</v>
      </c>
      <c r="F425" s="45" t="n">
        <v>0</v>
      </c>
      <c r="G425" s="45" t="n">
        <v>3705</v>
      </c>
      <c r="H425" s="45" t="n">
        <v>0</v>
      </c>
      <c r="I425" s="45"/>
    </row>
    <row r="426" customFormat="false" ht="15" hidden="false" customHeight="false" outlineLevel="0" collapsed="false">
      <c r="A426" s="45" t="s">
        <v>290</v>
      </c>
      <c r="B426" s="45" t="s">
        <v>291</v>
      </c>
      <c r="C426" s="46" t="n">
        <v>46142</v>
      </c>
      <c r="D426" s="45" t="s">
        <v>332</v>
      </c>
      <c r="E426" s="45" t="n">
        <v>87.5</v>
      </c>
      <c r="F426" s="45" t="n">
        <v>0</v>
      </c>
      <c r="G426" s="45" t="n">
        <v>0</v>
      </c>
      <c r="H426" s="45" t="n">
        <v>0</v>
      </c>
      <c r="I426" s="45"/>
    </row>
    <row r="427" customFormat="false" ht="15" hidden="false" customHeight="false" outlineLevel="0" collapsed="false">
      <c r="A427" s="45" t="s">
        <v>294</v>
      </c>
      <c r="B427" s="45" t="s">
        <v>291</v>
      </c>
      <c r="C427" s="46" t="n">
        <v>46142</v>
      </c>
      <c r="D427" s="45" t="s">
        <v>469</v>
      </c>
      <c r="E427" s="45" t="n">
        <v>72.75</v>
      </c>
      <c r="F427" s="45" t="n">
        <v>0</v>
      </c>
      <c r="G427" s="45" t="n">
        <v>0</v>
      </c>
      <c r="H427" s="45" t="n">
        <v>0</v>
      </c>
      <c r="I427" s="45"/>
    </row>
    <row r="428" customFormat="false" ht="15" hidden="false" customHeight="false" outlineLevel="0" collapsed="false">
      <c r="A428" s="45" t="s">
        <v>294</v>
      </c>
      <c r="B428" s="45" t="s">
        <v>291</v>
      </c>
      <c r="C428" s="46" t="n">
        <v>46142</v>
      </c>
      <c r="D428" s="45" t="s">
        <v>432</v>
      </c>
      <c r="E428" s="45" t="n">
        <v>68</v>
      </c>
      <c r="F428" s="45" t="n">
        <v>0</v>
      </c>
      <c r="G428" s="45" t="n">
        <v>905</v>
      </c>
      <c r="H428" s="45" t="n">
        <v>0</v>
      </c>
      <c r="I428" s="45"/>
    </row>
    <row r="429" customFormat="false" ht="15" hidden="false" customHeight="false" outlineLevel="0" collapsed="false">
      <c r="A429" s="45" t="s">
        <v>296</v>
      </c>
      <c r="B429" s="45" t="s">
        <v>285</v>
      </c>
      <c r="C429" s="46" t="n">
        <v>46142</v>
      </c>
      <c r="D429" s="45" t="s">
        <v>297</v>
      </c>
      <c r="E429" s="45" t="n">
        <v>55.25</v>
      </c>
      <c r="F429" s="45" t="n">
        <v>142</v>
      </c>
      <c r="G429" s="45" t="n">
        <v>0</v>
      </c>
      <c r="H429" s="45" t="n">
        <v>0</v>
      </c>
      <c r="I429" s="45"/>
    </row>
    <row r="430" customFormat="false" ht="15" hidden="false" customHeight="false" outlineLevel="0" collapsed="false">
      <c r="A430" s="45" t="s">
        <v>298</v>
      </c>
      <c r="B430" s="45" t="s">
        <v>299</v>
      </c>
      <c r="C430" s="46" t="n">
        <v>46142</v>
      </c>
      <c r="D430" s="45" t="s">
        <v>255</v>
      </c>
      <c r="E430" s="45" t="n">
        <v>152.5</v>
      </c>
      <c r="F430" s="45" t="n">
        <v>28</v>
      </c>
      <c r="G430" s="45" t="n">
        <v>650</v>
      </c>
      <c r="H430" s="45" t="n">
        <v>0</v>
      </c>
      <c r="I430" s="45"/>
    </row>
    <row r="431" customFormat="false" ht="15" hidden="false" customHeight="false" outlineLevel="0" collapsed="false">
      <c r="A431" s="45" t="s">
        <v>298</v>
      </c>
      <c r="B431" s="45" t="s">
        <v>299</v>
      </c>
      <c r="C431" s="46" t="n">
        <v>46142</v>
      </c>
      <c r="D431" s="45" t="s">
        <v>280</v>
      </c>
      <c r="E431" s="45" t="n">
        <v>241.5</v>
      </c>
      <c r="F431" s="45" t="n">
        <v>0</v>
      </c>
      <c r="G431" s="45" t="n">
        <v>0</v>
      </c>
      <c r="H431" s="45" t="n">
        <v>0</v>
      </c>
      <c r="I431" s="45"/>
    </row>
    <row r="432" customFormat="false" ht="15" hidden="false" customHeight="false" outlineLevel="0" collapsed="false">
      <c r="A432" s="45" t="s">
        <v>302</v>
      </c>
      <c r="B432" s="45" t="s">
        <v>299</v>
      </c>
      <c r="C432" s="46" t="n">
        <v>46142</v>
      </c>
      <c r="D432" s="45" t="s">
        <v>406</v>
      </c>
      <c r="E432" s="45" t="n">
        <v>416</v>
      </c>
      <c r="F432" s="45" t="n">
        <v>0</v>
      </c>
      <c r="G432" s="45" t="n">
        <v>34860</v>
      </c>
      <c r="H432" s="45" t="n">
        <v>161830</v>
      </c>
      <c r="I432" s="45"/>
    </row>
    <row r="433" customFormat="false" ht="15" hidden="false" customHeight="false" outlineLevel="0" collapsed="false">
      <c r="A433" s="45" t="s">
        <v>302</v>
      </c>
      <c r="B433" s="45" t="s">
        <v>299</v>
      </c>
      <c r="C433" s="46" t="n">
        <v>46142</v>
      </c>
      <c r="D433" s="45" t="s">
        <v>470</v>
      </c>
      <c r="E433" s="45" t="n">
        <v>174</v>
      </c>
      <c r="F433" s="45" t="n">
        <v>0</v>
      </c>
      <c r="G433" s="45" t="n">
        <v>0</v>
      </c>
      <c r="H433" s="45" t="n">
        <v>0</v>
      </c>
      <c r="I433" s="45"/>
    </row>
    <row r="434" customFormat="false" ht="15" hidden="false" customHeight="false" outlineLevel="0" collapsed="false">
      <c r="A434" s="45" t="s">
        <v>302</v>
      </c>
      <c r="B434" s="45" t="s">
        <v>299</v>
      </c>
      <c r="C434" s="46" t="n">
        <v>46142</v>
      </c>
      <c r="D434" s="45" t="s">
        <v>471</v>
      </c>
      <c r="E434" s="45" t="n">
        <v>4069</v>
      </c>
      <c r="F434" s="45" t="n">
        <v>0</v>
      </c>
      <c r="G434" s="45" t="n">
        <v>0</v>
      </c>
      <c r="H434" s="45" t="n">
        <v>0</v>
      </c>
      <c r="I434" s="45"/>
    </row>
    <row r="435" customFormat="false" ht="15" hidden="false" customHeight="false" outlineLevel="0" collapsed="false">
      <c r="A435" s="45" t="s">
        <v>306</v>
      </c>
      <c r="B435" s="45" t="s">
        <v>299</v>
      </c>
      <c r="C435" s="46" t="n">
        <v>46142</v>
      </c>
      <c r="D435" s="45" t="s">
        <v>441</v>
      </c>
      <c r="E435" s="45" t="n">
        <v>73</v>
      </c>
      <c r="F435" s="45" t="n">
        <v>4</v>
      </c>
      <c r="G435" s="45" t="n">
        <v>35</v>
      </c>
      <c r="H435" s="45" t="n">
        <v>0</v>
      </c>
      <c r="I435" s="45"/>
    </row>
    <row r="436" customFormat="false" ht="15" hidden="false" customHeight="false" outlineLevel="0" collapsed="false">
      <c r="A436" s="45" t="s">
        <v>307</v>
      </c>
      <c r="B436" s="45" t="s">
        <v>167</v>
      </c>
      <c r="C436" s="46" t="n">
        <v>46142</v>
      </c>
      <c r="D436" s="45" t="s">
        <v>362</v>
      </c>
      <c r="E436" s="45" t="n">
        <v>58.75</v>
      </c>
      <c r="F436" s="45" t="n">
        <v>0</v>
      </c>
      <c r="G436" s="45" t="n">
        <v>0</v>
      </c>
      <c r="H436" s="45" t="n">
        <v>0</v>
      </c>
      <c r="I436" s="45"/>
    </row>
    <row r="437" customFormat="false" ht="15" hidden="false" customHeight="false" outlineLevel="0" collapsed="false">
      <c r="A437" s="45" t="s">
        <v>307</v>
      </c>
      <c r="B437" s="45" t="s">
        <v>167</v>
      </c>
      <c r="C437" s="46" t="n">
        <v>46142</v>
      </c>
      <c r="D437" s="45" t="s">
        <v>390</v>
      </c>
      <c r="E437" s="45" t="n">
        <v>24.25</v>
      </c>
      <c r="F437" s="45" t="n">
        <v>0</v>
      </c>
      <c r="G437" s="45" t="n">
        <v>0</v>
      </c>
      <c r="H437" s="45" t="n">
        <v>0</v>
      </c>
      <c r="I437" s="45"/>
    </row>
    <row r="438" customFormat="false" ht="15" hidden="false" customHeight="false" outlineLevel="0" collapsed="false">
      <c r="A438" s="45" t="s">
        <v>307</v>
      </c>
      <c r="B438" s="45" t="s">
        <v>167</v>
      </c>
      <c r="C438" s="46" t="n">
        <v>46142</v>
      </c>
      <c r="D438" s="45" t="s">
        <v>310</v>
      </c>
      <c r="E438" s="45" t="n">
        <v>167.25</v>
      </c>
      <c r="F438" s="45" t="n">
        <v>52</v>
      </c>
      <c r="G438" s="45" t="n">
        <v>7510</v>
      </c>
      <c r="H438" s="45" t="n">
        <v>11945</v>
      </c>
      <c r="I438" s="45"/>
    </row>
    <row r="439" customFormat="false" ht="15" hidden="false" customHeight="false" outlineLevel="0" collapsed="false">
      <c r="A439" s="45" t="s">
        <v>376</v>
      </c>
      <c r="B439" s="45" t="s">
        <v>250</v>
      </c>
      <c r="C439" s="46" t="n">
        <v>46144</v>
      </c>
      <c r="D439" s="45" t="s">
        <v>472</v>
      </c>
      <c r="E439" s="45" t="n">
        <v>3.25</v>
      </c>
      <c r="F439" s="45" t="n">
        <v>19</v>
      </c>
      <c r="G439" s="45" t="n">
        <v>135</v>
      </c>
      <c r="H439" s="45" t="n">
        <v>0</v>
      </c>
      <c r="I439" s="45"/>
    </row>
    <row r="440" customFormat="false" ht="15" hidden="false" customHeight="false" outlineLevel="0" collapsed="false">
      <c r="A440" s="45" t="s">
        <v>260</v>
      </c>
      <c r="B440" s="45" t="s">
        <v>261</v>
      </c>
      <c r="C440" s="46" t="n">
        <v>46146</v>
      </c>
      <c r="D440" s="45" t="s">
        <v>357</v>
      </c>
      <c r="E440" s="45" t="n">
        <v>3.75</v>
      </c>
      <c r="F440" s="45" t="n">
        <v>56</v>
      </c>
      <c r="G440" s="45" t="n">
        <v>110</v>
      </c>
      <c r="H440" s="45" t="n">
        <v>0</v>
      </c>
      <c r="I440" s="45"/>
    </row>
    <row r="441" customFormat="false" ht="15" hidden="false" customHeight="false" outlineLevel="0" collapsed="false">
      <c r="A441" s="45" t="s">
        <v>344</v>
      </c>
      <c r="B441" s="45" t="s">
        <v>285</v>
      </c>
      <c r="C441" s="46" t="n">
        <v>46149</v>
      </c>
      <c r="D441" s="45" t="s">
        <v>345</v>
      </c>
      <c r="E441" s="45" t="n">
        <v>2.25</v>
      </c>
      <c r="F441" s="45" t="n">
        <v>7</v>
      </c>
      <c r="G441" s="45" t="n">
        <v>60</v>
      </c>
      <c r="H441" s="45" t="n">
        <v>0</v>
      </c>
      <c r="I441" s="45"/>
    </row>
    <row r="442" customFormat="false" ht="15" hidden="false" customHeight="false" outlineLevel="0" collapsed="false">
      <c r="A442" s="45" t="s">
        <v>344</v>
      </c>
      <c r="B442" s="45" t="s">
        <v>285</v>
      </c>
      <c r="C442" s="46" t="n">
        <v>46149</v>
      </c>
      <c r="D442" s="45" t="s">
        <v>323</v>
      </c>
      <c r="E442" s="45" t="n">
        <v>1.75</v>
      </c>
      <c r="F442" s="45" t="n">
        <v>0</v>
      </c>
      <c r="G442" s="45" t="n">
        <v>0</v>
      </c>
      <c r="H442" s="45" t="n">
        <v>0</v>
      </c>
      <c r="I442" s="45"/>
    </row>
    <row r="443" customFormat="false" ht="15" hidden="false" customHeight="false" outlineLevel="0" collapsed="false">
      <c r="A443" s="45" t="s">
        <v>257</v>
      </c>
      <c r="B443" s="45" t="s">
        <v>250</v>
      </c>
      <c r="C443" s="46" t="n">
        <v>46150</v>
      </c>
      <c r="D443" s="45" t="s">
        <v>267</v>
      </c>
      <c r="E443" s="45" t="n">
        <v>2.25</v>
      </c>
      <c r="F443" s="45" t="n">
        <v>12</v>
      </c>
      <c r="G443" s="45" t="n">
        <v>65</v>
      </c>
      <c r="H443" s="45" t="n">
        <v>0</v>
      </c>
      <c r="I443" s="45"/>
    </row>
    <row r="444" customFormat="false" ht="15" hidden="false" customHeight="false" outlineLevel="0" collapsed="false">
      <c r="A444" s="45" t="s">
        <v>257</v>
      </c>
      <c r="B444" s="45" t="s">
        <v>250</v>
      </c>
      <c r="C444" s="46" t="n">
        <v>46150</v>
      </c>
      <c r="D444" s="45" t="s">
        <v>410</v>
      </c>
      <c r="E444" s="45" t="n">
        <v>1.75</v>
      </c>
      <c r="F444" s="45" t="n">
        <v>0</v>
      </c>
      <c r="G444" s="45" t="n">
        <v>0</v>
      </c>
      <c r="H444" s="45" t="n">
        <v>0</v>
      </c>
      <c r="I444" s="45"/>
    </row>
    <row r="445" customFormat="false" ht="15" hidden="false" customHeight="false" outlineLevel="0" collapsed="false">
      <c r="A445" s="45" t="s">
        <v>318</v>
      </c>
      <c r="B445" s="45" t="s">
        <v>319</v>
      </c>
      <c r="C445" s="46" t="n">
        <v>46150</v>
      </c>
      <c r="D445" s="45" t="s">
        <v>473</v>
      </c>
      <c r="E445" s="45" t="n">
        <v>0</v>
      </c>
      <c r="F445" s="45" t="n">
        <v>0</v>
      </c>
      <c r="G445" s="45" t="n">
        <v>9225</v>
      </c>
      <c r="H445" s="45" t="n">
        <v>0</v>
      </c>
      <c r="I445" s="45"/>
    </row>
    <row r="446" customFormat="false" ht="15" hidden="false" customHeight="false" outlineLevel="0" collapsed="false">
      <c r="A446" s="45" t="s">
        <v>269</v>
      </c>
      <c r="B446" s="45" t="s">
        <v>250</v>
      </c>
      <c r="C446" s="46" t="n">
        <v>46154</v>
      </c>
      <c r="D446" s="45" t="s">
        <v>474</v>
      </c>
      <c r="E446" s="45" t="n">
        <v>2</v>
      </c>
      <c r="F446" s="45" t="n">
        <v>17</v>
      </c>
      <c r="G446" s="45" t="n">
        <v>140</v>
      </c>
      <c r="H446" s="45" t="n">
        <v>0</v>
      </c>
      <c r="I446" s="45"/>
    </row>
    <row r="447" customFormat="false" ht="15" hidden="false" customHeight="false" outlineLevel="0" collapsed="false">
      <c r="A447" s="45" t="s">
        <v>344</v>
      </c>
      <c r="B447" s="45" t="s">
        <v>285</v>
      </c>
      <c r="C447" s="46" t="n">
        <v>46160</v>
      </c>
      <c r="D447" s="45" t="s">
        <v>345</v>
      </c>
      <c r="E447" s="45" t="n">
        <v>2</v>
      </c>
      <c r="F447" s="45" t="n">
        <v>18</v>
      </c>
      <c r="G447" s="45" t="n">
        <v>30</v>
      </c>
      <c r="H447" s="45" t="n">
        <v>0</v>
      </c>
      <c r="I447" s="45"/>
    </row>
    <row r="448" customFormat="false" ht="15" hidden="false" customHeight="false" outlineLevel="0" collapsed="false">
      <c r="A448" s="45" t="s">
        <v>344</v>
      </c>
      <c r="B448" s="45" t="s">
        <v>285</v>
      </c>
      <c r="C448" s="46" t="n">
        <v>46160</v>
      </c>
      <c r="D448" s="45" t="s">
        <v>349</v>
      </c>
      <c r="E448" s="45" t="n">
        <v>1.75</v>
      </c>
      <c r="F448" s="45" t="n">
        <v>0</v>
      </c>
      <c r="G448" s="45" t="n">
        <v>0</v>
      </c>
      <c r="H448" s="45" t="n">
        <v>0</v>
      </c>
      <c r="I448" s="45"/>
    </row>
    <row r="449" customFormat="false" ht="15" hidden="false" customHeight="false" outlineLevel="0" collapsed="false">
      <c r="A449" s="45" t="s">
        <v>253</v>
      </c>
      <c r="B449" s="45" t="s">
        <v>254</v>
      </c>
      <c r="C449" s="46" t="n">
        <v>46160</v>
      </c>
      <c r="D449" s="45" t="s">
        <v>475</v>
      </c>
      <c r="E449" s="45" t="n">
        <v>3.25</v>
      </c>
      <c r="F449" s="45" t="n">
        <v>0</v>
      </c>
      <c r="G449" s="45" t="n">
        <v>0</v>
      </c>
      <c r="H449" s="45" t="n">
        <v>0</v>
      </c>
      <c r="I449" s="45"/>
    </row>
    <row r="450" customFormat="false" ht="15" hidden="false" customHeight="false" outlineLevel="0" collapsed="false">
      <c r="A450" s="45" t="s">
        <v>253</v>
      </c>
      <c r="B450" s="45" t="s">
        <v>254</v>
      </c>
      <c r="C450" s="46" t="n">
        <v>46160</v>
      </c>
      <c r="D450" s="45" t="s">
        <v>256</v>
      </c>
      <c r="E450" s="45" t="n">
        <v>7.25</v>
      </c>
      <c r="F450" s="45" t="n">
        <v>25</v>
      </c>
      <c r="G450" s="45" t="n">
        <v>1705</v>
      </c>
      <c r="H450" s="45" t="n">
        <v>0</v>
      </c>
      <c r="I450" s="45"/>
    </row>
    <row r="451" customFormat="false" ht="15" hidden="false" customHeight="false" outlineLevel="0" collapsed="false">
      <c r="A451" s="45" t="s">
        <v>257</v>
      </c>
      <c r="B451" s="45" t="s">
        <v>250</v>
      </c>
      <c r="C451" s="46" t="n">
        <v>46163</v>
      </c>
      <c r="D451" s="45" t="s">
        <v>276</v>
      </c>
      <c r="E451" s="45" t="n">
        <v>2.25</v>
      </c>
      <c r="F451" s="45" t="n">
        <v>17</v>
      </c>
      <c r="G451" s="45" t="n">
        <v>140</v>
      </c>
      <c r="H451" s="45" t="n">
        <v>0</v>
      </c>
      <c r="I451" s="45"/>
    </row>
    <row r="452" customFormat="false" ht="15" hidden="false" customHeight="false" outlineLevel="0" collapsed="false">
      <c r="A452" s="45" t="s">
        <v>257</v>
      </c>
      <c r="B452" s="45" t="s">
        <v>250</v>
      </c>
      <c r="C452" s="46" t="n">
        <v>46163</v>
      </c>
      <c r="D452" s="45" t="s">
        <v>372</v>
      </c>
      <c r="E452" s="45" t="n">
        <v>2</v>
      </c>
      <c r="F452" s="45" t="n">
        <v>0</v>
      </c>
      <c r="G452" s="45" t="n">
        <v>0</v>
      </c>
      <c r="H452" s="45" t="n">
        <v>0</v>
      </c>
      <c r="I452" s="45"/>
    </row>
    <row r="453" customFormat="false" ht="15" hidden="false" customHeight="false" outlineLevel="0" collapsed="false">
      <c r="A453" s="45" t="s">
        <v>269</v>
      </c>
      <c r="B453" s="45" t="s">
        <v>250</v>
      </c>
      <c r="C453" s="46" t="n">
        <v>46164</v>
      </c>
      <c r="D453" s="45" t="s">
        <v>343</v>
      </c>
      <c r="E453" s="45" t="n">
        <v>2</v>
      </c>
      <c r="F453" s="45" t="n">
        <v>7</v>
      </c>
      <c r="G453" s="45" t="n">
        <v>120</v>
      </c>
      <c r="H453" s="45" t="n">
        <v>0</v>
      </c>
      <c r="I453" s="45"/>
    </row>
    <row r="454" customFormat="false" ht="15" hidden="false" customHeight="false" outlineLevel="0" collapsed="false">
      <c r="A454" s="45" t="s">
        <v>376</v>
      </c>
      <c r="B454" s="45" t="s">
        <v>250</v>
      </c>
      <c r="C454" s="46" t="n">
        <v>46168</v>
      </c>
      <c r="D454" s="45" t="s">
        <v>387</v>
      </c>
      <c r="E454" s="45" t="n">
        <v>3.25</v>
      </c>
      <c r="F454" s="45" t="n">
        <v>21</v>
      </c>
      <c r="G454" s="45" t="n">
        <v>190</v>
      </c>
      <c r="H454" s="45" t="n">
        <v>420</v>
      </c>
      <c r="I454" s="45"/>
    </row>
    <row r="455" customFormat="false" ht="15" hidden="false" customHeight="false" outlineLevel="0" collapsed="false">
      <c r="A455" s="45" t="s">
        <v>249</v>
      </c>
      <c r="B455" s="45" t="s">
        <v>250</v>
      </c>
      <c r="C455" s="46" t="n">
        <v>46168</v>
      </c>
      <c r="D455" s="45" t="s">
        <v>251</v>
      </c>
      <c r="E455" s="45" t="n">
        <v>8</v>
      </c>
      <c r="F455" s="45" t="n">
        <v>0</v>
      </c>
      <c r="G455" s="45" t="n">
        <v>0</v>
      </c>
      <c r="H455" s="45" t="n">
        <v>0</v>
      </c>
      <c r="I455" s="45"/>
    </row>
    <row r="456" customFormat="false" ht="15" hidden="false" customHeight="false" outlineLevel="0" collapsed="false">
      <c r="A456" s="45" t="s">
        <v>249</v>
      </c>
      <c r="B456" s="45" t="s">
        <v>250</v>
      </c>
      <c r="C456" s="46" t="n">
        <v>46168</v>
      </c>
      <c r="D456" s="45" t="s">
        <v>342</v>
      </c>
      <c r="E456" s="45" t="n">
        <v>8</v>
      </c>
      <c r="F456" s="45" t="n">
        <v>18</v>
      </c>
      <c r="G456" s="45" t="n">
        <v>480</v>
      </c>
      <c r="H456" s="45" t="n">
        <v>0</v>
      </c>
      <c r="I456" s="45"/>
    </row>
    <row r="457" customFormat="false" ht="15" hidden="false" customHeight="false" outlineLevel="0" collapsed="false">
      <c r="A457" s="45" t="s">
        <v>344</v>
      </c>
      <c r="B457" s="45" t="s">
        <v>285</v>
      </c>
      <c r="C457" s="46" t="n">
        <v>46168</v>
      </c>
      <c r="D457" s="45" t="s">
        <v>394</v>
      </c>
      <c r="E457" s="45" t="n">
        <v>2</v>
      </c>
      <c r="F457" s="45" t="n">
        <v>10</v>
      </c>
      <c r="G457" s="45" t="n">
        <v>45</v>
      </c>
      <c r="H457" s="45" t="n">
        <v>0</v>
      </c>
      <c r="I457" s="45"/>
    </row>
    <row r="458" customFormat="false" ht="15" hidden="false" customHeight="false" outlineLevel="0" collapsed="false">
      <c r="A458" s="45" t="s">
        <v>344</v>
      </c>
      <c r="B458" s="45" t="s">
        <v>285</v>
      </c>
      <c r="C458" s="46" t="n">
        <v>46168</v>
      </c>
      <c r="D458" s="45" t="s">
        <v>347</v>
      </c>
      <c r="E458" s="45" t="n">
        <v>1.5</v>
      </c>
      <c r="F458" s="45" t="n">
        <v>0</v>
      </c>
      <c r="G458" s="45" t="n">
        <v>0</v>
      </c>
      <c r="H458" s="45" t="n">
        <v>0</v>
      </c>
      <c r="I458" s="45"/>
    </row>
    <row r="459" customFormat="false" ht="15" hidden="false" customHeight="false" outlineLevel="0" collapsed="false">
      <c r="A459" s="45" t="s">
        <v>269</v>
      </c>
      <c r="B459" s="45" t="s">
        <v>250</v>
      </c>
      <c r="C459" s="46" t="n">
        <v>46169</v>
      </c>
      <c r="D459" s="45" t="s">
        <v>476</v>
      </c>
      <c r="E459" s="45" t="n">
        <v>2</v>
      </c>
      <c r="F459" s="45" t="n">
        <v>11</v>
      </c>
      <c r="G459" s="45" t="n">
        <v>260</v>
      </c>
      <c r="H459" s="45" t="n">
        <v>0</v>
      </c>
      <c r="I459" s="45"/>
    </row>
    <row r="460" customFormat="false" ht="15" hidden="false" customHeight="false" outlineLevel="0" collapsed="false">
      <c r="A460" s="45" t="s">
        <v>344</v>
      </c>
      <c r="B460" s="45" t="s">
        <v>285</v>
      </c>
      <c r="C460" s="46" t="n">
        <v>46172</v>
      </c>
      <c r="D460" s="45" t="s">
        <v>348</v>
      </c>
      <c r="E460" s="45" t="n">
        <v>2</v>
      </c>
      <c r="F460" s="45" t="n">
        <v>10</v>
      </c>
      <c r="G460" s="45" t="n">
        <v>20</v>
      </c>
      <c r="H460" s="45" t="n">
        <v>0</v>
      </c>
      <c r="I460" s="45"/>
    </row>
    <row r="461" customFormat="false" ht="15" hidden="false" customHeight="false" outlineLevel="0" collapsed="false">
      <c r="A461" s="45" t="s">
        <v>344</v>
      </c>
      <c r="B461" s="45" t="s">
        <v>285</v>
      </c>
      <c r="C461" s="46" t="n">
        <v>46172</v>
      </c>
      <c r="D461" s="45" t="s">
        <v>349</v>
      </c>
      <c r="E461" s="45" t="n">
        <v>1.75</v>
      </c>
      <c r="F461" s="45" t="n">
        <v>0</v>
      </c>
      <c r="G461" s="45" t="n">
        <v>0</v>
      </c>
      <c r="H461" s="45" t="n">
        <v>0</v>
      </c>
      <c r="I461" s="45"/>
    </row>
    <row r="462" customFormat="false" ht="15" hidden="false" customHeight="false" outlineLevel="0" collapsed="false">
      <c r="A462" s="45" t="s">
        <v>427</v>
      </c>
      <c r="B462" s="45" t="s">
        <v>428</v>
      </c>
      <c r="C462" s="46" t="n">
        <v>46172</v>
      </c>
      <c r="D462" s="45" t="s">
        <v>477</v>
      </c>
      <c r="E462" s="45" t="n">
        <v>3.75</v>
      </c>
      <c r="F462" s="45" t="n">
        <v>0</v>
      </c>
      <c r="G462" s="45" t="n">
        <v>4305</v>
      </c>
      <c r="H462" s="45" t="n">
        <v>0</v>
      </c>
      <c r="I462" s="45"/>
    </row>
    <row r="463" customFormat="false" ht="15" hidden="false" customHeight="false" outlineLevel="0" collapsed="false">
      <c r="A463" s="45" t="s">
        <v>427</v>
      </c>
      <c r="B463" s="45" t="s">
        <v>428</v>
      </c>
      <c r="C463" s="46" t="n">
        <v>46172</v>
      </c>
      <c r="D463" s="45" t="s">
        <v>337</v>
      </c>
      <c r="E463" s="45" t="n">
        <v>4.75</v>
      </c>
      <c r="F463" s="45" t="n">
        <v>0</v>
      </c>
      <c r="G463" s="45" t="n">
        <v>0</v>
      </c>
      <c r="H463" s="45" t="n">
        <v>0</v>
      </c>
      <c r="I463" s="45"/>
    </row>
    <row r="464" customFormat="false" ht="15" hidden="false" customHeight="false" outlineLevel="0" collapsed="false">
      <c r="A464" s="45" t="s">
        <v>277</v>
      </c>
      <c r="B464" s="45" t="s">
        <v>261</v>
      </c>
      <c r="C464" s="46" t="n">
        <v>46173</v>
      </c>
      <c r="D464" s="45" t="s">
        <v>478</v>
      </c>
      <c r="E464" s="45" t="n">
        <v>82.25</v>
      </c>
      <c r="F464" s="45" t="n">
        <v>0</v>
      </c>
      <c r="G464" s="45" t="n">
        <v>0</v>
      </c>
      <c r="H464" s="45" t="n">
        <v>0</v>
      </c>
      <c r="I464" s="45"/>
    </row>
    <row r="465" customFormat="false" ht="15" hidden="false" customHeight="false" outlineLevel="0" collapsed="false">
      <c r="A465" s="45" t="s">
        <v>277</v>
      </c>
      <c r="B465" s="45" t="s">
        <v>261</v>
      </c>
      <c r="C465" s="46" t="n">
        <v>46173</v>
      </c>
      <c r="D465" s="45" t="s">
        <v>479</v>
      </c>
      <c r="E465" s="45" t="n">
        <v>99.5</v>
      </c>
      <c r="F465" s="45" t="n">
        <v>0</v>
      </c>
      <c r="G465" s="45" t="n">
        <v>0</v>
      </c>
      <c r="H465" s="45" t="n">
        <v>0</v>
      </c>
      <c r="I465" s="45"/>
    </row>
    <row r="466" customFormat="false" ht="15" hidden="false" customHeight="false" outlineLevel="0" collapsed="false">
      <c r="A466" s="45" t="s">
        <v>277</v>
      </c>
      <c r="B466" s="45" t="s">
        <v>261</v>
      </c>
      <c r="C466" s="46" t="n">
        <v>46173</v>
      </c>
      <c r="D466" s="45" t="s">
        <v>357</v>
      </c>
      <c r="E466" s="45" t="n">
        <v>120</v>
      </c>
      <c r="F466" s="45" t="n">
        <v>198</v>
      </c>
      <c r="G466" s="45" t="n">
        <v>6865</v>
      </c>
      <c r="H466" s="45" t="n">
        <v>0</v>
      </c>
      <c r="I466" s="45"/>
    </row>
    <row r="467" customFormat="false" ht="15" hidden="false" customHeight="false" outlineLevel="0" collapsed="false">
      <c r="A467" s="45" t="s">
        <v>281</v>
      </c>
      <c r="B467" s="45" t="s">
        <v>261</v>
      </c>
      <c r="C467" s="46" t="n">
        <v>46173</v>
      </c>
      <c r="D467" s="45" t="s">
        <v>380</v>
      </c>
      <c r="E467" s="45" t="n">
        <v>51.5</v>
      </c>
      <c r="F467" s="45" t="n">
        <v>371</v>
      </c>
      <c r="G467" s="45" t="n">
        <v>4925</v>
      </c>
      <c r="H467" s="45" t="n">
        <v>0</v>
      </c>
      <c r="I467" s="45"/>
    </row>
    <row r="468" customFormat="false" ht="15" hidden="false" customHeight="false" outlineLevel="0" collapsed="false">
      <c r="A468" s="45" t="s">
        <v>281</v>
      </c>
      <c r="B468" s="45" t="s">
        <v>261</v>
      </c>
      <c r="C468" s="46" t="n">
        <v>46173</v>
      </c>
      <c r="D468" s="45" t="s">
        <v>339</v>
      </c>
      <c r="E468" s="45" t="n">
        <v>18.25</v>
      </c>
      <c r="F468" s="45" t="n">
        <v>0</v>
      </c>
      <c r="G468" s="45" t="n">
        <v>0</v>
      </c>
      <c r="H468" s="45" t="n">
        <v>0</v>
      </c>
      <c r="I468" s="45"/>
    </row>
    <row r="469" customFormat="false" ht="15" hidden="false" customHeight="false" outlineLevel="0" collapsed="false">
      <c r="A469" s="45" t="s">
        <v>281</v>
      </c>
      <c r="B469" s="45" t="s">
        <v>261</v>
      </c>
      <c r="C469" s="46" t="n">
        <v>46173</v>
      </c>
      <c r="D469" s="45" t="s">
        <v>262</v>
      </c>
      <c r="E469" s="45" t="n">
        <v>58.5</v>
      </c>
      <c r="F469" s="45" t="n">
        <v>0</v>
      </c>
      <c r="G469" s="45" t="n">
        <v>0</v>
      </c>
      <c r="H469" s="45" t="n">
        <v>0</v>
      </c>
      <c r="I469" s="45"/>
    </row>
    <row r="470" customFormat="false" ht="15" hidden="false" customHeight="false" outlineLevel="0" collapsed="false">
      <c r="A470" s="45" t="s">
        <v>284</v>
      </c>
      <c r="B470" s="45" t="s">
        <v>285</v>
      </c>
      <c r="C470" s="46" t="n">
        <v>46173</v>
      </c>
      <c r="D470" s="45" t="s">
        <v>324</v>
      </c>
      <c r="E470" s="45" t="n">
        <v>428.25</v>
      </c>
      <c r="F470" s="45" t="n">
        <v>607</v>
      </c>
      <c r="G470" s="45" t="n">
        <v>1155</v>
      </c>
      <c r="H470" s="45" t="n">
        <v>0</v>
      </c>
      <c r="I470" s="45"/>
    </row>
    <row r="471" customFormat="false" ht="15" hidden="false" customHeight="false" outlineLevel="0" collapsed="false">
      <c r="A471" s="45" t="s">
        <v>284</v>
      </c>
      <c r="B471" s="45" t="s">
        <v>285</v>
      </c>
      <c r="C471" s="46" t="n">
        <v>46173</v>
      </c>
      <c r="D471" s="45" t="s">
        <v>399</v>
      </c>
      <c r="E471" s="45" t="n">
        <v>181.25</v>
      </c>
      <c r="F471" s="45" t="n">
        <v>0</v>
      </c>
      <c r="G471" s="45" t="n">
        <v>0</v>
      </c>
      <c r="H471" s="45" t="n">
        <v>0</v>
      </c>
      <c r="I471" s="45"/>
    </row>
    <row r="472" customFormat="false" ht="15" hidden="false" customHeight="false" outlineLevel="0" collapsed="false">
      <c r="A472" s="45" t="s">
        <v>288</v>
      </c>
      <c r="B472" s="45" t="s">
        <v>285</v>
      </c>
      <c r="C472" s="46" t="n">
        <v>46173</v>
      </c>
      <c r="D472" s="45" t="s">
        <v>289</v>
      </c>
      <c r="E472" s="45" t="n">
        <v>78.75</v>
      </c>
      <c r="F472" s="45" t="n">
        <v>0</v>
      </c>
      <c r="G472" s="45" t="n">
        <v>0</v>
      </c>
      <c r="H472" s="45" t="n">
        <v>0</v>
      </c>
      <c r="I472" s="45"/>
    </row>
    <row r="473" customFormat="false" ht="15" hidden="false" customHeight="false" outlineLevel="0" collapsed="false">
      <c r="A473" s="45" t="s">
        <v>288</v>
      </c>
      <c r="B473" s="45" t="s">
        <v>285</v>
      </c>
      <c r="C473" s="46" t="n">
        <v>46173</v>
      </c>
      <c r="D473" s="45" t="s">
        <v>330</v>
      </c>
      <c r="E473" s="45" t="n">
        <v>22.25</v>
      </c>
      <c r="F473" s="45" t="n">
        <v>180</v>
      </c>
      <c r="G473" s="45" t="n">
        <v>23795</v>
      </c>
      <c r="H473" s="45" t="n">
        <v>0</v>
      </c>
      <c r="I473" s="45"/>
    </row>
    <row r="474" customFormat="false" ht="15" hidden="false" customHeight="false" outlineLevel="0" collapsed="false">
      <c r="A474" s="45" t="s">
        <v>290</v>
      </c>
      <c r="B474" s="45" t="s">
        <v>291</v>
      </c>
      <c r="C474" s="46" t="n">
        <v>46173</v>
      </c>
      <c r="D474" s="45" t="s">
        <v>292</v>
      </c>
      <c r="E474" s="45" t="n">
        <v>25.75</v>
      </c>
      <c r="F474" s="45" t="n">
        <v>0</v>
      </c>
      <c r="G474" s="45" t="n">
        <v>3215</v>
      </c>
      <c r="H474" s="45" t="n">
        <v>0</v>
      </c>
      <c r="I474" s="45"/>
    </row>
    <row r="475" customFormat="false" ht="15" hidden="false" customHeight="false" outlineLevel="0" collapsed="false">
      <c r="A475" s="45" t="s">
        <v>290</v>
      </c>
      <c r="B475" s="45" t="s">
        <v>291</v>
      </c>
      <c r="C475" s="46" t="n">
        <v>46173</v>
      </c>
      <c r="D475" s="45" t="s">
        <v>308</v>
      </c>
      <c r="E475" s="45" t="n">
        <v>23</v>
      </c>
      <c r="F475" s="45" t="n">
        <v>0</v>
      </c>
      <c r="G475" s="45" t="n">
        <v>0</v>
      </c>
      <c r="H475" s="45" t="n">
        <v>0</v>
      </c>
      <c r="I475" s="45"/>
    </row>
    <row r="476" customFormat="false" ht="15" hidden="false" customHeight="false" outlineLevel="0" collapsed="false">
      <c r="A476" s="45" t="s">
        <v>294</v>
      </c>
      <c r="B476" s="45" t="s">
        <v>291</v>
      </c>
      <c r="C476" s="46" t="n">
        <v>46173</v>
      </c>
      <c r="D476" s="45" t="s">
        <v>450</v>
      </c>
      <c r="E476" s="45" t="n">
        <v>71.75</v>
      </c>
      <c r="F476" s="45" t="n">
        <v>0</v>
      </c>
      <c r="G476" s="45" t="n">
        <v>0</v>
      </c>
      <c r="H476" s="45" t="n">
        <v>0</v>
      </c>
      <c r="I476" s="45"/>
    </row>
    <row r="477" customFormat="false" ht="15" hidden="false" customHeight="false" outlineLevel="0" collapsed="false">
      <c r="A477" s="45" t="s">
        <v>294</v>
      </c>
      <c r="B477" s="45" t="s">
        <v>291</v>
      </c>
      <c r="C477" s="46" t="n">
        <v>46173</v>
      </c>
      <c r="D477" s="45" t="s">
        <v>292</v>
      </c>
      <c r="E477" s="45" t="n">
        <v>95</v>
      </c>
      <c r="F477" s="45" t="n">
        <v>0</v>
      </c>
      <c r="G477" s="45" t="n">
        <v>870</v>
      </c>
      <c r="H477" s="45" t="n">
        <v>0</v>
      </c>
      <c r="I477" s="45"/>
    </row>
    <row r="478" customFormat="false" ht="15" hidden="false" customHeight="false" outlineLevel="0" collapsed="false">
      <c r="A478" s="45" t="s">
        <v>296</v>
      </c>
      <c r="B478" s="45" t="s">
        <v>285</v>
      </c>
      <c r="C478" s="46" t="n">
        <v>46173</v>
      </c>
      <c r="D478" s="45" t="s">
        <v>480</v>
      </c>
      <c r="E478" s="45" t="n">
        <v>59.75</v>
      </c>
      <c r="F478" s="45" t="n">
        <v>181</v>
      </c>
      <c r="G478" s="45" t="n">
        <v>0</v>
      </c>
      <c r="H478" s="45" t="n">
        <v>0</v>
      </c>
      <c r="I478" s="45"/>
    </row>
    <row r="479" customFormat="false" ht="15" hidden="false" customHeight="false" outlineLevel="0" collapsed="false">
      <c r="A479" s="45" t="s">
        <v>298</v>
      </c>
      <c r="B479" s="45" t="s">
        <v>299</v>
      </c>
      <c r="C479" s="46" t="n">
        <v>46173</v>
      </c>
      <c r="D479" s="45" t="s">
        <v>421</v>
      </c>
      <c r="E479" s="45" t="n">
        <v>166.5</v>
      </c>
      <c r="F479" s="45" t="n">
        <v>36</v>
      </c>
      <c r="G479" s="45" t="n">
        <v>995</v>
      </c>
      <c r="H479" s="45" t="n">
        <v>0</v>
      </c>
      <c r="I479" s="45"/>
    </row>
    <row r="480" customFormat="false" ht="15" hidden="false" customHeight="false" outlineLevel="0" collapsed="false">
      <c r="A480" s="45" t="s">
        <v>298</v>
      </c>
      <c r="B480" s="45" t="s">
        <v>299</v>
      </c>
      <c r="C480" s="46" t="n">
        <v>46173</v>
      </c>
      <c r="D480" s="45" t="s">
        <v>357</v>
      </c>
      <c r="E480" s="45" t="n">
        <v>256.25</v>
      </c>
      <c r="F480" s="45" t="n">
        <v>0</v>
      </c>
      <c r="G480" s="45" t="n">
        <v>0</v>
      </c>
      <c r="H480" s="45" t="n">
        <v>0</v>
      </c>
      <c r="I480" s="45"/>
    </row>
    <row r="481" customFormat="false" ht="15" hidden="false" customHeight="false" outlineLevel="0" collapsed="false">
      <c r="A481" s="45" t="s">
        <v>302</v>
      </c>
      <c r="B481" s="45" t="s">
        <v>299</v>
      </c>
      <c r="C481" s="46" t="n">
        <v>46173</v>
      </c>
      <c r="D481" s="45" t="s">
        <v>481</v>
      </c>
      <c r="E481" s="45" t="n">
        <v>392.25</v>
      </c>
      <c r="F481" s="45" t="n">
        <v>0</v>
      </c>
      <c r="G481" s="45" t="n">
        <v>37810</v>
      </c>
      <c r="H481" s="45" t="n">
        <v>172980</v>
      </c>
      <c r="I481" s="45"/>
    </row>
    <row r="482" customFormat="false" ht="15" hidden="false" customHeight="false" outlineLevel="0" collapsed="false">
      <c r="A482" s="45" t="s">
        <v>302</v>
      </c>
      <c r="B482" s="45" t="s">
        <v>299</v>
      </c>
      <c r="C482" s="46" t="n">
        <v>46173</v>
      </c>
      <c r="D482" s="45" t="s">
        <v>256</v>
      </c>
      <c r="E482" s="45" t="n">
        <v>165</v>
      </c>
      <c r="F482" s="45" t="n">
        <v>0</v>
      </c>
      <c r="G482" s="45" t="n">
        <v>0</v>
      </c>
      <c r="H482" s="45" t="n">
        <v>0</v>
      </c>
      <c r="I482" s="45"/>
    </row>
    <row r="483" customFormat="false" ht="15" hidden="false" customHeight="false" outlineLevel="0" collapsed="false">
      <c r="A483" s="45" t="s">
        <v>302</v>
      </c>
      <c r="B483" s="45" t="s">
        <v>299</v>
      </c>
      <c r="C483" s="46" t="n">
        <v>46173</v>
      </c>
      <c r="D483" s="45" t="s">
        <v>305</v>
      </c>
      <c r="E483" s="45" t="n">
        <v>4135.75</v>
      </c>
      <c r="F483" s="45" t="n">
        <v>0</v>
      </c>
      <c r="G483" s="45" t="n">
        <v>0</v>
      </c>
      <c r="H483" s="45" t="n">
        <v>0</v>
      </c>
      <c r="I483" s="45"/>
    </row>
    <row r="484" customFormat="false" ht="15" hidden="false" customHeight="false" outlineLevel="0" collapsed="false">
      <c r="A484" s="45" t="s">
        <v>306</v>
      </c>
      <c r="B484" s="45" t="s">
        <v>299</v>
      </c>
      <c r="C484" s="46" t="n">
        <v>46173</v>
      </c>
      <c r="D484" s="45" t="s">
        <v>273</v>
      </c>
      <c r="E484" s="45" t="n">
        <v>56.5</v>
      </c>
      <c r="F484" s="45" t="n">
        <v>5</v>
      </c>
      <c r="G484" s="45" t="n">
        <v>150</v>
      </c>
      <c r="H484" s="45" t="n">
        <v>0</v>
      </c>
      <c r="I484" s="45"/>
    </row>
    <row r="485" customFormat="false" ht="15" hidden="false" customHeight="false" outlineLevel="0" collapsed="false">
      <c r="A485" s="45" t="s">
        <v>307</v>
      </c>
      <c r="B485" s="45" t="s">
        <v>167</v>
      </c>
      <c r="C485" s="46" t="n">
        <v>46173</v>
      </c>
      <c r="D485" s="45" t="s">
        <v>308</v>
      </c>
      <c r="E485" s="45" t="n">
        <v>53.75</v>
      </c>
      <c r="F485" s="45" t="n">
        <v>0</v>
      </c>
      <c r="G485" s="45" t="n">
        <v>0</v>
      </c>
      <c r="H485" s="45" t="n">
        <v>0</v>
      </c>
      <c r="I485" s="45"/>
    </row>
    <row r="486" customFormat="false" ht="15" hidden="false" customHeight="false" outlineLevel="0" collapsed="false">
      <c r="A486" s="45" t="s">
        <v>307</v>
      </c>
      <c r="B486" s="45" t="s">
        <v>167</v>
      </c>
      <c r="C486" s="46" t="n">
        <v>46173</v>
      </c>
      <c r="D486" s="45" t="s">
        <v>365</v>
      </c>
      <c r="E486" s="45" t="n">
        <v>24.5</v>
      </c>
      <c r="F486" s="45" t="n">
        <v>0</v>
      </c>
      <c r="G486" s="45" t="n">
        <v>0</v>
      </c>
      <c r="H486" s="45" t="n">
        <v>0</v>
      </c>
      <c r="I486" s="45"/>
    </row>
    <row r="487" customFormat="false" ht="15" hidden="false" customHeight="false" outlineLevel="0" collapsed="false">
      <c r="A487" s="45" t="s">
        <v>307</v>
      </c>
      <c r="B487" s="45" t="s">
        <v>167</v>
      </c>
      <c r="C487" s="46" t="n">
        <v>46173</v>
      </c>
      <c r="D487" s="45" t="s">
        <v>482</v>
      </c>
      <c r="E487" s="45" t="n">
        <v>153.5</v>
      </c>
      <c r="F487" s="45" t="n">
        <v>92</v>
      </c>
      <c r="G487" s="45" t="n">
        <v>9735</v>
      </c>
      <c r="H487" s="45" t="n">
        <v>11540</v>
      </c>
      <c r="I487" s="45"/>
    </row>
    <row r="488" customFormat="false" ht="15" hidden="false" customHeight="false" outlineLevel="0" collapsed="false">
      <c r="A488" s="45" t="s">
        <v>257</v>
      </c>
      <c r="B488" s="45" t="s">
        <v>250</v>
      </c>
      <c r="C488" s="46" t="n">
        <v>46176</v>
      </c>
      <c r="D488" s="45" t="s">
        <v>483</v>
      </c>
      <c r="E488" s="45" t="n">
        <v>2.5</v>
      </c>
      <c r="F488" s="45" t="n">
        <v>14</v>
      </c>
      <c r="G488" s="45" t="n">
        <v>110</v>
      </c>
      <c r="H488" s="45" t="n">
        <v>0</v>
      </c>
      <c r="I488" s="45"/>
    </row>
    <row r="489" customFormat="false" ht="15" hidden="false" customHeight="false" outlineLevel="0" collapsed="false">
      <c r="A489" s="45" t="s">
        <v>257</v>
      </c>
      <c r="B489" s="45" t="s">
        <v>250</v>
      </c>
      <c r="C489" s="46" t="n">
        <v>46176</v>
      </c>
      <c r="D489" s="45" t="s">
        <v>410</v>
      </c>
      <c r="E489" s="45" t="n">
        <v>1.5</v>
      </c>
      <c r="F489" s="45" t="n">
        <v>0</v>
      </c>
      <c r="G489" s="45" t="n">
        <v>0</v>
      </c>
      <c r="H489" s="45" t="n">
        <v>0</v>
      </c>
      <c r="I489" s="45"/>
    </row>
    <row r="490" customFormat="false" ht="15" hidden="false" customHeight="false" outlineLevel="0" collapsed="false">
      <c r="A490" s="45" t="s">
        <v>260</v>
      </c>
      <c r="B490" s="45" t="s">
        <v>261</v>
      </c>
      <c r="C490" s="46" t="n">
        <v>46176</v>
      </c>
      <c r="D490" s="45" t="s">
        <v>484</v>
      </c>
      <c r="E490" s="45" t="n">
        <v>3.5</v>
      </c>
      <c r="F490" s="45" t="n">
        <v>64</v>
      </c>
      <c r="G490" s="45" t="n">
        <v>120</v>
      </c>
      <c r="H490" s="45" t="n">
        <v>0</v>
      </c>
      <c r="I490" s="45"/>
    </row>
    <row r="491" customFormat="false" ht="15" hidden="false" customHeight="false" outlineLevel="0" collapsed="false">
      <c r="A491" s="45" t="s">
        <v>269</v>
      </c>
      <c r="B491" s="45" t="s">
        <v>250</v>
      </c>
      <c r="C491" s="46" t="n">
        <v>46177</v>
      </c>
      <c r="D491" s="45" t="s">
        <v>485</v>
      </c>
      <c r="E491" s="45" t="n">
        <v>2</v>
      </c>
      <c r="F491" s="45" t="n">
        <v>13</v>
      </c>
      <c r="G491" s="45" t="n">
        <v>135</v>
      </c>
      <c r="H491" s="45" t="n">
        <v>0</v>
      </c>
      <c r="I491" s="45"/>
    </row>
    <row r="492" customFormat="false" ht="15" hidden="false" customHeight="false" outlineLevel="0" collapsed="false">
      <c r="A492" s="45" t="s">
        <v>257</v>
      </c>
      <c r="B492" s="45" t="s">
        <v>250</v>
      </c>
      <c r="C492" s="46" t="n">
        <v>46179</v>
      </c>
      <c r="D492" s="45" t="s">
        <v>486</v>
      </c>
      <c r="E492" s="45" t="n">
        <v>3</v>
      </c>
      <c r="F492" s="45" t="n">
        <v>16</v>
      </c>
      <c r="G492" s="45" t="n">
        <v>130</v>
      </c>
      <c r="H492" s="45" t="n">
        <v>0</v>
      </c>
      <c r="I492" s="45"/>
    </row>
    <row r="493" customFormat="false" ht="15" hidden="false" customHeight="false" outlineLevel="0" collapsed="false">
      <c r="A493" s="45" t="s">
        <v>257</v>
      </c>
      <c r="B493" s="45" t="s">
        <v>250</v>
      </c>
      <c r="C493" s="46" t="n">
        <v>46179</v>
      </c>
      <c r="D493" s="45" t="s">
        <v>268</v>
      </c>
      <c r="E493" s="45" t="n">
        <v>2</v>
      </c>
      <c r="F493" s="45" t="n">
        <v>0</v>
      </c>
      <c r="G493" s="45" t="n">
        <v>0</v>
      </c>
      <c r="H493" s="45" t="n">
        <v>0</v>
      </c>
      <c r="I493" s="45"/>
    </row>
    <row r="494" customFormat="false" ht="15" hidden="false" customHeight="false" outlineLevel="0" collapsed="false">
      <c r="A494" s="45" t="s">
        <v>376</v>
      </c>
      <c r="B494" s="45" t="s">
        <v>250</v>
      </c>
      <c r="C494" s="46" t="n">
        <v>46179</v>
      </c>
      <c r="D494" s="45" t="s">
        <v>255</v>
      </c>
      <c r="E494" s="45" t="n">
        <v>3.25</v>
      </c>
      <c r="F494" s="45" t="n">
        <v>25</v>
      </c>
      <c r="G494" s="45" t="n">
        <v>120</v>
      </c>
      <c r="H494" s="45" t="n">
        <v>500</v>
      </c>
      <c r="I494" s="45"/>
    </row>
    <row r="495" customFormat="false" ht="15" hidden="false" customHeight="false" outlineLevel="0" collapsed="false">
      <c r="A495" s="45" t="s">
        <v>311</v>
      </c>
      <c r="B495" s="45" t="s">
        <v>312</v>
      </c>
      <c r="C495" s="46" t="n">
        <v>46190</v>
      </c>
      <c r="D495" s="45" t="s">
        <v>313</v>
      </c>
      <c r="E495" s="45" t="n">
        <v>2.25</v>
      </c>
      <c r="F495" s="45" t="n">
        <v>0</v>
      </c>
      <c r="G495" s="45" t="n">
        <v>0</v>
      </c>
      <c r="H495" s="45" t="n">
        <v>0</v>
      </c>
      <c r="I495" s="45"/>
    </row>
    <row r="496" customFormat="false" ht="15" hidden="false" customHeight="false" outlineLevel="0" collapsed="false">
      <c r="A496" s="45" t="s">
        <v>311</v>
      </c>
      <c r="B496" s="45" t="s">
        <v>312</v>
      </c>
      <c r="C496" s="46" t="n">
        <v>46190</v>
      </c>
      <c r="D496" s="45" t="s">
        <v>373</v>
      </c>
      <c r="E496" s="45" t="n">
        <v>3</v>
      </c>
      <c r="F496" s="45" t="n">
        <v>0</v>
      </c>
      <c r="G496" s="45" t="n">
        <v>115</v>
      </c>
      <c r="H496" s="45" t="n">
        <v>0</v>
      </c>
      <c r="I496" s="45"/>
    </row>
    <row r="497" customFormat="false" ht="15" hidden="false" customHeight="false" outlineLevel="0" collapsed="false">
      <c r="A497" s="45" t="s">
        <v>311</v>
      </c>
      <c r="B497" s="45" t="s">
        <v>312</v>
      </c>
      <c r="C497" s="46" t="n">
        <v>46193</v>
      </c>
      <c r="D497" s="45" t="s">
        <v>292</v>
      </c>
      <c r="E497" s="45" t="n">
        <v>2.75</v>
      </c>
      <c r="F497" s="45" t="n">
        <v>0</v>
      </c>
      <c r="G497" s="45" t="n">
        <v>0</v>
      </c>
      <c r="H497" s="45" t="n">
        <v>0</v>
      </c>
      <c r="I497" s="45"/>
    </row>
    <row r="498" customFormat="false" ht="15" hidden="false" customHeight="false" outlineLevel="0" collapsed="false">
      <c r="A498" s="45" t="s">
        <v>311</v>
      </c>
      <c r="B498" s="45" t="s">
        <v>312</v>
      </c>
      <c r="C498" s="46" t="n">
        <v>46193</v>
      </c>
      <c r="D498" s="45" t="s">
        <v>487</v>
      </c>
      <c r="E498" s="45" t="n">
        <v>2</v>
      </c>
      <c r="F498" s="45" t="n">
        <v>0</v>
      </c>
      <c r="G498" s="45" t="n">
        <v>75</v>
      </c>
      <c r="H498" s="45" t="n">
        <v>0</v>
      </c>
      <c r="I498" s="45"/>
    </row>
    <row r="499" customFormat="false" ht="15" hidden="false" customHeight="false" outlineLevel="0" collapsed="false">
      <c r="A499" s="45" t="s">
        <v>344</v>
      </c>
      <c r="B499" s="45" t="s">
        <v>285</v>
      </c>
      <c r="C499" s="46" t="n">
        <v>46195</v>
      </c>
      <c r="D499" s="45" t="s">
        <v>348</v>
      </c>
      <c r="E499" s="45" t="n">
        <v>2.25</v>
      </c>
      <c r="F499" s="45" t="n">
        <v>10</v>
      </c>
      <c r="G499" s="45" t="n">
        <v>40</v>
      </c>
      <c r="H499" s="45" t="n">
        <v>0</v>
      </c>
      <c r="I499" s="45"/>
    </row>
    <row r="500" customFormat="false" ht="15" hidden="false" customHeight="false" outlineLevel="0" collapsed="false">
      <c r="A500" s="45" t="s">
        <v>344</v>
      </c>
      <c r="B500" s="45" t="s">
        <v>285</v>
      </c>
      <c r="C500" s="46" t="n">
        <v>46195</v>
      </c>
      <c r="D500" s="45" t="s">
        <v>252</v>
      </c>
      <c r="E500" s="45" t="n">
        <v>1.75</v>
      </c>
      <c r="F500" s="45" t="n">
        <v>0</v>
      </c>
      <c r="G500" s="45" t="n">
        <v>0</v>
      </c>
      <c r="H500" s="45" t="n">
        <v>0</v>
      </c>
      <c r="I500" s="45"/>
    </row>
    <row r="501" customFormat="false" ht="15" hidden="false" customHeight="false" outlineLevel="0" collapsed="false">
      <c r="A501" s="45" t="s">
        <v>376</v>
      </c>
      <c r="B501" s="45" t="s">
        <v>250</v>
      </c>
      <c r="C501" s="46" t="n">
        <v>46197</v>
      </c>
      <c r="D501" s="45" t="s">
        <v>387</v>
      </c>
      <c r="E501" s="45" t="n">
        <v>3.25</v>
      </c>
      <c r="F501" s="45" t="n">
        <v>17</v>
      </c>
      <c r="G501" s="45" t="n">
        <v>125</v>
      </c>
      <c r="H501" s="45" t="n">
        <v>340</v>
      </c>
      <c r="I501" s="45"/>
    </row>
    <row r="502" customFormat="false" ht="15" hidden="false" customHeight="false" outlineLevel="0" collapsed="false">
      <c r="A502" s="45" t="s">
        <v>269</v>
      </c>
      <c r="B502" s="45" t="s">
        <v>250</v>
      </c>
      <c r="C502" s="46" t="n">
        <v>46200</v>
      </c>
      <c r="D502" s="45" t="s">
        <v>474</v>
      </c>
      <c r="E502" s="45" t="n">
        <v>2</v>
      </c>
      <c r="F502" s="45" t="n">
        <v>15</v>
      </c>
      <c r="G502" s="45" t="n">
        <v>165</v>
      </c>
      <c r="H502" s="45" t="n">
        <v>0</v>
      </c>
      <c r="I502" s="45"/>
    </row>
    <row r="503" customFormat="false" ht="15" hidden="false" customHeight="false" outlineLevel="0" collapsed="false">
      <c r="A503" s="45" t="s">
        <v>271</v>
      </c>
      <c r="B503" s="45" t="s">
        <v>250</v>
      </c>
      <c r="C503" s="46" t="n">
        <v>46200</v>
      </c>
      <c r="D503" s="45" t="s">
        <v>276</v>
      </c>
      <c r="E503" s="45" t="n">
        <v>2.25</v>
      </c>
      <c r="F503" s="45" t="n">
        <v>0</v>
      </c>
      <c r="G503" s="45" t="n">
        <v>0</v>
      </c>
      <c r="H503" s="45" t="n">
        <v>0</v>
      </c>
      <c r="I503" s="45"/>
    </row>
    <row r="504" customFormat="false" ht="15" hidden="false" customHeight="false" outlineLevel="0" collapsed="false">
      <c r="A504" s="45" t="s">
        <v>271</v>
      </c>
      <c r="B504" s="45" t="s">
        <v>250</v>
      </c>
      <c r="C504" s="46" t="n">
        <v>46200</v>
      </c>
      <c r="D504" s="45" t="s">
        <v>339</v>
      </c>
      <c r="E504" s="45" t="n">
        <v>2.5</v>
      </c>
      <c r="F504" s="45" t="n">
        <v>43</v>
      </c>
      <c r="G504" s="45" t="n">
        <v>1720</v>
      </c>
      <c r="H504" s="45" t="n">
        <v>1550</v>
      </c>
      <c r="I504" s="45"/>
    </row>
    <row r="505" customFormat="false" ht="15" hidden="false" customHeight="false" outlineLevel="0" collapsed="false">
      <c r="A505" s="45" t="s">
        <v>271</v>
      </c>
      <c r="B505" s="45" t="s">
        <v>250</v>
      </c>
      <c r="C505" s="46" t="n">
        <v>46202</v>
      </c>
      <c r="D505" s="45" t="s">
        <v>267</v>
      </c>
      <c r="E505" s="45" t="n">
        <v>3</v>
      </c>
      <c r="F505" s="45" t="n">
        <v>0</v>
      </c>
      <c r="G505" s="45" t="n">
        <v>0</v>
      </c>
      <c r="H505" s="45" t="n">
        <v>0</v>
      </c>
      <c r="I505" s="45"/>
    </row>
    <row r="506" customFormat="false" ht="15" hidden="false" customHeight="false" outlineLevel="0" collapsed="false">
      <c r="A506" s="45" t="s">
        <v>271</v>
      </c>
      <c r="B506" s="45" t="s">
        <v>250</v>
      </c>
      <c r="C506" s="46" t="n">
        <v>46202</v>
      </c>
      <c r="D506" s="45" t="s">
        <v>488</v>
      </c>
      <c r="E506" s="45" t="n">
        <v>2.5</v>
      </c>
      <c r="F506" s="45" t="n">
        <v>49</v>
      </c>
      <c r="G506" s="45" t="n">
        <v>2310</v>
      </c>
      <c r="H506" s="45" t="n">
        <v>695</v>
      </c>
      <c r="I506" s="45"/>
    </row>
    <row r="507" customFormat="false" ht="15" hidden="false" customHeight="false" outlineLevel="0" collapsed="false">
      <c r="A507" s="45" t="s">
        <v>277</v>
      </c>
      <c r="B507" s="45" t="s">
        <v>261</v>
      </c>
      <c r="C507" s="46" t="n">
        <v>46203</v>
      </c>
      <c r="D507" s="45" t="s">
        <v>278</v>
      </c>
      <c r="E507" s="45" t="n">
        <v>103.75</v>
      </c>
      <c r="F507" s="45" t="n">
        <v>0</v>
      </c>
      <c r="G507" s="45" t="n">
        <v>0</v>
      </c>
      <c r="H507" s="45" t="n">
        <v>0</v>
      </c>
      <c r="I507" s="45"/>
    </row>
    <row r="508" customFormat="false" ht="15" hidden="false" customHeight="false" outlineLevel="0" collapsed="false">
      <c r="A508" s="45" t="s">
        <v>277</v>
      </c>
      <c r="B508" s="45" t="s">
        <v>261</v>
      </c>
      <c r="C508" s="46" t="n">
        <v>46203</v>
      </c>
      <c r="D508" s="45" t="s">
        <v>489</v>
      </c>
      <c r="E508" s="45" t="n">
        <v>113.25</v>
      </c>
      <c r="F508" s="45" t="n">
        <v>0</v>
      </c>
      <c r="G508" s="45" t="n">
        <v>0</v>
      </c>
      <c r="H508" s="45" t="n">
        <v>0</v>
      </c>
      <c r="I508" s="45"/>
    </row>
    <row r="509" customFormat="false" ht="15" hidden="false" customHeight="false" outlineLevel="0" collapsed="false">
      <c r="A509" s="45" t="s">
        <v>277</v>
      </c>
      <c r="B509" s="45" t="s">
        <v>261</v>
      </c>
      <c r="C509" s="46" t="n">
        <v>46203</v>
      </c>
      <c r="D509" s="45" t="s">
        <v>327</v>
      </c>
      <c r="E509" s="45" t="n">
        <v>109</v>
      </c>
      <c r="F509" s="45" t="n">
        <v>334</v>
      </c>
      <c r="G509" s="45" t="n">
        <v>8935</v>
      </c>
      <c r="H509" s="45" t="n">
        <v>0</v>
      </c>
      <c r="I509" s="45"/>
    </row>
    <row r="510" customFormat="false" ht="15" hidden="false" customHeight="false" outlineLevel="0" collapsed="false">
      <c r="A510" s="45" t="s">
        <v>281</v>
      </c>
      <c r="B510" s="45" t="s">
        <v>261</v>
      </c>
      <c r="C510" s="46" t="n">
        <v>46203</v>
      </c>
      <c r="D510" s="45" t="s">
        <v>282</v>
      </c>
      <c r="E510" s="45" t="n">
        <v>40</v>
      </c>
      <c r="F510" s="45" t="n">
        <v>377</v>
      </c>
      <c r="G510" s="45" t="n">
        <v>4610</v>
      </c>
      <c r="H510" s="45" t="n">
        <v>0</v>
      </c>
      <c r="I510" s="45"/>
    </row>
    <row r="511" customFormat="false" ht="15" hidden="false" customHeight="false" outlineLevel="0" collapsed="false">
      <c r="A511" s="45" t="s">
        <v>281</v>
      </c>
      <c r="B511" s="45" t="s">
        <v>261</v>
      </c>
      <c r="C511" s="46" t="n">
        <v>46203</v>
      </c>
      <c r="D511" s="45" t="s">
        <v>273</v>
      </c>
      <c r="E511" s="45" t="n">
        <v>16</v>
      </c>
      <c r="F511" s="45" t="n">
        <v>0</v>
      </c>
      <c r="G511" s="45" t="n">
        <v>0</v>
      </c>
      <c r="H511" s="45" t="n">
        <v>0</v>
      </c>
      <c r="I511" s="45"/>
    </row>
    <row r="512" customFormat="false" ht="15" hidden="false" customHeight="false" outlineLevel="0" collapsed="false">
      <c r="A512" s="45" t="s">
        <v>281</v>
      </c>
      <c r="B512" s="45" t="s">
        <v>261</v>
      </c>
      <c r="C512" s="46" t="n">
        <v>46203</v>
      </c>
      <c r="D512" s="45" t="s">
        <v>262</v>
      </c>
      <c r="E512" s="45" t="n">
        <v>40</v>
      </c>
      <c r="F512" s="45" t="n">
        <v>0</v>
      </c>
      <c r="G512" s="45" t="n">
        <v>0</v>
      </c>
      <c r="H512" s="45" t="n">
        <v>0</v>
      </c>
      <c r="I512" s="45"/>
    </row>
    <row r="513" customFormat="false" ht="15" hidden="false" customHeight="false" outlineLevel="0" collapsed="false">
      <c r="A513" s="45" t="s">
        <v>284</v>
      </c>
      <c r="B513" s="45" t="s">
        <v>285</v>
      </c>
      <c r="C513" s="46" t="n">
        <v>46203</v>
      </c>
      <c r="D513" s="45" t="s">
        <v>360</v>
      </c>
      <c r="E513" s="45" t="n">
        <v>435</v>
      </c>
      <c r="F513" s="45" t="n">
        <v>571</v>
      </c>
      <c r="G513" s="45" t="n">
        <v>1480</v>
      </c>
      <c r="H513" s="45" t="n">
        <v>0</v>
      </c>
      <c r="I513" s="45"/>
    </row>
    <row r="514" customFormat="false" ht="15" hidden="false" customHeight="false" outlineLevel="0" collapsed="false">
      <c r="A514" s="45" t="s">
        <v>284</v>
      </c>
      <c r="B514" s="45" t="s">
        <v>285</v>
      </c>
      <c r="C514" s="46" t="n">
        <v>46203</v>
      </c>
      <c r="D514" s="45" t="s">
        <v>448</v>
      </c>
      <c r="E514" s="45" t="n">
        <v>175.25</v>
      </c>
      <c r="F514" s="45" t="n">
        <v>0</v>
      </c>
      <c r="G514" s="45" t="n">
        <v>0</v>
      </c>
      <c r="H514" s="45" t="n">
        <v>0</v>
      </c>
      <c r="I514" s="45"/>
    </row>
    <row r="515" customFormat="false" ht="15" hidden="false" customHeight="false" outlineLevel="0" collapsed="false">
      <c r="A515" s="45" t="s">
        <v>288</v>
      </c>
      <c r="B515" s="45" t="s">
        <v>285</v>
      </c>
      <c r="C515" s="46" t="n">
        <v>46203</v>
      </c>
      <c r="D515" s="45" t="s">
        <v>383</v>
      </c>
      <c r="E515" s="45" t="n">
        <v>79</v>
      </c>
      <c r="F515" s="45" t="n">
        <v>0</v>
      </c>
      <c r="G515" s="45" t="n">
        <v>0</v>
      </c>
      <c r="H515" s="45" t="n">
        <v>0</v>
      </c>
      <c r="I515" s="45"/>
    </row>
    <row r="516" customFormat="false" ht="15" hidden="false" customHeight="false" outlineLevel="0" collapsed="false">
      <c r="A516" s="45" t="s">
        <v>288</v>
      </c>
      <c r="B516" s="45" t="s">
        <v>285</v>
      </c>
      <c r="C516" s="46" t="n">
        <v>46203</v>
      </c>
      <c r="D516" s="45" t="s">
        <v>339</v>
      </c>
      <c r="E516" s="45" t="n">
        <v>27.25</v>
      </c>
      <c r="F516" s="45" t="n">
        <v>110</v>
      </c>
      <c r="G516" s="45" t="n">
        <v>30345</v>
      </c>
      <c r="H516" s="45" t="n">
        <v>0</v>
      </c>
      <c r="I516" s="45"/>
    </row>
    <row r="517" customFormat="false" ht="15" hidden="false" customHeight="false" outlineLevel="0" collapsed="false">
      <c r="A517" s="45" t="s">
        <v>290</v>
      </c>
      <c r="B517" s="45" t="s">
        <v>291</v>
      </c>
      <c r="C517" s="46" t="n">
        <v>46203</v>
      </c>
      <c r="D517" s="45" t="s">
        <v>432</v>
      </c>
      <c r="E517" s="45" t="n">
        <v>30.5</v>
      </c>
      <c r="F517" s="45" t="n">
        <v>0</v>
      </c>
      <c r="G517" s="45" t="n">
        <v>2545</v>
      </c>
      <c r="H517" s="45" t="n">
        <v>0</v>
      </c>
      <c r="I517" s="45"/>
    </row>
    <row r="518" customFormat="false" ht="15" hidden="false" customHeight="false" outlineLevel="0" collapsed="false">
      <c r="A518" s="45" t="s">
        <v>290</v>
      </c>
      <c r="B518" s="45" t="s">
        <v>291</v>
      </c>
      <c r="C518" s="46" t="n">
        <v>46203</v>
      </c>
      <c r="D518" s="45" t="s">
        <v>362</v>
      </c>
      <c r="E518" s="45" t="n">
        <v>21.5</v>
      </c>
      <c r="F518" s="45" t="n">
        <v>0</v>
      </c>
      <c r="G518" s="45" t="n">
        <v>0</v>
      </c>
      <c r="H518" s="45" t="n">
        <v>0</v>
      </c>
      <c r="I518" s="45"/>
    </row>
    <row r="519" customFormat="false" ht="15" hidden="false" customHeight="false" outlineLevel="0" collapsed="false">
      <c r="A519" s="45" t="s">
        <v>294</v>
      </c>
      <c r="B519" s="45" t="s">
        <v>291</v>
      </c>
      <c r="C519" s="46" t="n">
        <v>46203</v>
      </c>
      <c r="D519" s="45" t="s">
        <v>490</v>
      </c>
      <c r="E519" s="45" t="n">
        <v>55.25</v>
      </c>
      <c r="F519" s="45" t="n">
        <v>0</v>
      </c>
      <c r="G519" s="45" t="n">
        <v>0</v>
      </c>
      <c r="H519" s="45" t="n">
        <v>0</v>
      </c>
      <c r="I519" s="45"/>
    </row>
    <row r="520" customFormat="false" ht="15" hidden="false" customHeight="false" outlineLevel="0" collapsed="false">
      <c r="A520" s="45" t="s">
        <v>294</v>
      </c>
      <c r="B520" s="45" t="s">
        <v>291</v>
      </c>
      <c r="C520" s="46" t="n">
        <v>46203</v>
      </c>
      <c r="D520" s="45" t="s">
        <v>313</v>
      </c>
      <c r="E520" s="45" t="n">
        <v>81.75</v>
      </c>
      <c r="F520" s="45" t="n">
        <v>0</v>
      </c>
      <c r="G520" s="45" t="n">
        <v>470</v>
      </c>
      <c r="H520" s="45" t="n">
        <v>0</v>
      </c>
      <c r="I520" s="45"/>
    </row>
    <row r="521" customFormat="false" ht="15" hidden="false" customHeight="false" outlineLevel="0" collapsed="false">
      <c r="A521" s="45" t="s">
        <v>296</v>
      </c>
      <c r="B521" s="45" t="s">
        <v>285</v>
      </c>
      <c r="C521" s="46" t="n">
        <v>46203</v>
      </c>
      <c r="D521" s="45" t="s">
        <v>402</v>
      </c>
      <c r="E521" s="45" t="n">
        <v>72</v>
      </c>
      <c r="F521" s="45" t="n">
        <v>123</v>
      </c>
      <c r="G521" s="45" t="n">
        <v>0</v>
      </c>
      <c r="H521" s="45" t="n">
        <v>0</v>
      </c>
      <c r="I521" s="45"/>
    </row>
    <row r="522" customFormat="false" ht="15" hidden="false" customHeight="false" outlineLevel="0" collapsed="false">
      <c r="A522" s="45" t="s">
        <v>298</v>
      </c>
      <c r="B522" s="45" t="s">
        <v>299</v>
      </c>
      <c r="C522" s="46" t="n">
        <v>46203</v>
      </c>
      <c r="D522" s="45" t="s">
        <v>387</v>
      </c>
      <c r="E522" s="45" t="n">
        <v>47.5</v>
      </c>
      <c r="F522" s="45" t="n">
        <v>15</v>
      </c>
      <c r="G522" s="45" t="n">
        <v>585</v>
      </c>
      <c r="H522" s="45" t="n">
        <v>0</v>
      </c>
      <c r="I522" s="45"/>
    </row>
    <row r="523" customFormat="false" ht="15" hidden="false" customHeight="false" outlineLevel="0" collapsed="false">
      <c r="A523" s="45" t="s">
        <v>298</v>
      </c>
      <c r="B523" s="45" t="s">
        <v>299</v>
      </c>
      <c r="C523" s="46" t="n">
        <v>46203</v>
      </c>
      <c r="D523" s="45" t="s">
        <v>262</v>
      </c>
      <c r="E523" s="45" t="n">
        <v>121</v>
      </c>
      <c r="F523" s="45" t="n">
        <v>0</v>
      </c>
      <c r="G523" s="45" t="n">
        <v>0</v>
      </c>
      <c r="H523" s="45" t="n">
        <v>0</v>
      </c>
      <c r="I523" s="45"/>
    </row>
    <row r="524" customFormat="false" ht="15" hidden="false" customHeight="false" outlineLevel="0" collapsed="false">
      <c r="A524" s="45" t="s">
        <v>302</v>
      </c>
      <c r="B524" s="45" t="s">
        <v>299</v>
      </c>
      <c r="C524" s="46" t="n">
        <v>46203</v>
      </c>
      <c r="D524" s="45" t="s">
        <v>365</v>
      </c>
      <c r="E524" s="45" t="n">
        <v>394.25</v>
      </c>
      <c r="F524" s="45" t="n">
        <v>0</v>
      </c>
      <c r="G524" s="45" t="n">
        <v>34380</v>
      </c>
      <c r="H524" s="45" t="n">
        <v>156615</v>
      </c>
      <c r="I524" s="45"/>
    </row>
    <row r="525" customFormat="false" ht="15" hidden="false" customHeight="false" outlineLevel="0" collapsed="false">
      <c r="A525" s="45" t="s">
        <v>302</v>
      </c>
      <c r="B525" s="45" t="s">
        <v>299</v>
      </c>
      <c r="C525" s="46" t="n">
        <v>46203</v>
      </c>
      <c r="D525" s="45" t="s">
        <v>256</v>
      </c>
      <c r="E525" s="45" t="n">
        <v>171.75</v>
      </c>
      <c r="F525" s="45" t="n">
        <v>0</v>
      </c>
      <c r="G525" s="45" t="n">
        <v>0</v>
      </c>
      <c r="H525" s="45" t="n">
        <v>0</v>
      </c>
      <c r="I525" s="45"/>
    </row>
    <row r="526" customFormat="false" ht="15" hidden="false" customHeight="false" outlineLevel="0" collapsed="false">
      <c r="A526" s="45" t="s">
        <v>302</v>
      </c>
      <c r="B526" s="45" t="s">
        <v>299</v>
      </c>
      <c r="C526" s="46" t="n">
        <v>46203</v>
      </c>
      <c r="D526" s="45" t="s">
        <v>491</v>
      </c>
      <c r="E526" s="45" t="n">
        <v>3947.25</v>
      </c>
      <c r="F526" s="45" t="n">
        <v>0</v>
      </c>
      <c r="G526" s="45" t="n">
        <v>0</v>
      </c>
      <c r="H526" s="45" t="n">
        <v>0</v>
      </c>
      <c r="I526" s="45"/>
    </row>
    <row r="527" customFormat="false" ht="15" hidden="false" customHeight="false" outlineLevel="0" collapsed="false">
      <c r="A527" s="45" t="s">
        <v>306</v>
      </c>
      <c r="B527" s="45" t="s">
        <v>299</v>
      </c>
      <c r="C527" s="46" t="n">
        <v>46203</v>
      </c>
      <c r="D527" s="45" t="s">
        <v>273</v>
      </c>
      <c r="E527" s="45" t="n">
        <v>52.5</v>
      </c>
      <c r="F527" s="45" t="n">
        <v>5</v>
      </c>
      <c r="G527" s="45" t="n">
        <v>30</v>
      </c>
      <c r="H527" s="45" t="n">
        <v>0</v>
      </c>
      <c r="I527" s="45"/>
    </row>
    <row r="528" customFormat="false" ht="15" hidden="false" customHeight="false" outlineLevel="0" collapsed="false">
      <c r="A528" s="45" t="s">
        <v>307</v>
      </c>
      <c r="B528" s="45" t="s">
        <v>167</v>
      </c>
      <c r="C528" s="46" t="n">
        <v>46203</v>
      </c>
      <c r="D528" s="45" t="s">
        <v>362</v>
      </c>
      <c r="E528" s="45" t="n">
        <v>58</v>
      </c>
      <c r="F528" s="45" t="n">
        <v>0</v>
      </c>
      <c r="G528" s="45" t="n">
        <v>0</v>
      </c>
      <c r="H528" s="45" t="n">
        <v>0</v>
      </c>
      <c r="I528" s="45"/>
    </row>
    <row r="529" customFormat="false" ht="15" hidden="false" customHeight="false" outlineLevel="0" collapsed="false">
      <c r="A529" s="45" t="s">
        <v>307</v>
      </c>
      <c r="B529" s="45" t="s">
        <v>167</v>
      </c>
      <c r="C529" s="46" t="n">
        <v>46203</v>
      </c>
      <c r="D529" s="45" t="s">
        <v>303</v>
      </c>
      <c r="E529" s="45" t="n">
        <v>20.75</v>
      </c>
      <c r="F529" s="45" t="n">
        <v>0</v>
      </c>
      <c r="G529" s="45" t="n">
        <v>0</v>
      </c>
      <c r="H529" s="45" t="n">
        <v>0</v>
      </c>
      <c r="I529" s="45"/>
    </row>
    <row r="530" customFormat="false" ht="15" hidden="false" customHeight="false" outlineLevel="0" collapsed="false">
      <c r="A530" s="45" t="s">
        <v>307</v>
      </c>
      <c r="B530" s="45" t="s">
        <v>167</v>
      </c>
      <c r="C530" s="46" t="n">
        <v>46203</v>
      </c>
      <c r="D530" s="45" t="s">
        <v>367</v>
      </c>
      <c r="E530" s="45" t="n">
        <v>199</v>
      </c>
      <c r="F530" s="45" t="n">
        <v>58</v>
      </c>
      <c r="G530" s="45" t="n">
        <v>8350</v>
      </c>
      <c r="H530" s="45" t="n">
        <v>9440</v>
      </c>
      <c r="I530" s="4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5A8"/>
    <pageSetUpPr fitToPage="false"/>
  </sheetPr>
  <dimension ref="A1:I2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2" min="2" style="1" width="34"/>
    <col collapsed="false" customWidth="true" hidden="false" outlineLevel="0" max="3" min="3" style="1" width="30"/>
    <col collapsed="false" customWidth="true" hidden="false" outlineLevel="0" max="8" min="4" style="1" width="16"/>
    <col collapsed="false" customWidth="true" hidden="false" outlineLevel="0" max="9" min="9" style="1" width="26"/>
  </cols>
  <sheetData>
    <row r="1" customFormat="false" ht="15" hidden="false" customHeight="false" outlineLevel="0" collapsed="false">
      <c r="A1" s="15" t="s">
        <v>492</v>
      </c>
    </row>
    <row r="2" customFormat="false" ht="15" hidden="false" customHeight="false" outlineLevel="0" collapsed="false">
      <c r="A2" s="45" t="s">
        <v>493</v>
      </c>
    </row>
    <row r="3" customFormat="false" ht="15" hidden="false" customHeight="false" outlineLevel="0" collapsed="false">
      <c r="A3" s="45"/>
    </row>
    <row r="4" customFormat="false" ht="15" hidden="false" customHeight="false" outlineLevel="0" collapsed="false">
      <c r="A4" s="44" t="s">
        <v>494</v>
      </c>
      <c r="B4" s="44" t="s">
        <v>495</v>
      </c>
      <c r="C4" s="44" t="s">
        <v>496</v>
      </c>
      <c r="D4" s="44" t="s">
        <v>497</v>
      </c>
      <c r="E4" s="44" t="s">
        <v>498</v>
      </c>
      <c r="F4" s="44" t="s">
        <v>499</v>
      </c>
      <c r="G4" s="44" t="s">
        <v>500</v>
      </c>
      <c r="H4" s="44" t="s">
        <v>501</v>
      </c>
      <c r="I4" s="44" t="s">
        <v>502</v>
      </c>
    </row>
    <row r="5" customFormat="false" ht="15" hidden="false" customHeight="false" outlineLevel="0" collapsed="false">
      <c r="A5" s="45" t="s">
        <v>503</v>
      </c>
      <c r="B5" s="45" t="s">
        <v>504</v>
      </c>
      <c r="C5" s="45" t="s">
        <v>505</v>
      </c>
      <c r="D5" s="45" t="s">
        <v>409</v>
      </c>
      <c r="E5" s="45" t="n">
        <v>2</v>
      </c>
      <c r="F5" s="45" t="n">
        <v>10</v>
      </c>
      <c r="G5" s="45" t="n">
        <v>95</v>
      </c>
      <c r="H5" s="45"/>
      <c r="I5" s="45"/>
    </row>
    <row r="6" customFormat="false" ht="15" hidden="false" customHeight="false" outlineLevel="0" collapsed="false">
      <c r="A6" s="45" t="s">
        <v>503</v>
      </c>
      <c r="B6" s="45" t="s">
        <v>504</v>
      </c>
      <c r="C6" s="45" t="s">
        <v>505</v>
      </c>
      <c r="D6" s="45" t="s">
        <v>410</v>
      </c>
      <c r="E6" s="45" t="n">
        <v>1.75</v>
      </c>
      <c r="F6" s="45"/>
      <c r="G6" s="45"/>
      <c r="H6" s="45"/>
      <c r="I6" s="45"/>
    </row>
    <row r="7" customFormat="false" ht="15" hidden="false" customHeight="false" outlineLevel="0" collapsed="false">
      <c r="A7" s="45" t="s">
        <v>506</v>
      </c>
      <c r="B7" s="45" t="s">
        <v>504</v>
      </c>
      <c r="C7" s="45" t="s">
        <v>505</v>
      </c>
      <c r="D7" s="45" t="s">
        <v>272</v>
      </c>
      <c r="E7" s="45" t="n">
        <v>20</v>
      </c>
      <c r="F7" s="45" t="n">
        <v>14</v>
      </c>
      <c r="G7" s="45" t="n">
        <v>70</v>
      </c>
      <c r="H7" s="45"/>
      <c r="I7" s="45"/>
    </row>
    <row r="8" customFormat="false" ht="15" hidden="false" customHeight="false" outlineLevel="0" collapsed="false">
      <c r="A8" s="45" t="s">
        <v>506</v>
      </c>
      <c r="B8" s="45" t="s">
        <v>504</v>
      </c>
      <c r="C8" s="45" t="s">
        <v>505</v>
      </c>
      <c r="D8" s="45" t="s">
        <v>507</v>
      </c>
      <c r="E8" s="45" t="n">
        <v>1.75</v>
      </c>
      <c r="F8" s="45"/>
      <c r="G8" s="45"/>
      <c r="H8" s="45"/>
      <c r="I8" s="45"/>
    </row>
    <row r="9" customFormat="false" ht="15" hidden="false" customHeight="false" outlineLevel="0" collapsed="false">
      <c r="A9" s="45" t="s">
        <v>508</v>
      </c>
      <c r="B9" s="45" t="s">
        <v>504</v>
      </c>
      <c r="C9" s="45" t="s">
        <v>505</v>
      </c>
      <c r="D9" s="45" t="s">
        <v>263</v>
      </c>
      <c r="E9" s="45" t="n">
        <v>2</v>
      </c>
      <c r="F9" s="45" t="n">
        <v>13</v>
      </c>
      <c r="G9" s="45" t="n">
        <v>160</v>
      </c>
      <c r="H9" s="45"/>
      <c r="I9" s="45"/>
    </row>
    <row r="10" customFormat="false" ht="15" hidden="false" customHeight="false" outlineLevel="0" collapsed="false">
      <c r="A10" s="45" t="s">
        <v>508</v>
      </c>
      <c r="B10" s="45" t="s">
        <v>504</v>
      </c>
      <c r="C10" s="45" t="s">
        <v>505</v>
      </c>
      <c r="D10" s="45" t="s">
        <v>372</v>
      </c>
      <c r="E10" s="45" t="n">
        <v>1.5</v>
      </c>
      <c r="F10" s="45"/>
      <c r="G10" s="45"/>
      <c r="H10" s="45"/>
      <c r="I10" s="45"/>
    </row>
    <row r="11" customFormat="false" ht="15" hidden="false" customHeight="false" outlineLevel="0" collapsed="false">
      <c r="A11" s="45" t="s">
        <v>509</v>
      </c>
      <c r="B11" s="45" t="s">
        <v>510</v>
      </c>
      <c r="C11" s="45" t="s">
        <v>511</v>
      </c>
      <c r="D11" s="45" t="s">
        <v>335</v>
      </c>
      <c r="E11" s="45" t="n">
        <v>3.75</v>
      </c>
      <c r="F11" s="45" t="n">
        <v>41</v>
      </c>
      <c r="G11" s="45" t="n">
        <v>105</v>
      </c>
      <c r="H11" s="45"/>
      <c r="I11" s="45"/>
    </row>
    <row r="12" customFormat="false" ht="15" hidden="false" customHeight="false" outlineLevel="0" collapsed="false">
      <c r="A12" s="45" t="s">
        <v>512</v>
      </c>
      <c r="B12" s="45" t="s">
        <v>513</v>
      </c>
      <c r="C12" s="45" t="s">
        <v>505</v>
      </c>
      <c r="D12" s="45" t="s">
        <v>391</v>
      </c>
      <c r="E12" s="45" t="n">
        <v>2</v>
      </c>
      <c r="F12" s="45" t="n">
        <v>16</v>
      </c>
      <c r="G12" s="45" t="n">
        <v>65</v>
      </c>
      <c r="H12" s="45"/>
      <c r="I12" s="45"/>
    </row>
    <row r="13" customFormat="false" ht="15" hidden="false" customHeight="false" outlineLevel="0" collapsed="false">
      <c r="A13" s="45" t="s">
        <v>514</v>
      </c>
      <c r="B13" s="45" t="s">
        <v>515</v>
      </c>
      <c r="C13" s="45" t="s">
        <v>511</v>
      </c>
      <c r="D13" s="45" t="s">
        <v>381</v>
      </c>
      <c r="E13" s="45" t="s">
        <v>516</v>
      </c>
      <c r="F13" s="45"/>
      <c r="G13" s="45"/>
      <c r="H13" s="45"/>
      <c r="I13" s="45"/>
    </row>
    <row r="14" customFormat="false" ht="15" hidden="false" customHeight="false" outlineLevel="0" collapsed="false">
      <c r="A14" s="45" t="s">
        <v>514</v>
      </c>
      <c r="B14" s="45" t="s">
        <v>515</v>
      </c>
      <c r="C14" s="45" t="s">
        <v>511</v>
      </c>
      <c r="D14" s="45" t="s">
        <v>381</v>
      </c>
      <c r="E14" s="45" t="s">
        <v>516</v>
      </c>
      <c r="F14" s="45"/>
      <c r="G14" s="45"/>
      <c r="H14" s="45"/>
      <c r="I14" s="45"/>
    </row>
    <row r="15" customFormat="false" ht="15" hidden="false" customHeight="false" outlineLevel="0" collapsed="false">
      <c r="A15" s="45" t="s">
        <v>514</v>
      </c>
      <c r="B15" s="45" t="s">
        <v>515</v>
      </c>
      <c r="C15" s="45" t="s">
        <v>511</v>
      </c>
      <c r="D15" s="45" t="s">
        <v>517</v>
      </c>
      <c r="E15" s="45" t="s">
        <v>518</v>
      </c>
      <c r="F15" s="45"/>
      <c r="G15" s="45"/>
      <c r="H15" s="45"/>
      <c r="I15" s="45"/>
    </row>
    <row r="16" customFormat="false" ht="15" hidden="false" customHeight="false" outlineLevel="0" collapsed="false">
      <c r="A16" s="45" t="s">
        <v>514</v>
      </c>
      <c r="B16" s="45" t="s">
        <v>515</v>
      </c>
      <c r="C16" s="45" t="s">
        <v>511</v>
      </c>
      <c r="D16" s="45" t="s">
        <v>517</v>
      </c>
      <c r="E16" s="45" t="s">
        <v>518</v>
      </c>
      <c r="F16" s="45"/>
      <c r="G16" s="45"/>
      <c r="H16" s="45"/>
      <c r="I16" s="45"/>
    </row>
    <row r="17" customFormat="false" ht="15" hidden="false" customHeight="false" outlineLevel="0" collapsed="false">
      <c r="A17" s="45" t="s">
        <v>514</v>
      </c>
      <c r="B17" s="45" t="s">
        <v>515</v>
      </c>
      <c r="C17" s="45" t="s">
        <v>511</v>
      </c>
      <c r="D17" s="45" t="s">
        <v>335</v>
      </c>
      <c r="E17" s="45" t="n">
        <v>109.25</v>
      </c>
      <c r="F17" s="45" t="n">
        <v>303</v>
      </c>
      <c r="G17" s="45" t="n">
        <v>9610</v>
      </c>
      <c r="H17" s="45"/>
      <c r="I17" s="45"/>
    </row>
    <row r="18" customFormat="false" ht="15" hidden="false" customHeight="false" outlineLevel="0" collapsed="false">
      <c r="A18" s="45" t="s">
        <v>514</v>
      </c>
      <c r="B18" s="45" t="s">
        <v>515</v>
      </c>
      <c r="C18" s="45" t="s">
        <v>511</v>
      </c>
      <c r="D18" s="45" t="s">
        <v>335</v>
      </c>
      <c r="E18" s="45" t="n">
        <v>109.25</v>
      </c>
      <c r="F18" s="45" t="n">
        <v>303</v>
      </c>
      <c r="G18" s="45" t="n">
        <v>9610</v>
      </c>
      <c r="H18" s="45"/>
      <c r="I18" s="45"/>
    </row>
    <row r="19" customFormat="false" ht="15" hidden="false" customHeight="false" outlineLevel="0" collapsed="false">
      <c r="A19" s="45" t="s">
        <v>514</v>
      </c>
      <c r="B19" s="45" t="s">
        <v>519</v>
      </c>
      <c r="C19" s="45" t="s">
        <v>520</v>
      </c>
      <c r="D19" s="45" t="s">
        <v>453</v>
      </c>
      <c r="E19" s="45" t="n">
        <v>2.25</v>
      </c>
      <c r="F19" s="45" t="n">
        <v>8</v>
      </c>
      <c r="G19" s="45" t="n">
        <v>35</v>
      </c>
      <c r="H19" s="45"/>
      <c r="I19" s="45"/>
    </row>
    <row r="20" customFormat="false" ht="15" hidden="false" customHeight="false" outlineLevel="0" collapsed="false">
      <c r="A20" s="45" t="s">
        <v>514</v>
      </c>
      <c r="B20" s="45" t="s">
        <v>519</v>
      </c>
      <c r="C20" s="45" t="s">
        <v>520</v>
      </c>
      <c r="D20" s="45" t="s">
        <v>392</v>
      </c>
      <c r="E20" s="45" t="s">
        <v>521</v>
      </c>
      <c r="F20" s="45"/>
      <c r="G20" s="45"/>
      <c r="H20" s="45"/>
      <c r="I20" s="45"/>
    </row>
    <row r="21" customFormat="false" ht="15" hidden="false" customHeight="false" outlineLevel="0" collapsed="false">
      <c r="A21" s="45" t="s">
        <v>514</v>
      </c>
      <c r="B21" s="45" t="s">
        <v>522</v>
      </c>
      <c r="C21" s="45" t="s">
        <v>520</v>
      </c>
      <c r="D21" s="45" t="s">
        <v>523</v>
      </c>
      <c r="E21" s="45" t="n">
        <v>338.5</v>
      </c>
      <c r="F21" s="45" t="n">
        <v>446</v>
      </c>
      <c r="G21" s="45" t="n">
        <v>1470</v>
      </c>
      <c r="H21" s="45"/>
      <c r="I21" s="45"/>
    </row>
    <row r="22" customFormat="false" ht="15" hidden="false" customHeight="false" outlineLevel="0" collapsed="false">
      <c r="A22" s="45" t="s">
        <v>514</v>
      </c>
      <c r="B22" s="45" t="s">
        <v>522</v>
      </c>
      <c r="C22" s="45" t="s">
        <v>520</v>
      </c>
      <c r="D22" s="45" t="s">
        <v>329</v>
      </c>
      <c r="E22" s="45" t="n">
        <v>150</v>
      </c>
      <c r="F22" s="45"/>
      <c r="G22" s="45"/>
      <c r="H22" s="45"/>
      <c r="I22" s="45"/>
    </row>
    <row r="23" customFormat="false" ht="15" hidden="false" customHeight="false" outlineLevel="0" collapsed="false">
      <c r="A23" s="45" t="s">
        <v>514</v>
      </c>
      <c r="B23" s="45" t="s">
        <v>524</v>
      </c>
      <c r="C23" s="45" t="s">
        <v>520</v>
      </c>
      <c r="D23" s="45" t="s">
        <v>381</v>
      </c>
      <c r="E23" s="45" t="n">
        <v>43.75</v>
      </c>
      <c r="F23" s="45"/>
      <c r="G23" s="45"/>
      <c r="H23" s="45"/>
      <c r="I23" s="45"/>
    </row>
    <row r="24" customFormat="false" ht="15" hidden="false" customHeight="false" outlineLevel="0" collapsed="false">
      <c r="A24" s="45" t="s">
        <v>514</v>
      </c>
      <c r="B24" s="45" t="s">
        <v>524</v>
      </c>
      <c r="C24" s="45" t="s">
        <v>520</v>
      </c>
      <c r="D24" s="45" t="s">
        <v>411</v>
      </c>
      <c r="E24" s="45" t="n">
        <v>25</v>
      </c>
      <c r="F24" s="45" t="n">
        <v>108</v>
      </c>
      <c r="G24" s="45" t="n">
        <v>12555</v>
      </c>
      <c r="H24" s="45" t="n">
        <v>3710</v>
      </c>
      <c r="I24" s="45"/>
    </row>
    <row r="25" customFormat="false" ht="15" hidden="false" customHeight="false" outlineLevel="0" collapsed="false">
      <c r="A25" s="45" t="s">
        <v>514</v>
      </c>
      <c r="B25" s="45" t="s">
        <v>525</v>
      </c>
      <c r="C25" s="45" t="s">
        <v>526</v>
      </c>
      <c r="D25" s="45" t="s">
        <v>461</v>
      </c>
      <c r="E25" s="45" t="n">
        <v>57.25</v>
      </c>
      <c r="F25" s="45"/>
      <c r="G25" s="45"/>
      <c r="H25" s="45"/>
      <c r="I25" s="45"/>
    </row>
    <row r="26" customFormat="false" ht="15" hidden="false" customHeight="false" outlineLevel="0" collapsed="false">
      <c r="A26" s="45" t="s">
        <v>514</v>
      </c>
      <c r="B26" s="45" t="s">
        <v>525</v>
      </c>
      <c r="C26" s="45" t="s">
        <v>526</v>
      </c>
      <c r="D26" s="45" t="s">
        <v>432</v>
      </c>
      <c r="E26" s="45" t="n">
        <v>64</v>
      </c>
      <c r="F26" s="45"/>
      <c r="G26" s="45" t="n">
        <v>690</v>
      </c>
      <c r="H26" s="45"/>
      <c r="I26" s="45"/>
    </row>
    <row r="27" customFormat="false" ht="15" hidden="false" customHeight="false" outlineLevel="0" collapsed="false">
      <c r="A27" s="45" t="s">
        <v>514</v>
      </c>
      <c r="B27" s="45" t="s">
        <v>527</v>
      </c>
      <c r="C27" s="45" t="s">
        <v>528</v>
      </c>
      <c r="D27" s="45" t="s">
        <v>529</v>
      </c>
      <c r="E27" s="45" t="n">
        <v>55</v>
      </c>
      <c r="F27" s="45" t="n">
        <v>11</v>
      </c>
      <c r="G27" s="45" t="n">
        <v>475</v>
      </c>
      <c r="H27" s="45"/>
      <c r="I27" s="45"/>
    </row>
    <row r="28" customFormat="false" ht="15" hidden="false" customHeight="false" outlineLevel="0" collapsed="false">
      <c r="A28" s="45" t="s">
        <v>514</v>
      </c>
      <c r="B28" s="45" t="s">
        <v>527</v>
      </c>
      <c r="C28" s="45" t="s">
        <v>528</v>
      </c>
      <c r="D28" s="45" t="s">
        <v>530</v>
      </c>
      <c r="E28" s="45" t="n">
        <v>81.25</v>
      </c>
      <c r="F28" s="45"/>
      <c r="G28" s="45"/>
      <c r="H28" s="45"/>
      <c r="I28" s="45"/>
    </row>
    <row r="29" customFormat="false" ht="15" hidden="false" customHeight="false" outlineLevel="0" collapsed="false">
      <c r="A29" s="45" t="s">
        <v>514</v>
      </c>
      <c r="B29" s="45" t="s">
        <v>531</v>
      </c>
      <c r="C29" s="45" t="s">
        <v>528</v>
      </c>
      <c r="D29" s="45" t="s">
        <v>532</v>
      </c>
      <c r="E29" s="45" t="n">
        <v>63</v>
      </c>
      <c r="F29" s="45" t="n">
        <v>3</v>
      </c>
      <c r="G29" s="45" t="n">
        <v>25</v>
      </c>
      <c r="H29" s="45"/>
      <c r="I29" s="45"/>
    </row>
    <row r="30" customFormat="false" ht="15" hidden="false" customHeight="false" outlineLevel="0" collapsed="false">
      <c r="A30" s="45" t="s">
        <v>533</v>
      </c>
      <c r="B30" s="45" t="s">
        <v>504</v>
      </c>
      <c r="C30" s="45" t="s">
        <v>505</v>
      </c>
      <c r="D30" s="45" t="s">
        <v>251</v>
      </c>
      <c r="E30" s="45" t="n">
        <v>2.5</v>
      </c>
      <c r="F30" s="45" t="n">
        <v>10</v>
      </c>
      <c r="G30" s="45" t="n">
        <v>120</v>
      </c>
      <c r="H30" s="45"/>
      <c r="I30" s="45"/>
    </row>
    <row r="31" customFormat="false" ht="15" hidden="false" customHeight="false" outlineLevel="0" collapsed="false">
      <c r="A31" s="45" t="s">
        <v>533</v>
      </c>
      <c r="B31" s="45" t="s">
        <v>504</v>
      </c>
      <c r="C31" s="45" t="s">
        <v>505</v>
      </c>
      <c r="D31" s="45" t="s">
        <v>410</v>
      </c>
      <c r="E31" s="45" t="n">
        <v>2</v>
      </c>
      <c r="F31" s="45"/>
      <c r="G31" s="45"/>
      <c r="H31" s="45"/>
      <c r="I31" s="45"/>
    </row>
    <row r="32" customFormat="false" ht="15" hidden="false" customHeight="false" outlineLevel="0" collapsed="false">
      <c r="A32" s="45" t="s">
        <v>534</v>
      </c>
      <c r="B32" s="45" t="s">
        <v>535</v>
      </c>
      <c r="C32" s="45" t="s">
        <v>536</v>
      </c>
      <c r="D32" s="45" t="s">
        <v>263</v>
      </c>
      <c r="E32" s="45" t="n">
        <v>3.75</v>
      </c>
      <c r="F32" s="45"/>
      <c r="G32" s="45"/>
      <c r="H32" s="45"/>
      <c r="I32" s="45"/>
    </row>
    <row r="33" customFormat="false" ht="15" hidden="false" customHeight="false" outlineLevel="0" collapsed="false">
      <c r="A33" s="45" t="s">
        <v>534</v>
      </c>
      <c r="B33" s="45" t="s">
        <v>535</v>
      </c>
      <c r="C33" s="45" t="s">
        <v>536</v>
      </c>
      <c r="D33" s="45" t="s">
        <v>337</v>
      </c>
      <c r="E33" s="45" t="n">
        <v>5</v>
      </c>
      <c r="F33" s="45" t="n">
        <v>18</v>
      </c>
      <c r="G33" s="45" t="n">
        <v>475</v>
      </c>
      <c r="H33" s="45"/>
      <c r="I33" s="45"/>
    </row>
    <row r="34" customFormat="false" ht="15" hidden="false" customHeight="false" outlineLevel="0" collapsed="false">
      <c r="A34" s="45" t="s">
        <v>537</v>
      </c>
      <c r="B34" s="45" t="s">
        <v>510</v>
      </c>
      <c r="C34" s="45" t="s">
        <v>511</v>
      </c>
      <c r="D34" s="45" t="s">
        <v>327</v>
      </c>
      <c r="E34" s="45" t="n">
        <v>4</v>
      </c>
      <c r="F34" s="45" t="n">
        <v>50</v>
      </c>
      <c r="G34" s="45" t="n">
        <v>115</v>
      </c>
      <c r="H34" s="45"/>
      <c r="I34" s="45"/>
    </row>
    <row r="35" customFormat="false" ht="15" hidden="false" customHeight="false" outlineLevel="0" collapsed="false">
      <c r="A35" s="45" t="s">
        <v>537</v>
      </c>
      <c r="B35" s="45" t="s">
        <v>538</v>
      </c>
      <c r="C35" s="45" t="s">
        <v>505</v>
      </c>
      <c r="D35" s="45" t="s">
        <v>272</v>
      </c>
      <c r="E35" s="45" t="n">
        <v>8</v>
      </c>
      <c r="F35" s="45"/>
      <c r="G35" s="45"/>
      <c r="H35" s="45"/>
      <c r="I35" s="45"/>
    </row>
    <row r="36" customFormat="false" ht="15" hidden="false" customHeight="false" outlineLevel="0" collapsed="false">
      <c r="A36" s="45" t="s">
        <v>537</v>
      </c>
      <c r="B36" s="45" t="s">
        <v>538</v>
      </c>
      <c r="C36" s="45" t="s">
        <v>505</v>
      </c>
      <c r="D36" s="45" t="s">
        <v>252</v>
      </c>
      <c r="E36" s="45" t="n">
        <v>8</v>
      </c>
      <c r="F36" s="45" t="n">
        <v>33</v>
      </c>
      <c r="G36" s="45" t="n">
        <v>435</v>
      </c>
      <c r="H36" s="45"/>
      <c r="I36" s="45"/>
    </row>
    <row r="37" customFormat="false" ht="15" hidden="false" customHeight="false" outlineLevel="0" collapsed="false">
      <c r="A37" s="45" t="s">
        <v>539</v>
      </c>
      <c r="B37" s="45" t="s">
        <v>540</v>
      </c>
      <c r="C37" s="45" t="s">
        <v>541</v>
      </c>
      <c r="D37" s="45" t="s">
        <v>444</v>
      </c>
      <c r="E37" s="45"/>
      <c r="F37" s="45"/>
      <c r="G37" s="45" t="n">
        <v>7440</v>
      </c>
      <c r="H37" s="45"/>
      <c r="I37" s="45"/>
    </row>
    <row r="38" customFormat="false" ht="15" hidden="false" customHeight="false" outlineLevel="0" collapsed="false">
      <c r="A38" s="45" t="s">
        <v>542</v>
      </c>
      <c r="B38" s="45" t="s">
        <v>515</v>
      </c>
      <c r="C38" s="45" t="s">
        <v>511</v>
      </c>
      <c r="D38" s="45" t="s">
        <v>381</v>
      </c>
      <c r="E38" s="45" t="n">
        <v>66.75</v>
      </c>
      <c r="F38" s="45"/>
      <c r="G38" s="45"/>
      <c r="H38" s="45"/>
      <c r="I38" s="45"/>
    </row>
    <row r="39" customFormat="false" ht="15" hidden="false" customHeight="false" outlineLevel="0" collapsed="false">
      <c r="A39" s="45" t="s">
        <v>542</v>
      </c>
      <c r="B39" s="45" t="s">
        <v>515</v>
      </c>
      <c r="C39" s="45" t="s">
        <v>511</v>
      </c>
      <c r="D39" s="45" t="s">
        <v>279</v>
      </c>
      <c r="E39" s="45" t="n">
        <v>100.5</v>
      </c>
      <c r="F39" s="45"/>
      <c r="G39" s="45"/>
      <c r="H39" s="45"/>
      <c r="I39" s="45"/>
    </row>
    <row r="40" customFormat="false" ht="15" hidden="false" customHeight="false" outlineLevel="0" collapsed="false">
      <c r="A40" s="45" t="s">
        <v>542</v>
      </c>
      <c r="B40" s="45" t="s">
        <v>515</v>
      </c>
      <c r="C40" s="45" t="s">
        <v>511</v>
      </c>
      <c r="D40" s="45" t="s">
        <v>325</v>
      </c>
      <c r="E40" s="45" t="n">
        <v>104.25</v>
      </c>
      <c r="F40" s="45" t="n">
        <v>345</v>
      </c>
      <c r="G40" s="45" t="n">
        <v>6920</v>
      </c>
      <c r="H40" s="45"/>
      <c r="I40" s="45"/>
    </row>
    <row r="41" customFormat="false" ht="15" hidden="false" customHeight="false" outlineLevel="0" collapsed="false">
      <c r="A41" s="45" t="s">
        <v>542</v>
      </c>
      <c r="B41" s="45" t="s">
        <v>522</v>
      </c>
      <c r="C41" s="45" t="s">
        <v>520</v>
      </c>
      <c r="D41" s="45" t="s">
        <v>395</v>
      </c>
      <c r="E41" s="45" t="n">
        <v>376.5</v>
      </c>
      <c r="F41" s="45" t="n">
        <v>387</v>
      </c>
      <c r="G41" s="45" t="n">
        <v>1425</v>
      </c>
      <c r="H41" s="45"/>
      <c r="I41" s="45"/>
    </row>
    <row r="42" customFormat="false" ht="15" hidden="false" customHeight="false" outlineLevel="0" collapsed="false">
      <c r="A42" s="45" t="s">
        <v>542</v>
      </c>
      <c r="B42" s="45" t="s">
        <v>522</v>
      </c>
      <c r="C42" s="45" t="s">
        <v>520</v>
      </c>
      <c r="D42" s="45" t="s">
        <v>329</v>
      </c>
      <c r="E42" s="45" t="n">
        <v>170</v>
      </c>
      <c r="F42" s="45"/>
      <c r="G42" s="45"/>
      <c r="H42" s="45"/>
      <c r="I42" s="45"/>
    </row>
    <row r="43" customFormat="false" ht="15" hidden="false" customHeight="false" outlineLevel="0" collapsed="false">
      <c r="A43" s="45" t="s">
        <v>542</v>
      </c>
      <c r="B43" s="45" t="s">
        <v>524</v>
      </c>
      <c r="C43" s="45" t="s">
        <v>520</v>
      </c>
      <c r="D43" s="45" t="s">
        <v>381</v>
      </c>
      <c r="E43" s="45" t="n">
        <v>40.25</v>
      </c>
      <c r="F43" s="45"/>
      <c r="G43" s="45"/>
      <c r="H43" s="45"/>
      <c r="I43" s="45"/>
    </row>
    <row r="44" customFormat="false" ht="15" hidden="false" customHeight="false" outlineLevel="0" collapsed="false">
      <c r="A44" s="45" t="s">
        <v>542</v>
      </c>
      <c r="B44" s="45" t="s">
        <v>524</v>
      </c>
      <c r="C44" s="45" t="s">
        <v>520</v>
      </c>
      <c r="D44" s="45" t="s">
        <v>507</v>
      </c>
      <c r="E44" s="45" t="s">
        <v>543</v>
      </c>
      <c r="F44" s="45" t="n">
        <v>156</v>
      </c>
      <c r="G44" s="45" t="n">
        <v>11955</v>
      </c>
      <c r="H44" s="45" t="n">
        <v>4030</v>
      </c>
      <c r="I44" s="45"/>
    </row>
    <row r="45" customFormat="false" ht="15" hidden="false" customHeight="false" outlineLevel="0" collapsed="false">
      <c r="A45" s="45" t="s">
        <v>542</v>
      </c>
      <c r="B45" s="45" t="s">
        <v>525</v>
      </c>
      <c r="C45" s="45" t="s">
        <v>526</v>
      </c>
      <c r="D45" s="45" t="s">
        <v>461</v>
      </c>
      <c r="E45" s="45" t="s">
        <v>544</v>
      </c>
      <c r="F45" s="45"/>
      <c r="G45" s="45"/>
      <c r="H45" s="45"/>
      <c r="I45" s="45"/>
    </row>
    <row r="46" customFormat="false" ht="15" hidden="false" customHeight="false" outlineLevel="0" collapsed="false">
      <c r="A46" s="45" t="s">
        <v>542</v>
      </c>
      <c r="B46" s="45" t="s">
        <v>525</v>
      </c>
      <c r="C46" s="45" t="s">
        <v>526</v>
      </c>
      <c r="D46" s="45" t="s">
        <v>313</v>
      </c>
      <c r="E46" s="45" t="n">
        <v>54.5</v>
      </c>
      <c r="F46" s="45"/>
      <c r="G46" s="45" t="n">
        <v>885</v>
      </c>
      <c r="H46" s="45"/>
      <c r="I46" s="45"/>
    </row>
    <row r="47" customFormat="false" ht="15" hidden="false" customHeight="false" outlineLevel="0" collapsed="false">
      <c r="A47" s="45" t="s">
        <v>542</v>
      </c>
      <c r="B47" s="45" t="s">
        <v>527</v>
      </c>
      <c r="C47" s="45" t="s">
        <v>528</v>
      </c>
      <c r="D47" s="45" t="s">
        <v>364</v>
      </c>
      <c r="E47" s="45" t="n">
        <v>147.75</v>
      </c>
      <c r="F47" s="45" t="n">
        <v>27</v>
      </c>
      <c r="G47" s="45" t="n">
        <v>315</v>
      </c>
      <c r="H47" s="45"/>
      <c r="I47" s="45"/>
    </row>
    <row r="48" customFormat="false" ht="15" hidden="false" customHeight="false" outlineLevel="0" collapsed="false">
      <c r="A48" s="45" t="s">
        <v>542</v>
      </c>
      <c r="B48" s="45" t="s">
        <v>527</v>
      </c>
      <c r="C48" s="45" t="s">
        <v>528</v>
      </c>
      <c r="D48" s="45" t="s">
        <v>545</v>
      </c>
      <c r="E48" s="45" t="n">
        <v>195.75</v>
      </c>
      <c r="F48" s="45"/>
      <c r="G48" s="45"/>
      <c r="H48" s="45"/>
      <c r="I48" s="45"/>
    </row>
    <row r="49" customFormat="false" ht="15" hidden="false" customHeight="false" outlineLevel="0" collapsed="false">
      <c r="A49" s="45" t="s">
        <v>542</v>
      </c>
      <c r="B49" s="45" t="s">
        <v>531</v>
      </c>
      <c r="C49" s="45" t="s">
        <v>528</v>
      </c>
      <c r="D49" s="45" t="s">
        <v>356</v>
      </c>
      <c r="E49" s="45" t="n">
        <v>56</v>
      </c>
      <c r="F49" s="45" t="n">
        <v>6</v>
      </c>
      <c r="G49" s="45" t="n">
        <v>10</v>
      </c>
      <c r="H49" s="45"/>
      <c r="I49" s="45"/>
    </row>
    <row r="50" customFormat="false" ht="15" hidden="false" customHeight="false" outlineLevel="0" collapsed="false">
      <c r="A50" s="45" t="s">
        <v>546</v>
      </c>
      <c r="B50" s="45" t="s">
        <v>547</v>
      </c>
      <c r="C50" s="45" t="s">
        <v>548</v>
      </c>
      <c r="D50" s="45" t="s">
        <v>316</v>
      </c>
      <c r="E50" s="45" t="n">
        <v>5</v>
      </c>
      <c r="F50" s="45"/>
      <c r="G50" s="45" t="n">
        <v>74640</v>
      </c>
      <c r="H50" s="45"/>
      <c r="I50" s="45"/>
    </row>
    <row r="51" customFormat="false" ht="15" hidden="false" customHeight="false" outlineLevel="0" collapsed="false">
      <c r="A51" s="45" t="s">
        <v>546</v>
      </c>
      <c r="B51" s="45" t="s">
        <v>547</v>
      </c>
      <c r="C51" s="45" t="s">
        <v>548</v>
      </c>
      <c r="D51" s="45" t="s">
        <v>337</v>
      </c>
      <c r="E51" s="45" t="n">
        <v>9.25</v>
      </c>
      <c r="F51" s="45"/>
      <c r="G51" s="45"/>
      <c r="H51" s="45"/>
      <c r="I51" s="45"/>
    </row>
    <row r="52" customFormat="false" ht="15" hidden="false" customHeight="false" outlineLevel="0" collapsed="false">
      <c r="A52" s="45" t="s">
        <v>549</v>
      </c>
      <c r="B52" s="45" t="s">
        <v>519</v>
      </c>
      <c r="C52" s="45" t="s">
        <v>520</v>
      </c>
      <c r="D52" s="45" t="s">
        <v>550</v>
      </c>
      <c r="E52" s="45" t="n">
        <v>2.25</v>
      </c>
      <c r="F52" s="45" t="n">
        <v>9</v>
      </c>
      <c r="G52" s="45" t="n">
        <v>45</v>
      </c>
      <c r="H52" s="45"/>
      <c r="I52" s="45"/>
    </row>
    <row r="53" customFormat="false" ht="15" hidden="false" customHeight="false" outlineLevel="0" collapsed="false">
      <c r="A53" s="45" t="s">
        <v>549</v>
      </c>
      <c r="B53" s="45" t="s">
        <v>519</v>
      </c>
      <c r="C53" s="45" t="s">
        <v>520</v>
      </c>
      <c r="D53" s="45" t="s">
        <v>252</v>
      </c>
      <c r="E53" s="45" t="n">
        <v>1.5</v>
      </c>
      <c r="F53" s="45"/>
      <c r="G53" s="45"/>
      <c r="H53" s="45"/>
      <c r="I53" s="45"/>
    </row>
    <row r="54" customFormat="false" ht="15" hidden="false" customHeight="false" outlineLevel="0" collapsed="false">
      <c r="A54" s="45" t="s">
        <v>549</v>
      </c>
      <c r="B54" s="45" t="s">
        <v>551</v>
      </c>
      <c r="C54" s="45" t="s">
        <v>552</v>
      </c>
      <c r="D54" s="45" t="s">
        <v>313</v>
      </c>
      <c r="E54" s="45" t="n">
        <v>2</v>
      </c>
      <c r="F54" s="45"/>
      <c r="G54" s="45"/>
      <c r="H54" s="45"/>
      <c r="I54" s="45"/>
    </row>
    <row r="55" customFormat="false" ht="15" hidden="false" customHeight="false" outlineLevel="0" collapsed="false">
      <c r="A55" s="45" t="s">
        <v>549</v>
      </c>
      <c r="B55" s="45" t="s">
        <v>551</v>
      </c>
      <c r="C55" s="45" t="s">
        <v>552</v>
      </c>
      <c r="D55" s="45" t="s">
        <v>454</v>
      </c>
      <c r="E55" s="45" t="n">
        <v>2.5</v>
      </c>
      <c r="F55" s="45"/>
      <c r="G55" s="45" t="n">
        <v>5</v>
      </c>
      <c r="H55" s="45"/>
      <c r="I55" s="45"/>
    </row>
    <row r="56" customFormat="false" ht="15" hidden="false" customHeight="false" outlineLevel="0" collapsed="false">
      <c r="A56" s="45" t="s">
        <v>553</v>
      </c>
      <c r="B56" s="45" t="s">
        <v>519</v>
      </c>
      <c r="C56" s="45" t="s">
        <v>520</v>
      </c>
      <c r="D56" s="45" t="s">
        <v>346</v>
      </c>
      <c r="E56" s="45" t="n">
        <v>2.25</v>
      </c>
      <c r="F56" s="45" t="n">
        <v>15</v>
      </c>
      <c r="G56" s="45" t="n">
        <v>60</v>
      </c>
      <c r="H56" s="45"/>
      <c r="I56" s="45"/>
    </row>
    <row r="57" customFormat="false" ht="15" hidden="false" customHeight="false" outlineLevel="0" collapsed="false">
      <c r="A57" s="45" t="s">
        <v>553</v>
      </c>
      <c r="B57" s="45" t="s">
        <v>519</v>
      </c>
      <c r="C57" s="45" t="s">
        <v>520</v>
      </c>
      <c r="D57" s="45" t="s">
        <v>349</v>
      </c>
      <c r="E57" s="45" t="s">
        <v>521</v>
      </c>
      <c r="F57" s="45"/>
      <c r="G57" s="45"/>
      <c r="H57" s="45"/>
      <c r="I57" s="45"/>
    </row>
    <row r="58" customFormat="false" ht="15" hidden="false" customHeight="false" outlineLevel="0" collapsed="false">
      <c r="A58" s="45" t="s">
        <v>554</v>
      </c>
      <c r="B58" s="45" t="s">
        <v>519</v>
      </c>
      <c r="C58" s="45" t="s">
        <v>520</v>
      </c>
      <c r="D58" s="45" t="s">
        <v>348</v>
      </c>
      <c r="E58" s="45" t="n">
        <v>2.5</v>
      </c>
      <c r="F58" s="45" t="n">
        <v>15</v>
      </c>
      <c r="G58" s="45" t="n">
        <v>45</v>
      </c>
      <c r="H58" s="45"/>
      <c r="I58" s="45"/>
    </row>
    <row r="59" customFormat="false" ht="15" hidden="false" customHeight="false" outlineLevel="0" collapsed="false">
      <c r="A59" s="45" t="s">
        <v>554</v>
      </c>
      <c r="B59" s="45" t="s">
        <v>519</v>
      </c>
      <c r="C59" s="45" t="s">
        <v>520</v>
      </c>
      <c r="D59" s="45" t="s">
        <v>252</v>
      </c>
      <c r="E59" s="45" t="n">
        <v>1.75</v>
      </c>
      <c r="F59" s="45"/>
      <c r="G59" s="45"/>
      <c r="H59" s="45"/>
      <c r="I59" s="45"/>
    </row>
    <row r="60" customFormat="false" ht="15" hidden="false" customHeight="false" outlineLevel="0" collapsed="false">
      <c r="A60" s="45" t="s">
        <v>555</v>
      </c>
      <c r="B60" s="45" t="s">
        <v>513</v>
      </c>
      <c r="C60" s="45" t="s">
        <v>505</v>
      </c>
      <c r="D60" s="45" t="s">
        <v>474</v>
      </c>
      <c r="E60" s="45" t="n">
        <v>2</v>
      </c>
      <c r="F60" s="45" t="n">
        <v>17</v>
      </c>
      <c r="G60" s="45" t="n">
        <v>45</v>
      </c>
      <c r="H60" s="45"/>
      <c r="I60" s="45"/>
    </row>
    <row r="61" customFormat="false" ht="15" hidden="false" customHeight="false" outlineLevel="0" collapsed="false">
      <c r="A61" s="45" t="s">
        <v>556</v>
      </c>
      <c r="B61" s="45" t="s">
        <v>551</v>
      </c>
      <c r="C61" s="45" t="s">
        <v>552</v>
      </c>
      <c r="D61" s="45" t="s">
        <v>557</v>
      </c>
      <c r="E61" s="45" t="s">
        <v>558</v>
      </c>
      <c r="F61" s="45"/>
      <c r="G61" s="45"/>
      <c r="H61" s="45"/>
      <c r="I61" s="45"/>
    </row>
    <row r="62" customFormat="false" ht="15" hidden="false" customHeight="false" outlineLevel="0" collapsed="false">
      <c r="A62" s="45" t="s">
        <v>556</v>
      </c>
      <c r="B62" s="45" t="s">
        <v>551</v>
      </c>
      <c r="C62" s="45" t="s">
        <v>552</v>
      </c>
      <c r="D62" s="45" t="s">
        <v>316</v>
      </c>
      <c r="E62" s="45" t="n">
        <v>2.5</v>
      </c>
      <c r="F62" s="45"/>
      <c r="G62" s="45" t="n">
        <v>95</v>
      </c>
      <c r="H62" s="45"/>
      <c r="I62" s="45"/>
    </row>
    <row r="63" customFormat="false" ht="15" hidden="false" customHeight="false" outlineLevel="0" collapsed="false">
      <c r="A63" s="45" t="s">
        <v>559</v>
      </c>
      <c r="B63" s="45" t="s">
        <v>515</v>
      </c>
      <c r="C63" s="45" t="s">
        <v>511</v>
      </c>
      <c r="D63" s="45" t="s">
        <v>328</v>
      </c>
      <c r="E63" s="45" t="n">
        <v>90.5</v>
      </c>
      <c r="F63" s="45"/>
      <c r="G63" s="45"/>
      <c r="H63" s="45"/>
      <c r="I63" s="45"/>
    </row>
    <row r="64" customFormat="false" ht="15" hidden="false" customHeight="false" outlineLevel="0" collapsed="false">
      <c r="A64" s="45" t="s">
        <v>559</v>
      </c>
      <c r="B64" s="45" t="s">
        <v>515</v>
      </c>
      <c r="C64" s="45" t="s">
        <v>511</v>
      </c>
      <c r="D64" s="45" t="s">
        <v>396</v>
      </c>
      <c r="E64" s="45" t="n">
        <v>116.5</v>
      </c>
      <c r="F64" s="45"/>
      <c r="G64" s="45"/>
      <c r="H64" s="45"/>
      <c r="I64" s="45"/>
    </row>
    <row r="65" customFormat="false" ht="15" hidden="false" customHeight="false" outlineLevel="0" collapsed="false">
      <c r="A65" s="45" t="s">
        <v>559</v>
      </c>
      <c r="B65" s="45" t="s">
        <v>515</v>
      </c>
      <c r="C65" s="45" t="s">
        <v>511</v>
      </c>
      <c r="D65" s="45" t="s">
        <v>327</v>
      </c>
      <c r="E65" s="45" t="n">
        <v>100</v>
      </c>
      <c r="F65" s="45" t="n">
        <v>321</v>
      </c>
      <c r="G65" s="45" t="n">
        <v>10760</v>
      </c>
      <c r="H65" s="45"/>
      <c r="I65" s="45"/>
    </row>
    <row r="66" customFormat="false" ht="15" hidden="false" customHeight="false" outlineLevel="0" collapsed="false">
      <c r="A66" s="45" t="s">
        <v>559</v>
      </c>
      <c r="B66" s="45" t="s">
        <v>522</v>
      </c>
      <c r="C66" s="45" t="s">
        <v>520</v>
      </c>
      <c r="D66" s="45" t="s">
        <v>328</v>
      </c>
      <c r="E66" s="45" t="n">
        <v>396.5</v>
      </c>
      <c r="F66" s="45" t="n">
        <v>358</v>
      </c>
      <c r="G66" s="45" t="n">
        <v>1925</v>
      </c>
      <c r="H66" s="45" t="n">
        <v>7500</v>
      </c>
      <c r="I66" s="45"/>
    </row>
    <row r="67" customFormat="false" ht="15" hidden="false" customHeight="false" outlineLevel="0" collapsed="false">
      <c r="A67" s="45" t="s">
        <v>559</v>
      </c>
      <c r="B67" s="45" t="s">
        <v>522</v>
      </c>
      <c r="C67" s="45" t="s">
        <v>520</v>
      </c>
      <c r="D67" s="45" t="s">
        <v>560</v>
      </c>
      <c r="E67" s="45" t="n">
        <v>136</v>
      </c>
      <c r="F67" s="45"/>
      <c r="G67" s="45"/>
      <c r="H67" s="45"/>
      <c r="I67" s="45"/>
    </row>
    <row r="68" customFormat="false" ht="15" hidden="false" customHeight="false" outlineLevel="0" collapsed="false">
      <c r="A68" s="45" t="s">
        <v>559</v>
      </c>
      <c r="B68" s="45" t="s">
        <v>524</v>
      </c>
      <c r="C68" s="45" t="s">
        <v>520</v>
      </c>
      <c r="D68" s="45" t="s">
        <v>286</v>
      </c>
      <c r="E68" s="45" t="n">
        <v>59.5</v>
      </c>
      <c r="F68" s="45"/>
      <c r="G68" s="45"/>
      <c r="H68" s="45"/>
      <c r="I68" s="45"/>
    </row>
    <row r="69" customFormat="false" ht="15" hidden="false" customHeight="false" outlineLevel="0" collapsed="false">
      <c r="A69" s="45" t="s">
        <v>559</v>
      </c>
      <c r="B69" s="45" t="s">
        <v>524</v>
      </c>
      <c r="C69" s="45" t="s">
        <v>520</v>
      </c>
      <c r="D69" s="45" t="s">
        <v>268</v>
      </c>
      <c r="E69" s="45" t="n">
        <v>26.75</v>
      </c>
      <c r="F69" s="45" t="n">
        <v>136</v>
      </c>
      <c r="G69" s="45" t="n">
        <v>12215</v>
      </c>
      <c r="H69" s="45" t="n">
        <v>3410</v>
      </c>
      <c r="I69" s="45"/>
    </row>
    <row r="70" customFormat="false" ht="15" hidden="false" customHeight="false" outlineLevel="0" collapsed="false">
      <c r="A70" s="45" t="s">
        <v>559</v>
      </c>
      <c r="B70" s="45" t="s">
        <v>525</v>
      </c>
      <c r="C70" s="45" t="s">
        <v>526</v>
      </c>
      <c r="D70" s="45" t="s">
        <v>401</v>
      </c>
      <c r="E70" s="45" t="n">
        <v>44</v>
      </c>
      <c r="F70" s="45"/>
      <c r="G70" s="45"/>
      <c r="H70" s="45"/>
      <c r="I70" s="45"/>
    </row>
    <row r="71" customFormat="false" ht="15" hidden="false" customHeight="false" outlineLevel="0" collapsed="false">
      <c r="A71" s="45" t="s">
        <v>559</v>
      </c>
      <c r="B71" s="45" t="s">
        <v>525</v>
      </c>
      <c r="C71" s="45" t="s">
        <v>526</v>
      </c>
      <c r="D71" s="45" t="s">
        <v>419</v>
      </c>
      <c r="E71" s="45" t="n">
        <v>68</v>
      </c>
      <c r="F71" s="45"/>
      <c r="G71" s="45" t="n">
        <v>690</v>
      </c>
      <c r="H71" s="45"/>
      <c r="I71" s="45"/>
    </row>
    <row r="72" customFormat="false" ht="15" hidden="false" customHeight="false" outlineLevel="0" collapsed="false">
      <c r="A72" s="45" t="s">
        <v>559</v>
      </c>
      <c r="B72" s="45" t="s">
        <v>527</v>
      </c>
      <c r="C72" s="45" t="s">
        <v>528</v>
      </c>
      <c r="D72" s="45" t="s">
        <v>413</v>
      </c>
      <c r="E72" s="45" t="n">
        <v>120</v>
      </c>
      <c r="F72" s="45" t="n">
        <v>30</v>
      </c>
      <c r="G72" s="45" t="n">
        <v>400</v>
      </c>
      <c r="H72" s="45"/>
      <c r="I72" s="45"/>
    </row>
    <row r="73" customFormat="false" ht="15" hidden="false" customHeight="false" outlineLevel="0" collapsed="false">
      <c r="A73" s="45" t="s">
        <v>559</v>
      </c>
      <c r="B73" s="45" t="s">
        <v>527</v>
      </c>
      <c r="C73" s="45" t="s">
        <v>528</v>
      </c>
      <c r="D73" s="45" t="s">
        <v>327</v>
      </c>
      <c r="E73" s="45" t="n">
        <v>245.5</v>
      </c>
      <c r="F73" s="45"/>
      <c r="G73" s="45"/>
      <c r="H73" s="45"/>
      <c r="I73" s="45"/>
    </row>
    <row r="74" customFormat="false" ht="15" hidden="false" customHeight="false" outlineLevel="0" collapsed="false">
      <c r="A74" s="45" t="s">
        <v>559</v>
      </c>
      <c r="B74" s="45" t="s">
        <v>531</v>
      </c>
      <c r="C74" s="45" t="s">
        <v>528</v>
      </c>
      <c r="D74" s="45" t="s">
        <v>561</v>
      </c>
      <c r="E74" s="45" t="n">
        <v>64</v>
      </c>
      <c r="F74" s="45" t="n">
        <v>6</v>
      </c>
      <c r="G74" s="45" t="n">
        <v>45</v>
      </c>
      <c r="H74" s="45"/>
      <c r="I74" s="45"/>
    </row>
    <row r="75" customFormat="false" ht="15" hidden="false" customHeight="false" outlineLevel="0" collapsed="false">
      <c r="A75" s="45" t="s">
        <v>562</v>
      </c>
      <c r="B75" s="45" t="s">
        <v>510</v>
      </c>
      <c r="C75" s="45" t="s">
        <v>511</v>
      </c>
      <c r="D75" s="45" t="s">
        <v>327</v>
      </c>
      <c r="E75" s="45" t="n">
        <v>4.25</v>
      </c>
      <c r="F75" s="45" t="n">
        <v>29</v>
      </c>
      <c r="G75" s="45" t="n">
        <v>70</v>
      </c>
      <c r="H75" s="45"/>
      <c r="I75" s="45"/>
    </row>
    <row r="76" customFormat="false" ht="15" hidden="false" customHeight="false" outlineLevel="0" collapsed="false">
      <c r="A76" s="45" t="s">
        <v>563</v>
      </c>
      <c r="B76" s="45" t="s">
        <v>538</v>
      </c>
      <c r="C76" s="45" t="s">
        <v>505</v>
      </c>
      <c r="D76" s="45" t="s">
        <v>251</v>
      </c>
      <c r="E76" s="45" t="n">
        <v>8</v>
      </c>
      <c r="F76" s="45"/>
      <c r="G76" s="45"/>
      <c r="H76" s="45"/>
      <c r="I76" s="45"/>
    </row>
    <row r="77" customFormat="false" ht="15" hidden="false" customHeight="false" outlineLevel="0" collapsed="false">
      <c r="A77" s="45" t="s">
        <v>563</v>
      </c>
      <c r="B77" s="45" t="s">
        <v>538</v>
      </c>
      <c r="C77" s="45" t="s">
        <v>505</v>
      </c>
      <c r="D77" s="45" t="s">
        <v>349</v>
      </c>
      <c r="E77" s="45" t="n">
        <v>8</v>
      </c>
      <c r="F77" s="45" t="n">
        <v>21</v>
      </c>
      <c r="G77" s="45" t="n">
        <v>340</v>
      </c>
      <c r="H77" s="45"/>
      <c r="I77" s="45"/>
    </row>
    <row r="78" customFormat="false" ht="15" hidden="false" customHeight="false" outlineLevel="0" collapsed="false">
      <c r="A78" s="45" t="s">
        <v>564</v>
      </c>
      <c r="B78" s="45" t="s">
        <v>513</v>
      </c>
      <c r="C78" s="45" t="s">
        <v>505</v>
      </c>
      <c r="D78" s="45" t="s">
        <v>467</v>
      </c>
      <c r="E78" s="45" t="n">
        <v>2</v>
      </c>
      <c r="F78" s="45" t="n">
        <v>15</v>
      </c>
      <c r="G78" s="45" t="n">
        <v>45</v>
      </c>
      <c r="H78" s="45"/>
      <c r="I78" s="45"/>
    </row>
    <row r="79" customFormat="false" ht="15" hidden="false" customHeight="false" outlineLevel="0" collapsed="false">
      <c r="A79" s="45" t="s">
        <v>565</v>
      </c>
      <c r="B79" s="45" t="s">
        <v>535</v>
      </c>
      <c r="C79" s="45" t="s">
        <v>536</v>
      </c>
      <c r="D79" s="45" t="s">
        <v>251</v>
      </c>
      <c r="E79" s="45" t="n">
        <v>3.75</v>
      </c>
      <c r="F79" s="45"/>
      <c r="G79" s="45"/>
      <c r="H79" s="45"/>
      <c r="I79" s="45"/>
    </row>
    <row r="80" customFormat="false" ht="15" hidden="false" customHeight="false" outlineLevel="0" collapsed="false">
      <c r="A80" s="45" t="s">
        <v>565</v>
      </c>
      <c r="B80" s="45" t="s">
        <v>535</v>
      </c>
      <c r="C80" s="45" t="s">
        <v>536</v>
      </c>
      <c r="D80" s="45" t="s">
        <v>256</v>
      </c>
      <c r="E80" s="45" t="n">
        <v>5</v>
      </c>
      <c r="F80" s="45" t="n">
        <v>19</v>
      </c>
      <c r="G80" s="45" t="n">
        <v>705</v>
      </c>
      <c r="H80" s="45"/>
      <c r="I80" s="45"/>
    </row>
    <row r="81" customFormat="false" ht="15" hidden="false" customHeight="false" outlineLevel="0" collapsed="false">
      <c r="A81" s="45" t="s">
        <v>566</v>
      </c>
      <c r="B81" s="45" t="s">
        <v>519</v>
      </c>
      <c r="C81" s="45" t="s">
        <v>520</v>
      </c>
      <c r="D81" s="45" t="s">
        <v>453</v>
      </c>
      <c r="E81" s="45" t="n">
        <v>2.5</v>
      </c>
      <c r="F81" s="45" t="n">
        <v>8</v>
      </c>
      <c r="G81" s="45" t="n">
        <v>25</v>
      </c>
      <c r="H81" s="45"/>
      <c r="I81" s="45"/>
    </row>
    <row r="82" customFormat="false" ht="15" hidden="false" customHeight="false" outlineLevel="0" collapsed="false">
      <c r="A82" s="45" t="s">
        <v>566</v>
      </c>
      <c r="B82" s="45" t="s">
        <v>519</v>
      </c>
      <c r="C82" s="45" t="s">
        <v>520</v>
      </c>
      <c r="D82" s="45" t="s">
        <v>252</v>
      </c>
      <c r="E82" s="45" t="n">
        <v>1.5</v>
      </c>
      <c r="F82" s="45"/>
      <c r="G82" s="45"/>
      <c r="H82" s="45"/>
      <c r="I82" s="45"/>
    </row>
    <row r="83" customFormat="false" ht="15" hidden="false" customHeight="false" outlineLevel="0" collapsed="false">
      <c r="A83" s="45" t="s">
        <v>567</v>
      </c>
      <c r="B83" s="45" t="s">
        <v>515</v>
      </c>
      <c r="C83" s="45" t="s">
        <v>511</v>
      </c>
      <c r="D83" s="45" t="s">
        <v>328</v>
      </c>
      <c r="E83" s="45" t="n">
        <v>60.25</v>
      </c>
      <c r="F83" s="45"/>
      <c r="G83" s="45"/>
      <c r="H83" s="45"/>
      <c r="I83" s="45"/>
    </row>
    <row r="84" customFormat="false" ht="15" hidden="false" customHeight="false" outlineLevel="0" collapsed="false">
      <c r="A84" s="45" t="s">
        <v>567</v>
      </c>
      <c r="B84" s="45" t="s">
        <v>515</v>
      </c>
      <c r="C84" s="45" t="s">
        <v>511</v>
      </c>
      <c r="D84" s="45" t="s">
        <v>489</v>
      </c>
      <c r="E84" s="45" t="n">
        <v>106</v>
      </c>
      <c r="F84" s="45"/>
      <c r="G84" s="45"/>
      <c r="H84" s="45"/>
      <c r="I84" s="45"/>
    </row>
    <row r="85" customFormat="false" ht="15" hidden="false" customHeight="false" outlineLevel="0" collapsed="false">
      <c r="A85" s="45" t="s">
        <v>567</v>
      </c>
      <c r="B85" s="45" t="s">
        <v>515</v>
      </c>
      <c r="C85" s="45" t="s">
        <v>511</v>
      </c>
      <c r="D85" s="45" t="s">
        <v>568</v>
      </c>
      <c r="E85" s="45" t="n">
        <v>83</v>
      </c>
      <c r="F85" s="45" t="n">
        <v>292</v>
      </c>
      <c r="G85" s="45" t="n">
        <v>9745</v>
      </c>
      <c r="H85" s="45"/>
      <c r="I85" s="45"/>
    </row>
    <row r="86" customFormat="false" ht="15" hidden="false" customHeight="false" outlineLevel="0" collapsed="false">
      <c r="A86" s="45" t="s">
        <v>567</v>
      </c>
      <c r="B86" s="45" t="s">
        <v>522</v>
      </c>
      <c r="C86" s="45" t="s">
        <v>520</v>
      </c>
      <c r="D86" s="45" t="s">
        <v>381</v>
      </c>
      <c r="E86" s="45" t="n">
        <v>339.75</v>
      </c>
      <c r="F86" s="45" t="n">
        <v>365</v>
      </c>
      <c r="G86" s="45" t="n">
        <v>1490</v>
      </c>
      <c r="H86" s="45"/>
      <c r="I86" s="45"/>
    </row>
    <row r="87" customFormat="false" ht="15" hidden="false" customHeight="false" outlineLevel="0" collapsed="false">
      <c r="A87" s="45" t="s">
        <v>567</v>
      </c>
      <c r="B87" s="45" t="s">
        <v>522</v>
      </c>
      <c r="C87" s="45" t="s">
        <v>520</v>
      </c>
      <c r="D87" s="45" t="s">
        <v>289</v>
      </c>
      <c r="E87" s="45" t="n">
        <v>180.25</v>
      </c>
      <c r="F87" s="45"/>
      <c r="G87" s="45"/>
      <c r="H87" s="45"/>
      <c r="I87" s="45"/>
    </row>
    <row r="88" customFormat="false" ht="15" hidden="false" customHeight="false" outlineLevel="0" collapsed="false">
      <c r="A88" s="45" t="s">
        <v>567</v>
      </c>
      <c r="B88" s="45" t="s">
        <v>524</v>
      </c>
      <c r="C88" s="45" t="s">
        <v>520</v>
      </c>
      <c r="D88" s="45" t="s">
        <v>278</v>
      </c>
      <c r="E88" s="45" t="n">
        <v>66.5</v>
      </c>
      <c r="F88" s="45"/>
      <c r="G88" s="45"/>
      <c r="H88" s="45"/>
      <c r="I88" s="45"/>
    </row>
    <row r="89" customFormat="false" ht="15" hidden="false" customHeight="false" outlineLevel="0" collapsed="false">
      <c r="A89" s="45" t="s">
        <v>567</v>
      </c>
      <c r="B89" s="45" t="s">
        <v>524</v>
      </c>
      <c r="C89" s="45" t="s">
        <v>520</v>
      </c>
      <c r="D89" s="45" t="s">
        <v>569</v>
      </c>
      <c r="E89" s="45" t="n">
        <v>32.25</v>
      </c>
      <c r="F89" s="45" t="n">
        <v>122</v>
      </c>
      <c r="G89" s="45" t="n">
        <v>14080</v>
      </c>
      <c r="H89" s="45" t="n">
        <v>3685</v>
      </c>
      <c r="I89" s="45"/>
    </row>
    <row r="90" customFormat="false" ht="15" hidden="false" customHeight="false" outlineLevel="0" collapsed="false">
      <c r="A90" s="45" t="s">
        <v>567</v>
      </c>
      <c r="B90" s="45" t="s">
        <v>525</v>
      </c>
      <c r="C90" s="45" t="s">
        <v>526</v>
      </c>
      <c r="D90" s="45" t="s">
        <v>570</v>
      </c>
      <c r="E90" s="45" t="n">
        <v>51.5</v>
      </c>
      <c r="F90" s="45"/>
      <c r="G90" s="45"/>
      <c r="H90" s="45"/>
      <c r="I90" s="45"/>
    </row>
    <row r="91" customFormat="false" ht="15" hidden="false" customHeight="false" outlineLevel="0" collapsed="false">
      <c r="A91" s="45" t="s">
        <v>567</v>
      </c>
      <c r="B91" s="45" t="s">
        <v>525</v>
      </c>
      <c r="C91" s="45" t="s">
        <v>526</v>
      </c>
      <c r="D91" s="45" t="s">
        <v>432</v>
      </c>
      <c r="E91" s="45"/>
      <c r="F91" s="45"/>
      <c r="G91" s="45" t="n">
        <v>215</v>
      </c>
      <c r="H91" s="45"/>
      <c r="I91" s="45"/>
    </row>
    <row r="92" customFormat="false" ht="15" hidden="false" customHeight="false" outlineLevel="0" collapsed="false">
      <c r="A92" s="45" t="s">
        <v>567</v>
      </c>
      <c r="B92" s="45" t="s">
        <v>527</v>
      </c>
      <c r="C92" s="45" t="s">
        <v>528</v>
      </c>
      <c r="D92" s="45" t="s">
        <v>364</v>
      </c>
      <c r="E92" s="45" t="n">
        <v>111.25</v>
      </c>
      <c r="F92" s="45" t="n">
        <v>29</v>
      </c>
      <c r="G92" s="45" t="n">
        <v>715</v>
      </c>
      <c r="H92" s="45"/>
      <c r="I92" s="45"/>
    </row>
    <row r="93" customFormat="false" ht="15" hidden="false" customHeight="false" outlineLevel="0" collapsed="false">
      <c r="A93" s="45" t="s">
        <v>567</v>
      </c>
      <c r="B93" s="45" t="s">
        <v>527</v>
      </c>
      <c r="C93" s="45" t="s">
        <v>528</v>
      </c>
      <c r="D93" s="45" t="s">
        <v>568</v>
      </c>
      <c r="E93" s="45" t="n">
        <v>203.75</v>
      </c>
      <c r="F93" s="45"/>
      <c r="G93" s="45"/>
      <c r="H93" s="45"/>
      <c r="I93" s="45"/>
    </row>
    <row r="94" customFormat="false" ht="15" hidden="false" customHeight="false" outlineLevel="0" collapsed="false">
      <c r="A94" s="45" t="s">
        <v>567</v>
      </c>
      <c r="B94" s="45" t="s">
        <v>531</v>
      </c>
      <c r="C94" s="45" t="s">
        <v>528</v>
      </c>
      <c r="D94" s="45" t="s">
        <v>571</v>
      </c>
      <c r="E94" s="45" t="n">
        <v>70.25</v>
      </c>
      <c r="F94" s="45" t="n">
        <v>4</v>
      </c>
      <c r="G94" s="45" t="n">
        <v>5</v>
      </c>
      <c r="H94" s="45"/>
      <c r="I94" s="45"/>
    </row>
    <row r="95" customFormat="false" ht="15" hidden="false" customHeight="false" outlineLevel="0" collapsed="false">
      <c r="A95" s="45" t="s">
        <v>572</v>
      </c>
      <c r="B95" s="45" t="s">
        <v>504</v>
      </c>
      <c r="C95" s="45" t="s">
        <v>505</v>
      </c>
      <c r="D95" s="45" t="s">
        <v>573</v>
      </c>
      <c r="E95" s="45" t="n">
        <v>3</v>
      </c>
      <c r="F95" s="45" t="n">
        <v>19</v>
      </c>
      <c r="G95" s="45" t="n">
        <v>70</v>
      </c>
      <c r="H95" s="45"/>
      <c r="I95" s="45"/>
    </row>
    <row r="96" customFormat="false" ht="15" hidden="false" customHeight="false" outlineLevel="0" collapsed="false">
      <c r="A96" s="45" t="s">
        <v>572</v>
      </c>
      <c r="B96" s="45" t="s">
        <v>504</v>
      </c>
      <c r="C96" s="45" t="s">
        <v>505</v>
      </c>
      <c r="D96" s="45" t="s">
        <v>372</v>
      </c>
      <c r="E96" s="45" t="n">
        <v>1.75</v>
      </c>
      <c r="F96" s="45"/>
      <c r="G96" s="45"/>
      <c r="H96" s="45"/>
      <c r="I96" s="45"/>
    </row>
    <row r="97" customFormat="false" ht="15" hidden="false" customHeight="false" outlineLevel="0" collapsed="false">
      <c r="A97" s="45" t="s">
        <v>574</v>
      </c>
      <c r="B97" s="45" t="s">
        <v>504</v>
      </c>
      <c r="C97" s="45" t="s">
        <v>505</v>
      </c>
      <c r="D97" s="45" t="s">
        <v>409</v>
      </c>
      <c r="E97" s="45" t="n">
        <v>3</v>
      </c>
      <c r="F97" s="45" t="n">
        <v>15</v>
      </c>
      <c r="G97" s="45" t="n">
        <v>95</v>
      </c>
      <c r="H97" s="45"/>
      <c r="I97" s="45"/>
    </row>
    <row r="98" customFormat="false" ht="15" hidden="false" customHeight="false" outlineLevel="0" collapsed="false">
      <c r="A98" s="45" t="s">
        <v>574</v>
      </c>
      <c r="B98" s="45" t="s">
        <v>504</v>
      </c>
      <c r="C98" s="45" t="s">
        <v>505</v>
      </c>
      <c r="D98" s="45" t="s">
        <v>372</v>
      </c>
      <c r="E98" s="45" t="n">
        <v>2</v>
      </c>
      <c r="F98" s="45"/>
      <c r="G98" s="45"/>
      <c r="H98" s="45"/>
      <c r="I98" s="45"/>
    </row>
    <row r="99" customFormat="false" ht="15" hidden="false" customHeight="false" outlineLevel="0" collapsed="false">
      <c r="A99" s="45" t="s">
        <v>575</v>
      </c>
      <c r="B99" s="45" t="s">
        <v>576</v>
      </c>
      <c r="C99" s="45" t="s">
        <v>505</v>
      </c>
      <c r="D99" s="45" t="s">
        <v>571</v>
      </c>
      <c r="E99" s="45" t="n">
        <v>3.75</v>
      </c>
      <c r="F99" s="45" t="n">
        <v>14</v>
      </c>
      <c r="G99" s="45" t="n">
        <v>705</v>
      </c>
      <c r="H99" s="45" t="n">
        <v>85</v>
      </c>
      <c r="I99" s="45"/>
    </row>
    <row r="100" customFormat="false" ht="15" hidden="false" customHeight="false" outlineLevel="0" collapsed="false">
      <c r="A100" s="45" t="s">
        <v>575</v>
      </c>
      <c r="B100" s="45" t="s">
        <v>576</v>
      </c>
      <c r="C100" s="45" t="s">
        <v>505</v>
      </c>
      <c r="D100" s="45" t="s">
        <v>262</v>
      </c>
      <c r="E100" s="45" t="n">
        <v>4</v>
      </c>
      <c r="F100" s="45"/>
      <c r="G100" s="45"/>
      <c r="H100" s="45"/>
      <c r="I100" s="45"/>
    </row>
    <row r="101" customFormat="false" ht="15" hidden="false" customHeight="false" outlineLevel="0" collapsed="false">
      <c r="A101" s="45" t="s">
        <v>577</v>
      </c>
      <c r="B101" s="45" t="s">
        <v>515</v>
      </c>
      <c r="C101" s="45" t="s">
        <v>511</v>
      </c>
      <c r="D101" s="45" t="s">
        <v>286</v>
      </c>
      <c r="E101" s="45" t="n">
        <v>85.5</v>
      </c>
      <c r="F101" s="45"/>
      <c r="G101" s="45"/>
      <c r="H101" s="45"/>
      <c r="I101" s="45"/>
    </row>
    <row r="102" customFormat="false" ht="15" hidden="false" customHeight="false" outlineLevel="0" collapsed="false">
      <c r="A102" s="45" t="s">
        <v>577</v>
      </c>
      <c r="B102" s="45" t="s">
        <v>515</v>
      </c>
      <c r="C102" s="45" t="s">
        <v>511</v>
      </c>
      <c r="D102" s="45" t="s">
        <v>434</v>
      </c>
      <c r="E102" s="45" t="n">
        <v>95.25</v>
      </c>
      <c r="F102" s="45"/>
      <c r="G102" s="45"/>
      <c r="H102" s="45"/>
      <c r="I102" s="45"/>
    </row>
    <row r="103" customFormat="false" ht="15" hidden="false" customHeight="false" outlineLevel="0" collapsed="false">
      <c r="A103" s="45" t="s">
        <v>577</v>
      </c>
      <c r="B103" s="45" t="s">
        <v>515</v>
      </c>
      <c r="C103" s="45" t="s">
        <v>511</v>
      </c>
      <c r="D103" s="45" t="s">
        <v>335</v>
      </c>
      <c r="E103" s="45" t="n">
        <v>108.75</v>
      </c>
      <c r="F103" s="45" t="n">
        <v>145</v>
      </c>
      <c r="G103" s="45" t="n">
        <v>6465</v>
      </c>
      <c r="H103" s="45"/>
      <c r="I103" s="45"/>
    </row>
    <row r="104" customFormat="false" ht="15" hidden="false" customHeight="false" outlineLevel="0" collapsed="false">
      <c r="A104" s="45" t="s">
        <v>577</v>
      </c>
      <c r="B104" s="45" t="s">
        <v>522</v>
      </c>
      <c r="C104" s="45" t="s">
        <v>520</v>
      </c>
      <c r="D104" s="45" t="s">
        <v>381</v>
      </c>
      <c r="E104" s="45" t="n">
        <v>347.5</v>
      </c>
      <c r="F104" s="45" t="n">
        <v>408</v>
      </c>
      <c r="G104" s="45" t="n">
        <v>1530</v>
      </c>
      <c r="H104" s="45"/>
      <c r="I104" s="45"/>
    </row>
    <row r="105" customFormat="false" ht="15" hidden="false" customHeight="false" outlineLevel="0" collapsed="false">
      <c r="A105" s="45" t="s">
        <v>577</v>
      </c>
      <c r="B105" s="45" t="s">
        <v>522</v>
      </c>
      <c r="C105" s="45" t="s">
        <v>520</v>
      </c>
      <c r="D105" s="45" t="s">
        <v>329</v>
      </c>
      <c r="E105" s="45" t="n">
        <v>152</v>
      </c>
      <c r="F105" s="45"/>
      <c r="G105" s="45"/>
      <c r="H105" s="45"/>
      <c r="I105" s="45"/>
    </row>
    <row r="106" customFormat="false" ht="15" hidden="false" customHeight="false" outlineLevel="0" collapsed="false">
      <c r="A106" s="45" t="s">
        <v>577</v>
      </c>
      <c r="B106" s="45" t="s">
        <v>524</v>
      </c>
      <c r="C106" s="45" t="s">
        <v>520</v>
      </c>
      <c r="D106" s="45" t="s">
        <v>328</v>
      </c>
      <c r="E106" s="45" t="n">
        <v>62.25</v>
      </c>
      <c r="F106" s="45"/>
      <c r="G106" s="45"/>
      <c r="H106" s="45"/>
      <c r="I106" s="45"/>
    </row>
    <row r="107" customFormat="false" ht="15" hidden="false" customHeight="false" outlineLevel="0" collapsed="false">
      <c r="A107" s="45" t="s">
        <v>577</v>
      </c>
      <c r="B107" s="45" t="s">
        <v>524</v>
      </c>
      <c r="C107" s="45" t="s">
        <v>520</v>
      </c>
      <c r="D107" s="45" t="s">
        <v>507</v>
      </c>
      <c r="E107" s="45" t="n">
        <v>29.75</v>
      </c>
      <c r="F107" s="45" t="n">
        <v>102</v>
      </c>
      <c r="G107" s="45" t="n">
        <v>12470</v>
      </c>
      <c r="H107" s="45" t="n">
        <v>7775</v>
      </c>
      <c r="I107" s="45"/>
    </row>
    <row r="108" customFormat="false" ht="15" hidden="false" customHeight="false" outlineLevel="0" collapsed="false">
      <c r="A108" s="45" t="s">
        <v>577</v>
      </c>
      <c r="B108" s="45" t="s">
        <v>525</v>
      </c>
      <c r="C108" s="45" t="s">
        <v>526</v>
      </c>
      <c r="D108" s="45" t="s">
        <v>469</v>
      </c>
      <c r="E108" s="45" t="n">
        <v>57.75</v>
      </c>
      <c r="F108" s="45"/>
      <c r="G108" s="45"/>
      <c r="H108" s="45"/>
      <c r="I108" s="45"/>
    </row>
    <row r="109" customFormat="false" ht="15" hidden="false" customHeight="false" outlineLevel="0" collapsed="false">
      <c r="A109" s="45" t="s">
        <v>577</v>
      </c>
      <c r="B109" s="45" t="s">
        <v>525</v>
      </c>
      <c r="C109" s="45" t="s">
        <v>526</v>
      </c>
      <c r="D109" s="45" t="s">
        <v>313</v>
      </c>
      <c r="E109" s="45" t="n">
        <v>64.25</v>
      </c>
      <c r="F109" s="45"/>
      <c r="G109" s="45" t="n">
        <v>680</v>
      </c>
      <c r="H109" s="45"/>
      <c r="I109" s="45"/>
    </row>
    <row r="110" customFormat="false" ht="15" hidden="false" customHeight="false" outlineLevel="0" collapsed="false">
      <c r="A110" s="45" t="s">
        <v>577</v>
      </c>
      <c r="B110" s="45" t="s">
        <v>527</v>
      </c>
      <c r="C110" s="45" t="s">
        <v>528</v>
      </c>
      <c r="D110" s="45" t="s">
        <v>413</v>
      </c>
      <c r="E110" s="45" t="n">
        <v>130.25</v>
      </c>
      <c r="F110" s="45" t="n">
        <v>36</v>
      </c>
      <c r="G110" s="45" t="n">
        <v>590</v>
      </c>
      <c r="H110" s="45"/>
      <c r="I110" s="45"/>
    </row>
    <row r="111" customFormat="false" ht="15" hidden="false" customHeight="false" outlineLevel="0" collapsed="false">
      <c r="A111" s="45" t="s">
        <v>577</v>
      </c>
      <c r="B111" s="45" t="s">
        <v>527</v>
      </c>
      <c r="C111" s="45" t="s">
        <v>528</v>
      </c>
      <c r="D111" s="45" t="s">
        <v>335</v>
      </c>
      <c r="E111" s="45" t="n">
        <v>229.5</v>
      </c>
      <c r="F111" s="45"/>
      <c r="G111" s="45"/>
      <c r="H111" s="45"/>
      <c r="I111" s="45"/>
    </row>
    <row r="112" customFormat="false" ht="15" hidden="false" customHeight="false" outlineLevel="0" collapsed="false">
      <c r="A112" s="45" t="s">
        <v>577</v>
      </c>
      <c r="B112" s="45" t="s">
        <v>531</v>
      </c>
      <c r="C112" s="45" t="s">
        <v>528</v>
      </c>
      <c r="D112" s="45" t="s">
        <v>561</v>
      </c>
      <c r="E112" s="45" t="n">
        <v>66.75</v>
      </c>
      <c r="F112" s="45" t="n">
        <v>4</v>
      </c>
      <c r="G112" s="45" t="n">
        <v>130</v>
      </c>
      <c r="H112" s="45"/>
      <c r="I112" s="45"/>
    </row>
    <row r="113" customFormat="false" ht="15" hidden="false" customHeight="false" outlineLevel="0" collapsed="false">
      <c r="A113" s="45" t="s">
        <v>578</v>
      </c>
      <c r="B113" s="45" t="s">
        <v>538</v>
      </c>
      <c r="C113" s="45" t="s">
        <v>505</v>
      </c>
      <c r="D113" s="45" t="s">
        <v>263</v>
      </c>
      <c r="E113" s="45" t="n">
        <v>8</v>
      </c>
      <c r="F113" s="45"/>
      <c r="G113" s="45"/>
      <c r="H113" s="45"/>
      <c r="I113" s="45"/>
    </row>
    <row r="114" customFormat="false" ht="15" hidden="false" customHeight="false" outlineLevel="0" collapsed="false">
      <c r="A114" s="45" t="s">
        <v>578</v>
      </c>
      <c r="B114" s="45" t="s">
        <v>538</v>
      </c>
      <c r="C114" s="45" t="s">
        <v>505</v>
      </c>
      <c r="D114" s="45" t="s">
        <v>392</v>
      </c>
      <c r="E114" s="45" t="s">
        <v>579</v>
      </c>
      <c r="F114" s="45" t="n">
        <v>26</v>
      </c>
      <c r="G114" s="45" t="n">
        <v>250</v>
      </c>
      <c r="H114" s="45"/>
      <c r="I114" s="45"/>
    </row>
    <row r="115" customFormat="false" ht="15" hidden="false" customHeight="false" outlineLevel="0" collapsed="false">
      <c r="A115" s="45" t="s">
        <v>578</v>
      </c>
      <c r="B115" s="45" t="s">
        <v>535</v>
      </c>
      <c r="C115" s="45" t="s">
        <v>536</v>
      </c>
      <c r="D115" s="45" t="s">
        <v>251</v>
      </c>
      <c r="E115" s="45" t="n">
        <v>3</v>
      </c>
      <c r="F115" s="45"/>
      <c r="G115" s="45"/>
      <c r="H115" s="45"/>
      <c r="I115" s="45"/>
    </row>
    <row r="116" customFormat="false" ht="15" hidden="false" customHeight="false" outlineLevel="0" collapsed="false">
      <c r="A116" s="45" t="s">
        <v>578</v>
      </c>
      <c r="B116" s="45" t="s">
        <v>535</v>
      </c>
      <c r="C116" s="45" t="s">
        <v>536</v>
      </c>
      <c r="D116" s="45" t="s">
        <v>337</v>
      </c>
      <c r="E116" s="45" t="n">
        <v>5</v>
      </c>
      <c r="F116" s="45" t="n">
        <v>24</v>
      </c>
      <c r="G116" s="45" t="n">
        <v>410</v>
      </c>
      <c r="H116" s="45"/>
      <c r="I116" s="45"/>
    </row>
    <row r="117" customFormat="false" ht="15" hidden="false" customHeight="false" outlineLevel="0" collapsed="false">
      <c r="A117" s="45" t="s">
        <v>580</v>
      </c>
      <c r="B117" s="45" t="s">
        <v>513</v>
      </c>
      <c r="C117" s="45" t="s">
        <v>505</v>
      </c>
      <c r="D117" s="45" t="s">
        <v>581</v>
      </c>
      <c r="E117" s="45" t="n">
        <v>2</v>
      </c>
      <c r="F117" s="45" t="n">
        <v>13</v>
      </c>
      <c r="G117" s="45" t="n">
        <v>65</v>
      </c>
      <c r="H117" s="45"/>
      <c r="I117" s="45"/>
    </row>
    <row r="118" customFormat="false" ht="15" hidden="false" customHeight="false" outlineLevel="0" collapsed="false">
      <c r="A118" s="45" t="s">
        <v>582</v>
      </c>
      <c r="B118" s="45" t="s">
        <v>551</v>
      </c>
      <c r="C118" s="45" t="s">
        <v>552</v>
      </c>
      <c r="D118" s="45" t="s">
        <v>419</v>
      </c>
      <c r="E118" s="45" t="n">
        <v>3</v>
      </c>
      <c r="F118" s="45"/>
      <c r="G118" s="45"/>
      <c r="H118" s="45"/>
      <c r="I118" s="45"/>
    </row>
    <row r="119" customFormat="false" ht="15" hidden="false" customHeight="false" outlineLevel="0" collapsed="false">
      <c r="A119" s="45" t="s">
        <v>582</v>
      </c>
      <c r="B119" s="45" t="s">
        <v>551</v>
      </c>
      <c r="C119" s="45" t="s">
        <v>552</v>
      </c>
      <c r="D119" s="45" t="s">
        <v>454</v>
      </c>
      <c r="E119" s="45" t="n">
        <v>2.75</v>
      </c>
      <c r="F119" s="45"/>
      <c r="G119" s="45" t="n">
        <v>110</v>
      </c>
      <c r="H119" s="45"/>
      <c r="I119" s="45"/>
    </row>
    <row r="120" customFormat="false" ht="15" hidden="false" customHeight="false" outlineLevel="0" collapsed="false">
      <c r="A120" s="45" t="s">
        <v>583</v>
      </c>
      <c r="B120" s="45" t="s">
        <v>504</v>
      </c>
      <c r="C120" s="45" t="s">
        <v>505</v>
      </c>
      <c r="D120" s="45" t="s">
        <v>263</v>
      </c>
      <c r="E120" s="45" t="n">
        <v>2</v>
      </c>
      <c r="F120" s="45" t="n">
        <v>17</v>
      </c>
      <c r="G120" s="45" t="n">
        <v>120</v>
      </c>
      <c r="H120" s="45"/>
      <c r="I120" s="45"/>
    </row>
    <row r="121" customFormat="false" ht="15" hidden="false" customHeight="false" outlineLevel="0" collapsed="false">
      <c r="A121" s="45" t="s">
        <v>583</v>
      </c>
      <c r="B121" s="45" t="s">
        <v>504</v>
      </c>
      <c r="C121" s="45" t="s">
        <v>505</v>
      </c>
      <c r="D121" s="45" t="s">
        <v>507</v>
      </c>
      <c r="E121" s="45" t="n">
        <v>2</v>
      </c>
      <c r="F121" s="45"/>
      <c r="G121" s="45"/>
      <c r="H121" s="45"/>
      <c r="I121" s="45"/>
    </row>
    <row r="122" customFormat="false" ht="15" hidden="false" customHeight="false" outlineLevel="0" collapsed="false">
      <c r="A122" s="45" t="s">
        <v>584</v>
      </c>
      <c r="B122" s="45" t="s">
        <v>510</v>
      </c>
      <c r="C122" s="45" t="s">
        <v>511</v>
      </c>
      <c r="D122" s="45" t="s">
        <v>335</v>
      </c>
      <c r="E122" s="45" t="n">
        <v>3</v>
      </c>
      <c r="F122" s="45" t="n">
        <v>64</v>
      </c>
      <c r="G122" s="45" t="n">
        <v>105</v>
      </c>
      <c r="H122" s="45"/>
      <c r="I122" s="45"/>
    </row>
    <row r="123" customFormat="false" ht="15" hidden="false" customHeight="false" outlineLevel="0" collapsed="false">
      <c r="A123" s="45" t="s">
        <v>584</v>
      </c>
      <c r="B123" s="45" t="s">
        <v>585</v>
      </c>
      <c r="C123" s="45" t="s">
        <v>541</v>
      </c>
      <c r="D123" s="45" t="s">
        <v>586</v>
      </c>
      <c r="E123" s="45"/>
      <c r="F123" s="45"/>
      <c r="G123" s="45" t="n">
        <v>80840</v>
      </c>
      <c r="H123" s="45"/>
      <c r="I123" s="45"/>
    </row>
    <row r="124" customFormat="false" ht="15" hidden="false" customHeight="false" outlineLevel="0" collapsed="false">
      <c r="A124" s="45" t="s">
        <v>587</v>
      </c>
      <c r="B124" s="45" t="s">
        <v>535</v>
      </c>
      <c r="C124" s="45" t="s">
        <v>536</v>
      </c>
      <c r="D124" s="45" t="s">
        <v>315</v>
      </c>
      <c r="E124" s="45" t="n">
        <v>3.25</v>
      </c>
      <c r="F124" s="45"/>
      <c r="G124" s="45"/>
      <c r="H124" s="45"/>
      <c r="I124" s="45"/>
    </row>
    <row r="125" customFormat="false" ht="15" hidden="false" customHeight="false" outlineLevel="0" collapsed="false">
      <c r="A125" s="45" t="s">
        <v>587</v>
      </c>
      <c r="B125" s="45" t="s">
        <v>535</v>
      </c>
      <c r="C125" s="45" t="s">
        <v>536</v>
      </c>
      <c r="D125" s="45" t="s">
        <v>470</v>
      </c>
      <c r="E125" s="45" t="n">
        <v>4.5</v>
      </c>
      <c r="F125" s="45" t="n">
        <v>16</v>
      </c>
      <c r="G125" s="45" t="n">
        <v>750</v>
      </c>
      <c r="H125" s="45"/>
      <c r="I125" s="45"/>
    </row>
    <row r="126" customFormat="false" ht="15" hidden="false" customHeight="false" outlineLevel="0" collapsed="false">
      <c r="A126" s="45" t="s">
        <v>588</v>
      </c>
      <c r="B126" s="45" t="s">
        <v>515</v>
      </c>
      <c r="C126" s="45" t="s">
        <v>511</v>
      </c>
      <c r="D126" s="45" t="s">
        <v>381</v>
      </c>
      <c r="E126" s="45" t="n">
        <v>64.25</v>
      </c>
      <c r="F126" s="45"/>
      <c r="G126" s="45"/>
      <c r="H126" s="45"/>
      <c r="I126" s="45"/>
    </row>
    <row r="127" customFormat="false" ht="15" hidden="false" customHeight="false" outlineLevel="0" collapsed="false">
      <c r="A127" s="45" t="s">
        <v>588</v>
      </c>
      <c r="B127" s="45" t="s">
        <v>515</v>
      </c>
      <c r="C127" s="45" t="s">
        <v>511</v>
      </c>
      <c r="D127" s="45" t="s">
        <v>489</v>
      </c>
      <c r="E127" s="45" t="n">
        <v>89.25</v>
      </c>
      <c r="F127" s="45"/>
      <c r="G127" s="45"/>
      <c r="H127" s="45"/>
      <c r="I127" s="45"/>
    </row>
    <row r="128" customFormat="false" ht="15" hidden="false" customHeight="false" outlineLevel="0" collapsed="false">
      <c r="A128" s="45" t="s">
        <v>588</v>
      </c>
      <c r="B128" s="45" t="s">
        <v>515</v>
      </c>
      <c r="C128" s="45" t="s">
        <v>511</v>
      </c>
      <c r="D128" s="45" t="s">
        <v>458</v>
      </c>
      <c r="E128" s="45" t="n">
        <v>69</v>
      </c>
      <c r="F128" s="45" t="n">
        <v>252</v>
      </c>
      <c r="G128" s="45" t="n">
        <v>7465</v>
      </c>
      <c r="H128" s="45"/>
      <c r="I128" s="45"/>
    </row>
    <row r="129" customFormat="false" ht="15" hidden="false" customHeight="false" outlineLevel="0" collapsed="false">
      <c r="A129" s="45" t="s">
        <v>588</v>
      </c>
      <c r="B129" s="45" t="s">
        <v>522</v>
      </c>
      <c r="C129" s="45" t="s">
        <v>520</v>
      </c>
      <c r="D129" s="45" t="s">
        <v>328</v>
      </c>
      <c r="E129" s="45" t="n">
        <v>306</v>
      </c>
      <c r="F129" s="45" t="n">
        <v>445</v>
      </c>
      <c r="G129" s="45" t="n">
        <v>1170</v>
      </c>
      <c r="H129" s="45" t="n">
        <v>7500</v>
      </c>
      <c r="I129" s="45"/>
    </row>
    <row r="130" customFormat="false" ht="15" hidden="false" customHeight="false" outlineLevel="0" collapsed="false">
      <c r="A130" s="45" t="s">
        <v>588</v>
      </c>
      <c r="B130" s="45" t="s">
        <v>522</v>
      </c>
      <c r="C130" s="45" t="s">
        <v>520</v>
      </c>
      <c r="D130" s="45" t="s">
        <v>459</v>
      </c>
      <c r="E130" s="45" t="n">
        <v>137</v>
      </c>
      <c r="F130" s="45"/>
      <c r="G130" s="45"/>
      <c r="H130" s="45"/>
      <c r="I130" s="45"/>
    </row>
    <row r="131" customFormat="false" ht="15" hidden="false" customHeight="false" outlineLevel="0" collapsed="false">
      <c r="A131" s="45" t="s">
        <v>588</v>
      </c>
      <c r="B131" s="45" t="s">
        <v>524</v>
      </c>
      <c r="C131" s="45" t="s">
        <v>520</v>
      </c>
      <c r="D131" s="45" t="s">
        <v>278</v>
      </c>
      <c r="E131" s="45" t="s">
        <v>589</v>
      </c>
      <c r="F131" s="45"/>
      <c r="G131" s="45"/>
      <c r="H131" s="45"/>
      <c r="I131" s="45"/>
    </row>
    <row r="132" customFormat="false" ht="15" hidden="false" customHeight="false" outlineLevel="0" collapsed="false">
      <c r="A132" s="45" t="s">
        <v>588</v>
      </c>
      <c r="B132" s="45" t="s">
        <v>524</v>
      </c>
      <c r="C132" s="45" t="s">
        <v>520</v>
      </c>
      <c r="D132" s="45" t="s">
        <v>268</v>
      </c>
      <c r="E132" s="45" t="n">
        <v>22</v>
      </c>
      <c r="F132" s="45" t="n">
        <v>125</v>
      </c>
      <c r="G132" s="45" t="n">
        <v>13125</v>
      </c>
      <c r="H132" s="45" t="n">
        <v>6410</v>
      </c>
      <c r="I132" s="45"/>
    </row>
    <row r="133" customFormat="false" ht="15" hidden="false" customHeight="false" outlineLevel="0" collapsed="false">
      <c r="A133" s="45" t="s">
        <v>588</v>
      </c>
      <c r="B133" s="45" t="s">
        <v>525</v>
      </c>
      <c r="C133" s="45" t="s">
        <v>526</v>
      </c>
      <c r="D133" s="45" t="s">
        <v>469</v>
      </c>
      <c r="E133" s="45" t="n">
        <v>41.5</v>
      </c>
      <c r="F133" s="45"/>
      <c r="G133" s="45"/>
      <c r="H133" s="45"/>
      <c r="I133" s="45"/>
    </row>
    <row r="134" customFormat="false" ht="15" hidden="false" customHeight="false" outlineLevel="0" collapsed="false">
      <c r="A134" s="45" t="s">
        <v>588</v>
      </c>
      <c r="B134" s="45" t="s">
        <v>525</v>
      </c>
      <c r="C134" s="45" t="s">
        <v>526</v>
      </c>
      <c r="D134" s="45" t="s">
        <v>432</v>
      </c>
      <c r="E134" s="45" t="s">
        <v>590</v>
      </c>
      <c r="F134" s="45"/>
      <c r="G134" s="45" t="n">
        <v>470</v>
      </c>
      <c r="H134" s="45"/>
      <c r="I134" s="45"/>
    </row>
    <row r="135" customFormat="false" ht="15" hidden="false" customHeight="false" outlineLevel="0" collapsed="false">
      <c r="A135" s="45" t="s">
        <v>588</v>
      </c>
      <c r="B135" s="45" t="s">
        <v>527</v>
      </c>
      <c r="C135" s="45" t="s">
        <v>528</v>
      </c>
      <c r="D135" s="45" t="s">
        <v>274</v>
      </c>
      <c r="E135" s="45" t="s">
        <v>591</v>
      </c>
      <c r="F135" s="45" t="n">
        <v>11</v>
      </c>
      <c r="G135" s="45" t="n">
        <v>300</v>
      </c>
      <c r="H135" s="45"/>
      <c r="I135" s="45"/>
    </row>
    <row r="136" customFormat="false" ht="15" hidden="false" customHeight="false" outlineLevel="0" collapsed="false">
      <c r="A136" s="45" t="s">
        <v>588</v>
      </c>
      <c r="B136" s="45" t="s">
        <v>527</v>
      </c>
      <c r="C136" s="45" t="s">
        <v>528</v>
      </c>
      <c r="D136" s="45" t="s">
        <v>568</v>
      </c>
      <c r="E136" s="45" t="n">
        <v>98.5</v>
      </c>
      <c r="F136" s="45"/>
      <c r="G136" s="45"/>
      <c r="H136" s="45"/>
      <c r="I136" s="45"/>
    </row>
    <row r="137" customFormat="false" ht="15" hidden="false" customHeight="false" outlineLevel="0" collapsed="false">
      <c r="A137" s="45" t="s">
        <v>588</v>
      </c>
      <c r="B137" s="45" t="s">
        <v>531</v>
      </c>
      <c r="C137" s="45" t="s">
        <v>528</v>
      </c>
      <c r="D137" s="45" t="s">
        <v>532</v>
      </c>
      <c r="E137" s="45" t="n">
        <v>60.25</v>
      </c>
      <c r="F137" s="45" t="n">
        <v>5</v>
      </c>
      <c r="G137" s="45" t="n">
        <v>85</v>
      </c>
      <c r="H137" s="45"/>
      <c r="I137" s="45"/>
    </row>
    <row r="138" customFormat="false" ht="15" hidden="false" customHeight="false" outlineLevel="0" collapsed="false">
      <c r="A138" s="45" t="s">
        <v>592</v>
      </c>
      <c r="B138" s="45" t="s">
        <v>513</v>
      </c>
      <c r="C138" s="45" t="s">
        <v>505</v>
      </c>
      <c r="D138" s="45" t="s">
        <v>593</v>
      </c>
      <c r="E138" s="45" t="n">
        <v>2</v>
      </c>
      <c r="F138" s="45" t="n">
        <v>18</v>
      </c>
      <c r="G138" s="45" t="n">
        <v>45</v>
      </c>
      <c r="H138" s="45"/>
      <c r="I138" s="45"/>
    </row>
    <row r="139" customFormat="false" ht="15" hidden="false" customHeight="false" outlineLevel="0" collapsed="false">
      <c r="A139" s="45" t="s">
        <v>594</v>
      </c>
      <c r="B139" s="45" t="s">
        <v>551</v>
      </c>
      <c r="C139" s="45" t="s">
        <v>552</v>
      </c>
      <c r="D139" s="45" t="s">
        <v>432</v>
      </c>
      <c r="E139" s="45" t="n">
        <v>2.75</v>
      </c>
      <c r="F139" s="45"/>
      <c r="G139" s="45"/>
      <c r="H139" s="45"/>
      <c r="I139" s="45"/>
    </row>
    <row r="140" customFormat="false" ht="15" hidden="false" customHeight="false" outlineLevel="0" collapsed="false">
      <c r="A140" s="45" t="s">
        <v>594</v>
      </c>
      <c r="B140" s="45" t="s">
        <v>551</v>
      </c>
      <c r="C140" s="45" t="s">
        <v>552</v>
      </c>
      <c r="D140" s="45" t="s">
        <v>316</v>
      </c>
      <c r="E140" s="45" t="n">
        <v>2.5</v>
      </c>
      <c r="F140" s="45"/>
      <c r="G140" s="45" t="n">
        <v>70</v>
      </c>
      <c r="H140" s="45"/>
      <c r="I140" s="45"/>
    </row>
    <row r="141" customFormat="false" ht="15" hidden="false" customHeight="false" outlineLevel="0" collapsed="false">
      <c r="A141" s="45" t="s">
        <v>595</v>
      </c>
      <c r="B141" s="45" t="s">
        <v>504</v>
      </c>
      <c r="C141" s="45" t="s">
        <v>505</v>
      </c>
      <c r="D141" s="45" t="s">
        <v>251</v>
      </c>
      <c r="E141" s="45" t="n">
        <v>3</v>
      </c>
      <c r="F141" s="45" t="n">
        <v>11</v>
      </c>
      <c r="G141" s="45" t="n">
        <v>125</v>
      </c>
      <c r="H141" s="45"/>
      <c r="I141" s="45"/>
    </row>
    <row r="142" customFormat="false" ht="15" hidden="false" customHeight="false" outlineLevel="0" collapsed="false">
      <c r="A142" s="45" t="s">
        <v>595</v>
      </c>
      <c r="B142" s="45" t="s">
        <v>504</v>
      </c>
      <c r="C142" s="45" t="s">
        <v>505</v>
      </c>
      <c r="D142" s="45" t="s">
        <v>268</v>
      </c>
      <c r="E142" s="45" t="s">
        <v>521</v>
      </c>
      <c r="F142" s="45"/>
      <c r="G142" s="45"/>
      <c r="H142" s="45"/>
      <c r="I142" s="45"/>
    </row>
    <row r="143" customFormat="false" ht="15" hidden="false" customHeight="false" outlineLevel="0" collapsed="false">
      <c r="A143" s="45" t="s">
        <v>595</v>
      </c>
      <c r="B143" s="45" t="s">
        <v>519</v>
      </c>
      <c r="C143" s="45" t="s">
        <v>520</v>
      </c>
      <c r="D143" s="45" t="s">
        <v>453</v>
      </c>
      <c r="E143" s="45" t="n">
        <v>2</v>
      </c>
      <c r="F143" s="45" t="n">
        <v>14</v>
      </c>
      <c r="G143" s="45" t="n">
        <v>30</v>
      </c>
      <c r="H143" s="45"/>
      <c r="I143" s="45"/>
    </row>
    <row r="144" customFormat="false" ht="15" hidden="false" customHeight="false" outlineLevel="0" collapsed="false">
      <c r="A144" s="45" t="s">
        <v>595</v>
      </c>
      <c r="B144" s="45" t="s">
        <v>519</v>
      </c>
      <c r="C144" s="45" t="s">
        <v>520</v>
      </c>
      <c r="D144" s="45" t="s">
        <v>252</v>
      </c>
      <c r="E144" s="45" t="n">
        <v>1.75</v>
      </c>
      <c r="F144" s="45"/>
      <c r="G144" s="45"/>
      <c r="H144" s="45"/>
      <c r="I144" s="45"/>
    </row>
    <row r="145" customFormat="false" ht="15" hidden="false" customHeight="false" outlineLevel="0" collapsed="false">
      <c r="A145" s="45" t="s">
        <v>596</v>
      </c>
      <c r="B145" s="45" t="s">
        <v>540</v>
      </c>
      <c r="C145" s="45" t="s">
        <v>541</v>
      </c>
      <c r="D145" s="45" t="s">
        <v>444</v>
      </c>
      <c r="E145" s="45"/>
      <c r="F145" s="45"/>
      <c r="G145" s="45" t="n">
        <v>7575</v>
      </c>
      <c r="H145" s="45"/>
      <c r="I145" s="45"/>
    </row>
    <row r="146" customFormat="false" ht="15" hidden="false" customHeight="false" outlineLevel="0" collapsed="false">
      <c r="A146" s="45" t="s">
        <v>597</v>
      </c>
      <c r="B146" s="45" t="s">
        <v>513</v>
      </c>
      <c r="C146" s="45" t="s">
        <v>505</v>
      </c>
      <c r="D146" s="45" t="s">
        <v>598</v>
      </c>
      <c r="E146" s="45" t="n">
        <v>2</v>
      </c>
      <c r="F146" s="45" t="n">
        <v>23</v>
      </c>
      <c r="G146" s="45" t="n">
        <v>100</v>
      </c>
      <c r="H146" s="45"/>
      <c r="I146" s="45"/>
    </row>
    <row r="147" customFormat="false" ht="15" hidden="false" customHeight="false" outlineLevel="0" collapsed="false">
      <c r="A147" s="45" t="s">
        <v>599</v>
      </c>
      <c r="B147" s="45" t="s">
        <v>535</v>
      </c>
      <c r="C147" s="45" t="s">
        <v>536</v>
      </c>
      <c r="D147" s="45" t="s">
        <v>315</v>
      </c>
      <c r="E147" s="45" t="n">
        <v>3.5</v>
      </c>
      <c r="F147" s="45"/>
      <c r="G147" s="45"/>
      <c r="H147" s="45"/>
      <c r="I147" s="45"/>
    </row>
    <row r="148" customFormat="false" ht="15" hidden="false" customHeight="false" outlineLevel="0" collapsed="false">
      <c r="A148" s="45" t="s">
        <v>599</v>
      </c>
      <c r="B148" s="45" t="s">
        <v>535</v>
      </c>
      <c r="C148" s="45" t="s">
        <v>536</v>
      </c>
      <c r="D148" s="45" t="s">
        <v>337</v>
      </c>
      <c r="E148" s="45" t="n">
        <v>4.5</v>
      </c>
      <c r="F148" s="45" t="n">
        <v>25</v>
      </c>
      <c r="G148" s="45" t="n">
        <v>355</v>
      </c>
      <c r="H148" s="45"/>
      <c r="I148" s="45"/>
    </row>
    <row r="149" customFormat="false" ht="15" hidden="false" customHeight="false" outlineLevel="0" collapsed="false">
      <c r="A149" s="45" t="s">
        <v>600</v>
      </c>
      <c r="B149" s="45" t="s">
        <v>519</v>
      </c>
      <c r="C149" s="45" t="s">
        <v>520</v>
      </c>
      <c r="D149" s="45" t="s">
        <v>348</v>
      </c>
      <c r="E149" s="45" t="s">
        <v>558</v>
      </c>
      <c r="F149" s="45" t="n">
        <v>14</v>
      </c>
      <c r="G149" s="45" t="n">
        <v>45</v>
      </c>
      <c r="H149" s="45"/>
      <c r="I149" s="45"/>
    </row>
    <row r="150" customFormat="false" ht="15" hidden="false" customHeight="false" outlineLevel="0" collapsed="false">
      <c r="A150" s="45" t="s">
        <v>600</v>
      </c>
      <c r="B150" s="45" t="s">
        <v>519</v>
      </c>
      <c r="C150" s="45" t="s">
        <v>520</v>
      </c>
      <c r="D150" s="45" t="s">
        <v>252</v>
      </c>
      <c r="E150" s="45" t="n">
        <v>1.75</v>
      </c>
      <c r="F150" s="45"/>
      <c r="G150" s="45"/>
      <c r="H150" s="45"/>
      <c r="I150" s="45"/>
    </row>
    <row r="151" customFormat="false" ht="15" hidden="false" customHeight="false" outlineLevel="0" collapsed="false">
      <c r="A151" s="45" t="s">
        <v>601</v>
      </c>
      <c r="B151" s="45" t="s">
        <v>576</v>
      </c>
      <c r="C151" s="45" t="s">
        <v>505</v>
      </c>
      <c r="D151" s="45" t="s">
        <v>602</v>
      </c>
      <c r="E151" s="45" t="s">
        <v>603</v>
      </c>
      <c r="F151" s="45" t="n">
        <v>16</v>
      </c>
      <c r="G151" s="45" t="n">
        <v>550</v>
      </c>
      <c r="H151" s="45" t="n">
        <v>275</v>
      </c>
      <c r="I151" s="45"/>
    </row>
    <row r="152" customFormat="false" ht="15" hidden="false" customHeight="false" outlineLevel="0" collapsed="false">
      <c r="A152" s="45" t="s">
        <v>601</v>
      </c>
      <c r="B152" s="45" t="s">
        <v>576</v>
      </c>
      <c r="C152" s="45" t="s">
        <v>505</v>
      </c>
      <c r="D152" s="45" t="s">
        <v>530</v>
      </c>
      <c r="E152" s="45" t="n">
        <v>3.75</v>
      </c>
      <c r="F152" s="45"/>
      <c r="G152" s="45"/>
      <c r="H152" s="45"/>
      <c r="I152" s="45"/>
    </row>
    <row r="153" customFormat="false" ht="15" hidden="false" customHeight="false" outlineLevel="0" collapsed="false">
      <c r="A153" s="45" t="s">
        <v>604</v>
      </c>
      <c r="B153" s="45" t="s">
        <v>515</v>
      </c>
      <c r="C153" s="45" t="s">
        <v>511</v>
      </c>
      <c r="D153" s="45" t="s">
        <v>286</v>
      </c>
      <c r="E153" s="45" t="n">
        <v>78.25</v>
      </c>
      <c r="F153" s="45"/>
      <c r="G153" s="45"/>
      <c r="H153" s="45"/>
      <c r="I153" s="45"/>
    </row>
    <row r="154" customFormat="false" ht="15" hidden="false" customHeight="false" outlineLevel="0" collapsed="false">
      <c r="A154" s="45" t="s">
        <v>604</v>
      </c>
      <c r="B154" s="45" t="s">
        <v>515</v>
      </c>
      <c r="C154" s="45" t="s">
        <v>511</v>
      </c>
      <c r="D154" s="45" t="s">
        <v>489</v>
      </c>
      <c r="E154" s="45" t="n">
        <v>83.25</v>
      </c>
      <c r="F154" s="45"/>
      <c r="G154" s="45"/>
      <c r="H154" s="45"/>
      <c r="I154" s="45"/>
    </row>
    <row r="155" customFormat="false" ht="15" hidden="false" customHeight="false" outlineLevel="0" collapsed="false">
      <c r="A155" s="45" t="s">
        <v>604</v>
      </c>
      <c r="B155" s="45" t="s">
        <v>515</v>
      </c>
      <c r="C155" s="45" t="s">
        <v>511</v>
      </c>
      <c r="D155" s="45" t="s">
        <v>605</v>
      </c>
      <c r="E155" s="45" t="n">
        <v>74</v>
      </c>
      <c r="F155" s="45" t="n">
        <v>126</v>
      </c>
      <c r="G155" s="45" t="n">
        <v>4970</v>
      </c>
      <c r="H155" s="45"/>
      <c r="I155" s="45"/>
    </row>
    <row r="156" customFormat="false" ht="15" hidden="false" customHeight="false" outlineLevel="0" collapsed="false">
      <c r="A156" s="45" t="s">
        <v>604</v>
      </c>
      <c r="B156" s="45" t="s">
        <v>522</v>
      </c>
      <c r="C156" s="45" t="s">
        <v>520</v>
      </c>
      <c r="D156" s="45" t="s">
        <v>478</v>
      </c>
      <c r="E156" s="45" t="n">
        <v>322</v>
      </c>
      <c r="F156" s="45" t="n">
        <v>377</v>
      </c>
      <c r="G156" s="45" t="n">
        <v>1710</v>
      </c>
      <c r="H156" s="45"/>
      <c r="I156" s="45"/>
    </row>
    <row r="157" customFormat="false" ht="15" hidden="false" customHeight="false" outlineLevel="0" collapsed="false">
      <c r="A157" s="45" t="s">
        <v>604</v>
      </c>
      <c r="B157" s="45" t="s">
        <v>522</v>
      </c>
      <c r="C157" s="45" t="s">
        <v>520</v>
      </c>
      <c r="D157" s="45" t="s">
        <v>329</v>
      </c>
      <c r="E157" s="45" t="n">
        <v>146.25</v>
      </c>
      <c r="F157" s="45"/>
      <c r="G157" s="45"/>
      <c r="H157" s="45"/>
      <c r="I157" s="45"/>
    </row>
    <row r="158" customFormat="false" ht="15" hidden="false" customHeight="false" outlineLevel="0" collapsed="false">
      <c r="A158" s="45" t="s">
        <v>604</v>
      </c>
      <c r="B158" s="45" t="s">
        <v>524</v>
      </c>
      <c r="C158" s="45" t="s">
        <v>520</v>
      </c>
      <c r="D158" s="45" t="s">
        <v>381</v>
      </c>
      <c r="E158" s="45" t="n">
        <v>43.75</v>
      </c>
      <c r="F158" s="45"/>
      <c r="G158" s="45"/>
      <c r="H158" s="45"/>
      <c r="I158" s="45"/>
    </row>
    <row r="159" customFormat="false" ht="15" hidden="false" customHeight="false" outlineLevel="0" collapsed="false">
      <c r="A159" s="45" t="s">
        <v>604</v>
      </c>
      <c r="B159" s="45" t="s">
        <v>524</v>
      </c>
      <c r="C159" s="45" t="s">
        <v>520</v>
      </c>
      <c r="D159" s="45" t="s">
        <v>411</v>
      </c>
      <c r="E159" s="45" t="n">
        <v>27.25</v>
      </c>
      <c r="F159" s="45" t="n">
        <v>117</v>
      </c>
      <c r="G159" s="45" t="n">
        <v>14465</v>
      </c>
      <c r="H159" s="45" t="n">
        <v>3525</v>
      </c>
      <c r="I159" s="45"/>
    </row>
    <row r="160" customFormat="false" ht="15" hidden="false" customHeight="false" outlineLevel="0" collapsed="false">
      <c r="A160" s="45" t="s">
        <v>604</v>
      </c>
      <c r="B160" s="45" t="s">
        <v>525</v>
      </c>
      <c r="C160" s="45" t="s">
        <v>526</v>
      </c>
      <c r="D160" s="45" t="s">
        <v>606</v>
      </c>
      <c r="E160" s="45" t="n">
        <v>35.5</v>
      </c>
      <c r="F160" s="45"/>
      <c r="G160" s="45"/>
      <c r="H160" s="45"/>
      <c r="I160" s="45"/>
    </row>
    <row r="161" customFormat="false" ht="15" hidden="false" customHeight="false" outlineLevel="0" collapsed="false">
      <c r="A161" s="45" t="s">
        <v>604</v>
      </c>
      <c r="B161" s="45" t="s">
        <v>525</v>
      </c>
      <c r="C161" s="45" t="s">
        <v>526</v>
      </c>
      <c r="D161" s="45" t="s">
        <v>419</v>
      </c>
      <c r="E161" s="45" t="n">
        <v>61</v>
      </c>
      <c r="F161" s="45"/>
      <c r="G161" s="45" t="n">
        <v>685</v>
      </c>
      <c r="H161" s="45"/>
      <c r="I161" s="45"/>
    </row>
    <row r="162" customFormat="false" ht="15" hidden="false" customHeight="false" outlineLevel="0" collapsed="false">
      <c r="A162" s="45" t="s">
        <v>604</v>
      </c>
      <c r="B162" s="45" t="s">
        <v>513</v>
      </c>
      <c r="C162" s="45" t="s">
        <v>505</v>
      </c>
      <c r="D162" s="45" t="s">
        <v>607</v>
      </c>
      <c r="E162" s="45" t="n">
        <v>2</v>
      </c>
      <c r="F162" s="45" t="n">
        <v>19</v>
      </c>
      <c r="G162" s="45" t="n">
        <v>85</v>
      </c>
      <c r="H162" s="45"/>
      <c r="I162" s="45"/>
    </row>
    <row r="163" customFormat="false" ht="15" hidden="false" customHeight="false" outlineLevel="0" collapsed="false">
      <c r="A163" s="45" t="s">
        <v>604</v>
      </c>
      <c r="B163" s="45" t="s">
        <v>527</v>
      </c>
      <c r="C163" s="45" t="s">
        <v>528</v>
      </c>
      <c r="D163" s="45" t="s">
        <v>413</v>
      </c>
      <c r="E163" s="45" t="n">
        <v>93.75</v>
      </c>
      <c r="F163" s="45" t="n">
        <v>37</v>
      </c>
      <c r="G163" s="45" t="n">
        <v>900</v>
      </c>
      <c r="H163" s="45"/>
      <c r="I163" s="45"/>
    </row>
    <row r="164" customFormat="false" ht="15" hidden="false" customHeight="false" outlineLevel="0" collapsed="false">
      <c r="A164" s="45" t="s">
        <v>604</v>
      </c>
      <c r="B164" s="45" t="s">
        <v>527</v>
      </c>
      <c r="C164" s="45" t="s">
        <v>528</v>
      </c>
      <c r="D164" s="45" t="s">
        <v>458</v>
      </c>
      <c r="E164" s="45" t="n">
        <v>227.25</v>
      </c>
      <c r="F164" s="45"/>
      <c r="G164" s="45"/>
      <c r="H164" s="45"/>
      <c r="I164" s="45"/>
    </row>
    <row r="165" customFormat="false" ht="15" hidden="false" customHeight="false" outlineLevel="0" collapsed="false">
      <c r="A165" s="45" t="s">
        <v>604</v>
      </c>
      <c r="B165" s="45" t="s">
        <v>531</v>
      </c>
      <c r="C165" s="45" t="s">
        <v>528</v>
      </c>
      <c r="D165" s="45" t="s">
        <v>561</v>
      </c>
      <c r="E165" s="45" t="s">
        <v>608</v>
      </c>
      <c r="F165" s="45" t="n">
        <v>7</v>
      </c>
      <c r="G165" s="45" t="n">
        <v>15</v>
      </c>
      <c r="H165" s="45"/>
      <c r="I165" s="45"/>
    </row>
    <row r="166" customFormat="false" ht="15" hidden="false" customHeight="false" outlineLevel="0" collapsed="false">
      <c r="A166" s="45" t="s">
        <v>609</v>
      </c>
      <c r="B166" s="45" t="s">
        <v>504</v>
      </c>
      <c r="C166" s="45" t="s">
        <v>505</v>
      </c>
      <c r="D166" s="45" t="s">
        <v>251</v>
      </c>
      <c r="E166" s="45" t="n">
        <v>2.25</v>
      </c>
      <c r="F166" s="45" t="n">
        <v>20</v>
      </c>
      <c r="G166" s="45" t="n">
        <v>115</v>
      </c>
      <c r="H166" s="45"/>
      <c r="I166" s="45"/>
    </row>
    <row r="167" customFormat="false" ht="15" hidden="false" customHeight="false" outlineLevel="0" collapsed="false">
      <c r="A167" s="45" t="s">
        <v>609</v>
      </c>
      <c r="B167" s="45" t="s">
        <v>504</v>
      </c>
      <c r="C167" s="45" t="s">
        <v>505</v>
      </c>
      <c r="D167" s="45" t="s">
        <v>411</v>
      </c>
      <c r="E167" s="45" t="n">
        <v>1.75</v>
      </c>
      <c r="F167" s="45"/>
      <c r="G167" s="45"/>
      <c r="H167" s="45"/>
      <c r="I167" s="45"/>
    </row>
    <row r="168" customFormat="false" ht="15" hidden="false" customHeight="false" outlineLevel="0" collapsed="false">
      <c r="A168" s="45" t="s">
        <v>609</v>
      </c>
      <c r="B168" s="45" t="s">
        <v>519</v>
      </c>
      <c r="C168" s="45" t="s">
        <v>520</v>
      </c>
      <c r="D168" s="45" t="s">
        <v>453</v>
      </c>
      <c r="E168" s="45" t="n">
        <v>2.5</v>
      </c>
      <c r="F168" s="45" t="n">
        <v>9</v>
      </c>
      <c r="G168" s="45" t="n">
        <v>30</v>
      </c>
      <c r="H168" s="45"/>
      <c r="I168" s="45"/>
    </row>
    <row r="169" customFormat="false" ht="15" hidden="false" customHeight="false" outlineLevel="0" collapsed="false">
      <c r="A169" s="45" t="s">
        <v>609</v>
      </c>
      <c r="B169" s="45" t="s">
        <v>519</v>
      </c>
      <c r="C169" s="45" t="s">
        <v>520</v>
      </c>
      <c r="D169" s="45" t="s">
        <v>392</v>
      </c>
      <c r="E169" s="45" t="n">
        <v>1.75</v>
      </c>
      <c r="F169" s="45"/>
      <c r="G169" s="45"/>
      <c r="H169" s="45"/>
      <c r="I169" s="45"/>
    </row>
    <row r="170" customFormat="false" ht="15" hidden="false" customHeight="false" outlineLevel="0" collapsed="false">
      <c r="A170" s="45" t="s">
        <v>610</v>
      </c>
      <c r="B170" s="45" t="s">
        <v>551</v>
      </c>
      <c r="C170" s="45" t="s">
        <v>552</v>
      </c>
      <c r="D170" s="45" t="s">
        <v>419</v>
      </c>
      <c r="E170" s="45" t="n">
        <v>2.5</v>
      </c>
      <c r="F170" s="45"/>
      <c r="G170" s="45"/>
      <c r="H170" s="45"/>
      <c r="I170" s="45"/>
    </row>
    <row r="171" customFormat="false" ht="15" hidden="false" customHeight="false" outlineLevel="0" collapsed="false">
      <c r="A171" s="45" t="s">
        <v>610</v>
      </c>
      <c r="B171" s="45" t="s">
        <v>551</v>
      </c>
      <c r="C171" s="45" t="s">
        <v>552</v>
      </c>
      <c r="D171" s="45" t="s">
        <v>316</v>
      </c>
      <c r="E171" s="45" t="n">
        <v>2.5</v>
      </c>
      <c r="F171" s="45"/>
      <c r="G171" s="45" t="n">
        <v>50</v>
      </c>
      <c r="H171" s="45"/>
      <c r="I171" s="45"/>
    </row>
    <row r="172" customFormat="false" ht="15" hidden="false" customHeight="false" outlineLevel="0" collapsed="false">
      <c r="A172" s="45" t="s">
        <v>610</v>
      </c>
      <c r="B172" s="45" t="s">
        <v>535</v>
      </c>
      <c r="C172" s="45" t="s">
        <v>536</v>
      </c>
      <c r="D172" s="45" t="s">
        <v>272</v>
      </c>
      <c r="E172" s="45" t="n">
        <v>3.75</v>
      </c>
      <c r="F172" s="45"/>
      <c r="G172" s="45"/>
      <c r="H172" s="45"/>
      <c r="I172" s="45"/>
    </row>
    <row r="173" customFormat="false" ht="15" hidden="false" customHeight="false" outlineLevel="0" collapsed="false">
      <c r="A173" s="45" t="s">
        <v>610</v>
      </c>
      <c r="B173" s="45" t="s">
        <v>535</v>
      </c>
      <c r="C173" s="45" t="s">
        <v>536</v>
      </c>
      <c r="D173" s="45" t="s">
        <v>470</v>
      </c>
      <c r="E173" s="45" t="n">
        <v>4.75</v>
      </c>
      <c r="F173" s="45" t="n">
        <v>19</v>
      </c>
      <c r="G173" s="45" t="n">
        <v>330</v>
      </c>
      <c r="H173" s="45"/>
      <c r="I173" s="45"/>
    </row>
    <row r="174" customFormat="false" ht="15" hidden="false" customHeight="false" outlineLevel="0" collapsed="false">
      <c r="A174" s="45" t="s">
        <v>611</v>
      </c>
      <c r="B174" s="45" t="s">
        <v>576</v>
      </c>
      <c r="C174" s="45" t="s">
        <v>505</v>
      </c>
      <c r="D174" s="45" t="s">
        <v>612</v>
      </c>
      <c r="E174" s="45" t="n">
        <v>3</v>
      </c>
      <c r="F174" s="45" t="n">
        <v>33</v>
      </c>
      <c r="G174" s="45" t="n">
        <v>795</v>
      </c>
      <c r="H174" s="45" t="n">
        <v>565</v>
      </c>
      <c r="I174" s="45"/>
    </row>
    <row r="175" customFormat="false" ht="15" hidden="false" customHeight="false" outlineLevel="0" collapsed="false">
      <c r="A175" s="45" t="s">
        <v>611</v>
      </c>
      <c r="B175" s="45" t="s">
        <v>576</v>
      </c>
      <c r="C175" s="45" t="s">
        <v>505</v>
      </c>
      <c r="D175" s="45" t="s">
        <v>458</v>
      </c>
      <c r="E175" s="45" t="n">
        <v>3.25</v>
      </c>
      <c r="F175" s="45"/>
      <c r="G175" s="45"/>
      <c r="H175" s="45"/>
      <c r="I175" s="45"/>
    </row>
    <row r="176" customFormat="false" ht="15" hidden="false" customHeight="false" outlineLevel="0" collapsed="false">
      <c r="A176" s="45" t="s">
        <v>613</v>
      </c>
      <c r="B176" s="45" t="s">
        <v>504</v>
      </c>
      <c r="C176" s="45" t="s">
        <v>505</v>
      </c>
      <c r="D176" s="45" t="s">
        <v>614</v>
      </c>
      <c r="E176" s="45" t="n">
        <v>2.25</v>
      </c>
      <c r="F176" s="45" t="n">
        <v>13</v>
      </c>
      <c r="G176" s="45" t="n">
        <v>160</v>
      </c>
      <c r="H176" s="45"/>
      <c r="I176" s="45"/>
    </row>
    <row r="177" customFormat="false" ht="15" hidden="false" customHeight="false" outlineLevel="0" collapsed="false">
      <c r="A177" s="45" t="s">
        <v>613</v>
      </c>
      <c r="B177" s="45" t="s">
        <v>504</v>
      </c>
      <c r="C177" s="45" t="s">
        <v>505</v>
      </c>
      <c r="D177" s="45" t="s">
        <v>268</v>
      </c>
      <c r="E177" s="45" t="n">
        <v>2</v>
      </c>
      <c r="F177" s="45"/>
      <c r="G177" s="45"/>
      <c r="H177" s="45"/>
      <c r="I177" s="45"/>
    </row>
    <row r="178" customFormat="false" ht="15" hidden="false" customHeight="false" outlineLevel="0" collapsed="false">
      <c r="A178" s="45" t="s">
        <v>615</v>
      </c>
      <c r="B178" s="45" t="s">
        <v>510</v>
      </c>
      <c r="C178" s="45" t="s">
        <v>511</v>
      </c>
      <c r="D178" s="45" t="s">
        <v>280</v>
      </c>
      <c r="E178" s="45" t="n">
        <v>4</v>
      </c>
      <c r="F178" s="45" t="n">
        <v>64</v>
      </c>
      <c r="G178" s="45" t="n">
        <v>50</v>
      </c>
      <c r="H178" s="45"/>
      <c r="I178" s="45"/>
    </row>
    <row r="179" customFormat="false" ht="15" hidden="false" customHeight="false" outlineLevel="0" collapsed="false">
      <c r="A179" s="45" t="s">
        <v>616</v>
      </c>
      <c r="B179" s="45" t="s">
        <v>515</v>
      </c>
      <c r="C179" s="45" t="s">
        <v>511</v>
      </c>
      <c r="D179" s="45" t="s">
        <v>328</v>
      </c>
      <c r="E179" s="45" t="n">
        <v>77.5</v>
      </c>
      <c r="F179" s="45"/>
      <c r="G179" s="45"/>
      <c r="H179" s="45"/>
      <c r="I179" s="45"/>
    </row>
    <row r="180" customFormat="false" ht="15" hidden="false" customHeight="false" outlineLevel="0" collapsed="false">
      <c r="A180" s="45" t="s">
        <v>616</v>
      </c>
      <c r="B180" s="45" t="s">
        <v>515</v>
      </c>
      <c r="C180" s="45" t="s">
        <v>511</v>
      </c>
      <c r="D180" s="45" t="s">
        <v>396</v>
      </c>
      <c r="E180" s="45" t="n">
        <v>92</v>
      </c>
      <c r="F180" s="45"/>
      <c r="G180" s="45"/>
      <c r="H180" s="45"/>
      <c r="I180" s="45"/>
    </row>
    <row r="181" customFormat="false" ht="15" hidden="false" customHeight="false" outlineLevel="0" collapsed="false">
      <c r="A181" s="45" t="s">
        <v>616</v>
      </c>
      <c r="B181" s="45" t="s">
        <v>515</v>
      </c>
      <c r="C181" s="45" t="s">
        <v>511</v>
      </c>
      <c r="D181" s="45" t="s">
        <v>280</v>
      </c>
      <c r="E181" s="45" t="n">
        <v>99.75</v>
      </c>
      <c r="F181" s="45" t="n">
        <v>142</v>
      </c>
      <c r="G181" s="45" t="n">
        <v>9455</v>
      </c>
      <c r="H181" s="45"/>
      <c r="I181" s="45"/>
    </row>
    <row r="182" customFormat="false" ht="15" hidden="false" customHeight="false" outlineLevel="0" collapsed="false">
      <c r="A182" s="45" t="s">
        <v>616</v>
      </c>
      <c r="B182" s="45" t="s">
        <v>522</v>
      </c>
      <c r="C182" s="45" t="s">
        <v>520</v>
      </c>
      <c r="D182" s="45" t="s">
        <v>381</v>
      </c>
      <c r="E182" s="45" t="n">
        <v>338.75</v>
      </c>
      <c r="F182" s="45" t="n">
        <v>457</v>
      </c>
      <c r="G182" s="45" t="n">
        <v>1300</v>
      </c>
      <c r="H182" s="45"/>
      <c r="I182" s="45"/>
    </row>
    <row r="183" customFormat="false" ht="15" hidden="false" customHeight="false" outlineLevel="0" collapsed="false">
      <c r="A183" s="45" t="s">
        <v>616</v>
      </c>
      <c r="B183" s="45" t="s">
        <v>522</v>
      </c>
      <c r="C183" s="45" t="s">
        <v>520</v>
      </c>
      <c r="D183" s="45" t="s">
        <v>289</v>
      </c>
      <c r="E183" s="45" t="n">
        <v>131.25</v>
      </c>
      <c r="F183" s="45"/>
      <c r="G183" s="45"/>
      <c r="H183" s="45"/>
      <c r="I183" s="45"/>
    </row>
    <row r="184" customFormat="false" ht="15" hidden="false" customHeight="false" outlineLevel="0" collapsed="false">
      <c r="A184" s="45" t="s">
        <v>616</v>
      </c>
      <c r="B184" s="45" t="s">
        <v>524</v>
      </c>
      <c r="C184" s="45" t="s">
        <v>520</v>
      </c>
      <c r="D184" s="45" t="s">
        <v>617</v>
      </c>
      <c r="E184" s="45" t="n">
        <v>62</v>
      </c>
      <c r="F184" s="45"/>
      <c r="G184" s="45"/>
      <c r="H184" s="45"/>
      <c r="I184" s="45"/>
    </row>
    <row r="185" customFormat="false" ht="15" hidden="false" customHeight="false" outlineLevel="0" collapsed="false">
      <c r="A185" s="45" t="s">
        <v>616</v>
      </c>
      <c r="B185" s="45" t="s">
        <v>524</v>
      </c>
      <c r="C185" s="45" t="s">
        <v>520</v>
      </c>
      <c r="D185" s="45" t="s">
        <v>259</v>
      </c>
      <c r="E185" s="45" t="n">
        <v>31.75</v>
      </c>
      <c r="F185" s="45" t="n">
        <v>168</v>
      </c>
      <c r="G185" s="45" t="n">
        <v>9905</v>
      </c>
      <c r="H185" s="45" t="n">
        <v>5170</v>
      </c>
      <c r="I185" s="45"/>
    </row>
    <row r="186" customFormat="false" ht="15" hidden="false" customHeight="false" outlineLevel="0" collapsed="false">
      <c r="A186" s="45" t="s">
        <v>616</v>
      </c>
      <c r="B186" s="45" t="s">
        <v>618</v>
      </c>
      <c r="C186" s="45" t="s">
        <v>526</v>
      </c>
      <c r="D186" s="45" t="s">
        <v>313</v>
      </c>
      <c r="E186" s="45" t="n">
        <v>121.75</v>
      </c>
      <c r="F186" s="45"/>
      <c r="G186" s="45" t="n">
        <v>3915</v>
      </c>
      <c r="H186" s="45"/>
      <c r="I186" s="45" t="s">
        <v>619</v>
      </c>
    </row>
    <row r="187" customFormat="false" ht="15" hidden="false" customHeight="false" outlineLevel="0" collapsed="false">
      <c r="A187" s="45" t="s">
        <v>616</v>
      </c>
      <c r="B187" s="45" t="s">
        <v>618</v>
      </c>
      <c r="C187" s="45" t="s">
        <v>526</v>
      </c>
      <c r="D187" s="45" t="s">
        <v>620</v>
      </c>
      <c r="E187" s="45" t="n">
        <v>71</v>
      </c>
      <c r="F187" s="45"/>
      <c r="G187" s="45"/>
      <c r="H187" s="45"/>
      <c r="I187" s="45" t="s">
        <v>619</v>
      </c>
    </row>
    <row r="188" customFormat="false" ht="15" hidden="false" customHeight="false" outlineLevel="0" collapsed="false">
      <c r="A188" s="45" t="s">
        <v>616</v>
      </c>
      <c r="B188" s="45" t="s">
        <v>525</v>
      </c>
      <c r="C188" s="45" t="s">
        <v>526</v>
      </c>
      <c r="D188" s="45" t="s">
        <v>461</v>
      </c>
      <c r="E188" s="45" t="n">
        <v>57</v>
      </c>
      <c r="F188" s="45"/>
      <c r="G188" s="45"/>
      <c r="H188" s="45"/>
      <c r="I188" s="45"/>
    </row>
    <row r="189" customFormat="false" ht="15" hidden="false" customHeight="false" outlineLevel="0" collapsed="false">
      <c r="A189" s="45" t="s">
        <v>616</v>
      </c>
      <c r="B189" s="45" t="s">
        <v>525</v>
      </c>
      <c r="C189" s="45" t="s">
        <v>526</v>
      </c>
      <c r="D189" s="45" t="s">
        <v>292</v>
      </c>
      <c r="E189" s="45" t="n">
        <v>66.75</v>
      </c>
      <c r="F189" s="45"/>
      <c r="G189" s="45" t="n">
        <v>485</v>
      </c>
      <c r="H189" s="45"/>
      <c r="I189" s="45"/>
    </row>
    <row r="190" customFormat="false" ht="15" hidden="false" customHeight="false" outlineLevel="0" collapsed="false">
      <c r="A190" s="45" t="s">
        <v>616</v>
      </c>
      <c r="B190" s="45" t="s">
        <v>513</v>
      </c>
      <c r="C190" s="45" t="s">
        <v>505</v>
      </c>
      <c r="D190" s="45" t="s">
        <v>607</v>
      </c>
      <c r="E190" s="45" t="n">
        <v>2</v>
      </c>
      <c r="F190" s="45" t="n">
        <v>14</v>
      </c>
      <c r="G190" s="45" t="n">
        <v>100</v>
      </c>
      <c r="H190" s="45"/>
      <c r="I190" s="45"/>
    </row>
    <row r="191" customFormat="false" ht="15" hidden="false" customHeight="false" outlineLevel="0" collapsed="false">
      <c r="A191" s="45" t="s">
        <v>616</v>
      </c>
      <c r="B191" s="45" t="s">
        <v>527</v>
      </c>
      <c r="C191" s="45" t="s">
        <v>528</v>
      </c>
      <c r="D191" s="45" t="s">
        <v>364</v>
      </c>
      <c r="E191" s="45" t="n">
        <v>131.75</v>
      </c>
      <c r="F191" s="45" t="n">
        <v>43</v>
      </c>
      <c r="G191" s="45" t="n">
        <v>995</v>
      </c>
      <c r="H191" s="45"/>
      <c r="I191" s="45"/>
    </row>
    <row r="192" customFormat="false" ht="15" hidden="false" customHeight="false" outlineLevel="0" collapsed="false">
      <c r="A192" s="45" t="s">
        <v>616</v>
      </c>
      <c r="B192" s="45" t="s">
        <v>527</v>
      </c>
      <c r="C192" s="45" t="s">
        <v>528</v>
      </c>
      <c r="D192" s="45" t="s">
        <v>280</v>
      </c>
      <c r="E192" s="45" t="n">
        <v>207.75</v>
      </c>
      <c r="F192" s="45"/>
      <c r="G192" s="45"/>
      <c r="H192" s="45"/>
      <c r="I192" s="45"/>
    </row>
    <row r="193" customFormat="false" ht="15" hidden="false" customHeight="false" outlineLevel="0" collapsed="false">
      <c r="A193" s="45" t="s">
        <v>616</v>
      </c>
      <c r="B193" s="45" t="s">
        <v>531</v>
      </c>
      <c r="C193" s="45" t="s">
        <v>528</v>
      </c>
      <c r="D193" s="45" t="s">
        <v>561</v>
      </c>
      <c r="E193" s="45" t="n">
        <v>52</v>
      </c>
      <c r="F193" s="45" t="n">
        <v>6</v>
      </c>
      <c r="G193" s="45" t="n">
        <v>25</v>
      </c>
      <c r="H193" s="45"/>
      <c r="I193" s="45"/>
    </row>
    <row r="194" customFormat="false" ht="15" hidden="false" customHeight="false" outlineLevel="0" collapsed="false">
      <c r="A194" s="45" t="s">
        <v>621</v>
      </c>
      <c r="B194" s="45" t="s">
        <v>576</v>
      </c>
      <c r="C194" s="45" t="s">
        <v>505</v>
      </c>
      <c r="D194" s="45" t="s">
        <v>356</v>
      </c>
      <c r="E194" s="45" t="n">
        <v>3.5</v>
      </c>
      <c r="F194" s="45" t="n">
        <v>20</v>
      </c>
      <c r="G194" s="45" t="n">
        <v>525</v>
      </c>
      <c r="H194" s="45" t="n">
        <v>420</v>
      </c>
      <c r="I194" s="45"/>
    </row>
    <row r="195" customFormat="false" ht="15" hidden="false" customHeight="false" outlineLevel="0" collapsed="false">
      <c r="A195" s="45" t="s">
        <v>621</v>
      </c>
      <c r="B195" s="45" t="s">
        <v>576</v>
      </c>
      <c r="C195" s="45" t="s">
        <v>505</v>
      </c>
      <c r="D195" s="45" t="s">
        <v>622</v>
      </c>
      <c r="E195" s="45" t="n">
        <v>3.5</v>
      </c>
      <c r="F195" s="45"/>
      <c r="G195" s="45"/>
      <c r="H195" s="45"/>
      <c r="I195" s="45"/>
    </row>
    <row r="196" customFormat="false" ht="15" hidden="false" customHeight="false" outlineLevel="0" collapsed="false">
      <c r="A196" s="45" t="s">
        <v>623</v>
      </c>
      <c r="B196" s="45" t="s">
        <v>510</v>
      </c>
      <c r="C196" s="45" t="s">
        <v>511</v>
      </c>
      <c r="D196" s="45" t="s">
        <v>301</v>
      </c>
      <c r="E196" s="45" t="n">
        <v>3.75</v>
      </c>
      <c r="F196" s="45" t="n">
        <v>56</v>
      </c>
      <c r="G196" s="45" t="n">
        <v>95</v>
      </c>
      <c r="H196" s="45"/>
      <c r="I196" s="45"/>
    </row>
    <row r="197" customFormat="false" ht="15" hidden="false" customHeight="false" outlineLevel="0" collapsed="false">
      <c r="A197" s="45" t="s">
        <v>624</v>
      </c>
      <c r="B197" s="45" t="s">
        <v>513</v>
      </c>
      <c r="C197" s="45" t="s">
        <v>505</v>
      </c>
      <c r="D197" s="45" t="s">
        <v>464</v>
      </c>
      <c r="E197" s="45" t="n">
        <v>2</v>
      </c>
      <c r="F197" s="45" t="n">
        <v>20</v>
      </c>
      <c r="G197" s="45" t="n">
        <v>90</v>
      </c>
      <c r="H197" s="45"/>
      <c r="I197" s="45"/>
    </row>
    <row r="198" customFormat="false" ht="15" hidden="false" customHeight="false" outlineLevel="0" collapsed="false">
      <c r="A198" s="45" t="s">
        <v>625</v>
      </c>
      <c r="B198" s="45" t="s">
        <v>510</v>
      </c>
      <c r="C198" s="45" t="s">
        <v>511</v>
      </c>
      <c r="D198" s="45" t="s">
        <v>458</v>
      </c>
      <c r="E198" s="45" t="n">
        <v>3.25</v>
      </c>
      <c r="F198" s="45" t="n">
        <v>74</v>
      </c>
      <c r="G198" s="45" t="n">
        <v>110</v>
      </c>
      <c r="H198" s="45"/>
      <c r="I198" s="45"/>
    </row>
    <row r="199" customFormat="false" ht="15" hidden="false" customHeight="false" outlineLevel="0" collapsed="false">
      <c r="A199" s="45" t="s">
        <v>626</v>
      </c>
      <c r="B199" s="45" t="s">
        <v>515</v>
      </c>
      <c r="C199" s="45" t="s">
        <v>511</v>
      </c>
      <c r="D199" s="45" t="s">
        <v>278</v>
      </c>
      <c r="E199" s="45" t="n">
        <v>78.25</v>
      </c>
      <c r="F199" s="45"/>
      <c r="G199" s="45"/>
      <c r="H199" s="45"/>
      <c r="I199" s="45"/>
    </row>
    <row r="200" customFormat="false" ht="15" hidden="false" customHeight="false" outlineLevel="0" collapsed="false">
      <c r="A200" s="45" t="s">
        <v>626</v>
      </c>
      <c r="B200" s="45" t="s">
        <v>515</v>
      </c>
      <c r="C200" s="45" t="s">
        <v>511</v>
      </c>
      <c r="D200" s="45" t="s">
        <v>279</v>
      </c>
      <c r="E200" s="45" t="n">
        <v>76.5</v>
      </c>
      <c r="F200" s="45"/>
      <c r="G200" s="45"/>
      <c r="H200" s="45"/>
      <c r="I200" s="45"/>
    </row>
    <row r="201" customFormat="false" ht="15" hidden="false" customHeight="false" outlineLevel="0" collapsed="false">
      <c r="A201" s="45" t="s">
        <v>626</v>
      </c>
      <c r="B201" s="45" t="s">
        <v>515</v>
      </c>
      <c r="C201" s="45" t="s">
        <v>511</v>
      </c>
      <c r="D201" s="45" t="s">
        <v>262</v>
      </c>
      <c r="E201" s="45" t="n">
        <v>73</v>
      </c>
      <c r="F201" s="45" t="n">
        <v>163</v>
      </c>
      <c r="G201" s="45" t="n">
        <v>5875</v>
      </c>
      <c r="H201" s="45"/>
      <c r="I201" s="45"/>
    </row>
    <row r="202" customFormat="false" ht="15" hidden="false" customHeight="false" outlineLevel="0" collapsed="false">
      <c r="A202" s="45" t="s">
        <v>626</v>
      </c>
      <c r="B202" s="45" t="s">
        <v>522</v>
      </c>
      <c r="C202" s="45" t="s">
        <v>520</v>
      </c>
      <c r="D202" s="45" t="s">
        <v>286</v>
      </c>
      <c r="E202" s="45" t="n">
        <v>321</v>
      </c>
      <c r="F202" s="45" t="n">
        <v>468</v>
      </c>
      <c r="G202" s="45" t="n">
        <v>1615</v>
      </c>
      <c r="H202" s="45" t="n">
        <v>7500</v>
      </c>
      <c r="I202" s="45"/>
    </row>
    <row r="203" customFormat="false" ht="15" hidden="false" customHeight="false" outlineLevel="0" collapsed="false">
      <c r="A203" s="45" t="s">
        <v>626</v>
      </c>
      <c r="B203" s="45" t="s">
        <v>522</v>
      </c>
      <c r="C203" s="45" t="s">
        <v>520</v>
      </c>
      <c r="D203" s="45" t="s">
        <v>627</v>
      </c>
      <c r="E203" s="45"/>
      <c r="F203" s="45"/>
      <c r="G203" s="45"/>
      <c r="H203" s="45"/>
      <c r="I203" s="45"/>
    </row>
    <row r="204" customFormat="false" ht="15" hidden="false" customHeight="false" outlineLevel="0" collapsed="false">
      <c r="A204" s="45" t="s">
        <v>626</v>
      </c>
      <c r="B204" s="45" t="s">
        <v>524</v>
      </c>
      <c r="C204" s="45" t="s">
        <v>520</v>
      </c>
      <c r="D204" s="45" t="s">
        <v>478</v>
      </c>
      <c r="E204" s="45" t="n">
        <v>42.5</v>
      </c>
      <c r="F204" s="45"/>
      <c r="G204" s="45"/>
      <c r="H204" s="45"/>
      <c r="I204" s="45"/>
    </row>
    <row r="205" customFormat="false" ht="15" hidden="false" customHeight="false" outlineLevel="0" collapsed="false">
      <c r="A205" s="45" t="s">
        <v>626</v>
      </c>
      <c r="B205" s="45" t="s">
        <v>524</v>
      </c>
      <c r="C205" s="45" t="s">
        <v>520</v>
      </c>
      <c r="D205" s="45" t="s">
        <v>410</v>
      </c>
      <c r="E205" s="45" t="n">
        <v>21.75</v>
      </c>
      <c r="F205" s="45" t="n">
        <v>185</v>
      </c>
      <c r="G205" s="45" t="n">
        <v>12935</v>
      </c>
      <c r="H205" s="45" t="n">
        <v>6760</v>
      </c>
      <c r="I205" s="45"/>
    </row>
    <row r="206" customFormat="false" ht="15" hidden="false" customHeight="false" outlineLevel="0" collapsed="false">
      <c r="A206" s="45" t="s">
        <v>626</v>
      </c>
      <c r="B206" s="45" t="s">
        <v>618</v>
      </c>
      <c r="C206" s="45" t="s">
        <v>526</v>
      </c>
      <c r="D206" s="45" t="s">
        <v>363</v>
      </c>
      <c r="E206" s="45" t="n">
        <v>90.75</v>
      </c>
      <c r="F206" s="45"/>
      <c r="G206" s="45" t="n">
        <v>10320</v>
      </c>
      <c r="H206" s="45"/>
      <c r="I206" s="45" t="s">
        <v>619</v>
      </c>
    </row>
    <row r="207" customFormat="false" ht="15" hidden="false" customHeight="false" outlineLevel="0" collapsed="false">
      <c r="A207" s="45" t="s">
        <v>626</v>
      </c>
      <c r="B207" s="45" t="s">
        <v>618</v>
      </c>
      <c r="C207" s="45" t="s">
        <v>526</v>
      </c>
      <c r="D207" s="45" t="s">
        <v>384</v>
      </c>
      <c r="E207" s="45" t="n">
        <v>99.25</v>
      </c>
      <c r="F207" s="45"/>
      <c r="G207" s="45"/>
      <c r="H207" s="45"/>
      <c r="I207" s="45" t="s">
        <v>619</v>
      </c>
    </row>
    <row r="208" customFormat="false" ht="15" hidden="false" customHeight="false" outlineLevel="0" collapsed="false">
      <c r="A208" s="45" t="s">
        <v>626</v>
      </c>
      <c r="B208" s="45" t="s">
        <v>525</v>
      </c>
      <c r="C208" s="45" t="s">
        <v>526</v>
      </c>
      <c r="D208" s="45" t="s">
        <v>461</v>
      </c>
      <c r="E208" s="45" t="n">
        <v>48.25</v>
      </c>
      <c r="F208" s="45"/>
      <c r="G208" s="45"/>
      <c r="H208" s="45"/>
      <c r="I208" s="45"/>
    </row>
    <row r="209" customFormat="false" ht="15" hidden="false" customHeight="false" outlineLevel="0" collapsed="false">
      <c r="A209" s="45" t="s">
        <v>626</v>
      </c>
      <c r="B209" s="45" t="s">
        <v>525</v>
      </c>
      <c r="C209" s="45" t="s">
        <v>526</v>
      </c>
      <c r="D209" s="45" t="s">
        <v>419</v>
      </c>
      <c r="E209" s="45" t="n">
        <v>75.5</v>
      </c>
      <c r="F209" s="45"/>
      <c r="G209" s="45" t="n">
        <v>625</v>
      </c>
      <c r="H209" s="45"/>
      <c r="I209" s="45"/>
    </row>
    <row r="210" customFormat="false" ht="15" hidden="false" customHeight="false" outlineLevel="0" collapsed="false">
      <c r="A210" s="45" t="s">
        <v>626</v>
      </c>
      <c r="B210" s="45" t="s">
        <v>527</v>
      </c>
      <c r="C210" s="45" t="s">
        <v>528</v>
      </c>
      <c r="D210" s="45" t="s">
        <v>255</v>
      </c>
      <c r="E210" s="45" t="n">
        <v>105</v>
      </c>
      <c r="F210" s="45" t="n">
        <v>27</v>
      </c>
      <c r="G210" s="45" t="n">
        <v>1130</v>
      </c>
      <c r="H210" s="45"/>
      <c r="I210" s="45"/>
    </row>
    <row r="211" customFormat="false" ht="15" hidden="false" customHeight="false" outlineLevel="0" collapsed="false">
      <c r="A211" s="45" t="s">
        <v>626</v>
      </c>
      <c r="B211" s="45" t="s">
        <v>527</v>
      </c>
      <c r="C211" s="45" t="s">
        <v>528</v>
      </c>
      <c r="D211" s="45" t="s">
        <v>340</v>
      </c>
      <c r="E211" s="45" t="n">
        <v>186.75</v>
      </c>
      <c r="F211" s="45"/>
      <c r="G211" s="45"/>
      <c r="H211" s="45"/>
      <c r="I211" s="45"/>
    </row>
    <row r="212" customFormat="false" ht="15" hidden="false" customHeight="false" outlineLevel="0" collapsed="false">
      <c r="A212" s="45" t="s">
        <v>626</v>
      </c>
      <c r="B212" s="45" t="s">
        <v>531</v>
      </c>
      <c r="C212" s="45" t="s">
        <v>528</v>
      </c>
      <c r="D212" s="45" t="s">
        <v>532</v>
      </c>
      <c r="E212" s="45" t="n">
        <v>77.5</v>
      </c>
      <c r="F212" s="45" t="n">
        <v>4</v>
      </c>
      <c r="G212" s="45" t="n">
        <v>100</v>
      </c>
      <c r="H212" s="45"/>
      <c r="I212" s="45"/>
    </row>
    <row r="213" customFormat="false" ht="15" hidden="false" customHeight="false" outlineLevel="0" collapsed="false">
      <c r="A213" s="45" t="s">
        <v>628</v>
      </c>
      <c r="B213" s="45" t="s">
        <v>519</v>
      </c>
      <c r="C213" s="45" t="s">
        <v>520</v>
      </c>
      <c r="D213" s="45" t="s">
        <v>629</v>
      </c>
      <c r="E213" s="45" t="n">
        <v>2.5</v>
      </c>
      <c r="F213" s="45" t="n">
        <v>14</v>
      </c>
      <c r="G213" s="45" t="n">
        <v>20</v>
      </c>
      <c r="H213" s="45"/>
      <c r="I213" s="45"/>
    </row>
    <row r="214" customFormat="false" ht="15" hidden="false" customHeight="false" outlineLevel="0" collapsed="false">
      <c r="A214" s="45" t="s">
        <v>628</v>
      </c>
      <c r="B214" s="45" t="s">
        <v>519</v>
      </c>
      <c r="C214" s="45" t="s">
        <v>520</v>
      </c>
      <c r="D214" s="45" t="s">
        <v>323</v>
      </c>
      <c r="E214" s="45" t="s">
        <v>630</v>
      </c>
      <c r="F214" s="45"/>
      <c r="G214" s="45"/>
      <c r="H214" s="45"/>
      <c r="I214" s="45"/>
    </row>
    <row r="215" customFormat="false" ht="15" hidden="false" customHeight="false" outlineLevel="0" collapsed="false">
      <c r="A215" s="45" t="s">
        <v>631</v>
      </c>
      <c r="B215" s="45" t="s">
        <v>513</v>
      </c>
      <c r="C215" s="45" t="s">
        <v>505</v>
      </c>
      <c r="D215" s="45" t="s">
        <v>474</v>
      </c>
      <c r="E215" s="45" t="n">
        <v>2</v>
      </c>
      <c r="F215" s="45" t="n">
        <v>19</v>
      </c>
      <c r="G215" s="45" t="n">
        <v>40</v>
      </c>
      <c r="H215" s="45"/>
      <c r="I215" s="45"/>
    </row>
    <row r="216" customFormat="false" ht="15" hidden="false" customHeight="false" outlineLevel="0" collapsed="false">
      <c r="A216" s="45" t="s">
        <v>632</v>
      </c>
      <c r="B216" s="45" t="s">
        <v>519</v>
      </c>
      <c r="C216" s="45" t="s">
        <v>520</v>
      </c>
      <c r="D216" s="45" t="s">
        <v>348</v>
      </c>
      <c r="E216" s="45" t="s">
        <v>633</v>
      </c>
      <c r="F216" s="45" t="n">
        <v>12</v>
      </c>
      <c r="G216" s="45" t="n">
        <v>55</v>
      </c>
      <c r="H216" s="45"/>
      <c r="I216" s="45"/>
    </row>
    <row r="217" customFormat="false" ht="15" hidden="false" customHeight="false" outlineLevel="0" collapsed="false">
      <c r="A217" s="45" t="s">
        <v>632</v>
      </c>
      <c r="B217" s="45" t="s">
        <v>519</v>
      </c>
      <c r="C217" s="45" t="s">
        <v>520</v>
      </c>
      <c r="D217" s="45" t="s">
        <v>342</v>
      </c>
      <c r="E217" s="45" t="n">
        <v>1.75</v>
      </c>
      <c r="F217" s="45"/>
      <c r="G217" s="45"/>
      <c r="H217" s="45"/>
      <c r="I217" s="45"/>
    </row>
    <row r="218" customFormat="false" ht="15" hidden="false" customHeight="false" outlineLevel="0" collapsed="false">
      <c r="A218" s="45" t="s">
        <v>634</v>
      </c>
      <c r="B218" s="45" t="s">
        <v>551</v>
      </c>
      <c r="C218" s="45" t="s">
        <v>552</v>
      </c>
      <c r="D218" s="45" t="s">
        <v>363</v>
      </c>
      <c r="E218" s="45" t="n">
        <v>2</v>
      </c>
      <c r="F218" s="45"/>
      <c r="G218" s="45"/>
      <c r="H218" s="45"/>
      <c r="I218" s="45"/>
    </row>
    <row r="219" customFormat="false" ht="15" hidden="false" customHeight="false" outlineLevel="0" collapsed="false">
      <c r="A219" s="45" t="s">
        <v>634</v>
      </c>
      <c r="B219" s="45" t="s">
        <v>551</v>
      </c>
      <c r="C219" s="45" t="s">
        <v>552</v>
      </c>
      <c r="D219" s="45" t="s">
        <v>429</v>
      </c>
      <c r="E219" s="45" t="n">
        <v>2.25</v>
      </c>
      <c r="F219" s="45"/>
      <c r="G219" s="45" t="n">
        <v>15</v>
      </c>
      <c r="H219" s="45"/>
      <c r="I219" s="45"/>
    </row>
    <row r="220" customFormat="false" ht="15" hidden="false" customHeight="false" outlineLevel="0" collapsed="false">
      <c r="A220" s="45" t="s">
        <v>635</v>
      </c>
      <c r="B220" s="45" t="s">
        <v>540</v>
      </c>
      <c r="C220" s="45" t="s">
        <v>541</v>
      </c>
      <c r="D220" s="45" t="s">
        <v>353</v>
      </c>
      <c r="E220" s="45"/>
      <c r="F220" s="45"/>
      <c r="G220" s="45" t="n">
        <v>7505</v>
      </c>
      <c r="H220" s="45"/>
      <c r="I220" s="45"/>
    </row>
    <row r="221" customFormat="false" ht="15" hidden="false" customHeight="false" outlineLevel="0" collapsed="false">
      <c r="A221" s="45" t="s">
        <v>636</v>
      </c>
      <c r="B221" s="45" t="s">
        <v>515</v>
      </c>
      <c r="C221" s="45" t="s">
        <v>511</v>
      </c>
      <c r="D221" s="45" t="s">
        <v>328</v>
      </c>
      <c r="E221" s="45" t="n">
        <v>80.75</v>
      </c>
      <c r="F221" s="45"/>
      <c r="G221" s="45"/>
      <c r="H221" s="45"/>
      <c r="I221" s="45"/>
    </row>
    <row r="222" customFormat="false" ht="15" hidden="false" customHeight="false" outlineLevel="0" collapsed="false">
      <c r="A222" s="45" t="s">
        <v>636</v>
      </c>
      <c r="B222" s="45" t="s">
        <v>515</v>
      </c>
      <c r="C222" s="45" t="s">
        <v>511</v>
      </c>
      <c r="D222" s="45" t="s">
        <v>434</v>
      </c>
      <c r="E222" s="45" t="n">
        <v>80.25</v>
      </c>
      <c r="F222" s="45"/>
      <c r="G222" s="45"/>
      <c r="H222" s="45"/>
      <c r="I222" s="45"/>
    </row>
    <row r="223" customFormat="false" ht="15" hidden="false" customHeight="false" outlineLevel="0" collapsed="false">
      <c r="A223" s="45" t="s">
        <v>636</v>
      </c>
      <c r="B223" s="45" t="s">
        <v>515</v>
      </c>
      <c r="C223" s="45" t="s">
        <v>511</v>
      </c>
      <c r="D223" s="45" t="s">
        <v>335</v>
      </c>
      <c r="E223" s="45" t="n">
        <v>90</v>
      </c>
      <c r="F223" s="45" t="n">
        <v>305</v>
      </c>
      <c r="G223" s="45" t="n">
        <v>9160</v>
      </c>
      <c r="H223" s="45"/>
      <c r="I223" s="45"/>
    </row>
    <row r="224" customFormat="false" ht="15" hidden="false" customHeight="false" outlineLevel="0" collapsed="false">
      <c r="A224" s="45" t="s">
        <v>636</v>
      </c>
      <c r="B224" s="45" t="s">
        <v>576</v>
      </c>
      <c r="C224" s="45" t="s">
        <v>505</v>
      </c>
      <c r="D224" s="45" t="s">
        <v>532</v>
      </c>
      <c r="E224" s="45" t="n">
        <v>4</v>
      </c>
      <c r="F224" s="45" t="n">
        <v>20</v>
      </c>
      <c r="G224" s="45" t="n">
        <v>300</v>
      </c>
      <c r="H224" s="45" t="n">
        <v>560</v>
      </c>
      <c r="I224" s="45"/>
    </row>
    <row r="225" customFormat="false" ht="15" hidden="false" customHeight="false" outlineLevel="0" collapsed="false">
      <c r="A225" s="45" t="s">
        <v>636</v>
      </c>
      <c r="B225" s="45" t="s">
        <v>576</v>
      </c>
      <c r="C225" s="45" t="s">
        <v>505</v>
      </c>
      <c r="D225" s="45" t="s">
        <v>335</v>
      </c>
      <c r="E225" s="45" t="n">
        <v>3.5</v>
      </c>
      <c r="F225" s="45"/>
      <c r="G225" s="45"/>
      <c r="H225" s="45"/>
      <c r="I225" s="45"/>
    </row>
    <row r="226" customFormat="false" ht="15" hidden="false" customHeight="false" outlineLevel="0" collapsed="false">
      <c r="A226" s="45" t="s">
        <v>636</v>
      </c>
      <c r="B226" s="45" t="s">
        <v>522</v>
      </c>
      <c r="C226" s="45" t="s">
        <v>520</v>
      </c>
      <c r="D226" s="45" t="s">
        <v>395</v>
      </c>
      <c r="E226" s="45" t="n">
        <v>328.75</v>
      </c>
      <c r="F226" s="45" t="n">
        <v>380</v>
      </c>
      <c r="G226" s="45" t="n">
        <v>1605</v>
      </c>
      <c r="H226" s="45"/>
      <c r="I226" s="45"/>
    </row>
    <row r="227" customFormat="false" ht="15" hidden="false" customHeight="false" outlineLevel="0" collapsed="false">
      <c r="A227" s="45" t="s">
        <v>636</v>
      </c>
      <c r="B227" s="45" t="s">
        <v>522</v>
      </c>
      <c r="C227" s="45" t="s">
        <v>520</v>
      </c>
      <c r="D227" s="45" t="s">
        <v>329</v>
      </c>
      <c r="E227" s="45" t="n">
        <v>149</v>
      </c>
      <c r="F227" s="45"/>
      <c r="G227" s="45"/>
      <c r="H227" s="45"/>
      <c r="I227" s="45"/>
    </row>
    <row r="228" customFormat="false" ht="15" hidden="false" customHeight="false" outlineLevel="0" collapsed="false">
      <c r="A228" s="45" t="s">
        <v>636</v>
      </c>
      <c r="B228" s="45" t="s">
        <v>524</v>
      </c>
      <c r="C228" s="45" t="s">
        <v>520</v>
      </c>
      <c r="D228" s="45" t="s">
        <v>395</v>
      </c>
      <c r="E228" s="45" t="n">
        <v>43.5</v>
      </c>
      <c r="F228" s="45"/>
      <c r="G228" s="45"/>
      <c r="H228" s="45"/>
      <c r="I228" s="45"/>
    </row>
    <row r="229" customFormat="false" ht="15" hidden="false" customHeight="false" outlineLevel="0" collapsed="false">
      <c r="A229" s="45" t="s">
        <v>636</v>
      </c>
      <c r="B229" s="45" t="s">
        <v>524</v>
      </c>
      <c r="C229" s="45" t="s">
        <v>520</v>
      </c>
      <c r="D229" s="45" t="s">
        <v>637</v>
      </c>
      <c r="E229" s="45" t="n">
        <v>21</v>
      </c>
      <c r="F229" s="45" t="n">
        <v>146</v>
      </c>
      <c r="G229" s="45" t="n">
        <v>9505</v>
      </c>
      <c r="H229" s="45" t="n">
        <v>5070</v>
      </c>
      <c r="I229" s="45"/>
    </row>
    <row r="230" customFormat="false" ht="15" hidden="false" customHeight="false" outlineLevel="0" collapsed="false">
      <c r="A230" s="45" t="s">
        <v>636</v>
      </c>
      <c r="B230" s="45" t="s">
        <v>525</v>
      </c>
      <c r="C230" s="45" t="s">
        <v>526</v>
      </c>
      <c r="D230" s="45" t="s">
        <v>638</v>
      </c>
      <c r="E230" s="45" t="n">
        <v>51.75</v>
      </c>
      <c r="F230" s="45"/>
      <c r="G230" s="45"/>
      <c r="H230" s="45"/>
      <c r="I230" s="45"/>
    </row>
    <row r="231" customFormat="false" ht="15" hidden="false" customHeight="false" outlineLevel="0" collapsed="false">
      <c r="A231" s="45" t="s">
        <v>636</v>
      </c>
      <c r="B231" s="45" t="s">
        <v>525</v>
      </c>
      <c r="C231" s="45" t="s">
        <v>526</v>
      </c>
      <c r="D231" s="45" t="s">
        <v>557</v>
      </c>
      <c r="E231" s="45" t="n">
        <v>58.5</v>
      </c>
      <c r="F231" s="45"/>
      <c r="G231" s="45" t="n">
        <v>665</v>
      </c>
      <c r="H231" s="45"/>
      <c r="I231" s="45"/>
    </row>
    <row r="232" customFormat="false" ht="15" hidden="false" customHeight="false" outlineLevel="0" collapsed="false">
      <c r="A232" s="45" t="s">
        <v>636</v>
      </c>
      <c r="B232" s="45" t="s">
        <v>527</v>
      </c>
      <c r="C232" s="45" t="s">
        <v>528</v>
      </c>
      <c r="D232" s="45" t="s">
        <v>413</v>
      </c>
      <c r="E232" s="45" t="n">
        <v>142.25</v>
      </c>
      <c r="F232" s="45" t="n">
        <v>38</v>
      </c>
      <c r="G232" s="45" t="n">
        <v>525</v>
      </c>
      <c r="H232" s="45"/>
      <c r="I232" s="45"/>
    </row>
    <row r="233" customFormat="false" ht="15" hidden="false" customHeight="false" outlineLevel="0" collapsed="false">
      <c r="A233" s="45" t="s">
        <v>636</v>
      </c>
      <c r="B233" s="45" t="s">
        <v>527</v>
      </c>
      <c r="C233" s="45" t="s">
        <v>528</v>
      </c>
      <c r="D233" s="45" t="s">
        <v>280</v>
      </c>
      <c r="E233" s="45" t="n">
        <v>222.75</v>
      </c>
      <c r="F233" s="45"/>
      <c r="G233" s="45"/>
      <c r="H233" s="45"/>
      <c r="I233" s="45"/>
    </row>
    <row r="234" customFormat="false" ht="15" hidden="false" customHeight="false" outlineLevel="0" collapsed="false">
      <c r="A234" s="45" t="s">
        <v>636</v>
      </c>
      <c r="B234" s="45" t="s">
        <v>531</v>
      </c>
      <c r="C234" s="45" t="s">
        <v>528</v>
      </c>
      <c r="D234" s="45" t="s">
        <v>561</v>
      </c>
      <c r="E234" s="45" t="n">
        <v>64</v>
      </c>
      <c r="F234" s="45" t="n">
        <v>3</v>
      </c>
      <c r="G234" s="45" t="n">
        <v>10</v>
      </c>
      <c r="H234" s="45"/>
      <c r="I234" s="45"/>
    </row>
    <row r="235" customFormat="false" ht="15" hidden="false" customHeight="false" outlineLevel="0" collapsed="false">
      <c r="A235" s="45" t="s">
        <v>639</v>
      </c>
      <c r="B235" s="45" t="s">
        <v>510</v>
      </c>
      <c r="C235" s="45" t="s">
        <v>511</v>
      </c>
      <c r="D235" s="45" t="s">
        <v>357</v>
      </c>
      <c r="E235" s="45" t="n">
        <v>3</v>
      </c>
      <c r="F235" s="45" t="n">
        <v>65</v>
      </c>
      <c r="G235" s="45" t="n">
        <v>115</v>
      </c>
      <c r="H235" s="45"/>
      <c r="I235" s="45"/>
    </row>
    <row r="236" customFormat="false" ht="15" hidden="false" customHeight="false" outlineLevel="0" collapsed="false">
      <c r="A236" s="45" t="s">
        <v>640</v>
      </c>
      <c r="B236" s="45" t="s">
        <v>504</v>
      </c>
      <c r="C236" s="45" t="s">
        <v>505</v>
      </c>
      <c r="D236" s="45" t="s">
        <v>409</v>
      </c>
      <c r="E236" s="45" t="n">
        <v>2</v>
      </c>
      <c r="F236" s="45" t="n">
        <v>11</v>
      </c>
      <c r="G236" s="45" t="n">
        <v>80</v>
      </c>
      <c r="H236" s="45"/>
      <c r="I236" s="45"/>
    </row>
    <row r="237" customFormat="false" ht="15" hidden="false" customHeight="false" outlineLevel="0" collapsed="false">
      <c r="A237" s="45" t="s">
        <v>640</v>
      </c>
      <c r="B237" s="45" t="s">
        <v>504</v>
      </c>
      <c r="C237" s="45" t="s">
        <v>505</v>
      </c>
      <c r="D237" s="45" t="s">
        <v>641</v>
      </c>
      <c r="E237" s="45" t="n">
        <v>1.75</v>
      </c>
      <c r="F237" s="45"/>
      <c r="G237" s="45"/>
      <c r="H237" s="45"/>
      <c r="I237" s="45"/>
    </row>
    <row r="238" customFormat="false" ht="15" hidden="false" customHeight="false" outlineLevel="0" collapsed="false">
      <c r="A238" s="45" t="s">
        <v>642</v>
      </c>
      <c r="B238" s="45" t="s">
        <v>576</v>
      </c>
      <c r="C238" s="45" t="s">
        <v>505</v>
      </c>
      <c r="D238" s="45" t="s">
        <v>561</v>
      </c>
      <c r="E238" s="45" t="n">
        <v>3.75</v>
      </c>
      <c r="F238" s="45" t="n">
        <v>31</v>
      </c>
      <c r="G238" s="45" t="n">
        <v>595</v>
      </c>
      <c r="H238" s="45" t="n">
        <v>70</v>
      </c>
      <c r="I238" s="45"/>
    </row>
    <row r="239" customFormat="false" ht="15" hidden="false" customHeight="false" outlineLevel="0" collapsed="false">
      <c r="A239" s="45" t="s">
        <v>642</v>
      </c>
      <c r="B239" s="45" t="s">
        <v>576</v>
      </c>
      <c r="C239" s="45" t="s">
        <v>505</v>
      </c>
      <c r="D239" s="45" t="s">
        <v>643</v>
      </c>
      <c r="E239" s="45" t="n">
        <v>4</v>
      </c>
      <c r="F239" s="45"/>
      <c r="G239" s="45"/>
      <c r="H239" s="45"/>
      <c r="I239" s="45"/>
    </row>
    <row r="240" customFormat="false" ht="15" hidden="false" customHeight="false" outlineLevel="0" collapsed="false">
      <c r="A240" s="45" t="s">
        <v>644</v>
      </c>
      <c r="B240" s="45" t="s">
        <v>547</v>
      </c>
      <c r="C240" s="45" t="s">
        <v>548</v>
      </c>
      <c r="D240" s="45" t="s">
        <v>454</v>
      </c>
      <c r="E240" s="45" t="n">
        <v>5.75</v>
      </c>
      <c r="F240" s="45"/>
      <c r="G240" s="45" t="n">
        <v>85895</v>
      </c>
      <c r="H240" s="45"/>
      <c r="I240" s="45"/>
    </row>
    <row r="241" customFormat="false" ht="15" hidden="false" customHeight="false" outlineLevel="0" collapsed="false">
      <c r="A241" s="45" t="s">
        <v>644</v>
      </c>
      <c r="B241" s="45" t="s">
        <v>547</v>
      </c>
      <c r="C241" s="45" t="s">
        <v>548</v>
      </c>
      <c r="D241" s="45" t="s">
        <v>470</v>
      </c>
      <c r="E241" s="45" t="n">
        <v>9.25</v>
      </c>
      <c r="F241" s="45"/>
      <c r="G241" s="45"/>
      <c r="H241" s="45"/>
      <c r="I241" s="45"/>
    </row>
    <row r="242" customFormat="false" ht="15" hidden="false" customHeight="false" outlineLevel="0" collapsed="false">
      <c r="A242" s="45" t="s">
        <v>645</v>
      </c>
      <c r="B242" s="45" t="s">
        <v>535</v>
      </c>
      <c r="C242" s="45" t="s">
        <v>536</v>
      </c>
      <c r="D242" s="45" t="s">
        <v>341</v>
      </c>
      <c r="E242" s="45" t="n">
        <v>4</v>
      </c>
      <c r="F242" s="45"/>
      <c r="G242" s="45"/>
      <c r="H242" s="45"/>
      <c r="I242" s="45"/>
    </row>
    <row r="243" customFormat="false" ht="15" hidden="false" customHeight="false" outlineLevel="0" collapsed="false">
      <c r="A243" s="45" t="s">
        <v>645</v>
      </c>
      <c r="B243" s="45" t="s">
        <v>535</v>
      </c>
      <c r="C243" s="45" t="s">
        <v>536</v>
      </c>
      <c r="D243" s="45" t="s">
        <v>404</v>
      </c>
      <c r="E243" s="45" t="n">
        <v>4.25</v>
      </c>
      <c r="F243" s="45" t="n">
        <v>18</v>
      </c>
      <c r="G243" s="45" t="n">
        <v>740</v>
      </c>
      <c r="H243" s="45"/>
      <c r="I243" s="45"/>
    </row>
    <row r="244" customFormat="false" ht="15" hidden="false" customHeight="false" outlineLevel="0" collapsed="false">
      <c r="A244" s="45" t="s">
        <v>646</v>
      </c>
      <c r="B244" s="45" t="s">
        <v>538</v>
      </c>
      <c r="C244" s="45" t="s">
        <v>505</v>
      </c>
      <c r="D244" s="45" t="s">
        <v>251</v>
      </c>
      <c r="E244" s="45" t="n">
        <v>8</v>
      </c>
      <c r="F244" s="45"/>
      <c r="G244" s="45"/>
      <c r="H244" s="45"/>
      <c r="I244" s="45"/>
    </row>
    <row r="245" customFormat="false" ht="15" hidden="false" customHeight="false" outlineLevel="0" collapsed="false">
      <c r="A245" s="45" t="s">
        <v>646</v>
      </c>
      <c r="B245" s="45" t="s">
        <v>538</v>
      </c>
      <c r="C245" s="45" t="s">
        <v>505</v>
      </c>
      <c r="D245" s="45" t="s">
        <v>347</v>
      </c>
      <c r="E245" s="45" t="s">
        <v>579</v>
      </c>
      <c r="F245" s="45" t="n">
        <v>14</v>
      </c>
      <c r="G245" s="45" t="n">
        <v>575</v>
      </c>
      <c r="H245" s="45"/>
      <c r="I245" s="45"/>
    </row>
    <row r="246" customFormat="false" ht="15" hidden="false" customHeight="false" outlineLevel="0" collapsed="false">
      <c r="A246" s="45" t="s">
        <v>647</v>
      </c>
      <c r="B246" s="45" t="s">
        <v>519</v>
      </c>
      <c r="C246" s="45" t="s">
        <v>520</v>
      </c>
      <c r="D246" s="45" t="s">
        <v>346</v>
      </c>
      <c r="E246" s="45" t="n">
        <v>2.25</v>
      </c>
      <c r="F246" s="45" t="n">
        <v>11</v>
      </c>
      <c r="G246" s="45" t="n">
        <v>35</v>
      </c>
      <c r="H246" s="45"/>
      <c r="I246" s="45"/>
    </row>
    <row r="247" customFormat="false" ht="15" hidden="false" customHeight="false" outlineLevel="0" collapsed="false">
      <c r="A247" s="45" t="s">
        <v>647</v>
      </c>
      <c r="B247" s="45" t="s">
        <v>519</v>
      </c>
      <c r="C247" s="45" t="s">
        <v>520</v>
      </c>
      <c r="D247" s="45" t="s">
        <v>342</v>
      </c>
      <c r="E247" s="45" t="n">
        <v>1.5</v>
      </c>
      <c r="F247" s="45"/>
      <c r="G247" s="45"/>
      <c r="H247" s="45"/>
      <c r="I247" s="45"/>
    </row>
    <row r="248" customFormat="false" ht="15" hidden="false" customHeight="false" outlineLevel="0" collapsed="false">
      <c r="A248" s="45" t="s">
        <v>648</v>
      </c>
      <c r="B248" s="45" t="s">
        <v>515</v>
      </c>
      <c r="C248" s="45" t="s">
        <v>511</v>
      </c>
      <c r="D248" s="45" t="s">
        <v>381</v>
      </c>
      <c r="E248" s="45" t="n">
        <v>86.25</v>
      </c>
      <c r="F248" s="45"/>
      <c r="G248" s="45"/>
      <c r="H248" s="45"/>
      <c r="I248" s="45"/>
    </row>
    <row r="249" customFormat="false" ht="15" hidden="false" customHeight="false" outlineLevel="0" collapsed="false">
      <c r="A249" s="45" t="s">
        <v>648</v>
      </c>
      <c r="B249" s="45" t="s">
        <v>515</v>
      </c>
      <c r="C249" s="45" t="s">
        <v>511</v>
      </c>
      <c r="D249" s="45" t="s">
        <v>396</v>
      </c>
      <c r="E249" s="45" t="n">
        <v>71</v>
      </c>
      <c r="F249" s="45"/>
      <c r="G249" s="45"/>
      <c r="H249" s="45"/>
      <c r="I249" s="45"/>
    </row>
    <row r="250" customFormat="false" ht="15" hidden="false" customHeight="false" outlineLevel="0" collapsed="false">
      <c r="A250" s="45" t="s">
        <v>648</v>
      </c>
      <c r="B250" s="45" t="s">
        <v>515</v>
      </c>
      <c r="C250" s="45" t="s">
        <v>511</v>
      </c>
      <c r="D250" s="45" t="s">
        <v>649</v>
      </c>
      <c r="E250" s="45" t="n">
        <v>103.25</v>
      </c>
      <c r="F250" s="45" t="n">
        <v>224</v>
      </c>
      <c r="G250" s="45" t="n">
        <v>6340</v>
      </c>
      <c r="H250" s="45"/>
      <c r="I250" s="45"/>
    </row>
    <row r="251" customFormat="false" ht="15" hidden="false" customHeight="false" outlineLevel="0" collapsed="false">
      <c r="A251" s="45" t="s">
        <v>648</v>
      </c>
      <c r="B251" s="45" t="s">
        <v>522</v>
      </c>
      <c r="C251" s="45" t="s">
        <v>520</v>
      </c>
      <c r="D251" s="45" t="s">
        <v>278</v>
      </c>
      <c r="E251" s="45" t="n">
        <v>345.75</v>
      </c>
      <c r="F251" s="45" t="n">
        <v>333</v>
      </c>
      <c r="G251" s="45" t="n">
        <v>1635</v>
      </c>
      <c r="H251" s="45"/>
      <c r="I251" s="45"/>
    </row>
    <row r="252" customFormat="false" ht="15" hidden="false" customHeight="false" outlineLevel="0" collapsed="false">
      <c r="A252" s="45" t="s">
        <v>648</v>
      </c>
      <c r="B252" s="45" t="s">
        <v>522</v>
      </c>
      <c r="C252" s="45" t="s">
        <v>520</v>
      </c>
      <c r="D252" s="45" t="s">
        <v>289</v>
      </c>
      <c r="E252" s="45" t="n">
        <v>147.25</v>
      </c>
      <c r="F252" s="45"/>
      <c r="G252" s="45"/>
      <c r="H252" s="45"/>
      <c r="I252" s="45"/>
    </row>
    <row r="253" customFormat="false" ht="15" hidden="false" customHeight="false" outlineLevel="0" collapsed="false">
      <c r="A253" s="45" t="s">
        <v>648</v>
      </c>
      <c r="B253" s="45" t="s">
        <v>524</v>
      </c>
      <c r="C253" s="45" t="s">
        <v>520</v>
      </c>
      <c r="D253" s="45" t="s">
        <v>381</v>
      </c>
      <c r="E253" s="45" t="n">
        <v>55</v>
      </c>
      <c r="F253" s="45"/>
      <c r="G253" s="45"/>
      <c r="H253" s="45"/>
      <c r="I253" s="45"/>
    </row>
    <row r="254" customFormat="false" ht="15" hidden="false" customHeight="false" outlineLevel="0" collapsed="false">
      <c r="A254" s="45" t="s">
        <v>648</v>
      </c>
      <c r="B254" s="45" t="s">
        <v>524</v>
      </c>
      <c r="C254" s="45" t="s">
        <v>520</v>
      </c>
      <c r="D254" s="45" t="s">
        <v>411</v>
      </c>
      <c r="E254" s="45" t="n">
        <v>26.25</v>
      </c>
      <c r="F254" s="45" t="n">
        <v>91</v>
      </c>
      <c r="G254" s="45" t="n">
        <v>10995</v>
      </c>
      <c r="H254" s="45" t="n">
        <v>7185</v>
      </c>
      <c r="I254" s="45"/>
    </row>
    <row r="255" customFormat="false" ht="15" hidden="false" customHeight="false" outlineLevel="0" collapsed="false">
      <c r="A255" s="45" t="s">
        <v>648</v>
      </c>
      <c r="B255" s="45" t="s">
        <v>525</v>
      </c>
      <c r="C255" s="45" t="s">
        <v>526</v>
      </c>
      <c r="D255" s="45" t="s">
        <v>461</v>
      </c>
      <c r="E255" s="45" t="n">
        <v>41.25</v>
      </c>
      <c r="F255" s="45"/>
      <c r="G255" s="45"/>
      <c r="H255" s="45"/>
      <c r="I255" s="45"/>
    </row>
    <row r="256" customFormat="false" ht="15" hidden="false" customHeight="false" outlineLevel="0" collapsed="false">
      <c r="A256" s="45" t="s">
        <v>648</v>
      </c>
      <c r="B256" s="45" t="s">
        <v>525</v>
      </c>
      <c r="C256" s="45" t="s">
        <v>526</v>
      </c>
      <c r="D256" s="45" t="s">
        <v>331</v>
      </c>
      <c r="E256" s="45" t="n">
        <v>72.5</v>
      </c>
      <c r="F256" s="45"/>
      <c r="G256" s="45" t="n">
        <v>250</v>
      </c>
      <c r="H256" s="45"/>
      <c r="I256" s="45"/>
    </row>
    <row r="257" customFormat="false" ht="15" hidden="false" customHeight="false" outlineLevel="0" collapsed="false">
      <c r="A257" s="45" t="s">
        <v>648</v>
      </c>
      <c r="B257" s="45" t="s">
        <v>527</v>
      </c>
      <c r="C257" s="45" t="s">
        <v>528</v>
      </c>
      <c r="D257" s="45" t="s">
        <v>387</v>
      </c>
      <c r="E257" s="45" t="n">
        <v>111</v>
      </c>
      <c r="F257" s="45" t="n">
        <v>18</v>
      </c>
      <c r="G257" s="45" t="n">
        <v>1055</v>
      </c>
      <c r="H257" s="45"/>
      <c r="I257" s="45"/>
    </row>
    <row r="258" customFormat="false" ht="15" hidden="false" customHeight="false" outlineLevel="0" collapsed="false">
      <c r="A258" s="45" t="s">
        <v>648</v>
      </c>
      <c r="B258" s="45" t="s">
        <v>527</v>
      </c>
      <c r="C258" s="45" t="s">
        <v>528</v>
      </c>
      <c r="D258" s="45" t="s">
        <v>357</v>
      </c>
      <c r="E258" s="45" t="n">
        <v>213.75</v>
      </c>
      <c r="F258" s="45"/>
      <c r="G258" s="45"/>
      <c r="H258" s="45"/>
      <c r="I258" s="45"/>
    </row>
    <row r="259" customFormat="false" ht="15" hidden="false" customHeight="false" outlineLevel="0" collapsed="false">
      <c r="A259" s="45" t="s">
        <v>648</v>
      </c>
      <c r="B259" s="45" t="s">
        <v>531</v>
      </c>
      <c r="C259" s="45" t="s">
        <v>528</v>
      </c>
      <c r="D259" s="45" t="s">
        <v>561</v>
      </c>
      <c r="E259" s="45" t="n">
        <v>89.5</v>
      </c>
      <c r="F259" s="45" t="n">
        <v>3</v>
      </c>
      <c r="G259" s="45" t="n">
        <v>10</v>
      </c>
      <c r="H259" s="45"/>
      <c r="I259" s="45"/>
    </row>
    <row r="260" customFormat="false" ht="15" hidden="false" customHeight="false" outlineLevel="0" collapsed="false">
      <c r="A260" s="45" t="s">
        <v>650</v>
      </c>
      <c r="B260" s="45" t="s">
        <v>504</v>
      </c>
      <c r="C260" s="45" t="s">
        <v>505</v>
      </c>
      <c r="D260" s="45" t="s">
        <v>409</v>
      </c>
      <c r="E260" s="45" t="n">
        <v>2.75</v>
      </c>
      <c r="F260" s="45" t="n">
        <v>16</v>
      </c>
      <c r="G260" s="45" t="n">
        <v>135</v>
      </c>
      <c r="H260" s="45"/>
      <c r="I260" s="45"/>
    </row>
    <row r="261" customFormat="false" ht="15" hidden="false" customHeight="false" outlineLevel="0" collapsed="false">
      <c r="A261" s="45" t="s">
        <v>650</v>
      </c>
      <c r="B261" s="45" t="s">
        <v>504</v>
      </c>
      <c r="C261" s="45" t="s">
        <v>505</v>
      </c>
      <c r="D261" s="45" t="s">
        <v>651</v>
      </c>
      <c r="E261" s="45" t="n">
        <v>1.75</v>
      </c>
      <c r="F261" s="45"/>
      <c r="G261" s="45"/>
      <c r="H261" s="45"/>
      <c r="I261" s="45"/>
    </row>
    <row r="262" customFormat="false" ht="15" hidden="false" customHeight="false" outlineLevel="0" collapsed="false">
      <c r="A262" s="45" t="s">
        <v>652</v>
      </c>
      <c r="B262" s="45" t="s">
        <v>535</v>
      </c>
      <c r="C262" s="45" t="s">
        <v>536</v>
      </c>
      <c r="D262" s="45" t="s">
        <v>315</v>
      </c>
      <c r="E262" s="45" t="n">
        <v>3.25</v>
      </c>
      <c r="F262" s="45"/>
      <c r="G262" s="45"/>
      <c r="H262" s="45"/>
      <c r="I262" s="45"/>
    </row>
    <row r="263" customFormat="false" ht="15" hidden="false" customHeight="false" outlineLevel="0" collapsed="false">
      <c r="A263" s="45" t="s">
        <v>652</v>
      </c>
      <c r="B263" s="45" t="s">
        <v>535</v>
      </c>
      <c r="C263" s="45" t="s">
        <v>536</v>
      </c>
      <c r="D263" s="45" t="s">
        <v>470</v>
      </c>
      <c r="E263" s="45" t="n">
        <v>4.75</v>
      </c>
      <c r="F263" s="45" t="n">
        <v>24</v>
      </c>
      <c r="G263" s="45" t="n">
        <v>485</v>
      </c>
      <c r="H263" s="45"/>
      <c r="I263" s="45"/>
    </row>
    <row r="264" customFormat="false" ht="15" hidden="false" customHeight="false" outlineLevel="0" collapsed="false">
      <c r="A264" s="45" t="s">
        <v>653</v>
      </c>
      <c r="B264" s="45" t="s">
        <v>504</v>
      </c>
      <c r="C264" s="45" t="s">
        <v>505</v>
      </c>
      <c r="D264" s="45" t="s">
        <v>409</v>
      </c>
      <c r="E264" s="45" t="n">
        <v>2.75</v>
      </c>
      <c r="F264" s="45" t="n">
        <v>12</v>
      </c>
      <c r="G264" s="45" t="n">
        <v>140</v>
      </c>
      <c r="H264" s="45"/>
      <c r="I264" s="45"/>
    </row>
    <row r="265" customFormat="false" ht="15" hidden="false" customHeight="false" outlineLevel="0" collapsed="false">
      <c r="A265" s="45" t="s">
        <v>653</v>
      </c>
      <c r="B265" s="45" t="s">
        <v>504</v>
      </c>
      <c r="C265" s="45" t="s">
        <v>505</v>
      </c>
      <c r="D265" s="45" t="s">
        <v>654</v>
      </c>
      <c r="E265" s="45" t="n">
        <v>1.75</v>
      </c>
      <c r="F265" s="45"/>
      <c r="G265" s="45"/>
      <c r="H265" s="45"/>
      <c r="I265" s="45"/>
    </row>
    <row r="266" customFormat="false" ht="15" hidden="false" customHeight="false" outlineLevel="0" collapsed="false">
      <c r="A266" s="45" t="s">
        <v>655</v>
      </c>
      <c r="B266" s="45" t="s">
        <v>538</v>
      </c>
      <c r="C266" s="45" t="s">
        <v>505</v>
      </c>
      <c r="D266" s="45" t="s">
        <v>251</v>
      </c>
      <c r="E266" s="45" t="n">
        <v>8</v>
      </c>
      <c r="F266" s="45"/>
      <c r="G266" s="45"/>
      <c r="H266" s="45"/>
      <c r="I266" s="45"/>
    </row>
    <row r="267" customFormat="false" ht="15" hidden="false" customHeight="false" outlineLevel="0" collapsed="false">
      <c r="A267" s="45" t="s">
        <v>655</v>
      </c>
      <c r="B267" s="45" t="s">
        <v>538</v>
      </c>
      <c r="C267" s="45" t="s">
        <v>505</v>
      </c>
      <c r="D267" s="45" t="s">
        <v>252</v>
      </c>
      <c r="E267" s="45" t="n">
        <v>8</v>
      </c>
      <c r="F267" s="45" t="n">
        <v>13</v>
      </c>
      <c r="G267" s="45" t="n">
        <v>415</v>
      </c>
      <c r="H267" s="45"/>
      <c r="I267" s="45"/>
    </row>
    <row r="268" customFormat="false" ht="15" hidden="false" customHeight="false" outlineLevel="0" collapsed="false">
      <c r="A268" s="45" t="s">
        <v>655</v>
      </c>
      <c r="B268" s="45" t="s">
        <v>656</v>
      </c>
      <c r="C268" s="45" t="s">
        <v>528</v>
      </c>
      <c r="D268" s="45" t="s">
        <v>255</v>
      </c>
      <c r="E268" s="45" t="n">
        <v>8</v>
      </c>
      <c r="F268" s="45" t="n">
        <v>24</v>
      </c>
      <c r="G268" s="45" t="n">
        <v>750</v>
      </c>
      <c r="H268" s="45"/>
      <c r="I268" s="45"/>
    </row>
    <row r="269" customFormat="false" ht="15" hidden="false" customHeight="false" outlineLevel="0" collapsed="false">
      <c r="A269" s="45" t="s">
        <v>655</v>
      </c>
      <c r="B269" s="45" t="s">
        <v>656</v>
      </c>
      <c r="C269" s="45" t="s">
        <v>528</v>
      </c>
      <c r="D269" s="45" t="s">
        <v>404</v>
      </c>
      <c r="E269" s="45" t="n">
        <v>7.75</v>
      </c>
      <c r="F269" s="45"/>
      <c r="G269" s="45"/>
      <c r="H269" s="45"/>
      <c r="I269" s="45"/>
    </row>
    <row r="270" customFormat="false" ht="15" hidden="false" customHeight="false" outlineLevel="0" collapsed="false">
      <c r="A270" s="45" t="s">
        <v>655</v>
      </c>
      <c r="B270" s="45" t="s">
        <v>547</v>
      </c>
      <c r="C270" s="45" t="s">
        <v>548</v>
      </c>
      <c r="D270" s="45" t="s">
        <v>454</v>
      </c>
      <c r="E270" s="45" t="n">
        <v>5.25</v>
      </c>
      <c r="F270" s="45"/>
      <c r="G270" s="45" t="n">
        <v>60240</v>
      </c>
      <c r="H270" s="45"/>
      <c r="I270" s="45"/>
    </row>
    <row r="271" customFormat="false" ht="15" hidden="false" customHeight="false" outlineLevel="0" collapsed="false">
      <c r="A271" s="45" t="s">
        <v>655</v>
      </c>
      <c r="B271" s="45" t="s">
        <v>547</v>
      </c>
      <c r="C271" s="45" t="s">
        <v>548</v>
      </c>
      <c r="D271" s="45" t="s">
        <v>337</v>
      </c>
      <c r="E271" s="45" t="n">
        <v>9.25</v>
      </c>
      <c r="F271" s="45"/>
      <c r="G271" s="45"/>
      <c r="H271" s="45"/>
      <c r="I271" s="45"/>
    </row>
    <row r="272" customFormat="false" ht="15" hidden="false" customHeight="false" outlineLevel="0" collapsed="false">
      <c r="A272" s="45" t="s">
        <v>657</v>
      </c>
      <c r="B272" s="45" t="s">
        <v>519</v>
      </c>
      <c r="C272" s="45" t="s">
        <v>520</v>
      </c>
      <c r="D272" s="45" t="s">
        <v>345</v>
      </c>
      <c r="E272" s="45" t="n">
        <v>2.25</v>
      </c>
      <c r="F272" s="45" t="n">
        <v>12</v>
      </c>
      <c r="G272" s="45" t="n">
        <v>25</v>
      </c>
      <c r="H272" s="45"/>
      <c r="I272" s="45"/>
    </row>
    <row r="273" customFormat="false" ht="15" hidden="false" customHeight="false" outlineLevel="0" collapsed="false">
      <c r="A273" s="45" t="s">
        <v>657</v>
      </c>
      <c r="B273" s="45" t="s">
        <v>519</v>
      </c>
      <c r="C273" s="45" t="s">
        <v>520</v>
      </c>
      <c r="D273" s="45" t="s">
        <v>252</v>
      </c>
      <c r="E273" s="45" t="n">
        <v>1.75</v>
      </c>
      <c r="F273" s="45"/>
      <c r="G273" s="45"/>
      <c r="H273" s="45"/>
      <c r="I273" s="45"/>
    </row>
    <row r="274" customFormat="false" ht="15" hidden="false" customHeight="false" outlineLevel="0" collapsed="false">
      <c r="A274" s="45" t="s">
        <v>657</v>
      </c>
      <c r="B274" s="45" t="s">
        <v>656</v>
      </c>
      <c r="C274" s="45" t="s">
        <v>528</v>
      </c>
      <c r="D274" s="45" t="s">
        <v>658</v>
      </c>
      <c r="E274" s="45" t="n">
        <v>7.75</v>
      </c>
      <c r="F274" s="45" t="n">
        <v>25</v>
      </c>
      <c r="G274" s="45" t="n">
        <v>1185</v>
      </c>
      <c r="H274" s="45"/>
      <c r="I274" s="45"/>
    </row>
    <row r="275" customFormat="false" ht="15" hidden="false" customHeight="false" outlineLevel="0" collapsed="false">
      <c r="A275" s="45" t="s">
        <v>657</v>
      </c>
      <c r="B275" s="45" t="s">
        <v>656</v>
      </c>
      <c r="C275" s="45" t="s">
        <v>528</v>
      </c>
      <c r="D275" s="45" t="s">
        <v>404</v>
      </c>
      <c r="E275" s="45" t="n">
        <v>7.75</v>
      </c>
      <c r="F275" s="45"/>
      <c r="G275" s="45"/>
      <c r="H275" s="45"/>
      <c r="I275" s="45"/>
    </row>
    <row r="276" customFormat="false" ht="15" hidden="false" customHeight="false" outlineLevel="0" collapsed="false">
      <c r="A276" s="45" t="s">
        <v>659</v>
      </c>
      <c r="B276" s="45" t="s">
        <v>656</v>
      </c>
      <c r="C276" s="45" t="s">
        <v>528</v>
      </c>
      <c r="D276" s="45" t="s">
        <v>255</v>
      </c>
      <c r="E276" s="45" t="n">
        <v>7</v>
      </c>
      <c r="F276" s="45" t="n">
        <v>39</v>
      </c>
      <c r="G276" s="45" t="n">
        <v>930</v>
      </c>
      <c r="H276" s="45"/>
      <c r="I276" s="45"/>
    </row>
    <row r="277" customFormat="false" ht="15" hidden="false" customHeight="false" outlineLevel="0" collapsed="false">
      <c r="A277" s="45" t="s">
        <v>659</v>
      </c>
      <c r="B277" s="45" t="s">
        <v>656</v>
      </c>
      <c r="C277" s="45" t="s">
        <v>528</v>
      </c>
      <c r="D277" s="45" t="s">
        <v>470</v>
      </c>
      <c r="E277" s="45" t="n">
        <v>7.25</v>
      </c>
      <c r="F277" s="45"/>
      <c r="G277" s="45"/>
      <c r="H277" s="45"/>
      <c r="I277" s="45"/>
    </row>
    <row r="278" customFormat="false" ht="15" hidden="false" customHeight="false" outlineLevel="0" collapsed="false">
      <c r="A278" s="45" t="s">
        <v>660</v>
      </c>
      <c r="B278" s="45" t="s">
        <v>656</v>
      </c>
      <c r="C278" s="45" t="s">
        <v>528</v>
      </c>
      <c r="D278" s="45" t="s">
        <v>413</v>
      </c>
      <c r="E278" s="45" t="n">
        <v>7.75</v>
      </c>
      <c r="F278" s="45" t="n">
        <v>28</v>
      </c>
      <c r="G278" s="45" t="n">
        <v>930</v>
      </c>
      <c r="H278" s="45"/>
      <c r="I278" s="45"/>
    </row>
    <row r="279" customFormat="false" ht="15" hidden="false" customHeight="false" outlineLevel="0" collapsed="false">
      <c r="A279" s="45" t="s">
        <v>660</v>
      </c>
      <c r="B279" s="45" t="s">
        <v>656</v>
      </c>
      <c r="C279" s="45" t="s">
        <v>528</v>
      </c>
      <c r="D279" s="45" t="s">
        <v>404</v>
      </c>
      <c r="E279" s="45" t="n">
        <v>7.75</v>
      </c>
      <c r="F279" s="45"/>
      <c r="G279" s="45"/>
      <c r="H279" s="45"/>
      <c r="I279" s="45"/>
    </row>
    <row r="280" customFormat="false" ht="15" hidden="false" customHeight="false" outlineLevel="0" collapsed="false">
      <c r="A280" s="45" t="s">
        <v>661</v>
      </c>
      <c r="B280" s="45" t="s">
        <v>538</v>
      </c>
      <c r="C280" s="45" t="s">
        <v>505</v>
      </c>
      <c r="D280" s="45" t="s">
        <v>272</v>
      </c>
      <c r="E280" s="45" t="n">
        <v>8</v>
      </c>
      <c r="F280" s="45"/>
      <c r="G280" s="45"/>
      <c r="H280" s="45"/>
      <c r="I280" s="45"/>
    </row>
    <row r="281" customFormat="false" ht="15" hidden="false" customHeight="false" outlineLevel="0" collapsed="false">
      <c r="A281" s="45" t="s">
        <v>661</v>
      </c>
      <c r="B281" s="45" t="s">
        <v>538</v>
      </c>
      <c r="C281" s="45" t="s">
        <v>505</v>
      </c>
      <c r="D281" s="45" t="s">
        <v>252</v>
      </c>
      <c r="E281" s="45" t="n">
        <v>8</v>
      </c>
      <c r="F281" s="45" t="n">
        <v>31</v>
      </c>
      <c r="G281" s="45" t="n">
        <v>445</v>
      </c>
      <c r="H281" s="45"/>
      <c r="I281" s="45"/>
    </row>
    <row r="282" customFormat="false" ht="15" hidden="false" customHeight="false" outlineLevel="0" collapsed="false">
      <c r="A282" s="45" t="s">
        <v>662</v>
      </c>
      <c r="B282" s="45" t="s">
        <v>504</v>
      </c>
      <c r="C282" s="45" t="s">
        <v>505</v>
      </c>
      <c r="D282" s="45" t="s">
        <v>409</v>
      </c>
      <c r="E282" s="45" t="n">
        <v>2.5</v>
      </c>
      <c r="F282" s="45" t="n">
        <v>17</v>
      </c>
      <c r="G282" s="45" t="n">
        <v>65</v>
      </c>
      <c r="H282" s="45"/>
      <c r="I282" s="45"/>
    </row>
    <row r="283" customFormat="false" ht="15" hidden="false" customHeight="false" outlineLevel="0" collapsed="false">
      <c r="A283" s="45" t="s">
        <v>662</v>
      </c>
      <c r="B283" s="45" t="s">
        <v>504</v>
      </c>
      <c r="C283" s="45" t="s">
        <v>505</v>
      </c>
      <c r="D283" s="45" t="s">
        <v>410</v>
      </c>
      <c r="E283" s="45" t="n">
        <v>1.5</v>
      </c>
      <c r="F283" s="45"/>
      <c r="G283" s="45"/>
      <c r="H283" s="45"/>
      <c r="I283" s="45"/>
    </row>
    <row r="284" customFormat="false" ht="15" hidden="false" customHeight="false" outlineLevel="0" collapsed="false">
      <c r="A284" s="45" t="s">
        <v>663</v>
      </c>
      <c r="B284" s="45" t="s">
        <v>504</v>
      </c>
      <c r="C284" s="45" t="s">
        <v>505</v>
      </c>
      <c r="D284" s="45" t="s">
        <v>267</v>
      </c>
      <c r="E284" s="45" t="n">
        <v>2.75</v>
      </c>
      <c r="F284" s="45" t="n">
        <v>13</v>
      </c>
      <c r="G284" s="45" t="n">
        <v>85</v>
      </c>
      <c r="H284" s="45"/>
      <c r="I284" s="45"/>
    </row>
    <row r="285" customFormat="false" ht="15" hidden="false" customHeight="false" outlineLevel="0" collapsed="false">
      <c r="A285" s="45" t="s">
        <v>663</v>
      </c>
      <c r="B285" s="45" t="s">
        <v>504</v>
      </c>
      <c r="C285" s="45" t="s">
        <v>505</v>
      </c>
      <c r="D285" s="45" t="s">
        <v>268</v>
      </c>
      <c r="E285" s="45" t="s">
        <v>630</v>
      </c>
      <c r="F285" s="45"/>
      <c r="G285" s="45"/>
      <c r="H285" s="45"/>
      <c r="I285" s="45"/>
    </row>
    <row r="286" customFormat="false" ht="15" hidden="false" customHeight="false" outlineLevel="0" collapsed="false">
      <c r="A286" s="45" t="s">
        <v>664</v>
      </c>
      <c r="B286" s="45" t="s">
        <v>504</v>
      </c>
      <c r="C286" s="45" t="s">
        <v>505</v>
      </c>
      <c r="D286" s="45" t="s">
        <v>445</v>
      </c>
      <c r="E286" s="45" t="n">
        <v>2.5</v>
      </c>
      <c r="F286" s="45" t="n">
        <v>17</v>
      </c>
      <c r="G286" s="45" t="n">
        <v>150</v>
      </c>
      <c r="H286" s="45"/>
      <c r="I286" s="45"/>
    </row>
    <row r="287" customFormat="false" ht="15" hidden="false" customHeight="false" outlineLevel="0" collapsed="false">
      <c r="A287" s="45" t="s">
        <v>664</v>
      </c>
      <c r="B287" s="45" t="s">
        <v>504</v>
      </c>
      <c r="C287" s="45" t="s">
        <v>505</v>
      </c>
      <c r="D287" s="45" t="s">
        <v>665</v>
      </c>
      <c r="E287" s="45" t="n">
        <v>1.75</v>
      </c>
      <c r="F287" s="45"/>
      <c r="G287" s="45"/>
      <c r="H287" s="45"/>
      <c r="I287" s="45"/>
    </row>
    <row r="288" customFormat="false" ht="15" hidden="false" customHeight="false" outlineLevel="0" collapsed="false">
      <c r="A288" s="45" t="s">
        <v>666</v>
      </c>
      <c r="B288" s="45" t="s">
        <v>515</v>
      </c>
      <c r="C288" s="45" t="s">
        <v>511</v>
      </c>
      <c r="D288" s="45" t="s">
        <v>667</v>
      </c>
      <c r="E288" s="45" t="s">
        <v>668</v>
      </c>
      <c r="F288" s="45"/>
      <c r="G288" s="45"/>
      <c r="H288" s="45"/>
      <c r="I288" s="45"/>
    </row>
    <row r="289" customFormat="false" ht="15" hidden="false" customHeight="false" outlineLevel="0" collapsed="false">
      <c r="A289" s="45" t="s">
        <v>666</v>
      </c>
      <c r="B289" s="45" t="s">
        <v>515</v>
      </c>
      <c r="C289" s="45" t="s">
        <v>511</v>
      </c>
      <c r="D289" s="45" t="s">
        <v>396</v>
      </c>
      <c r="E289" s="45" t="n">
        <v>91.75</v>
      </c>
      <c r="F289" s="45"/>
      <c r="G289" s="45"/>
      <c r="H289" s="45"/>
      <c r="I289" s="45"/>
    </row>
    <row r="290" customFormat="false" ht="15" hidden="false" customHeight="false" outlineLevel="0" collapsed="false">
      <c r="A290" s="45" t="s">
        <v>666</v>
      </c>
      <c r="B290" s="45" t="s">
        <v>515</v>
      </c>
      <c r="C290" s="45" t="s">
        <v>511</v>
      </c>
      <c r="D290" s="45" t="s">
        <v>458</v>
      </c>
      <c r="E290" s="45" t="n">
        <v>79.75</v>
      </c>
      <c r="F290" s="45" t="n">
        <v>204</v>
      </c>
      <c r="G290" s="45" t="n">
        <v>6885</v>
      </c>
      <c r="H290" s="45"/>
      <c r="I290" s="45"/>
    </row>
    <row r="291" customFormat="false" ht="15" hidden="false" customHeight="false" outlineLevel="0" collapsed="false">
      <c r="A291" s="45" t="s">
        <v>666</v>
      </c>
      <c r="B291" s="45" t="s">
        <v>522</v>
      </c>
      <c r="C291" s="45" t="s">
        <v>520</v>
      </c>
      <c r="D291" s="45" t="s">
        <v>328</v>
      </c>
      <c r="E291" s="45" t="n">
        <v>350.25</v>
      </c>
      <c r="F291" s="45" t="n">
        <v>365</v>
      </c>
      <c r="G291" s="45" t="n">
        <v>960</v>
      </c>
      <c r="H291" s="45" t="n">
        <v>7500</v>
      </c>
      <c r="I291" s="45"/>
    </row>
    <row r="292" customFormat="false" ht="15" hidden="false" customHeight="false" outlineLevel="0" collapsed="false">
      <c r="A292" s="45" t="s">
        <v>666</v>
      </c>
      <c r="B292" s="45" t="s">
        <v>522</v>
      </c>
      <c r="C292" s="45" t="s">
        <v>520</v>
      </c>
      <c r="D292" s="45" t="s">
        <v>289</v>
      </c>
      <c r="E292" s="45" t="n">
        <v>158.5</v>
      </c>
      <c r="F292" s="45"/>
      <c r="G292" s="45"/>
      <c r="H292" s="45"/>
      <c r="I292" s="45"/>
    </row>
    <row r="293" customFormat="false" ht="15" hidden="false" customHeight="false" outlineLevel="0" collapsed="false">
      <c r="A293" s="45" t="s">
        <v>666</v>
      </c>
      <c r="B293" s="45" t="s">
        <v>524</v>
      </c>
      <c r="C293" s="45" t="s">
        <v>520</v>
      </c>
      <c r="D293" s="45" t="s">
        <v>669</v>
      </c>
      <c r="E293" s="45" t="n">
        <v>67</v>
      </c>
      <c r="F293" s="45"/>
      <c r="G293" s="45"/>
      <c r="H293" s="45"/>
      <c r="I293" s="45"/>
    </row>
    <row r="294" customFormat="false" ht="15" hidden="false" customHeight="false" outlineLevel="0" collapsed="false">
      <c r="A294" s="45" t="s">
        <v>666</v>
      </c>
      <c r="B294" s="45" t="s">
        <v>524</v>
      </c>
      <c r="C294" s="45" t="s">
        <v>520</v>
      </c>
      <c r="D294" s="45" t="s">
        <v>410</v>
      </c>
      <c r="E294" s="45" t="n">
        <v>29.25</v>
      </c>
      <c r="F294" s="45" t="n">
        <v>101</v>
      </c>
      <c r="G294" s="45" t="n">
        <v>15165</v>
      </c>
      <c r="H294" s="45" t="n">
        <v>5895</v>
      </c>
      <c r="I294" s="45"/>
    </row>
    <row r="295" customFormat="false" ht="15" hidden="false" customHeight="false" outlineLevel="0" collapsed="false">
      <c r="A295" s="45" t="s">
        <v>666</v>
      </c>
      <c r="B295" s="45" t="s">
        <v>525</v>
      </c>
      <c r="C295" s="45" t="s">
        <v>526</v>
      </c>
      <c r="D295" s="45" t="s">
        <v>670</v>
      </c>
      <c r="E295" s="45" t="n">
        <v>40.25</v>
      </c>
      <c r="F295" s="45"/>
      <c r="G295" s="45"/>
      <c r="H295" s="45"/>
      <c r="I295" s="45"/>
    </row>
    <row r="296" customFormat="false" ht="15" hidden="false" customHeight="false" outlineLevel="0" collapsed="false">
      <c r="A296" s="45" t="s">
        <v>666</v>
      </c>
      <c r="B296" s="45" t="s">
        <v>525</v>
      </c>
      <c r="C296" s="45" t="s">
        <v>526</v>
      </c>
      <c r="D296" s="45" t="s">
        <v>363</v>
      </c>
      <c r="E296" s="45" t="s">
        <v>671</v>
      </c>
      <c r="F296" s="45"/>
      <c r="G296" s="45" t="n">
        <v>420</v>
      </c>
      <c r="H296" s="45"/>
      <c r="I296" s="45"/>
    </row>
    <row r="297" customFormat="false" ht="15" hidden="false" customHeight="false" outlineLevel="0" collapsed="false">
      <c r="A297" s="45" t="s">
        <v>666</v>
      </c>
      <c r="B297" s="45" t="s">
        <v>527</v>
      </c>
      <c r="C297" s="45" t="s">
        <v>528</v>
      </c>
      <c r="D297" s="45" t="s">
        <v>413</v>
      </c>
      <c r="E297" s="45" t="n">
        <v>55.25</v>
      </c>
      <c r="F297" s="45" t="n">
        <v>10</v>
      </c>
      <c r="G297" s="45" t="n">
        <v>295</v>
      </c>
      <c r="H297" s="45"/>
      <c r="I297" s="45"/>
    </row>
    <row r="298" customFormat="false" ht="15" hidden="false" customHeight="false" outlineLevel="0" collapsed="false">
      <c r="A298" s="45" t="s">
        <v>666</v>
      </c>
      <c r="B298" s="45" t="s">
        <v>527</v>
      </c>
      <c r="C298" s="45" t="s">
        <v>528</v>
      </c>
      <c r="D298" s="45" t="s">
        <v>398</v>
      </c>
      <c r="E298" s="45" t="n">
        <v>80.5</v>
      </c>
      <c r="F298" s="45"/>
      <c r="G298" s="45"/>
      <c r="H298" s="45"/>
      <c r="I298" s="45"/>
    </row>
    <row r="299" customFormat="false" ht="15" hidden="false" customHeight="false" outlineLevel="0" collapsed="false">
      <c r="A299" s="45" t="s">
        <v>666</v>
      </c>
      <c r="B299" s="45" t="s">
        <v>531</v>
      </c>
      <c r="C299" s="45" t="s">
        <v>528</v>
      </c>
      <c r="D299" s="45" t="s">
        <v>561</v>
      </c>
      <c r="E299" s="45" t="n">
        <v>79.25</v>
      </c>
      <c r="F299" s="45" t="n">
        <v>6</v>
      </c>
      <c r="G299" s="45" t="n">
        <v>70</v>
      </c>
      <c r="H299" s="45"/>
      <c r="I299" s="4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5A8"/>
    <pageSetUpPr fitToPage="false"/>
  </sheetPr>
  <dimension ref="A1:I28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30"/>
    <col collapsed="false" customWidth="true" hidden="false" outlineLevel="0" max="8" min="3" style="1" width="16"/>
    <col collapsed="false" customWidth="true" hidden="false" outlineLevel="0" max="9" min="9" style="1" width="26"/>
  </cols>
  <sheetData>
    <row r="1" customFormat="false" ht="15" hidden="false" customHeight="false" outlineLevel="0" collapsed="false">
      <c r="A1" s="44" t="s">
        <v>672</v>
      </c>
      <c r="B1" s="44" t="s">
        <v>673</v>
      </c>
      <c r="C1" s="44" t="s">
        <v>674</v>
      </c>
      <c r="D1" s="44" t="s">
        <v>675</v>
      </c>
      <c r="E1" s="44" t="s">
        <v>676</v>
      </c>
      <c r="F1" s="44" t="s">
        <v>677</v>
      </c>
      <c r="G1" s="44" t="s">
        <v>678</v>
      </c>
      <c r="H1" s="44" t="s">
        <v>679</v>
      </c>
      <c r="I1" s="44" t="s">
        <v>248</v>
      </c>
    </row>
    <row r="2" customFormat="false" ht="15" hidden="false" customHeight="false" outlineLevel="0" collapsed="false">
      <c r="A2" s="45" t="s">
        <v>680</v>
      </c>
      <c r="B2" s="45" t="s">
        <v>681</v>
      </c>
      <c r="C2" s="45" t="s">
        <v>363</v>
      </c>
      <c r="D2" s="45" t="s">
        <v>682</v>
      </c>
      <c r="E2" s="45" t="n">
        <v>2.25</v>
      </c>
      <c r="F2" s="45"/>
      <c r="G2" s="45"/>
      <c r="H2" s="45"/>
      <c r="I2" s="45"/>
    </row>
    <row r="3" customFormat="false" ht="15" hidden="false" customHeight="false" outlineLevel="0" collapsed="false">
      <c r="A3" s="45" t="s">
        <v>680</v>
      </c>
      <c r="B3" s="45" t="s">
        <v>681</v>
      </c>
      <c r="C3" s="45" t="s">
        <v>429</v>
      </c>
      <c r="D3" s="45" t="s">
        <v>682</v>
      </c>
      <c r="E3" s="45" t="n">
        <v>2.5</v>
      </c>
      <c r="F3" s="45"/>
      <c r="G3" s="45" t="n">
        <v>55</v>
      </c>
      <c r="H3" s="45"/>
      <c r="I3" s="45"/>
    </row>
    <row r="4" customFormat="false" ht="15" hidden="false" customHeight="false" outlineLevel="0" collapsed="false">
      <c r="A4" s="45" t="s">
        <v>683</v>
      </c>
      <c r="B4" s="45" t="s">
        <v>684</v>
      </c>
      <c r="C4" s="45" t="s">
        <v>685</v>
      </c>
      <c r="D4" s="45" t="s">
        <v>686</v>
      </c>
      <c r="E4" s="45" t="n">
        <v>2</v>
      </c>
      <c r="F4" s="45" t="n">
        <v>23</v>
      </c>
      <c r="G4" s="45" t="n">
        <v>70</v>
      </c>
      <c r="H4" s="45"/>
      <c r="I4" s="45"/>
    </row>
    <row r="5" customFormat="false" ht="15" hidden="false" customHeight="false" outlineLevel="0" collapsed="false">
      <c r="A5" s="45" t="s">
        <v>687</v>
      </c>
      <c r="B5" s="45" t="s">
        <v>684</v>
      </c>
      <c r="C5" s="45" t="s">
        <v>263</v>
      </c>
      <c r="D5" s="45" t="s">
        <v>688</v>
      </c>
      <c r="E5" s="45" t="n">
        <v>3</v>
      </c>
      <c r="F5" s="45" t="n">
        <v>18</v>
      </c>
      <c r="G5" s="45" t="n">
        <v>170</v>
      </c>
      <c r="H5" s="45"/>
      <c r="I5" s="45"/>
    </row>
    <row r="6" customFormat="false" ht="15" hidden="false" customHeight="false" outlineLevel="0" collapsed="false">
      <c r="A6" s="45" t="s">
        <v>687</v>
      </c>
      <c r="B6" s="45" t="s">
        <v>684</v>
      </c>
      <c r="C6" s="45" t="s">
        <v>507</v>
      </c>
      <c r="D6" s="45" t="s">
        <v>688</v>
      </c>
      <c r="E6" s="45" t="n">
        <v>1.75</v>
      </c>
      <c r="F6" s="45"/>
      <c r="G6" s="45"/>
      <c r="H6" s="45"/>
      <c r="I6" s="45"/>
    </row>
    <row r="7" customFormat="false" ht="15" hidden="false" customHeight="false" outlineLevel="0" collapsed="false">
      <c r="A7" s="45" t="s">
        <v>689</v>
      </c>
      <c r="B7" s="45" t="s">
        <v>684</v>
      </c>
      <c r="C7" s="45" t="s">
        <v>272</v>
      </c>
      <c r="D7" s="45" t="s">
        <v>690</v>
      </c>
      <c r="E7" s="45" t="n">
        <v>8</v>
      </c>
      <c r="F7" s="45"/>
      <c r="G7" s="45"/>
      <c r="H7" s="45"/>
      <c r="I7" s="45"/>
    </row>
    <row r="8" customFormat="false" ht="15" hidden="false" customHeight="false" outlineLevel="0" collapsed="false">
      <c r="A8" s="45" t="s">
        <v>689</v>
      </c>
      <c r="B8" s="45" t="s">
        <v>684</v>
      </c>
      <c r="C8" s="45" t="s">
        <v>252</v>
      </c>
      <c r="D8" s="45" t="s">
        <v>690</v>
      </c>
      <c r="E8" s="45" t="n">
        <v>8</v>
      </c>
      <c r="F8" s="45" t="n">
        <v>13</v>
      </c>
      <c r="G8" s="45" t="n">
        <v>465</v>
      </c>
      <c r="H8" s="45"/>
      <c r="I8" s="45"/>
    </row>
    <row r="9" customFormat="false" ht="15" hidden="false" customHeight="false" outlineLevel="0" collapsed="false">
      <c r="A9" s="45" t="s">
        <v>687</v>
      </c>
      <c r="B9" s="45" t="s">
        <v>684</v>
      </c>
      <c r="C9" s="45" t="s">
        <v>315</v>
      </c>
      <c r="D9" s="45" t="s">
        <v>691</v>
      </c>
      <c r="E9" s="45" t="n">
        <v>2.75</v>
      </c>
      <c r="F9" s="45" t="n">
        <v>15</v>
      </c>
      <c r="G9" s="45" t="n">
        <v>80</v>
      </c>
      <c r="H9" s="45"/>
      <c r="I9" s="45"/>
    </row>
    <row r="10" customFormat="false" ht="15" hidden="false" customHeight="false" outlineLevel="0" collapsed="false">
      <c r="A10" s="45" t="s">
        <v>687</v>
      </c>
      <c r="B10" s="45" t="s">
        <v>684</v>
      </c>
      <c r="C10" s="45" t="s">
        <v>692</v>
      </c>
      <c r="D10" s="45" t="s">
        <v>691</v>
      </c>
      <c r="E10" s="45" t="n">
        <v>1.75</v>
      </c>
      <c r="F10" s="45"/>
      <c r="G10" s="45"/>
      <c r="H10" s="45"/>
      <c r="I10" s="45"/>
    </row>
    <row r="11" customFormat="false" ht="15" hidden="false" customHeight="false" outlineLevel="0" collapsed="false">
      <c r="A11" s="45" t="s">
        <v>689</v>
      </c>
      <c r="B11" s="45" t="s">
        <v>684</v>
      </c>
      <c r="C11" s="45" t="s">
        <v>267</v>
      </c>
      <c r="D11" s="45" t="s">
        <v>693</v>
      </c>
      <c r="E11" s="45" t="n">
        <v>8</v>
      </c>
      <c r="F11" s="45"/>
      <c r="G11" s="45"/>
      <c r="H11" s="45"/>
      <c r="I11" s="45"/>
    </row>
    <row r="12" customFormat="false" ht="15" hidden="false" customHeight="false" outlineLevel="0" collapsed="false">
      <c r="A12" s="45" t="s">
        <v>689</v>
      </c>
      <c r="B12" s="45" t="s">
        <v>684</v>
      </c>
      <c r="C12" s="45" t="s">
        <v>252</v>
      </c>
      <c r="D12" s="45" t="s">
        <v>693</v>
      </c>
      <c r="E12" s="45" t="n">
        <v>8</v>
      </c>
      <c r="F12" s="45" t="n">
        <v>21</v>
      </c>
      <c r="G12" s="45" t="n">
        <v>495</v>
      </c>
      <c r="H12" s="45"/>
      <c r="I12" s="45"/>
    </row>
    <row r="13" customFormat="false" ht="15" hidden="false" customHeight="false" outlineLevel="0" collapsed="false">
      <c r="A13" s="45" t="s">
        <v>694</v>
      </c>
      <c r="B13" s="45" t="s">
        <v>695</v>
      </c>
      <c r="C13" s="45" t="s">
        <v>380</v>
      </c>
      <c r="D13" s="45" t="s">
        <v>696</v>
      </c>
      <c r="E13" s="45" t="n">
        <v>45.25</v>
      </c>
      <c r="F13" s="45" t="n">
        <v>301</v>
      </c>
      <c r="G13" s="45" t="n">
        <v>4785</v>
      </c>
      <c r="H13" s="45"/>
      <c r="I13" s="45"/>
    </row>
    <row r="14" customFormat="false" ht="15" hidden="false" customHeight="false" outlineLevel="0" collapsed="false">
      <c r="A14" s="45" t="s">
        <v>694</v>
      </c>
      <c r="B14" s="45" t="s">
        <v>695</v>
      </c>
      <c r="C14" s="45" t="s">
        <v>415</v>
      </c>
      <c r="D14" s="45" t="s">
        <v>696</v>
      </c>
      <c r="E14" s="45" t="n">
        <v>11.75</v>
      </c>
      <c r="F14" s="45"/>
      <c r="G14" s="45"/>
      <c r="H14" s="45"/>
      <c r="I14" s="45"/>
    </row>
    <row r="15" customFormat="false" ht="15" hidden="false" customHeight="false" outlineLevel="0" collapsed="false">
      <c r="A15" s="45" t="s">
        <v>694</v>
      </c>
      <c r="B15" s="45" t="s">
        <v>695</v>
      </c>
      <c r="C15" s="45" t="s">
        <v>340</v>
      </c>
      <c r="D15" s="45" t="s">
        <v>696</v>
      </c>
      <c r="E15" s="45" t="n">
        <v>30.25</v>
      </c>
      <c r="F15" s="45"/>
      <c r="G15" s="45"/>
      <c r="H15" s="45"/>
      <c r="I15" s="45"/>
    </row>
    <row r="16" customFormat="false" ht="15" hidden="false" customHeight="false" outlineLevel="0" collapsed="false">
      <c r="A16" s="45" t="s">
        <v>697</v>
      </c>
      <c r="B16" s="45" t="s">
        <v>698</v>
      </c>
      <c r="C16" s="45" t="s">
        <v>459</v>
      </c>
      <c r="D16" s="45" t="s">
        <v>696</v>
      </c>
      <c r="E16" s="45" t="n">
        <v>65</v>
      </c>
      <c r="F16" s="45"/>
      <c r="G16" s="45"/>
      <c r="H16" s="45"/>
      <c r="I16" s="45"/>
    </row>
    <row r="17" customFormat="false" ht="15" hidden="false" customHeight="false" outlineLevel="0" collapsed="false">
      <c r="A17" s="45" t="s">
        <v>697</v>
      </c>
      <c r="B17" s="45" t="s">
        <v>698</v>
      </c>
      <c r="C17" s="45" t="s">
        <v>699</v>
      </c>
      <c r="D17" s="45" t="s">
        <v>696</v>
      </c>
      <c r="E17" s="45" t="n">
        <v>18.25</v>
      </c>
      <c r="F17" s="45" t="n">
        <v>137</v>
      </c>
      <c r="G17" s="45" t="n">
        <v>23455</v>
      </c>
      <c r="H17" s="45"/>
      <c r="I17" s="45"/>
    </row>
    <row r="18" customFormat="false" ht="15" hidden="false" customHeight="false" outlineLevel="0" collapsed="false">
      <c r="A18" s="45" t="s">
        <v>700</v>
      </c>
      <c r="B18" s="45" t="s">
        <v>701</v>
      </c>
      <c r="C18" s="45" t="s">
        <v>702</v>
      </c>
      <c r="D18" s="45" t="s">
        <v>696</v>
      </c>
      <c r="E18" s="45" t="n">
        <v>36.25</v>
      </c>
      <c r="F18" s="45"/>
      <c r="G18" s="45"/>
      <c r="H18" s="45"/>
      <c r="I18" s="45"/>
    </row>
    <row r="19" customFormat="false" ht="15" hidden="false" customHeight="false" outlineLevel="0" collapsed="false">
      <c r="A19" s="45" t="s">
        <v>700</v>
      </c>
      <c r="B19" s="45" t="s">
        <v>701</v>
      </c>
      <c r="C19" s="45" t="s">
        <v>432</v>
      </c>
      <c r="D19" s="45" t="s">
        <v>696</v>
      </c>
      <c r="E19" s="45" t="n">
        <v>49.75</v>
      </c>
      <c r="F19" s="45"/>
      <c r="G19" s="45" t="n">
        <v>680</v>
      </c>
      <c r="H19" s="45"/>
      <c r="I19" s="45"/>
    </row>
    <row r="20" customFormat="false" ht="15" hidden="false" customHeight="false" outlineLevel="0" collapsed="false">
      <c r="A20" s="45" t="s">
        <v>703</v>
      </c>
      <c r="B20" s="45" t="s">
        <v>698</v>
      </c>
      <c r="C20" s="45" t="s">
        <v>334</v>
      </c>
      <c r="D20" s="45" t="s">
        <v>696</v>
      </c>
      <c r="E20" s="45" t="n">
        <v>40.25</v>
      </c>
      <c r="F20" s="45" t="n">
        <v>151</v>
      </c>
      <c r="G20" s="45"/>
      <c r="H20" s="45"/>
      <c r="I20" s="45"/>
    </row>
    <row r="21" customFormat="false" ht="15" hidden="false" customHeight="false" outlineLevel="0" collapsed="false">
      <c r="A21" s="45" t="s">
        <v>704</v>
      </c>
      <c r="B21" s="45" t="s">
        <v>705</v>
      </c>
      <c r="C21" s="45" t="s">
        <v>274</v>
      </c>
      <c r="D21" s="45" t="s">
        <v>696</v>
      </c>
      <c r="E21" s="45" t="n">
        <v>49</v>
      </c>
      <c r="F21" s="45" t="n">
        <v>8</v>
      </c>
      <c r="G21" s="45" t="n">
        <v>405</v>
      </c>
      <c r="H21" s="45"/>
      <c r="I21" s="45"/>
    </row>
    <row r="22" customFormat="false" ht="15" hidden="false" customHeight="false" outlineLevel="0" collapsed="false">
      <c r="A22" s="45" t="s">
        <v>704</v>
      </c>
      <c r="B22" s="45" t="s">
        <v>705</v>
      </c>
      <c r="C22" s="45" t="s">
        <v>706</v>
      </c>
      <c r="D22" s="45" t="s">
        <v>696</v>
      </c>
      <c r="E22" s="45" t="n">
        <v>64.75</v>
      </c>
      <c r="F22" s="45"/>
      <c r="G22" s="45"/>
      <c r="H22" s="45"/>
      <c r="I22" s="45"/>
    </row>
    <row r="23" customFormat="false" ht="15" hidden="false" customHeight="false" outlineLevel="0" collapsed="false">
      <c r="A23" s="45" t="s">
        <v>707</v>
      </c>
      <c r="B23" s="45" t="s">
        <v>705</v>
      </c>
      <c r="C23" s="45" t="s">
        <v>283</v>
      </c>
      <c r="D23" s="45" t="s">
        <v>696</v>
      </c>
      <c r="E23" s="45" t="n">
        <v>57.75</v>
      </c>
      <c r="F23" s="45" t="n">
        <v>3</v>
      </c>
      <c r="G23" s="45" t="n">
        <v>45</v>
      </c>
      <c r="H23" s="45"/>
      <c r="I23" s="45"/>
    </row>
    <row r="24" customFormat="false" ht="15" hidden="false" customHeight="false" outlineLevel="0" collapsed="false">
      <c r="A24" s="45" t="s">
        <v>708</v>
      </c>
      <c r="B24" s="45" t="s">
        <v>695</v>
      </c>
      <c r="C24" s="45" t="s">
        <v>327</v>
      </c>
      <c r="D24" s="45" t="s">
        <v>709</v>
      </c>
      <c r="E24" s="45" t="n">
        <v>3.25</v>
      </c>
      <c r="F24" s="45" t="n">
        <v>75</v>
      </c>
      <c r="G24" s="45" t="n">
        <v>65</v>
      </c>
      <c r="H24" s="45"/>
      <c r="I24" s="45"/>
    </row>
    <row r="25" customFormat="false" ht="15" hidden="false" customHeight="false" outlineLevel="0" collapsed="false">
      <c r="A25" s="45" t="s">
        <v>687</v>
      </c>
      <c r="B25" s="45" t="s">
        <v>684</v>
      </c>
      <c r="C25" s="45" t="s">
        <v>409</v>
      </c>
      <c r="D25" s="45" t="s">
        <v>710</v>
      </c>
      <c r="E25" s="45" t="n">
        <v>2.75</v>
      </c>
      <c r="F25" s="45" t="n">
        <v>19</v>
      </c>
      <c r="G25" s="45" t="n">
        <v>130</v>
      </c>
      <c r="H25" s="45"/>
      <c r="I25" s="45"/>
    </row>
    <row r="26" customFormat="false" ht="15" hidden="false" customHeight="false" outlineLevel="0" collapsed="false">
      <c r="A26" s="45" t="s">
        <v>687</v>
      </c>
      <c r="B26" s="45" t="s">
        <v>684</v>
      </c>
      <c r="C26" s="45" t="s">
        <v>411</v>
      </c>
      <c r="D26" s="45" t="s">
        <v>710</v>
      </c>
      <c r="E26" s="45" t="n">
        <v>1.75</v>
      </c>
      <c r="F26" s="45"/>
      <c r="G26" s="45"/>
      <c r="H26" s="45"/>
      <c r="I26" s="45"/>
    </row>
    <row r="27" customFormat="false" ht="15" hidden="false" customHeight="false" outlineLevel="0" collapsed="false">
      <c r="A27" s="45" t="s">
        <v>711</v>
      </c>
      <c r="B27" s="45" t="s">
        <v>712</v>
      </c>
      <c r="C27" s="45" t="s">
        <v>429</v>
      </c>
      <c r="D27" s="45" t="s">
        <v>713</v>
      </c>
      <c r="E27" s="45" t="n">
        <v>1</v>
      </c>
      <c r="F27" s="45"/>
      <c r="G27" s="45"/>
      <c r="H27" s="45"/>
      <c r="I27" s="45"/>
    </row>
    <row r="28" customFormat="false" ht="15" hidden="false" customHeight="false" outlineLevel="0" collapsed="false">
      <c r="A28" s="45" t="s">
        <v>711</v>
      </c>
      <c r="B28" s="45" t="s">
        <v>712</v>
      </c>
      <c r="C28" s="45" t="s">
        <v>272</v>
      </c>
      <c r="D28" s="45" t="s">
        <v>713</v>
      </c>
      <c r="E28" s="45" t="n">
        <v>3.75</v>
      </c>
      <c r="F28" s="45"/>
      <c r="G28" s="45" t="n">
        <v>575</v>
      </c>
      <c r="H28" s="45"/>
      <c r="I28" s="45"/>
    </row>
    <row r="29" customFormat="false" ht="15" hidden="false" customHeight="false" outlineLevel="0" collapsed="false">
      <c r="A29" s="45" t="s">
        <v>714</v>
      </c>
      <c r="B29" s="45" t="s">
        <v>684</v>
      </c>
      <c r="C29" s="45" t="s">
        <v>715</v>
      </c>
      <c r="D29" s="45" t="s">
        <v>716</v>
      </c>
      <c r="E29" s="45" t="n">
        <v>3.25</v>
      </c>
      <c r="F29" s="45" t="n">
        <v>25</v>
      </c>
      <c r="G29" s="45" t="n">
        <v>195</v>
      </c>
      <c r="H29" s="45"/>
      <c r="I29" s="45"/>
    </row>
    <row r="30" customFormat="false" ht="15" hidden="false" customHeight="false" outlineLevel="0" collapsed="false">
      <c r="A30" s="45" t="s">
        <v>680</v>
      </c>
      <c r="B30" s="45" t="s">
        <v>681</v>
      </c>
      <c r="C30" s="45" t="s">
        <v>717</v>
      </c>
      <c r="D30" s="45" t="s">
        <v>718</v>
      </c>
      <c r="E30" s="45" t="n">
        <v>2.5</v>
      </c>
      <c r="F30" s="45"/>
      <c r="G30" s="45"/>
      <c r="H30" s="45"/>
      <c r="I30" s="45" t="s">
        <v>719</v>
      </c>
    </row>
    <row r="31" customFormat="false" ht="15" hidden="false" customHeight="false" outlineLevel="0" collapsed="false">
      <c r="A31" s="45" t="s">
        <v>680</v>
      </c>
      <c r="B31" s="45" t="s">
        <v>681</v>
      </c>
      <c r="C31" s="45" t="s">
        <v>477</v>
      </c>
      <c r="D31" s="45" t="s">
        <v>718</v>
      </c>
      <c r="E31" s="45" t="n">
        <v>2.25</v>
      </c>
      <c r="F31" s="45"/>
      <c r="G31" s="45" t="n">
        <v>90</v>
      </c>
      <c r="H31" s="45"/>
      <c r="I31" s="45" t="s">
        <v>719</v>
      </c>
    </row>
    <row r="32" customFormat="false" ht="15" hidden="false" customHeight="false" outlineLevel="0" collapsed="false">
      <c r="A32" s="45" t="s">
        <v>687</v>
      </c>
      <c r="B32" s="45" t="s">
        <v>684</v>
      </c>
      <c r="C32" s="45" t="s">
        <v>263</v>
      </c>
      <c r="D32" s="45" t="s">
        <v>720</v>
      </c>
      <c r="E32" s="45" t="n">
        <v>2</v>
      </c>
      <c r="F32" s="45" t="n">
        <v>16</v>
      </c>
      <c r="G32" s="45" t="n">
        <v>115</v>
      </c>
      <c r="H32" s="45"/>
      <c r="I32" s="45"/>
    </row>
    <row r="33" customFormat="false" ht="15" hidden="false" customHeight="false" outlineLevel="0" collapsed="false">
      <c r="A33" s="45" t="s">
        <v>687</v>
      </c>
      <c r="B33" s="45" t="s">
        <v>684</v>
      </c>
      <c r="C33" s="45" t="s">
        <v>372</v>
      </c>
      <c r="D33" s="45" t="s">
        <v>720</v>
      </c>
      <c r="E33" s="45" t="n">
        <v>2</v>
      </c>
      <c r="F33" s="45"/>
      <c r="G33" s="45"/>
      <c r="H33" s="45"/>
      <c r="I33" s="45"/>
    </row>
    <row r="34" customFormat="false" ht="15" hidden="false" customHeight="false" outlineLevel="0" collapsed="false">
      <c r="A34" s="45" t="s">
        <v>711</v>
      </c>
      <c r="B34" s="45" t="s">
        <v>712</v>
      </c>
      <c r="C34" s="45" t="s">
        <v>454</v>
      </c>
      <c r="D34" s="45" t="s">
        <v>721</v>
      </c>
      <c r="E34" s="45" t="n">
        <v>1.75</v>
      </c>
      <c r="F34" s="45"/>
      <c r="G34" s="45"/>
      <c r="H34" s="45"/>
      <c r="I34" s="45"/>
    </row>
    <row r="35" customFormat="false" ht="15" hidden="false" customHeight="false" outlineLevel="0" collapsed="false">
      <c r="A35" s="45" t="s">
        <v>711</v>
      </c>
      <c r="B35" s="45" t="s">
        <v>712</v>
      </c>
      <c r="C35" s="45" t="s">
        <v>263</v>
      </c>
      <c r="D35" s="45" t="s">
        <v>721</v>
      </c>
      <c r="E35" s="45" t="n">
        <v>3.75</v>
      </c>
      <c r="F35" s="45"/>
      <c r="G35" s="45" t="n">
        <v>240</v>
      </c>
      <c r="H35" s="45"/>
      <c r="I35" s="45"/>
    </row>
    <row r="36" customFormat="false" ht="15" hidden="false" customHeight="false" outlineLevel="0" collapsed="false">
      <c r="A36" s="45" t="s">
        <v>694</v>
      </c>
      <c r="B36" s="45" t="s">
        <v>695</v>
      </c>
      <c r="C36" s="45" t="s">
        <v>397</v>
      </c>
      <c r="D36" s="45" t="s">
        <v>722</v>
      </c>
      <c r="E36" s="45" t="n">
        <v>29.5</v>
      </c>
      <c r="F36" s="45" t="n">
        <v>204</v>
      </c>
      <c r="G36" s="45" t="n">
        <v>2570</v>
      </c>
      <c r="H36" s="45"/>
      <c r="I36" s="45"/>
    </row>
    <row r="37" customFormat="false" ht="15" hidden="false" customHeight="false" outlineLevel="0" collapsed="false">
      <c r="A37" s="45" t="s">
        <v>694</v>
      </c>
      <c r="B37" s="45" t="s">
        <v>695</v>
      </c>
      <c r="C37" s="45" t="s">
        <v>273</v>
      </c>
      <c r="D37" s="45" t="s">
        <v>722</v>
      </c>
      <c r="E37" s="45" t="n">
        <v>15.75</v>
      </c>
      <c r="F37" s="45"/>
      <c r="G37" s="45"/>
      <c r="H37" s="45"/>
      <c r="I37" s="45"/>
    </row>
    <row r="38" customFormat="false" ht="15" hidden="false" customHeight="false" outlineLevel="0" collapsed="false">
      <c r="A38" s="45" t="s">
        <v>694</v>
      </c>
      <c r="B38" s="45" t="s">
        <v>695</v>
      </c>
      <c r="C38" s="45" t="s">
        <v>723</v>
      </c>
      <c r="D38" s="45" t="s">
        <v>722</v>
      </c>
      <c r="E38" s="45" t="n">
        <v>33.75</v>
      </c>
      <c r="F38" s="45"/>
      <c r="G38" s="45"/>
      <c r="H38" s="45"/>
      <c r="I38" s="45"/>
    </row>
    <row r="39" customFormat="false" ht="15" hidden="false" customHeight="false" outlineLevel="0" collapsed="false">
      <c r="A39" s="45" t="s">
        <v>697</v>
      </c>
      <c r="B39" s="45" t="s">
        <v>698</v>
      </c>
      <c r="C39" s="45" t="s">
        <v>448</v>
      </c>
      <c r="D39" s="45" t="s">
        <v>722</v>
      </c>
      <c r="E39" s="45" t="n">
        <v>59</v>
      </c>
      <c r="F39" s="45"/>
      <c r="G39" s="45"/>
      <c r="H39" s="45"/>
      <c r="I39" s="45"/>
    </row>
    <row r="40" customFormat="false" ht="15" hidden="false" customHeight="false" outlineLevel="0" collapsed="false">
      <c r="A40" s="45" t="s">
        <v>697</v>
      </c>
      <c r="B40" s="45" t="s">
        <v>698</v>
      </c>
      <c r="C40" s="45" t="s">
        <v>415</v>
      </c>
      <c r="D40" s="45" t="s">
        <v>722</v>
      </c>
      <c r="E40" s="45" t="n">
        <v>20</v>
      </c>
      <c r="F40" s="45" t="n">
        <v>96</v>
      </c>
      <c r="G40" s="45" t="n">
        <v>15930</v>
      </c>
      <c r="H40" s="45"/>
      <c r="I40" s="45"/>
    </row>
    <row r="41" customFormat="false" ht="15" hidden="false" customHeight="false" outlineLevel="0" collapsed="false">
      <c r="A41" s="45" t="s">
        <v>700</v>
      </c>
      <c r="B41" s="45" t="s">
        <v>701</v>
      </c>
      <c r="C41" s="45" t="s">
        <v>724</v>
      </c>
      <c r="D41" s="45" t="s">
        <v>722</v>
      </c>
      <c r="E41" s="45" t="n">
        <v>30.5</v>
      </c>
      <c r="F41" s="45"/>
      <c r="G41" s="45"/>
      <c r="H41" s="45"/>
      <c r="I41" s="45"/>
    </row>
    <row r="42" customFormat="false" ht="15" hidden="false" customHeight="false" outlineLevel="0" collapsed="false">
      <c r="A42" s="45" t="s">
        <v>700</v>
      </c>
      <c r="B42" s="45" t="s">
        <v>701</v>
      </c>
      <c r="C42" s="45" t="s">
        <v>313</v>
      </c>
      <c r="D42" s="45" t="s">
        <v>722</v>
      </c>
      <c r="E42" s="45" t="n">
        <v>72.25</v>
      </c>
      <c r="F42" s="45"/>
      <c r="G42" s="45" t="n">
        <v>640</v>
      </c>
      <c r="H42" s="45"/>
      <c r="I42" s="45"/>
    </row>
    <row r="43" customFormat="false" ht="15" hidden="false" customHeight="false" outlineLevel="0" collapsed="false">
      <c r="A43" s="45" t="s">
        <v>703</v>
      </c>
      <c r="B43" s="45" t="s">
        <v>698</v>
      </c>
      <c r="C43" s="45" t="s">
        <v>725</v>
      </c>
      <c r="D43" s="45" t="s">
        <v>722</v>
      </c>
      <c r="E43" s="45" t="n">
        <v>58.25</v>
      </c>
      <c r="F43" s="45" t="n">
        <v>162</v>
      </c>
      <c r="G43" s="45"/>
      <c r="H43" s="45"/>
      <c r="I43" s="45"/>
    </row>
    <row r="44" customFormat="false" ht="15" hidden="false" customHeight="false" outlineLevel="0" collapsed="false">
      <c r="A44" s="45" t="s">
        <v>704</v>
      </c>
      <c r="B44" s="45" t="s">
        <v>705</v>
      </c>
      <c r="C44" s="45" t="s">
        <v>255</v>
      </c>
      <c r="D44" s="45" t="s">
        <v>722</v>
      </c>
      <c r="E44" s="45" t="n">
        <v>138.75</v>
      </c>
      <c r="F44" s="45" t="n">
        <v>36</v>
      </c>
      <c r="G44" s="45" t="n">
        <v>885</v>
      </c>
      <c r="H44" s="45"/>
      <c r="I44" s="45"/>
    </row>
    <row r="45" customFormat="false" ht="15" hidden="false" customHeight="false" outlineLevel="0" collapsed="false">
      <c r="A45" s="45" t="s">
        <v>704</v>
      </c>
      <c r="B45" s="45" t="s">
        <v>705</v>
      </c>
      <c r="C45" s="45" t="s">
        <v>340</v>
      </c>
      <c r="D45" s="45" t="s">
        <v>722</v>
      </c>
      <c r="E45" s="45" t="n">
        <v>210.75</v>
      </c>
      <c r="F45" s="45"/>
      <c r="G45" s="45"/>
      <c r="H45" s="45"/>
      <c r="I45" s="45"/>
    </row>
    <row r="46" customFormat="false" ht="15" hidden="false" customHeight="false" outlineLevel="0" collapsed="false">
      <c r="A46" s="45" t="s">
        <v>707</v>
      </c>
      <c r="B46" s="45" t="s">
        <v>705</v>
      </c>
      <c r="C46" s="45" t="s">
        <v>400</v>
      </c>
      <c r="D46" s="45" t="s">
        <v>722</v>
      </c>
      <c r="E46" s="45" t="n">
        <v>59.75</v>
      </c>
      <c r="F46" s="45" t="n">
        <v>4</v>
      </c>
      <c r="G46" s="45" t="n">
        <v>90</v>
      </c>
      <c r="H46" s="45"/>
      <c r="I46" s="45"/>
    </row>
    <row r="47" customFormat="false" ht="15" hidden="false" customHeight="false" outlineLevel="0" collapsed="false">
      <c r="A47" s="45" t="s">
        <v>680</v>
      </c>
      <c r="B47" s="45" t="s">
        <v>681</v>
      </c>
      <c r="C47" s="45" t="s">
        <v>292</v>
      </c>
      <c r="D47" s="45" t="s">
        <v>726</v>
      </c>
      <c r="E47" s="45" t="n">
        <v>2.75</v>
      </c>
      <c r="F47" s="45"/>
      <c r="G47" s="45"/>
      <c r="H47" s="45"/>
      <c r="I47" s="45"/>
    </row>
    <row r="48" customFormat="false" ht="15" hidden="false" customHeight="false" outlineLevel="0" collapsed="false">
      <c r="A48" s="45" t="s">
        <v>680</v>
      </c>
      <c r="B48" s="45" t="s">
        <v>681</v>
      </c>
      <c r="C48" s="45" t="s">
        <v>727</v>
      </c>
      <c r="D48" s="45" t="s">
        <v>726</v>
      </c>
      <c r="E48" s="45" t="n">
        <v>2.75</v>
      </c>
      <c r="F48" s="45"/>
      <c r="G48" s="45" t="n">
        <v>5</v>
      </c>
      <c r="H48" s="45"/>
      <c r="I48" s="45"/>
    </row>
    <row r="49" customFormat="false" ht="15" hidden="false" customHeight="false" outlineLevel="0" collapsed="false">
      <c r="A49" s="45" t="s">
        <v>689</v>
      </c>
      <c r="B49" s="45" t="s">
        <v>684</v>
      </c>
      <c r="C49" s="45" t="s">
        <v>315</v>
      </c>
      <c r="D49" s="45" t="s">
        <v>728</v>
      </c>
      <c r="E49" s="45" t="n">
        <v>8</v>
      </c>
      <c r="F49" s="45"/>
      <c r="G49" s="45"/>
      <c r="H49" s="45"/>
      <c r="I49" s="45"/>
    </row>
    <row r="50" customFormat="false" ht="15" hidden="false" customHeight="false" outlineLevel="0" collapsed="false">
      <c r="A50" s="45" t="s">
        <v>689</v>
      </c>
      <c r="B50" s="45" t="s">
        <v>684</v>
      </c>
      <c r="C50" s="45" t="s">
        <v>342</v>
      </c>
      <c r="D50" s="45" t="s">
        <v>728</v>
      </c>
      <c r="E50" s="45" t="n">
        <v>8</v>
      </c>
      <c r="F50" s="45" t="n">
        <v>33</v>
      </c>
      <c r="G50" s="45" t="n">
        <v>265</v>
      </c>
      <c r="H50" s="45"/>
      <c r="I50" s="45"/>
    </row>
    <row r="51" customFormat="false" ht="15" hidden="false" customHeight="false" outlineLevel="0" collapsed="false">
      <c r="A51" s="45" t="s">
        <v>729</v>
      </c>
      <c r="B51" s="45" t="s">
        <v>698</v>
      </c>
      <c r="C51" s="45" t="s">
        <v>730</v>
      </c>
      <c r="D51" s="45" t="s">
        <v>731</v>
      </c>
      <c r="E51" s="45" t="n">
        <v>2.5</v>
      </c>
      <c r="F51" s="45" t="n">
        <v>16</v>
      </c>
      <c r="G51" s="45" t="n">
        <v>30</v>
      </c>
      <c r="H51" s="45"/>
      <c r="I51" s="45"/>
    </row>
    <row r="52" customFormat="false" ht="15" hidden="false" customHeight="false" outlineLevel="0" collapsed="false">
      <c r="A52" s="45" t="s">
        <v>729</v>
      </c>
      <c r="B52" s="45" t="s">
        <v>698</v>
      </c>
      <c r="C52" s="45" t="s">
        <v>252</v>
      </c>
      <c r="D52" s="45" t="s">
        <v>731</v>
      </c>
      <c r="E52" s="45" t="n">
        <v>2.25</v>
      </c>
      <c r="F52" s="45"/>
      <c r="G52" s="45"/>
      <c r="H52" s="45"/>
      <c r="I52" s="45"/>
    </row>
    <row r="53" customFormat="false" ht="15" hidden="false" customHeight="false" outlineLevel="0" collapsed="false">
      <c r="A53" s="45" t="s">
        <v>732</v>
      </c>
      <c r="B53" s="45" t="s">
        <v>733</v>
      </c>
      <c r="C53" s="45" t="s">
        <v>256</v>
      </c>
      <c r="D53" s="45" t="s">
        <v>731</v>
      </c>
      <c r="E53" s="45" t="n">
        <v>5.25</v>
      </c>
      <c r="F53" s="45" t="n">
        <v>29</v>
      </c>
      <c r="G53" s="45" t="n">
        <v>4080</v>
      </c>
      <c r="H53" s="45"/>
      <c r="I53" s="45"/>
    </row>
    <row r="54" customFormat="false" ht="15" hidden="false" customHeight="false" outlineLevel="0" collapsed="false">
      <c r="A54" s="45" t="s">
        <v>687</v>
      </c>
      <c r="B54" s="45" t="s">
        <v>684</v>
      </c>
      <c r="C54" s="45" t="s">
        <v>315</v>
      </c>
      <c r="D54" s="45" t="s">
        <v>734</v>
      </c>
      <c r="E54" s="45" t="n">
        <v>2.5</v>
      </c>
      <c r="F54" s="45" t="n">
        <v>15</v>
      </c>
      <c r="G54" s="45" t="n">
        <v>130</v>
      </c>
      <c r="H54" s="45"/>
      <c r="I54" s="45"/>
    </row>
    <row r="55" customFormat="false" ht="15" hidden="false" customHeight="false" outlineLevel="0" collapsed="false">
      <c r="A55" s="45" t="s">
        <v>687</v>
      </c>
      <c r="B55" s="45" t="s">
        <v>684</v>
      </c>
      <c r="C55" s="45" t="s">
        <v>268</v>
      </c>
      <c r="D55" s="45" t="s">
        <v>734</v>
      </c>
      <c r="E55" s="45" t="n">
        <v>1.75</v>
      </c>
      <c r="F55" s="45"/>
      <c r="G55" s="45"/>
      <c r="H55" s="45"/>
      <c r="I55" s="45"/>
    </row>
    <row r="56" customFormat="false" ht="15" hidden="false" customHeight="false" outlineLevel="0" collapsed="false">
      <c r="A56" s="45" t="s">
        <v>687</v>
      </c>
      <c r="B56" s="45" t="s">
        <v>684</v>
      </c>
      <c r="C56" s="45" t="s">
        <v>315</v>
      </c>
      <c r="D56" s="45" t="s">
        <v>735</v>
      </c>
      <c r="E56" s="45" t="n">
        <v>2</v>
      </c>
      <c r="F56" s="45" t="n">
        <v>18</v>
      </c>
      <c r="G56" s="45" t="n">
        <v>170</v>
      </c>
      <c r="H56" s="45"/>
      <c r="I56" s="45"/>
    </row>
    <row r="57" customFormat="false" ht="15" hidden="false" customHeight="false" outlineLevel="0" collapsed="false">
      <c r="A57" s="45" t="s">
        <v>687</v>
      </c>
      <c r="B57" s="45" t="s">
        <v>684</v>
      </c>
      <c r="C57" s="45" t="s">
        <v>372</v>
      </c>
      <c r="D57" s="45" t="s">
        <v>735</v>
      </c>
      <c r="E57" s="45" t="n">
        <v>1.5</v>
      </c>
      <c r="F57" s="45"/>
      <c r="G57" s="45"/>
      <c r="H57" s="45"/>
      <c r="I57" s="45"/>
    </row>
    <row r="58" customFormat="false" ht="15" hidden="false" customHeight="false" outlineLevel="0" collapsed="false">
      <c r="A58" s="45" t="s">
        <v>736</v>
      </c>
      <c r="B58" s="45" t="s">
        <v>737</v>
      </c>
      <c r="C58" s="45" t="s">
        <v>738</v>
      </c>
      <c r="D58" s="45" t="s">
        <v>735</v>
      </c>
      <c r="E58" s="45" t="n">
        <v>0</v>
      </c>
      <c r="F58" s="45"/>
      <c r="G58" s="45" t="n">
        <v>43700</v>
      </c>
      <c r="H58" s="45"/>
      <c r="I58" s="45"/>
    </row>
    <row r="59" customFormat="false" ht="15" hidden="false" customHeight="false" outlineLevel="0" collapsed="false">
      <c r="A59" s="45" t="s">
        <v>729</v>
      </c>
      <c r="B59" s="45" t="s">
        <v>698</v>
      </c>
      <c r="C59" s="45" t="s">
        <v>394</v>
      </c>
      <c r="D59" s="45" t="s">
        <v>739</v>
      </c>
      <c r="E59" s="45" t="n">
        <v>2.5</v>
      </c>
      <c r="F59" s="45" t="n">
        <v>7</v>
      </c>
      <c r="G59" s="45" t="n">
        <v>30</v>
      </c>
      <c r="H59" s="45"/>
      <c r="I59" s="45"/>
    </row>
    <row r="60" customFormat="false" ht="15" hidden="false" customHeight="false" outlineLevel="0" collapsed="false">
      <c r="A60" s="45" t="s">
        <v>729</v>
      </c>
      <c r="B60" s="45" t="s">
        <v>698</v>
      </c>
      <c r="C60" s="45" t="s">
        <v>392</v>
      </c>
      <c r="D60" s="45" t="s">
        <v>739</v>
      </c>
      <c r="E60" s="45" t="n">
        <v>2</v>
      </c>
      <c r="F60" s="45"/>
      <c r="G60" s="45"/>
      <c r="H60" s="45"/>
      <c r="I60" s="45"/>
    </row>
    <row r="61" customFormat="false" ht="15" hidden="false" customHeight="false" outlineLevel="0" collapsed="false">
      <c r="A61" s="45" t="s">
        <v>740</v>
      </c>
      <c r="B61" s="45" t="s">
        <v>684</v>
      </c>
      <c r="C61" s="45" t="s">
        <v>272</v>
      </c>
      <c r="D61" s="45" t="s">
        <v>741</v>
      </c>
      <c r="E61" s="45" t="n">
        <v>2.75</v>
      </c>
      <c r="F61" s="45"/>
      <c r="G61" s="45"/>
      <c r="H61" s="45"/>
      <c r="I61" s="45"/>
    </row>
    <row r="62" customFormat="false" ht="15" hidden="false" customHeight="false" outlineLevel="0" collapsed="false">
      <c r="A62" s="45" t="s">
        <v>740</v>
      </c>
      <c r="B62" s="45" t="s">
        <v>684</v>
      </c>
      <c r="C62" s="45" t="s">
        <v>283</v>
      </c>
      <c r="D62" s="45" t="s">
        <v>741</v>
      </c>
      <c r="E62" s="45" t="n">
        <v>3</v>
      </c>
      <c r="F62" s="45" t="n">
        <v>28</v>
      </c>
      <c r="G62" s="45" t="n">
        <v>1845</v>
      </c>
      <c r="H62" s="45" t="n">
        <v>1665</v>
      </c>
      <c r="I62" s="45"/>
    </row>
    <row r="63" customFormat="false" ht="15" hidden="false" customHeight="false" outlineLevel="0" collapsed="false">
      <c r="A63" s="45" t="s">
        <v>694</v>
      </c>
      <c r="B63" s="45" t="s">
        <v>695</v>
      </c>
      <c r="C63" s="45" t="s">
        <v>380</v>
      </c>
      <c r="D63" s="45" t="s">
        <v>742</v>
      </c>
      <c r="E63" s="45" t="n">
        <v>43.25</v>
      </c>
      <c r="F63" s="45" t="n">
        <v>224</v>
      </c>
      <c r="G63" s="45" t="n">
        <v>3790</v>
      </c>
      <c r="H63" s="45"/>
      <c r="I63" s="45"/>
    </row>
    <row r="64" customFormat="false" ht="15" hidden="false" customHeight="false" outlineLevel="0" collapsed="false">
      <c r="A64" s="45" t="s">
        <v>694</v>
      </c>
      <c r="B64" s="45" t="s">
        <v>695</v>
      </c>
      <c r="C64" s="45" t="s">
        <v>283</v>
      </c>
      <c r="D64" s="45" t="s">
        <v>742</v>
      </c>
      <c r="E64" s="45" t="n">
        <v>11</v>
      </c>
      <c r="F64" s="45"/>
      <c r="G64" s="45"/>
      <c r="H64" s="45"/>
      <c r="I64" s="45"/>
    </row>
    <row r="65" customFormat="false" ht="15" hidden="false" customHeight="false" outlineLevel="0" collapsed="false">
      <c r="A65" s="45" t="s">
        <v>694</v>
      </c>
      <c r="B65" s="45" t="s">
        <v>695</v>
      </c>
      <c r="C65" s="45" t="s">
        <v>458</v>
      </c>
      <c r="D65" s="45" t="s">
        <v>742</v>
      </c>
      <c r="E65" s="45" t="n">
        <v>34.5</v>
      </c>
      <c r="F65" s="45"/>
      <c r="G65" s="45"/>
      <c r="H65" s="45"/>
      <c r="I65" s="45"/>
    </row>
    <row r="66" customFormat="false" ht="15" hidden="false" customHeight="false" outlineLevel="0" collapsed="false">
      <c r="A66" s="45" t="s">
        <v>697</v>
      </c>
      <c r="B66" s="45" t="s">
        <v>698</v>
      </c>
      <c r="C66" s="45" t="s">
        <v>459</v>
      </c>
      <c r="D66" s="45" t="s">
        <v>742</v>
      </c>
      <c r="E66" s="45" t="n">
        <v>61</v>
      </c>
      <c r="F66" s="45"/>
      <c r="G66" s="45"/>
      <c r="H66" s="45"/>
      <c r="I66" s="45"/>
    </row>
    <row r="67" customFormat="false" ht="15" hidden="false" customHeight="false" outlineLevel="0" collapsed="false">
      <c r="A67" s="45" t="s">
        <v>697</v>
      </c>
      <c r="B67" s="45" t="s">
        <v>698</v>
      </c>
      <c r="C67" s="45" t="s">
        <v>273</v>
      </c>
      <c r="D67" s="45" t="s">
        <v>742</v>
      </c>
      <c r="E67" s="45" t="n">
        <v>18.5</v>
      </c>
      <c r="F67" s="45" t="n">
        <v>109</v>
      </c>
      <c r="G67" s="45" t="n">
        <v>19380</v>
      </c>
      <c r="H67" s="45"/>
      <c r="I67" s="45"/>
    </row>
    <row r="68" customFormat="false" ht="15" hidden="false" customHeight="false" outlineLevel="0" collapsed="false">
      <c r="A68" s="45" t="s">
        <v>700</v>
      </c>
      <c r="B68" s="45" t="s">
        <v>701</v>
      </c>
      <c r="C68" s="45" t="s">
        <v>461</v>
      </c>
      <c r="D68" s="45" t="s">
        <v>742</v>
      </c>
      <c r="E68" s="45" t="n">
        <v>50.5</v>
      </c>
      <c r="F68" s="45"/>
      <c r="G68" s="45"/>
      <c r="H68" s="45"/>
      <c r="I68" s="45"/>
    </row>
    <row r="69" customFormat="false" ht="15" hidden="false" customHeight="false" outlineLevel="0" collapsed="false">
      <c r="A69" s="45" t="s">
        <v>700</v>
      </c>
      <c r="B69" s="45" t="s">
        <v>701</v>
      </c>
      <c r="C69" s="45" t="s">
        <v>331</v>
      </c>
      <c r="D69" s="45" t="s">
        <v>742</v>
      </c>
      <c r="E69" s="45" t="n">
        <v>64.25</v>
      </c>
      <c r="F69" s="45"/>
      <c r="G69" s="45" t="n">
        <v>360</v>
      </c>
      <c r="H69" s="45"/>
      <c r="I69" s="45"/>
    </row>
    <row r="70" customFormat="false" ht="15" hidden="false" customHeight="false" outlineLevel="0" collapsed="false">
      <c r="A70" s="45" t="s">
        <v>703</v>
      </c>
      <c r="B70" s="45" t="s">
        <v>698</v>
      </c>
      <c r="C70" s="45" t="s">
        <v>334</v>
      </c>
      <c r="D70" s="45" t="s">
        <v>742</v>
      </c>
      <c r="E70" s="45" t="n">
        <v>40</v>
      </c>
      <c r="F70" s="45" t="n">
        <v>139</v>
      </c>
      <c r="G70" s="45"/>
      <c r="H70" s="45"/>
      <c r="I70" s="45"/>
    </row>
    <row r="71" customFormat="false" ht="15" hidden="false" customHeight="false" outlineLevel="0" collapsed="false">
      <c r="A71" s="45" t="s">
        <v>704</v>
      </c>
      <c r="B71" s="45" t="s">
        <v>705</v>
      </c>
      <c r="C71" s="45" t="s">
        <v>421</v>
      </c>
      <c r="D71" s="45" t="s">
        <v>742</v>
      </c>
      <c r="E71" s="45" t="n">
        <v>136</v>
      </c>
      <c r="F71" s="45" t="n">
        <v>39</v>
      </c>
      <c r="G71" s="45" t="n">
        <v>295</v>
      </c>
      <c r="H71" s="45"/>
      <c r="I71" s="45"/>
    </row>
    <row r="72" customFormat="false" ht="15" hidden="false" customHeight="false" outlineLevel="0" collapsed="false">
      <c r="A72" s="45" t="s">
        <v>704</v>
      </c>
      <c r="B72" s="45" t="s">
        <v>705</v>
      </c>
      <c r="C72" s="45" t="s">
        <v>357</v>
      </c>
      <c r="D72" s="45" t="s">
        <v>742</v>
      </c>
      <c r="E72" s="45" t="n">
        <v>155.25</v>
      </c>
      <c r="F72" s="45"/>
      <c r="G72" s="45"/>
      <c r="H72" s="45"/>
      <c r="I72" s="45"/>
    </row>
    <row r="73" customFormat="false" ht="15" hidden="false" customHeight="false" outlineLevel="0" collapsed="false">
      <c r="A73" s="45" t="s">
        <v>707</v>
      </c>
      <c r="B73" s="45" t="s">
        <v>705</v>
      </c>
      <c r="C73" s="45" t="s">
        <v>743</v>
      </c>
      <c r="D73" s="45" t="s">
        <v>742</v>
      </c>
      <c r="E73" s="45" t="n">
        <v>61.75</v>
      </c>
      <c r="F73" s="45" t="n">
        <v>5</v>
      </c>
      <c r="G73" s="45" t="n">
        <v>90</v>
      </c>
      <c r="H73" s="45"/>
      <c r="I73" s="45"/>
    </row>
    <row r="74" customFormat="false" ht="15" hidden="false" customHeight="false" outlineLevel="0" collapsed="false">
      <c r="A74" s="45" t="s">
        <v>680</v>
      </c>
      <c r="B74" s="45" t="s">
        <v>681</v>
      </c>
      <c r="C74" s="45" t="s">
        <v>313</v>
      </c>
      <c r="D74" s="45" t="s">
        <v>742</v>
      </c>
      <c r="E74" s="45" t="n">
        <v>2</v>
      </c>
      <c r="F74" s="45"/>
      <c r="G74" s="45"/>
      <c r="H74" s="45"/>
      <c r="I74" s="45"/>
    </row>
    <row r="75" customFormat="false" ht="15" hidden="false" customHeight="false" outlineLevel="0" collapsed="false">
      <c r="A75" s="45" t="s">
        <v>680</v>
      </c>
      <c r="B75" s="45" t="s">
        <v>681</v>
      </c>
      <c r="C75" s="45" t="s">
        <v>373</v>
      </c>
      <c r="D75" s="45" t="s">
        <v>742</v>
      </c>
      <c r="E75" s="45" t="n">
        <v>2.75</v>
      </c>
      <c r="F75" s="45"/>
      <c r="G75" s="45" t="n">
        <v>145</v>
      </c>
      <c r="H75" s="45"/>
      <c r="I75" s="45"/>
    </row>
    <row r="76" customFormat="false" ht="15" hidden="false" customHeight="false" outlineLevel="0" collapsed="false">
      <c r="A76" s="45" t="s">
        <v>729</v>
      </c>
      <c r="B76" s="45" t="s">
        <v>698</v>
      </c>
      <c r="C76" s="45" t="s">
        <v>453</v>
      </c>
      <c r="D76" s="45" t="s">
        <v>744</v>
      </c>
      <c r="E76" s="45" t="n">
        <v>2</v>
      </c>
      <c r="F76" s="45" t="n">
        <v>15</v>
      </c>
      <c r="G76" s="45" t="n">
        <v>40</v>
      </c>
      <c r="H76" s="45"/>
      <c r="I76" s="45"/>
    </row>
    <row r="77" customFormat="false" ht="15" hidden="false" customHeight="false" outlineLevel="0" collapsed="false">
      <c r="A77" s="45" t="s">
        <v>729</v>
      </c>
      <c r="B77" s="45" t="s">
        <v>698</v>
      </c>
      <c r="C77" s="45" t="s">
        <v>252</v>
      </c>
      <c r="D77" s="45" t="s">
        <v>744</v>
      </c>
      <c r="E77" s="45" t="n">
        <v>1.75</v>
      </c>
      <c r="F77" s="45"/>
      <c r="G77" s="45"/>
      <c r="H77" s="45"/>
      <c r="I77" s="45"/>
    </row>
    <row r="78" customFormat="false" ht="15" hidden="false" customHeight="false" outlineLevel="0" collapsed="false">
      <c r="A78" s="45" t="s">
        <v>687</v>
      </c>
      <c r="B78" s="45" t="s">
        <v>684</v>
      </c>
      <c r="C78" s="45" t="s">
        <v>251</v>
      </c>
      <c r="D78" s="45" t="s">
        <v>745</v>
      </c>
      <c r="E78" s="45" t="n">
        <v>2.25</v>
      </c>
      <c r="F78" s="45" t="n">
        <v>14</v>
      </c>
      <c r="G78" s="45" t="n">
        <v>115</v>
      </c>
      <c r="H78" s="45"/>
      <c r="I78" s="45"/>
    </row>
    <row r="79" customFormat="false" ht="15" hidden="false" customHeight="false" outlineLevel="0" collapsed="false">
      <c r="A79" s="45" t="s">
        <v>687</v>
      </c>
      <c r="B79" s="45" t="s">
        <v>684</v>
      </c>
      <c r="C79" s="45" t="s">
        <v>746</v>
      </c>
      <c r="D79" s="45" t="s">
        <v>745</v>
      </c>
      <c r="E79" s="45" t="n">
        <v>1.5</v>
      </c>
      <c r="F79" s="45"/>
      <c r="G79" s="45"/>
      <c r="H79" s="45"/>
      <c r="I79" s="45"/>
    </row>
    <row r="80" customFormat="false" ht="15" hidden="false" customHeight="false" outlineLevel="0" collapsed="false">
      <c r="A80" s="45" t="s">
        <v>708</v>
      </c>
      <c r="B80" s="45" t="s">
        <v>695</v>
      </c>
      <c r="C80" s="45" t="s">
        <v>747</v>
      </c>
      <c r="D80" s="45" t="s">
        <v>745</v>
      </c>
      <c r="E80" s="45" t="n">
        <v>3.5</v>
      </c>
      <c r="F80" s="45" t="n">
        <v>53</v>
      </c>
      <c r="G80" s="45" t="n">
        <v>85</v>
      </c>
      <c r="H80" s="45"/>
      <c r="I80" s="45"/>
    </row>
    <row r="81" customFormat="false" ht="15" hidden="false" customHeight="false" outlineLevel="0" collapsed="false">
      <c r="A81" s="45" t="s">
        <v>708</v>
      </c>
      <c r="B81" s="45" t="s">
        <v>695</v>
      </c>
      <c r="C81" s="45" t="s">
        <v>357</v>
      </c>
      <c r="D81" s="45" t="s">
        <v>748</v>
      </c>
      <c r="E81" s="45" t="n">
        <v>3.75</v>
      </c>
      <c r="F81" s="45" t="n">
        <v>74</v>
      </c>
      <c r="G81" s="45" t="n">
        <v>40</v>
      </c>
      <c r="H81" s="45"/>
      <c r="I81" s="45"/>
    </row>
    <row r="82" customFormat="false" ht="15" hidden="false" customHeight="false" outlineLevel="0" collapsed="false">
      <c r="A82" s="45" t="s">
        <v>714</v>
      </c>
      <c r="B82" s="45" t="s">
        <v>684</v>
      </c>
      <c r="C82" s="45" t="s">
        <v>274</v>
      </c>
      <c r="D82" s="45" t="s">
        <v>749</v>
      </c>
      <c r="E82" s="45" t="n">
        <v>3.5</v>
      </c>
      <c r="F82" s="45" t="n">
        <v>16</v>
      </c>
      <c r="G82" s="45" t="n">
        <v>155</v>
      </c>
      <c r="H82" s="45" t="n">
        <v>320</v>
      </c>
      <c r="I82" s="45"/>
    </row>
    <row r="83" customFormat="false" ht="15" hidden="false" customHeight="false" outlineLevel="0" collapsed="false">
      <c r="A83" s="45" t="s">
        <v>729</v>
      </c>
      <c r="B83" s="45" t="s">
        <v>698</v>
      </c>
      <c r="C83" s="45" t="s">
        <v>345</v>
      </c>
      <c r="D83" s="45" t="s">
        <v>750</v>
      </c>
      <c r="E83" s="45" t="n">
        <v>2</v>
      </c>
      <c r="F83" s="45" t="n">
        <v>8</v>
      </c>
      <c r="G83" s="45" t="n">
        <v>40</v>
      </c>
      <c r="H83" s="45"/>
      <c r="I83" s="45"/>
    </row>
    <row r="84" customFormat="false" ht="15" hidden="false" customHeight="false" outlineLevel="0" collapsed="false">
      <c r="A84" s="45" t="s">
        <v>729</v>
      </c>
      <c r="B84" s="45" t="s">
        <v>698</v>
      </c>
      <c r="C84" s="45" t="s">
        <v>347</v>
      </c>
      <c r="D84" s="45" t="s">
        <v>750</v>
      </c>
      <c r="E84" s="45" t="n">
        <v>1.75</v>
      </c>
      <c r="F84" s="45"/>
      <c r="G84" s="45"/>
      <c r="H84" s="45"/>
      <c r="I84" s="45"/>
    </row>
    <row r="85" customFormat="false" ht="15" hidden="false" customHeight="false" outlineLevel="0" collapsed="false">
      <c r="A85" s="45" t="s">
        <v>680</v>
      </c>
      <c r="B85" s="45" t="s">
        <v>681</v>
      </c>
      <c r="C85" s="45" t="s">
        <v>432</v>
      </c>
      <c r="D85" s="45" t="s">
        <v>751</v>
      </c>
      <c r="E85" s="45" t="n">
        <v>2.5</v>
      </c>
      <c r="F85" s="45"/>
      <c r="G85" s="45"/>
      <c r="H85" s="45"/>
      <c r="I85" s="45"/>
    </row>
    <row r="86" customFormat="false" ht="15" hidden="false" customHeight="false" outlineLevel="0" collapsed="false">
      <c r="A86" s="45" t="s">
        <v>680</v>
      </c>
      <c r="B86" s="45" t="s">
        <v>681</v>
      </c>
      <c r="C86" s="45" t="s">
        <v>433</v>
      </c>
      <c r="D86" s="45" t="s">
        <v>751</v>
      </c>
      <c r="E86" s="45" t="n">
        <v>2.5</v>
      </c>
      <c r="F86" s="45"/>
      <c r="G86" s="45" t="n">
        <v>95</v>
      </c>
      <c r="H86" s="45"/>
      <c r="I86" s="45"/>
    </row>
    <row r="87" customFormat="false" ht="15" hidden="false" customHeight="false" outlineLevel="0" collapsed="false">
      <c r="A87" s="45" t="s">
        <v>683</v>
      </c>
      <c r="B87" s="45" t="s">
        <v>684</v>
      </c>
      <c r="C87" s="45" t="s">
        <v>593</v>
      </c>
      <c r="D87" s="45" t="s">
        <v>752</v>
      </c>
      <c r="E87" s="45" t="n">
        <v>2</v>
      </c>
      <c r="F87" s="45" t="n">
        <v>22</v>
      </c>
      <c r="G87" s="45" t="n">
        <v>45</v>
      </c>
      <c r="H87" s="45"/>
      <c r="I87" s="45"/>
    </row>
    <row r="88" customFormat="false" ht="15" hidden="false" customHeight="false" outlineLevel="0" collapsed="false">
      <c r="A88" s="45" t="s">
        <v>687</v>
      </c>
      <c r="B88" s="45" t="s">
        <v>684</v>
      </c>
      <c r="C88" s="45" t="s">
        <v>267</v>
      </c>
      <c r="D88" s="45" t="s">
        <v>753</v>
      </c>
      <c r="E88" s="45" t="n">
        <v>2.5</v>
      </c>
      <c r="F88" s="45" t="n">
        <v>17</v>
      </c>
      <c r="G88" s="45" t="n">
        <v>120</v>
      </c>
      <c r="H88" s="45"/>
      <c r="I88" s="45"/>
    </row>
    <row r="89" customFormat="false" ht="15" hidden="false" customHeight="false" outlineLevel="0" collapsed="false">
      <c r="A89" s="45" t="s">
        <v>687</v>
      </c>
      <c r="B89" s="45" t="s">
        <v>684</v>
      </c>
      <c r="C89" s="45" t="s">
        <v>754</v>
      </c>
      <c r="D89" s="45" t="s">
        <v>753</v>
      </c>
      <c r="E89" s="45" t="n">
        <v>2</v>
      </c>
      <c r="F89" s="45"/>
      <c r="G89" s="45"/>
      <c r="H89" s="45"/>
      <c r="I89" s="45"/>
    </row>
    <row r="90" customFormat="false" ht="15" hidden="false" customHeight="false" outlineLevel="0" collapsed="false">
      <c r="A90" s="45" t="s">
        <v>740</v>
      </c>
      <c r="B90" s="45" t="s">
        <v>684</v>
      </c>
      <c r="C90" s="45" t="s">
        <v>263</v>
      </c>
      <c r="D90" s="45" t="s">
        <v>755</v>
      </c>
      <c r="E90" s="45" t="n">
        <v>2.75</v>
      </c>
      <c r="F90" s="45"/>
      <c r="G90" s="45"/>
      <c r="H90" s="45"/>
      <c r="I90" s="45"/>
    </row>
    <row r="91" customFormat="false" ht="15" hidden="false" customHeight="false" outlineLevel="0" collapsed="false">
      <c r="A91" s="45" t="s">
        <v>740</v>
      </c>
      <c r="B91" s="45" t="s">
        <v>684</v>
      </c>
      <c r="C91" s="45" t="s">
        <v>743</v>
      </c>
      <c r="D91" s="45" t="s">
        <v>753</v>
      </c>
      <c r="E91" s="45" t="n">
        <v>2.5</v>
      </c>
      <c r="F91" s="45" t="n">
        <v>42</v>
      </c>
      <c r="G91" s="45" t="n">
        <v>1640</v>
      </c>
      <c r="H91" s="45" t="n">
        <v>1440</v>
      </c>
      <c r="I91" s="45"/>
    </row>
    <row r="92" customFormat="false" ht="15" hidden="false" customHeight="false" outlineLevel="0" collapsed="false">
      <c r="A92" s="45" t="s">
        <v>708</v>
      </c>
      <c r="B92" s="45" t="s">
        <v>695</v>
      </c>
      <c r="C92" s="45" t="s">
        <v>327</v>
      </c>
      <c r="D92" s="45" t="s">
        <v>756</v>
      </c>
      <c r="E92" s="45" t="n">
        <v>3.75</v>
      </c>
      <c r="F92" s="45" t="n">
        <v>67</v>
      </c>
      <c r="G92" s="45" t="n">
        <v>95</v>
      </c>
      <c r="H92" s="45"/>
      <c r="I92" s="45"/>
    </row>
    <row r="93" customFormat="false" ht="15" hidden="false" customHeight="false" outlineLevel="0" collapsed="false">
      <c r="A93" s="45" t="s">
        <v>694</v>
      </c>
      <c r="B93" s="45" t="s">
        <v>695</v>
      </c>
      <c r="C93" s="45" t="s">
        <v>414</v>
      </c>
      <c r="D93" s="45" t="s">
        <v>757</v>
      </c>
      <c r="E93" s="45" t="n">
        <v>43</v>
      </c>
      <c r="F93" s="45" t="n">
        <v>208</v>
      </c>
      <c r="G93" s="45" t="n">
        <v>3605</v>
      </c>
      <c r="H93" s="45"/>
      <c r="I93" s="45"/>
    </row>
    <row r="94" customFormat="false" ht="15" hidden="false" customHeight="false" outlineLevel="0" collapsed="false">
      <c r="A94" s="45" t="s">
        <v>694</v>
      </c>
      <c r="B94" s="45" t="s">
        <v>695</v>
      </c>
      <c r="C94" s="45" t="s">
        <v>699</v>
      </c>
      <c r="D94" s="45" t="s">
        <v>757</v>
      </c>
      <c r="E94" s="45" t="n">
        <v>13.75</v>
      </c>
      <c r="F94" s="45"/>
      <c r="G94" s="45"/>
      <c r="H94" s="45"/>
      <c r="I94" s="45"/>
    </row>
    <row r="95" customFormat="false" ht="15" hidden="false" customHeight="false" outlineLevel="0" collapsed="false">
      <c r="A95" s="45" t="s">
        <v>694</v>
      </c>
      <c r="B95" s="45" t="s">
        <v>695</v>
      </c>
      <c r="C95" s="45" t="s">
        <v>340</v>
      </c>
      <c r="D95" s="45" t="s">
        <v>757</v>
      </c>
      <c r="E95" s="45" t="n">
        <v>33</v>
      </c>
      <c r="F95" s="45"/>
      <c r="G95" s="45"/>
      <c r="H95" s="45"/>
      <c r="I95" s="45"/>
    </row>
    <row r="96" customFormat="false" ht="15" hidden="false" customHeight="false" outlineLevel="0" collapsed="false">
      <c r="A96" s="45" t="s">
        <v>697</v>
      </c>
      <c r="B96" s="45" t="s">
        <v>698</v>
      </c>
      <c r="C96" s="45" t="s">
        <v>459</v>
      </c>
      <c r="D96" s="45" t="s">
        <v>757</v>
      </c>
      <c r="E96" s="45" t="n">
        <v>76.5</v>
      </c>
      <c r="F96" s="45"/>
      <c r="G96" s="45"/>
      <c r="H96" s="45"/>
      <c r="I96" s="45"/>
    </row>
    <row r="97" customFormat="false" ht="15" hidden="false" customHeight="false" outlineLevel="0" collapsed="false">
      <c r="A97" s="45" t="s">
        <v>697</v>
      </c>
      <c r="B97" s="45" t="s">
        <v>698</v>
      </c>
      <c r="C97" s="45" t="s">
        <v>415</v>
      </c>
      <c r="D97" s="45" t="s">
        <v>757</v>
      </c>
      <c r="E97" s="45" t="n">
        <v>23</v>
      </c>
      <c r="F97" s="45" t="n">
        <v>127</v>
      </c>
      <c r="G97" s="45" t="n">
        <v>24500</v>
      </c>
      <c r="H97" s="45"/>
      <c r="I97" s="45"/>
    </row>
    <row r="98" customFormat="false" ht="15" hidden="false" customHeight="false" outlineLevel="0" collapsed="false">
      <c r="A98" s="45" t="s">
        <v>700</v>
      </c>
      <c r="B98" s="45" t="s">
        <v>701</v>
      </c>
      <c r="C98" s="45" t="s">
        <v>702</v>
      </c>
      <c r="D98" s="45" t="s">
        <v>757</v>
      </c>
      <c r="E98" s="45" t="n">
        <v>56.25</v>
      </c>
      <c r="F98" s="45"/>
      <c r="G98" s="45"/>
      <c r="H98" s="45"/>
      <c r="I98" s="45"/>
    </row>
    <row r="99" customFormat="false" ht="15" hidden="false" customHeight="false" outlineLevel="0" collapsed="false">
      <c r="A99" s="45" t="s">
        <v>700</v>
      </c>
      <c r="B99" s="45" t="s">
        <v>701</v>
      </c>
      <c r="C99" s="45" t="s">
        <v>432</v>
      </c>
      <c r="D99" s="45" t="s">
        <v>757</v>
      </c>
      <c r="E99" s="45" t="n">
        <v>57</v>
      </c>
      <c r="F99" s="45"/>
      <c r="G99" s="45" t="n">
        <v>505</v>
      </c>
      <c r="H99" s="45"/>
      <c r="I99" s="45"/>
    </row>
    <row r="100" customFormat="false" ht="15" hidden="false" customHeight="false" outlineLevel="0" collapsed="false">
      <c r="A100" s="45" t="s">
        <v>703</v>
      </c>
      <c r="B100" s="45" t="s">
        <v>698</v>
      </c>
      <c r="C100" s="45" t="s">
        <v>437</v>
      </c>
      <c r="D100" s="45" t="s">
        <v>757</v>
      </c>
      <c r="E100" s="45" t="n">
        <v>62.75</v>
      </c>
      <c r="F100" s="45" t="n">
        <v>139</v>
      </c>
      <c r="G100" s="45"/>
      <c r="H100" s="45"/>
      <c r="I100" s="45"/>
    </row>
    <row r="101" customFormat="false" ht="15" hidden="false" customHeight="false" outlineLevel="0" collapsed="false">
      <c r="A101" s="45" t="s">
        <v>704</v>
      </c>
      <c r="B101" s="45" t="s">
        <v>705</v>
      </c>
      <c r="C101" s="45" t="s">
        <v>255</v>
      </c>
      <c r="D101" s="45" t="s">
        <v>757</v>
      </c>
      <c r="E101" s="45" t="n">
        <v>113.25</v>
      </c>
      <c r="F101" s="45" t="n">
        <v>38</v>
      </c>
      <c r="G101" s="45" t="n">
        <v>995</v>
      </c>
      <c r="H101" s="45"/>
      <c r="I101" s="45"/>
    </row>
    <row r="102" customFormat="false" ht="15" hidden="false" customHeight="false" outlineLevel="0" collapsed="false">
      <c r="A102" s="45" t="s">
        <v>704</v>
      </c>
      <c r="B102" s="45" t="s">
        <v>705</v>
      </c>
      <c r="C102" s="45" t="s">
        <v>327</v>
      </c>
      <c r="D102" s="45" t="s">
        <v>757</v>
      </c>
      <c r="E102" s="45" t="n">
        <v>220.75</v>
      </c>
      <c r="F102" s="45"/>
      <c r="G102" s="45"/>
      <c r="H102" s="45"/>
      <c r="I102" s="45"/>
    </row>
    <row r="103" customFormat="false" ht="15" hidden="false" customHeight="false" outlineLevel="0" collapsed="false">
      <c r="A103" s="45" t="s">
        <v>707</v>
      </c>
      <c r="B103" s="45" t="s">
        <v>705</v>
      </c>
      <c r="C103" s="45" t="s">
        <v>273</v>
      </c>
      <c r="D103" s="45" t="s">
        <v>757</v>
      </c>
      <c r="E103" s="45" t="n">
        <v>58.5</v>
      </c>
      <c r="F103" s="45" t="n">
        <v>4</v>
      </c>
      <c r="G103" s="45" t="n">
        <v>115</v>
      </c>
      <c r="H103" s="45"/>
      <c r="I103" s="45"/>
    </row>
    <row r="104" customFormat="false" ht="15" hidden="false" customHeight="false" outlineLevel="0" collapsed="false">
      <c r="A104" s="45" t="s">
        <v>687</v>
      </c>
      <c r="B104" s="45" t="s">
        <v>684</v>
      </c>
      <c r="C104" s="45" t="s">
        <v>409</v>
      </c>
      <c r="D104" s="45" t="s">
        <v>758</v>
      </c>
      <c r="E104" s="45" t="n">
        <v>2.5</v>
      </c>
      <c r="F104" s="45" t="n">
        <v>17</v>
      </c>
      <c r="G104" s="45" t="n">
        <v>80</v>
      </c>
      <c r="H104" s="45"/>
      <c r="I104" s="45"/>
    </row>
    <row r="105" customFormat="false" ht="15" hidden="false" customHeight="false" outlineLevel="0" collapsed="false">
      <c r="A105" s="45" t="s">
        <v>687</v>
      </c>
      <c r="B105" s="45" t="s">
        <v>684</v>
      </c>
      <c r="C105" s="45" t="s">
        <v>507</v>
      </c>
      <c r="D105" s="45" t="s">
        <v>758</v>
      </c>
      <c r="E105" s="45" t="n">
        <v>1.75</v>
      </c>
      <c r="F105" s="45"/>
      <c r="G105" s="45"/>
      <c r="H105" s="45"/>
      <c r="I105" s="45"/>
    </row>
    <row r="106" customFormat="false" ht="15" hidden="false" customHeight="false" outlineLevel="0" collapsed="false">
      <c r="A106" s="45" t="s">
        <v>714</v>
      </c>
      <c r="B106" s="45" t="s">
        <v>684</v>
      </c>
      <c r="C106" s="45" t="s">
        <v>274</v>
      </c>
      <c r="D106" s="45" t="s">
        <v>759</v>
      </c>
      <c r="E106" s="45" t="n">
        <v>3.5</v>
      </c>
      <c r="F106" s="45" t="n">
        <v>18</v>
      </c>
      <c r="G106" s="45" t="n">
        <v>155</v>
      </c>
      <c r="H106" s="45" t="n">
        <v>360</v>
      </c>
      <c r="I106" s="45"/>
    </row>
    <row r="107" customFormat="false" ht="15" hidden="false" customHeight="false" outlineLevel="0" collapsed="false">
      <c r="A107" s="45" t="s">
        <v>708</v>
      </c>
      <c r="B107" s="45" t="s">
        <v>695</v>
      </c>
      <c r="C107" s="45" t="s">
        <v>340</v>
      </c>
      <c r="D107" s="45" t="s">
        <v>760</v>
      </c>
      <c r="E107" s="45" t="n">
        <v>3.25</v>
      </c>
      <c r="F107" s="45" t="n">
        <v>56</v>
      </c>
      <c r="G107" s="45" t="n">
        <v>65</v>
      </c>
      <c r="H107" s="45"/>
      <c r="I107" s="45"/>
    </row>
    <row r="108" customFormat="false" ht="15" hidden="false" customHeight="false" outlineLevel="0" collapsed="false">
      <c r="A108" s="45" t="s">
        <v>708</v>
      </c>
      <c r="B108" s="45" t="s">
        <v>695</v>
      </c>
      <c r="C108" s="45" t="s">
        <v>761</v>
      </c>
      <c r="D108" s="45" t="s">
        <v>762</v>
      </c>
      <c r="E108" s="45" t="n">
        <v>3.25</v>
      </c>
      <c r="F108" s="45" t="n">
        <v>46</v>
      </c>
      <c r="G108" s="45" t="n">
        <v>60</v>
      </c>
      <c r="H108" s="45"/>
      <c r="I108" s="45"/>
    </row>
    <row r="109" customFormat="false" ht="15" hidden="false" customHeight="false" outlineLevel="0" collapsed="false">
      <c r="A109" s="45" t="s">
        <v>740</v>
      </c>
      <c r="B109" s="45" t="s">
        <v>684</v>
      </c>
      <c r="C109" s="45" t="s">
        <v>272</v>
      </c>
      <c r="D109" s="45" t="s">
        <v>763</v>
      </c>
      <c r="E109" s="45" t="n">
        <v>2.75</v>
      </c>
      <c r="F109" s="45"/>
      <c r="G109" s="45"/>
      <c r="H109" s="45"/>
      <c r="I109" s="45"/>
    </row>
    <row r="110" customFormat="false" ht="15" hidden="false" customHeight="false" outlineLevel="0" collapsed="false">
      <c r="A110" s="45" t="s">
        <v>740</v>
      </c>
      <c r="B110" s="45" t="s">
        <v>684</v>
      </c>
      <c r="C110" s="45" t="s">
        <v>330</v>
      </c>
      <c r="D110" s="45" t="s">
        <v>763</v>
      </c>
      <c r="E110" s="45" t="n">
        <v>3</v>
      </c>
      <c r="F110" s="45" t="n">
        <v>18</v>
      </c>
      <c r="G110" s="45" t="n">
        <v>2050</v>
      </c>
      <c r="H110" s="45" t="n">
        <v>1755</v>
      </c>
      <c r="I110" s="45"/>
    </row>
    <row r="111" customFormat="false" ht="15" hidden="false" customHeight="false" outlineLevel="0" collapsed="false">
      <c r="A111" s="45" t="s">
        <v>714</v>
      </c>
      <c r="B111" s="45" t="s">
        <v>684</v>
      </c>
      <c r="C111" s="45" t="s">
        <v>274</v>
      </c>
      <c r="D111" s="45" t="s">
        <v>764</v>
      </c>
      <c r="E111" s="45" t="n">
        <v>3.25</v>
      </c>
      <c r="F111" s="45" t="n">
        <v>16</v>
      </c>
      <c r="G111" s="45" t="n">
        <v>140</v>
      </c>
      <c r="H111" s="45" t="n">
        <v>320</v>
      </c>
      <c r="I111" s="45"/>
    </row>
    <row r="112" customFormat="false" ht="15" hidden="false" customHeight="false" outlineLevel="0" collapsed="false">
      <c r="A112" s="45" t="s">
        <v>729</v>
      </c>
      <c r="B112" s="45" t="s">
        <v>698</v>
      </c>
      <c r="C112" s="45" t="s">
        <v>345</v>
      </c>
      <c r="D112" s="45" t="s">
        <v>765</v>
      </c>
      <c r="E112" s="45" t="n">
        <v>2.75</v>
      </c>
      <c r="F112" s="45" t="n">
        <v>14</v>
      </c>
      <c r="G112" s="45" t="n">
        <v>45</v>
      </c>
      <c r="H112" s="45"/>
      <c r="I112" s="45"/>
    </row>
    <row r="113" customFormat="false" ht="15" hidden="false" customHeight="false" outlineLevel="0" collapsed="false">
      <c r="A113" s="45" t="s">
        <v>729</v>
      </c>
      <c r="B113" s="45" t="s">
        <v>698</v>
      </c>
      <c r="C113" s="45" t="s">
        <v>766</v>
      </c>
      <c r="D113" s="45" t="s">
        <v>765</v>
      </c>
      <c r="E113" s="45" t="n">
        <v>2</v>
      </c>
      <c r="F113" s="45"/>
      <c r="G113" s="45"/>
      <c r="H113" s="45"/>
      <c r="I113" s="45"/>
    </row>
    <row r="114" customFormat="false" ht="15" hidden="false" customHeight="false" outlineLevel="0" collapsed="false">
      <c r="A114" s="45" t="s">
        <v>694</v>
      </c>
      <c r="B114" s="45" t="s">
        <v>695</v>
      </c>
      <c r="C114" s="45" t="s">
        <v>380</v>
      </c>
      <c r="D114" s="45" t="s">
        <v>767</v>
      </c>
      <c r="E114" s="45" t="n">
        <v>33.5</v>
      </c>
      <c r="F114" s="45" t="n">
        <v>233</v>
      </c>
      <c r="G114" s="45" t="n">
        <v>2950</v>
      </c>
      <c r="H114" s="45"/>
      <c r="I114" s="45"/>
    </row>
    <row r="115" customFormat="false" ht="15" hidden="false" customHeight="false" outlineLevel="0" collapsed="false">
      <c r="A115" s="45" t="s">
        <v>694</v>
      </c>
      <c r="B115" s="45" t="s">
        <v>695</v>
      </c>
      <c r="C115" s="45" t="s">
        <v>273</v>
      </c>
      <c r="D115" s="45" t="s">
        <v>767</v>
      </c>
      <c r="E115" s="45" t="n">
        <v>11.25</v>
      </c>
      <c r="F115" s="45"/>
      <c r="G115" s="45"/>
      <c r="H115" s="45"/>
      <c r="I115" s="45"/>
    </row>
    <row r="116" customFormat="false" ht="15" hidden="false" customHeight="false" outlineLevel="0" collapsed="false">
      <c r="A116" s="45" t="s">
        <v>694</v>
      </c>
      <c r="B116" s="45" t="s">
        <v>695</v>
      </c>
      <c r="C116" s="45" t="s">
        <v>568</v>
      </c>
      <c r="D116" s="45" t="s">
        <v>767</v>
      </c>
      <c r="E116" s="45" t="n">
        <v>31</v>
      </c>
      <c r="F116" s="45"/>
      <c r="G116" s="45"/>
      <c r="H116" s="45"/>
      <c r="I116" s="45"/>
    </row>
    <row r="117" customFormat="false" ht="15" hidden="false" customHeight="false" outlineLevel="0" collapsed="false">
      <c r="A117" s="45" t="s">
        <v>697</v>
      </c>
      <c r="B117" s="45" t="s">
        <v>698</v>
      </c>
      <c r="C117" s="45" t="s">
        <v>627</v>
      </c>
      <c r="D117" s="45" t="s">
        <v>767</v>
      </c>
      <c r="E117" s="45" t="n">
        <v>73.5</v>
      </c>
      <c r="F117" s="45"/>
      <c r="G117" s="45"/>
      <c r="H117" s="45"/>
      <c r="I117" s="45"/>
    </row>
    <row r="118" customFormat="false" ht="15" hidden="false" customHeight="false" outlineLevel="0" collapsed="false">
      <c r="A118" s="45" t="s">
        <v>697</v>
      </c>
      <c r="B118" s="45" t="s">
        <v>698</v>
      </c>
      <c r="C118" s="45" t="s">
        <v>283</v>
      </c>
      <c r="D118" s="45" t="s">
        <v>767</v>
      </c>
      <c r="E118" s="45" t="n">
        <v>22</v>
      </c>
      <c r="F118" s="45" t="n">
        <v>98</v>
      </c>
      <c r="G118" s="45" t="n">
        <v>21295</v>
      </c>
      <c r="H118" s="45"/>
      <c r="I118" s="45"/>
    </row>
    <row r="119" customFormat="false" ht="15" hidden="false" customHeight="false" outlineLevel="0" collapsed="false">
      <c r="A119" s="45" t="s">
        <v>700</v>
      </c>
      <c r="B119" s="45" t="s">
        <v>701</v>
      </c>
      <c r="C119" s="45" t="s">
        <v>401</v>
      </c>
      <c r="D119" s="45" t="s">
        <v>767</v>
      </c>
      <c r="E119" s="45" t="n">
        <v>36.5</v>
      </c>
      <c r="F119" s="45"/>
      <c r="G119" s="45"/>
      <c r="H119" s="45"/>
      <c r="I119" s="45"/>
    </row>
    <row r="120" customFormat="false" ht="15" hidden="false" customHeight="false" outlineLevel="0" collapsed="false">
      <c r="A120" s="45" t="s">
        <v>700</v>
      </c>
      <c r="B120" s="45" t="s">
        <v>701</v>
      </c>
      <c r="C120" s="45" t="s">
        <v>419</v>
      </c>
      <c r="D120" s="45" t="s">
        <v>767</v>
      </c>
      <c r="E120" s="45" t="n">
        <v>60.5</v>
      </c>
      <c r="F120" s="45"/>
      <c r="G120" s="45" t="n">
        <v>735</v>
      </c>
      <c r="H120" s="45"/>
      <c r="I120" s="45"/>
    </row>
    <row r="121" customFormat="false" ht="15" hidden="false" customHeight="false" outlineLevel="0" collapsed="false">
      <c r="A121" s="45" t="s">
        <v>703</v>
      </c>
      <c r="B121" s="45" t="s">
        <v>698</v>
      </c>
      <c r="C121" s="45" t="s">
        <v>768</v>
      </c>
      <c r="D121" s="45" t="s">
        <v>767</v>
      </c>
      <c r="E121" s="45" t="n">
        <v>48.75</v>
      </c>
      <c r="F121" s="45" t="n">
        <v>127</v>
      </c>
      <c r="G121" s="45"/>
      <c r="H121" s="45"/>
      <c r="I121" s="45"/>
    </row>
    <row r="122" customFormat="false" ht="15" hidden="false" customHeight="false" outlineLevel="0" collapsed="false">
      <c r="A122" s="45" t="s">
        <v>704</v>
      </c>
      <c r="B122" s="45" t="s">
        <v>705</v>
      </c>
      <c r="C122" s="45" t="s">
        <v>364</v>
      </c>
      <c r="D122" s="45" t="s">
        <v>767</v>
      </c>
      <c r="E122" s="45" t="n">
        <v>140.5</v>
      </c>
      <c r="F122" s="45" t="n">
        <v>34</v>
      </c>
      <c r="G122" s="45" t="n">
        <v>900</v>
      </c>
      <c r="H122" s="45"/>
      <c r="I122" s="45"/>
    </row>
    <row r="123" customFormat="false" ht="15" hidden="false" customHeight="false" outlineLevel="0" collapsed="false">
      <c r="A123" s="45" t="s">
        <v>704</v>
      </c>
      <c r="B123" s="45" t="s">
        <v>705</v>
      </c>
      <c r="C123" s="45" t="s">
        <v>327</v>
      </c>
      <c r="D123" s="45" t="s">
        <v>767</v>
      </c>
      <c r="E123" s="45" t="n">
        <v>184.75</v>
      </c>
      <c r="F123" s="45"/>
      <c r="G123" s="45"/>
      <c r="H123" s="45"/>
      <c r="I123" s="45"/>
    </row>
    <row r="124" customFormat="false" ht="15" hidden="false" customHeight="false" outlineLevel="0" collapsed="false">
      <c r="A124" s="45" t="s">
        <v>707</v>
      </c>
      <c r="B124" s="45" t="s">
        <v>705</v>
      </c>
      <c r="C124" s="45" t="s">
        <v>283</v>
      </c>
      <c r="D124" s="45" t="s">
        <v>767</v>
      </c>
      <c r="E124" s="45" t="n">
        <v>55.75</v>
      </c>
      <c r="F124" s="45" t="n">
        <v>4</v>
      </c>
      <c r="G124" s="45" t="n">
        <v>180</v>
      </c>
      <c r="H124" s="45"/>
      <c r="I124" s="45"/>
    </row>
    <row r="125" customFormat="false" ht="15" hidden="false" customHeight="false" outlineLevel="0" collapsed="false">
      <c r="A125" s="45" t="s">
        <v>683</v>
      </c>
      <c r="B125" s="45" t="s">
        <v>684</v>
      </c>
      <c r="C125" s="45" t="s">
        <v>485</v>
      </c>
      <c r="D125" s="45" t="s">
        <v>769</v>
      </c>
      <c r="E125" s="45" t="n">
        <v>2</v>
      </c>
      <c r="F125" s="45" t="n">
        <v>10</v>
      </c>
      <c r="G125" s="45" t="n">
        <v>65</v>
      </c>
      <c r="H125" s="45"/>
      <c r="I125" s="45"/>
    </row>
    <row r="126" customFormat="false" ht="15" hidden="false" customHeight="false" outlineLevel="0" collapsed="false">
      <c r="A126" s="45" t="s">
        <v>689</v>
      </c>
      <c r="B126" s="45" t="s">
        <v>684</v>
      </c>
      <c r="C126" s="45" t="s">
        <v>315</v>
      </c>
      <c r="D126" s="45" t="s">
        <v>770</v>
      </c>
      <c r="E126" s="45" t="n">
        <v>8</v>
      </c>
      <c r="F126" s="45"/>
      <c r="G126" s="45"/>
      <c r="H126" s="45"/>
      <c r="I126" s="45"/>
    </row>
    <row r="127" customFormat="false" ht="15" hidden="false" customHeight="false" outlineLevel="0" collapsed="false">
      <c r="A127" s="45" t="s">
        <v>689</v>
      </c>
      <c r="B127" s="45" t="s">
        <v>684</v>
      </c>
      <c r="C127" s="45" t="s">
        <v>347</v>
      </c>
      <c r="D127" s="45" t="s">
        <v>770</v>
      </c>
      <c r="E127" s="45" t="n">
        <v>8</v>
      </c>
      <c r="F127" s="45" t="n">
        <v>15</v>
      </c>
      <c r="G127" s="45" t="n">
        <v>375</v>
      </c>
      <c r="H127" s="45"/>
      <c r="I127" s="45"/>
    </row>
    <row r="128" customFormat="false" ht="15" hidden="false" customHeight="false" outlineLevel="0" collapsed="false">
      <c r="A128" s="45" t="s">
        <v>689</v>
      </c>
      <c r="B128" s="45" t="s">
        <v>684</v>
      </c>
      <c r="C128" s="45" t="s">
        <v>409</v>
      </c>
      <c r="D128" s="45" t="s">
        <v>771</v>
      </c>
      <c r="E128" s="45" t="n">
        <v>8</v>
      </c>
      <c r="F128" s="45"/>
      <c r="G128" s="45"/>
      <c r="H128" s="45"/>
      <c r="I128" s="45"/>
    </row>
    <row r="129" customFormat="false" ht="15" hidden="false" customHeight="false" outlineLevel="0" collapsed="false">
      <c r="A129" s="45" t="s">
        <v>689</v>
      </c>
      <c r="B129" s="45" t="s">
        <v>684</v>
      </c>
      <c r="C129" s="45" t="s">
        <v>342</v>
      </c>
      <c r="D129" s="45" t="s">
        <v>771</v>
      </c>
      <c r="E129" s="45" t="n">
        <v>8</v>
      </c>
      <c r="F129" s="45" t="n">
        <v>19</v>
      </c>
      <c r="G129" s="45" t="n">
        <v>535</v>
      </c>
      <c r="H129" s="45"/>
      <c r="I129" s="45"/>
    </row>
    <row r="130" customFormat="false" ht="15" hidden="false" customHeight="false" outlineLevel="0" collapsed="false">
      <c r="A130" s="45" t="s">
        <v>740</v>
      </c>
      <c r="B130" s="45" t="s">
        <v>684</v>
      </c>
      <c r="C130" s="45" t="s">
        <v>267</v>
      </c>
      <c r="D130" s="45" t="s">
        <v>772</v>
      </c>
      <c r="E130" s="45" t="n">
        <v>3</v>
      </c>
      <c r="F130" s="45"/>
      <c r="G130" s="45"/>
      <c r="H130" s="45"/>
      <c r="I130" s="45"/>
    </row>
    <row r="131" customFormat="false" ht="15" hidden="false" customHeight="false" outlineLevel="0" collapsed="false">
      <c r="A131" s="45" t="s">
        <v>740</v>
      </c>
      <c r="B131" s="45" t="s">
        <v>684</v>
      </c>
      <c r="C131" s="45" t="s">
        <v>773</v>
      </c>
      <c r="D131" s="45" t="s">
        <v>772</v>
      </c>
      <c r="E131" s="45" t="n">
        <v>2.5</v>
      </c>
      <c r="F131" s="45" t="n">
        <v>39</v>
      </c>
      <c r="G131" s="45" t="n">
        <v>2020</v>
      </c>
      <c r="H131" s="45" t="n">
        <v>1465</v>
      </c>
      <c r="I131" s="45"/>
    </row>
    <row r="132" customFormat="false" ht="15" hidden="false" customHeight="false" outlineLevel="0" collapsed="false">
      <c r="A132" s="45" t="s">
        <v>714</v>
      </c>
      <c r="B132" s="45" t="s">
        <v>684</v>
      </c>
      <c r="C132" s="45" t="s">
        <v>255</v>
      </c>
      <c r="D132" s="45" t="s">
        <v>774</v>
      </c>
      <c r="E132" s="45" t="n">
        <v>3.5</v>
      </c>
      <c r="F132" s="45" t="n">
        <v>19</v>
      </c>
      <c r="G132" s="45" t="n">
        <v>85</v>
      </c>
      <c r="H132" s="45" t="n">
        <v>380</v>
      </c>
      <c r="I132" s="45"/>
    </row>
    <row r="133" customFormat="false" ht="15" hidden="false" customHeight="false" outlineLevel="0" collapsed="false">
      <c r="A133" s="45" t="s">
        <v>740</v>
      </c>
      <c r="B133" s="45" t="s">
        <v>684</v>
      </c>
      <c r="C133" s="45" t="s">
        <v>409</v>
      </c>
      <c r="D133" s="45" t="s">
        <v>775</v>
      </c>
      <c r="E133" s="45" t="n">
        <v>2.75</v>
      </c>
      <c r="F133" s="45"/>
      <c r="G133" s="45"/>
      <c r="H133" s="45"/>
      <c r="I133" s="45"/>
    </row>
    <row r="134" customFormat="false" ht="15" hidden="false" customHeight="false" outlineLevel="0" collapsed="false">
      <c r="A134" s="45" t="s">
        <v>740</v>
      </c>
      <c r="B134" s="45" t="s">
        <v>684</v>
      </c>
      <c r="C134" s="45" t="s">
        <v>441</v>
      </c>
      <c r="D134" s="45" t="s">
        <v>775</v>
      </c>
      <c r="E134" s="45" t="n">
        <v>2.5</v>
      </c>
      <c r="F134" s="45" t="n">
        <v>27</v>
      </c>
      <c r="G134" s="45" t="n">
        <v>1805</v>
      </c>
      <c r="H134" s="45" t="n">
        <v>1495</v>
      </c>
      <c r="I134" s="45"/>
    </row>
    <row r="135" customFormat="false" ht="15" hidden="false" customHeight="false" outlineLevel="0" collapsed="false">
      <c r="A135" s="45" t="s">
        <v>683</v>
      </c>
      <c r="B135" s="45" t="s">
        <v>684</v>
      </c>
      <c r="C135" s="45" t="s">
        <v>467</v>
      </c>
      <c r="D135" s="45" t="s">
        <v>776</v>
      </c>
      <c r="E135" s="45" t="n">
        <v>2</v>
      </c>
      <c r="F135" s="45" t="n">
        <v>9</v>
      </c>
      <c r="G135" s="45" t="n">
        <v>40</v>
      </c>
      <c r="H135" s="45"/>
      <c r="I135" s="45"/>
    </row>
    <row r="136" customFormat="false" ht="15" hidden="false" customHeight="false" outlineLevel="0" collapsed="false">
      <c r="A136" s="45" t="s">
        <v>711</v>
      </c>
      <c r="B136" s="45" t="s">
        <v>712</v>
      </c>
      <c r="C136" s="45" t="s">
        <v>429</v>
      </c>
      <c r="D136" s="45" t="s">
        <v>777</v>
      </c>
      <c r="E136" s="45" t="n">
        <v>1</v>
      </c>
      <c r="F136" s="45"/>
      <c r="G136" s="45"/>
      <c r="H136" s="45"/>
      <c r="I136" s="45"/>
    </row>
    <row r="137" customFormat="false" ht="15" hidden="false" customHeight="false" outlineLevel="0" collapsed="false">
      <c r="A137" s="45" t="s">
        <v>711</v>
      </c>
      <c r="B137" s="45" t="s">
        <v>712</v>
      </c>
      <c r="C137" s="45" t="s">
        <v>778</v>
      </c>
      <c r="D137" s="45" t="s">
        <v>777</v>
      </c>
      <c r="E137" s="45" t="n">
        <v>4.75</v>
      </c>
      <c r="F137" s="45"/>
      <c r="G137" s="45" t="n">
        <v>410</v>
      </c>
      <c r="H137" s="45"/>
      <c r="I137" s="45"/>
    </row>
    <row r="138" customFormat="false" ht="15" hidden="false" customHeight="false" outlineLevel="0" collapsed="false">
      <c r="A138" s="45" t="s">
        <v>714</v>
      </c>
      <c r="B138" s="45" t="s">
        <v>684</v>
      </c>
      <c r="C138" s="45" t="s">
        <v>421</v>
      </c>
      <c r="D138" s="45" t="s">
        <v>779</v>
      </c>
      <c r="E138" s="45" t="n">
        <v>3.25</v>
      </c>
      <c r="F138" s="45" t="n">
        <v>20</v>
      </c>
      <c r="G138" s="45" t="n">
        <v>135</v>
      </c>
      <c r="H138" s="45" t="n">
        <v>400</v>
      </c>
      <c r="I138" s="45"/>
    </row>
    <row r="139" customFormat="false" ht="15" hidden="false" customHeight="false" outlineLevel="0" collapsed="false">
      <c r="A139" s="45" t="s">
        <v>687</v>
      </c>
      <c r="B139" s="45" t="s">
        <v>684</v>
      </c>
      <c r="C139" s="45" t="s">
        <v>267</v>
      </c>
      <c r="D139" s="45" t="s">
        <v>780</v>
      </c>
      <c r="E139" s="45" t="n">
        <v>2.5</v>
      </c>
      <c r="F139" s="45" t="n">
        <v>15</v>
      </c>
      <c r="G139" s="45" t="n">
        <v>175</v>
      </c>
      <c r="H139" s="45"/>
      <c r="I139" s="45"/>
    </row>
    <row r="140" customFormat="false" ht="15" hidden="false" customHeight="false" outlineLevel="0" collapsed="false">
      <c r="A140" s="45" t="s">
        <v>687</v>
      </c>
      <c r="B140" s="45" t="s">
        <v>684</v>
      </c>
      <c r="C140" s="45" t="s">
        <v>507</v>
      </c>
      <c r="D140" s="45" t="s">
        <v>780</v>
      </c>
      <c r="E140" s="45" t="n">
        <v>2</v>
      </c>
      <c r="F140" s="45"/>
      <c r="G140" s="45"/>
      <c r="H140" s="45"/>
      <c r="I140" s="45"/>
    </row>
    <row r="141" customFormat="false" ht="15" hidden="false" customHeight="false" outlineLevel="0" collapsed="false">
      <c r="A141" s="45" t="s">
        <v>694</v>
      </c>
      <c r="B141" s="45" t="s">
        <v>695</v>
      </c>
      <c r="C141" s="45" t="s">
        <v>397</v>
      </c>
      <c r="D141" s="45" t="s">
        <v>780</v>
      </c>
      <c r="E141" s="45" t="n">
        <v>42.75</v>
      </c>
      <c r="F141" s="45" t="n">
        <v>301</v>
      </c>
      <c r="G141" s="45" t="n">
        <v>4165</v>
      </c>
      <c r="H141" s="45"/>
      <c r="I141" s="45"/>
    </row>
    <row r="142" customFormat="false" ht="15" hidden="false" customHeight="false" outlineLevel="0" collapsed="false">
      <c r="A142" s="45" t="s">
        <v>694</v>
      </c>
      <c r="B142" s="45" t="s">
        <v>695</v>
      </c>
      <c r="C142" s="45" t="s">
        <v>330</v>
      </c>
      <c r="D142" s="45" t="s">
        <v>780</v>
      </c>
      <c r="E142" s="45" t="n">
        <v>16.5</v>
      </c>
      <c r="F142" s="45"/>
      <c r="G142" s="45"/>
      <c r="H142" s="45"/>
      <c r="I142" s="45"/>
    </row>
    <row r="143" customFormat="false" ht="15" hidden="false" customHeight="false" outlineLevel="0" collapsed="false">
      <c r="A143" s="45" t="s">
        <v>694</v>
      </c>
      <c r="B143" s="45" t="s">
        <v>695</v>
      </c>
      <c r="C143" s="45" t="s">
        <v>325</v>
      </c>
      <c r="D143" s="45" t="s">
        <v>780</v>
      </c>
      <c r="E143" s="45" t="n">
        <v>30.5</v>
      </c>
      <c r="F143" s="45"/>
      <c r="G143" s="45"/>
      <c r="H143" s="45"/>
      <c r="I143" s="45"/>
    </row>
    <row r="144" customFormat="false" ht="15" hidden="false" customHeight="false" outlineLevel="0" collapsed="false">
      <c r="A144" s="45" t="s">
        <v>697</v>
      </c>
      <c r="B144" s="45" t="s">
        <v>698</v>
      </c>
      <c r="C144" s="45" t="s">
        <v>459</v>
      </c>
      <c r="D144" s="45" t="s">
        <v>780</v>
      </c>
      <c r="E144" s="45" t="n">
        <v>67</v>
      </c>
      <c r="F144" s="45"/>
      <c r="G144" s="45"/>
      <c r="H144" s="45"/>
      <c r="I144" s="45"/>
    </row>
    <row r="145" customFormat="false" ht="15" hidden="false" customHeight="false" outlineLevel="0" collapsed="false">
      <c r="A145" s="45" t="s">
        <v>697</v>
      </c>
      <c r="B145" s="45" t="s">
        <v>698</v>
      </c>
      <c r="C145" s="45" t="s">
        <v>283</v>
      </c>
      <c r="D145" s="45" t="s">
        <v>780</v>
      </c>
      <c r="E145" s="45" t="n">
        <v>18</v>
      </c>
      <c r="F145" s="45" t="n">
        <v>79</v>
      </c>
      <c r="G145" s="45" t="n">
        <v>21170</v>
      </c>
      <c r="H145" s="45"/>
      <c r="I145" s="45"/>
    </row>
    <row r="146" customFormat="false" ht="15" hidden="false" customHeight="false" outlineLevel="0" collapsed="false">
      <c r="A146" s="45" t="s">
        <v>700</v>
      </c>
      <c r="B146" s="45" t="s">
        <v>701</v>
      </c>
      <c r="C146" s="45" t="s">
        <v>450</v>
      </c>
      <c r="D146" s="45" t="s">
        <v>780</v>
      </c>
      <c r="E146" s="45"/>
      <c r="F146" s="45"/>
      <c r="G146" s="45"/>
      <c r="H146" s="45"/>
      <c r="I146" s="45"/>
    </row>
    <row r="147" customFormat="false" ht="15" hidden="false" customHeight="false" outlineLevel="0" collapsed="false">
      <c r="A147" s="45" t="s">
        <v>700</v>
      </c>
      <c r="B147" s="45" t="s">
        <v>701</v>
      </c>
      <c r="C147" s="45" t="s">
        <v>419</v>
      </c>
      <c r="D147" s="45" t="s">
        <v>780</v>
      </c>
      <c r="E147" s="45" t="n">
        <v>66.5</v>
      </c>
      <c r="F147" s="45"/>
      <c r="G147" s="45" t="n">
        <v>280</v>
      </c>
      <c r="H147" s="45"/>
      <c r="I147" s="45"/>
    </row>
    <row r="148" customFormat="false" ht="15" hidden="false" customHeight="false" outlineLevel="0" collapsed="false">
      <c r="A148" s="45" t="s">
        <v>683</v>
      </c>
      <c r="B148" s="45" t="s">
        <v>684</v>
      </c>
      <c r="C148" s="45" t="s">
        <v>464</v>
      </c>
      <c r="D148" s="45" t="s">
        <v>780</v>
      </c>
      <c r="E148" s="45" t="n">
        <v>2</v>
      </c>
      <c r="F148" s="45" t="n">
        <v>18</v>
      </c>
      <c r="G148" s="45" t="n">
        <v>65</v>
      </c>
      <c r="H148" s="45"/>
      <c r="I148" s="45"/>
    </row>
    <row r="149" customFormat="false" ht="15" hidden="false" customHeight="false" outlineLevel="0" collapsed="false">
      <c r="A149" s="45" t="s">
        <v>703</v>
      </c>
      <c r="B149" s="45" t="s">
        <v>698</v>
      </c>
      <c r="C149" s="45" t="s">
        <v>297</v>
      </c>
      <c r="D149" s="45" t="s">
        <v>780</v>
      </c>
      <c r="E149" s="45" t="n">
        <v>59</v>
      </c>
      <c r="F149" s="45" t="n">
        <v>170</v>
      </c>
      <c r="G149" s="45"/>
      <c r="H149" s="45"/>
      <c r="I149" s="45"/>
    </row>
    <row r="150" customFormat="false" ht="15" hidden="false" customHeight="false" outlineLevel="0" collapsed="false">
      <c r="A150" s="45" t="s">
        <v>704</v>
      </c>
      <c r="B150" s="45" t="s">
        <v>705</v>
      </c>
      <c r="C150" s="45" t="s">
        <v>274</v>
      </c>
      <c r="D150" s="45" t="s">
        <v>780</v>
      </c>
      <c r="E150" s="45" t="n">
        <v>54.75</v>
      </c>
      <c r="F150" s="45" t="n">
        <v>9</v>
      </c>
      <c r="G150" s="45" t="n">
        <v>445</v>
      </c>
      <c r="H150" s="45"/>
      <c r="I150" s="45"/>
    </row>
    <row r="151" customFormat="false" ht="15" hidden="false" customHeight="false" outlineLevel="0" collapsed="false">
      <c r="A151" s="45" t="s">
        <v>704</v>
      </c>
      <c r="B151" s="45" t="s">
        <v>705</v>
      </c>
      <c r="C151" s="45" t="s">
        <v>357</v>
      </c>
      <c r="D151" s="45" t="s">
        <v>780</v>
      </c>
      <c r="E151" s="45" t="n">
        <v>97</v>
      </c>
      <c r="F151" s="45"/>
      <c r="G151" s="45"/>
      <c r="H151" s="45"/>
      <c r="I151" s="45"/>
    </row>
    <row r="152" customFormat="false" ht="15" hidden="false" customHeight="false" outlineLevel="0" collapsed="false">
      <c r="A152" s="45" t="s">
        <v>707</v>
      </c>
      <c r="B152" s="45" t="s">
        <v>705</v>
      </c>
      <c r="C152" s="45" t="s">
        <v>415</v>
      </c>
      <c r="D152" s="45" t="s">
        <v>780</v>
      </c>
      <c r="E152" s="45" t="n">
        <v>57.75</v>
      </c>
      <c r="F152" s="45" t="n">
        <v>4</v>
      </c>
      <c r="G152" s="45" t="n">
        <v>80</v>
      </c>
      <c r="H152" s="45"/>
      <c r="I152" s="45"/>
    </row>
    <row r="153" customFormat="false" ht="15" hidden="false" customHeight="false" outlineLevel="0" collapsed="false">
      <c r="A153" s="45" t="s">
        <v>740</v>
      </c>
      <c r="B153" s="45" t="s">
        <v>684</v>
      </c>
      <c r="C153" s="45" t="s">
        <v>445</v>
      </c>
      <c r="D153" s="45" t="s">
        <v>781</v>
      </c>
      <c r="E153" s="45" t="n">
        <v>3</v>
      </c>
      <c r="F153" s="45"/>
      <c r="G153" s="45"/>
      <c r="H153" s="45"/>
      <c r="I153" s="45"/>
    </row>
    <row r="154" customFormat="false" ht="15" hidden="false" customHeight="false" outlineLevel="0" collapsed="false">
      <c r="A154" s="45" t="s">
        <v>740</v>
      </c>
      <c r="B154" s="45" t="s">
        <v>684</v>
      </c>
      <c r="C154" s="45" t="s">
        <v>330</v>
      </c>
      <c r="D154" s="45" t="s">
        <v>781</v>
      </c>
      <c r="E154" s="45" t="n">
        <v>2.25</v>
      </c>
      <c r="F154" s="45" t="n">
        <v>44</v>
      </c>
      <c r="G154" s="45" t="n">
        <v>2075</v>
      </c>
      <c r="H154" s="45" t="n">
        <v>1035</v>
      </c>
      <c r="I154" s="45"/>
    </row>
    <row r="155" customFormat="false" ht="15" hidden="false" customHeight="false" outlineLevel="0" collapsed="false">
      <c r="A155" s="45" t="s">
        <v>782</v>
      </c>
      <c r="B155" s="45" t="s">
        <v>737</v>
      </c>
      <c r="C155" s="45" t="s">
        <v>351</v>
      </c>
      <c r="D155" s="45" t="s">
        <v>781</v>
      </c>
      <c r="E155" s="45" t="n">
        <v>0</v>
      </c>
      <c r="F155" s="45"/>
      <c r="G155" s="45" t="n">
        <v>65780</v>
      </c>
      <c r="H155" s="45"/>
      <c r="I155" s="45"/>
    </row>
    <row r="156" customFormat="false" ht="15" hidden="false" customHeight="false" outlineLevel="0" collapsed="false">
      <c r="A156" s="45" t="s">
        <v>680</v>
      </c>
      <c r="B156" s="45" t="s">
        <v>681</v>
      </c>
      <c r="C156" s="45" t="s">
        <v>432</v>
      </c>
      <c r="D156" s="45" t="s">
        <v>783</v>
      </c>
      <c r="E156" s="45" t="n">
        <v>2.5</v>
      </c>
      <c r="F156" s="45"/>
      <c r="G156" s="45"/>
      <c r="H156" s="45"/>
      <c r="I156" s="45"/>
    </row>
    <row r="157" customFormat="false" ht="15" hidden="false" customHeight="false" outlineLevel="0" collapsed="false">
      <c r="A157" s="45" t="s">
        <v>680</v>
      </c>
      <c r="B157" s="45" t="s">
        <v>681</v>
      </c>
      <c r="C157" s="45" t="s">
        <v>433</v>
      </c>
      <c r="D157" s="45" t="s">
        <v>783</v>
      </c>
      <c r="E157" s="45" t="n">
        <v>2.25</v>
      </c>
      <c r="F157" s="45"/>
      <c r="G157" s="45" t="n">
        <v>55</v>
      </c>
      <c r="H157" s="45"/>
      <c r="I157" s="45"/>
    </row>
    <row r="158" customFormat="false" ht="15" hidden="false" customHeight="false" outlineLevel="0" collapsed="false">
      <c r="A158" s="45" t="s">
        <v>687</v>
      </c>
      <c r="B158" s="45" t="s">
        <v>684</v>
      </c>
      <c r="C158" s="45" t="s">
        <v>276</v>
      </c>
      <c r="D158" s="45" t="s">
        <v>784</v>
      </c>
      <c r="E158" s="45" t="n">
        <v>2</v>
      </c>
      <c r="F158" s="45" t="n">
        <v>14</v>
      </c>
      <c r="G158" s="45" t="n">
        <v>180</v>
      </c>
      <c r="H158" s="45"/>
      <c r="I158" s="45"/>
    </row>
    <row r="159" customFormat="false" ht="15" hidden="false" customHeight="false" outlineLevel="0" collapsed="false">
      <c r="A159" s="45" t="s">
        <v>687</v>
      </c>
      <c r="B159" s="45" t="s">
        <v>684</v>
      </c>
      <c r="C159" s="45" t="s">
        <v>372</v>
      </c>
      <c r="D159" s="45" t="s">
        <v>784</v>
      </c>
      <c r="E159" s="45" t="n">
        <v>1.75</v>
      </c>
      <c r="F159" s="45"/>
      <c r="G159" s="45"/>
      <c r="H159" s="45"/>
      <c r="I159" s="45"/>
    </row>
    <row r="160" customFormat="false" ht="15" hidden="false" customHeight="false" outlineLevel="0" collapsed="false">
      <c r="A160" s="45" t="s">
        <v>694</v>
      </c>
      <c r="B160" s="45" t="s">
        <v>695</v>
      </c>
      <c r="C160" s="45" t="s">
        <v>785</v>
      </c>
      <c r="D160" s="45" t="s">
        <v>786</v>
      </c>
      <c r="E160" s="45" t="n">
        <v>28.5</v>
      </c>
      <c r="F160" s="45" t="n">
        <v>246</v>
      </c>
      <c r="G160" s="45" t="n">
        <v>4180</v>
      </c>
      <c r="H160" s="45"/>
      <c r="I160" s="45"/>
    </row>
    <row r="161" customFormat="false" ht="15" hidden="false" customHeight="false" outlineLevel="0" collapsed="false">
      <c r="A161" s="45" t="s">
        <v>694</v>
      </c>
      <c r="B161" s="45" t="s">
        <v>695</v>
      </c>
      <c r="C161" s="45" t="s">
        <v>787</v>
      </c>
      <c r="D161" s="45" t="s">
        <v>786</v>
      </c>
      <c r="E161" s="45" t="n">
        <v>14.75</v>
      </c>
      <c r="F161" s="45"/>
      <c r="G161" s="45"/>
      <c r="H161" s="45"/>
      <c r="I161" s="45"/>
    </row>
    <row r="162" customFormat="false" ht="15" hidden="false" customHeight="false" outlineLevel="0" collapsed="false">
      <c r="A162" s="45" t="s">
        <v>694</v>
      </c>
      <c r="B162" s="45" t="s">
        <v>695</v>
      </c>
      <c r="C162" s="45" t="s">
        <v>788</v>
      </c>
      <c r="D162" s="45" t="s">
        <v>786</v>
      </c>
      <c r="E162" s="45" t="n">
        <v>30.25</v>
      </c>
      <c r="F162" s="45"/>
      <c r="G162" s="45"/>
      <c r="H162" s="45"/>
      <c r="I162" s="45"/>
    </row>
    <row r="163" customFormat="false" ht="15" hidden="false" customHeight="false" outlineLevel="0" collapsed="false">
      <c r="A163" s="45" t="s">
        <v>697</v>
      </c>
      <c r="B163" s="45" t="s">
        <v>698</v>
      </c>
      <c r="C163" s="45" t="s">
        <v>329</v>
      </c>
      <c r="D163" s="45" t="s">
        <v>786</v>
      </c>
      <c r="E163" s="45" t="n">
        <v>81</v>
      </c>
      <c r="F163" s="45"/>
      <c r="G163" s="45"/>
      <c r="H163" s="45"/>
      <c r="I163" s="45"/>
    </row>
    <row r="164" customFormat="false" ht="15" hidden="false" customHeight="false" outlineLevel="0" collapsed="false">
      <c r="A164" s="45" t="s">
        <v>697</v>
      </c>
      <c r="B164" s="45" t="s">
        <v>698</v>
      </c>
      <c r="C164" s="45" t="s">
        <v>743</v>
      </c>
      <c r="D164" s="45" t="s">
        <v>786</v>
      </c>
      <c r="E164" s="45" t="n">
        <v>23.25</v>
      </c>
      <c r="F164" s="45" t="n">
        <v>128</v>
      </c>
      <c r="G164" s="45" t="n">
        <v>19555</v>
      </c>
      <c r="H164" s="45"/>
      <c r="I164" s="45"/>
    </row>
    <row r="165" customFormat="false" ht="15" hidden="false" customHeight="false" outlineLevel="0" collapsed="false">
      <c r="A165" s="45" t="s">
        <v>700</v>
      </c>
      <c r="B165" s="45" t="s">
        <v>701</v>
      </c>
      <c r="C165" s="45" t="s">
        <v>401</v>
      </c>
      <c r="D165" s="45" t="s">
        <v>786</v>
      </c>
      <c r="E165" s="45" t="n">
        <v>51.75</v>
      </c>
      <c r="F165" s="45"/>
      <c r="G165" s="45"/>
      <c r="H165" s="45"/>
      <c r="I165" s="45"/>
    </row>
    <row r="166" customFormat="false" ht="15" hidden="false" customHeight="false" outlineLevel="0" collapsed="false">
      <c r="A166" s="45" t="s">
        <v>700</v>
      </c>
      <c r="B166" s="45" t="s">
        <v>701</v>
      </c>
      <c r="C166" s="45" t="s">
        <v>789</v>
      </c>
      <c r="D166" s="45" t="s">
        <v>786</v>
      </c>
      <c r="E166" s="45" t="n">
        <v>66</v>
      </c>
      <c r="F166" s="45"/>
      <c r="G166" s="45" t="n">
        <v>615</v>
      </c>
      <c r="H166" s="45"/>
      <c r="I166" s="45"/>
    </row>
    <row r="167" customFormat="false" ht="15" hidden="false" customHeight="false" outlineLevel="0" collapsed="false">
      <c r="A167" s="45" t="s">
        <v>703</v>
      </c>
      <c r="B167" s="45" t="s">
        <v>698</v>
      </c>
      <c r="C167" s="45" t="s">
        <v>790</v>
      </c>
      <c r="D167" s="45" t="s">
        <v>786</v>
      </c>
      <c r="E167" s="45" t="n">
        <v>55.75</v>
      </c>
      <c r="F167" s="45" t="n">
        <v>143</v>
      </c>
      <c r="G167" s="45"/>
      <c r="H167" s="45"/>
      <c r="I167" s="45"/>
    </row>
    <row r="168" customFormat="false" ht="15" hidden="false" customHeight="false" outlineLevel="0" collapsed="false">
      <c r="A168" s="45" t="s">
        <v>704</v>
      </c>
      <c r="B168" s="45" t="s">
        <v>705</v>
      </c>
      <c r="C168" s="45" t="s">
        <v>378</v>
      </c>
      <c r="D168" s="45" t="s">
        <v>786</v>
      </c>
      <c r="E168" s="45" t="n">
        <v>104.25</v>
      </c>
      <c r="F168" s="45" t="n">
        <v>34</v>
      </c>
      <c r="G168" s="45" t="n">
        <v>815</v>
      </c>
      <c r="H168" s="45"/>
      <c r="I168" s="45"/>
    </row>
    <row r="169" customFormat="false" ht="15" hidden="false" customHeight="false" outlineLevel="0" collapsed="false">
      <c r="A169" s="45" t="s">
        <v>704</v>
      </c>
      <c r="B169" s="45" t="s">
        <v>705</v>
      </c>
      <c r="C169" s="45" t="s">
        <v>262</v>
      </c>
      <c r="D169" s="45" t="s">
        <v>786</v>
      </c>
      <c r="E169" s="45" t="n">
        <v>243</v>
      </c>
      <c r="F169" s="45"/>
      <c r="G169" s="45"/>
      <c r="H169" s="45"/>
      <c r="I169" s="45"/>
    </row>
    <row r="170" customFormat="false" ht="15" hidden="false" customHeight="false" outlineLevel="0" collapsed="false">
      <c r="A170" s="45" t="s">
        <v>707</v>
      </c>
      <c r="B170" s="45" t="s">
        <v>705</v>
      </c>
      <c r="C170" s="45" t="s">
        <v>273</v>
      </c>
      <c r="D170" s="45" t="s">
        <v>786</v>
      </c>
      <c r="E170" s="45" t="n">
        <v>41.5</v>
      </c>
      <c r="F170" s="45" t="n">
        <v>4</v>
      </c>
      <c r="G170" s="45" t="n">
        <v>100</v>
      </c>
      <c r="H170" s="45"/>
      <c r="I170" s="45"/>
    </row>
    <row r="171" customFormat="false" ht="15" hidden="false" customHeight="false" outlineLevel="0" collapsed="false">
      <c r="A171" s="45" t="s">
        <v>711</v>
      </c>
      <c r="B171" s="45" t="s">
        <v>712</v>
      </c>
      <c r="C171" s="45" t="s">
        <v>791</v>
      </c>
      <c r="D171" s="45" t="s">
        <v>792</v>
      </c>
      <c r="E171" s="45" t="n">
        <v>1.25</v>
      </c>
      <c r="F171" s="45"/>
      <c r="G171" s="45"/>
      <c r="H171" s="45"/>
      <c r="I171" s="45"/>
    </row>
    <row r="172" customFormat="false" ht="15" hidden="false" customHeight="false" outlineLevel="0" collapsed="false">
      <c r="A172" s="45" t="s">
        <v>711</v>
      </c>
      <c r="B172" s="45" t="s">
        <v>712</v>
      </c>
      <c r="C172" s="45" t="s">
        <v>315</v>
      </c>
      <c r="D172" s="45" t="s">
        <v>792</v>
      </c>
      <c r="E172" s="45" t="n">
        <v>4.75</v>
      </c>
      <c r="F172" s="45"/>
      <c r="G172" s="45" t="n">
        <v>575</v>
      </c>
      <c r="H172" s="45"/>
      <c r="I172" s="45"/>
    </row>
    <row r="173" customFormat="false" ht="15" hidden="false" customHeight="false" outlineLevel="0" collapsed="false">
      <c r="A173" s="45" t="s">
        <v>683</v>
      </c>
      <c r="B173" s="45" t="s">
        <v>684</v>
      </c>
      <c r="C173" s="45" t="s">
        <v>793</v>
      </c>
      <c r="D173" s="45" t="s">
        <v>794</v>
      </c>
      <c r="E173" s="45" t="n">
        <v>2</v>
      </c>
      <c r="F173" s="45" t="n">
        <v>15</v>
      </c>
      <c r="G173" s="45" t="n">
        <v>110</v>
      </c>
      <c r="H173" s="45"/>
      <c r="I173" s="45"/>
    </row>
    <row r="174" customFormat="false" ht="15" hidden="false" customHeight="false" outlineLevel="0" collapsed="false">
      <c r="A174" s="45" t="s">
        <v>732</v>
      </c>
      <c r="B174" s="45" t="s">
        <v>733</v>
      </c>
      <c r="C174" s="45" t="s">
        <v>304</v>
      </c>
      <c r="D174" s="45" t="s">
        <v>795</v>
      </c>
      <c r="E174" s="45" t="n">
        <v>5.75</v>
      </c>
      <c r="F174" s="45" t="n">
        <v>39</v>
      </c>
      <c r="G174" s="45" t="n">
        <v>2395</v>
      </c>
      <c r="H174" s="45"/>
      <c r="I174" s="45"/>
    </row>
    <row r="175" customFormat="false" ht="15" hidden="false" customHeight="false" outlineLevel="0" collapsed="false">
      <c r="A175" s="45" t="s">
        <v>683</v>
      </c>
      <c r="B175" s="45" t="s">
        <v>684</v>
      </c>
      <c r="C175" s="45" t="s">
        <v>474</v>
      </c>
      <c r="D175" s="45" t="s">
        <v>796</v>
      </c>
      <c r="E175" s="45" t="n">
        <v>2</v>
      </c>
      <c r="F175" s="45" t="n">
        <v>10</v>
      </c>
      <c r="G175" s="45" t="n">
        <v>70</v>
      </c>
      <c r="H175" s="45"/>
      <c r="I175" s="45"/>
    </row>
    <row r="176" customFormat="false" ht="15" hidden="false" customHeight="false" outlineLevel="0" collapsed="false">
      <c r="A176" s="45" t="s">
        <v>683</v>
      </c>
      <c r="B176" s="45" t="s">
        <v>684</v>
      </c>
      <c r="C176" s="45" t="s">
        <v>270</v>
      </c>
      <c r="D176" s="45" t="s">
        <v>797</v>
      </c>
      <c r="E176" s="45" t="n">
        <v>2</v>
      </c>
      <c r="F176" s="45" t="n">
        <v>10</v>
      </c>
      <c r="G176" s="45" t="n">
        <v>40</v>
      </c>
      <c r="H176" s="45"/>
      <c r="I176" s="45"/>
    </row>
    <row r="177" customFormat="false" ht="15" hidden="false" customHeight="false" outlineLevel="0" collapsed="false">
      <c r="A177" s="45" t="s">
        <v>714</v>
      </c>
      <c r="B177" s="45" t="s">
        <v>684</v>
      </c>
      <c r="C177" s="45" t="s">
        <v>274</v>
      </c>
      <c r="D177" s="45" t="s">
        <v>798</v>
      </c>
      <c r="E177" s="45" t="n">
        <v>3.5</v>
      </c>
      <c r="F177" s="45" t="n">
        <v>13</v>
      </c>
      <c r="G177" s="45" t="n">
        <v>190</v>
      </c>
      <c r="H177" s="45"/>
      <c r="I177" s="45"/>
    </row>
    <row r="178" customFormat="false" ht="15" hidden="false" customHeight="false" outlineLevel="0" collapsed="false">
      <c r="A178" s="45" t="s">
        <v>694</v>
      </c>
      <c r="B178" s="45" t="s">
        <v>695</v>
      </c>
      <c r="C178" s="45" t="s">
        <v>397</v>
      </c>
      <c r="D178" s="45" t="s">
        <v>799</v>
      </c>
      <c r="E178" s="45" t="n">
        <v>38.5</v>
      </c>
      <c r="F178" s="45" t="n">
        <v>224</v>
      </c>
      <c r="G178" s="45" t="n">
        <v>4930</v>
      </c>
      <c r="H178" s="45"/>
      <c r="I178" s="45"/>
    </row>
    <row r="179" customFormat="false" ht="15" hidden="false" customHeight="false" outlineLevel="0" collapsed="false">
      <c r="A179" s="45" t="s">
        <v>694</v>
      </c>
      <c r="B179" s="45" t="s">
        <v>695</v>
      </c>
      <c r="C179" s="45" t="s">
        <v>283</v>
      </c>
      <c r="D179" s="45" t="s">
        <v>799</v>
      </c>
      <c r="E179" s="45" t="n">
        <v>10</v>
      </c>
      <c r="F179" s="45"/>
      <c r="G179" s="45"/>
      <c r="H179" s="45"/>
      <c r="I179" s="45"/>
    </row>
    <row r="180" customFormat="false" ht="15" hidden="false" customHeight="false" outlineLevel="0" collapsed="false">
      <c r="A180" s="45" t="s">
        <v>694</v>
      </c>
      <c r="B180" s="45" t="s">
        <v>695</v>
      </c>
      <c r="C180" s="45" t="s">
        <v>458</v>
      </c>
      <c r="D180" s="45" t="s">
        <v>799</v>
      </c>
      <c r="E180" s="45" t="n">
        <v>28.5</v>
      </c>
      <c r="F180" s="45"/>
      <c r="G180" s="45"/>
      <c r="H180" s="45"/>
      <c r="I180" s="45"/>
    </row>
    <row r="181" customFormat="false" ht="15" hidden="false" customHeight="false" outlineLevel="0" collapsed="false">
      <c r="A181" s="45" t="s">
        <v>697</v>
      </c>
      <c r="B181" s="45" t="s">
        <v>698</v>
      </c>
      <c r="C181" s="45" t="s">
        <v>329</v>
      </c>
      <c r="D181" s="45" t="s">
        <v>799</v>
      </c>
      <c r="E181" s="45" t="n">
        <v>80</v>
      </c>
      <c r="F181" s="45"/>
      <c r="G181" s="45"/>
      <c r="H181" s="45"/>
      <c r="I181" s="45"/>
    </row>
    <row r="182" customFormat="false" ht="15" hidden="false" customHeight="false" outlineLevel="0" collapsed="false">
      <c r="A182" s="45" t="s">
        <v>697</v>
      </c>
      <c r="B182" s="45" t="s">
        <v>698</v>
      </c>
      <c r="C182" s="45" t="s">
        <v>800</v>
      </c>
      <c r="D182" s="45" t="s">
        <v>799</v>
      </c>
      <c r="E182" s="45" t="n">
        <v>23.75</v>
      </c>
      <c r="F182" s="45" t="n">
        <v>93</v>
      </c>
      <c r="G182" s="45" t="n">
        <v>16955</v>
      </c>
      <c r="H182" s="45"/>
      <c r="I182" s="45"/>
    </row>
    <row r="183" customFormat="false" ht="15" hidden="false" customHeight="false" outlineLevel="0" collapsed="false">
      <c r="A183" s="45" t="s">
        <v>700</v>
      </c>
      <c r="B183" s="45" t="s">
        <v>701</v>
      </c>
      <c r="C183" s="45" t="s">
        <v>801</v>
      </c>
      <c r="D183" s="45" t="s">
        <v>799</v>
      </c>
      <c r="E183" s="45" t="n">
        <v>47.5</v>
      </c>
      <c r="F183" s="45"/>
      <c r="G183" s="45"/>
      <c r="H183" s="45"/>
      <c r="I183" s="45"/>
    </row>
    <row r="184" customFormat="false" ht="15" hidden="false" customHeight="false" outlineLevel="0" collapsed="false">
      <c r="A184" s="45" t="s">
        <v>700</v>
      </c>
      <c r="B184" s="45" t="s">
        <v>701</v>
      </c>
      <c r="C184" s="45" t="s">
        <v>331</v>
      </c>
      <c r="D184" s="45" t="s">
        <v>799</v>
      </c>
      <c r="E184" s="45" t="n">
        <v>53</v>
      </c>
      <c r="F184" s="45"/>
      <c r="G184" s="45" t="n">
        <v>405</v>
      </c>
      <c r="H184" s="45"/>
      <c r="I184" s="45"/>
    </row>
    <row r="185" customFormat="false" ht="15" hidden="false" customHeight="false" outlineLevel="0" collapsed="false">
      <c r="A185" s="45" t="s">
        <v>703</v>
      </c>
      <c r="B185" s="45" t="s">
        <v>698</v>
      </c>
      <c r="C185" s="45" t="s">
        <v>402</v>
      </c>
      <c r="D185" s="45" t="s">
        <v>799</v>
      </c>
      <c r="E185" s="45" t="n">
        <v>60.25</v>
      </c>
      <c r="F185" s="45" t="n">
        <v>91</v>
      </c>
      <c r="G185" s="45"/>
      <c r="H185" s="45"/>
      <c r="I185" s="45"/>
    </row>
    <row r="186" customFormat="false" ht="15" hidden="false" customHeight="false" outlineLevel="0" collapsed="false">
      <c r="A186" s="45" t="s">
        <v>704</v>
      </c>
      <c r="B186" s="45" t="s">
        <v>705</v>
      </c>
      <c r="C186" s="45" t="s">
        <v>387</v>
      </c>
      <c r="D186" s="45" t="s">
        <v>799</v>
      </c>
      <c r="E186" s="45" t="n">
        <v>134.75</v>
      </c>
      <c r="F186" s="45" t="n">
        <v>29</v>
      </c>
      <c r="G186" s="45" t="n">
        <v>995</v>
      </c>
      <c r="H186" s="45"/>
      <c r="I186" s="45"/>
    </row>
    <row r="187" customFormat="false" ht="15" hidden="false" customHeight="false" outlineLevel="0" collapsed="false">
      <c r="A187" s="45" t="s">
        <v>704</v>
      </c>
      <c r="B187" s="45" t="s">
        <v>705</v>
      </c>
      <c r="C187" s="45" t="s">
        <v>335</v>
      </c>
      <c r="D187" s="45" t="s">
        <v>799</v>
      </c>
      <c r="E187" s="45" t="n">
        <v>240.25</v>
      </c>
      <c r="F187" s="45"/>
      <c r="G187" s="45"/>
      <c r="H187" s="45"/>
      <c r="I187" s="45"/>
    </row>
    <row r="188" customFormat="false" ht="15" hidden="false" customHeight="false" outlineLevel="0" collapsed="false">
      <c r="A188" s="45" t="s">
        <v>707</v>
      </c>
      <c r="B188" s="45" t="s">
        <v>705</v>
      </c>
      <c r="C188" s="45" t="s">
        <v>283</v>
      </c>
      <c r="D188" s="45" t="s">
        <v>799</v>
      </c>
      <c r="E188" s="45" t="n">
        <v>52</v>
      </c>
      <c r="F188" s="45" t="n">
        <v>2</v>
      </c>
      <c r="G188" s="45" t="n">
        <v>90</v>
      </c>
      <c r="H188" s="45"/>
      <c r="I188" s="45"/>
    </row>
    <row r="189" customFormat="false" ht="15" hidden="false" customHeight="false" outlineLevel="0" collapsed="false">
      <c r="A189" s="45" t="s">
        <v>729</v>
      </c>
      <c r="B189" s="45" t="s">
        <v>698</v>
      </c>
      <c r="C189" s="45" t="s">
        <v>453</v>
      </c>
      <c r="D189" s="45" t="s">
        <v>802</v>
      </c>
      <c r="E189" s="45" t="n">
        <v>2.25</v>
      </c>
      <c r="F189" s="45" t="n">
        <v>11</v>
      </c>
      <c r="G189" s="45" t="n">
        <v>55</v>
      </c>
      <c r="H189" s="45"/>
      <c r="I189" s="45"/>
    </row>
    <row r="190" customFormat="false" ht="15" hidden="false" customHeight="false" outlineLevel="0" collapsed="false">
      <c r="A190" s="45" t="s">
        <v>729</v>
      </c>
      <c r="B190" s="45" t="s">
        <v>698</v>
      </c>
      <c r="C190" s="45" t="s">
        <v>392</v>
      </c>
      <c r="D190" s="45" t="s">
        <v>802</v>
      </c>
      <c r="E190" s="45" t="n">
        <v>1.75</v>
      </c>
      <c r="F190" s="45"/>
      <c r="G190" s="45"/>
      <c r="H190" s="45"/>
      <c r="I190" s="45"/>
    </row>
    <row r="191" customFormat="false" ht="15" hidden="false" customHeight="false" outlineLevel="0" collapsed="false">
      <c r="A191" s="45" t="s">
        <v>708</v>
      </c>
      <c r="B191" s="45" t="s">
        <v>695</v>
      </c>
      <c r="C191" s="45" t="s">
        <v>327</v>
      </c>
      <c r="D191" s="45" t="s">
        <v>803</v>
      </c>
      <c r="E191" s="45" t="n">
        <v>3.25</v>
      </c>
      <c r="F191" s="45" t="n">
        <v>27</v>
      </c>
      <c r="G191" s="45" t="n">
        <v>75</v>
      </c>
      <c r="H191" s="45"/>
      <c r="I191" s="45"/>
    </row>
    <row r="192" customFormat="false" ht="15" hidden="false" customHeight="false" outlineLevel="0" collapsed="false">
      <c r="A192" s="45" t="s">
        <v>714</v>
      </c>
      <c r="B192" s="45" t="s">
        <v>684</v>
      </c>
      <c r="C192" s="45" t="s">
        <v>421</v>
      </c>
      <c r="D192" s="45" t="s">
        <v>803</v>
      </c>
      <c r="E192" s="45"/>
      <c r="F192" s="45" t="n">
        <v>22</v>
      </c>
      <c r="G192" s="45" t="n">
        <v>135</v>
      </c>
      <c r="H192" s="45" t="n">
        <v>440</v>
      </c>
      <c r="I192" s="45"/>
    </row>
    <row r="193" customFormat="false" ht="15" hidden="false" customHeight="false" outlineLevel="0" collapsed="false">
      <c r="A193" s="45" t="s">
        <v>729</v>
      </c>
      <c r="B193" s="45" t="s">
        <v>698</v>
      </c>
      <c r="C193" s="45" t="s">
        <v>394</v>
      </c>
      <c r="D193" s="45" t="s">
        <v>804</v>
      </c>
      <c r="E193" s="45" t="n">
        <v>2.25</v>
      </c>
      <c r="F193" s="45" t="n">
        <v>9</v>
      </c>
      <c r="G193" s="45" t="n">
        <v>60</v>
      </c>
      <c r="H193" s="45"/>
      <c r="I193" s="45"/>
    </row>
    <row r="194" customFormat="false" ht="15" hidden="false" customHeight="false" outlineLevel="0" collapsed="false">
      <c r="A194" s="45" t="s">
        <v>729</v>
      </c>
      <c r="B194" s="45" t="s">
        <v>698</v>
      </c>
      <c r="C194" s="45" t="s">
        <v>392</v>
      </c>
      <c r="D194" s="45" t="s">
        <v>804</v>
      </c>
      <c r="E194" s="45" t="n">
        <v>1.75</v>
      </c>
      <c r="F194" s="45"/>
      <c r="G194" s="45"/>
      <c r="H194" s="45"/>
      <c r="I194" s="45"/>
    </row>
    <row r="195" customFormat="false" ht="15" hidden="false" customHeight="false" outlineLevel="0" collapsed="false">
      <c r="A195" s="45" t="s">
        <v>740</v>
      </c>
      <c r="B195" s="45" t="s">
        <v>684</v>
      </c>
      <c r="C195" s="45" t="s">
        <v>267</v>
      </c>
      <c r="D195" s="45" t="s">
        <v>804</v>
      </c>
      <c r="E195" s="45" t="n">
        <v>2.75</v>
      </c>
      <c r="F195" s="45"/>
      <c r="G195" s="45"/>
      <c r="H195" s="45"/>
      <c r="I195" s="45"/>
    </row>
    <row r="196" customFormat="false" ht="15" hidden="false" customHeight="false" outlineLevel="0" collapsed="false">
      <c r="A196" s="45" t="s">
        <v>740</v>
      </c>
      <c r="B196" s="45" t="s">
        <v>684</v>
      </c>
      <c r="C196" s="45" t="s">
        <v>273</v>
      </c>
      <c r="D196" s="45" t="s">
        <v>804</v>
      </c>
      <c r="E196" s="45" t="n">
        <v>2.5</v>
      </c>
      <c r="F196" s="45" t="n">
        <v>29</v>
      </c>
      <c r="G196" s="45" t="n">
        <v>2220</v>
      </c>
      <c r="H196" s="45" t="n">
        <v>1635</v>
      </c>
      <c r="I196" s="45"/>
    </row>
    <row r="197" customFormat="false" ht="15" hidden="false" customHeight="false" outlineLevel="0" collapsed="false">
      <c r="A197" s="45" t="s">
        <v>736</v>
      </c>
      <c r="B197" s="45" t="s">
        <v>737</v>
      </c>
      <c r="C197" s="45" t="s">
        <v>444</v>
      </c>
      <c r="D197" s="45" t="s">
        <v>805</v>
      </c>
      <c r="E197" s="45" t="n">
        <v>0</v>
      </c>
      <c r="F197" s="45"/>
      <c r="G197" s="45" t="n">
        <v>43475</v>
      </c>
      <c r="H197" s="45"/>
      <c r="I197" s="45"/>
    </row>
    <row r="198" customFormat="false" ht="15" hidden="false" customHeight="false" outlineLevel="0" collapsed="false">
      <c r="A198" s="45" t="s">
        <v>732</v>
      </c>
      <c r="B198" s="45" t="s">
        <v>733</v>
      </c>
      <c r="C198" s="45" t="s">
        <v>304</v>
      </c>
      <c r="D198" s="45" t="s">
        <v>806</v>
      </c>
      <c r="E198" s="45" t="n">
        <v>7</v>
      </c>
      <c r="F198" s="45" t="n">
        <v>52</v>
      </c>
      <c r="G198" s="45" t="n">
        <v>4040</v>
      </c>
      <c r="H198" s="45"/>
      <c r="I198" s="45"/>
    </row>
    <row r="199" customFormat="false" ht="15" hidden="false" customHeight="false" outlineLevel="0" collapsed="false">
      <c r="A199" s="45" t="s">
        <v>689</v>
      </c>
      <c r="B199" s="45" t="s">
        <v>684</v>
      </c>
      <c r="C199" s="45" t="s">
        <v>807</v>
      </c>
      <c r="D199" s="45" t="s">
        <v>808</v>
      </c>
      <c r="E199" s="45" t="n">
        <v>8</v>
      </c>
      <c r="F199" s="45"/>
      <c r="G199" s="45"/>
      <c r="H199" s="45"/>
      <c r="I199" s="45"/>
    </row>
    <row r="200" customFormat="false" ht="15" hidden="false" customHeight="false" outlineLevel="0" collapsed="false">
      <c r="A200" s="45" t="s">
        <v>689</v>
      </c>
      <c r="B200" s="45" t="s">
        <v>684</v>
      </c>
      <c r="C200" s="45" t="s">
        <v>323</v>
      </c>
      <c r="D200" s="45" t="s">
        <v>808</v>
      </c>
      <c r="E200" s="45" t="n">
        <v>8</v>
      </c>
      <c r="F200" s="45" t="n">
        <v>29</v>
      </c>
      <c r="G200" s="45" t="n">
        <v>590</v>
      </c>
      <c r="H200" s="45"/>
      <c r="I200" s="45"/>
    </row>
    <row r="201" customFormat="false" ht="15" hidden="false" customHeight="false" outlineLevel="0" collapsed="false">
      <c r="A201" s="45" t="s">
        <v>694</v>
      </c>
      <c r="B201" s="45" t="s">
        <v>695</v>
      </c>
      <c r="C201" s="45" t="s">
        <v>397</v>
      </c>
      <c r="D201" s="45" t="s">
        <v>808</v>
      </c>
      <c r="E201" s="45" t="n">
        <v>40.25</v>
      </c>
      <c r="F201" s="45" t="n">
        <v>231</v>
      </c>
      <c r="G201" s="45" t="n">
        <v>3775</v>
      </c>
      <c r="H201" s="45"/>
      <c r="I201" s="45"/>
    </row>
    <row r="202" customFormat="false" ht="15" hidden="false" customHeight="false" outlineLevel="0" collapsed="false">
      <c r="A202" s="45" t="s">
        <v>694</v>
      </c>
      <c r="B202" s="45" t="s">
        <v>695</v>
      </c>
      <c r="C202" s="45" t="s">
        <v>283</v>
      </c>
      <c r="D202" s="45" t="s">
        <v>808</v>
      </c>
      <c r="E202" s="45" t="n">
        <v>12</v>
      </c>
      <c r="F202" s="45"/>
      <c r="G202" s="45"/>
      <c r="H202" s="45"/>
      <c r="I202" s="45"/>
    </row>
    <row r="203" customFormat="false" ht="15" hidden="false" customHeight="false" outlineLevel="0" collapsed="false">
      <c r="A203" s="45" t="s">
        <v>694</v>
      </c>
      <c r="B203" s="45" t="s">
        <v>695</v>
      </c>
      <c r="C203" s="45" t="s">
        <v>340</v>
      </c>
      <c r="D203" s="45" t="s">
        <v>808</v>
      </c>
      <c r="E203" s="45" t="n">
        <v>38.75</v>
      </c>
      <c r="F203" s="45"/>
      <c r="G203" s="45"/>
      <c r="H203" s="45"/>
      <c r="I203" s="45"/>
    </row>
    <row r="204" customFormat="false" ht="15" hidden="false" customHeight="false" outlineLevel="0" collapsed="false">
      <c r="A204" s="45" t="s">
        <v>697</v>
      </c>
      <c r="B204" s="45" t="s">
        <v>698</v>
      </c>
      <c r="C204" s="45" t="s">
        <v>329</v>
      </c>
      <c r="D204" s="45" t="s">
        <v>808</v>
      </c>
      <c r="E204" s="45" t="n">
        <v>81.25</v>
      </c>
      <c r="F204" s="45"/>
      <c r="G204" s="45"/>
      <c r="H204" s="45"/>
      <c r="I204" s="45"/>
    </row>
    <row r="205" customFormat="false" ht="15" hidden="false" customHeight="false" outlineLevel="0" collapsed="false">
      <c r="A205" s="45" t="s">
        <v>697</v>
      </c>
      <c r="B205" s="45" t="s">
        <v>698</v>
      </c>
      <c r="C205" s="45" t="s">
        <v>283</v>
      </c>
      <c r="D205" s="45" t="s">
        <v>808</v>
      </c>
      <c r="E205" s="45" t="n">
        <v>19</v>
      </c>
      <c r="F205" s="45" t="n">
        <v>93</v>
      </c>
      <c r="G205" s="45" t="n">
        <v>15265</v>
      </c>
      <c r="H205" s="45"/>
      <c r="I205" s="45"/>
    </row>
    <row r="206" customFormat="false" ht="15" hidden="false" customHeight="false" outlineLevel="0" collapsed="false">
      <c r="A206" s="45" t="s">
        <v>700</v>
      </c>
      <c r="B206" s="45" t="s">
        <v>701</v>
      </c>
      <c r="C206" s="45" t="s">
        <v>809</v>
      </c>
      <c r="D206" s="45" t="s">
        <v>808</v>
      </c>
      <c r="E206" s="45" t="n">
        <v>44.25</v>
      </c>
      <c r="F206" s="45"/>
      <c r="G206" s="45"/>
      <c r="H206" s="45"/>
      <c r="I206" s="45"/>
    </row>
    <row r="207" customFormat="false" ht="15" hidden="false" customHeight="false" outlineLevel="0" collapsed="false">
      <c r="A207" s="45" t="s">
        <v>700</v>
      </c>
      <c r="B207" s="45" t="s">
        <v>701</v>
      </c>
      <c r="C207" s="45" t="s">
        <v>363</v>
      </c>
      <c r="D207" s="45" t="s">
        <v>808</v>
      </c>
      <c r="E207" s="45" t="n">
        <v>53.5</v>
      </c>
      <c r="F207" s="45"/>
      <c r="G207" s="45" t="n">
        <v>785</v>
      </c>
      <c r="H207" s="45"/>
      <c r="I207" s="45"/>
    </row>
    <row r="208" customFormat="false" ht="15" hidden="false" customHeight="false" outlineLevel="0" collapsed="false">
      <c r="A208" s="45" t="s">
        <v>703</v>
      </c>
      <c r="B208" s="45" t="s">
        <v>698</v>
      </c>
      <c r="C208" s="45" t="s">
        <v>297</v>
      </c>
      <c r="D208" s="45" t="s">
        <v>808</v>
      </c>
      <c r="E208" s="45" t="n">
        <v>55.75</v>
      </c>
      <c r="F208" s="45" t="n">
        <v>90</v>
      </c>
      <c r="G208" s="45"/>
      <c r="H208" s="45"/>
      <c r="I208" s="45"/>
    </row>
    <row r="209" customFormat="false" ht="15" hidden="false" customHeight="false" outlineLevel="0" collapsed="false">
      <c r="A209" s="45" t="s">
        <v>704</v>
      </c>
      <c r="B209" s="45" t="s">
        <v>705</v>
      </c>
      <c r="C209" s="45" t="s">
        <v>364</v>
      </c>
      <c r="D209" s="45" t="s">
        <v>808</v>
      </c>
      <c r="E209" s="45"/>
      <c r="F209" s="45" t="n">
        <v>29</v>
      </c>
      <c r="G209" s="45" t="n">
        <v>1085</v>
      </c>
      <c r="H209" s="45"/>
      <c r="I209" s="45"/>
    </row>
    <row r="210" customFormat="false" ht="15" hidden="false" customHeight="false" outlineLevel="0" collapsed="false">
      <c r="A210" s="45" t="s">
        <v>704</v>
      </c>
      <c r="B210" s="45" t="s">
        <v>705</v>
      </c>
      <c r="C210" s="45" t="s">
        <v>335</v>
      </c>
      <c r="D210" s="45" t="s">
        <v>808</v>
      </c>
      <c r="E210" s="45" t="n">
        <v>217.75</v>
      </c>
      <c r="F210" s="45"/>
      <c r="G210" s="45"/>
      <c r="H210" s="45"/>
      <c r="I210" s="45"/>
    </row>
    <row r="211" customFormat="false" ht="15" hidden="false" customHeight="false" outlineLevel="0" collapsed="false">
      <c r="A211" s="45" t="s">
        <v>707</v>
      </c>
      <c r="B211" s="45" t="s">
        <v>705</v>
      </c>
      <c r="C211" s="45" t="s">
        <v>283</v>
      </c>
      <c r="D211" s="45" t="s">
        <v>808</v>
      </c>
      <c r="E211" s="45" t="n">
        <v>62.25</v>
      </c>
      <c r="F211" s="45" t="n">
        <v>5</v>
      </c>
      <c r="G211" s="45" t="n">
        <v>130</v>
      </c>
      <c r="H211" s="45"/>
      <c r="I211" s="45"/>
    </row>
    <row r="212" customFormat="false" ht="15" hidden="false" customHeight="false" outlineLevel="0" collapsed="false">
      <c r="A212" s="45" t="s">
        <v>708</v>
      </c>
      <c r="B212" s="45" t="s">
        <v>695</v>
      </c>
      <c r="C212" s="45" t="s">
        <v>327</v>
      </c>
      <c r="D212" s="45" t="s">
        <v>810</v>
      </c>
      <c r="E212" s="45" t="n">
        <v>4.25</v>
      </c>
      <c r="F212" s="45" t="n">
        <v>29</v>
      </c>
      <c r="G212" s="45" t="n">
        <v>40</v>
      </c>
      <c r="H212" s="45"/>
      <c r="I212" s="45"/>
    </row>
    <row r="213" customFormat="false" ht="15" hidden="false" customHeight="false" outlineLevel="0" collapsed="false">
      <c r="A213" s="45" t="s">
        <v>729</v>
      </c>
      <c r="B213" s="45" t="s">
        <v>698</v>
      </c>
      <c r="C213" s="45" t="s">
        <v>345</v>
      </c>
      <c r="D213" s="45" t="s">
        <v>811</v>
      </c>
      <c r="E213" s="45" t="n">
        <v>2.25</v>
      </c>
      <c r="F213" s="45" t="n">
        <v>7</v>
      </c>
      <c r="G213" s="45" t="n">
        <v>50</v>
      </c>
      <c r="H213" s="45"/>
      <c r="I213" s="45"/>
    </row>
    <row r="214" customFormat="false" ht="15" hidden="false" customHeight="false" outlineLevel="0" collapsed="false">
      <c r="A214" s="45" t="s">
        <v>729</v>
      </c>
      <c r="B214" s="45" t="s">
        <v>698</v>
      </c>
      <c r="C214" s="45" t="s">
        <v>347</v>
      </c>
      <c r="D214" s="45" t="s">
        <v>811</v>
      </c>
      <c r="E214" s="45" t="n">
        <v>1.5</v>
      </c>
      <c r="F214" s="45"/>
      <c r="G214" s="45"/>
      <c r="H214" s="45"/>
      <c r="I214" s="45"/>
    </row>
    <row r="215" customFormat="false" ht="15" hidden="false" customHeight="false" outlineLevel="0" collapsed="false">
      <c r="A215" s="45" t="s">
        <v>729</v>
      </c>
      <c r="B215" s="45" t="s">
        <v>698</v>
      </c>
      <c r="C215" s="45" t="s">
        <v>812</v>
      </c>
      <c r="D215" s="45" t="s">
        <v>813</v>
      </c>
      <c r="E215" s="45" t="n">
        <v>2.5</v>
      </c>
      <c r="F215" s="45" t="n">
        <v>15</v>
      </c>
      <c r="G215" s="45" t="n">
        <v>30</v>
      </c>
      <c r="H215" s="45"/>
      <c r="I215" s="45"/>
    </row>
    <row r="216" customFormat="false" ht="15" hidden="false" customHeight="false" outlineLevel="0" collapsed="false">
      <c r="A216" s="45" t="s">
        <v>729</v>
      </c>
      <c r="B216" s="45" t="s">
        <v>698</v>
      </c>
      <c r="C216" s="45" t="s">
        <v>814</v>
      </c>
      <c r="D216" s="45" t="s">
        <v>813</v>
      </c>
      <c r="E216" s="45" t="n">
        <v>1.5</v>
      </c>
      <c r="F216" s="45"/>
      <c r="G216" s="45"/>
      <c r="H216" s="45"/>
      <c r="I216" s="45"/>
    </row>
    <row r="217" customFormat="false" ht="15" hidden="false" customHeight="false" outlineLevel="0" collapsed="false">
      <c r="A217" s="45" t="s">
        <v>732</v>
      </c>
      <c r="B217" s="45" t="s">
        <v>733</v>
      </c>
      <c r="C217" s="45" t="s">
        <v>470</v>
      </c>
      <c r="D217" s="45" t="s">
        <v>815</v>
      </c>
      <c r="E217" s="45" t="n">
        <v>7.25</v>
      </c>
      <c r="F217" s="45" t="n">
        <v>38</v>
      </c>
      <c r="G217" s="45" t="n">
        <v>3390</v>
      </c>
      <c r="H217" s="45"/>
      <c r="I217" s="45"/>
    </row>
    <row r="218" customFormat="false" ht="15" hidden="false" customHeight="false" outlineLevel="0" collapsed="false">
      <c r="A218" s="45" t="s">
        <v>687</v>
      </c>
      <c r="B218" s="45" t="s">
        <v>684</v>
      </c>
      <c r="C218" s="45" t="s">
        <v>816</v>
      </c>
      <c r="D218" s="45" t="s">
        <v>817</v>
      </c>
      <c r="E218" s="45" t="n">
        <v>2.75</v>
      </c>
      <c r="F218" s="45" t="n">
        <v>17</v>
      </c>
      <c r="G218" s="45" t="n">
        <v>70</v>
      </c>
      <c r="H218" s="45"/>
      <c r="I218" s="45"/>
    </row>
    <row r="219" customFormat="false" ht="15" hidden="false" customHeight="false" outlineLevel="0" collapsed="false">
      <c r="A219" s="45" t="s">
        <v>687</v>
      </c>
      <c r="B219" s="45" t="s">
        <v>684</v>
      </c>
      <c r="C219" s="45" t="s">
        <v>507</v>
      </c>
      <c r="D219" s="45" t="s">
        <v>817</v>
      </c>
      <c r="E219" s="45" t="n">
        <v>1.75</v>
      </c>
      <c r="F219" s="45"/>
      <c r="G219" s="45"/>
      <c r="H219" s="45"/>
      <c r="I219" s="45"/>
    </row>
    <row r="220" customFormat="false" ht="15" hidden="false" customHeight="false" outlineLevel="0" collapsed="false">
      <c r="A220" s="45" t="s">
        <v>740</v>
      </c>
      <c r="B220" s="45" t="s">
        <v>684</v>
      </c>
      <c r="C220" s="45" t="s">
        <v>276</v>
      </c>
      <c r="D220" s="45" t="s">
        <v>817</v>
      </c>
      <c r="E220" s="45" t="n">
        <v>2.75</v>
      </c>
      <c r="F220" s="45"/>
      <c r="G220" s="45"/>
      <c r="H220" s="45"/>
      <c r="I220" s="45"/>
    </row>
    <row r="221" customFormat="false" ht="15" hidden="false" customHeight="false" outlineLevel="0" collapsed="false">
      <c r="A221" s="45" t="s">
        <v>740</v>
      </c>
      <c r="B221" s="45" t="s">
        <v>684</v>
      </c>
      <c r="C221" s="45" t="s">
        <v>330</v>
      </c>
      <c r="D221" s="45" t="s">
        <v>817</v>
      </c>
      <c r="E221" s="45" t="n">
        <v>2.75</v>
      </c>
      <c r="F221" s="45" t="n">
        <v>22</v>
      </c>
      <c r="G221" s="45" t="n">
        <v>2315</v>
      </c>
      <c r="H221" s="45" t="n">
        <v>810</v>
      </c>
      <c r="I221" s="45"/>
    </row>
    <row r="222" customFormat="false" ht="15" hidden="false" customHeight="false" outlineLevel="0" collapsed="false">
      <c r="A222" s="45" t="s">
        <v>694</v>
      </c>
      <c r="B222" s="45" t="s">
        <v>695</v>
      </c>
      <c r="C222" s="45" t="s">
        <v>818</v>
      </c>
      <c r="D222" s="45" t="s">
        <v>819</v>
      </c>
      <c r="E222" s="45" t="n">
        <v>35.75</v>
      </c>
      <c r="F222" s="45" t="n">
        <v>192</v>
      </c>
      <c r="G222" s="45" t="n">
        <v>4685</v>
      </c>
      <c r="H222" s="45"/>
      <c r="I222" s="45"/>
    </row>
    <row r="223" customFormat="false" ht="15" hidden="false" customHeight="false" outlineLevel="0" collapsed="false">
      <c r="A223" s="45" t="s">
        <v>694</v>
      </c>
      <c r="B223" s="45" t="s">
        <v>695</v>
      </c>
      <c r="C223" s="45" t="s">
        <v>820</v>
      </c>
      <c r="D223" s="45" t="s">
        <v>819</v>
      </c>
      <c r="E223" s="45" t="n">
        <v>14</v>
      </c>
      <c r="F223" s="45"/>
      <c r="G223" s="45"/>
      <c r="H223" s="45"/>
      <c r="I223" s="45"/>
    </row>
    <row r="224" customFormat="false" ht="15" hidden="false" customHeight="false" outlineLevel="0" collapsed="false">
      <c r="A224" s="45" t="s">
        <v>694</v>
      </c>
      <c r="B224" s="45" t="s">
        <v>695</v>
      </c>
      <c r="C224" s="45" t="s">
        <v>458</v>
      </c>
      <c r="D224" s="45" t="s">
        <v>819</v>
      </c>
      <c r="E224" s="45" t="n">
        <v>37.75</v>
      </c>
      <c r="F224" s="45"/>
      <c r="G224" s="45"/>
      <c r="H224" s="45"/>
      <c r="I224" s="45"/>
    </row>
    <row r="225" customFormat="false" ht="15" hidden="false" customHeight="false" outlineLevel="0" collapsed="false">
      <c r="A225" s="45" t="s">
        <v>697</v>
      </c>
      <c r="B225" s="45" t="s">
        <v>698</v>
      </c>
      <c r="C225" s="45" t="s">
        <v>289</v>
      </c>
      <c r="D225" s="45" t="s">
        <v>819</v>
      </c>
      <c r="E225" s="45" t="n">
        <v>64.75</v>
      </c>
      <c r="F225" s="45"/>
      <c r="G225" s="45"/>
      <c r="H225" s="45"/>
      <c r="I225" s="45"/>
    </row>
    <row r="226" customFormat="false" ht="15" hidden="false" customHeight="false" outlineLevel="0" collapsed="false">
      <c r="A226" s="45" t="s">
        <v>697</v>
      </c>
      <c r="B226" s="45" t="s">
        <v>698</v>
      </c>
      <c r="C226" s="45" t="s">
        <v>699</v>
      </c>
      <c r="D226" s="45" t="s">
        <v>819</v>
      </c>
      <c r="E226" s="45" t="n">
        <v>19.5</v>
      </c>
      <c r="F226" s="45" t="n">
        <v>98</v>
      </c>
      <c r="G226" s="45" t="n">
        <v>14325</v>
      </c>
      <c r="H226" s="45"/>
      <c r="I226" s="45"/>
    </row>
    <row r="227" customFormat="false" ht="15" hidden="false" customHeight="false" outlineLevel="0" collapsed="false">
      <c r="A227" s="45" t="s">
        <v>700</v>
      </c>
      <c r="B227" s="45" t="s">
        <v>701</v>
      </c>
      <c r="C227" s="45" t="s">
        <v>333</v>
      </c>
      <c r="D227" s="45" t="s">
        <v>819</v>
      </c>
      <c r="E227" s="45" t="n">
        <v>33</v>
      </c>
      <c r="F227" s="45"/>
      <c r="G227" s="45"/>
      <c r="H227" s="45"/>
      <c r="I227" s="45"/>
    </row>
    <row r="228" customFormat="false" ht="15" hidden="false" customHeight="false" outlineLevel="0" collapsed="false">
      <c r="A228" s="45" t="s">
        <v>700</v>
      </c>
      <c r="B228" s="45" t="s">
        <v>701</v>
      </c>
      <c r="C228" s="45" t="s">
        <v>363</v>
      </c>
      <c r="D228" s="45" t="s">
        <v>819</v>
      </c>
      <c r="E228" s="45" t="n">
        <v>72.5</v>
      </c>
      <c r="F228" s="45"/>
      <c r="G228" s="45" t="n">
        <v>775</v>
      </c>
      <c r="H228" s="45"/>
      <c r="I228" s="45"/>
    </row>
    <row r="229" customFormat="false" ht="15" hidden="false" customHeight="false" outlineLevel="0" collapsed="false">
      <c r="A229" s="45" t="s">
        <v>703</v>
      </c>
      <c r="B229" s="45" t="s">
        <v>698</v>
      </c>
      <c r="C229" s="45" t="s">
        <v>297</v>
      </c>
      <c r="D229" s="45" t="s">
        <v>819</v>
      </c>
      <c r="E229" s="45" t="n">
        <v>65</v>
      </c>
      <c r="F229" s="45" t="n">
        <v>124</v>
      </c>
      <c r="G229" s="45"/>
      <c r="H229" s="45"/>
      <c r="I229" s="45"/>
    </row>
    <row r="230" customFormat="false" ht="15" hidden="false" customHeight="false" outlineLevel="0" collapsed="false">
      <c r="A230" s="45" t="s">
        <v>704</v>
      </c>
      <c r="B230" s="45" t="s">
        <v>705</v>
      </c>
      <c r="C230" s="45" t="s">
        <v>364</v>
      </c>
      <c r="D230" s="45" t="s">
        <v>819</v>
      </c>
      <c r="E230" s="45" t="n">
        <v>97.75</v>
      </c>
      <c r="F230" s="45" t="n">
        <v>37</v>
      </c>
      <c r="G230" s="45" t="n">
        <v>990</v>
      </c>
      <c r="H230" s="45"/>
      <c r="I230" s="45"/>
    </row>
    <row r="231" customFormat="false" ht="15" hidden="false" customHeight="false" outlineLevel="0" collapsed="false">
      <c r="A231" s="45" t="s">
        <v>704</v>
      </c>
      <c r="B231" s="45" t="s">
        <v>705</v>
      </c>
      <c r="C231" s="45" t="s">
        <v>327</v>
      </c>
      <c r="D231" s="45" t="s">
        <v>819</v>
      </c>
      <c r="E231" s="45" t="n">
        <v>194.5</v>
      </c>
      <c r="F231" s="45"/>
      <c r="G231" s="45"/>
      <c r="H231" s="45"/>
      <c r="I231" s="45"/>
    </row>
    <row r="232" customFormat="false" ht="15" hidden="false" customHeight="false" outlineLevel="0" collapsed="false">
      <c r="A232" s="45" t="s">
        <v>707</v>
      </c>
      <c r="B232" s="45" t="s">
        <v>705</v>
      </c>
      <c r="C232" s="45" t="s">
        <v>273</v>
      </c>
      <c r="D232" s="45" t="s">
        <v>819</v>
      </c>
      <c r="E232" s="45" t="n">
        <v>45.5</v>
      </c>
      <c r="F232" s="45" t="n">
        <v>4</v>
      </c>
      <c r="G232" s="45" t="n">
        <v>120</v>
      </c>
      <c r="H232" s="45"/>
      <c r="I232" s="45"/>
    </row>
    <row r="233" customFormat="false" ht="15" hidden="false" customHeight="false" outlineLevel="0" collapsed="false">
      <c r="A233" s="45" t="s">
        <v>714</v>
      </c>
      <c r="B233" s="45" t="s">
        <v>684</v>
      </c>
      <c r="C233" s="45" t="s">
        <v>364</v>
      </c>
      <c r="D233" s="45" t="s">
        <v>821</v>
      </c>
      <c r="E233" s="45" t="n">
        <v>3.25</v>
      </c>
      <c r="F233" s="45" t="n">
        <v>17</v>
      </c>
      <c r="G233" s="45" t="n">
        <v>150</v>
      </c>
      <c r="H233" s="45" t="n">
        <v>340</v>
      </c>
      <c r="I233" s="45"/>
    </row>
    <row r="234" customFormat="false" ht="15" hidden="false" customHeight="false" outlineLevel="0" collapsed="false">
      <c r="A234" s="45" t="s">
        <v>683</v>
      </c>
      <c r="B234" s="45" t="s">
        <v>684</v>
      </c>
      <c r="C234" s="45" t="s">
        <v>343</v>
      </c>
      <c r="D234" s="45" t="s">
        <v>822</v>
      </c>
      <c r="E234" s="45" t="n">
        <v>2</v>
      </c>
      <c r="F234" s="45" t="n">
        <v>10</v>
      </c>
      <c r="G234" s="45" t="n">
        <v>85</v>
      </c>
      <c r="H234" s="45"/>
      <c r="I234" s="45"/>
    </row>
    <row r="235" customFormat="false" ht="15" hidden="false" customHeight="false" outlineLevel="0" collapsed="false">
      <c r="A235" s="45" t="s">
        <v>711</v>
      </c>
      <c r="B235" s="45" t="s">
        <v>712</v>
      </c>
      <c r="C235" s="45" t="s">
        <v>477</v>
      </c>
      <c r="D235" s="45" t="s">
        <v>823</v>
      </c>
      <c r="E235" s="45" t="n">
        <v>1.5</v>
      </c>
      <c r="F235" s="45"/>
      <c r="G235" s="45"/>
      <c r="H235" s="45"/>
      <c r="I235" s="45"/>
    </row>
    <row r="236" customFormat="false" ht="15" hidden="false" customHeight="false" outlineLevel="0" collapsed="false">
      <c r="A236" s="45" t="s">
        <v>711</v>
      </c>
      <c r="B236" s="45" t="s">
        <v>712</v>
      </c>
      <c r="C236" s="45" t="s">
        <v>409</v>
      </c>
      <c r="D236" s="45" t="s">
        <v>823</v>
      </c>
      <c r="E236" s="45" t="n">
        <v>4.5</v>
      </c>
      <c r="F236" s="45"/>
      <c r="G236" s="45" t="n">
        <v>485</v>
      </c>
      <c r="H236" s="45"/>
      <c r="I236" s="45"/>
    </row>
    <row r="237" customFormat="false" ht="15" hidden="false" customHeight="false" outlineLevel="0" collapsed="false">
      <c r="A237" s="45" t="s">
        <v>714</v>
      </c>
      <c r="B237" s="45" t="s">
        <v>684</v>
      </c>
      <c r="C237" s="45" t="s">
        <v>364</v>
      </c>
      <c r="D237" s="45" t="s">
        <v>824</v>
      </c>
      <c r="E237" s="45" t="n">
        <v>3.5</v>
      </c>
      <c r="F237" s="45" t="n">
        <v>18</v>
      </c>
      <c r="G237" s="45" t="n">
        <v>165</v>
      </c>
      <c r="H237" s="45" t="n">
        <v>360</v>
      </c>
      <c r="I237" s="45"/>
    </row>
    <row r="238" customFormat="false" ht="15" hidden="false" customHeight="false" outlineLevel="0" collapsed="false">
      <c r="A238" s="45" t="s">
        <v>729</v>
      </c>
      <c r="B238" s="45" t="s">
        <v>698</v>
      </c>
      <c r="C238" s="45" t="s">
        <v>345</v>
      </c>
      <c r="D238" s="45" t="s">
        <v>825</v>
      </c>
      <c r="E238" s="45" t="n">
        <v>2</v>
      </c>
      <c r="F238" s="45" t="n">
        <v>15</v>
      </c>
      <c r="G238" s="45" t="n">
        <v>60</v>
      </c>
      <c r="H238" s="45"/>
      <c r="I238" s="45"/>
    </row>
    <row r="239" customFormat="false" ht="15" hidden="false" customHeight="false" outlineLevel="0" collapsed="false">
      <c r="A239" s="45" t="s">
        <v>729</v>
      </c>
      <c r="B239" s="45" t="s">
        <v>698</v>
      </c>
      <c r="C239" s="45" t="s">
        <v>826</v>
      </c>
      <c r="D239" s="45" t="s">
        <v>825</v>
      </c>
      <c r="E239" s="45" t="n">
        <v>1.75</v>
      </c>
      <c r="F239" s="45"/>
      <c r="G239" s="45"/>
      <c r="H239" s="45"/>
      <c r="I239" s="45"/>
    </row>
    <row r="240" customFormat="false" ht="15" hidden="false" customHeight="false" outlineLevel="0" collapsed="false">
      <c r="A240" s="45" t="s">
        <v>708</v>
      </c>
      <c r="B240" s="45" t="s">
        <v>695</v>
      </c>
      <c r="C240" s="45" t="s">
        <v>827</v>
      </c>
      <c r="D240" s="45" t="s">
        <v>828</v>
      </c>
      <c r="E240" s="45" t="n">
        <v>3.75</v>
      </c>
      <c r="F240" s="45" t="n">
        <v>67</v>
      </c>
      <c r="G240" s="45" t="n">
        <v>70</v>
      </c>
      <c r="H240" s="45"/>
      <c r="I240" s="45"/>
    </row>
    <row r="241" customFormat="false" ht="15" hidden="false" customHeight="false" outlineLevel="0" collapsed="false">
      <c r="A241" s="45" t="s">
        <v>680</v>
      </c>
      <c r="B241" s="45" t="s">
        <v>681</v>
      </c>
      <c r="C241" s="45" t="s">
        <v>313</v>
      </c>
      <c r="D241" s="45" t="s">
        <v>828</v>
      </c>
      <c r="E241" s="45" t="n">
        <v>2.5</v>
      </c>
      <c r="F241" s="45"/>
      <c r="G241" s="45"/>
      <c r="H241" s="45"/>
      <c r="I241" s="45"/>
    </row>
    <row r="242" customFormat="false" ht="15" hidden="false" customHeight="false" outlineLevel="0" collapsed="false">
      <c r="A242" s="45" t="s">
        <v>680</v>
      </c>
      <c r="B242" s="45" t="s">
        <v>681</v>
      </c>
      <c r="C242" s="45" t="s">
        <v>429</v>
      </c>
      <c r="D242" s="45" t="s">
        <v>828</v>
      </c>
      <c r="E242" s="45" t="n">
        <v>2.5</v>
      </c>
      <c r="F242" s="45"/>
      <c r="G242" s="45" t="n">
        <v>45</v>
      </c>
      <c r="H242" s="45"/>
      <c r="I242" s="45"/>
    </row>
    <row r="243" customFormat="false" ht="15" hidden="false" customHeight="false" outlineLevel="0" collapsed="false">
      <c r="A243" s="45" t="s">
        <v>740</v>
      </c>
      <c r="B243" s="45" t="s">
        <v>684</v>
      </c>
      <c r="C243" s="45" t="s">
        <v>315</v>
      </c>
      <c r="D243" s="45" t="s">
        <v>829</v>
      </c>
      <c r="E243" s="45" t="n">
        <v>2.25</v>
      </c>
      <c r="F243" s="45"/>
      <c r="G243" s="45"/>
      <c r="H243" s="45"/>
      <c r="I243" s="45"/>
    </row>
    <row r="244" customFormat="false" ht="15" hidden="false" customHeight="false" outlineLevel="0" collapsed="false">
      <c r="A244" s="45" t="s">
        <v>740</v>
      </c>
      <c r="B244" s="45" t="s">
        <v>684</v>
      </c>
      <c r="C244" s="45" t="s">
        <v>699</v>
      </c>
      <c r="D244" s="45" t="s">
        <v>829</v>
      </c>
      <c r="E244" s="45" t="n">
        <v>2</v>
      </c>
      <c r="F244" s="45" t="n">
        <v>25</v>
      </c>
      <c r="G244" s="45" t="n">
        <v>1915</v>
      </c>
      <c r="H244" s="45" t="n">
        <v>1370</v>
      </c>
      <c r="I244" s="45"/>
    </row>
    <row r="245" customFormat="false" ht="15" hidden="false" customHeight="false" outlineLevel="0" collapsed="false">
      <c r="A245" s="45" t="s">
        <v>687</v>
      </c>
      <c r="B245" s="45" t="s">
        <v>684</v>
      </c>
      <c r="C245" s="45" t="s">
        <v>272</v>
      </c>
      <c r="D245" s="45" t="s">
        <v>830</v>
      </c>
      <c r="E245" s="45" t="n">
        <v>2</v>
      </c>
      <c r="F245" s="45" t="n">
        <v>13</v>
      </c>
      <c r="G245" s="45" t="n">
        <v>170</v>
      </c>
      <c r="H245" s="45"/>
      <c r="I245" s="45"/>
    </row>
    <row r="246" customFormat="false" ht="15" hidden="false" customHeight="false" outlineLevel="0" collapsed="false">
      <c r="A246" s="45" t="s">
        <v>687</v>
      </c>
      <c r="B246" s="45" t="s">
        <v>684</v>
      </c>
      <c r="C246" s="45" t="s">
        <v>372</v>
      </c>
      <c r="D246" s="45" t="s">
        <v>830</v>
      </c>
      <c r="E246" s="45" t="n">
        <v>1.75</v>
      </c>
      <c r="F246" s="45"/>
      <c r="G246" s="45"/>
      <c r="H246" s="45"/>
      <c r="I246" s="45"/>
    </row>
    <row r="247" customFormat="false" ht="15" hidden="false" customHeight="false" outlineLevel="0" collapsed="false">
      <c r="A247" s="45" t="s">
        <v>683</v>
      </c>
      <c r="B247" s="45" t="s">
        <v>684</v>
      </c>
      <c r="C247" s="45" t="s">
        <v>369</v>
      </c>
      <c r="D247" s="45" t="s">
        <v>831</v>
      </c>
      <c r="E247" s="45" t="n">
        <v>2</v>
      </c>
      <c r="F247" s="45" t="n">
        <v>10</v>
      </c>
      <c r="G247" s="45" t="n">
        <v>50</v>
      </c>
      <c r="H247" s="45"/>
      <c r="I247" s="45"/>
    </row>
    <row r="248" customFormat="false" ht="15" hidden="false" customHeight="false" outlineLevel="0" collapsed="false">
      <c r="A248" s="45" t="s">
        <v>694</v>
      </c>
      <c r="B248" s="45" t="s">
        <v>695</v>
      </c>
      <c r="C248" s="45" t="s">
        <v>282</v>
      </c>
      <c r="D248" s="45" t="s">
        <v>832</v>
      </c>
      <c r="E248" s="45" t="n">
        <v>44.25</v>
      </c>
      <c r="F248" s="45" t="n">
        <v>257</v>
      </c>
      <c r="G248" s="45" t="n">
        <v>4840</v>
      </c>
      <c r="H248" s="45"/>
      <c r="I248" s="45"/>
    </row>
    <row r="249" customFormat="false" ht="15" hidden="false" customHeight="false" outlineLevel="0" collapsed="false">
      <c r="A249" s="45" t="s">
        <v>694</v>
      </c>
      <c r="B249" s="45" t="s">
        <v>695</v>
      </c>
      <c r="C249" s="45" t="s">
        <v>283</v>
      </c>
      <c r="D249" s="45" t="s">
        <v>832</v>
      </c>
      <c r="E249" s="45" t="n">
        <v>16.25</v>
      </c>
      <c r="F249" s="45"/>
      <c r="G249" s="45"/>
      <c r="H249" s="45"/>
      <c r="I249" s="45"/>
    </row>
    <row r="250" customFormat="false" ht="15" hidden="false" customHeight="false" outlineLevel="0" collapsed="false">
      <c r="A250" s="45" t="s">
        <v>694</v>
      </c>
      <c r="B250" s="45" t="s">
        <v>695</v>
      </c>
      <c r="C250" s="45" t="s">
        <v>458</v>
      </c>
      <c r="D250" s="45" t="s">
        <v>832</v>
      </c>
      <c r="E250" s="45" t="n">
        <v>40.75</v>
      </c>
      <c r="F250" s="45"/>
      <c r="G250" s="45"/>
      <c r="H250" s="45"/>
      <c r="I250" s="45"/>
    </row>
    <row r="251" customFormat="false" ht="15" hidden="false" customHeight="false" outlineLevel="0" collapsed="false">
      <c r="A251" s="45" t="s">
        <v>697</v>
      </c>
      <c r="B251" s="45" t="s">
        <v>698</v>
      </c>
      <c r="C251" s="45" t="s">
        <v>459</v>
      </c>
      <c r="D251" s="45" t="s">
        <v>832</v>
      </c>
      <c r="E251" s="45" t="n">
        <v>73.5</v>
      </c>
      <c r="F251" s="45"/>
      <c r="G251" s="45"/>
      <c r="H251" s="45"/>
      <c r="I251" s="45"/>
    </row>
    <row r="252" customFormat="false" ht="15" hidden="false" customHeight="false" outlineLevel="0" collapsed="false">
      <c r="A252" s="45" t="s">
        <v>697</v>
      </c>
      <c r="B252" s="45" t="s">
        <v>698</v>
      </c>
      <c r="C252" s="45" t="s">
        <v>400</v>
      </c>
      <c r="D252" s="45" t="s">
        <v>832</v>
      </c>
      <c r="E252" s="45" t="n">
        <v>16.5</v>
      </c>
      <c r="F252" s="45" t="n">
        <v>84</v>
      </c>
      <c r="G252" s="45" t="n">
        <v>15840</v>
      </c>
      <c r="H252" s="45"/>
      <c r="I252" s="45"/>
    </row>
    <row r="253" customFormat="false" ht="15" hidden="false" customHeight="false" outlineLevel="0" collapsed="false">
      <c r="A253" s="45" t="s">
        <v>700</v>
      </c>
      <c r="B253" s="45" t="s">
        <v>701</v>
      </c>
      <c r="C253" s="45" t="s">
        <v>333</v>
      </c>
      <c r="D253" s="45" t="s">
        <v>832</v>
      </c>
      <c r="E253" s="45" t="n">
        <v>53</v>
      </c>
      <c r="F253" s="45"/>
      <c r="G253" s="45"/>
      <c r="H253" s="45"/>
      <c r="I253" s="45"/>
    </row>
    <row r="254" customFormat="false" ht="15" hidden="false" customHeight="false" outlineLevel="0" collapsed="false">
      <c r="A254" s="45" t="s">
        <v>700</v>
      </c>
      <c r="B254" s="45" t="s">
        <v>701</v>
      </c>
      <c r="C254" s="45" t="s">
        <v>313</v>
      </c>
      <c r="D254" s="45" t="s">
        <v>832</v>
      </c>
      <c r="E254" s="45" t="n">
        <v>74</v>
      </c>
      <c r="F254" s="45"/>
      <c r="G254" s="45" t="n">
        <v>645</v>
      </c>
      <c r="H254" s="45"/>
      <c r="I254" s="45"/>
    </row>
    <row r="255" customFormat="false" ht="15" hidden="false" customHeight="false" outlineLevel="0" collapsed="false">
      <c r="A255" s="45" t="s">
        <v>703</v>
      </c>
      <c r="B255" s="45" t="s">
        <v>698</v>
      </c>
      <c r="C255" s="45" t="s">
        <v>437</v>
      </c>
      <c r="D255" s="45" t="s">
        <v>832</v>
      </c>
      <c r="E255" s="45" t="n">
        <v>47.5</v>
      </c>
      <c r="F255" s="45" t="n">
        <v>160</v>
      </c>
      <c r="G255" s="45"/>
      <c r="H255" s="45"/>
      <c r="I255" s="45"/>
    </row>
    <row r="256" customFormat="false" ht="15" hidden="false" customHeight="false" outlineLevel="0" collapsed="false">
      <c r="A256" s="45" t="s">
        <v>704</v>
      </c>
      <c r="B256" s="45" t="s">
        <v>705</v>
      </c>
      <c r="C256" s="45" t="s">
        <v>387</v>
      </c>
      <c r="D256" s="45" t="s">
        <v>832</v>
      </c>
      <c r="E256" s="45" t="n">
        <v>124.5</v>
      </c>
      <c r="F256" s="45" t="n">
        <v>28</v>
      </c>
      <c r="G256" s="45" t="n">
        <v>740</v>
      </c>
      <c r="H256" s="45"/>
      <c r="I256" s="45"/>
    </row>
    <row r="257" customFormat="false" ht="15" hidden="false" customHeight="false" outlineLevel="0" collapsed="false">
      <c r="A257" s="45" t="s">
        <v>704</v>
      </c>
      <c r="B257" s="45" t="s">
        <v>705</v>
      </c>
      <c r="C257" s="45" t="s">
        <v>325</v>
      </c>
      <c r="D257" s="45" t="s">
        <v>832</v>
      </c>
      <c r="E257" s="45" t="n">
        <v>166.75</v>
      </c>
      <c r="F257" s="45"/>
      <c r="G257" s="45"/>
      <c r="H257" s="45"/>
      <c r="I257" s="45"/>
    </row>
    <row r="258" customFormat="false" ht="15" hidden="false" customHeight="false" outlineLevel="0" collapsed="false">
      <c r="A258" s="45" t="s">
        <v>707</v>
      </c>
      <c r="B258" s="45" t="s">
        <v>705</v>
      </c>
      <c r="C258" s="45" t="s">
        <v>283</v>
      </c>
      <c r="D258" s="45" t="s">
        <v>832</v>
      </c>
      <c r="E258" s="45" t="n">
        <v>40.75</v>
      </c>
      <c r="F258" s="45" t="n">
        <v>2</v>
      </c>
      <c r="G258" s="45" t="n">
        <v>175</v>
      </c>
      <c r="H258" s="45"/>
      <c r="I258" s="45"/>
    </row>
    <row r="259" customFormat="false" ht="15" hidden="false" customHeight="false" outlineLevel="0" collapsed="false">
      <c r="A259" s="45" t="s">
        <v>708</v>
      </c>
      <c r="B259" s="45" t="s">
        <v>695</v>
      </c>
      <c r="C259" s="45" t="s">
        <v>833</v>
      </c>
      <c r="D259" s="45" t="s">
        <v>834</v>
      </c>
      <c r="E259" s="45" t="n">
        <v>4.25</v>
      </c>
      <c r="F259" s="45" t="n">
        <v>39</v>
      </c>
      <c r="G259" s="45" t="n">
        <v>55</v>
      </c>
      <c r="H259" s="45"/>
      <c r="I259" s="45"/>
    </row>
    <row r="260" customFormat="false" ht="15" hidden="false" customHeight="false" outlineLevel="0" collapsed="false">
      <c r="A260" s="45" t="s">
        <v>729</v>
      </c>
      <c r="B260" s="45" t="s">
        <v>698</v>
      </c>
      <c r="C260" s="45" t="s">
        <v>453</v>
      </c>
      <c r="D260" s="45" t="s">
        <v>835</v>
      </c>
      <c r="E260" s="45" t="n">
        <v>2.25</v>
      </c>
      <c r="F260" s="45" t="n">
        <v>15</v>
      </c>
      <c r="G260" s="45" t="n">
        <v>35</v>
      </c>
      <c r="H260" s="45"/>
      <c r="I260" s="45"/>
    </row>
    <row r="261" customFormat="false" ht="15" hidden="false" customHeight="false" outlineLevel="0" collapsed="false">
      <c r="A261" s="45" t="s">
        <v>729</v>
      </c>
      <c r="B261" s="45" t="s">
        <v>698</v>
      </c>
      <c r="C261" s="45" t="s">
        <v>342</v>
      </c>
      <c r="D261" s="45" t="s">
        <v>835</v>
      </c>
      <c r="E261" s="45" t="n">
        <v>2</v>
      </c>
      <c r="F261" s="45"/>
      <c r="G261" s="45"/>
      <c r="H261" s="45"/>
      <c r="I261" s="45"/>
    </row>
    <row r="262" customFormat="false" ht="15" hidden="false" customHeight="false" outlineLevel="0" collapsed="false">
      <c r="A262" s="45" t="s">
        <v>683</v>
      </c>
      <c r="B262" s="45" t="s">
        <v>684</v>
      </c>
      <c r="C262" s="45" t="s">
        <v>593</v>
      </c>
      <c r="D262" s="45" t="s">
        <v>835</v>
      </c>
      <c r="E262" s="45" t="n">
        <v>2</v>
      </c>
      <c r="F262" s="45" t="n">
        <v>16</v>
      </c>
      <c r="G262" s="45" t="n">
        <v>105</v>
      </c>
      <c r="H262" s="45"/>
      <c r="I262" s="45"/>
    </row>
    <row r="263" customFormat="false" ht="15" hidden="false" customHeight="false" outlineLevel="0" collapsed="false">
      <c r="A263" s="45" t="s">
        <v>740</v>
      </c>
      <c r="B263" s="45" t="s">
        <v>684</v>
      </c>
      <c r="C263" s="45" t="s">
        <v>276</v>
      </c>
      <c r="D263" s="45" t="s">
        <v>836</v>
      </c>
      <c r="E263" s="45" t="n">
        <v>2.75</v>
      </c>
      <c r="F263" s="45"/>
      <c r="G263" s="45"/>
      <c r="H263" s="45"/>
      <c r="I263" s="45"/>
    </row>
    <row r="264" customFormat="false" ht="15" hidden="false" customHeight="false" outlineLevel="0" collapsed="false">
      <c r="A264" s="45" t="s">
        <v>740</v>
      </c>
      <c r="B264" s="45" t="s">
        <v>684</v>
      </c>
      <c r="C264" s="45" t="s">
        <v>330</v>
      </c>
      <c r="D264" s="45" t="s">
        <v>836</v>
      </c>
      <c r="E264" s="45" t="n">
        <v>2.5</v>
      </c>
      <c r="F264" s="45" t="n">
        <v>19</v>
      </c>
      <c r="G264" s="45" t="n">
        <v>1425</v>
      </c>
      <c r="H264" s="45" t="n">
        <v>1385</v>
      </c>
      <c r="I264" s="45"/>
    </row>
    <row r="265" customFormat="false" ht="15" hidden="false" customHeight="false" outlineLevel="0" collapsed="false">
      <c r="A265" s="45" t="s">
        <v>687</v>
      </c>
      <c r="B265" s="45" t="s">
        <v>684</v>
      </c>
      <c r="C265" s="45" t="s">
        <v>837</v>
      </c>
      <c r="D265" s="45" t="s">
        <v>838</v>
      </c>
      <c r="E265" s="45" t="n">
        <v>2</v>
      </c>
      <c r="F265" s="45" t="n">
        <v>9</v>
      </c>
      <c r="G265" s="45" t="n">
        <v>65</v>
      </c>
      <c r="H265" s="45"/>
      <c r="I265" s="45"/>
    </row>
    <row r="266" customFormat="false" ht="15" hidden="false" customHeight="false" outlineLevel="0" collapsed="false">
      <c r="A266" s="45" t="s">
        <v>687</v>
      </c>
      <c r="B266" s="45" t="s">
        <v>684</v>
      </c>
      <c r="C266" s="45" t="s">
        <v>372</v>
      </c>
      <c r="D266" s="45" t="s">
        <v>838</v>
      </c>
      <c r="E266" s="45" t="n">
        <v>1.5</v>
      </c>
      <c r="F266" s="45"/>
      <c r="G266" s="45"/>
      <c r="H266" s="45"/>
      <c r="I266" s="45"/>
    </row>
    <row r="267" customFormat="false" ht="15" hidden="false" customHeight="false" outlineLevel="0" collapsed="false">
      <c r="A267" s="45" t="s">
        <v>683</v>
      </c>
      <c r="B267" s="45" t="s">
        <v>684</v>
      </c>
      <c r="C267" s="45" t="s">
        <v>391</v>
      </c>
      <c r="D267" s="45" t="s">
        <v>839</v>
      </c>
      <c r="E267" s="45" t="n">
        <v>2</v>
      </c>
      <c r="F267" s="45" t="n">
        <v>10</v>
      </c>
      <c r="G267" s="45" t="n">
        <v>95</v>
      </c>
      <c r="H267" s="45"/>
      <c r="I267" s="45"/>
    </row>
    <row r="268" customFormat="false" ht="15" hidden="false" customHeight="false" outlineLevel="0" collapsed="false">
      <c r="A268" s="45" t="s">
        <v>729</v>
      </c>
      <c r="B268" s="45" t="s">
        <v>698</v>
      </c>
      <c r="C268" s="45" t="s">
        <v>840</v>
      </c>
      <c r="D268" s="45" t="s">
        <v>841</v>
      </c>
      <c r="E268" s="45" t="n">
        <v>2.5</v>
      </c>
      <c r="F268" s="45" t="n">
        <v>9</v>
      </c>
      <c r="G268" s="45" t="n">
        <v>35</v>
      </c>
      <c r="H268" s="45"/>
      <c r="I268" s="45"/>
    </row>
    <row r="269" customFormat="false" ht="15" hidden="false" customHeight="false" outlineLevel="0" collapsed="false">
      <c r="A269" s="45" t="s">
        <v>729</v>
      </c>
      <c r="B269" s="45" t="s">
        <v>698</v>
      </c>
      <c r="C269" s="45" t="s">
        <v>347</v>
      </c>
      <c r="D269" s="45" t="s">
        <v>841</v>
      </c>
      <c r="E269" s="45" t="n">
        <v>1.75</v>
      </c>
      <c r="F269" s="45"/>
      <c r="G269" s="45"/>
      <c r="H269" s="45"/>
      <c r="I269" s="45"/>
    </row>
    <row r="270" customFormat="false" ht="15" hidden="false" customHeight="false" outlineLevel="0" collapsed="false">
      <c r="A270" s="45" t="s">
        <v>694</v>
      </c>
      <c r="B270" s="45" t="s">
        <v>695</v>
      </c>
      <c r="C270" s="45" t="s">
        <v>842</v>
      </c>
      <c r="D270" s="45" t="s">
        <v>843</v>
      </c>
      <c r="E270" s="45" t="n">
        <v>41.75</v>
      </c>
      <c r="F270" s="45" t="n">
        <v>205</v>
      </c>
      <c r="G270" s="45" t="n">
        <v>3210</v>
      </c>
      <c r="H270" s="45"/>
      <c r="I270" s="45"/>
    </row>
    <row r="271" customFormat="false" ht="15" hidden="false" customHeight="false" outlineLevel="0" collapsed="false">
      <c r="A271" s="45" t="s">
        <v>694</v>
      </c>
      <c r="B271" s="45" t="s">
        <v>695</v>
      </c>
      <c r="C271" s="45" t="s">
        <v>441</v>
      </c>
      <c r="D271" s="45" t="s">
        <v>843</v>
      </c>
      <c r="E271" s="45" t="n">
        <v>11.25</v>
      </c>
      <c r="F271" s="45"/>
      <c r="G271" s="45"/>
      <c r="H271" s="45"/>
      <c r="I271" s="45"/>
    </row>
    <row r="272" customFormat="false" ht="15" hidden="false" customHeight="false" outlineLevel="0" collapsed="false">
      <c r="A272" s="45" t="s">
        <v>694</v>
      </c>
      <c r="B272" s="45" t="s">
        <v>695</v>
      </c>
      <c r="C272" s="45" t="s">
        <v>723</v>
      </c>
      <c r="D272" s="45" t="s">
        <v>843</v>
      </c>
      <c r="E272" s="45" t="n">
        <v>35</v>
      </c>
      <c r="F272" s="45"/>
      <c r="G272" s="45"/>
      <c r="H272" s="45"/>
      <c r="I272" s="45"/>
    </row>
    <row r="273" customFormat="false" ht="15" hidden="false" customHeight="false" outlineLevel="0" collapsed="false">
      <c r="A273" s="45" t="s">
        <v>697</v>
      </c>
      <c r="B273" s="45" t="s">
        <v>698</v>
      </c>
      <c r="C273" s="45" t="s">
        <v>329</v>
      </c>
      <c r="D273" s="45" t="s">
        <v>843</v>
      </c>
      <c r="E273" s="45" t="n">
        <v>70</v>
      </c>
      <c r="F273" s="45"/>
      <c r="G273" s="45"/>
      <c r="H273" s="45"/>
      <c r="I273" s="45"/>
    </row>
    <row r="274" customFormat="false" ht="15" hidden="false" customHeight="false" outlineLevel="0" collapsed="false">
      <c r="A274" s="45" t="s">
        <v>697</v>
      </c>
      <c r="B274" s="45" t="s">
        <v>698</v>
      </c>
      <c r="C274" s="45" t="s">
        <v>273</v>
      </c>
      <c r="D274" s="45" t="s">
        <v>843</v>
      </c>
      <c r="E274" s="45" t="n">
        <v>23.75</v>
      </c>
      <c r="F274" s="45" t="n">
        <v>84</v>
      </c>
      <c r="G274" s="45" t="n">
        <v>22800</v>
      </c>
      <c r="H274" s="45"/>
      <c r="I274" s="45"/>
    </row>
    <row r="275" customFormat="false" ht="15" hidden="false" customHeight="false" outlineLevel="0" collapsed="false">
      <c r="A275" s="45" t="s">
        <v>700</v>
      </c>
      <c r="B275" s="45" t="s">
        <v>701</v>
      </c>
      <c r="C275" s="45" t="s">
        <v>702</v>
      </c>
      <c r="D275" s="45" t="s">
        <v>843</v>
      </c>
      <c r="E275" s="45" t="n">
        <v>42.5</v>
      </c>
      <c r="F275" s="45"/>
      <c r="G275" s="45"/>
      <c r="H275" s="45"/>
      <c r="I275" s="45"/>
    </row>
    <row r="276" customFormat="false" ht="15" hidden="false" customHeight="false" outlineLevel="0" collapsed="false">
      <c r="A276" s="45" t="s">
        <v>700</v>
      </c>
      <c r="B276" s="45" t="s">
        <v>701</v>
      </c>
      <c r="C276" s="45" t="s">
        <v>363</v>
      </c>
      <c r="D276" s="45" t="s">
        <v>843</v>
      </c>
      <c r="E276" s="45" t="n">
        <v>71.5</v>
      </c>
      <c r="F276" s="45"/>
      <c r="G276" s="45" t="n">
        <v>720</v>
      </c>
      <c r="H276" s="45"/>
      <c r="I276" s="45"/>
    </row>
    <row r="277" customFormat="false" ht="15" hidden="false" customHeight="false" outlineLevel="0" collapsed="false">
      <c r="A277" s="45" t="s">
        <v>703</v>
      </c>
      <c r="B277" s="45" t="s">
        <v>698</v>
      </c>
      <c r="C277" s="45" t="s">
        <v>297</v>
      </c>
      <c r="D277" s="45" t="s">
        <v>843</v>
      </c>
      <c r="E277" s="45" t="n">
        <v>45.75</v>
      </c>
      <c r="F277" s="45" t="n">
        <v>100</v>
      </c>
      <c r="G277" s="45"/>
      <c r="H277" s="45"/>
      <c r="I277" s="45"/>
    </row>
    <row r="278" customFormat="false" ht="15" hidden="false" customHeight="false" outlineLevel="0" collapsed="false">
      <c r="A278" s="45" t="s">
        <v>704</v>
      </c>
      <c r="B278" s="45" t="s">
        <v>705</v>
      </c>
      <c r="C278" s="45" t="s">
        <v>274</v>
      </c>
      <c r="D278" s="45" t="s">
        <v>843</v>
      </c>
      <c r="E278" s="45" t="n">
        <v>35</v>
      </c>
      <c r="F278" s="45" t="n">
        <v>16</v>
      </c>
      <c r="G278" s="45" t="n">
        <v>170</v>
      </c>
      <c r="H278" s="45"/>
      <c r="I278" s="45"/>
    </row>
    <row r="279" customFormat="false" ht="15" hidden="false" customHeight="false" outlineLevel="0" collapsed="false">
      <c r="A279" s="45" t="s">
        <v>704</v>
      </c>
      <c r="B279" s="45" t="s">
        <v>705</v>
      </c>
      <c r="C279" s="45" t="s">
        <v>340</v>
      </c>
      <c r="D279" s="45" t="s">
        <v>843</v>
      </c>
      <c r="E279" s="45" t="n">
        <v>80.25</v>
      </c>
      <c r="F279" s="45"/>
      <c r="G279" s="45"/>
      <c r="H279" s="45"/>
      <c r="I279" s="45"/>
    </row>
    <row r="280" customFormat="false" ht="15" hidden="false" customHeight="false" outlineLevel="0" collapsed="false">
      <c r="A280" s="45" t="s">
        <v>707</v>
      </c>
      <c r="B280" s="45" t="s">
        <v>705</v>
      </c>
      <c r="C280" s="45" t="s">
        <v>330</v>
      </c>
      <c r="D280" s="45" t="s">
        <v>843</v>
      </c>
      <c r="E280" s="45" t="n">
        <v>44.25</v>
      </c>
      <c r="F280" s="45" t="n">
        <v>4</v>
      </c>
      <c r="G280" s="45" t="n">
        <v>35</v>
      </c>
      <c r="H280" s="45"/>
      <c r="I280" s="4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5A8"/>
    <pageSetUpPr fitToPage="false"/>
  </sheetPr>
  <dimension ref="A1:J2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1" width="16"/>
    <col collapsed="false" customWidth="true" hidden="false" outlineLevel="0" max="3" min="3" style="1" width="34"/>
    <col collapsed="false" customWidth="true" hidden="false" outlineLevel="0" max="4" min="4" style="1" width="30"/>
    <col collapsed="false" customWidth="true" hidden="false" outlineLevel="0" max="9" min="5" style="1" width="16"/>
    <col collapsed="false" customWidth="true" hidden="false" outlineLevel="0" max="10" min="10" style="1" width="26"/>
  </cols>
  <sheetData>
    <row r="1" customFormat="false" ht="15" hidden="false" customHeight="false" outlineLevel="0" collapsed="false">
      <c r="A1" s="15" t="s">
        <v>844</v>
      </c>
    </row>
    <row r="2" customFormat="false" ht="15" hidden="false" customHeight="false" outlineLevel="0" collapsed="false">
      <c r="A2" s="44" t="s">
        <v>845</v>
      </c>
      <c r="B2" s="44" t="s">
        <v>494</v>
      </c>
      <c r="C2" s="44" t="s">
        <v>495</v>
      </c>
      <c r="D2" s="44" t="s">
        <v>241</v>
      </c>
      <c r="E2" s="44" t="s">
        <v>846</v>
      </c>
      <c r="F2" s="44" t="s">
        <v>847</v>
      </c>
      <c r="G2" s="44" t="s">
        <v>848</v>
      </c>
      <c r="H2" s="44" t="s">
        <v>236</v>
      </c>
      <c r="I2" s="44" t="s">
        <v>849</v>
      </c>
      <c r="J2" s="44" t="s">
        <v>248</v>
      </c>
    </row>
    <row r="3" customFormat="false" ht="15" hidden="false" customHeight="false" outlineLevel="0" collapsed="false">
      <c r="A3" s="45" t="s">
        <v>850</v>
      </c>
      <c r="B3" s="45" t="s">
        <v>851</v>
      </c>
      <c r="C3" s="45" t="s">
        <v>852</v>
      </c>
      <c r="D3" s="45" t="s">
        <v>853</v>
      </c>
      <c r="E3" s="45" t="s">
        <v>545</v>
      </c>
      <c r="F3" s="45" t="n">
        <v>4.25</v>
      </c>
      <c r="G3" s="45" t="n">
        <v>63</v>
      </c>
      <c r="H3" s="45" t="n">
        <v>40</v>
      </c>
      <c r="I3" s="45"/>
      <c r="J3" s="45"/>
    </row>
    <row r="4" customFormat="false" ht="15" hidden="false" customHeight="false" outlineLevel="0" collapsed="false">
      <c r="A4" s="45" t="s">
        <v>854</v>
      </c>
      <c r="B4" s="45" t="s">
        <v>855</v>
      </c>
      <c r="C4" s="45" t="s">
        <v>856</v>
      </c>
      <c r="D4" s="45" t="s">
        <v>857</v>
      </c>
      <c r="E4" s="45" t="s">
        <v>348</v>
      </c>
      <c r="F4" s="45" t="n">
        <v>2.25</v>
      </c>
      <c r="G4" s="45" t="n">
        <v>14</v>
      </c>
      <c r="H4" s="45" t="n">
        <v>35</v>
      </c>
      <c r="I4" s="45"/>
      <c r="J4" s="45"/>
    </row>
    <row r="5" customFormat="false" ht="15" hidden="false" customHeight="false" outlineLevel="0" collapsed="false">
      <c r="A5" s="45" t="s">
        <v>854</v>
      </c>
      <c r="B5" s="46" t="n">
        <v>45860</v>
      </c>
      <c r="C5" s="45" t="s">
        <v>856</v>
      </c>
      <c r="D5" s="45" t="s">
        <v>857</v>
      </c>
      <c r="E5" s="45" t="s">
        <v>393</v>
      </c>
      <c r="F5" s="45" t="n">
        <v>1.75</v>
      </c>
      <c r="G5" s="45"/>
      <c r="H5" s="45"/>
      <c r="I5" s="45"/>
      <c r="J5" s="45"/>
    </row>
    <row r="6" customFormat="false" ht="15" hidden="false" customHeight="false" outlineLevel="0" collapsed="false">
      <c r="A6" s="45" t="s">
        <v>854</v>
      </c>
      <c r="B6" s="46" t="n">
        <v>45863</v>
      </c>
      <c r="C6" s="45" t="s">
        <v>858</v>
      </c>
      <c r="D6" s="45" t="s">
        <v>859</v>
      </c>
      <c r="E6" s="45" t="s">
        <v>292</v>
      </c>
      <c r="F6" s="45" t="n">
        <v>2.25</v>
      </c>
      <c r="G6" s="45"/>
      <c r="H6" s="45"/>
      <c r="I6" s="45"/>
      <c r="J6" s="45"/>
    </row>
    <row r="7" customFormat="false" ht="15" hidden="false" customHeight="false" outlineLevel="0" collapsed="false">
      <c r="A7" s="45" t="s">
        <v>854</v>
      </c>
      <c r="B7" s="45" t="s">
        <v>860</v>
      </c>
      <c r="C7" s="45" t="s">
        <v>858</v>
      </c>
      <c r="D7" s="45" t="s">
        <v>859</v>
      </c>
      <c r="E7" s="45" t="s">
        <v>321</v>
      </c>
      <c r="F7" s="45" t="n">
        <v>2</v>
      </c>
      <c r="G7" s="45"/>
      <c r="H7" s="45" t="n">
        <v>50</v>
      </c>
      <c r="I7" s="45"/>
      <c r="J7" s="45"/>
    </row>
    <row r="8" customFormat="false" ht="15" hidden="false" customHeight="false" outlineLevel="0" collapsed="false">
      <c r="A8" s="45" t="s">
        <v>854</v>
      </c>
      <c r="B8" s="45" t="s">
        <v>861</v>
      </c>
      <c r="C8" s="45" t="s">
        <v>862</v>
      </c>
      <c r="D8" s="45" t="s">
        <v>859</v>
      </c>
      <c r="E8" s="45" t="s">
        <v>421</v>
      </c>
      <c r="F8" s="45" t="n">
        <v>3.25</v>
      </c>
      <c r="G8" s="45"/>
      <c r="H8" s="45"/>
      <c r="I8" s="45"/>
      <c r="J8" s="45"/>
    </row>
    <row r="9" customFormat="false" ht="15" hidden="false" customHeight="false" outlineLevel="0" collapsed="false">
      <c r="A9" s="45" t="s">
        <v>854</v>
      </c>
      <c r="B9" s="46" t="n">
        <v>45867</v>
      </c>
      <c r="C9" s="45" t="s">
        <v>862</v>
      </c>
      <c r="D9" s="45" t="s">
        <v>859</v>
      </c>
      <c r="E9" s="45" t="s">
        <v>455</v>
      </c>
      <c r="F9" s="45" t="n">
        <v>7.25</v>
      </c>
      <c r="G9" s="45" t="n">
        <v>18</v>
      </c>
      <c r="H9" s="45" t="n">
        <v>895</v>
      </c>
      <c r="I9" s="45"/>
      <c r="J9" s="45"/>
    </row>
    <row r="10" customFormat="false" ht="15" hidden="false" customHeight="false" outlineLevel="0" collapsed="false">
      <c r="A10" s="45" t="s">
        <v>854</v>
      </c>
      <c r="B10" s="45" t="s">
        <v>863</v>
      </c>
      <c r="C10" s="45" t="s">
        <v>864</v>
      </c>
      <c r="D10" s="45" t="s">
        <v>853</v>
      </c>
      <c r="E10" s="45" t="s">
        <v>478</v>
      </c>
      <c r="F10" s="45" t="n">
        <v>59.25</v>
      </c>
      <c r="G10" s="45"/>
      <c r="H10" s="45"/>
      <c r="I10" s="45"/>
      <c r="J10" s="45"/>
    </row>
    <row r="11" customFormat="false" ht="15" hidden="false" customHeight="false" outlineLevel="0" collapsed="false">
      <c r="A11" s="45" t="s">
        <v>854</v>
      </c>
      <c r="B11" s="45" t="s">
        <v>863</v>
      </c>
      <c r="C11" s="45" t="s">
        <v>864</v>
      </c>
      <c r="D11" s="45" t="s">
        <v>853</v>
      </c>
      <c r="E11" s="45" t="s">
        <v>865</v>
      </c>
      <c r="F11" s="45" t="n">
        <v>72</v>
      </c>
      <c r="G11" s="45"/>
      <c r="H11" s="45"/>
      <c r="I11" s="45"/>
      <c r="J11" s="45"/>
    </row>
    <row r="12" customFormat="false" ht="15" hidden="false" customHeight="false" outlineLevel="0" collapsed="false">
      <c r="A12" s="45" t="s">
        <v>854</v>
      </c>
      <c r="B12" s="46" t="n">
        <v>45869</v>
      </c>
      <c r="C12" s="45" t="s">
        <v>864</v>
      </c>
      <c r="D12" s="45" t="s">
        <v>853</v>
      </c>
      <c r="E12" s="45" t="s">
        <v>723</v>
      </c>
      <c r="F12" s="45" t="n">
        <v>68</v>
      </c>
      <c r="G12" s="45" t="n">
        <v>213</v>
      </c>
      <c r="H12" s="45" t="n">
        <v>5025</v>
      </c>
      <c r="I12" s="45"/>
      <c r="J12" s="45"/>
    </row>
    <row r="13" customFormat="false" ht="15" hidden="false" customHeight="false" outlineLevel="0" collapsed="false">
      <c r="A13" s="45" t="s">
        <v>854</v>
      </c>
      <c r="B13" s="46" t="n">
        <v>45869</v>
      </c>
      <c r="C13" s="45" t="s">
        <v>866</v>
      </c>
      <c r="D13" s="45" t="s">
        <v>857</v>
      </c>
      <c r="E13" s="45" t="s">
        <v>478</v>
      </c>
      <c r="F13" s="45" t="n">
        <v>251.25</v>
      </c>
      <c r="G13" s="45" t="n">
        <v>263</v>
      </c>
      <c r="H13" s="45" t="n">
        <v>650</v>
      </c>
      <c r="I13" s="45"/>
      <c r="J13" s="45"/>
    </row>
    <row r="14" customFormat="false" ht="15" hidden="false" customHeight="false" outlineLevel="0" collapsed="false">
      <c r="A14" s="45" t="s">
        <v>854</v>
      </c>
      <c r="B14" s="45" t="s">
        <v>867</v>
      </c>
      <c r="C14" s="45" t="s">
        <v>866</v>
      </c>
      <c r="D14" s="45" t="s">
        <v>857</v>
      </c>
      <c r="E14" s="45" t="s">
        <v>329</v>
      </c>
      <c r="F14" s="45" t="n">
        <v>105.25</v>
      </c>
      <c r="G14" s="45"/>
      <c r="H14" s="45"/>
      <c r="I14" s="45"/>
      <c r="J14" s="45"/>
    </row>
    <row r="15" customFormat="false" ht="15" hidden="false" customHeight="false" outlineLevel="0" collapsed="false">
      <c r="A15" s="45" t="s">
        <v>854</v>
      </c>
      <c r="B15" s="46" t="n">
        <v>45869</v>
      </c>
      <c r="C15" s="45" t="s">
        <v>868</v>
      </c>
      <c r="D15" s="45" t="s">
        <v>857</v>
      </c>
      <c r="E15" s="45" t="s">
        <v>324</v>
      </c>
      <c r="F15" s="45" t="n">
        <v>30</v>
      </c>
      <c r="G15" s="45"/>
      <c r="H15" s="45"/>
      <c r="I15" s="45"/>
      <c r="J15" s="45"/>
    </row>
    <row r="16" customFormat="false" ht="15" hidden="false" customHeight="false" outlineLevel="0" collapsed="false">
      <c r="A16" s="45" t="s">
        <v>854</v>
      </c>
      <c r="B16" s="45" t="s">
        <v>867</v>
      </c>
      <c r="C16" s="45" t="s">
        <v>868</v>
      </c>
      <c r="D16" s="45" t="s">
        <v>857</v>
      </c>
      <c r="E16" s="45" t="s">
        <v>268</v>
      </c>
      <c r="F16" s="45" t="n">
        <v>17.5</v>
      </c>
      <c r="G16" s="45" t="n">
        <v>134</v>
      </c>
      <c r="H16" s="45" t="n">
        <v>9825</v>
      </c>
      <c r="I16" s="45" t="n">
        <v>3165</v>
      </c>
      <c r="J16" s="45"/>
    </row>
    <row r="17" customFormat="false" ht="15" hidden="false" customHeight="false" outlineLevel="0" collapsed="false">
      <c r="A17" s="45" t="s">
        <v>854</v>
      </c>
      <c r="B17" s="46" t="n">
        <v>45869</v>
      </c>
      <c r="C17" s="45" t="s">
        <v>869</v>
      </c>
      <c r="D17" s="45" t="s">
        <v>870</v>
      </c>
      <c r="E17" s="45" t="s">
        <v>702</v>
      </c>
      <c r="F17" s="45" t="n">
        <v>22.25</v>
      </c>
      <c r="G17" s="45"/>
      <c r="H17" s="45"/>
      <c r="I17" s="45"/>
      <c r="J17" s="45"/>
    </row>
    <row r="18" customFormat="false" ht="15" hidden="false" customHeight="false" outlineLevel="0" collapsed="false">
      <c r="A18" s="45" t="s">
        <v>854</v>
      </c>
      <c r="B18" s="45" t="s">
        <v>867</v>
      </c>
      <c r="C18" s="45" t="s">
        <v>869</v>
      </c>
      <c r="D18" s="45" t="s">
        <v>870</v>
      </c>
      <c r="E18" s="45" t="s">
        <v>292</v>
      </c>
      <c r="F18" s="45" t="n">
        <v>50.5</v>
      </c>
      <c r="G18" s="45"/>
      <c r="H18" s="45" t="n">
        <v>210</v>
      </c>
      <c r="I18" s="45"/>
      <c r="J18" s="45"/>
    </row>
    <row r="19" customFormat="false" ht="15" hidden="false" customHeight="false" outlineLevel="0" collapsed="false">
      <c r="A19" s="45" t="s">
        <v>854</v>
      </c>
      <c r="B19" s="45" t="s">
        <v>867</v>
      </c>
      <c r="C19" s="45" t="s">
        <v>871</v>
      </c>
      <c r="D19" s="45" t="s">
        <v>853</v>
      </c>
      <c r="E19" s="45" t="s">
        <v>532</v>
      </c>
      <c r="F19" s="45" t="n">
        <v>61.25</v>
      </c>
      <c r="G19" s="45" t="n">
        <v>55</v>
      </c>
      <c r="H19" s="45" t="n">
        <v>590</v>
      </c>
      <c r="I19" s="45"/>
      <c r="J19" s="45"/>
    </row>
    <row r="20" customFormat="false" ht="15" hidden="false" customHeight="false" outlineLevel="0" collapsed="false">
      <c r="A20" s="45" t="s">
        <v>854</v>
      </c>
      <c r="B20" s="46" t="n">
        <v>45869</v>
      </c>
      <c r="C20" s="45" t="s">
        <v>872</v>
      </c>
      <c r="D20" s="45" t="s">
        <v>873</v>
      </c>
      <c r="E20" s="45" t="s">
        <v>421</v>
      </c>
      <c r="F20" s="45" t="n">
        <v>35.5</v>
      </c>
      <c r="G20" s="45" t="n">
        <v>11</v>
      </c>
      <c r="H20" s="45" t="n">
        <v>245</v>
      </c>
      <c r="I20" s="45"/>
      <c r="J20" s="45"/>
    </row>
    <row r="21" customFormat="false" ht="15" hidden="false" customHeight="false" outlineLevel="0" collapsed="false">
      <c r="A21" s="45" t="s">
        <v>854</v>
      </c>
      <c r="B21" s="46" t="n">
        <v>45869</v>
      </c>
      <c r="C21" s="45" t="s">
        <v>872</v>
      </c>
      <c r="D21" s="45" t="s">
        <v>873</v>
      </c>
      <c r="E21" s="45" t="s">
        <v>340</v>
      </c>
      <c r="F21" s="45" t="n">
        <v>51.75</v>
      </c>
      <c r="G21" s="45"/>
      <c r="H21" s="45"/>
      <c r="I21" s="45"/>
      <c r="J21" s="45"/>
    </row>
    <row r="22" customFormat="false" ht="15" hidden="false" customHeight="false" outlineLevel="0" collapsed="false">
      <c r="A22" s="45" t="s">
        <v>854</v>
      </c>
      <c r="B22" s="46" t="n">
        <v>45869</v>
      </c>
      <c r="C22" s="45" t="s">
        <v>874</v>
      </c>
      <c r="D22" s="45" t="s">
        <v>873</v>
      </c>
      <c r="E22" s="45" t="s">
        <v>456</v>
      </c>
      <c r="F22" s="45" t="n">
        <v>52.5</v>
      </c>
      <c r="G22" s="45" t="n">
        <v>4</v>
      </c>
      <c r="H22" s="45" t="n">
        <v>5</v>
      </c>
      <c r="I22" s="45"/>
      <c r="J22" s="45"/>
    </row>
    <row r="23" customFormat="false" ht="15" hidden="false" customHeight="false" outlineLevel="0" collapsed="false">
      <c r="A23" s="45" t="s">
        <v>854</v>
      </c>
      <c r="B23" s="46" t="n">
        <v>45869</v>
      </c>
      <c r="C23" s="45" t="s">
        <v>875</v>
      </c>
      <c r="D23" s="45" t="s">
        <v>876</v>
      </c>
      <c r="E23" s="45" t="s">
        <v>293</v>
      </c>
      <c r="F23" s="45" t="n">
        <v>7.25</v>
      </c>
      <c r="G23" s="45"/>
      <c r="H23" s="45"/>
      <c r="I23" s="45"/>
      <c r="J23" s="45"/>
    </row>
    <row r="24" customFormat="false" ht="15" hidden="false" customHeight="false" outlineLevel="0" collapsed="false">
      <c r="A24" s="45" t="s">
        <v>854</v>
      </c>
      <c r="B24" s="46" t="n">
        <v>45869</v>
      </c>
      <c r="C24" s="45" t="s">
        <v>875</v>
      </c>
      <c r="D24" s="45" t="s">
        <v>876</v>
      </c>
      <c r="E24" s="45" t="s">
        <v>877</v>
      </c>
      <c r="F24" s="45" t="n">
        <v>47</v>
      </c>
      <c r="G24" s="45" t="n">
        <v>15</v>
      </c>
      <c r="H24" s="45" t="n">
        <v>1500</v>
      </c>
      <c r="I24" s="45" t="n">
        <v>4685</v>
      </c>
      <c r="J24" s="45"/>
    </row>
    <row r="25" customFormat="false" ht="15" hidden="false" customHeight="false" outlineLevel="0" collapsed="false">
      <c r="A25" s="45" t="s">
        <v>854</v>
      </c>
      <c r="B25" s="45" t="s">
        <v>878</v>
      </c>
      <c r="C25" s="45" t="s">
        <v>856</v>
      </c>
      <c r="D25" s="45" t="s">
        <v>857</v>
      </c>
      <c r="E25" s="45" t="s">
        <v>345</v>
      </c>
      <c r="F25" s="45" t="s">
        <v>879</v>
      </c>
      <c r="G25" s="45" t="n">
        <v>10</v>
      </c>
      <c r="H25" s="45" t="n">
        <v>20</v>
      </c>
      <c r="I25" s="45"/>
      <c r="J25" s="45"/>
    </row>
    <row r="26" customFormat="false" ht="15" hidden="false" customHeight="false" outlineLevel="0" collapsed="false">
      <c r="A26" s="45" t="s">
        <v>854</v>
      </c>
      <c r="B26" s="46" t="n">
        <v>45871</v>
      </c>
      <c r="C26" s="45" t="s">
        <v>856</v>
      </c>
      <c r="D26" s="45" t="s">
        <v>857</v>
      </c>
      <c r="E26" s="45" t="s">
        <v>880</v>
      </c>
      <c r="F26" s="45" t="n">
        <v>1.75</v>
      </c>
      <c r="G26" s="45"/>
      <c r="H26" s="45"/>
      <c r="I26" s="45"/>
      <c r="J26" s="45"/>
    </row>
    <row r="27" customFormat="false" ht="15" hidden="false" customHeight="false" outlineLevel="0" collapsed="false">
      <c r="A27" s="45" t="s">
        <v>854</v>
      </c>
      <c r="B27" s="46" t="n">
        <v>45873</v>
      </c>
      <c r="C27" s="45" t="s">
        <v>881</v>
      </c>
      <c r="D27" s="45" t="s">
        <v>882</v>
      </c>
      <c r="E27" s="45" t="s">
        <v>356</v>
      </c>
      <c r="F27" s="45" t="n">
        <v>3.5</v>
      </c>
      <c r="G27" s="45" t="n">
        <v>30</v>
      </c>
      <c r="H27" s="45" t="n">
        <v>900</v>
      </c>
      <c r="I27" s="45" t="n">
        <v>205</v>
      </c>
      <c r="J27" s="45"/>
    </row>
    <row r="28" customFormat="false" ht="15" hidden="false" customHeight="false" outlineLevel="0" collapsed="false">
      <c r="A28" s="45" t="s">
        <v>854</v>
      </c>
      <c r="B28" s="46" t="n">
        <v>45873</v>
      </c>
      <c r="C28" s="45" t="s">
        <v>881</v>
      </c>
      <c r="D28" s="45" t="s">
        <v>882</v>
      </c>
      <c r="E28" s="45" t="s">
        <v>568</v>
      </c>
      <c r="F28" s="45" t="n">
        <v>3.25</v>
      </c>
      <c r="G28" s="45"/>
      <c r="H28" s="45"/>
      <c r="I28" s="45"/>
      <c r="J28" s="45"/>
    </row>
    <row r="29" customFormat="false" ht="15" hidden="false" customHeight="false" outlineLevel="0" collapsed="false">
      <c r="A29" s="45" t="s">
        <v>854</v>
      </c>
      <c r="B29" s="45" t="s">
        <v>883</v>
      </c>
      <c r="C29" s="45" t="s">
        <v>884</v>
      </c>
      <c r="D29" s="45" t="s">
        <v>882</v>
      </c>
      <c r="E29" s="45" t="s">
        <v>272</v>
      </c>
      <c r="F29" s="45" t="n">
        <v>2.75</v>
      </c>
      <c r="G29" s="45" t="n">
        <v>10</v>
      </c>
      <c r="H29" s="45" t="n">
        <v>170</v>
      </c>
      <c r="I29" s="45"/>
      <c r="J29" s="45"/>
    </row>
    <row r="30" customFormat="false" ht="15" hidden="false" customHeight="false" outlineLevel="0" collapsed="false">
      <c r="A30" s="45" t="s">
        <v>854</v>
      </c>
      <c r="B30" s="45" t="s">
        <v>883</v>
      </c>
      <c r="C30" s="45" t="s">
        <v>884</v>
      </c>
      <c r="D30" s="45" t="s">
        <v>882</v>
      </c>
      <c r="E30" s="45" t="s">
        <v>411</v>
      </c>
      <c r="F30" s="45" t="n">
        <v>1.5</v>
      </c>
      <c r="G30" s="45"/>
      <c r="H30" s="45"/>
      <c r="I30" s="45"/>
      <c r="J30" s="45"/>
    </row>
    <row r="31" customFormat="false" ht="15" hidden="false" customHeight="false" outlineLevel="0" collapsed="false">
      <c r="A31" s="45" t="s">
        <v>854</v>
      </c>
      <c r="B31" s="46" t="n">
        <v>45882</v>
      </c>
      <c r="C31" s="45" t="s">
        <v>856</v>
      </c>
      <c r="D31" s="45" t="s">
        <v>857</v>
      </c>
      <c r="E31" s="45" t="s">
        <v>348</v>
      </c>
      <c r="F31" s="45" t="n">
        <v>2</v>
      </c>
      <c r="G31" s="45" t="n">
        <v>10</v>
      </c>
      <c r="H31" s="45" t="n">
        <v>40</v>
      </c>
      <c r="I31" s="45"/>
      <c r="J31" s="45"/>
    </row>
    <row r="32" customFormat="false" ht="15" hidden="false" customHeight="false" outlineLevel="0" collapsed="false">
      <c r="A32" s="45" t="s">
        <v>854</v>
      </c>
      <c r="B32" s="45" t="s">
        <v>885</v>
      </c>
      <c r="C32" s="45" t="s">
        <v>856</v>
      </c>
      <c r="D32" s="45" t="s">
        <v>857</v>
      </c>
      <c r="E32" s="45" t="s">
        <v>323</v>
      </c>
      <c r="F32" s="45" t="n">
        <v>1.5</v>
      </c>
      <c r="G32" s="45"/>
      <c r="H32" s="45"/>
      <c r="I32" s="45"/>
      <c r="J32" s="45"/>
    </row>
    <row r="33" customFormat="false" ht="15" hidden="false" customHeight="false" outlineLevel="0" collapsed="false">
      <c r="A33" s="45" t="s">
        <v>854</v>
      </c>
      <c r="B33" s="46" t="n">
        <v>45882</v>
      </c>
      <c r="C33" s="45" t="s">
        <v>886</v>
      </c>
      <c r="D33" s="45" t="s">
        <v>853</v>
      </c>
      <c r="E33" s="45" t="s">
        <v>396</v>
      </c>
      <c r="F33" s="45" t="n">
        <v>4</v>
      </c>
      <c r="G33" s="45"/>
      <c r="H33" s="45"/>
      <c r="I33" s="45"/>
      <c r="J33" s="45"/>
    </row>
    <row r="34" customFormat="false" ht="15" hidden="false" customHeight="false" outlineLevel="0" collapsed="false">
      <c r="A34" s="45" t="s">
        <v>854</v>
      </c>
      <c r="B34" s="45" t="s">
        <v>887</v>
      </c>
      <c r="C34" s="45" t="s">
        <v>886</v>
      </c>
      <c r="D34" s="45" t="s">
        <v>853</v>
      </c>
      <c r="E34" s="45" t="s">
        <v>414</v>
      </c>
      <c r="F34" s="45" t="n">
        <v>4.5</v>
      </c>
      <c r="G34" s="45"/>
      <c r="H34" s="45"/>
      <c r="I34" s="45"/>
      <c r="J34" s="45"/>
    </row>
    <row r="35" customFormat="false" ht="15" hidden="false" customHeight="false" outlineLevel="0" collapsed="false">
      <c r="A35" s="45" t="s">
        <v>854</v>
      </c>
      <c r="B35" s="45" t="s">
        <v>885</v>
      </c>
      <c r="C35" s="45" t="s">
        <v>886</v>
      </c>
      <c r="D35" s="45" t="s">
        <v>853</v>
      </c>
      <c r="E35" s="45" t="s">
        <v>336</v>
      </c>
      <c r="F35" s="45" t="n">
        <v>5</v>
      </c>
      <c r="G35" s="45" t="n">
        <v>59</v>
      </c>
      <c r="H35" s="45" t="n">
        <v>310</v>
      </c>
      <c r="I35" s="45"/>
      <c r="J35" s="45"/>
    </row>
    <row r="36" customFormat="false" ht="15" hidden="false" customHeight="false" outlineLevel="0" collapsed="false">
      <c r="A36" s="45" t="s">
        <v>854</v>
      </c>
      <c r="B36" s="46" t="n">
        <v>45890</v>
      </c>
      <c r="C36" s="45" t="s">
        <v>852</v>
      </c>
      <c r="D36" s="45" t="s">
        <v>853</v>
      </c>
      <c r="E36" s="45" t="s">
        <v>280</v>
      </c>
      <c r="F36" s="45" t="n">
        <v>4</v>
      </c>
      <c r="G36" s="45" t="n">
        <v>25</v>
      </c>
      <c r="H36" s="45" t="n">
        <v>80</v>
      </c>
      <c r="I36" s="45"/>
      <c r="J36" s="45"/>
    </row>
    <row r="37" customFormat="false" ht="15" hidden="false" customHeight="false" outlineLevel="0" collapsed="false">
      <c r="A37" s="45" t="s">
        <v>854</v>
      </c>
      <c r="B37" s="45" t="s">
        <v>888</v>
      </c>
      <c r="C37" s="45" t="s">
        <v>881</v>
      </c>
      <c r="D37" s="45" t="s">
        <v>882</v>
      </c>
      <c r="E37" s="45" t="s">
        <v>356</v>
      </c>
      <c r="F37" s="45" t="n">
        <v>3.5</v>
      </c>
      <c r="G37" s="45" t="n">
        <v>26</v>
      </c>
      <c r="H37" s="45" t="n">
        <v>875</v>
      </c>
      <c r="I37" s="45" t="n">
        <v>355</v>
      </c>
      <c r="J37" s="45"/>
    </row>
    <row r="38" customFormat="false" ht="15" hidden="false" customHeight="false" outlineLevel="0" collapsed="false">
      <c r="A38" s="45" t="s">
        <v>854</v>
      </c>
      <c r="B38" s="45" t="s">
        <v>889</v>
      </c>
      <c r="C38" s="45" t="s">
        <v>881</v>
      </c>
      <c r="D38" s="45" t="s">
        <v>882</v>
      </c>
      <c r="E38" s="45" t="s">
        <v>327</v>
      </c>
      <c r="F38" s="45" t="n">
        <v>4</v>
      </c>
      <c r="G38" s="45"/>
      <c r="H38" s="45"/>
      <c r="I38" s="45"/>
      <c r="J38" s="45"/>
    </row>
    <row r="39" customFormat="false" ht="15" hidden="false" customHeight="false" outlineLevel="0" collapsed="false">
      <c r="A39" s="45" t="s">
        <v>854</v>
      </c>
      <c r="B39" s="45" t="s">
        <v>890</v>
      </c>
      <c r="C39" s="45" t="s">
        <v>891</v>
      </c>
      <c r="D39" s="45" t="s">
        <v>882</v>
      </c>
      <c r="E39" s="45" t="s">
        <v>251</v>
      </c>
      <c r="F39" s="45" t="n">
        <v>2.75</v>
      </c>
      <c r="G39" s="45"/>
      <c r="H39" s="45"/>
      <c r="I39" s="45"/>
      <c r="J39" s="45"/>
    </row>
    <row r="40" customFormat="false" ht="15" hidden="false" customHeight="false" outlineLevel="0" collapsed="false">
      <c r="A40" s="45" t="s">
        <v>854</v>
      </c>
      <c r="B40" s="46" t="n">
        <v>45899</v>
      </c>
      <c r="C40" s="45" t="s">
        <v>891</v>
      </c>
      <c r="D40" s="45" t="s">
        <v>882</v>
      </c>
      <c r="E40" s="45" t="s">
        <v>283</v>
      </c>
      <c r="F40" s="45" t="n">
        <v>2</v>
      </c>
      <c r="G40" s="45" t="n">
        <v>36</v>
      </c>
      <c r="H40" s="45" t="n">
        <v>1005</v>
      </c>
      <c r="I40" s="45" t="n">
        <v>565</v>
      </c>
      <c r="J40" s="45"/>
    </row>
    <row r="41" customFormat="false" ht="15" hidden="false" customHeight="false" outlineLevel="0" collapsed="false">
      <c r="A41" s="45" t="s">
        <v>854</v>
      </c>
      <c r="B41" s="45" t="s">
        <v>892</v>
      </c>
      <c r="C41" s="45" t="s">
        <v>864</v>
      </c>
      <c r="D41" s="45" t="s">
        <v>853</v>
      </c>
      <c r="E41" s="45" t="s">
        <v>286</v>
      </c>
      <c r="F41" s="45" t="n">
        <v>70.25</v>
      </c>
      <c r="G41" s="45"/>
      <c r="H41" s="45"/>
      <c r="I41" s="45"/>
      <c r="J41" s="45"/>
    </row>
    <row r="42" customFormat="false" ht="15" hidden="false" customHeight="false" outlineLevel="0" collapsed="false">
      <c r="A42" s="45" t="s">
        <v>854</v>
      </c>
      <c r="B42" s="45" t="s">
        <v>892</v>
      </c>
      <c r="C42" s="45" t="s">
        <v>864</v>
      </c>
      <c r="D42" s="45" t="s">
        <v>853</v>
      </c>
      <c r="E42" s="45" t="s">
        <v>396</v>
      </c>
      <c r="F42" s="45" t="n">
        <v>69</v>
      </c>
      <c r="G42" s="45"/>
      <c r="H42" s="45"/>
      <c r="I42" s="45"/>
      <c r="J42" s="45"/>
    </row>
    <row r="43" customFormat="false" ht="15" hidden="false" customHeight="false" outlineLevel="0" collapsed="false">
      <c r="A43" s="45" t="s">
        <v>854</v>
      </c>
      <c r="B43" s="45" t="s">
        <v>892</v>
      </c>
      <c r="C43" s="45" t="s">
        <v>864</v>
      </c>
      <c r="D43" s="45" t="s">
        <v>853</v>
      </c>
      <c r="E43" s="45" t="s">
        <v>280</v>
      </c>
      <c r="F43" s="45" t="n">
        <v>73.75</v>
      </c>
      <c r="G43" s="45" t="n">
        <v>225</v>
      </c>
      <c r="H43" s="45" t="n">
        <v>5720</v>
      </c>
      <c r="I43" s="45"/>
      <c r="J43" s="45"/>
    </row>
    <row r="44" customFormat="false" ht="15" hidden="false" customHeight="false" outlineLevel="0" collapsed="false">
      <c r="A44" s="45" t="s">
        <v>854</v>
      </c>
      <c r="B44" s="45" t="s">
        <v>893</v>
      </c>
      <c r="C44" s="45" t="s">
        <v>866</v>
      </c>
      <c r="D44" s="45" t="s">
        <v>857</v>
      </c>
      <c r="E44" s="45" t="s">
        <v>286</v>
      </c>
      <c r="F44" s="45" t="n">
        <v>261</v>
      </c>
      <c r="G44" s="45" t="n">
        <v>352</v>
      </c>
      <c r="H44" s="45" t="n">
        <v>1630</v>
      </c>
      <c r="I44" s="45"/>
      <c r="J44" s="45"/>
    </row>
    <row r="45" customFormat="false" ht="15" hidden="false" customHeight="false" outlineLevel="0" collapsed="false">
      <c r="A45" s="45" t="s">
        <v>854</v>
      </c>
      <c r="B45" s="46" t="n">
        <v>45900</v>
      </c>
      <c r="C45" s="45" t="s">
        <v>866</v>
      </c>
      <c r="D45" s="45" t="s">
        <v>857</v>
      </c>
      <c r="E45" s="45" t="s">
        <v>289</v>
      </c>
      <c r="F45" s="45" t="n">
        <v>117.5</v>
      </c>
      <c r="G45" s="45"/>
      <c r="H45" s="45"/>
      <c r="I45" s="45"/>
      <c r="J45" s="45"/>
    </row>
    <row r="46" customFormat="false" ht="15" hidden="false" customHeight="false" outlineLevel="0" collapsed="false">
      <c r="A46" s="45" t="s">
        <v>854</v>
      </c>
      <c r="B46" s="46" t="n">
        <v>45900</v>
      </c>
      <c r="C46" s="45" t="s">
        <v>868</v>
      </c>
      <c r="D46" s="45" t="s">
        <v>857</v>
      </c>
      <c r="E46" s="45" t="s">
        <v>278</v>
      </c>
      <c r="F46" s="45" t="n">
        <v>31.5</v>
      </c>
      <c r="G46" s="45"/>
      <c r="H46" s="45"/>
      <c r="I46" s="45"/>
      <c r="J46" s="45"/>
    </row>
    <row r="47" customFormat="false" ht="15" hidden="false" customHeight="false" outlineLevel="0" collapsed="false">
      <c r="A47" s="45" t="s">
        <v>854</v>
      </c>
      <c r="B47" s="45" t="s">
        <v>892</v>
      </c>
      <c r="C47" s="45" t="s">
        <v>868</v>
      </c>
      <c r="D47" s="45" t="s">
        <v>857</v>
      </c>
      <c r="E47" s="45" t="s">
        <v>411</v>
      </c>
      <c r="F47" s="45" t="n">
        <v>16</v>
      </c>
      <c r="G47" s="45" t="n">
        <v>99</v>
      </c>
      <c r="H47" s="45" t="n">
        <v>8875</v>
      </c>
      <c r="I47" s="45" t="n">
        <v>3380</v>
      </c>
      <c r="J47" s="45"/>
    </row>
    <row r="48" customFormat="false" ht="15" hidden="false" customHeight="false" outlineLevel="0" collapsed="false">
      <c r="A48" s="45" t="s">
        <v>854</v>
      </c>
      <c r="B48" s="45" t="s">
        <v>893</v>
      </c>
      <c r="C48" s="45" t="s">
        <v>869</v>
      </c>
      <c r="D48" s="45" t="s">
        <v>870</v>
      </c>
      <c r="E48" s="45" t="s">
        <v>702</v>
      </c>
      <c r="F48" s="45" t="n">
        <v>30.75</v>
      </c>
      <c r="G48" s="45"/>
      <c r="H48" s="45"/>
      <c r="I48" s="45"/>
      <c r="J48" s="45"/>
    </row>
    <row r="49" customFormat="false" ht="15" hidden="false" customHeight="false" outlineLevel="0" collapsed="false">
      <c r="A49" s="45" t="s">
        <v>854</v>
      </c>
      <c r="B49" s="46" t="n">
        <v>45900</v>
      </c>
      <c r="C49" s="45" t="s">
        <v>869</v>
      </c>
      <c r="D49" s="45" t="s">
        <v>870</v>
      </c>
      <c r="E49" s="45" t="s">
        <v>894</v>
      </c>
      <c r="F49" s="45" t="n">
        <v>53.5</v>
      </c>
      <c r="G49" s="45"/>
      <c r="H49" s="45" t="n">
        <v>440</v>
      </c>
      <c r="I49" s="45"/>
      <c r="J49" s="45"/>
    </row>
    <row r="50" customFormat="false" ht="15" hidden="false" customHeight="false" outlineLevel="0" collapsed="false">
      <c r="A50" s="45" t="s">
        <v>854</v>
      </c>
      <c r="B50" s="45" t="s">
        <v>892</v>
      </c>
      <c r="C50" s="45" t="s">
        <v>871</v>
      </c>
      <c r="D50" s="45" t="s">
        <v>853</v>
      </c>
      <c r="E50" s="45" t="s">
        <v>561</v>
      </c>
      <c r="F50" s="45" t="n">
        <v>83.75</v>
      </c>
      <c r="G50" s="45" t="n">
        <v>34</v>
      </c>
      <c r="H50" s="45" t="n">
        <v>795</v>
      </c>
      <c r="I50" s="45"/>
      <c r="J50" s="45"/>
    </row>
    <row r="51" customFormat="false" ht="15" hidden="false" customHeight="false" outlineLevel="0" collapsed="false">
      <c r="A51" s="45" t="s">
        <v>854</v>
      </c>
      <c r="B51" s="45" t="s">
        <v>893</v>
      </c>
      <c r="C51" s="45" t="s">
        <v>872</v>
      </c>
      <c r="D51" s="45" t="s">
        <v>873</v>
      </c>
      <c r="E51" s="45" t="s">
        <v>895</v>
      </c>
      <c r="F51" s="45" t="n">
        <v>68.25</v>
      </c>
      <c r="G51" s="45" t="n">
        <v>26</v>
      </c>
      <c r="H51" s="45" t="n">
        <v>785</v>
      </c>
      <c r="I51" s="45"/>
      <c r="J51" s="45"/>
    </row>
    <row r="52" customFormat="false" ht="15" hidden="false" customHeight="false" outlineLevel="0" collapsed="false">
      <c r="A52" s="45" t="s">
        <v>854</v>
      </c>
      <c r="B52" s="45" t="s">
        <v>892</v>
      </c>
      <c r="C52" s="45" t="s">
        <v>872</v>
      </c>
      <c r="D52" s="45" t="s">
        <v>873</v>
      </c>
      <c r="E52" s="45" t="s">
        <v>301</v>
      </c>
      <c r="F52" s="45" t="n">
        <v>181</v>
      </c>
      <c r="G52" s="45"/>
      <c r="H52" s="45"/>
      <c r="I52" s="45"/>
      <c r="J52" s="45"/>
    </row>
    <row r="53" customFormat="false" ht="15" hidden="false" customHeight="false" outlineLevel="0" collapsed="false">
      <c r="A53" s="45" t="s">
        <v>854</v>
      </c>
      <c r="B53" s="45" t="s">
        <v>892</v>
      </c>
      <c r="C53" s="45" t="s">
        <v>874</v>
      </c>
      <c r="D53" s="45" t="s">
        <v>873</v>
      </c>
      <c r="E53" s="45" t="s">
        <v>571</v>
      </c>
      <c r="F53" s="45" t="n">
        <v>50.5</v>
      </c>
      <c r="G53" s="45" t="n">
        <v>5</v>
      </c>
      <c r="H53" s="45" t="n">
        <v>70</v>
      </c>
      <c r="I53" s="45"/>
      <c r="J53" s="45"/>
    </row>
    <row r="54" customFormat="false" ht="15" hidden="false" customHeight="false" outlineLevel="0" collapsed="false">
      <c r="A54" s="45" t="s">
        <v>854</v>
      </c>
      <c r="B54" s="45" t="s">
        <v>892</v>
      </c>
      <c r="C54" s="45" t="s">
        <v>875</v>
      </c>
      <c r="D54" s="45" t="s">
        <v>876</v>
      </c>
      <c r="E54" s="45" t="s">
        <v>896</v>
      </c>
      <c r="F54" s="45" t="n">
        <v>11.5</v>
      </c>
      <c r="G54" s="45"/>
      <c r="H54" s="45"/>
      <c r="I54" s="45"/>
      <c r="J54" s="45"/>
    </row>
    <row r="55" customFormat="false" ht="15" hidden="false" customHeight="false" outlineLevel="0" collapsed="false">
      <c r="A55" s="45" t="s">
        <v>854</v>
      </c>
      <c r="B55" s="45" t="s">
        <v>892</v>
      </c>
      <c r="C55" s="45" t="s">
        <v>875</v>
      </c>
      <c r="D55" s="45" t="s">
        <v>876</v>
      </c>
      <c r="E55" s="45" t="s">
        <v>897</v>
      </c>
      <c r="F55" s="45" t="n">
        <v>51.25</v>
      </c>
      <c r="G55" s="45" t="n">
        <v>12</v>
      </c>
      <c r="H55" s="45" t="n">
        <v>1165</v>
      </c>
      <c r="I55" s="45" t="n">
        <v>3505</v>
      </c>
      <c r="J55" s="45"/>
    </row>
    <row r="56" customFormat="false" ht="15" hidden="false" customHeight="false" outlineLevel="0" collapsed="false">
      <c r="A56" s="45" t="s">
        <v>854</v>
      </c>
      <c r="B56" s="45" t="s">
        <v>898</v>
      </c>
      <c r="C56" s="45" t="s">
        <v>858</v>
      </c>
      <c r="D56" s="45" t="s">
        <v>859</v>
      </c>
      <c r="E56" s="45" t="s">
        <v>292</v>
      </c>
      <c r="F56" s="45" t="n">
        <v>2</v>
      </c>
      <c r="G56" s="45"/>
      <c r="H56" s="45"/>
      <c r="I56" s="45"/>
      <c r="J56" s="45"/>
    </row>
    <row r="57" customFormat="false" ht="15" hidden="false" customHeight="false" outlineLevel="0" collapsed="false">
      <c r="A57" s="45" t="s">
        <v>854</v>
      </c>
      <c r="B57" s="45" t="s">
        <v>899</v>
      </c>
      <c r="C57" s="45" t="s">
        <v>858</v>
      </c>
      <c r="D57" s="45" t="s">
        <v>859</v>
      </c>
      <c r="E57" s="45" t="s">
        <v>477</v>
      </c>
      <c r="F57" s="45" t="n">
        <v>3</v>
      </c>
      <c r="G57" s="45"/>
      <c r="H57" s="45" t="n">
        <v>105</v>
      </c>
      <c r="I57" s="45"/>
      <c r="J57" s="45"/>
    </row>
    <row r="58" customFormat="false" ht="15" hidden="false" customHeight="false" outlineLevel="0" collapsed="false">
      <c r="A58" s="45" t="s">
        <v>854</v>
      </c>
      <c r="B58" s="45" t="s">
        <v>900</v>
      </c>
      <c r="C58" s="45" t="s">
        <v>858</v>
      </c>
      <c r="D58" s="45" t="s">
        <v>859</v>
      </c>
      <c r="E58" s="45" t="s">
        <v>894</v>
      </c>
      <c r="F58" s="45" t="s">
        <v>901</v>
      </c>
      <c r="G58" s="45"/>
      <c r="H58" s="45"/>
      <c r="I58" s="45"/>
      <c r="J58" s="45"/>
    </row>
    <row r="59" customFormat="false" ht="15" hidden="false" customHeight="false" outlineLevel="0" collapsed="false">
      <c r="A59" s="45" t="s">
        <v>854</v>
      </c>
      <c r="B59" s="45" t="s">
        <v>902</v>
      </c>
      <c r="C59" s="45" t="s">
        <v>858</v>
      </c>
      <c r="D59" s="45" t="s">
        <v>859</v>
      </c>
      <c r="E59" s="45" t="s">
        <v>903</v>
      </c>
      <c r="F59" s="45" t="n">
        <v>2.75</v>
      </c>
      <c r="G59" s="45"/>
      <c r="H59" s="45" t="n">
        <v>100</v>
      </c>
      <c r="I59" s="45"/>
      <c r="J59" s="45"/>
    </row>
    <row r="60" customFormat="false" ht="15" hidden="false" customHeight="false" outlineLevel="0" collapsed="false">
      <c r="A60" s="45" t="s">
        <v>854</v>
      </c>
      <c r="B60" s="46" t="n">
        <v>45917</v>
      </c>
      <c r="C60" s="45" t="s">
        <v>884</v>
      </c>
      <c r="D60" s="45" t="s">
        <v>882</v>
      </c>
      <c r="E60" s="45" t="s">
        <v>276</v>
      </c>
      <c r="F60" s="45" t="n">
        <v>2.5</v>
      </c>
      <c r="G60" s="45" t="n">
        <v>10</v>
      </c>
      <c r="H60" s="45" t="n">
        <v>95</v>
      </c>
      <c r="I60" s="45"/>
      <c r="J60" s="45"/>
    </row>
    <row r="61" customFormat="false" ht="15" hidden="false" customHeight="false" outlineLevel="0" collapsed="false">
      <c r="A61" s="45" t="s">
        <v>854</v>
      </c>
      <c r="B61" s="46" t="n">
        <v>45917</v>
      </c>
      <c r="C61" s="45" t="s">
        <v>884</v>
      </c>
      <c r="D61" s="45" t="s">
        <v>882</v>
      </c>
      <c r="E61" s="45" t="s">
        <v>904</v>
      </c>
      <c r="F61" s="45" t="n">
        <v>1.5</v>
      </c>
      <c r="G61" s="45"/>
      <c r="H61" s="45"/>
      <c r="I61" s="45"/>
      <c r="J61" s="45"/>
    </row>
    <row r="62" customFormat="false" ht="15" hidden="false" customHeight="false" outlineLevel="0" collapsed="false">
      <c r="A62" s="45" t="s">
        <v>854</v>
      </c>
      <c r="B62" s="46" t="n">
        <v>45917</v>
      </c>
      <c r="C62" s="45" t="s">
        <v>891</v>
      </c>
      <c r="D62" s="45" t="s">
        <v>882</v>
      </c>
      <c r="E62" s="45" t="s">
        <v>272</v>
      </c>
      <c r="F62" s="45" t="n">
        <v>2</v>
      </c>
      <c r="G62" s="45"/>
      <c r="H62" s="45"/>
      <c r="I62" s="45"/>
      <c r="J62" s="45"/>
    </row>
    <row r="63" customFormat="false" ht="15" hidden="false" customHeight="false" outlineLevel="0" collapsed="false">
      <c r="A63" s="45" t="s">
        <v>854</v>
      </c>
      <c r="B63" s="45" t="s">
        <v>905</v>
      </c>
      <c r="C63" s="45" t="s">
        <v>891</v>
      </c>
      <c r="D63" s="45" t="s">
        <v>882</v>
      </c>
      <c r="E63" s="45" t="s">
        <v>906</v>
      </c>
      <c r="F63" s="45" t="n">
        <v>2.5</v>
      </c>
      <c r="G63" s="45" t="n">
        <v>27</v>
      </c>
      <c r="H63" s="45" t="n">
        <v>1620</v>
      </c>
      <c r="I63" s="45" t="n">
        <v>745</v>
      </c>
      <c r="J63" s="45"/>
    </row>
    <row r="64" customFormat="false" ht="15" hidden="false" customHeight="false" outlineLevel="0" collapsed="false">
      <c r="A64" s="45" t="s">
        <v>854</v>
      </c>
      <c r="B64" s="45" t="s">
        <v>907</v>
      </c>
      <c r="C64" s="45" t="s">
        <v>884</v>
      </c>
      <c r="D64" s="45" t="s">
        <v>882</v>
      </c>
      <c r="E64" s="45" t="s">
        <v>272</v>
      </c>
      <c r="F64" s="45" t="n">
        <v>2.5</v>
      </c>
      <c r="G64" s="45" t="n">
        <v>9</v>
      </c>
      <c r="H64" s="45" t="n">
        <v>120</v>
      </c>
      <c r="I64" s="45"/>
      <c r="J64" s="45"/>
    </row>
    <row r="65" customFormat="false" ht="15" hidden="false" customHeight="false" outlineLevel="0" collapsed="false">
      <c r="A65" s="45" t="s">
        <v>854</v>
      </c>
      <c r="B65" s="45" t="s">
        <v>907</v>
      </c>
      <c r="C65" s="45" t="s">
        <v>884</v>
      </c>
      <c r="D65" s="45" t="s">
        <v>882</v>
      </c>
      <c r="E65" s="45" t="s">
        <v>259</v>
      </c>
      <c r="F65" s="45" t="n">
        <v>1.5</v>
      </c>
      <c r="G65" s="45"/>
      <c r="H65" s="45"/>
      <c r="I65" s="45"/>
      <c r="J65" s="45"/>
    </row>
    <row r="66" customFormat="false" ht="15" hidden="false" customHeight="false" outlineLevel="0" collapsed="false">
      <c r="A66" s="45" t="s">
        <v>854</v>
      </c>
      <c r="B66" s="45" t="s">
        <v>907</v>
      </c>
      <c r="C66" s="45" t="s">
        <v>881</v>
      </c>
      <c r="D66" s="45" t="s">
        <v>882</v>
      </c>
      <c r="E66" s="45" t="s">
        <v>532</v>
      </c>
      <c r="F66" s="45" t="n">
        <v>4</v>
      </c>
      <c r="G66" s="45" t="n">
        <v>22</v>
      </c>
      <c r="H66" s="45" t="n">
        <v>865</v>
      </c>
      <c r="I66" s="45" t="n">
        <v>100</v>
      </c>
      <c r="J66" s="45"/>
    </row>
    <row r="67" customFormat="false" ht="15" hidden="false" customHeight="false" outlineLevel="0" collapsed="false">
      <c r="A67" s="45" t="s">
        <v>854</v>
      </c>
      <c r="B67" s="46" t="n">
        <v>45927</v>
      </c>
      <c r="C67" s="45" t="s">
        <v>881</v>
      </c>
      <c r="D67" s="45" t="s">
        <v>882</v>
      </c>
      <c r="E67" s="45" t="s">
        <v>398</v>
      </c>
      <c r="F67" s="45" t="n">
        <v>3.75</v>
      </c>
      <c r="G67" s="45"/>
      <c r="H67" s="45"/>
      <c r="I67" s="45"/>
      <c r="J67" s="45"/>
    </row>
    <row r="68" customFormat="false" ht="15" hidden="false" customHeight="false" outlineLevel="0" collapsed="false">
      <c r="A68" s="45" t="s">
        <v>854</v>
      </c>
      <c r="B68" s="45" t="s">
        <v>908</v>
      </c>
      <c r="C68" s="45" t="s">
        <v>864</v>
      </c>
      <c r="D68" s="45" t="s">
        <v>853</v>
      </c>
      <c r="E68" s="45" t="s">
        <v>278</v>
      </c>
      <c r="F68" s="45" t="n">
        <v>45</v>
      </c>
      <c r="G68" s="45"/>
      <c r="H68" s="45"/>
      <c r="I68" s="45"/>
      <c r="J68" s="45"/>
    </row>
    <row r="69" customFormat="false" ht="15" hidden="false" customHeight="false" outlineLevel="0" collapsed="false">
      <c r="A69" s="45" t="s">
        <v>854</v>
      </c>
      <c r="B69" s="46" t="n">
        <v>45930</v>
      </c>
      <c r="C69" s="45" t="s">
        <v>864</v>
      </c>
      <c r="D69" s="45" t="s">
        <v>853</v>
      </c>
      <c r="E69" s="45" t="s">
        <v>434</v>
      </c>
      <c r="F69" s="45" t="n">
        <v>71.5</v>
      </c>
      <c r="G69" s="45"/>
      <c r="H69" s="45"/>
      <c r="I69" s="45"/>
      <c r="J69" s="45"/>
    </row>
    <row r="70" customFormat="false" ht="15" hidden="false" customHeight="false" outlineLevel="0" collapsed="false">
      <c r="A70" s="45" t="s">
        <v>854</v>
      </c>
      <c r="B70" s="46" t="n">
        <v>45930</v>
      </c>
      <c r="C70" s="45" t="s">
        <v>864</v>
      </c>
      <c r="D70" s="45" t="s">
        <v>853</v>
      </c>
      <c r="E70" s="45" t="s">
        <v>280</v>
      </c>
      <c r="F70" s="45" t="n">
        <v>76</v>
      </c>
      <c r="G70" s="45" t="n">
        <v>168</v>
      </c>
      <c r="H70" s="45" t="n">
        <v>6745</v>
      </c>
      <c r="I70" s="45"/>
      <c r="J70" s="45"/>
    </row>
    <row r="71" customFormat="false" ht="15" hidden="false" customHeight="false" outlineLevel="0" collapsed="false">
      <c r="A71" s="45" t="s">
        <v>854</v>
      </c>
      <c r="B71" s="46" t="n">
        <v>45930</v>
      </c>
      <c r="C71" s="45" t="s">
        <v>866</v>
      </c>
      <c r="D71" s="45" t="s">
        <v>857</v>
      </c>
      <c r="E71" s="45" t="s">
        <v>328</v>
      </c>
      <c r="F71" s="45" t="n">
        <v>274</v>
      </c>
      <c r="G71" s="45" t="n">
        <v>369</v>
      </c>
      <c r="H71" s="45" t="n">
        <v>1275</v>
      </c>
      <c r="I71" s="45"/>
      <c r="J71" s="45"/>
    </row>
    <row r="72" customFormat="false" ht="15" hidden="false" customHeight="false" outlineLevel="0" collapsed="false">
      <c r="A72" s="45" t="s">
        <v>854</v>
      </c>
      <c r="B72" s="46" t="n">
        <v>45930</v>
      </c>
      <c r="C72" s="45" t="s">
        <v>866</v>
      </c>
      <c r="D72" s="45" t="s">
        <v>857</v>
      </c>
      <c r="E72" s="45" t="s">
        <v>459</v>
      </c>
      <c r="F72" s="45" t="n">
        <v>114.75</v>
      </c>
      <c r="G72" s="45"/>
      <c r="H72" s="45"/>
      <c r="I72" s="45"/>
      <c r="J72" s="45"/>
    </row>
    <row r="73" customFormat="false" ht="15" hidden="false" customHeight="false" outlineLevel="0" collapsed="false">
      <c r="A73" s="45" t="s">
        <v>854</v>
      </c>
      <c r="B73" s="46" t="n">
        <v>45930</v>
      </c>
      <c r="C73" s="45" t="s">
        <v>868</v>
      </c>
      <c r="D73" s="45" t="s">
        <v>857</v>
      </c>
      <c r="E73" s="45" t="s">
        <v>381</v>
      </c>
      <c r="F73" s="45" t="n">
        <v>46.25</v>
      </c>
      <c r="G73" s="45"/>
      <c r="H73" s="45"/>
      <c r="I73" s="45"/>
      <c r="J73" s="45"/>
    </row>
    <row r="74" customFormat="false" ht="15" hidden="false" customHeight="false" outlineLevel="0" collapsed="false">
      <c r="A74" s="45" t="s">
        <v>854</v>
      </c>
      <c r="B74" s="46" t="n">
        <v>45930</v>
      </c>
      <c r="C74" s="45" t="s">
        <v>868</v>
      </c>
      <c r="D74" s="45" t="s">
        <v>857</v>
      </c>
      <c r="E74" s="45" t="s">
        <v>411</v>
      </c>
      <c r="F74" s="45" t="n">
        <v>20</v>
      </c>
      <c r="G74" s="45" t="n">
        <v>75</v>
      </c>
      <c r="H74" s="45" t="n">
        <v>10490</v>
      </c>
      <c r="I74" s="45" t="n">
        <v>4445</v>
      </c>
      <c r="J74" s="45"/>
    </row>
    <row r="75" customFormat="false" ht="15" hidden="false" customHeight="false" outlineLevel="0" collapsed="false">
      <c r="A75" s="45" t="s">
        <v>854</v>
      </c>
      <c r="B75" s="45" t="s">
        <v>908</v>
      </c>
      <c r="C75" s="45" t="s">
        <v>869</v>
      </c>
      <c r="D75" s="45" t="s">
        <v>870</v>
      </c>
      <c r="E75" s="45" t="s">
        <v>670</v>
      </c>
      <c r="F75" s="45" t="n">
        <v>36.75</v>
      </c>
      <c r="G75" s="45"/>
      <c r="H75" s="45"/>
      <c r="I75" s="45"/>
      <c r="J75" s="45"/>
    </row>
    <row r="76" customFormat="false" ht="15" hidden="false" customHeight="false" outlineLevel="0" collapsed="false">
      <c r="A76" s="45" t="s">
        <v>854</v>
      </c>
      <c r="B76" s="46" t="n">
        <v>45930</v>
      </c>
      <c r="C76" s="45" t="s">
        <v>869</v>
      </c>
      <c r="D76" s="45" t="s">
        <v>870</v>
      </c>
      <c r="E76" s="45" t="s">
        <v>363</v>
      </c>
      <c r="F76" s="45" t="n">
        <v>40.25</v>
      </c>
      <c r="G76" s="45"/>
      <c r="H76" s="45" t="n">
        <v>340</v>
      </c>
      <c r="I76" s="45"/>
      <c r="J76" s="45"/>
    </row>
    <row r="77" customFormat="false" ht="15" hidden="false" customHeight="false" outlineLevel="0" collapsed="false">
      <c r="A77" s="45" t="s">
        <v>854</v>
      </c>
      <c r="B77" s="46" t="n">
        <v>45930</v>
      </c>
      <c r="C77" s="45" t="s">
        <v>871</v>
      </c>
      <c r="D77" s="45" t="s">
        <v>853</v>
      </c>
      <c r="E77" s="45" t="s">
        <v>909</v>
      </c>
      <c r="F77" s="45" t="n">
        <v>75.75</v>
      </c>
      <c r="G77" s="45" t="n">
        <v>45</v>
      </c>
      <c r="H77" s="45" t="n">
        <v>1010</v>
      </c>
      <c r="I77" s="45"/>
      <c r="J77" s="45"/>
    </row>
    <row r="78" customFormat="false" ht="15" hidden="false" customHeight="false" outlineLevel="0" collapsed="false">
      <c r="A78" s="45" t="s">
        <v>854</v>
      </c>
      <c r="B78" s="45" t="s">
        <v>910</v>
      </c>
      <c r="C78" s="45" t="s">
        <v>872</v>
      </c>
      <c r="D78" s="45" t="s">
        <v>873</v>
      </c>
      <c r="E78" s="45" t="s">
        <v>911</v>
      </c>
      <c r="F78" s="45" t="n">
        <v>80.75</v>
      </c>
      <c r="G78" s="45" t="n">
        <v>22</v>
      </c>
      <c r="H78" s="45" t="n">
        <v>575</v>
      </c>
      <c r="I78" s="45"/>
      <c r="J78" s="45"/>
    </row>
    <row r="79" customFormat="false" ht="15" hidden="false" customHeight="false" outlineLevel="0" collapsed="false">
      <c r="A79" s="45" t="s">
        <v>854</v>
      </c>
      <c r="B79" s="45" t="s">
        <v>908</v>
      </c>
      <c r="C79" s="45" t="s">
        <v>872</v>
      </c>
      <c r="D79" s="45" t="s">
        <v>873</v>
      </c>
      <c r="E79" s="45" t="s">
        <v>747</v>
      </c>
      <c r="F79" s="45" t="n">
        <v>118.5</v>
      </c>
      <c r="G79" s="45"/>
      <c r="H79" s="45"/>
      <c r="I79" s="45"/>
      <c r="J79" s="45"/>
    </row>
    <row r="80" customFormat="false" ht="15" hidden="false" customHeight="false" outlineLevel="0" collapsed="false">
      <c r="A80" s="45" t="s">
        <v>854</v>
      </c>
      <c r="B80" s="45" t="s">
        <v>908</v>
      </c>
      <c r="C80" s="45" t="s">
        <v>874</v>
      </c>
      <c r="D80" s="45" t="s">
        <v>873</v>
      </c>
      <c r="E80" s="45" t="s">
        <v>532</v>
      </c>
      <c r="F80" s="45" t="n">
        <v>45.75</v>
      </c>
      <c r="G80" s="45" t="n">
        <v>4</v>
      </c>
      <c r="H80" s="45" t="n">
        <v>10</v>
      </c>
      <c r="I80" s="45"/>
      <c r="J80" s="45"/>
    </row>
    <row r="81" customFormat="false" ht="15" hidden="false" customHeight="false" outlineLevel="0" collapsed="false">
      <c r="A81" s="45" t="s">
        <v>854</v>
      </c>
      <c r="B81" s="45" t="s">
        <v>908</v>
      </c>
      <c r="C81" s="45" t="s">
        <v>875</v>
      </c>
      <c r="D81" s="45" t="s">
        <v>876</v>
      </c>
      <c r="E81" s="45" t="s">
        <v>896</v>
      </c>
      <c r="F81" s="45" t="n">
        <v>8.5</v>
      </c>
      <c r="G81" s="45"/>
      <c r="H81" s="45"/>
      <c r="I81" s="45"/>
      <c r="J81" s="45"/>
    </row>
    <row r="82" customFormat="false" ht="15" hidden="false" customHeight="false" outlineLevel="0" collapsed="false">
      <c r="A82" s="45" t="s">
        <v>854</v>
      </c>
      <c r="B82" s="45" t="s">
        <v>908</v>
      </c>
      <c r="C82" s="45" t="s">
        <v>875</v>
      </c>
      <c r="D82" s="45" t="s">
        <v>876</v>
      </c>
      <c r="E82" s="45" t="s">
        <v>912</v>
      </c>
      <c r="F82" s="45" t="n">
        <v>40</v>
      </c>
      <c r="G82" s="45" t="n">
        <v>17</v>
      </c>
      <c r="H82" s="45" t="n">
        <v>1060</v>
      </c>
      <c r="I82" s="45" t="n">
        <v>4780</v>
      </c>
      <c r="J82" s="45"/>
    </row>
    <row r="83" customFormat="false" ht="15" hidden="false" customHeight="false" outlineLevel="0" collapsed="false">
      <c r="A83" s="45" t="s">
        <v>913</v>
      </c>
      <c r="B83" s="45" t="s">
        <v>914</v>
      </c>
      <c r="C83" s="45" t="s">
        <v>886</v>
      </c>
      <c r="D83" s="45" t="s">
        <v>853</v>
      </c>
      <c r="E83" s="45" t="s">
        <v>865</v>
      </c>
      <c r="F83" s="45" t="n">
        <v>4.25</v>
      </c>
      <c r="G83" s="45"/>
      <c r="H83" s="45"/>
      <c r="I83" s="45"/>
      <c r="J83" s="45"/>
    </row>
    <row r="84" customFormat="false" ht="15" hidden="false" customHeight="false" outlineLevel="0" collapsed="false">
      <c r="A84" s="45" t="s">
        <v>913</v>
      </c>
      <c r="B84" s="46" t="n">
        <v>45934</v>
      </c>
      <c r="C84" s="45" t="s">
        <v>886</v>
      </c>
      <c r="D84" s="45" t="s">
        <v>853</v>
      </c>
      <c r="E84" s="45" t="s">
        <v>785</v>
      </c>
      <c r="F84" s="45" t="n">
        <v>4.75</v>
      </c>
      <c r="G84" s="45"/>
      <c r="H84" s="45"/>
      <c r="I84" s="45"/>
      <c r="J84" s="45"/>
    </row>
    <row r="85" customFormat="false" ht="15" hidden="false" customHeight="false" outlineLevel="0" collapsed="false">
      <c r="A85" s="45" t="s">
        <v>913</v>
      </c>
      <c r="B85" s="46" t="n">
        <v>45934</v>
      </c>
      <c r="C85" s="45" t="s">
        <v>886</v>
      </c>
      <c r="D85" s="45" t="s">
        <v>853</v>
      </c>
      <c r="E85" s="45" t="s">
        <v>423</v>
      </c>
      <c r="F85" s="45" t="n">
        <v>4.25</v>
      </c>
      <c r="G85" s="45" t="n">
        <v>65</v>
      </c>
      <c r="H85" s="45" t="n">
        <v>210</v>
      </c>
      <c r="I85" s="45"/>
      <c r="J85" s="45"/>
    </row>
    <row r="86" customFormat="false" ht="15" hidden="false" customHeight="false" outlineLevel="0" collapsed="false">
      <c r="A86" s="45" t="s">
        <v>913</v>
      </c>
      <c r="B86" s="46" t="n">
        <v>45937</v>
      </c>
      <c r="C86" s="45" t="s">
        <v>891</v>
      </c>
      <c r="D86" s="45" t="s">
        <v>882</v>
      </c>
      <c r="E86" s="45" t="s">
        <v>272</v>
      </c>
      <c r="F86" s="45" t="n">
        <v>2.5</v>
      </c>
      <c r="G86" s="45"/>
      <c r="H86" s="45"/>
      <c r="I86" s="45"/>
      <c r="J86" s="45"/>
    </row>
    <row r="87" customFormat="false" ht="15" hidden="false" customHeight="false" outlineLevel="0" collapsed="false">
      <c r="A87" s="45" t="s">
        <v>913</v>
      </c>
      <c r="B87" s="45" t="s">
        <v>915</v>
      </c>
      <c r="C87" s="45" t="s">
        <v>891</v>
      </c>
      <c r="D87" s="45" t="s">
        <v>882</v>
      </c>
      <c r="E87" s="45" t="s">
        <v>441</v>
      </c>
      <c r="F87" s="45" t="n">
        <v>2</v>
      </c>
      <c r="G87" s="45" t="n">
        <v>24</v>
      </c>
      <c r="H87" s="45" t="n">
        <v>2475</v>
      </c>
      <c r="I87" s="45" t="n">
        <v>1560</v>
      </c>
      <c r="J87" s="45"/>
    </row>
    <row r="88" customFormat="false" ht="15" hidden="false" customHeight="false" outlineLevel="0" collapsed="false">
      <c r="A88" s="45" t="s">
        <v>913</v>
      </c>
      <c r="B88" s="45" t="s">
        <v>916</v>
      </c>
      <c r="C88" s="45" t="s">
        <v>856</v>
      </c>
      <c r="D88" s="45" t="s">
        <v>857</v>
      </c>
      <c r="E88" s="45" t="s">
        <v>348</v>
      </c>
      <c r="F88" s="45" t="n">
        <v>2.25</v>
      </c>
      <c r="G88" s="45" t="n">
        <v>6</v>
      </c>
      <c r="H88" s="45" t="n">
        <v>35</v>
      </c>
      <c r="I88" s="45"/>
      <c r="J88" s="45"/>
    </row>
    <row r="89" customFormat="false" ht="15" hidden="false" customHeight="false" outlineLevel="0" collapsed="false">
      <c r="A89" s="45" t="s">
        <v>913</v>
      </c>
      <c r="B89" s="45" t="s">
        <v>916</v>
      </c>
      <c r="C89" s="45" t="s">
        <v>856</v>
      </c>
      <c r="D89" s="45" t="s">
        <v>857</v>
      </c>
      <c r="E89" s="45" t="s">
        <v>347</v>
      </c>
      <c r="F89" s="45" t="n">
        <v>1.75</v>
      </c>
      <c r="G89" s="45"/>
      <c r="H89" s="45"/>
      <c r="I89" s="45"/>
      <c r="J89" s="45"/>
    </row>
    <row r="90" customFormat="false" ht="15" hidden="false" customHeight="false" outlineLevel="0" collapsed="false">
      <c r="A90" s="45" t="s">
        <v>913</v>
      </c>
      <c r="B90" s="46" t="n">
        <v>45959</v>
      </c>
      <c r="C90" s="45" t="s">
        <v>881</v>
      </c>
      <c r="D90" s="45" t="s">
        <v>882</v>
      </c>
      <c r="E90" s="45" t="s">
        <v>532</v>
      </c>
      <c r="F90" s="45" t="n">
        <v>3.25</v>
      </c>
      <c r="G90" s="45" t="n">
        <v>19</v>
      </c>
      <c r="H90" s="45" t="n">
        <v>605</v>
      </c>
      <c r="I90" s="45" t="n">
        <v>210</v>
      </c>
      <c r="J90" s="45"/>
    </row>
    <row r="91" customFormat="false" ht="15" hidden="false" customHeight="false" outlineLevel="0" collapsed="false">
      <c r="A91" s="45" t="s">
        <v>913</v>
      </c>
      <c r="B91" s="45" t="s">
        <v>917</v>
      </c>
      <c r="C91" s="45" t="s">
        <v>881</v>
      </c>
      <c r="D91" s="45" t="s">
        <v>882</v>
      </c>
      <c r="E91" s="45" t="s">
        <v>301</v>
      </c>
      <c r="F91" s="45" t="s">
        <v>918</v>
      </c>
      <c r="G91" s="45"/>
      <c r="H91" s="45"/>
      <c r="I91" s="45"/>
      <c r="J91" s="45"/>
    </row>
    <row r="92" customFormat="false" ht="15" hidden="false" customHeight="false" outlineLevel="0" collapsed="false">
      <c r="A92" s="45" t="s">
        <v>913</v>
      </c>
      <c r="B92" s="46" t="n">
        <v>45961</v>
      </c>
      <c r="C92" s="45" t="s">
        <v>864</v>
      </c>
      <c r="D92" s="45" t="s">
        <v>853</v>
      </c>
      <c r="E92" s="45" t="s">
        <v>278</v>
      </c>
      <c r="F92" s="45" t="n">
        <v>49</v>
      </c>
      <c r="G92" s="45"/>
      <c r="H92" s="45"/>
      <c r="I92" s="45"/>
      <c r="J92" s="45"/>
    </row>
    <row r="93" customFormat="false" ht="15" hidden="false" customHeight="false" outlineLevel="0" collapsed="false">
      <c r="A93" s="45" t="s">
        <v>913</v>
      </c>
      <c r="B93" s="46" t="n">
        <v>45961</v>
      </c>
      <c r="C93" s="45" t="s">
        <v>864</v>
      </c>
      <c r="D93" s="45" t="s">
        <v>853</v>
      </c>
      <c r="E93" s="45" t="s">
        <v>434</v>
      </c>
      <c r="F93" s="45" t="n">
        <v>69.25</v>
      </c>
      <c r="G93" s="45"/>
      <c r="H93" s="45"/>
      <c r="I93" s="45"/>
      <c r="J93" s="45"/>
    </row>
    <row r="94" customFormat="false" ht="15" hidden="false" customHeight="false" outlineLevel="0" collapsed="false">
      <c r="A94" s="45" t="s">
        <v>913</v>
      </c>
      <c r="B94" s="46" t="n">
        <v>45961</v>
      </c>
      <c r="C94" s="45" t="s">
        <v>864</v>
      </c>
      <c r="D94" s="45" t="s">
        <v>853</v>
      </c>
      <c r="E94" s="45" t="s">
        <v>622</v>
      </c>
      <c r="F94" s="45" t="n">
        <v>80.75</v>
      </c>
      <c r="G94" s="45" t="n">
        <v>147</v>
      </c>
      <c r="H94" s="45" t="n">
        <v>4920</v>
      </c>
      <c r="I94" s="45"/>
      <c r="J94" s="45"/>
    </row>
    <row r="95" customFormat="false" ht="15" hidden="false" customHeight="false" outlineLevel="0" collapsed="false">
      <c r="A95" s="45" t="s">
        <v>913</v>
      </c>
      <c r="B95" s="45" t="s">
        <v>919</v>
      </c>
      <c r="C95" s="45" t="s">
        <v>866</v>
      </c>
      <c r="D95" s="45" t="s">
        <v>857</v>
      </c>
      <c r="E95" s="45" t="s">
        <v>324</v>
      </c>
      <c r="F95" s="45" t="s">
        <v>920</v>
      </c>
      <c r="G95" s="45" t="n">
        <v>212</v>
      </c>
      <c r="H95" s="45" t="n">
        <v>1490</v>
      </c>
      <c r="I95" s="45"/>
      <c r="J95" s="45"/>
    </row>
    <row r="96" customFormat="false" ht="15" hidden="false" customHeight="false" outlineLevel="0" collapsed="false">
      <c r="A96" s="45" t="s">
        <v>913</v>
      </c>
      <c r="B96" s="45" t="s">
        <v>919</v>
      </c>
      <c r="C96" s="45" t="s">
        <v>866</v>
      </c>
      <c r="D96" s="45" t="s">
        <v>857</v>
      </c>
      <c r="E96" s="45" t="s">
        <v>627</v>
      </c>
      <c r="F96" s="45" t="n">
        <v>107.5</v>
      </c>
      <c r="G96" s="45"/>
      <c r="H96" s="45"/>
      <c r="I96" s="45"/>
      <c r="J96" s="45"/>
    </row>
    <row r="97" customFormat="false" ht="15" hidden="false" customHeight="false" outlineLevel="0" collapsed="false">
      <c r="A97" s="45" t="s">
        <v>913</v>
      </c>
      <c r="B97" s="46" t="n">
        <v>45961</v>
      </c>
      <c r="C97" s="45" t="s">
        <v>868</v>
      </c>
      <c r="D97" s="45" t="s">
        <v>857</v>
      </c>
      <c r="E97" s="45" t="s">
        <v>921</v>
      </c>
      <c r="F97" s="45" t="n">
        <v>37</v>
      </c>
      <c r="G97" s="45"/>
      <c r="H97" s="45"/>
      <c r="I97" s="45"/>
      <c r="J97" s="45"/>
    </row>
    <row r="98" customFormat="false" ht="15" hidden="false" customHeight="false" outlineLevel="0" collapsed="false">
      <c r="A98" s="45" t="s">
        <v>913</v>
      </c>
      <c r="B98" s="46" t="n">
        <v>45961</v>
      </c>
      <c r="C98" s="45" t="s">
        <v>868</v>
      </c>
      <c r="D98" s="45" t="s">
        <v>857</v>
      </c>
      <c r="E98" s="45" t="s">
        <v>411</v>
      </c>
      <c r="F98" s="45" t="n">
        <v>20</v>
      </c>
      <c r="G98" s="45" t="n">
        <v>101</v>
      </c>
      <c r="H98" s="45" t="n">
        <v>6895</v>
      </c>
      <c r="I98" s="45" t="n">
        <v>7970</v>
      </c>
      <c r="J98" s="45"/>
    </row>
    <row r="99" customFormat="false" ht="15" hidden="false" customHeight="false" outlineLevel="0" collapsed="false">
      <c r="A99" s="45" t="s">
        <v>913</v>
      </c>
      <c r="B99" s="45" t="s">
        <v>919</v>
      </c>
      <c r="C99" s="45" t="s">
        <v>869</v>
      </c>
      <c r="D99" s="45" t="s">
        <v>870</v>
      </c>
      <c r="E99" s="45" t="s">
        <v>670</v>
      </c>
      <c r="F99" s="45" t="n">
        <v>41.25</v>
      </c>
      <c r="G99" s="45"/>
      <c r="H99" s="45"/>
      <c r="I99" s="45"/>
      <c r="J99" s="45"/>
    </row>
    <row r="100" customFormat="false" ht="15" hidden="false" customHeight="false" outlineLevel="0" collapsed="false">
      <c r="A100" s="45" t="s">
        <v>913</v>
      </c>
      <c r="B100" s="46" t="n">
        <v>45961</v>
      </c>
      <c r="C100" s="45" t="s">
        <v>869</v>
      </c>
      <c r="D100" s="45" t="s">
        <v>870</v>
      </c>
      <c r="E100" s="45" t="s">
        <v>313</v>
      </c>
      <c r="F100" s="45" t="n">
        <v>46.5</v>
      </c>
      <c r="G100" s="45"/>
      <c r="H100" s="45" t="n">
        <v>245</v>
      </c>
      <c r="I100" s="45"/>
      <c r="J100" s="45"/>
    </row>
    <row r="101" customFormat="false" ht="15" hidden="false" customHeight="false" outlineLevel="0" collapsed="false">
      <c r="A101" s="45" t="s">
        <v>913</v>
      </c>
      <c r="B101" s="45" t="s">
        <v>922</v>
      </c>
      <c r="C101" s="45" t="s">
        <v>871</v>
      </c>
      <c r="D101" s="45" t="s">
        <v>853</v>
      </c>
      <c r="E101" s="45" t="s">
        <v>532</v>
      </c>
      <c r="F101" s="45" t="n">
        <v>79.25</v>
      </c>
      <c r="G101" s="45" t="n">
        <v>35</v>
      </c>
      <c r="H101" s="45" t="n">
        <v>795</v>
      </c>
      <c r="I101" s="45"/>
      <c r="J101" s="45"/>
    </row>
    <row r="102" customFormat="false" ht="15" hidden="false" customHeight="false" outlineLevel="0" collapsed="false">
      <c r="A102" s="45" t="s">
        <v>913</v>
      </c>
      <c r="B102" s="45" t="s">
        <v>922</v>
      </c>
      <c r="C102" s="45" t="s">
        <v>872</v>
      </c>
      <c r="D102" s="45" t="s">
        <v>873</v>
      </c>
      <c r="E102" s="45" t="s">
        <v>408</v>
      </c>
      <c r="F102" s="45" t="s">
        <v>923</v>
      </c>
      <c r="G102" s="45" t="n">
        <v>13</v>
      </c>
      <c r="H102" s="45" t="n">
        <v>625</v>
      </c>
      <c r="I102" s="45"/>
      <c r="J102" s="45"/>
    </row>
    <row r="103" customFormat="false" ht="15" hidden="false" customHeight="false" outlineLevel="0" collapsed="false">
      <c r="A103" s="45" t="s">
        <v>913</v>
      </c>
      <c r="B103" s="45" t="s">
        <v>922</v>
      </c>
      <c r="C103" s="45" t="s">
        <v>872</v>
      </c>
      <c r="D103" s="45" t="s">
        <v>873</v>
      </c>
      <c r="E103" s="45" t="s">
        <v>340</v>
      </c>
      <c r="F103" s="45" t="n">
        <v>160.5</v>
      </c>
      <c r="G103" s="45"/>
      <c r="H103" s="45"/>
      <c r="I103" s="45"/>
      <c r="J103" s="45"/>
    </row>
    <row r="104" customFormat="false" ht="15" hidden="false" customHeight="false" outlineLevel="0" collapsed="false">
      <c r="A104" s="45" t="s">
        <v>913</v>
      </c>
      <c r="B104" s="46" t="n">
        <v>45961</v>
      </c>
      <c r="C104" s="45" t="s">
        <v>874</v>
      </c>
      <c r="D104" s="45" t="s">
        <v>873</v>
      </c>
      <c r="E104" s="45" t="s">
        <v>924</v>
      </c>
      <c r="F104" s="45" t="n">
        <v>58</v>
      </c>
      <c r="G104" s="45" t="n">
        <v>3</v>
      </c>
      <c r="H104" s="45" t="n">
        <v>90</v>
      </c>
      <c r="I104" s="45"/>
      <c r="J104" s="45"/>
    </row>
    <row r="105" customFormat="false" ht="15" hidden="false" customHeight="false" outlineLevel="0" collapsed="false">
      <c r="A105" s="45" t="s">
        <v>913</v>
      </c>
      <c r="B105" s="46" t="n">
        <v>45961</v>
      </c>
      <c r="C105" s="45" t="s">
        <v>875</v>
      </c>
      <c r="D105" s="45" t="s">
        <v>876</v>
      </c>
      <c r="E105" s="45" t="s">
        <v>293</v>
      </c>
      <c r="F105" s="45" t="n">
        <v>9</v>
      </c>
      <c r="G105" s="45"/>
      <c r="H105" s="45"/>
      <c r="I105" s="45"/>
      <c r="J105" s="45"/>
    </row>
    <row r="106" customFormat="false" ht="15" hidden="false" customHeight="false" outlineLevel="0" collapsed="false">
      <c r="A106" s="45" t="s">
        <v>913</v>
      </c>
      <c r="B106" s="45" t="s">
        <v>922</v>
      </c>
      <c r="C106" s="45" t="s">
        <v>875</v>
      </c>
      <c r="D106" s="45" t="s">
        <v>876</v>
      </c>
      <c r="E106" s="45" t="s">
        <v>367</v>
      </c>
      <c r="F106" s="45" t="s">
        <v>925</v>
      </c>
      <c r="G106" s="45" t="n">
        <v>10</v>
      </c>
      <c r="H106" s="45" t="n">
        <v>1320</v>
      </c>
      <c r="I106" s="45" t="n">
        <v>4205</v>
      </c>
      <c r="J106" s="45"/>
    </row>
    <row r="107" customFormat="false" ht="15" hidden="false" customHeight="false" outlineLevel="0" collapsed="false">
      <c r="A107" s="45" t="s">
        <v>913</v>
      </c>
      <c r="B107" s="46" t="n">
        <v>45962</v>
      </c>
      <c r="C107" s="45" t="s">
        <v>881</v>
      </c>
      <c r="D107" s="45" t="s">
        <v>882</v>
      </c>
      <c r="E107" s="45" t="s">
        <v>456</v>
      </c>
      <c r="F107" s="45" t="n">
        <v>3.75</v>
      </c>
      <c r="G107" s="45" t="n">
        <v>24</v>
      </c>
      <c r="H107" s="45" t="n">
        <v>620</v>
      </c>
      <c r="I107" s="45" t="n">
        <v>500</v>
      </c>
      <c r="J107" s="45"/>
    </row>
    <row r="108" customFormat="false" ht="15" hidden="false" customHeight="false" outlineLevel="0" collapsed="false">
      <c r="A108" s="45" t="s">
        <v>913</v>
      </c>
      <c r="B108" s="46" t="n">
        <v>45962</v>
      </c>
      <c r="C108" s="45" t="s">
        <v>881</v>
      </c>
      <c r="D108" s="45" t="s">
        <v>882</v>
      </c>
      <c r="E108" s="45" t="s">
        <v>458</v>
      </c>
      <c r="F108" s="45" t="n">
        <v>3.75</v>
      </c>
      <c r="G108" s="45"/>
      <c r="H108" s="45"/>
      <c r="I108" s="45"/>
      <c r="J108" s="45"/>
    </row>
    <row r="109" customFormat="false" ht="15" hidden="false" customHeight="false" outlineLevel="0" collapsed="false">
      <c r="A109" s="45" t="s">
        <v>913</v>
      </c>
      <c r="B109" s="45" t="s">
        <v>926</v>
      </c>
      <c r="C109" s="45" t="s">
        <v>856</v>
      </c>
      <c r="D109" s="45" t="s">
        <v>857</v>
      </c>
      <c r="E109" s="45" t="s">
        <v>345</v>
      </c>
      <c r="F109" s="45" t="n">
        <v>2.5</v>
      </c>
      <c r="G109" s="45" t="n">
        <v>9</v>
      </c>
      <c r="H109" s="45" t="n">
        <v>20</v>
      </c>
      <c r="I109" s="45"/>
      <c r="J109" s="45"/>
    </row>
    <row r="110" customFormat="false" ht="15" hidden="false" customHeight="false" outlineLevel="0" collapsed="false">
      <c r="A110" s="45" t="s">
        <v>913</v>
      </c>
      <c r="B110" s="46" t="n">
        <v>45967</v>
      </c>
      <c r="C110" s="45" t="s">
        <v>856</v>
      </c>
      <c r="D110" s="45" t="s">
        <v>857</v>
      </c>
      <c r="E110" s="45" t="s">
        <v>252</v>
      </c>
      <c r="F110" s="45" t="n">
        <v>1.5</v>
      </c>
      <c r="G110" s="45"/>
      <c r="H110" s="45"/>
      <c r="I110" s="45"/>
      <c r="J110" s="45"/>
    </row>
    <row r="111" customFormat="false" ht="15" hidden="false" customHeight="false" outlineLevel="0" collapsed="false">
      <c r="A111" s="45" t="s">
        <v>913</v>
      </c>
      <c r="B111" s="46" t="n">
        <v>45972</v>
      </c>
      <c r="C111" s="45" t="s">
        <v>884</v>
      </c>
      <c r="D111" s="45" t="s">
        <v>882</v>
      </c>
      <c r="E111" s="45" t="s">
        <v>267</v>
      </c>
      <c r="F111" s="45" t="n">
        <v>2.25</v>
      </c>
      <c r="G111" s="45" t="n">
        <v>12</v>
      </c>
      <c r="H111" s="45" t="n">
        <v>150</v>
      </c>
      <c r="I111" s="45"/>
      <c r="J111" s="45"/>
    </row>
    <row r="112" customFormat="false" ht="15" hidden="false" customHeight="false" outlineLevel="0" collapsed="false">
      <c r="A112" s="45" t="s">
        <v>913</v>
      </c>
      <c r="B112" s="46" t="n">
        <v>45972</v>
      </c>
      <c r="C112" s="45" t="s">
        <v>884</v>
      </c>
      <c r="D112" s="45" t="s">
        <v>882</v>
      </c>
      <c r="E112" s="45" t="s">
        <v>411</v>
      </c>
      <c r="F112" s="45" t="n">
        <v>1.75</v>
      </c>
      <c r="G112" s="45"/>
      <c r="H112" s="45"/>
      <c r="I112" s="45"/>
      <c r="J112" s="45"/>
    </row>
    <row r="113" customFormat="false" ht="15" hidden="false" customHeight="false" outlineLevel="0" collapsed="false">
      <c r="A113" s="45" t="s">
        <v>913</v>
      </c>
      <c r="B113" s="45" t="s">
        <v>927</v>
      </c>
      <c r="C113" s="45" t="s">
        <v>864</v>
      </c>
      <c r="D113" s="45" t="s">
        <v>853</v>
      </c>
      <c r="E113" s="45" t="s">
        <v>328</v>
      </c>
      <c r="F113" s="45" t="n">
        <v>42.5</v>
      </c>
      <c r="G113" s="45"/>
      <c r="H113" s="45"/>
      <c r="I113" s="45"/>
      <c r="J113" s="45"/>
    </row>
    <row r="114" customFormat="false" ht="15" hidden="false" customHeight="false" outlineLevel="0" collapsed="false">
      <c r="A114" s="45" t="s">
        <v>913</v>
      </c>
      <c r="B114" s="45" t="s">
        <v>928</v>
      </c>
      <c r="C114" s="45" t="s">
        <v>864</v>
      </c>
      <c r="D114" s="45" t="s">
        <v>853</v>
      </c>
      <c r="E114" s="45" t="s">
        <v>865</v>
      </c>
      <c r="F114" s="45" t="n">
        <v>65.75</v>
      </c>
      <c r="G114" s="45"/>
      <c r="H114" s="45"/>
      <c r="I114" s="45"/>
      <c r="J114" s="45"/>
    </row>
    <row r="115" customFormat="false" ht="15" hidden="false" customHeight="false" outlineLevel="0" collapsed="false">
      <c r="A115" s="45" t="s">
        <v>913</v>
      </c>
      <c r="B115" s="45" t="s">
        <v>927</v>
      </c>
      <c r="C115" s="45" t="s">
        <v>864</v>
      </c>
      <c r="D115" s="45" t="s">
        <v>853</v>
      </c>
      <c r="E115" s="45" t="s">
        <v>568</v>
      </c>
      <c r="F115" s="45" t="s">
        <v>929</v>
      </c>
      <c r="G115" s="45" t="n">
        <v>115</v>
      </c>
      <c r="H115" s="45" t="n">
        <v>6750</v>
      </c>
      <c r="I115" s="45"/>
      <c r="J115" s="45"/>
    </row>
    <row r="116" customFormat="false" ht="15" hidden="false" customHeight="false" outlineLevel="0" collapsed="false">
      <c r="A116" s="45" t="s">
        <v>913</v>
      </c>
      <c r="B116" s="46" t="n">
        <v>45991</v>
      </c>
      <c r="C116" s="45" t="s">
        <v>866</v>
      </c>
      <c r="D116" s="45" t="s">
        <v>857</v>
      </c>
      <c r="E116" s="45" t="s">
        <v>360</v>
      </c>
      <c r="F116" s="45" t="n">
        <v>222</v>
      </c>
      <c r="G116" s="45" t="n">
        <v>227</v>
      </c>
      <c r="H116" s="45" t="n">
        <v>930</v>
      </c>
      <c r="I116" s="45"/>
      <c r="J116" s="45"/>
    </row>
    <row r="117" customFormat="false" ht="15" hidden="false" customHeight="false" outlineLevel="0" collapsed="false">
      <c r="A117" s="45" t="s">
        <v>913</v>
      </c>
      <c r="B117" s="46" t="n">
        <v>45991</v>
      </c>
      <c r="C117" s="45" t="s">
        <v>866</v>
      </c>
      <c r="D117" s="45" t="s">
        <v>857</v>
      </c>
      <c r="E117" s="45" t="s">
        <v>627</v>
      </c>
      <c r="F117" s="45" t="n">
        <v>104</v>
      </c>
      <c r="G117" s="45"/>
      <c r="H117" s="45"/>
      <c r="I117" s="45"/>
      <c r="J117" s="45"/>
    </row>
    <row r="118" customFormat="false" ht="15" hidden="false" customHeight="false" outlineLevel="0" collapsed="false">
      <c r="A118" s="45" t="s">
        <v>913</v>
      </c>
      <c r="B118" s="45" t="s">
        <v>927</v>
      </c>
      <c r="C118" s="45" t="s">
        <v>868</v>
      </c>
      <c r="D118" s="45" t="s">
        <v>857</v>
      </c>
      <c r="E118" s="45" t="s">
        <v>395</v>
      </c>
      <c r="F118" s="45" t="n">
        <v>44.25</v>
      </c>
      <c r="G118" s="45"/>
      <c r="H118" s="45"/>
      <c r="I118" s="45"/>
      <c r="J118" s="45"/>
    </row>
    <row r="119" customFormat="false" ht="15" hidden="false" customHeight="false" outlineLevel="0" collapsed="false">
      <c r="A119" s="45" t="s">
        <v>913</v>
      </c>
      <c r="B119" s="46" t="n">
        <v>45991</v>
      </c>
      <c r="C119" s="45" t="s">
        <v>868</v>
      </c>
      <c r="D119" s="45" t="s">
        <v>857</v>
      </c>
      <c r="E119" s="45" t="s">
        <v>507</v>
      </c>
      <c r="F119" s="45" t="n">
        <v>19.25</v>
      </c>
      <c r="G119" s="45" t="n">
        <v>140</v>
      </c>
      <c r="H119" s="45" t="n">
        <v>8045</v>
      </c>
      <c r="I119" s="45" t="n">
        <v>7130</v>
      </c>
      <c r="J119" s="45"/>
    </row>
    <row r="120" customFormat="false" ht="15" hidden="false" customHeight="false" outlineLevel="0" collapsed="false">
      <c r="A120" s="45" t="s">
        <v>913</v>
      </c>
      <c r="B120" s="45" t="s">
        <v>928</v>
      </c>
      <c r="C120" s="45" t="s">
        <v>869</v>
      </c>
      <c r="D120" s="45" t="s">
        <v>870</v>
      </c>
      <c r="E120" s="45" t="s">
        <v>670</v>
      </c>
      <c r="F120" s="45" t="n">
        <v>37.5</v>
      </c>
      <c r="G120" s="45"/>
      <c r="H120" s="45"/>
      <c r="I120" s="45"/>
      <c r="J120" s="45"/>
    </row>
    <row r="121" customFormat="false" ht="15" hidden="false" customHeight="false" outlineLevel="0" collapsed="false">
      <c r="A121" s="45" t="s">
        <v>913</v>
      </c>
      <c r="B121" s="45" t="s">
        <v>928</v>
      </c>
      <c r="C121" s="45" t="s">
        <v>869</v>
      </c>
      <c r="D121" s="45" t="s">
        <v>870</v>
      </c>
      <c r="E121" s="45" t="s">
        <v>331</v>
      </c>
      <c r="F121" s="45" t="n">
        <v>43</v>
      </c>
      <c r="G121" s="45"/>
      <c r="H121" s="45" t="n">
        <v>435</v>
      </c>
      <c r="I121" s="45"/>
      <c r="J121" s="45"/>
    </row>
    <row r="122" customFormat="false" ht="15" hidden="false" customHeight="false" outlineLevel="0" collapsed="false">
      <c r="A122" s="45" t="s">
        <v>913</v>
      </c>
      <c r="B122" s="45" t="s">
        <v>928</v>
      </c>
      <c r="C122" s="45" t="s">
        <v>871</v>
      </c>
      <c r="D122" s="45" t="s">
        <v>853</v>
      </c>
      <c r="E122" s="45" t="s">
        <v>456</v>
      </c>
      <c r="F122" s="45" t="n">
        <v>66</v>
      </c>
      <c r="G122" s="45" t="n">
        <v>50</v>
      </c>
      <c r="H122" s="45" t="n">
        <v>640</v>
      </c>
      <c r="I122" s="45"/>
      <c r="J122" s="45"/>
    </row>
    <row r="123" customFormat="false" ht="15" hidden="false" customHeight="false" outlineLevel="0" collapsed="false">
      <c r="A123" s="45" t="s">
        <v>913</v>
      </c>
      <c r="B123" s="45" t="s">
        <v>928</v>
      </c>
      <c r="C123" s="45" t="s">
        <v>872</v>
      </c>
      <c r="D123" s="45" t="s">
        <v>873</v>
      </c>
      <c r="E123" s="45" t="s">
        <v>421</v>
      </c>
      <c r="F123" s="45"/>
      <c r="G123" s="45" t="n">
        <v>21</v>
      </c>
      <c r="H123" s="45" t="n">
        <v>575</v>
      </c>
      <c r="I123" s="45"/>
      <c r="J123" s="45"/>
    </row>
    <row r="124" customFormat="false" ht="15" hidden="false" customHeight="false" outlineLevel="0" collapsed="false">
      <c r="A124" s="45" t="s">
        <v>913</v>
      </c>
      <c r="B124" s="45" t="s">
        <v>927</v>
      </c>
      <c r="C124" s="45" t="s">
        <v>872</v>
      </c>
      <c r="D124" s="45" t="s">
        <v>873</v>
      </c>
      <c r="E124" s="45" t="s">
        <v>301</v>
      </c>
      <c r="F124" s="45" t="n">
        <v>153.25</v>
      </c>
      <c r="G124" s="45"/>
      <c r="H124" s="45"/>
      <c r="I124" s="45"/>
      <c r="J124" s="45"/>
    </row>
    <row r="125" customFormat="false" ht="15" hidden="false" customHeight="false" outlineLevel="0" collapsed="false">
      <c r="A125" s="45" t="s">
        <v>913</v>
      </c>
      <c r="B125" s="45" t="s">
        <v>927</v>
      </c>
      <c r="C125" s="45" t="s">
        <v>874</v>
      </c>
      <c r="D125" s="45" t="s">
        <v>873</v>
      </c>
      <c r="E125" s="45" t="s">
        <v>532</v>
      </c>
      <c r="F125" s="45" t="n">
        <v>41.25</v>
      </c>
      <c r="G125" s="45" t="n">
        <v>3</v>
      </c>
      <c r="H125" s="45" t="n">
        <v>25</v>
      </c>
      <c r="I125" s="45"/>
      <c r="J125" s="45"/>
    </row>
    <row r="126" customFormat="false" ht="15" hidden="false" customHeight="false" outlineLevel="0" collapsed="false">
      <c r="A126" s="45" t="s">
        <v>913</v>
      </c>
      <c r="B126" s="45" t="s">
        <v>927</v>
      </c>
      <c r="C126" s="45" t="s">
        <v>875</v>
      </c>
      <c r="D126" s="45" t="s">
        <v>876</v>
      </c>
      <c r="E126" s="45" t="s">
        <v>308</v>
      </c>
      <c r="F126" s="45" t="n">
        <v>13.25</v>
      </c>
      <c r="G126" s="45"/>
      <c r="H126" s="45"/>
      <c r="I126" s="45"/>
      <c r="J126" s="45"/>
    </row>
    <row r="127" customFormat="false" ht="15" hidden="false" customHeight="false" outlineLevel="0" collapsed="false">
      <c r="A127" s="45" t="s">
        <v>913</v>
      </c>
      <c r="B127" s="46" t="n">
        <v>45991</v>
      </c>
      <c r="C127" s="45" t="s">
        <v>875</v>
      </c>
      <c r="D127" s="45" t="s">
        <v>876</v>
      </c>
      <c r="E127" s="45" t="s">
        <v>482</v>
      </c>
      <c r="F127" s="45" t="n">
        <v>47.25</v>
      </c>
      <c r="G127" s="45" t="n">
        <v>12</v>
      </c>
      <c r="H127" s="45" t="n">
        <v>1270</v>
      </c>
      <c r="I127" s="45" t="n">
        <v>3930</v>
      </c>
      <c r="J127" s="45"/>
    </row>
    <row r="128" customFormat="false" ht="15" hidden="false" customHeight="false" outlineLevel="0" collapsed="false">
      <c r="A128" s="45" t="s">
        <v>913</v>
      </c>
      <c r="B128" s="45" t="s">
        <v>930</v>
      </c>
      <c r="C128" s="45" t="s">
        <v>862</v>
      </c>
      <c r="D128" s="45" t="s">
        <v>859</v>
      </c>
      <c r="E128" s="45" t="s">
        <v>421</v>
      </c>
      <c r="F128" s="45" t="n">
        <v>4</v>
      </c>
      <c r="G128" s="45"/>
      <c r="H128" s="45"/>
      <c r="I128" s="45"/>
      <c r="J128" s="45"/>
    </row>
    <row r="129" customFormat="false" ht="15" hidden="false" customHeight="false" outlineLevel="0" collapsed="false">
      <c r="A129" s="45" t="s">
        <v>913</v>
      </c>
      <c r="B129" s="45" t="s">
        <v>931</v>
      </c>
      <c r="C129" s="45" t="s">
        <v>862</v>
      </c>
      <c r="D129" s="45" t="s">
        <v>859</v>
      </c>
      <c r="E129" s="45" t="s">
        <v>455</v>
      </c>
      <c r="F129" s="45" t="n">
        <v>7</v>
      </c>
      <c r="G129" s="45" t="n">
        <v>37</v>
      </c>
      <c r="H129" s="45" t="n">
        <v>1515</v>
      </c>
      <c r="I129" s="45"/>
      <c r="J129" s="45"/>
    </row>
    <row r="130" customFormat="false" ht="15" hidden="false" customHeight="false" outlineLevel="0" collapsed="false">
      <c r="A130" s="45" t="s">
        <v>913</v>
      </c>
      <c r="B130" s="45" t="s">
        <v>932</v>
      </c>
      <c r="C130" s="45" t="s">
        <v>852</v>
      </c>
      <c r="D130" s="45" t="s">
        <v>853</v>
      </c>
      <c r="E130" s="45" t="s">
        <v>340</v>
      </c>
      <c r="F130" s="45" t="n">
        <v>3.5</v>
      </c>
      <c r="G130" s="45" t="n">
        <v>71</v>
      </c>
      <c r="H130" s="45" t="n">
        <v>65</v>
      </c>
      <c r="I130" s="45"/>
      <c r="J130" s="45"/>
    </row>
    <row r="131" customFormat="false" ht="15" hidden="false" customHeight="false" outlineLevel="0" collapsed="false">
      <c r="A131" s="45" t="s">
        <v>913</v>
      </c>
      <c r="B131" s="45" t="s">
        <v>933</v>
      </c>
      <c r="C131" s="45" t="s">
        <v>884</v>
      </c>
      <c r="D131" s="45" t="s">
        <v>882</v>
      </c>
      <c r="E131" s="45" t="s">
        <v>409</v>
      </c>
      <c r="F131" s="45" t="n">
        <v>2.25</v>
      </c>
      <c r="G131" s="45" t="n">
        <v>18</v>
      </c>
      <c r="H131" s="45" t="n">
        <v>155</v>
      </c>
      <c r="I131" s="45"/>
      <c r="J131" s="45"/>
    </row>
    <row r="132" customFormat="false" ht="15" hidden="false" customHeight="false" outlineLevel="0" collapsed="false">
      <c r="A132" s="45" t="s">
        <v>913</v>
      </c>
      <c r="B132" s="46" t="n">
        <v>46011</v>
      </c>
      <c r="C132" s="45" t="s">
        <v>884</v>
      </c>
      <c r="D132" s="45" t="s">
        <v>882</v>
      </c>
      <c r="E132" s="45" t="s">
        <v>372</v>
      </c>
      <c r="F132" s="45" t="n">
        <v>1.75</v>
      </c>
      <c r="G132" s="45"/>
      <c r="H132" s="45"/>
      <c r="I132" s="45"/>
      <c r="J132" s="45"/>
    </row>
    <row r="133" customFormat="false" ht="15" hidden="false" customHeight="false" outlineLevel="0" collapsed="false">
      <c r="A133" s="45" t="s">
        <v>913</v>
      </c>
      <c r="B133" s="45" t="s">
        <v>934</v>
      </c>
      <c r="C133" s="45" t="s">
        <v>858</v>
      </c>
      <c r="D133" s="45" t="s">
        <v>859</v>
      </c>
      <c r="E133" s="45" t="s">
        <v>331</v>
      </c>
      <c r="F133" s="45" t="n">
        <v>2.25</v>
      </c>
      <c r="G133" s="45"/>
      <c r="H133" s="45"/>
      <c r="I133" s="45"/>
      <c r="J133" s="45"/>
    </row>
    <row r="134" customFormat="false" ht="15" hidden="false" customHeight="false" outlineLevel="0" collapsed="false">
      <c r="A134" s="45" t="s">
        <v>913</v>
      </c>
      <c r="B134" s="46" t="n">
        <v>46014</v>
      </c>
      <c r="C134" s="45" t="s">
        <v>858</v>
      </c>
      <c r="D134" s="45" t="s">
        <v>859</v>
      </c>
      <c r="E134" s="45" t="s">
        <v>487</v>
      </c>
      <c r="F134" s="45" t="s">
        <v>879</v>
      </c>
      <c r="G134" s="45"/>
      <c r="H134" s="45" t="n">
        <v>70</v>
      </c>
      <c r="I134" s="45"/>
      <c r="J134" s="45"/>
    </row>
    <row r="135" customFormat="false" ht="15" hidden="false" customHeight="false" outlineLevel="0" collapsed="false">
      <c r="A135" s="45" t="s">
        <v>913</v>
      </c>
      <c r="B135" s="46" t="n">
        <v>46022</v>
      </c>
      <c r="C135" s="45" t="s">
        <v>864</v>
      </c>
      <c r="D135" s="45" t="s">
        <v>853</v>
      </c>
      <c r="E135" s="45" t="s">
        <v>278</v>
      </c>
      <c r="F135" s="45" t="n">
        <v>37.25</v>
      </c>
      <c r="G135" s="45"/>
      <c r="H135" s="45"/>
      <c r="I135" s="45"/>
      <c r="J135" s="45"/>
    </row>
    <row r="136" customFormat="false" ht="15" hidden="false" customHeight="false" outlineLevel="0" collapsed="false">
      <c r="A136" s="45" t="s">
        <v>913</v>
      </c>
      <c r="B136" s="46" t="n">
        <v>46022</v>
      </c>
      <c r="C136" s="45" t="s">
        <v>864</v>
      </c>
      <c r="D136" s="45" t="s">
        <v>853</v>
      </c>
      <c r="E136" s="45" t="s">
        <v>396</v>
      </c>
      <c r="F136" s="45" t="n">
        <v>63</v>
      </c>
      <c r="G136" s="45"/>
      <c r="H136" s="45"/>
      <c r="I136" s="45"/>
      <c r="J136" s="45"/>
    </row>
    <row r="137" customFormat="false" ht="15" hidden="false" customHeight="false" outlineLevel="0" collapsed="false">
      <c r="A137" s="45" t="s">
        <v>913</v>
      </c>
      <c r="B137" s="45" t="s">
        <v>935</v>
      </c>
      <c r="C137" s="45" t="s">
        <v>864</v>
      </c>
      <c r="D137" s="45" t="s">
        <v>853</v>
      </c>
      <c r="E137" s="45" t="s">
        <v>280</v>
      </c>
      <c r="F137" s="45" t="n">
        <v>44.5</v>
      </c>
      <c r="G137" s="45" t="n">
        <v>103</v>
      </c>
      <c r="H137" s="45" t="n">
        <v>4985</v>
      </c>
      <c r="I137" s="45"/>
      <c r="J137" s="45"/>
    </row>
    <row r="138" customFormat="false" ht="15" hidden="false" customHeight="false" outlineLevel="0" collapsed="false">
      <c r="A138" s="45" t="s">
        <v>913</v>
      </c>
      <c r="B138" s="45" t="s">
        <v>935</v>
      </c>
      <c r="C138" s="45" t="s">
        <v>866</v>
      </c>
      <c r="D138" s="45" t="s">
        <v>857</v>
      </c>
      <c r="E138" s="45" t="s">
        <v>278</v>
      </c>
      <c r="F138" s="45" t="n">
        <v>197.25</v>
      </c>
      <c r="G138" s="45" t="n">
        <v>168</v>
      </c>
      <c r="H138" s="45" t="n">
        <v>845</v>
      </c>
      <c r="I138" s="45"/>
      <c r="J138" s="45"/>
    </row>
    <row r="139" customFormat="false" ht="15" hidden="false" customHeight="false" outlineLevel="0" collapsed="false">
      <c r="A139" s="45" t="s">
        <v>913</v>
      </c>
      <c r="B139" s="46" t="n">
        <v>46022</v>
      </c>
      <c r="C139" s="45" t="s">
        <v>866</v>
      </c>
      <c r="D139" s="45" t="s">
        <v>857</v>
      </c>
      <c r="E139" s="45" t="s">
        <v>936</v>
      </c>
      <c r="F139" s="45" t="n">
        <v>105.75</v>
      </c>
      <c r="G139" s="45"/>
      <c r="H139" s="45"/>
      <c r="I139" s="45"/>
      <c r="J139" s="45"/>
    </row>
    <row r="140" customFormat="false" ht="15" hidden="false" customHeight="false" outlineLevel="0" collapsed="false">
      <c r="A140" s="45" t="s">
        <v>913</v>
      </c>
      <c r="B140" s="46" t="n">
        <v>46022</v>
      </c>
      <c r="C140" s="45" t="s">
        <v>868</v>
      </c>
      <c r="D140" s="45" t="s">
        <v>857</v>
      </c>
      <c r="E140" s="45" t="s">
        <v>278</v>
      </c>
      <c r="F140" s="45" t="n">
        <v>30.25</v>
      </c>
      <c r="G140" s="45"/>
      <c r="H140" s="45"/>
      <c r="I140" s="45"/>
      <c r="J140" s="45"/>
    </row>
    <row r="141" customFormat="false" ht="15" hidden="false" customHeight="false" outlineLevel="0" collapsed="false">
      <c r="A141" s="45" t="s">
        <v>913</v>
      </c>
      <c r="B141" s="46" t="n">
        <v>46022</v>
      </c>
      <c r="C141" s="45" t="s">
        <v>868</v>
      </c>
      <c r="D141" s="45" t="s">
        <v>857</v>
      </c>
      <c r="E141" s="45" t="s">
        <v>268</v>
      </c>
      <c r="F141" s="45" t="n">
        <v>20.75</v>
      </c>
      <c r="G141" s="45" t="n">
        <v>139</v>
      </c>
      <c r="H141" s="45" t="n">
        <v>6370</v>
      </c>
      <c r="I141" s="45" t="n">
        <v>3925</v>
      </c>
      <c r="J141" s="45"/>
    </row>
    <row r="142" customFormat="false" ht="15" hidden="false" customHeight="false" outlineLevel="0" collapsed="false">
      <c r="A142" s="45" t="s">
        <v>913</v>
      </c>
      <c r="B142" s="46" t="n">
        <v>46022</v>
      </c>
      <c r="C142" s="45" t="s">
        <v>869</v>
      </c>
      <c r="D142" s="45" t="s">
        <v>870</v>
      </c>
      <c r="E142" s="45" t="s">
        <v>937</v>
      </c>
      <c r="F142" s="45" t="n">
        <v>21</v>
      </c>
      <c r="G142" s="45"/>
      <c r="H142" s="45"/>
      <c r="I142" s="45"/>
      <c r="J142" s="45"/>
    </row>
    <row r="143" customFormat="false" ht="15" hidden="false" customHeight="false" outlineLevel="0" collapsed="false">
      <c r="A143" s="45" t="s">
        <v>913</v>
      </c>
      <c r="B143" s="46" t="n">
        <v>46022</v>
      </c>
      <c r="C143" s="45" t="s">
        <v>869</v>
      </c>
      <c r="D143" s="45" t="s">
        <v>870</v>
      </c>
      <c r="E143" s="45" t="s">
        <v>363</v>
      </c>
      <c r="F143" s="45" t="n">
        <v>55</v>
      </c>
      <c r="G143" s="45"/>
      <c r="H143" s="45" t="n">
        <v>505</v>
      </c>
      <c r="I143" s="45"/>
      <c r="J143" s="45"/>
    </row>
    <row r="144" customFormat="false" ht="15" hidden="false" customHeight="false" outlineLevel="0" collapsed="false">
      <c r="A144" s="45" t="s">
        <v>913</v>
      </c>
      <c r="B144" s="45" t="s">
        <v>935</v>
      </c>
      <c r="C144" s="45" t="s">
        <v>871</v>
      </c>
      <c r="D144" s="45" t="s">
        <v>853</v>
      </c>
      <c r="E144" s="45" t="s">
        <v>456</v>
      </c>
      <c r="F144" s="45" t="n">
        <v>57.5</v>
      </c>
      <c r="G144" s="45" t="n">
        <v>47</v>
      </c>
      <c r="H144" s="45" t="n">
        <v>440</v>
      </c>
      <c r="I144" s="45"/>
      <c r="J144" s="45"/>
    </row>
    <row r="145" customFormat="false" ht="15" hidden="false" customHeight="false" outlineLevel="0" collapsed="false">
      <c r="A145" s="45" t="s">
        <v>913</v>
      </c>
      <c r="B145" s="45" t="s">
        <v>935</v>
      </c>
      <c r="C145" s="45" t="s">
        <v>872</v>
      </c>
      <c r="D145" s="45" t="s">
        <v>873</v>
      </c>
      <c r="E145" s="45" t="s">
        <v>413</v>
      </c>
      <c r="F145" s="45" t="n">
        <v>40.5</v>
      </c>
      <c r="G145" s="45" t="n">
        <v>10</v>
      </c>
      <c r="H145" s="45" t="n">
        <v>95</v>
      </c>
      <c r="I145" s="45"/>
      <c r="J145" s="45"/>
    </row>
    <row r="146" customFormat="false" ht="15" hidden="false" customHeight="false" outlineLevel="0" collapsed="false">
      <c r="A146" s="45" t="s">
        <v>913</v>
      </c>
      <c r="B146" s="45" t="s">
        <v>938</v>
      </c>
      <c r="C146" s="45" t="s">
        <v>872</v>
      </c>
      <c r="D146" s="45" t="s">
        <v>873</v>
      </c>
      <c r="E146" s="45" t="s">
        <v>301</v>
      </c>
      <c r="F146" s="45" t="n">
        <v>45.75</v>
      </c>
      <c r="G146" s="45"/>
      <c r="H146" s="45"/>
      <c r="I146" s="45"/>
      <c r="J146" s="45"/>
    </row>
    <row r="147" customFormat="false" ht="15" hidden="false" customHeight="false" outlineLevel="0" collapsed="false">
      <c r="A147" s="45" t="s">
        <v>913</v>
      </c>
      <c r="B147" s="46" t="n">
        <v>46022</v>
      </c>
      <c r="C147" s="45" t="s">
        <v>874</v>
      </c>
      <c r="D147" s="45" t="s">
        <v>873</v>
      </c>
      <c r="E147" s="45" t="s">
        <v>532</v>
      </c>
      <c r="F147" s="45" t="n">
        <v>54</v>
      </c>
      <c r="G147" s="45" t="n">
        <v>3</v>
      </c>
      <c r="H147" s="45" t="n">
        <v>70</v>
      </c>
      <c r="I147" s="45"/>
      <c r="J147" s="45"/>
    </row>
    <row r="148" customFormat="false" ht="15" hidden="false" customHeight="false" outlineLevel="0" collapsed="false">
      <c r="A148" s="45" t="s">
        <v>913</v>
      </c>
      <c r="B148" s="45" t="s">
        <v>935</v>
      </c>
      <c r="C148" s="45" t="s">
        <v>875</v>
      </c>
      <c r="D148" s="45" t="s">
        <v>876</v>
      </c>
      <c r="E148" s="45" t="s">
        <v>896</v>
      </c>
      <c r="F148" s="45" t="n">
        <v>11.75</v>
      </c>
      <c r="G148" s="45"/>
      <c r="H148" s="45"/>
      <c r="I148" s="45"/>
      <c r="J148" s="45"/>
    </row>
    <row r="149" customFormat="false" ht="15" hidden="false" customHeight="false" outlineLevel="0" collapsed="false">
      <c r="A149" s="45" t="s">
        <v>913</v>
      </c>
      <c r="B149" s="46" t="n">
        <v>46022</v>
      </c>
      <c r="C149" s="45" t="s">
        <v>875</v>
      </c>
      <c r="D149" s="45" t="s">
        <v>876</v>
      </c>
      <c r="E149" s="45" t="s">
        <v>439</v>
      </c>
      <c r="F149" s="45" t="n">
        <v>47.75</v>
      </c>
      <c r="G149" s="45" t="n">
        <v>7</v>
      </c>
      <c r="H149" s="45" t="n">
        <v>1700</v>
      </c>
      <c r="I149" s="45" t="n">
        <v>4140</v>
      </c>
      <c r="J149" s="45"/>
    </row>
    <row r="150" customFormat="false" ht="15" hidden="false" customHeight="false" outlineLevel="0" collapsed="false">
      <c r="A150" s="45" t="s">
        <v>939</v>
      </c>
      <c r="B150" s="45" t="s">
        <v>940</v>
      </c>
      <c r="C150" s="45" t="s">
        <v>862</v>
      </c>
      <c r="D150" s="45" t="s">
        <v>859</v>
      </c>
      <c r="E150" s="45" t="s">
        <v>421</v>
      </c>
      <c r="F150" s="45" t="n">
        <v>4</v>
      </c>
      <c r="G150" s="45"/>
      <c r="H150" s="45"/>
      <c r="I150" s="45"/>
      <c r="J150" s="45"/>
    </row>
    <row r="151" customFormat="false" ht="15" hidden="false" customHeight="false" outlineLevel="0" collapsed="false">
      <c r="A151" s="45" t="s">
        <v>939</v>
      </c>
      <c r="B151" s="46" t="n">
        <v>46025</v>
      </c>
      <c r="C151" s="45" t="s">
        <v>862</v>
      </c>
      <c r="D151" s="45" t="s">
        <v>859</v>
      </c>
      <c r="E151" s="45" t="s">
        <v>941</v>
      </c>
      <c r="F151" s="45" t="s">
        <v>942</v>
      </c>
      <c r="G151" s="45" t="n">
        <v>35</v>
      </c>
      <c r="H151" s="45" t="n">
        <v>1030</v>
      </c>
      <c r="I151" s="45"/>
      <c r="J151" s="45"/>
    </row>
    <row r="152" customFormat="false" ht="15" hidden="false" customHeight="false" outlineLevel="0" collapsed="false">
      <c r="A152" s="45" t="s">
        <v>939</v>
      </c>
      <c r="B152" s="46" t="n">
        <v>46030</v>
      </c>
      <c r="C152" s="45" t="s">
        <v>852</v>
      </c>
      <c r="D152" s="45" t="s">
        <v>853</v>
      </c>
      <c r="E152" s="45" t="s">
        <v>301</v>
      </c>
      <c r="F152" s="45" t="n">
        <v>4.5</v>
      </c>
      <c r="G152" s="45" t="n">
        <v>55</v>
      </c>
      <c r="H152" s="45" t="n">
        <v>55</v>
      </c>
      <c r="I152" s="45"/>
      <c r="J152" s="45"/>
    </row>
    <row r="153" customFormat="false" ht="15" hidden="false" customHeight="false" outlineLevel="0" collapsed="false">
      <c r="A153" s="45" t="s">
        <v>939</v>
      </c>
      <c r="B153" s="46" t="n">
        <v>46031</v>
      </c>
      <c r="C153" s="45" t="s">
        <v>852</v>
      </c>
      <c r="D153" s="45" t="s">
        <v>853</v>
      </c>
      <c r="E153" s="45" t="s">
        <v>301</v>
      </c>
      <c r="F153" s="45" t="n">
        <v>3.5</v>
      </c>
      <c r="G153" s="45" t="n">
        <v>41</v>
      </c>
      <c r="H153" s="45" t="n">
        <v>90</v>
      </c>
      <c r="I153" s="45"/>
      <c r="J153" s="45"/>
    </row>
    <row r="154" customFormat="false" ht="15" hidden="false" customHeight="false" outlineLevel="0" collapsed="false">
      <c r="A154" s="45" t="s">
        <v>939</v>
      </c>
      <c r="B154" s="45" t="s">
        <v>943</v>
      </c>
      <c r="C154" s="45" t="s">
        <v>944</v>
      </c>
      <c r="D154" s="45" t="s">
        <v>945</v>
      </c>
      <c r="E154" s="45" t="s">
        <v>351</v>
      </c>
      <c r="F154" s="45"/>
      <c r="G154" s="45"/>
      <c r="H154" s="45" t="n">
        <v>32145</v>
      </c>
      <c r="I154" s="45"/>
      <c r="J154" s="45"/>
    </row>
    <row r="155" customFormat="false" ht="15" hidden="false" customHeight="false" outlineLevel="0" collapsed="false">
      <c r="A155" s="45" t="s">
        <v>939</v>
      </c>
      <c r="B155" s="46" t="n">
        <v>46052</v>
      </c>
      <c r="C155" s="45" t="s">
        <v>852</v>
      </c>
      <c r="D155" s="45" t="s">
        <v>853</v>
      </c>
      <c r="E155" s="45" t="s">
        <v>335</v>
      </c>
      <c r="F155" s="45" t="n">
        <v>3.5</v>
      </c>
      <c r="G155" s="45" t="n">
        <v>45</v>
      </c>
      <c r="H155" s="45" t="n">
        <v>60</v>
      </c>
      <c r="I155" s="45"/>
      <c r="J155" s="45"/>
    </row>
    <row r="156" customFormat="false" ht="15" hidden="false" customHeight="false" outlineLevel="0" collapsed="false">
      <c r="A156" s="45" t="s">
        <v>939</v>
      </c>
      <c r="B156" s="45" t="s">
        <v>946</v>
      </c>
      <c r="C156" s="45" t="s">
        <v>864</v>
      </c>
      <c r="D156" s="45" t="s">
        <v>853</v>
      </c>
      <c r="E156" s="45" t="s">
        <v>278</v>
      </c>
      <c r="F156" s="45" t="n">
        <v>33.5</v>
      </c>
      <c r="G156" s="45"/>
      <c r="H156" s="45"/>
      <c r="I156" s="45"/>
      <c r="J156" s="45"/>
    </row>
    <row r="157" customFormat="false" ht="15" hidden="false" customHeight="false" outlineLevel="0" collapsed="false">
      <c r="A157" s="45" t="s">
        <v>939</v>
      </c>
      <c r="B157" s="45" t="s">
        <v>946</v>
      </c>
      <c r="C157" s="45" t="s">
        <v>864</v>
      </c>
      <c r="D157" s="45" t="s">
        <v>853</v>
      </c>
      <c r="E157" s="45" t="s">
        <v>279</v>
      </c>
      <c r="F157" s="45" t="n">
        <v>64</v>
      </c>
      <c r="G157" s="45"/>
      <c r="H157" s="45"/>
      <c r="I157" s="45"/>
      <c r="J157" s="45"/>
    </row>
    <row r="158" customFormat="false" ht="15" hidden="false" customHeight="false" outlineLevel="0" collapsed="false">
      <c r="A158" s="45" t="s">
        <v>939</v>
      </c>
      <c r="B158" s="45" t="s">
        <v>946</v>
      </c>
      <c r="C158" s="45" t="s">
        <v>864</v>
      </c>
      <c r="D158" s="45" t="s">
        <v>853</v>
      </c>
      <c r="E158" s="45" t="s">
        <v>325</v>
      </c>
      <c r="F158" s="45" t="n">
        <v>47.5</v>
      </c>
      <c r="G158" s="45" t="n">
        <v>153</v>
      </c>
      <c r="H158" s="45" t="n">
        <v>4970</v>
      </c>
      <c r="I158" s="45"/>
      <c r="J158" s="45"/>
    </row>
    <row r="159" customFormat="false" ht="15" hidden="false" customHeight="false" outlineLevel="0" collapsed="false">
      <c r="A159" s="45" t="s">
        <v>939</v>
      </c>
      <c r="B159" s="45" t="s">
        <v>947</v>
      </c>
      <c r="C159" s="45" t="s">
        <v>866</v>
      </c>
      <c r="D159" s="45" t="s">
        <v>857</v>
      </c>
      <c r="E159" s="45" t="s">
        <v>360</v>
      </c>
      <c r="F159" s="45" t="n">
        <v>197</v>
      </c>
      <c r="G159" s="45" t="n">
        <v>259</v>
      </c>
      <c r="H159" s="45" t="n">
        <v>710</v>
      </c>
      <c r="I159" s="45"/>
      <c r="J159" s="45"/>
    </row>
    <row r="160" customFormat="false" ht="15" hidden="false" customHeight="false" outlineLevel="0" collapsed="false">
      <c r="A160" s="45" t="s">
        <v>939</v>
      </c>
      <c r="B160" s="46" t="n">
        <v>46053</v>
      </c>
      <c r="C160" s="45" t="s">
        <v>866</v>
      </c>
      <c r="D160" s="45" t="s">
        <v>857</v>
      </c>
      <c r="E160" s="45" t="s">
        <v>627</v>
      </c>
      <c r="F160" s="45" t="n">
        <v>90.25</v>
      </c>
      <c r="G160" s="45"/>
      <c r="H160" s="45"/>
      <c r="I160" s="45"/>
      <c r="J160" s="45"/>
    </row>
    <row r="161" customFormat="false" ht="15" hidden="false" customHeight="false" outlineLevel="0" collapsed="false">
      <c r="A161" s="45" t="s">
        <v>939</v>
      </c>
      <c r="B161" s="46" t="n">
        <v>46053</v>
      </c>
      <c r="C161" s="45" t="s">
        <v>868</v>
      </c>
      <c r="D161" s="45" t="s">
        <v>857</v>
      </c>
      <c r="E161" s="45" t="s">
        <v>278</v>
      </c>
      <c r="F161" s="45" t="n">
        <v>46</v>
      </c>
      <c r="G161" s="45"/>
      <c r="H161" s="45"/>
      <c r="I161" s="45"/>
      <c r="J161" s="45"/>
    </row>
    <row r="162" customFormat="false" ht="15" hidden="false" customHeight="false" outlineLevel="0" collapsed="false">
      <c r="A162" s="45" t="s">
        <v>939</v>
      </c>
      <c r="B162" s="46" t="n">
        <v>46053</v>
      </c>
      <c r="C162" s="45" t="s">
        <v>868</v>
      </c>
      <c r="D162" s="45" t="s">
        <v>857</v>
      </c>
      <c r="E162" s="45" t="s">
        <v>372</v>
      </c>
      <c r="F162" s="45"/>
      <c r="G162" s="45" t="n">
        <v>89</v>
      </c>
      <c r="H162" s="45" t="n">
        <v>11410</v>
      </c>
      <c r="I162" s="45" t="n">
        <v>3095</v>
      </c>
      <c r="J162" s="45"/>
    </row>
    <row r="163" customFormat="false" ht="15" hidden="false" customHeight="false" outlineLevel="0" collapsed="false">
      <c r="A163" s="45" t="s">
        <v>939</v>
      </c>
      <c r="B163" s="46" t="n">
        <v>46053</v>
      </c>
      <c r="C163" s="45" t="s">
        <v>869</v>
      </c>
      <c r="D163" s="45" t="s">
        <v>870</v>
      </c>
      <c r="E163" s="45" t="s">
        <v>948</v>
      </c>
      <c r="F163" s="45" t="n">
        <v>33.5</v>
      </c>
      <c r="G163" s="45"/>
      <c r="H163" s="45"/>
      <c r="I163" s="45"/>
      <c r="J163" s="45"/>
    </row>
    <row r="164" customFormat="false" ht="15" hidden="false" customHeight="false" outlineLevel="0" collapsed="false">
      <c r="A164" s="45" t="s">
        <v>939</v>
      </c>
      <c r="B164" s="46" t="n">
        <v>46053</v>
      </c>
      <c r="C164" s="45" t="s">
        <v>869</v>
      </c>
      <c r="D164" s="45" t="s">
        <v>870</v>
      </c>
      <c r="E164" s="45" t="s">
        <v>419</v>
      </c>
      <c r="F164" s="45" t="n">
        <v>41.75</v>
      </c>
      <c r="G164" s="45"/>
      <c r="H164" s="45" t="n">
        <v>210</v>
      </c>
      <c r="I164" s="45"/>
      <c r="J164" s="45"/>
    </row>
    <row r="165" customFormat="false" ht="15" hidden="false" customHeight="false" outlineLevel="0" collapsed="false">
      <c r="A165" s="45" t="s">
        <v>939</v>
      </c>
      <c r="B165" s="45" t="s">
        <v>946</v>
      </c>
      <c r="C165" s="45" t="s">
        <v>891</v>
      </c>
      <c r="D165" s="45" t="s">
        <v>882</v>
      </c>
      <c r="E165" s="45" t="s">
        <v>263</v>
      </c>
      <c r="F165" s="45" t="n">
        <v>2.5</v>
      </c>
      <c r="G165" s="45"/>
      <c r="H165" s="45"/>
      <c r="I165" s="45"/>
      <c r="J165" s="45"/>
    </row>
    <row r="166" customFormat="false" ht="15" hidden="false" customHeight="false" outlineLevel="0" collapsed="false">
      <c r="A166" s="45" t="s">
        <v>939</v>
      </c>
      <c r="B166" s="45" t="s">
        <v>946</v>
      </c>
      <c r="C166" s="45" t="s">
        <v>891</v>
      </c>
      <c r="D166" s="45" t="s">
        <v>882</v>
      </c>
      <c r="E166" s="45" t="s">
        <v>339</v>
      </c>
      <c r="F166" s="45" t="n">
        <v>2.5</v>
      </c>
      <c r="G166" s="45" t="n">
        <v>19</v>
      </c>
      <c r="H166" s="45" t="n">
        <v>1360</v>
      </c>
      <c r="I166" s="45" t="n">
        <v>655</v>
      </c>
      <c r="J166" s="45"/>
    </row>
    <row r="167" customFormat="false" ht="15" hidden="false" customHeight="false" outlineLevel="0" collapsed="false">
      <c r="A167" s="45" t="s">
        <v>939</v>
      </c>
      <c r="B167" s="45" t="s">
        <v>946</v>
      </c>
      <c r="C167" s="45" t="s">
        <v>871</v>
      </c>
      <c r="D167" s="45" t="s">
        <v>853</v>
      </c>
      <c r="E167" s="45" t="s">
        <v>532</v>
      </c>
      <c r="F167" s="45" t="s">
        <v>949</v>
      </c>
      <c r="G167" s="45" t="n">
        <v>37</v>
      </c>
      <c r="H167" s="45" t="n">
        <v>505</v>
      </c>
      <c r="I167" s="45"/>
      <c r="J167" s="45"/>
    </row>
    <row r="168" customFormat="false" ht="15" hidden="false" customHeight="false" outlineLevel="0" collapsed="false">
      <c r="A168" s="45" t="s">
        <v>939</v>
      </c>
      <c r="B168" s="46" t="n">
        <v>46053</v>
      </c>
      <c r="C168" s="45" t="s">
        <v>872</v>
      </c>
      <c r="D168" s="45" t="s">
        <v>873</v>
      </c>
      <c r="E168" s="45" t="s">
        <v>387</v>
      </c>
      <c r="F168" s="45" t="n">
        <v>89.75</v>
      </c>
      <c r="G168" s="45" t="n">
        <v>31</v>
      </c>
      <c r="H168" s="45" t="n">
        <v>240</v>
      </c>
      <c r="I168" s="45"/>
      <c r="J168" s="45"/>
    </row>
    <row r="169" customFormat="false" ht="15" hidden="false" customHeight="false" outlineLevel="0" collapsed="false">
      <c r="A169" s="45" t="s">
        <v>939</v>
      </c>
      <c r="B169" s="46" t="n">
        <v>46053</v>
      </c>
      <c r="C169" s="45" t="s">
        <v>872</v>
      </c>
      <c r="D169" s="45" t="s">
        <v>873</v>
      </c>
      <c r="E169" s="45" t="s">
        <v>723</v>
      </c>
      <c r="F169" s="45" t="n">
        <v>179</v>
      </c>
      <c r="G169" s="45"/>
      <c r="H169" s="45"/>
      <c r="I169" s="45"/>
      <c r="J169" s="45"/>
    </row>
    <row r="170" customFormat="false" ht="15" hidden="false" customHeight="false" outlineLevel="0" collapsed="false">
      <c r="A170" s="45" t="s">
        <v>939</v>
      </c>
      <c r="B170" s="46" t="n">
        <v>46053</v>
      </c>
      <c r="C170" s="45" t="s">
        <v>874</v>
      </c>
      <c r="D170" s="45" t="s">
        <v>873</v>
      </c>
      <c r="E170" s="45" t="s">
        <v>532</v>
      </c>
      <c r="F170" s="45" t="n">
        <v>59</v>
      </c>
      <c r="G170" s="45" t="n">
        <v>3</v>
      </c>
      <c r="H170" s="45" t="n">
        <v>85</v>
      </c>
      <c r="I170" s="45"/>
      <c r="J170" s="45"/>
    </row>
    <row r="171" customFormat="false" ht="15" hidden="false" customHeight="false" outlineLevel="0" collapsed="false">
      <c r="A171" s="45" t="s">
        <v>939</v>
      </c>
      <c r="B171" s="45" t="s">
        <v>947</v>
      </c>
      <c r="C171" s="45" t="s">
        <v>875</v>
      </c>
      <c r="D171" s="45" t="s">
        <v>876</v>
      </c>
      <c r="E171" s="45" t="s">
        <v>896</v>
      </c>
      <c r="F171" s="45" t="n">
        <v>12.75</v>
      </c>
      <c r="G171" s="45"/>
      <c r="H171" s="45"/>
      <c r="I171" s="45"/>
      <c r="J171" s="45"/>
    </row>
    <row r="172" customFormat="false" ht="15" hidden="false" customHeight="false" outlineLevel="0" collapsed="false">
      <c r="A172" s="45" t="s">
        <v>939</v>
      </c>
      <c r="B172" s="46" t="n">
        <v>46053</v>
      </c>
      <c r="C172" s="45" t="s">
        <v>875</v>
      </c>
      <c r="D172" s="45" t="s">
        <v>876</v>
      </c>
      <c r="E172" s="45" t="s">
        <v>950</v>
      </c>
      <c r="F172" s="45" t="n">
        <v>54</v>
      </c>
      <c r="G172" s="45" t="n">
        <v>9</v>
      </c>
      <c r="H172" s="45" t="n">
        <v>1645</v>
      </c>
      <c r="I172" s="45" t="n">
        <v>4450</v>
      </c>
      <c r="J172" s="45"/>
    </row>
    <row r="173" customFormat="false" ht="15" hidden="false" customHeight="false" outlineLevel="0" collapsed="false">
      <c r="A173" s="45" t="s">
        <v>939</v>
      </c>
      <c r="B173" s="45" t="s">
        <v>951</v>
      </c>
      <c r="C173" s="45" t="s">
        <v>891</v>
      </c>
      <c r="D173" s="45" t="s">
        <v>882</v>
      </c>
      <c r="E173" s="45" t="s">
        <v>409</v>
      </c>
      <c r="F173" s="45" t="n">
        <v>2.25</v>
      </c>
      <c r="G173" s="45"/>
      <c r="H173" s="45"/>
      <c r="I173" s="45"/>
      <c r="J173" s="45"/>
    </row>
    <row r="174" customFormat="false" ht="15" hidden="false" customHeight="false" outlineLevel="0" collapsed="false">
      <c r="A174" s="45" t="s">
        <v>939</v>
      </c>
      <c r="B174" s="45" t="s">
        <v>951</v>
      </c>
      <c r="C174" s="45" t="s">
        <v>891</v>
      </c>
      <c r="D174" s="45" t="s">
        <v>882</v>
      </c>
      <c r="E174" s="45" t="s">
        <v>409</v>
      </c>
      <c r="F174" s="45" t="n">
        <v>2.5</v>
      </c>
      <c r="G174" s="45"/>
      <c r="H174" s="45"/>
      <c r="I174" s="45"/>
      <c r="J174" s="45"/>
    </row>
    <row r="175" customFormat="false" ht="15" hidden="false" customHeight="false" outlineLevel="0" collapsed="false">
      <c r="A175" s="45" t="s">
        <v>939</v>
      </c>
      <c r="B175" s="46" t="n">
        <v>46067</v>
      </c>
      <c r="C175" s="45" t="s">
        <v>891</v>
      </c>
      <c r="D175" s="45" t="s">
        <v>882</v>
      </c>
      <c r="E175" s="45" t="s">
        <v>283</v>
      </c>
      <c r="F175" s="45" t="n">
        <v>3</v>
      </c>
      <c r="G175" s="45" t="n">
        <v>32</v>
      </c>
      <c r="H175" s="45" t="n">
        <v>1980</v>
      </c>
      <c r="I175" s="45" t="n">
        <v>1565</v>
      </c>
      <c r="J175" s="45"/>
    </row>
    <row r="176" customFormat="false" ht="15" hidden="false" customHeight="false" outlineLevel="0" collapsed="false">
      <c r="A176" s="45" t="s">
        <v>939</v>
      </c>
      <c r="B176" s="45" t="s">
        <v>951</v>
      </c>
      <c r="C176" s="45" t="s">
        <v>891</v>
      </c>
      <c r="D176" s="45" t="s">
        <v>882</v>
      </c>
      <c r="E176" s="45" t="s">
        <v>441</v>
      </c>
      <c r="F176" s="45" t="n">
        <v>2.75</v>
      </c>
      <c r="G176" s="45" t="n">
        <v>24</v>
      </c>
      <c r="H176" s="45" t="n">
        <v>1175</v>
      </c>
      <c r="I176" s="45" t="n">
        <v>1505</v>
      </c>
      <c r="J176" s="45"/>
    </row>
    <row r="177" customFormat="false" ht="15" hidden="false" customHeight="false" outlineLevel="0" collapsed="false">
      <c r="A177" s="45" t="s">
        <v>939</v>
      </c>
      <c r="B177" s="45" t="s">
        <v>952</v>
      </c>
      <c r="C177" s="45" t="s">
        <v>856</v>
      </c>
      <c r="D177" s="45" t="s">
        <v>857</v>
      </c>
      <c r="E177" s="45" t="s">
        <v>394</v>
      </c>
      <c r="F177" s="45" t="n">
        <v>2.25</v>
      </c>
      <c r="G177" s="45" t="n">
        <v>7</v>
      </c>
      <c r="H177" s="45" t="n">
        <v>30</v>
      </c>
      <c r="I177" s="45"/>
      <c r="J177" s="45"/>
    </row>
    <row r="178" customFormat="false" ht="15" hidden="false" customHeight="false" outlineLevel="0" collapsed="false">
      <c r="A178" s="45" t="s">
        <v>939</v>
      </c>
      <c r="B178" s="45" t="s">
        <v>952</v>
      </c>
      <c r="C178" s="45" t="s">
        <v>856</v>
      </c>
      <c r="D178" s="45" t="s">
        <v>857</v>
      </c>
      <c r="E178" s="45" t="s">
        <v>342</v>
      </c>
      <c r="F178" s="45" t="s">
        <v>953</v>
      </c>
      <c r="G178" s="45"/>
      <c r="H178" s="45"/>
      <c r="I178" s="45"/>
      <c r="J178" s="45"/>
    </row>
    <row r="179" customFormat="false" ht="15" hidden="false" customHeight="false" outlineLevel="0" collapsed="false">
      <c r="A179" s="45" t="s">
        <v>939</v>
      </c>
      <c r="B179" s="46" t="n">
        <v>46081</v>
      </c>
      <c r="C179" s="45" t="s">
        <v>864</v>
      </c>
      <c r="D179" s="45" t="s">
        <v>853</v>
      </c>
      <c r="E179" s="45" t="s">
        <v>278</v>
      </c>
      <c r="F179" s="45" t="n">
        <v>61.5</v>
      </c>
      <c r="G179" s="45"/>
      <c r="H179" s="45"/>
      <c r="I179" s="45"/>
      <c r="J179" s="45"/>
    </row>
    <row r="180" customFormat="false" ht="15" hidden="false" customHeight="false" outlineLevel="0" collapsed="false">
      <c r="A180" s="45" t="s">
        <v>939</v>
      </c>
      <c r="B180" s="45" t="s">
        <v>954</v>
      </c>
      <c r="C180" s="45" t="s">
        <v>864</v>
      </c>
      <c r="D180" s="45" t="s">
        <v>853</v>
      </c>
      <c r="E180" s="45" t="s">
        <v>517</v>
      </c>
      <c r="F180" s="45" t="n">
        <v>75.25</v>
      </c>
      <c r="G180" s="45"/>
      <c r="H180" s="45"/>
      <c r="I180" s="45"/>
      <c r="J180" s="45"/>
    </row>
    <row r="181" customFormat="false" ht="15" hidden="false" customHeight="false" outlineLevel="0" collapsed="false">
      <c r="A181" s="45" t="s">
        <v>939</v>
      </c>
      <c r="B181" s="46" t="n">
        <v>46081</v>
      </c>
      <c r="C181" s="45" t="s">
        <v>864</v>
      </c>
      <c r="D181" s="45" t="s">
        <v>853</v>
      </c>
      <c r="E181" s="45" t="s">
        <v>325</v>
      </c>
      <c r="F181" s="45" t="n">
        <v>71.75</v>
      </c>
      <c r="G181" s="45" t="n">
        <v>119</v>
      </c>
      <c r="H181" s="45" t="n">
        <v>4475</v>
      </c>
      <c r="I181" s="45"/>
      <c r="J181" s="45"/>
    </row>
    <row r="182" customFormat="false" ht="15" hidden="false" customHeight="false" outlineLevel="0" collapsed="false">
      <c r="A182" s="45" t="s">
        <v>939</v>
      </c>
      <c r="B182" s="45" t="s">
        <v>954</v>
      </c>
      <c r="C182" s="45" t="s">
        <v>866</v>
      </c>
      <c r="D182" s="45" t="s">
        <v>857</v>
      </c>
      <c r="E182" s="45" t="s">
        <v>955</v>
      </c>
      <c r="F182" s="45" t="n">
        <v>248.75</v>
      </c>
      <c r="G182" s="45" t="n">
        <v>235</v>
      </c>
      <c r="H182" s="45" t="n">
        <v>735</v>
      </c>
      <c r="I182" s="45"/>
      <c r="J182" s="45"/>
    </row>
    <row r="183" customFormat="false" ht="15" hidden="false" customHeight="false" outlineLevel="0" collapsed="false">
      <c r="A183" s="45" t="s">
        <v>939</v>
      </c>
      <c r="B183" s="46" t="n">
        <v>46081</v>
      </c>
      <c r="C183" s="45" t="s">
        <v>866</v>
      </c>
      <c r="D183" s="45" t="s">
        <v>857</v>
      </c>
      <c r="E183" s="45" t="s">
        <v>289</v>
      </c>
      <c r="F183" s="45" t="n">
        <v>93.25</v>
      </c>
      <c r="G183" s="45"/>
      <c r="H183" s="45"/>
      <c r="I183" s="45"/>
      <c r="J183" s="45"/>
    </row>
    <row r="184" customFormat="false" ht="15" hidden="false" customHeight="false" outlineLevel="0" collapsed="false">
      <c r="A184" s="45" t="s">
        <v>939</v>
      </c>
      <c r="B184" s="45" t="s">
        <v>956</v>
      </c>
      <c r="C184" s="45" t="s">
        <v>868</v>
      </c>
      <c r="D184" s="45" t="s">
        <v>857</v>
      </c>
      <c r="E184" s="45" t="s">
        <v>278</v>
      </c>
      <c r="F184" s="45" t="s">
        <v>957</v>
      </c>
      <c r="G184" s="45"/>
      <c r="H184" s="45"/>
      <c r="I184" s="45"/>
      <c r="J184" s="45"/>
    </row>
    <row r="185" customFormat="false" ht="15" hidden="false" customHeight="false" outlineLevel="0" collapsed="false">
      <c r="A185" s="45" t="s">
        <v>939</v>
      </c>
      <c r="B185" s="46" t="n">
        <v>46081</v>
      </c>
      <c r="C185" s="45" t="s">
        <v>868</v>
      </c>
      <c r="D185" s="45" t="s">
        <v>857</v>
      </c>
      <c r="E185" s="45" t="s">
        <v>411</v>
      </c>
      <c r="F185" s="45" t="n">
        <v>16</v>
      </c>
      <c r="G185" s="45" t="n">
        <v>136</v>
      </c>
      <c r="H185" s="45" t="n">
        <v>6490</v>
      </c>
      <c r="I185" s="45" t="n">
        <v>3335</v>
      </c>
      <c r="J185" s="45"/>
    </row>
    <row r="186" customFormat="false" ht="15" hidden="false" customHeight="false" outlineLevel="0" collapsed="false">
      <c r="A186" s="45" t="s">
        <v>939</v>
      </c>
      <c r="B186" s="45" t="s">
        <v>954</v>
      </c>
      <c r="C186" s="45" t="s">
        <v>869</v>
      </c>
      <c r="D186" s="45" t="s">
        <v>870</v>
      </c>
      <c r="E186" s="45" t="s">
        <v>670</v>
      </c>
      <c r="F186" s="45" t="n">
        <v>21.25</v>
      </c>
      <c r="G186" s="45"/>
      <c r="H186" s="45"/>
      <c r="I186" s="45"/>
      <c r="J186" s="45"/>
    </row>
    <row r="187" customFormat="false" ht="15" hidden="false" customHeight="false" outlineLevel="0" collapsed="false">
      <c r="A187" s="45" t="s">
        <v>939</v>
      </c>
      <c r="B187" s="45" t="s">
        <v>956</v>
      </c>
      <c r="C187" s="45" t="s">
        <v>869</v>
      </c>
      <c r="D187" s="45" t="s">
        <v>870</v>
      </c>
      <c r="E187" s="45" t="s">
        <v>331</v>
      </c>
      <c r="F187" s="45" t="n">
        <v>55.25</v>
      </c>
      <c r="G187" s="45"/>
      <c r="H187" s="45" t="n">
        <v>550</v>
      </c>
      <c r="I187" s="45"/>
      <c r="J187" s="45"/>
    </row>
    <row r="188" customFormat="false" ht="15" hidden="false" customHeight="false" outlineLevel="0" collapsed="false">
      <c r="A188" s="45" t="s">
        <v>939</v>
      </c>
      <c r="B188" s="45" t="s">
        <v>956</v>
      </c>
      <c r="C188" s="45" t="s">
        <v>871</v>
      </c>
      <c r="D188" s="45" t="s">
        <v>853</v>
      </c>
      <c r="E188" s="45" t="s">
        <v>571</v>
      </c>
      <c r="F188" s="45" t="n">
        <v>63.75</v>
      </c>
      <c r="G188" s="45" t="n">
        <v>36</v>
      </c>
      <c r="H188" s="45" t="n">
        <v>560</v>
      </c>
      <c r="I188" s="45"/>
      <c r="J188" s="45"/>
    </row>
    <row r="189" customFormat="false" ht="15" hidden="false" customHeight="false" outlineLevel="0" collapsed="false">
      <c r="A189" s="45" t="s">
        <v>939</v>
      </c>
      <c r="B189" s="45" t="s">
        <v>954</v>
      </c>
      <c r="C189" s="45" t="s">
        <v>872</v>
      </c>
      <c r="D189" s="45" t="s">
        <v>873</v>
      </c>
      <c r="E189" s="45" t="s">
        <v>421</v>
      </c>
      <c r="F189" s="45" t="n">
        <v>83</v>
      </c>
      <c r="G189" s="45" t="n">
        <v>21</v>
      </c>
      <c r="H189" s="45" t="n">
        <v>390</v>
      </c>
      <c r="I189" s="45"/>
      <c r="J189" s="45"/>
    </row>
    <row r="190" customFormat="false" ht="15" hidden="false" customHeight="false" outlineLevel="0" collapsed="false">
      <c r="A190" s="45" t="s">
        <v>939</v>
      </c>
      <c r="B190" s="45" t="s">
        <v>954</v>
      </c>
      <c r="C190" s="45" t="s">
        <v>872</v>
      </c>
      <c r="D190" s="45" t="s">
        <v>873</v>
      </c>
      <c r="E190" s="45" t="s">
        <v>458</v>
      </c>
      <c r="F190" s="45" t="n">
        <v>179</v>
      </c>
      <c r="G190" s="45"/>
      <c r="H190" s="45"/>
      <c r="I190" s="45"/>
      <c r="J190" s="45"/>
    </row>
    <row r="191" customFormat="false" ht="15" hidden="false" customHeight="false" outlineLevel="0" collapsed="false">
      <c r="A191" s="45" t="s">
        <v>939</v>
      </c>
      <c r="B191" s="45" t="s">
        <v>954</v>
      </c>
      <c r="C191" s="45" t="s">
        <v>874</v>
      </c>
      <c r="D191" s="45" t="s">
        <v>873</v>
      </c>
      <c r="E191" s="45" t="s">
        <v>532</v>
      </c>
      <c r="F191" s="45" t="n">
        <v>49.25</v>
      </c>
      <c r="G191" s="45" t="n">
        <v>3</v>
      </c>
      <c r="H191" s="45" t="n">
        <v>85</v>
      </c>
      <c r="I191" s="45"/>
      <c r="J191" s="45"/>
    </row>
    <row r="192" customFormat="false" ht="15" hidden="false" customHeight="false" outlineLevel="0" collapsed="false">
      <c r="A192" s="45" t="s">
        <v>939</v>
      </c>
      <c r="B192" s="46" t="n">
        <v>46081</v>
      </c>
      <c r="C192" s="45" t="s">
        <v>875</v>
      </c>
      <c r="D192" s="45" t="s">
        <v>876</v>
      </c>
      <c r="E192" s="45" t="s">
        <v>308</v>
      </c>
      <c r="F192" s="45" t="n">
        <v>12.25</v>
      </c>
      <c r="G192" s="45"/>
      <c r="H192" s="45"/>
      <c r="I192" s="45"/>
      <c r="J192" s="45"/>
    </row>
    <row r="193" customFormat="false" ht="15" hidden="false" customHeight="false" outlineLevel="0" collapsed="false">
      <c r="A193" s="45" t="s">
        <v>939</v>
      </c>
      <c r="B193" s="46" t="n">
        <v>46081</v>
      </c>
      <c r="C193" s="45" t="s">
        <v>875</v>
      </c>
      <c r="D193" s="45" t="s">
        <v>876</v>
      </c>
      <c r="E193" s="45" t="s">
        <v>482</v>
      </c>
      <c r="F193" s="45" t="n">
        <v>35.5</v>
      </c>
      <c r="G193" s="45" t="n">
        <v>9</v>
      </c>
      <c r="H193" s="45" t="n">
        <v>1500</v>
      </c>
      <c r="I193" s="45" t="n">
        <v>5170</v>
      </c>
      <c r="J193" s="45"/>
    </row>
    <row r="194" customFormat="false" ht="15" hidden="false" customHeight="false" outlineLevel="0" collapsed="false">
      <c r="A194" s="45" t="s">
        <v>939</v>
      </c>
      <c r="B194" s="45" t="s">
        <v>958</v>
      </c>
      <c r="C194" s="45" t="s">
        <v>891</v>
      </c>
      <c r="D194" s="45" t="s">
        <v>882</v>
      </c>
      <c r="E194" s="45" t="s">
        <v>263</v>
      </c>
      <c r="F194" s="45" t="n">
        <v>2.25</v>
      </c>
      <c r="G194" s="45"/>
      <c r="H194" s="45"/>
      <c r="I194" s="45"/>
      <c r="J194" s="45"/>
    </row>
    <row r="195" customFormat="false" ht="15" hidden="false" customHeight="false" outlineLevel="0" collapsed="false">
      <c r="A195" s="45" t="s">
        <v>939</v>
      </c>
      <c r="B195" s="45" t="s">
        <v>958</v>
      </c>
      <c r="C195" s="45" t="s">
        <v>891</v>
      </c>
      <c r="D195" s="45" t="s">
        <v>882</v>
      </c>
      <c r="E195" s="45" t="s">
        <v>959</v>
      </c>
      <c r="F195" s="45" t="n">
        <v>2.5</v>
      </c>
      <c r="G195" s="45" t="n">
        <v>44</v>
      </c>
      <c r="H195" s="45" t="n">
        <v>1695</v>
      </c>
      <c r="I195" s="45" t="n">
        <v>1795</v>
      </c>
      <c r="J195" s="45"/>
    </row>
    <row r="196" customFormat="false" ht="15" hidden="false" customHeight="false" outlineLevel="0" collapsed="false">
      <c r="A196" s="45" t="s">
        <v>939</v>
      </c>
      <c r="B196" s="45" t="s">
        <v>960</v>
      </c>
      <c r="C196" s="45" t="s">
        <v>886</v>
      </c>
      <c r="D196" s="45" t="s">
        <v>853</v>
      </c>
      <c r="E196" s="45" t="s">
        <v>865</v>
      </c>
      <c r="F196" s="45" t="n">
        <v>4.5</v>
      </c>
      <c r="G196" s="45"/>
      <c r="H196" s="45"/>
      <c r="I196" s="45"/>
      <c r="J196" s="45"/>
    </row>
    <row r="197" customFormat="false" ht="15" hidden="false" customHeight="false" outlineLevel="0" collapsed="false">
      <c r="A197" s="45" t="s">
        <v>939</v>
      </c>
      <c r="B197" s="45" t="s">
        <v>961</v>
      </c>
      <c r="C197" s="45" t="s">
        <v>886</v>
      </c>
      <c r="D197" s="45" t="s">
        <v>853</v>
      </c>
      <c r="E197" s="45" t="s">
        <v>842</v>
      </c>
      <c r="F197" s="45" t="n">
        <v>4.25</v>
      </c>
      <c r="G197" s="45"/>
      <c r="H197" s="45"/>
      <c r="I197" s="45"/>
      <c r="J197" s="45"/>
    </row>
    <row r="198" customFormat="false" ht="15" hidden="false" customHeight="false" outlineLevel="0" collapsed="false">
      <c r="A198" s="45" t="s">
        <v>939</v>
      </c>
      <c r="B198" s="46" t="n">
        <v>46092</v>
      </c>
      <c r="C198" s="45" t="s">
        <v>886</v>
      </c>
      <c r="D198" s="45" t="s">
        <v>853</v>
      </c>
      <c r="E198" s="45" t="s">
        <v>390</v>
      </c>
      <c r="F198" s="45" t="n">
        <v>4.75</v>
      </c>
      <c r="G198" s="45" t="n">
        <v>68</v>
      </c>
      <c r="H198" s="45" t="n">
        <v>250</v>
      </c>
      <c r="I198" s="45"/>
      <c r="J198" s="45"/>
    </row>
    <row r="199" customFormat="false" ht="15" hidden="false" customHeight="false" outlineLevel="0" collapsed="false">
      <c r="A199" s="45" t="s">
        <v>939</v>
      </c>
      <c r="B199" s="46" t="n">
        <v>46112</v>
      </c>
      <c r="C199" s="45" t="s">
        <v>864</v>
      </c>
      <c r="D199" s="45" t="s">
        <v>853</v>
      </c>
      <c r="E199" s="45" t="s">
        <v>278</v>
      </c>
      <c r="F199" s="45" t="n">
        <v>50.75</v>
      </c>
      <c r="G199" s="45"/>
      <c r="H199" s="45"/>
      <c r="I199" s="45"/>
      <c r="J199" s="45"/>
    </row>
    <row r="200" customFormat="false" ht="15" hidden="false" customHeight="false" outlineLevel="0" collapsed="false">
      <c r="A200" s="45" t="s">
        <v>939</v>
      </c>
      <c r="B200" s="45" t="s">
        <v>962</v>
      </c>
      <c r="C200" s="45" t="s">
        <v>864</v>
      </c>
      <c r="D200" s="45" t="s">
        <v>853</v>
      </c>
      <c r="E200" s="45" t="s">
        <v>865</v>
      </c>
      <c r="F200" s="45" t="n">
        <v>69.25</v>
      </c>
      <c r="G200" s="45"/>
      <c r="H200" s="45"/>
      <c r="I200" s="45"/>
      <c r="J200" s="45"/>
    </row>
    <row r="201" customFormat="false" ht="15" hidden="false" customHeight="false" outlineLevel="0" collapsed="false">
      <c r="A201" s="45" t="s">
        <v>939</v>
      </c>
      <c r="B201" s="46" t="n">
        <v>46112</v>
      </c>
      <c r="C201" s="45" t="s">
        <v>864</v>
      </c>
      <c r="D201" s="45" t="s">
        <v>853</v>
      </c>
      <c r="E201" s="45" t="s">
        <v>568</v>
      </c>
      <c r="F201" s="45" t="n">
        <v>75</v>
      </c>
      <c r="G201" s="45" t="n">
        <v>165</v>
      </c>
      <c r="H201" s="45" t="n">
        <v>6120</v>
      </c>
      <c r="I201" s="45"/>
      <c r="J201" s="45"/>
    </row>
    <row r="202" customFormat="false" ht="15" hidden="false" customHeight="false" outlineLevel="0" collapsed="false">
      <c r="A202" s="45" t="s">
        <v>939</v>
      </c>
      <c r="B202" s="45" t="s">
        <v>962</v>
      </c>
      <c r="C202" s="45" t="s">
        <v>866</v>
      </c>
      <c r="D202" s="45" t="s">
        <v>857</v>
      </c>
      <c r="E202" s="45" t="s">
        <v>286</v>
      </c>
      <c r="F202" s="45" t="n">
        <v>227.5</v>
      </c>
      <c r="G202" s="45" t="n">
        <v>240</v>
      </c>
      <c r="H202" s="45" t="n">
        <v>1515</v>
      </c>
      <c r="I202" s="45"/>
      <c r="J202" s="45"/>
    </row>
    <row r="203" customFormat="false" ht="15" hidden="false" customHeight="false" outlineLevel="0" collapsed="false">
      <c r="A203" s="45" t="s">
        <v>939</v>
      </c>
      <c r="B203" s="46" t="n">
        <v>46112</v>
      </c>
      <c r="C203" s="45" t="s">
        <v>866</v>
      </c>
      <c r="D203" s="45" t="s">
        <v>857</v>
      </c>
      <c r="E203" s="45" t="s">
        <v>963</v>
      </c>
      <c r="F203" s="45" t="n">
        <v>111.5</v>
      </c>
      <c r="G203" s="45"/>
      <c r="H203" s="45"/>
      <c r="I203" s="45"/>
      <c r="J203" s="45"/>
    </row>
    <row r="204" customFormat="false" ht="15" hidden="false" customHeight="false" outlineLevel="0" collapsed="false">
      <c r="A204" s="45" t="s">
        <v>939</v>
      </c>
      <c r="B204" s="45" t="s">
        <v>964</v>
      </c>
      <c r="C204" s="45" t="s">
        <v>868</v>
      </c>
      <c r="D204" s="45" t="s">
        <v>857</v>
      </c>
      <c r="E204" s="45" t="s">
        <v>921</v>
      </c>
      <c r="F204" s="45" t="n">
        <v>49</v>
      </c>
      <c r="G204" s="45"/>
      <c r="H204" s="45"/>
      <c r="I204" s="45"/>
      <c r="J204" s="45"/>
    </row>
    <row r="205" customFormat="false" ht="15" hidden="false" customHeight="false" outlineLevel="0" collapsed="false">
      <c r="A205" s="45" t="s">
        <v>939</v>
      </c>
      <c r="B205" s="46" t="n">
        <v>46112</v>
      </c>
      <c r="C205" s="45" t="s">
        <v>868</v>
      </c>
      <c r="D205" s="45" t="s">
        <v>857</v>
      </c>
      <c r="E205" s="45" t="s">
        <v>965</v>
      </c>
      <c r="F205" s="45" t="n">
        <v>22</v>
      </c>
      <c r="G205" s="45" t="n">
        <v>109</v>
      </c>
      <c r="H205" s="45" t="n">
        <v>7590</v>
      </c>
      <c r="I205" s="45" t="n">
        <v>7275</v>
      </c>
      <c r="J205" s="45"/>
    </row>
    <row r="206" customFormat="false" ht="15" hidden="false" customHeight="false" outlineLevel="0" collapsed="false">
      <c r="A206" s="45" t="s">
        <v>939</v>
      </c>
      <c r="B206" s="45" t="s">
        <v>962</v>
      </c>
      <c r="C206" s="45" t="s">
        <v>869</v>
      </c>
      <c r="D206" s="45" t="s">
        <v>870</v>
      </c>
      <c r="E206" s="45" t="s">
        <v>401</v>
      </c>
      <c r="F206" s="45" t="n">
        <v>42</v>
      </c>
      <c r="G206" s="45"/>
      <c r="H206" s="45"/>
      <c r="I206" s="45"/>
      <c r="J206" s="45"/>
    </row>
    <row r="207" customFormat="false" ht="15" hidden="false" customHeight="false" outlineLevel="0" collapsed="false">
      <c r="A207" s="45" t="s">
        <v>939</v>
      </c>
      <c r="B207" s="46" t="n">
        <v>46112</v>
      </c>
      <c r="C207" s="45" t="s">
        <v>869</v>
      </c>
      <c r="D207" s="45" t="s">
        <v>870</v>
      </c>
      <c r="E207" s="45" t="s">
        <v>313</v>
      </c>
      <c r="F207" s="45" t="n">
        <v>52.25</v>
      </c>
      <c r="G207" s="45"/>
      <c r="H207" s="45" t="n">
        <v>615</v>
      </c>
      <c r="I207" s="45"/>
      <c r="J207" s="45"/>
    </row>
    <row r="208" customFormat="false" ht="15" hidden="false" customHeight="false" outlineLevel="0" collapsed="false">
      <c r="A208" s="45" t="s">
        <v>939</v>
      </c>
      <c r="B208" s="45" t="s">
        <v>962</v>
      </c>
      <c r="C208" s="45" t="s">
        <v>871</v>
      </c>
      <c r="D208" s="45" t="s">
        <v>853</v>
      </c>
      <c r="E208" s="45" t="s">
        <v>532</v>
      </c>
      <c r="F208" s="45" t="n">
        <v>59.25</v>
      </c>
      <c r="G208" s="45" t="n">
        <v>37</v>
      </c>
      <c r="H208" s="45" t="n">
        <v>730</v>
      </c>
      <c r="I208" s="45"/>
      <c r="J208" s="45"/>
    </row>
    <row r="209" customFormat="false" ht="15" hidden="false" customHeight="false" outlineLevel="0" collapsed="false">
      <c r="A209" s="45" t="s">
        <v>939</v>
      </c>
      <c r="B209" s="46" t="n">
        <v>46112</v>
      </c>
      <c r="C209" s="45" t="s">
        <v>872</v>
      </c>
      <c r="D209" s="45" t="s">
        <v>873</v>
      </c>
      <c r="E209" s="45" t="s">
        <v>966</v>
      </c>
      <c r="F209" s="45" t="n">
        <v>68.75</v>
      </c>
      <c r="G209" s="45" t="n">
        <v>26</v>
      </c>
      <c r="H209" s="45" t="n">
        <v>530</v>
      </c>
      <c r="I209" s="45"/>
      <c r="J209" s="45"/>
    </row>
    <row r="210" customFormat="false" ht="15" hidden="false" customHeight="false" outlineLevel="0" collapsed="false">
      <c r="A210" s="45" t="s">
        <v>939</v>
      </c>
      <c r="B210" s="45" t="s">
        <v>964</v>
      </c>
      <c r="C210" s="45" t="s">
        <v>872</v>
      </c>
      <c r="D210" s="45" t="s">
        <v>873</v>
      </c>
      <c r="E210" s="45" t="s">
        <v>301</v>
      </c>
      <c r="F210" s="45" t="n">
        <v>145</v>
      </c>
      <c r="G210" s="45"/>
      <c r="H210" s="45"/>
      <c r="I210" s="45"/>
      <c r="J210" s="45"/>
    </row>
    <row r="211" customFormat="false" ht="15" hidden="false" customHeight="false" outlineLevel="0" collapsed="false">
      <c r="A211" s="45" t="s">
        <v>939</v>
      </c>
      <c r="B211" s="45" t="s">
        <v>964</v>
      </c>
      <c r="C211" s="45" t="s">
        <v>874</v>
      </c>
      <c r="D211" s="45" t="s">
        <v>873</v>
      </c>
      <c r="E211" s="45" t="s">
        <v>456</v>
      </c>
      <c r="F211" s="45" t="n">
        <v>48</v>
      </c>
      <c r="G211" s="45" t="n">
        <v>2</v>
      </c>
      <c r="H211" s="45" t="n">
        <v>15</v>
      </c>
      <c r="I211" s="45"/>
      <c r="J211" s="45"/>
    </row>
    <row r="212" customFormat="false" ht="15" hidden="false" customHeight="false" outlineLevel="0" collapsed="false">
      <c r="A212" s="45" t="s">
        <v>939</v>
      </c>
      <c r="B212" s="46" t="n">
        <v>46112</v>
      </c>
      <c r="C212" s="45" t="s">
        <v>875</v>
      </c>
      <c r="D212" s="45" t="s">
        <v>876</v>
      </c>
      <c r="E212" s="45" t="s">
        <v>967</v>
      </c>
      <c r="F212" s="45" t="n">
        <v>8.5</v>
      </c>
      <c r="G212" s="45"/>
      <c r="H212" s="45"/>
      <c r="I212" s="45"/>
      <c r="J212" s="45"/>
    </row>
    <row r="213" customFormat="false" ht="15" hidden="false" customHeight="false" outlineLevel="0" collapsed="false">
      <c r="A213" s="45" t="s">
        <v>939</v>
      </c>
      <c r="B213" s="46" t="n">
        <v>46112</v>
      </c>
      <c r="C213" s="45" t="s">
        <v>875</v>
      </c>
      <c r="D213" s="45" t="s">
        <v>876</v>
      </c>
      <c r="E213" s="45" t="s">
        <v>310</v>
      </c>
      <c r="F213" s="45" t="n">
        <v>50.5</v>
      </c>
      <c r="G213" s="45" t="n">
        <v>9</v>
      </c>
      <c r="H213" s="45" t="n">
        <v>1430</v>
      </c>
      <c r="I213" s="45" t="n">
        <v>4380</v>
      </c>
      <c r="J213" s="45"/>
    </row>
    <row r="214" customFormat="false" ht="15" hidden="false" customHeight="false" outlineLevel="0" collapsed="false">
      <c r="A214" s="45" t="s">
        <v>968</v>
      </c>
      <c r="B214" s="45" t="s">
        <v>969</v>
      </c>
      <c r="C214" s="45" t="s">
        <v>884</v>
      </c>
      <c r="D214" s="45" t="s">
        <v>882</v>
      </c>
      <c r="E214" s="45" t="s">
        <v>272</v>
      </c>
      <c r="F214" s="45" t="n">
        <v>2.5</v>
      </c>
      <c r="G214" s="45" t="n">
        <v>13</v>
      </c>
      <c r="H214" s="45" t="n">
        <v>60</v>
      </c>
      <c r="I214" s="45"/>
      <c r="J214" s="45"/>
    </row>
    <row r="215" customFormat="false" ht="15" hidden="false" customHeight="false" outlineLevel="0" collapsed="false">
      <c r="A215" s="45" t="s">
        <v>968</v>
      </c>
      <c r="B215" s="45" t="s">
        <v>970</v>
      </c>
      <c r="C215" s="45" t="s">
        <v>884</v>
      </c>
      <c r="D215" s="45" t="s">
        <v>882</v>
      </c>
      <c r="E215" s="45" t="s">
        <v>372</v>
      </c>
      <c r="F215" s="45" t="s">
        <v>971</v>
      </c>
      <c r="G215" s="45"/>
      <c r="H215" s="45"/>
      <c r="I215" s="45"/>
      <c r="J215" s="45"/>
    </row>
    <row r="216" customFormat="false" ht="15" hidden="false" customHeight="false" outlineLevel="0" collapsed="false">
      <c r="A216" s="45" t="s">
        <v>968</v>
      </c>
      <c r="B216" s="45" t="s">
        <v>972</v>
      </c>
      <c r="C216" s="45" t="s">
        <v>884</v>
      </c>
      <c r="D216" s="45" t="s">
        <v>882</v>
      </c>
      <c r="E216" s="45" t="s">
        <v>409</v>
      </c>
      <c r="F216" s="45" t="n">
        <v>2.5</v>
      </c>
      <c r="G216" s="45" t="n">
        <v>12</v>
      </c>
      <c r="H216" s="45" t="n">
        <v>115</v>
      </c>
      <c r="I216" s="45"/>
      <c r="J216" s="45"/>
    </row>
    <row r="217" customFormat="false" ht="15" hidden="false" customHeight="false" outlineLevel="0" collapsed="false">
      <c r="A217" s="45" t="s">
        <v>968</v>
      </c>
      <c r="B217" s="46" t="n">
        <v>46118</v>
      </c>
      <c r="C217" s="45" t="s">
        <v>884</v>
      </c>
      <c r="D217" s="45" t="s">
        <v>882</v>
      </c>
      <c r="E217" s="45" t="s">
        <v>259</v>
      </c>
      <c r="F217" s="45" t="n">
        <v>1.75</v>
      </c>
      <c r="G217" s="45"/>
      <c r="H217" s="45"/>
      <c r="I217" s="45"/>
      <c r="J217" s="45"/>
    </row>
    <row r="218" customFormat="false" ht="15" hidden="false" customHeight="false" outlineLevel="0" collapsed="false">
      <c r="A218" s="45" t="s">
        <v>968</v>
      </c>
      <c r="B218" s="46" t="n">
        <v>46135</v>
      </c>
      <c r="C218" s="45" t="s">
        <v>856</v>
      </c>
      <c r="D218" s="45" t="s">
        <v>857</v>
      </c>
      <c r="E218" s="45" t="s">
        <v>348</v>
      </c>
      <c r="F218" s="45" t="n">
        <v>2.5</v>
      </c>
      <c r="G218" s="45" t="n">
        <v>7</v>
      </c>
      <c r="H218" s="45" t="n">
        <v>20</v>
      </c>
      <c r="I218" s="45"/>
      <c r="J218" s="45"/>
    </row>
    <row r="219" customFormat="false" ht="15" hidden="false" customHeight="false" outlineLevel="0" collapsed="false">
      <c r="A219" s="45" t="s">
        <v>968</v>
      </c>
      <c r="B219" s="46" t="n">
        <v>46135</v>
      </c>
      <c r="C219" s="45" t="s">
        <v>856</v>
      </c>
      <c r="D219" s="45" t="s">
        <v>857</v>
      </c>
      <c r="E219" s="45" t="s">
        <v>323</v>
      </c>
      <c r="F219" s="45" t="n">
        <v>1.75</v>
      </c>
      <c r="G219" s="45"/>
      <c r="H219" s="45"/>
      <c r="I219" s="45"/>
      <c r="J219" s="45"/>
    </row>
    <row r="220" customFormat="false" ht="15" hidden="false" customHeight="false" outlineLevel="0" collapsed="false">
      <c r="A220" s="45" t="s">
        <v>968</v>
      </c>
      <c r="B220" s="46" t="n">
        <v>46137</v>
      </c>
      <c r="C220" s="45" t="s">
        <v>856</v>
      </c>
      <c r="D220" s="45" t="s">
        <v>857</v>
      </c>
      <c r="E220" s="45" t="s">
        <v>453</v>
      </c>
      <c r="F220" s="45" t="n">
        <v>2.25</v>
      </c>
      <c r="G220" s="45" t="n">
        <v>6</v>
      </c>
      <c r="H220" s="45" t="n">
        <v>45</v>
      </c>
      <c r="I220" s="45"/>
      <c r="J220" s="45"/>
    </row>
    <row r="221" customFormat="false" ht="15" hidden="false" customHeight="false" outlineLevel="0" collapsed="false">
      <c r="A221" s="45" t="s">
        <v>968</v>
      </c>
      <c r="B221" s="45" t="s">
        <v>973</v>
      </c>
      <c r="C221" s="45" t="s">
        <v>856</v>
      </c>
      <c r="D221" s="45" t="s">
        <v>857</v>
      </c>
      <c r="E221" s="45" t="s">
        <v>392</v>
      </c>
      <c r="F221" s="45" t="n">
        <v>1.75</v>
      </c>
      <c r="G221" s="45"/>
      <c r="H221" s="45"/>
      <c r="I221" s="45"/>
      <c r="J221" s="45"/>
    </row>
    <row r="222" customFormat="false" ht="15" hidden="false" customHeight="false" outlineLevel="0" collapsed="false">
      <c r="A222" s="45" t="s">
        <v>968</v>
      </c>
      <c r="B222" s="46" t="n">
        <v>46142</v>
      </c>
      <c r="C222" s="45" t="s">
        <v>864</v>
      </c>
      <c r="D222" s="45" t="s">
        <v>853</v>
      </c>
      <c r="E222" s="45" t="s">
        <v>278</v>
      </c>
      <c r="F222" s="45" t="n">
        <v>36.5</v>
      </c>
      <c r="G222" s="45"/>
      <c r="H222" s="45"/>
      <c r="I222" s="45"/>
      <c r="J222" s="45"/>
    </row>
    <row r="223" customFormat="false" ht="15" hidden="false" customHeight="false" outlineLevel="0" collapsed="false">
      <c r="A223" s="45" t="s">
        <v>968</v>
      </c>
      <c r="B223" s="46" t="n">
        <v>46142</v>
      </c>
      <c r="C223" s="45" t="s">
        <v>864</v>
      </c>
      <c r="D223" s="45" t="s">
        <v>853</v>
      </c>
      <c r="E223" s="45" t="s">
        <v>865</v>
      </c>
      <c r="F223" s="45" t="n">
        <v>50.75</v>
      </c>
      <c r="G223" s="45"/>
      <c r="H223" s="45"/>
      <c r="I223" s="45"/>
      <c r="J223" s="45"/>
    </row>
    <row r="224" customFormat="false" ht="15" hidden="false" customHeight="false" outlineLevel="0" collapsed="false">
      <c r="A224" s="45" t="s">
        <v>968</v>
      </c>
      <c r="B224" s="45" t="s">
        <v>974</v>
      </c>
      <c r="C224" s="45" t="s">
        <v>864</v>
      </c>
      <c r="D224" s="45" t="s">
        <v>853</v>
      </c>
      <c r="E224" s="45" t="s">
        <v>327</v>
      </c>
      <c r="F224" s="45" t="n">
        <v>54.5</v>
      </c>
      <c r="G224" s="45" t="n">
        <v>145</v>
      </c>
      <c r="H224" s="45" t="n">
        <v>4080</v>
      </c>
      <c r="I224" s="45"/>
      <c r="J224" s="45"/>
    </row>
    <row r="225" customFormat="false" ht="15" hidden="false" customHeight="false" outlineLevel="0" collapsed="false">
      <c r="A225" s="45" t="s">
        <v>968</v>
      </c>
      <c r="B225" s="46" t="n">
        <v>46142</v>
      </c>
      <c r="C225" s="45" t="s">
        <v>866</v>
      </c>
      <c r="D225" s="45" t="s">
        <v>857</v>
      </c>
      <c r="E225" s="45" t="s">
        <v>381</v>
      </c>
      <c r="F225" s="45" t="n">
        <v>231</v>
      </c>
      <c r="G225" s="45" t="n">
        <v>305</v>
      </c>
      <c r="H225" s="45" t="n">
        <v>1055</v>
      </c>
      <c r="I225" s="45"/>
      <c r="J225" s="45"/>
    </row>
    <row r="226" customFormat="false" ht="15" hidden="false" customHeight="false" outlineLevel="0" collapsed="false">
      <c r="A226" s="45" t="s">
        <v>968</v>
      </c>
      <c r="B226" s="45" t="s">
        <v>974</v>
      </c>
      <c r="C226" s="45" t="s">
        <v>866</v>
      </c>
      <c r="D226" s="45" t="s">
        <v>857</v>
      </c>
      <c r="E226" s="45" t="s">
        <v>627</v>
      </c>
      <c r="F226" s="45" t="n">
        <v>94.5</v>
      </c>
      <c r="G226" s="45"/>
      <c r="H226" s="45"/>
      <c r="I226" s="45"/>
      <c r="J226" s="45"/>
    </row>
    <row r="227" customFormat="false" ht="15" hidden="false" customHeight="false" outlineLevel="0" collapsed="false">
      <c r="A227" s="45" t="s">
        <v>968</v>
      </c>
      <c r="B227" s="45" t="s">
        <v>974</v>
      </c>
      <c r="C227" s="45" t="s">
        <v>868</v>
      </c>
      <c r="D227" s="45" t="s">
        <v>857</v>
      </c>
      <c r="E227" s="45" t="s">
        <v>278</v>
      </c>
      <c r="F227" s="45" t="n">
        <v>37.5</v>
      </c>
      <c r="G227" s="45"/>
      <c r="H227" s="45"/>
      <c r="I227" s="45"/>
      <c r="J227" s="45"/>
    </row>
    <row r="228" customFormat="false" ht="15" hidden="false" customHeight="false" outlineLevel="0" collapsed="false">
      <c r="A228" s="45" t="s">
        <v>968</v>
      </c>
      <c r="B228" s="46" t="n">
        <v>46142</v>
      </c>
      <c r="C228" s="45" t="s">
        <v>868</v>
      </c>
      <c r="D228" s="45" t="s">
        <v>857</v>
      </c>
      <c r="E228" s="45" t="s">
        <v>507</v>
      </c>
      <c r="F228" s="45"/>
      <c r="G228" s="45" t="n">
        <v>112</v>
      </c>
      <c r="H228" s="45" t="n">
        <v>10065</v>
      </c>
      <c r="I228" s="45" t="n">
        <v>6360</v>
      </c>
      <c r="J228" s="45"/>
    </row>
    <row r="229" customFormat="false" ht="15" hidden="false" customHeight="false" outlineLevel="0" collapsed="false">
      <c r="A229" s="45" t="s">
        <v>968</v>
      </c>
      <c r="B229" s="45" t="s">
        <v>974</v>
      </c>
      <c r="C229" s="45" t="s">
        <v>869</v>
      </c>
      <c r="D229" s="45" t="s">
        <v>870</v>
      </c>
      <c r="E229" s="45" t="s">
        <v>670</v>
      </c>
      <c r="F229" s="45" t="n">
        <v>21.25</v>
      </c>
      <c r="G229" s="45"/>
      <c r="H229" s="45"/>
      <c r="I229" s="45"/>
      <c r="J229" s="45"/>
    </row>
    <row r="230" customFormat="false" ht="15" hidden="false" customHeight="false" outlineLevel="0" collapsed="false">
      <c r="A230" s="45" t="s">
        <v>968</v>
      </c>
      <c r="B230" s="46" t="n">
        <v>46142</v>
      </c>
      <c r="C230" s="45" t="s">
        <v>869</v>
      </c>
      <c r="D230" s="45" t="s">
        <v>870</v>
      </c>
      <c r="E230" s="45" t="s">
        <v>313</v>
      </c>
      <c r="F230" s="45" t="n">
        <v>41</v>
      </c>
      <c r="G230" s="45"/>
      <c r="H230" s="45" t="n">
        <v>600</v>
      </c>
      <c r="I230" s="45"/>
      <c r="J230" s="45"/>
    </row>
    <row r="231" customFormat="false" ht="15" hidden="false" customHeight="false" outlineLevel="0" collapsed="false">
      <c r="A231" s="45" t="s">
        <v>968</v>
      </c>
      <c r="B231" s="45" t="s">
        <v>975</v>
      </c>
      <c r="C231" s="45" t="s">
        <v>871</v>
      </c>
      <c r="D231" s="45" t="s">
        <v>853</v>
      </c>
      <c r="E231" s="45" t="s">
        <v>532</v>
      </c>
      <c r="F231" s="45" t="s">
        <v>976</v>
      </c>
      <c r="G231" s="45" t="n">
        <v>51</v>
      </c>
      <c r="H231" s="45" t="n">
        <v>490</v>
      </c>
      <c r="I231" s="45"/>
      <c r="J231" s="45"/>
    </row>
    <row r="232" customFormat="false" ht="15" hidden="false" customHeight="false" outlineLevel="0" collapsed="false">
      <c r="A232" s="45" t="s">
        <v>968</v>
      </c>
      <c r="B232" s="45" t="s">
        <v>975</v>
      </c>
      <c r="C232" s="45" t="s">
        <v>872</v>
      </c>
      <c r="D232" s="45" t="s">
        <v>873</v>
      </c>
      <c r="E232" s="45" t="s">
        <v>658</v>
      </c>
      <c r="F232" s="45" t="n">
        <v>104</v>
      </c>
      <c r="G232" s="45" t="n">
        <v>26</v>
      </c>
      <c r="H232" s="45" t="n">
        <v>340</v>
      </c>
      <c r="I232" s="45"/>
      <c r="J232" s="45"/>
    </row>
    <row r="233" customFormat="false" ht="15" hidden="false" customHeight="false" outlineLevel="0" collapsed="false">
      <c r="A233" s="45" t="s">
        <v>968</v>
      </c>
      <c r="B233" s="46" t="n">
        <v>46142</v>
      </c>
      <c r="C233" s="45" t="s">
        <v>872</v>
      </c>
      <c r="D233" s="45" t="s">
        <v>873</v>
      </c>
      <c r="E233" s="45" t="s">
        <v>568</v>
      </c>
      <c r="F233" s="45" t="n">
        <v>165.25</v>
      </c>
      <c r="G233" s="45"/>
      <c r="H233" s="45"/>
      <c r="I233" s="45"/>
      <c r="J233" s="45"/>
    </row>
    <row r="234" customFormat="false" ht="15" hidden="false" customHeight="false" outlineLevel="0" collapsed="false">
      <c r="A234" s="45" t="s">
        <v>968</v>
      </c>
      <c r="B234" s="45" t="s">
        <v>974</v>
      </c>
      <c r="C234" s="45" t="s">
        <v>874</v>
      </c>
      <c r="D234" s="45" t="s">
        <v>873</v>
      </c>
      <c r="E234" s="45" t="s">
        <v>532</v>
      </c>
      <c r="F234" s="45" t="n">
        <v>62.25</v>
      </c>
      <c r="G234" s="45" t="n">
        <v>5</v>
      </c>
      <c r="H234" s="45" t="n">
        <v>60</v>
      </c>
      <c r="I234" s="45"/>
      <c r="J234" s="45"/>
    </row>
    <row r="235" customFormat="false" ht="15" hidden="false" customHeight="false" outlineLevel="0" collapsed="false">
      <c r="A235" s="45" t="s">
        <v>968</v>
      </c>
      <c r="B235" s="46" t="n">
        <v>46142</v>
      </c>
      <c r="C235" s="45" t="s">
        <v>875</v>
      </c>
      <c r="D235" s="45" t="s">
        <v>876</v>
      </c>
      <c r="E235" s="45" t="s">
        <v>384</v>
      </c>
      <c r="F235" s="45" t="n">
        <v>11.25</v>
      </c>
      <c r="G235" s="45"/>
      <c r="H235" s="45"/>
      <c r="I235" s="45"/>
      <c r="J235" s="45"/>
    </row>
    <row r="236" customFormat="false" ht="15" hidden="false" customHeight="false" outlineLevel="0" collapsed="false">
      <c r="A236" s="45" t="s">
        <v>968</v>
      </c>
      <c r="B236" s="45" t="s">
        <v>975</v>
      </c>
      <c r="C236" s="45" t="s">
        <v>875</v>
      </c>
      <c r="D236" s="45" t="s">
        <v>876</v>
      </c>
      <c r="E236" s="45" t="s">
        <v>424</v>
      </c>
      <c r="F236" s="45" t="n">
        <v>41.75</v>
      </c>
      <c r="G236" s="45" t="n">
        <v>17</v>
      </c>
      <c r="H236" s="45" t="n">
        <v>1780</v>
      </c>
      <c r="I236" s="45" t="n">
        <v>4585</v>
      </c>
      <c r="J236" s="45"/>
    </row>
    <row r="237" customFormat="false" ht="15" hidden="false" customHeight="false" outlineLevel="0" collapsed="false">
      <c r="A237" s="45" t="s">
        <v>968</v>
      </c>
      <c r="B237" s="45" t="s">
        <v>977</v>
      </c>
      <c r="C237" s="45" t="s">
        <v>862</v>
      </c>
      <c r="D237" s="45" t="s">
        <v>859</v>
      </c>
      <c r="E237" s="45" t="s">
        <v>413</v>
      </c>
      <c r="F237" s="45" t="n">
        <v>3.75</v>
      </c>
      <c r="G237" s="45"/>
      <c r="H237" s="45"/>
      <c r="I237" s="45"/>
      <c r="J237" s="45"/>
    </row>
    <row r="238" customFormat="false" ht="15" hidden="false" customHeight="false" outlineLevel="0" collapsed="false">
      <c r="A238" s="45" t="s">
        <v>968</v>
      </c>
      <c r="B238" s="46" t="n">
        <v>46158</v>
      </c>
      <c r="C238" s="45" t="s">
        <v>862</v>
      </c>
      <c r="D238" s="45" t="s">
        <v>859</v>
      </c>
      <c r="E238" s="45" t="s">
        <v>256</v>
      </c>
      <c r="F238" s="45" t="s">
        <v>978</v>
      </c>
      <c r="G238" s="45" t="n">
        <v>37</v>
      </c>
      <c r="H238" s="45" t="n">
        <v>1710</v>
      </c>
      <c r="I238" s="45"/>
      <c r="J238" s="45"/>
    </row>
    <row r="239" customFormat="false" ht="15" hidden="false" customHeight="false" outlineLevel="0" collapsed="false">
      <c r="A239" s="45" t="s">
        <v>968</v>
      </c>
      <c r="B239" s="45" t="s">
        <v>979</v>
      </c>
      <c r="C239" s="45" t="s">
        <v>891</v>
      </c>
      <c r="D239" s="45" t="s">
        <v>882</v>
      </c>
      <c r="E239" s="45" t="s">
        <v>276</v>
      </c>
      <c r="F239" s="45" t="n">
        <v>2.25</v>
      </c>
      <c r="G239" s="45"/>
      <c r="H239" s="45"/>
      <c r="I239" s="45"/>
      <c r="J239" s="45"/>
    </row>
    <row r="240" customFormat="false" ht="15" hidden="false" customHeight="false" outlineLevel="0" collapsed="false">
      <c r="A240" s="45" t="s">
        <v>968</v>
      </c>
      <c r="B240" s="46" t="n">
        <v>46165</v>
      </c>
      <c r="C240" s="45" t="s">
        <v>891</v>
      </c>
      <c r="D240" s="45" t="s">
        <v>882</v>
      </c>
      <c r="E240" s="45" t="s">
        <v>441</v>
      </c>
      <c r="F240" s="45" t="n">
        <v>2.5</v>
      </c>
      <c r="G240" s="45" t="n">
        <v>25</v>
      </c>
      <c r="H240" s="45" t="n">
        <v>1385</v>
      </c>
      <c r="I240" s="45" t="n">
        <v>670</v>
      </c>
      <c r="J240" s="45"/>
    </row>
    <row r="241" customFormat="false" ht="15" hidden="false" customHeight="false" outlineLevel="0" collapsed="false">
      <c r="A241" s="45" t="s">
        <v>968</v>
      </c>
      <c r="B241" s="45" t="s">
        <v>980</v>
      </c>
      <c r="C241" s="45" t="s">
        <v>856</v>
      </c>
      <c r="D241" s="45" t="s">
        <v>857</v>
      </c>
      <c r="E241" s="45" t="s">
        <v>453</v>
      </c>
      <c r="F241" s="45" t="s">
        <v>981</v>
      </c>
      <c r="G241" s="45" t="n">
        <v>9</v>
      </c>
      <c r="H241" s="45" t="n">
        <v>55</v>
      </c>
      <c r="I241" s="45"/>
      <c r="J241" s="45"/>
    </row>
    <row r="242" customFormat="false" ht="15" hidden="false" customHeight="false" outlineLevel="0" collapsed="false">
      <c r="A242" s="45" t="s">
        <v>968</v>
      </c>
      <c r="B242" s="45" t="s">
        <v>980</v>
      </c>
      <c r="C242" s="45" t="s">
        <v>856</v>
      </c>
      <c r="D242" s="45" t="s">
        <v>857</v>
      </c>
      <c r="E242" s="45" t="s">
        <v>252</v>
      </c>
      <c r="F242" s="45" t="n">
        <v>2</v>
      </c>
      <c r="G242" s="45"/>
      <c r="H242" s="45"/>
      <c r="I242" s="45"/>
      <c r="J242" s="45"/>
    </row>
    <row r="243" customFormat="false" ht="15" hidden="false" customHeight="false" outlineLevel="0" collapsed="false">
      <c r="A243" s="45" t="s">
        <v>968</v>
      </c>
      <c r="B243" s="45" t="s">
        <v>982</v>
      </c>
      <c r="C243" s="45" t="s">
        <v>864</v>
      </c>
      <c r="D243" s="45" t="s">
        <v>853</v>
      </c>
      <c r="E243" s="45" t="s">
        <v>278</v>
      </c>
      <c r="F243" s="45" t="n">
        <v>50.25</v>
      </c>
      <c r="G243" s="45"/>
      <c r="H243" s="45"/>
      <c r="I243" s="45"/>
      <c r="J243" s="45"/>
    </row>
    <row r="244" customFormat="false" ht="15" hidden="false" customHeight="false" outlineLevel="0" collapsed="false">
      <c r="A244" s="45" t="s">
        <v>968</v>
      </c>
      <c r="B244" s="45" t="s">
        <v>982</v>
      </c>
      <c r="C244" s="45" t="s">
        <v>864</v>
      </c>
      <c r="D244" s="45" t="s">
        <v>853</v>
      </c>
      <c r="E244" s="45" t="s">
        <v>279</v>
      </c>
      <c r="F244" s="45" t="n">
        <v>51</v>
      </c>
      <c r="G244" s="45"/>
      <c r="H244" s="45"/>
      <c r="I244" s="45"/>
      <c r="J244" s="45"/>
    </row>
    <row r="245" customFormat="false" ht="15" hidden="false" customHeight="false" outlineLevel="0" collapsed="false">
      <c r="A245" s="45" t="s">
        <v>968</v>
      </c>
      <c r="B245" s="45" t="s">
        <v>982</v>
      </c>
      <c r="C245" s="45" t="s">
        <v>864</v>
      </c>
      <c r="D245" s="45" t="s">
        <v>853</v>
      </c>
      <c r="E245" s="45" t="s">
        <v>301</v>
      </c>
      <c r="F245" s="45" t="n">
        <v>70.5</v>
      </c>
      <c r="G245" s="45" t="n">
        <v>184</v>
      </c>
      <c r="H245" s="45" t="n">
        <v>3975</v>
      </c>
      <c r="I245" s="45"/>
      <c r="J245" s="45"/>
    </row>
    <row r="246" customFormat="false" ht="15" hidden="false" customHeight="false" outlineLevel="0" collapsed="false">
      <c r="A246" s="45" t="s">
        <v>968</v>
      </c>
      <c r="B246" s="46" t="n">
        <v>46173</v>
      </c>
      <c r="C246" s="45" t="s">
        <v>866</v>
      </c>
      <c r="D246" s="45" t="s">
        <v>857</v>
      </c>
      <c r="E246" s="45" t="s">
        <v>395</v>
      </c>
      <c r="F246" s="45" t="n">
        <v>244.5</v>
      </c>
      <c r="G246" s="45" t="n">
        <v>232</v>
      </c>
      <c r="H246" s="45" t="n">
        <v>1030</v>
      </c>
      <c r="I246" s="45"/>
      <c r="J246" s="45"/>
    </row>
    <row r="247" customFormat="false" ht="15" hidden="false" customHeight="false" outlineLevel="0" collapsed="false">
      <c r="A247" s="45" t="s">
        <v>968</v>
      </c>
      <c r="B247" s="45" t="s">
        <v>982</v>
      </c>
      <c r="C247" s="45" t="s">
        <v>866</v>
      </c>
      <c r="D247" s="45" t="s">
        <v>857</v>
      </c>
      <c r="E247" s="45" t="s">
        <v>383</v>
      </c>
      <c r="F247" s="45" t="n">
        <v>112.75</v>
      </c>
      <c r="G247" s="45"/>
      <c r="H247" s="45"/>
      <c r="I247" s="45"/>
      <c r="J247" s="45"/>
    </row>
    <row r="248" customFormat="false" ht="15" hidden="false" customHeight="false" outlineLevel="0" collapsed="false">
      <c r="A248" s="45" t="s">
        <v>968</v>
      </c>
      <c r="B248" s="45" t="s">
        <v>982</v>
      </c>
      <c r="C248" s="45" t="s">
        <v>868</v>
      </c>
      <c r="D248" s="45" t="s">
        <v>857</v>
      </c>
      <c r="E248" s="45" t="s">
        <v>395</v>
      </c>
      <c r="F248" s="45" t="n">
        <v>37</v>
      </c>
      <c r="G248" s="45"/>
      <c r="H248" s="45"/>
      <c r="I248" s="45"/>
      <c r="J248" s="45"/>
    </row>
    <row r="249" customFormat="false" ht="15" hidden="false" customHeight="false" outlineLevel="0" collapsed="false">
      <c r="A249" s="45" t="s">
        <v>968</v>
      </c>
      <c r="B249" s="46" t="n">
        <v>46173</v>
      </c>
      <c r="C249" s="45" t="s">
        <v>868</v>
      </c>
      <c r="D249" s="45" t="s">
        <v>857</v>
      </c>
      <c r="E249" s="45" t="s">
        <v>411</v>
      </c>
      <c r="F249" s="45" t="n">
        <v>20.25</v>
      </c>
      <c r="G249" s="45" t="n">
        <v>141</v>
      </c>
      <c r="H249" s="45" t="n">
        <v>6970</v>
      </c>
      <c r="I249" s="45" t="n">
        <v>5720</v>
      </c>
      <c r="J249" s="45"/>
    </row>
    <row r="250" customFormat="false" ht="15" hidden="false" customHeight="false" outlineLevel="0" collapsed="false">
      <c r="A250" s="45" t="s">
        <v>968</v>
      </c>
      <c r="B250" s="46" t="n">
        <v>46173</v>
      </c>
      <c r="C250" s="45" t="s">
        <v>869</v>
      </c>
      <c r="D250" s="45" t="s">
        <v>870</v>
      </c>
      <c r="E250" s="45" t="s">
        <v>702</v>
      </c>
      <c r="F250" s="45" t="n">
        <v>22.25</v>
      </c>
      <c r="G250" s="45"/>
      <c r="H250" s="45"/>
      <c r="I250" s="45"/>
      <c r="J250" s="45"/>
    </row>
    <row r="251" customFormat="false" ht="15" hidden="false" customHeight="false" outlineLevel="0" collapsed="false">
      <c r="A251" s="45" t="s">
        <v>968</v>
      </c>
      <c r="B251" s="46" t="n">
        <v>46173</v>
      </c>
      <c r="C251" s="45" t="s">
        <v>869</v>
      </c>
      <c r="D251" s="45" t="s">
        <v>870</v>
      </c>
      <c r="E251" s="45" t="s">
        <v>363</v>
      </c>
      <c r="F251" s="45" t="n">
        <v>38</v>
      </c>
      <c r="G251" s="45"/>
      <c r="H251" s="45" t="n">
        <v>380</v>
      </c>
      <c r="I251" s="45"/>
      <c r="J251" s="45"/>
    </row>
    <row r="252" customFormat="false" ht="15" hidden="false" customHeight="false" outlineLevel="0" collapsed="false">
      <c r="A252" s="45" t="s">
        <v>968</v>
      </c>
      <c r="B252" s="45" t="s">
        <v>982</v>
      </c>
      <c r="C252" s="45" t="s">
        <v>871</v>
      </c>
      <c r="D252" s="45" t="s">
        <v>853</v>
      </c>
      <c r="E252" s="45" t="s">
        <v>532</v>
      </c>
      <c r="F252" s="45" t="n">
        <v>71.75</v>
      </c>
      <c r="G252" s="45" t="n">
        <v>30</v>
      </c>
      <c r="H252" s="45" t="n">
        <v>705</v>
      </c>
      <c r="I252" s="45"/>
      <c r="J252" s="45"/>
    </row>
    <row r="253" customFormat="false" ht="15" hidden="false" customHeight="false" outlineLevel="0" collapsed="false">
      <c r="A253" s="45" t="s">
        <v>968</v>
      </c>
      <c r="B253" s="46" t="n">
        <v>46173</v>
      </c>
      <c r="C253" s="45" t="s">
        <v>872</v>
      </c>
      <c r="D253" s="45" t="s">
        <v>873</v>
      </c>
      <c r="E253" s="45" t="s">
        <v>255</v>
      </c>
      <c r="F253" s="45" t="n">
        <v>70.75</v>
      </c>
      <c r="G253" s="45" t="n">
        <v>14</v>
      </c>
      <c r="H253" s="45" t="n">
        <v>595</v>
      </c>
      <c r="I253" s="45"/>
      <c r="J253" s="45"/>
    </row>
    <row r="254" customFormat="false" ht="15" hidden="false" customHeight="false" outlineLevel="0" collapsed="false">
      <c r="A254" s="45" t="s">
        <v>968</v>
      </c>
      <c r="B254" s="45" t="s">
        <v>983</v>
      </c>
      <c r="C254" s="45" t="s">
        <v>872</v>
      </c>
      <c r="D254" s="45" t="s">
        <v>873</v>
      </c>
      <c r="E254" s="45" t="s">
        <v>357</v>
      </c>
      <c r="F254" s="45" t="n">
        <v>179.75</v>
      </c>
      <c r="G254" s="45"/>
      <c r="H254" s="45"/>
      <c r="I254" s="45"/>
      <c r="J254" s="45"/>
    </row>
    <row r="255" customFormat="false" ht="15" hidden="false" customHeight="false" outlineLevel="0" collapsed="false">
      <c r="A255" s="45" t="s">
        <v>968</v>
      </c>
      <c r="B255" s="45" t="s">
        <v>982</v>
      </c>
      <c r="C255" s="45" t="s">
        <v>874</v>
      </c>
      <c r="D255" s="45" t="s">
        <v>873</v>
      </c>
      <c r="E255" s="45" t="s">
        <v>532</v>
      </c>
      <c r="F255" s="45" t="s">
        <v>984</v>
      </c>
      <c r="G255" s="45" t="n">
        <v>4</v>
      </c>
      <c r="H255" s="45" t="n">
        <v>45</v>
      </c>
      <c r="I255" s="45"/>
      <c r="J255" s="45"/>
    </row>
    <row r="256" customFormat="false" ht="15" hidden="false" customHeight="false" outlineLevel="0" collapsed="false">
      <c r="A256" s="45" t="s">
        <v>968</v>
      </c>
      <c r="B256" s="46" t="n">
        <v>46173</v>
      </c>
      <c r="C256" s="45" t="s">
        <v>875</v>
      </c>
      <c r="D256" s="45" t="s">
        <v>876</v>
      </c>
      <c r="E256" s="45" t="s">
        <v>362</v>
      </c>
      <c r="F256" s="45" t="n">
        <v>14</v>
      </c>
      <c r="G256" s="45"/>
      <c r="H256" s="45"/>
      <c r="I256" s="45"/>
      <c r="J256" s="45"/>
    </row>
    <row r="257" customFormat="false" ht="15" hidden="false" customHeight="false" outlineLevel="0" collapsed="false">
      <c r="A257" s="45" t="s">
        <v>968</v>
      </c>
      <c r="B257" s="45" t="s">
        <v>982</v>
      </c>
      <c r="C257" s="45" t="s">
        <v>875</v>
      </c>
      <c r="D257" s="45" t="s">
        <v>876</v>
      </c>
      <c r="E257" s="45" t="s">
        <v>310</v>
      </c>
      <c r="F257" s="45" t="s">
        <v>985</v>
      </c>
      <c r="G257" s="45" t="n">
        <v>16</v>
      </c>
      <c r="H257" s="45" t="n">
        <v>1760</v>
      </c>
      <c r="I257" s="45" t="n">
        <v>3635</v>
      </c>
      <c r="J257" s="45"/>
    </row>
    <row r="258" customFormat="false" ht="15" hidden="false" customHeight="false" outlineLevel="0" collapsed="false">
      <c r="A258" s="45" t="s">
        <v>968</v>
      </c>
      <c r="B258" s="46" t="n">
        <v>46178</v>
      </c>
      <c r="C258" s="45" t="s">
        <v>856</v>
      </c>
      <c r="D258" s="45" t="s">
        <v>857</v>
      </c>
      <c r="E258" s="45" t="s">
        <v>348</v>
      </c>
      <c r="F258" s="45" t="n">
        <v>2</v>
      </c>
      <c r="G258" s="45" t="n">
        <v>8</v>
      </c>
      <c r="H258" s="45" t="n">
        <v>55</v>
      </c>
      <c r="I258" s="45"/>
      <c r="J258" s="45"/>
    </row>
    <row r="259" customFormat="false" ht="15" hidden="false" customHeight="false" outlineLevel="0" collapsed="false">
      <c r="A259" s="45" t="s">
        <v>968</v>
      </c>
      <c r="B259" s="46" t="n">
        <v>46178</v>
      </c>
      <c r="C259" s="45" t="s">
        <v>856</v>
      </c>
      <c r="D259" s="45" t="s">
        <v>857</v>
      </c>
      <c r="E259" s="45" t="s">
        <v>347</v>
      </c>
      <c r="F259" s="45" t="n">
        <v>1.75</v>
      </c>
      <c r="G259" s="45"/>
      <c r="H259" s="45"/>
      <c r="I259" s="45"/>
      <c r="J259" s="45"/>
    </row>
    <row r="260" customFormat="false" ht="15" hidden="false" customHeight="false" outlineLevel="0" collapsed="false">
      <c r="A260" s="45" t="s">
        <v>968</v>
      </c>
      <c r="B260" s="46" t="n">
        <v>46198</v>
      </c>
      <c r="C260" s="45" t="s">
        <v>884</v>
      </c>
      <c r="D260" s="45" t="s">
        <v>882</v>
      </c>
      <c r="E260" s="45" t="s">
        <v>267</v>
      </c>
      <c r="F260" s="45" t="n">
        <v>3</v>
      </c>
      <c r="G260" s="45" t="n">
        <v>17</v>
      </c>
      <c r="H260" s="45" t="n">
        <v>125</v>
      </c>
      <c r="I260" s="45"/>
      <c r="J260" s="45"/>
    </row>
    <row r="261" customFormat="false" ht="15" hidden="false" customHeight="false" outlineLevel="0" collapsed="false">
      <c r="A261" s="45" t="s">
        <v>968</v>
      </c>
      <c r="B261" s="46" t="n">
        <v>46198</v>
      </c>
      <c r="C261" s="45" t="s">
        <v>884</v>
      </c>
      <c r="D261" s="45" t="s">
        <v>882</v>
      </c>
      <c r="E261" s="45" t="s">
        <v>410</v>
      </c>
      <c r="F261" s="45" t="n">
        <v>2</v>
      </c>
      <c r="G261" s="45"/>
      <c r="H261" s="45"/>
      <c r="I261" s="45"/>
      <c r="J261" s="45"/>
    </row>
    <row r="262" customFormat="false" ht="15" hidden="false" customHeight="false" outlineLevel="0" collapsed="false">
      <c r="A262" s="45" t="s">
        <v>968</v>
      </c>
      <c r="B262" s="45" t="s">
        <v>986</v>
      </c>
      <c r="C262" s="45" t="s">
        <v>864</v>
      </c>
      <c r="D262" s="45" t="s">
        <v>853</v>
      </c>
      <c r="E262" s="45" t="s">
        <v>395</v>
      </c>
      <c r="F262" s="45" t="n">
        <v>40.5</v>
      </c>
      <c r="G262" s="45"/>
      <c r="H262" s="45"/>
      <c r="I262" s="45"/>
      <c r="J262" s="45"/>
    </row>
    <row r="263" customFormat="false" ht="15" hidden="false" customHeight="false" outlineLevel="0" collapsed="false">
      <c r="A263" s="45" t="s">
        <v>968</v>
      </c>
      <c r="B263" s="46" t="n">
        <v>46203</v>
      </c>
      <c r="C263" s="45" t="s">
        <v>864</v>
      </c>
      <c r="D263" s="45" t="s">
        <v>853</v>
      </c>
      <c r="E263" s="45" t="s">
        <v>396</v>
      </c>
      <c r="F263" s="45" t="n">
        <v>73.25</v>
      </c>
      <c r="G263" s="45"/>
      <c r="H263" s="45"/>
      <c r="I263" s="45"/>
      <c r="J263" s="45"/>
    </row>
    <row r="264" customFormat="false" ht="15" hidden="false" customHeight="false" outlineLevel="0" collapsed="false">
      <c r="A264" s="45" t="s">
        <v>968</v>
      </c>
      <c r="B264" s="45" t="s">
        <v>986</v>
      </c>
      <c r="C264" s="45" t="s">
        <v>864</v>
      </c>
      <c r="D264" s="45" t="s">
        <v>853</v>
      </c>
      <c r="E264" s="45" t="s">
        <v>301</v>
      </c>
      <c r="F264" s="45" t="n">
        <v>56</v>
      </c>
      <c r="G264" s="45" t="n">
        <v>195</v>
      </c>
      <c r="H264" s="45" t="n">
        <v>5965</v>
      </c>
      <c r="I264" s="45"/>
      <c r="J264" s="45"/>
    </row>
    <row r="265" customFormat="false" ht="15" hidden="false" customHeight="false" outlineLevel="0" collapsed="false">
      <c r="A265" s="45" t="s">
        <v>968</v>
      </c>
      <c r="B265" s="45" t="s">
        <v>986</v>
      </c>
      <c r="C265" s="45" t="s">
        <v>866</v>
      </c>
      <c r="D265" s="45" t="s">
        <v>857</v>
      </c>
      <c r="E265" s="45" t="s">
        <v>286</v>
      </c>
      <c r="F265" s="45" t="n">
        <v>234</v>
      </c>
      <c r="G265" s="45" t="n">
        <v>282</v>
      </c>
      <c r="H265" s="45" t="n">
        <v>1180</v>
      </c>
      <c r="I265" s="45"/>
      <c r="J265" s="45"/>
    </row>
    <row r="266" customFormat="false" ht="15" hidden="false" customHeight="false" outlineLevel="0" collapsed="false">
      <c r="A266" s="45" t="s">
        <v>968</v>
      </c>
      <c r="B266" s="46" t="n">
        <v>46203</v>
      </c>
      <c r="C266" s="45" t="s">
        <v>866</v>
      </c>
      <c r="D266" s="45" t="s">
        <v>857</v>
      </c>
      <c r="E266" s="45" t="s">
        <v>289</v>
      </c>
      <c r="F266" s="45" t="n">
        <v>107.75</v>
      </c>
      <c r="G266" s="45"/>
      <c r="H266" s="45"/>
      <c r="I266" s="45"/>
      <c r="J266" s="45"/>
    </row>
    <row r="267" customFormat="false" ht="15" hidden="false" customHeight="false" outlineLevel="0" collapsed="false">
      <c r="A267" s="45" t="s">
        <v>968</v>
      </c>
      <c r="B267" s="45" t="s">
        <v>986</v>
      </c>
      <c r="C267" s="45" t="s">
        <v>868</v>
      </c>
      <c r="D267" s="45" t="s">
        <v>857</v>
      </c>
      <c r="E267" s="45" t="s">
        <v>987</v>
      </c>
      <c r="F267" s="45" t="n">
        <v>30.5</v>
      </c>
      <c r="G267" s="45"/>
      <c r="H267" s="45"/>
      <c r="I267" s="45"/>
      <c r="J267" s="45"/>
    </row>
    <row r="268" customFormat="false" ht="15" hidden="false" customHeight="false" outlineLevel="0" collapsed="false">
      <c r="A268" s="45" t="s">
        <v>968</v>
      </c>
      <c r="B268" s="46" t="n">
        <v>46203</v>
      </c>
      <c r="C268" s="45" t="s">
        <v>868</v>
      </c>
      <c r="D268" s="45" t="s">
        <v>857</v>
      </c>
      <c r="E268" s="45" t="s">
        <v>411</v>
      </c>
      <c r="F268" s="45" t="n">
        <v>22.5</v>
      </c>
      <c r="G268" s="45" t="n">
        <v>141</v>
      </c>
      <c r="H268" s="45" t="n">
        <v>8130</v>
      </c>
      <c r="I268" s="45" t="n">
        <v>5570</v>
      </c>
      <c r="J268" s="45"/>
    </row>
    <row r="269" customFormat="false" ht="15" hidden="false" customHeight="false" outlineLevel="0" collapsed="false">
      <c r="A269" s="45" t="s">
        <v>968</v>
      </c>
      <c r="B269" s="46" t="n">
        <v>46203</v>
      </c>
      <c r="C269" s="45" t="s">
        <v>869</v>
      </c>
      <c r="D269" s="45" t="s">
        <v>870</v>
      </c>
      <c r="E269" s="45" t="s">
        <v>670</v>
      </c>
      <c r="F269" s="45" t="n">
        <v>27.5</v>
      </c>
      <c r="G269" s="45"/>
      <c r="H269" s="45"/>
      <c r="I269" s="45"/>
      <c r="J269" s="45"/>
    </row>
    <row r="270" customFormat="false" ht="15" hidden="false" customHeight="false" outlineLevel="0" collapsed="false">
      <c r="A270" s="45" t="s">
        <v>968</v>
      </c>
      <c r="B270" s="46" t="n">
        <v>46203</v>
      </c>
      <c r="C270" s="45" t="s">
        <v>869</v>
      </c>
      <c r="D270" s="45" t="s">
        <v>870</v>
      </c>
      <c r="E270" s="45" t="s">
        <v>363</v>
      </c>
      <c r="F270" s="45" t="n">
        <v>54.25</v>
      </c>
      <c r="G270" s="45"/>
      <c r="H270" s="45" t="n">
        <v>175</v>
      </c>
      <c r="I270" s="45"/>
      <c r="J270" s="45"/>
    </row>
    <row r="271" customFormat="false" ht="15" hidden="false" customHeight="false" outlineLevel="0" collapsed="false">
      <c r="A271" s="45" t="s">
        <v>968</v>
      </c>
      <c r="B271" s="45" t="s">
        <v>986</v>
      </c>
      <c r="C271" s="45" t="s">
        <v>871</v>
      </c>
      <c r="D271" s="45" t="s">
        <v>853</v>
      </c>
      <c r="E271" s="45" t="s">
        <v>532</v>
      </c>
      <c r="F271" s="45" t="n">
        <v>59.25</v>
      </c>
      <c r="G271" s="45" t="n">
        <v>42</v>
      </c>
      <c r="H271" s="45" t="n">
        <v>975</v>
      </c>
      <c r="I271" s="45"/>
      <c r="J271" s="45"/>
    </row>
    <row r="272" customFormat="false" ht="15" hidden="false" customHeight="false" outlineLevel="0" collapsed="false">
      <c r="A272" s="45" t="s">
        <v>968</v>
      </c>
      <c r="B272" s="45" t="s">
        <v>988</v>
      </c>
      <c r="C272" s="45" t="s">
        <v>872</v>
      </c>
      <c r="D272" s="45" t="s">
        <v>873</v>
      </c>
      <c r="E272" s="45" t="s">
        <v>421</v>
      </c>
      <c r="F272" s="45" t="n">
        <v>40.75</v>
      </c>
      <c r="G272" s="45" t="n">
        <v>8</v>
      </c>
      <c r="H272" s="45" t="n">
        <v>210</v>
      </c>
      <c r="I272" s="45"/>
      <c r="J272" s="45"/>
    </row>
    <row r="273" customFormat="false" ht="15" hidden="false" customHeight="false" outlineLevel="0" collapsed="false">
      <c r="A273" s="45" t="s">
        <v>968</v>
      </c>
      <c r="B273" s="46" t="n">
        <v>46203</v>
      </c>
      <c r="C273" s="45" t="s">
        <v>872</v>
      </c>
      <c r="D273" s="45" t="s">
        <v>873</v>
      </c>
      <c r="E273" s="45" t="s">
        <v>458</v>
      </c>
      <c r="F273" s="45" t="n">
        <v>51.25</v>
      </c>
      <c r="G273" s="45"/>
      <c r="H273" s="45"/>
      <c r="I273" s="45"/>
      <c r="J273" s="45"/>
    </row>
    <row r="274" customFormat="false" ht="15" hidden="false" customHeight="false" outlineLevel="0" collapsed="false">
      <c r="A274" s="45" t="s">
        <v>968</v>
      </c>
      <c r="B274" s="45" t="s">
        <v>986</v>
      </c>
      <c r="C274" s="45" t="s">
        <v>874</v>
      </c>
      <c r="D274" s="45" t="s">
        <v>873</v>
      </c>
      <c r="E274" s="45" t="s">
        <v>561</v>
      </c>
      <c r="F274" s="45" t="n">
        <v>45.25</v>
      </c>
      <c r="G274" s="45" t="n">
        <v>5</v>
      </c>
      <c r="H274" s="45" t="n">
        <v>20</v>
      </c>
      <c r="I274" s="45"/>
      <c r="J274" s="45"/>
    </row>
    <row r="275" customFormat="false" ht="15" hidden="false" customHeight="false" outlineLevel="0" collapsed="false">
      <c r="A275" s="45" t="s">
        <v>968</v>
      </c>
      <c r="B275" s="45" t="s">
        <v>986</v>
      </c>
      <c r="C275" s="45" t="s">
        <v>875</v>
      </c>
      <c r="D275" s="45" t="s">
        <v>876</v>
      </c>
      <c r="E275" s="45" t="s">
        <v>384</v>
      </c>
      <c r="F275" s="45" t="n">
        <v>12</v>
      </c>
      <c r="G275" s="45"/>
      <c r="H275" s="45"/>
      <c r="I275" s="45"/>
      <c r="J275" s="45"/>
    </row>
    <row r="276" customFormat="false" ht="15" hidden="false" customHeight="false" outlineLevel="0" collapsed="false">
      <c r="A276" s="45" t="s">
        <v>968</v>
      </c>
      <c r="B276" s="46" t="n">
        <v>46203</v>
      </c>
      <c r="C276" s="45" t="s">
        <v>875</v>
      </c>
      <c r="D276" s="45" t="s">
        <v>876</v>
      </c>
      <c r="E276" s="45" t="s">
        <v>482</v>
      </c>
      <c r="F276" s="45" t="n">
        <v>43</v>
      </c>
      <c r="G276" s="45" t="n">
        <v>14</v>
      </c>
      <c r="H276" s="45" t="n">
        <v>1475</v>
      </c>
      <c r="I276" s="45" t="n">
        <v>3670</v>
      </c>
      <c r="J276" s="4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5A8"/>
    <pageSetUpPr fitToPage="false"/>
  </sheetPr>
  <dimension ref="A1:I2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30"/>
    <col collapsed="false" customWidth="true" hidden="false" outlineLevel="0" max="8" min="3" style="1" width="16"/>
    <col collapsed="false" customWidth="true" hidden="false" outlineLevel="0" max="9" min="9" style="1" width="26"/>
  </cols>
  <sheetData>
    <row r="1" customFormat="false" ht="15" hidden="false" customHeight="false" outlineLevel="0" collapsed="false">
      <c r="A1" s="44" t="s">
        <v>989</v>
      </c>
      <c r="B1" s="44" t="s">
        <v>990</v>
      </c>
      <c r="C1" s="44" t="s">
        <v>991</v>
      </c>
      <c r="D1" s="44" t="s">
        <v>992</v>
      </c>
      <c r="E1" s="44" t="s">
        <v>244</v>
      </c>
      <c r="F1" s="44" t="s">
        <v>993</v>
      </c>
      <c r="G1" s="44" t="s">
        <v>994</v>
      </c>
      <c r="H1" s="44" t="s">
        <v>247</v>
      </c>
      <c r="I1" s="44" t="s">
        <v>502</v>
      </c>
    </row>
    <row r="2" customFormat="false" ht="15" hidden="false" customHeight="false" outlineLevel="0" collapsed="false">
      <c r="A2" s="45" t="s">
        <v>995</v>
      </c>
      <c r="B2" s="45" t="s">
        <v>996</v>
      </c>
      <c r="C2" s="45" t="s">
        <v>997</v>
      </c>
      <c r="D2" s="45" t="s">
        <v>292</v>
      </c>
      <c r="E2" s="45" t="n">
        <v>2.25</v>
      </c>
      <c r="F2" s="45"/>
      <c r="G2" s="45" t="n">
        <v>0</v>
      </c>
      <c r="H2" s="45" t="n">
        <v>0</v>
      </c>
      <c r="I2" s="45"/>
    </row>
    <row r="3" customFormat="false" ht="15" hidden="false" customHeight="false" outlineLevel="0" collapsed="false">
      <c r="A3" s="45" t="s">
        <v>995</v>
      </c>
      <c r="B3" s="45" t="s">
        <v>996</v>
      </c>
      <c r="C3" s="45" t="s">
        <v>997</v>
      </c>
      <c r="D3" s="45" t="s">
        <v>373</v>
      </c>
      <c r="E3" s="45" t="n">
        <v>2.75</v>
      </c>
      <c r="F3" s="45"/>
      <c r="G3" s="45" t="n">
        <v>115</v>
      </c>
      <c r="H3" s="45" t="n">
        <v>0</v>
      </c>
      <c r="I3" s="45"/>
    </row>
    <row r="4" customFormat="false" ht="15" hidden="false" customHeight="false" outlineLevel="0" collapsed="false">
      <c r="A4" s="45" t="s">
        <v>998</v>
      </c>
      <c r="B4" s="45" t="s">
        <v>999</v>
      </c>
      <c r="C4" s="45" t="s">
        <v>1000</v>
      </c>
      <c r="D4" s="45" t="s">
        <v>485</v>
      </c>
      <c r="E4" s="45" t="n">
        <v>2</v>
      </c>
      <c r="F4" s="45" t="n">
        <v>21</v>
      </c>
      <c r="G4" s="45" t="n">
        <v>100</v>
      </c>
      <c r="H4" s="45" t="n">
        <v>0</v>
      </c>
      <c r="I4" s="45"/>
    </row>
    <row r="5" customFormat="false" ht="15" hidden="false" customHeight="false" outlineLevel="0" collapsed="false">
      <c r="A5" s="45" t="s">
        <v>1001</v>
      </c>
      <c r="B5" s="45" t="s">
        <v>1002</v>
      </c>
      <c r="C5" s="45" t="s">
        <v>1003</v>
      </c>
      <c r="D5" s="45" t="s">
        <v>571</v>
      </c>
      <c r="E5" s="45" t="n">
        <v>7.25</v>
      </c>
      <c r="F5" s="45" t="n">
        <v>130</v>
      </c>
      <c r="G5" s="45" t="n">
        <v>1315</v>
      </c>
      <c r="H5" s="45" t="n">
        <v>0</v>
      </c>
      <c r="I5" s="45"/>
    </row>
    <row r="6" customFormat="false" ht="15" hidden="false" customHeight="false" outlineLevel="0" collapsed="false">
      <c r="A6" s="45" t="s">
        <v>1001</v>
      </c>
      <c r="B6" s="45" t="s">
        <v>1002</v>
      </c>
      <c r="C6" s="45" t="s">
        <v>1003</v>
      </c>
      <c r="D6" s="45" t="s">
        <v>1004</v>
      </c>
      <c r="E6" s="45" t="n">
        <v>4</v>
      </c>
      <c r="F6" s="45"/>
      <c r="G6" s="45" t="n">
        <v>0</v>
      </c>
      <c r="H6" s="45" t="n">
        <v>0</v>
      </c>
      <c r="I6" s="45"/>
    </row>
    <row r="7" customFormat="false" ht="15" hidden="false" customHeight="false" outlineLevel="0" collapsed="false">
      <c r="A7" s="45" t="s">
        <v>1001</v>
      </c>
      <c r="B7" s="45" t="s">
        <v>1002</v>
      </c>
      <c r="C7" s="45" t="s">
        <v>1003</v>
      </c>
      <c r="D7" s="45" t="s">
        <v>340</v>
      </c>
      <c r="E7" s="45" t="n">
        <v>6.25</v>
      </c>
      <c r="F7" s="45"/>
      <c r="G7" s="45" t="n">
        <v>0</v>
      </c>
      <c r="H7" s="45" t="n">
        <v>0</v>
      </c>
      <c r="I7" s="45"/>
    </row>
    <row r="8" customFormat="false" ht="15" hidden="false" customHeight="false" outlineLevel="0" collapsed="false">
      <c r="A8" s="45" t="s">
        <v>1005</v>
      </c>
      <c r="B8" s="45" t="s">
        <v>1006</v>
      </c>
      <c r="C8" s="45" t="s">
        <v>1007</v>
      </c>
      <c r="D8" s="45" t="s">
        <v>404</v>
      </c>
      <c r="E8" s="45" t="n">
        <v>8</v>
      </c>
      <c r="F8" s="45" t="n">
        <v>36</v>
      </c>
      <c r="G8" s="45" t="n">
        <v>2910</v>
      </c>
      <c r="H8" s="45" t="n">
        <v>0</v>
      </c>
      <c r="I8" s="45"/>
    </row>
    <row r="9" customFormat="false" ht="15" hidden="false" customHeight="false" outlineLevel="0" collapsed="false">
      <c r="A9" s="45" t="s">
        <v>1008</v>
      </c>
      <c r="B9" s="45" t="s">
        <v>999</v>
      </c>
      <c r="C9" s="45" t="s">
        <v>1009</v>
      </c>
      <c r="D9" s="45" t="s">
        <v>464</v>
      </c>
      <c r="E9" s="45" t="n">
        <v>2</v>
      </c>
      <c r="F9" s="45" t="n">
        <v>10</v>
      </c>
      <c r="G9" s="45" t="n">
        <v>155</v>
      </c>
      <c r="H9" s="45" t="n">
        <v>0</v>
      </c>
      <c r="I9" s="45"/>
    </row>
    <row r="10" customFormat="false" ht="15" hidden="false" customHeight="false" outlineLevel="0" collapsed="false">
      <c r="A10" s="45" t="s">
        <v>1010</v>
      </c>
      <c r="B10" s="45" t="s">
        <v>1011</v>
      </c>
      <c r="C10" s="45" t="s">
        <v>1012</v>
      </c>
      <c r="D10" s="45" t="s">
        <v>1013</v>
      </c>
      <c r="E10" s="45" t="n">
        <v>4.5</v>
      </c>
      <c r="F10" s="45"/>
      <c r="G10" s="45" t="n">
        <v>0</v>
      </c>
      <c r="H10" s="45" t="n">
        <v>0</v>
      </c>
      <c r="I10" s="45"/>
    </row>
    <row r="11" customFormat="false" ht="15" hidden="false" customHeight="false" outlineLevel="0" collapsed="false">
      <c r="A11" s="45" t="s">
        <v>1010</v>
      </c>
      <c r="B11" s="45" t="s">
        <v>1011</v>
      </c>
      <c r="C11" s="45" t="s">
        <v>1012</v>
      </c>
      <c r="D11" s="45" t="s">
        <v>414</v>
      </c>
      <c r="E11" s="45" t="n">
        <v>4.5</v>
      </c>
      <c r="F11" s="45"/>
      <c r="G11" s="45" t="n">
        <v>0</v>
      </c>
      <c r="H11" s="45" t="n">
        <v>0</v>
      </c>
      <c r="I11" s="45"/>
    </row>
    <row r="12" customFormat="false" ht="15" hidden="false" customHeight="false" outlineLevel="0" collapsed="false">
      <c r="A12" s="45" t="s">
        <v>1010</v>
      </c>
      <c r="B12" s="45" t="s">
        <v>1011</v>
      </c>
      <c r="C12" s="45" t="s">
        <v>1012</v>
      </c>
      <c r="D12" s="45" t="s">
        <v>303</v>
      </c>
      <c r="E12" s="45" t="n">
        <v>4.75</v>
      </c>
      <c r="F12" s="45" t="n">
        <v>72</v>
      </c>
      <c r="G12" s="45" t="n">
        <v>425</v>
      </c>
      <c r="H12" s="45" t="n">
        <v>0</v>
      </c>
      <c r="I12" s="45"/>
    </row>
    <row r="13" customFormat="false" ht="15" hidden="false" customHeight="false" outlineLevel="0" collapsed="false">
      <c r="A13" s="45" t="s">
        <v>1014</v>
      </c>
      <c r="B13" s="45" t="s">
        <v>1015</v>
      </c>
      <c r="C13" s="45" t="s">
        <v>1016</v>
      </c>
      <c r="D13" s="45" t="s">
        <v>627</v>
      </c>
      <c r="E13" s="45" t="n">
        <v>69.75</v>
      </c>
      <c r="F13" s="45"/>
      <c r="G13" s="45" t="n">
        <v>0</v>
      </c>
      <c r="H13" s="45" t="n">
        <v>0</v>
      </c>
      <c r="I13" s="45"/>
    </row>
    <row r="14" customFormat="false" ht="15" hidden="false" customHeight="false" outlineLevel="0" collapsed="false">
      <c r="A14" s="45" t="s">
        <v>1014</v>
      </c>
      <c r="B14" s="45" t="s">
        <v>1015</v>
      </c>
      <c r="C14" s="45" t="s">
        <v>1016</v>
      </c>
      <c r="D14" s="45" t="s">
        <v>959</v>
      </c>
      <c r="E14" s="45" t="n">
        <v>14.75</v>
      </c>
      <c r="F14" s="45" t="n">
        <v>95</v>
      </c>
      <c r="G14" s="45" t="n">
        <v>18050</v>
      </c>
      <c r="H14" s="45" t="n">
        <v>0</v>
      </c>
      <c r="I14" s="45"/>
    </row>
    <row r="15" customFormat="false" ht="15" hidden="false" customHeight="false" outlineLevel="0" collapsed="false">
      <c r="A15" s="45" t="s">
        <v>1017</v>
      </c>
      <c r="B15" s="45" t="s">
        <v>1018</v>
      </c>
      <c r="C15" s="45" t="s">
        <v>1016</v>
      </c>
      <c r="D15" s="45" t="s">
        <v>450</v>
      </c>
      <c r="E15" s="45" t="n">
        <v>48.5</v>
      </c>
      <c r="F15" s="45"/>
      <c r="G15" s="45" t="n">
        <v>0</v>
      </c>
      <c r="H15" s="45" t="n">
        <v>0</v>
      </c>
      <c r="I15" s="45"/>
    </row>
    <row r="16" customFormat="false" ht="15" hidden="false" customHeight="false" outlineLevel="0" collapsed="false">
      <c r="A16" s="45" t="s">
        <v>1017</v>
      </c>
      <c r="B16" s="45" t="s">
        <v>1018</v>
      </c>
      <c r="C16" s="45" t="s">
        <v>1016</v>
      </c>
      <c r="D16" s="45" t="s">
        <v>1019</v>
      </c>
      <c r="E16" s="45" t="n">
        <v>55.25</v>
      </c>
      <c r="F16" s="45"/>
      <c r="G16" s="45" t="n">
        <v>545</v>
      </c>
      <c r="H16" s="45" t="n">
        <v>0</v>
      </c>
      <c r="I16" s="45"/>
    </row>
    <row r="17" customFormat="false" ht="15" hidden="false" customHeight="false" outlineLevel="0" collapsed="false">
      <c r="A17" s="45" t="s">
        <v>1020</v>
      </c>
      <c r="B17" s="45" t="s">
        <v>1011</v>
      </c>
      <c r="C17" s="45" t="s">
        <v>1016</v>
      </c>
      <c r="D17" s="45" t="s">
        <v>571</v>
      </c>
      <c r="E17" s="45" t="n">
        <v>69.5</v>
      </c>
      <c r="F17" s="45" t="n">
        <v>68</v>
      </c>
      <c r="G17" s="45" t="n">
        <v>955</v>
      </c>
      <c r="H17" s="45" t="n">
        <v>0</v>
      </c>
      <c r="I17" s="45"/>
    </row>
    <row r="18" customFormat="false" ht="15" hidden="false" customHeight="false" outlineLevel="0" collapsed="false">
      <c r="A18" s="45" t="s">
        <v>1021</v>
      </c>
      <c r="B18" s="45" t="s">
        <v>1022</v>
      </c>
      <c r="C18" s="45" t="s">
        <v>1016</v>
      </c>
      <c r="D18" s="45" t="s">
        <v>387</v>
      </c>
      <c r="E18" s="45" t="n">
        <v>37</v>
      </c>
      <c r="F18" s="45" t="n">
        <v>8</v>
      </c>
      <c r="G18" s="45" t="n">
        <v>200</v>
      </c>
      <c r="H18" s="45" t="n">
        <v>0</v>
      </c>
      <c r="I18" s="45"/>
    </row>
    <row r="19" customFormat="false" ht="15" hidden="false" customHeight="false" outlineLevel="0" collapsed="false">
      <c r="A19" s="45" t="s">
        <v>1021</v>
      </c>
      <c r="B19" s="45" t="s">
        <v>1022</v>
      </c>
      <c r="C19" s="45" t="s">
        <v>1016</v>
      </c>
      <c r="D19" s="45" t="s">
        <v>325</v>
      </c>
      <c r="E19" s="45" t="n">
        <v>70.25</v>
      </c>
      <c r="F19" s="45"/>
      <c r="G19" s="45" t="n">
        <v>0</v>
      </c>
      <c r="H19" s="45" t="n">
        <v>0</v>
      </c>
      <c r="I19" s="45"/>
    </row>
    <row r="20" customFormat="false" ht="15" hidden="false" customHeight="false" outlineLevel="0" collapsed="false">
      <c r="A20" s="45" t="s">
        <v>1008</v>
      </c>
      <c r="B20" s="45" t="s">
        <v>999</v>
      </c>
      <c r="C20" s="45" t="s">
        <v>1023</v>
      </c>
      <c r="D20" s="45" t="s">
        <v>391</v>
      </c>
      <c r="E20" s="45" t="n">
        <v>2</v>
      </c>
      <c r="F20" s="45" t="n">
        <v>7</v>
      </c>
      <c r="G20" s="45" t="n">
        <v>255</v>
      </c>
      <c r="H20" s="45" t="n">
        <v>0</v>
      </c>
      <c r="I20" s="45"/>
    </row>
    <row r="21" customFormat="false" ht="15" hidden="false" customHeight="false" outlineLevel="0" collapsed="false">
      <c r="A21" s="45" t="s">
        <v>998</v>
      </c>
      <c r="B21" s="45" t="s">
        <v>999</v>
      </c>
      <c r="C21" s="45" t="s">
        <v>1024</v>
      </c>
      <c r="D21" s="45" t="s">
        <v>343</v>
      </c>
      <c r="E21" s="45" t="n">
        <v>2</v>
      </c>
      <c r="F21" s="45" t="n">
        <v>9</v>
      </c>
      <c r="G21" s="45" t="n">
        <v>85</v>
      </c>
      <c r="H21" s="45" t="n">
        <v>0</v>
      </c>
      <c r="I21" s="45"/>
    </row>
    <row r="22" customFormat="false" ht="15" hidden="false" customHeight="false" outlineLevel="0" collapsed="false">
      <c r="A22" s="45" t="s">
        <v>1001</v>
      </c>
      <c r="B22" s="45" t="s">
        <v>1002</v>
      </c>
      <c r="C22" s="45" t="s">
        <v>1025</v>
      </c>
      <c r="D22" s="45" t="s">
        <v>571</v>
      </c>
      <c r="E22" s="45" t="n">
        <v>6.25</v>
      </c>
      <c r="F22" s="45" t="n">
        <v>66</v>
      </c>
      <c r="G22" s="45" t="n">
        <v>1205</v>
      </c>
      <c r="H22" s="45" t="n">
        <v>0</v>
      </c>
      <c r="I22" s="45"/>
    </row>
    <row r="23" customFormat="false" ht="15" hidden="false" customHeight="false" outlineLevel="0" collapsed="false">
      <c r="A23" s="45" t="s">
        <v>1001</v>
      </c>
      <c r="B23" s="45" t="s">
        <v>1002</v>
      </c>
      <c r="C23" s="45" t="s">
        <v>1025</v>
      </c>
      <c r="D23" s="45" t="s">
        <v>1026</v>
      </c>
      <c r="E23" s="45" t="n">
        <v>5.5</v>
      </c>
      <c r="F23" s="45"/>
      <c r="G23" s="45" t="n">
        <v>0</v>
      </c>
      <c r="H23" s="45" t="n">
        <v>0</v>
      </c>
      <c r="I23" s="45"/>
    </row>
    <row r="24" customFormat="false" ht="15" hidden="false" customHeight="false" outlineLevel="0" collapsed="false">
      <c r="A24" s="45" t="s">
        <v>1001</v>
      </c>
      <c r="B24" s="45" t="s">
        <v>1002</v>
      </c>
      <c r="C24" s="45" t="s">
        <v>1025</v>
      </c>
      <c r="D24" s="45" t="s">
        <v>458</v>
      </c>
      <c r="E24" s="45" t="n">
        <v>7.75</v>
      </c>
      <c r="F24" s="45"/>
      <c r="G24" s="45" t="n">
        <v>0</v>
      </c>
      <c r="H24" s="45" t="n">
        <v>0</v>
      </c>
      <c r="I24" s="45"/>
    </row>
    <row r="25" customFormat="false" ht="15" hidden="false" customHeight="false" outlineLevel="0" collapsed="false">
      <c r="A25" s="45" t="s">
        <v>1027</v>
      </c>
      <c r="B25" s="45" t="s">
        <v>999</v>
      </c>
      <c r="C25" s="45" t="s">
        <v>1028</v>
      </c>
      <c r="D25" s="45" t="s">
        <v>267</v>
      </c>
      <c r="E25" s="45" t="n">
        <v>2.25</v>
      </c>
      <c r="F25" s="45" t="n">
        <v>10</v>
      </c>
      <c r="G25" s="45" t="n">
        <v>75</v>
      </c>
      <c r="H25" s="45" t="n">
        <v>0</v>
      </c>
      <c r="I25" s="45"/>
    </row>
    <row r="26" customFormat="false" ht="15" hidden="false" customHeight="false" outlineLevel="0" collapsed="false">
      <c r="A26" s="45" t="s">
        <v>1027</v>
      </c>
      <c r="B26" s="45" t="s">
        <v>999</v>
      </c>
      <c r="C26" s="45" t="s">
        <v>1028</v>
      </c>
      <c r="D26" s="45" t="s">
        <v>411</v>
      </c>
      <c r="E26" s="45" t="n">
        <v>1.75</v>
      </c>
      <c r="F26" s="45"/>
      <c r="G26" s="45" t="n">
        <v>0</v>
      </c>
      <c r="H26" s="45" t="n">
        <v>0</v>
      </c>
      <c r="I26" s="45"/>
    </row>
    <row r="27" customFormat="false" ht="15" hidden="false" customHeight="false" outlineLevel="0" collapsed="false">
      <c r="A27" s="45" t="s">
        <v>1029</v>
      </c>
      <c r="B27" s="45" t="s">
        <v>999</v>
      </c>
      <c r="C27" s="45" t="s">
        <v>1028</v>
      </c>
      <c r="D27" s="45" t="s">
        <v>456</v>
      </c>
      <c r="E27" s="45" t="n">
        <v>3.5</v>
      </c>
      <c r="F27" s="45" t="n">
        <v>31</v>
      </c>
      <c r="G27" s="45" t="n">
        <v>700</v>
      </c>
      <c r="H27" s="45" t="n">
        <v>470</v>
      </c>
      <c r="I27" s="45" t="s">
        <v>1030</v>
      </c>
    </row>
    <row r="28" customFormat="false" ht="15" hidden="false" customHeight="false" outlineLevel="0" collapsed="false">
      <c r="A28" s="45" t="s">
        <v>1029</v>
      </c>
      <c r="B28" s="45" t="s">
        <v>999</v>
      </c>
      <c r="C28" s="45" t="s">
        <v>1028</v>
      </c>
      <c r="D28" s="45" t="s">
        <v>456</v>
      </c>
      <c r="E28" s="45" t="n">
        <v>3.5</v>
      </c>
      <c r="F28" s="45" t="n">
        <v>27</v>
      </c>
      <c r="G28" s="45" t="n">
        <v>700</v>
      </c>
      <c r="H28" s="45" t="n">
        <v>470</v>
      </c>
      <c r="I28" s="45" t="s">
        <v>1031</v>
      </c>
    </row>
    <row r="29" customFormat="false" ht="15" hidden="false" customHeight="false" outlineLevel="0" collapsed="false">
      <c r="A29" s="45" t="s">
        <v>1029</v>
      </c>
      <c r="B29" s="45" t="s">
        <v>999</v>
      </c>
      <c r="C29" s="45" t="s">
        <v>1028</v>
      </c>
      <c r="D29" s="45" t="s">
        <v>1032</v>
      </c>
      <c r="E29" s="45" t="n">
        <v>3.25</v>
      </c>
      <c r="F29" s="45"/>
      <c r="G29" s="45" t="n">
        <v>0</v>
      </c>
      <c r="H29" s="45" t="n">
        <v>0</v>
      </c>
      <c r="I29" s="45" t="s">
        <v>1030</v>
      </c>
    </row>
    <row r="30" customFormat="false" ht="15" hidden="false" customHeight="false" outlineLevel="0" collapsed="false">
      <c r="A30" s="45" t="s">
        <v>1029</v>
      </c>
      <c r="B30" s="45" t="s">
        <v>999</v>
      </c>
      <c r="C30" s="45" t="s">
        <v>1028</v>
      </c>
      <c r="D30" s="45" t="s">
        <v>747</v>
      </c>
      <c r="E30" s="45" t="n">
        <v>3.25</v>
      </c>
      <c r="F30" s="45"/>
      <c r="G30" s="45" t="n">
        <v>0</v>
      </c>
      <c r="H30" s="45" t="n">
        <v>0</v>
      </c>
      <c r="I30" s="45" t="s">
        <v>1031</v>
      </c>
    </row>
    <row r="31" customFormat="false" ht="15" hidden="false" customHeight="false" outlineLevel="0" collapsed="false">
      <c r="A31" s="45" t="s">
        <v>1033</v>
      </c>
      <c r="B31" s="45" t="s">
        <v>1011</v>
      </c>
      <c r="C31" s="45" t="s">
        <v>1034</v>
      </c>
      <c r="D31" s="45" t="s">
        <v>458</v>
      </c>
      <c r="E31" s="45" t="n">
        <v>4.5</v>
      </c>
      <c r="F31" s="45" t="n">
        <v>30</v>
      </c>
      <c r="G31" s="45" t="n">
        <v>75</v>
      </c>
      <c r="H31" s="45" t="n">
        <v>0</v>
      </c>
      <c r="I31" s="45"/>
    </row>
    <row r="32" customFormat="false" ht="15" hidden="false" customHeight="false" outlineLevel="0" collapsed="false">
      <c r="A32" s="45" t="s">
        <v>998</v>
      </c>
      <c r="B32" s="45" t="s">
        <v>999</v>
      </c>
      <c r="C32" s="45" t="s">
        <v>1035</v>
      </c>
      <c r="D32" s="45" t="s">
        <v>464</v>
      </c>
      <c r="E32" s="45" t="n">
        <v>2</v>
      </c>
      <c r="F32" s="45" t="n">
        <v>12</v>
      </c>
      <c r="G32" s="45" t="n">
        <v>45</v>
      </c>
      <c r="H32" s="45" t="n">
        <v>0</v>
      </c>
      <c r="I32" s="45"/>
    </row>
    <row r="33" customFormat="false" ht="15" hidden="false" customHeight="false" outlineLevel="0" collapsed="false">
      <c r="A33" s="45" t="s">
        <v>995</v>
      </c>
      <c r="B33" s="45" t="s">
        <v>996</v>
      </c>
      <c r="C33" s="45" t="s">
        <v>1035</v>
      </c>
      <c r="D33" s="45" t="s">
        <v>331</v>
      </c>
      <c r="E33" s="45" t="n">
        <v>3</v>
      </c>
      <c r="F33" s="45"/>
      <c r="G33" s="45" t="n">
        <v>0</v>
      </c>
      <c r="H33" s="45" t="n">
        <v>0</v>
      </c>
      <c r="I33" s="45"/>
    </row>
    <row r="34" customFormat="false" ht="15" hidden="false" customHeight="false" outlineLevel="0" collapsed="false">
      <c r="A34" s="45" t="s">
        <v>995</v>
      </c>
      <c r="B34" s="45" t="s">
        <v>996</v>
      </c>
      <c r="C34" s="45" t="s">
        <v>1035</v>
      </c>
      <c r="D34" s="45" t="s">
        <v>373</v>
      </c>
      <c r="E34" s="45" t="n">
        <v>2.25</v>
      </c>
      <c r="F34" s="45"/>
      <c r="G34" s="45" t="n">
        <v>65</v>
      </c>
      <c r="H34" s="45" t="n">
        <v>0</v>
      </c>
      <c r="I34" s="45"/>
    </row>
    <row r="35" customFormat="false" ht="15" hidden="false" customHeight="false" outlineLevel="0" collapsed="false">
      <c r="A35" s="45" t="s">
        <v>1014</v>
      </c>
      <c r="B35" s="45" t="s">
        <v>1015</v>
      </c>
      <c r="C35" s="45" t="s">
        <v>1036</v>
      </c>
      <c r="D35" s="45" t="s">
        <v>448</v>
      </c>
      <c r="E35" s="45" t="n">
        <v>53.5</v>
      </c>
      <c r="F35" s="45"/>
      <c r="G35" s="45" t="n">
        <v>0</v>
      </c>
      <c r="H35" s="45" t="n">
        <v>0</v>
      </c>
      <c r="I35" s="45"/>
    </row>
    <row r="36" customFormat="false" ht="15" hidden="false" customHeight="false" outlineLevel="0" collapsed="false">
      <c r="A36" s="45" t="s">
        <v>1014</v>
      </c>
      <c r="B36" s="45" t="s">
        <v>1015</v>
      </c>
      <c r="C36" s="45" t="s">
        <v>1036</v>
      </c>
      <c r="D36" s="45" t="s">
        <v>448</v>
      </c>
      <c r="E36" s="45" t="n">
        <v>53.5</v>
      </c>
      <c r="F36" s="45"/>
      <c r="G36" s="45" t="n">
        <v>0</v>
      </c>
      <c r="H36" s="45" t="n">
        <v>0</v>
      </c>
      <c r="I36" s="45"/>
    </row>
    <row r="37" customFormat="false" ht="15" hidden="false" customHeight="false" outlineLevel="0" collapsed="false">
      <c r="A37" s="45" t="s">
        <v>1014</v>
      </c>
      <c r="B37" s="45" t="s">
        <v>1015</v>
      </c>
      <c r="C37" s="45" t="s">
        <v>1036</v>
      </c>
      <c r="D37" s="45" t="s">
        <v>283</v>
      </c>
      <c r="E37" s="45" t="n">
        <v>20.5</v>
      </c>
      <c r="F37" s="45" t="n">
        <v>107</v>
      </c>
      <c r="G37" s="45" t="n">
        <v>19865</v>
      </c>
      <c r="H37" s="45" t="n">
        <v>0</v>
      </c>
      <c r="I37" s="45"/>
    </row>
    <row r="38" customFormat="false" ht="15" hidden="false" customHeight="false" outlineLevel="0" collapsed="false">
      <c r="A38" s="45" t="s">
        <v>1014</v>
      </c>
      <c r="B38" s="45" t="s">
        <v>1015</v>
      </c>
      <c r="C38" s="45" t="s">
        <v>1036</v>
      </c>
      <c r="D38" s="45" t="s">
        <v>283</v>
      </c>
      <c r="E38" s="45" t="n">
        <v>20.5</v>
      </c>
      <c r="F38" s="45" t="n">
        <v>107</v>
      </c>
      <c r="G38" s="45" t="n">
        <v>19865</v>
      </c>
      <c r="H38" s="45" t="n">
        <v>0</v>
      </c>
      <c r="I38" s="45"/>
    </row>
    <row r="39" customFormat="false" ht="15" hidden="false" customHeight="false" outlineLevel="0" collapsed="false">
      <c r="A39" s="45" t="s">
        <v>1017</v>
      </c>
      <c r="B39" s="45" t="s">
        <v>1018</v>
      </c>
      <c r="C39" s="45" t="s">
        <v>1036</v>
      </c>
      <c r="D39" s="45" t="s">
        <v>469</v>
      </c>
      <c r="E39" s="45" t="n">
        <v>32.75</v>
      </c>
      <c r="F39" s="45"/>
      <c r="G39" s="45" t="n">
        <v>0</v>
      </c>
      <c r="H39" s="45" t="n">
        <v>0</v>
      </c>
      <c r="I39" s="45"/>
    </row>
    <row r="40" customFormat="false" ht="15" hidden="false" customHeight="false" outlineLevel="0" collapsed="false">
      <c r="A40" s="45" t="s">
        <v>1017</v>
      </c>
      <c r="B40" s="45" t="s">
        <v>1018</v>
      </c>
      <c r="C40" s="45" t="s">
        <v>1036</v>
      </c>
      <c r="D40" s="45" t="s">
        <v>313</v>
      </c>
      <c r="E40" s="45" t="n">
        <v>61.25</v>
      </c>
      <c r="F40" s="45"/>
      <c r="G40" s="45" t="n">
        <v>485</v>
      </c>
      <c r="H40" s="45" t="n">
        <v>0</v>
      </c>
      <c r="I40" s="45"/>
    </row>
    <row r="41" customFormat="false" ht="15" hidden="false" customHeight="false" outlineLevel="0" collapsed="false">
      <c r="A41" s="45" t="s">
        <v>1020</v>
      </c>
      <c r="B41" s="45" t="s">
        <v>1011</v>
      </c>
      <c r="C41" s="45" t="s">
        <v>1036</v>
      </c>
      <c r="D41" s="45" t="s">
        <v>456</v>
      </c>
      <c r="E41" s="45" t="n">
        <v>67</v>
      </c>
      <c r="F41" s="45" t="n">
        <v>76</v>
      </c>
      <c r="G41" s="45" t="n">
        <v>1290</v>
      </c>
      <c r="H41" s="45" t="n">
        <v>0</v>
      </c>
      <c r="I41" s="45"/>
    </row>
    <row r="42" customFormat="false" ht="15" hidden="false" customHeight="false" outlineLevel="0" collapsed="false">
      <c r="A42" s="45" t="s">
        <v>1021</v>
      </c>
      <c r="B42" s="45" t="s">
        <v>1022</v>
      </c>
      <c r="C42" s="45" t="s">
        <v>1036</v>
      </c>
      <c r="D42" s="45" t="s">
        <v>364</v>
      </c>
      <c r="E42" s="45" t="n">
        <v>92.5</v>
      </c>
      <c r="F42" s="45" t="n">
        <v>16</v>
      </c>
      <c r="G42" s="45" t="n">
        <v>480</v>
      </c>
      <c r="H42" s="45" t="n">
        <v>0</v>
      </c>
      <c r="I42" s="45"/>
    </row>
    <row r="43" customFormat="false" ht="15" hidden="false" customHeight="false" outlineLevel="0" collapsed="false">
      <c r="A43" s="45" t="s">
        <v>1021</v>
      </c>
      <c r="B43" s="45" t="s">
        <v>1022</v>
      </c>
      <c r="C43" s="45" t="s">
        <v>1036</v>
      </c>
      <c r="D43" s="45" t="s">
        <v>280</v>
      </c>
      <c r="E43" s="45" t="n">
        <v>141.25</v>
      </c>
      <c r="F43" s="45"/>
      <c r="G43" s="45" t="n">
        <v>0</v>
      </c>
      <c r="H43" s="45" t="n">
        <v>0</v>
      </c>
      <c r="I43" s="45"/>
    </row>
    <row r="44" customFormat="false" ht="15" hidden="false" customHeight="false" outlineLevel="0" collapsed="false">
      <c r="A44" s="45" t="s">
        <v>1010</v>
      </c>
      <c r="B44" s="45" t="s">
        <v>1011</v>
      </c>
      <c r="C44" s="45" t="s">
        <v>1037</v>
      </c>
      <c r="D44" s="45" t="s">
        <v>396</v>
      </c>
      <c r="E44" s="45" t="n">
        <v>4.5</v>
      </c>
      <c r="F44" s="45"/>
      <c r="G44" s="45" t="n">
        <v>0</v>
      </c>
      <c r="H44" s="45" t="n">
        <v>0</v>
      </c>
      <c r="I44" s="45"/>
    </row>
    <row r="45" customFormat="false" ht="15" hidden="false" customHeight="false" outlineLevel="0" collapsed="false">
      <c r="A45" s="45" t="s">
        <v>1010</v>
      </c>
      <c r="B45" s="45" t="s">
        <v>1011</v>
      </c>
      <c r="C45" s="45" t="s">
        <v>1037</v>
      </c>
      <c r="D45" s="45" t="s">
        <v>282</v>
      </c>
      <c r="E45" s="45" t="n">
        <v>4.25</v>
      </c>
      <c r="F45" s="45"/>
      <c r="G45" s="45" t="n">
        <v>0</v>
      </c>
      <c r="H45" s="45" t="n">
        <v>0</v>
      </c>
      <c r="I45" s="45"/>
    </row>
    <row r="46" customFormat="false" ht="15" hidden="false" customHeight="false" outlineLevel="0" collapsed="false">
      <c r="A46" s="45" t="s">
        <v>1010</v>
      </c>
      <c r="B46" s="45" t="s">
        <v>1011</v>
      </c>
      <c r="C46" s="45" t="s">
        <v>1037</v>
      </c>
      <c r="D46" s="45" t="s">
        <v>390</v>
      </c>
      <c r="E46" s="45" t="n">
        <v>4.25</v>
      </c>
      <c r="F46" s="45" t="n">
        <v>116</v>
      </c>
      <c r="G46" s="45" t="n">
        <v>275</v>
      </c>
      <c r="H46" s="45" t="n">
        <v>0</v>
      </c>
      <c r="I46" s="45"/>
    </row>
    <row r="47" customFormat="false" ht="15" hidden="false" customHeight="false" outlineLevel="0" collapsed="false">
      <c r="A47" s="45" t="s">
        <v>1033</v>
      </c>
      <c r="B47" s="45" t="s">
        <v>1011</v>
      </c>
      <c r="C47" s="45" t="s">
        <v>1038</v>
      </c>
      <c r="D47" s="45" t="s">
        <v>458</v>
      </c>
      <c r="E47" s="45" t="n">
        <v>4</v>
      </c>
      <c r="F47" s="45" t="n">
        <v>43</v>
      </c>
      <c r="G47" s="45" t="n">
        <v>110</v>
      </c>
      <c r="H47" s="45" t="n">
        <v>0</v>
      </c>
      <c r="I47" s="45"/>
    </row>
    <row r="48" customFormat="false" ht="15" hidden="false" customHeight="false" outlineLevel="0" collapsed="false">
      <c r="A48" s="45" t="s">
        <v>1027</v>
      </c>
      <c r="B48" s="45" t="s">
        <v>999</v>
      </c>
      <c r="C48" s="45" t="s">
        <v>1039</v>
      </c>
      <c r="D48" s="45" t="s">
        <v>267</v>
      </c>
      <c r="E48" s="45" t="n">
        <v>2.5</v>
      </c>
      <c r="F48" s="45" t="n">
        <v>16</v>
      </c>
      <c r="G48" s="45" t="n">
        <v>100</v>
      </c>
      <c r="H48" s="45" t="n">
        <v>0</v>
      </c>
      <c r="I48" s="45"/>
    </row>
    <row r="49" customFormat="false" ht="15" hidden="false" customHeight="false" outlineLevel="0" collapsed="false">
      <c r="A49" s="45" t="s">
        <v>1027</v>
      </c>
      <c r="B49" s="45" t="s">
        <v>999</v>
      </c>
      <c r="C49" s="45" t="s">
        <v>1039</v>
      </c>
      <c r="D49" s="45" t="s">
        <v>411</v>
      </c>
      <c r="E49" s="45" t="n">
        <v>2</v>
      </c>
      <c r="F49" s="45"/>
      <c r="G49" s="45" t="n">
        <v>0</v>
      </c>
      <c r="H49" s="45" t="n">
        <v>0</v>
      </c>
      <c r="I49" s="45"/>
    </row>
    <row r="50" customFormat="false" ht="15" hidden="false" customHeight="false" outlineLevel="0" collapsed="false">
      <c r="A50" s="45" t="s">
        <v>1040</v>
      </c>
      <c r="B50" s="45" t="s">
        <v>1041</v>
      </c>
      <c r="C50" s="45" t="s">
        <v>1042</v>
      </c>
      <c r="D50" s="45" t="s">
        <v>351</v>
      </c>
      <c r="E50" s="45" t="n">
        <v>0</v>
      </c>
      <c r="F50" s="45"/>
      <c r="G50" s="45" t="n">
        <v>8260</v>
      </c>
      <c r="H50" s="45" t="n">
        <v>0</v>
      </c>
      <c r="I50" s="45"/>
    </row>
    <row r="51" customFormat="false" ht="15" hidden="false" customHeight="false" outlineLevel="0" collapsed="false">
      <c r="A51" s="45" t="s">
        <v>1027</v>
      </c>
      <c r="B51" s="45" t="s">
        <v>999</v>
      </c>
      <c r="C51" s="45" t="s">
        <v>1043</v>
      </c>
      <c r="D51" s="45" t="s">
        <v>276</v>
      </c>
      <c r="E51" s="45" t="n">
        <v>3</v>
      </c>
      <c r="F51" s="45" t="n">
        <v>19</v>
      </c>
      <c r="G51" s="45" t="n">
        <v>95</v>
      </c>
      <c r="H51" s="45" t="n">
        <v>0</v>
      </c>
      <c r="I51" s="45"/>
    </row>
    <row r="52" customFormat="false" ht="15" hidden="false" customHeight="false" outlineLevel="0" collapsed="false">
      <c r="A52" s="45" t="s">
        <v>1027</v>
      </c>
      <c r="B52" s="45" t="s">
        <v>999</v>
      </c>
      <c r="C52" s="45" t="s">
        <v>1043</v>
      </c>
      <c r="D52" s="45" t="s">
        <v>692</v>
      </c>
      <c r="E52" s="45" t="n">
        <v>1.75</v>
      </c>
      <c r="F52" s="45"/>
      <c r="G52" s="45" t="n">
        <v>0</v>
      </c>
      <c r="H52" s="45" t="n">
        <v>0</v>
      </c>
      <c r="I52" s="45"/>
    </row>
    <row r="53" customFormat="false" ht="15" hidden="false" customHeight="false" outlineLevel="0" collapsed="false">
      <c r="A53" s="45" t="s">
        <v>1014</v>
      </c>
      <c r="B53" s="45" t="s">
        <v>1015</v>
      </c>
      <c r="C53" s="45" t="s">
        <v>1043</v>
      </c>
      <c r="D53" s="45" t="s">
        <v>399</v>
      </c>
      <c r="E53" s="45" t="n">
        <v>76.25</v>
      </c>
      <c r="F53" s="45"/>
      <c r="G53" s="45" t="n">
        <v>0</v>
      </c>
      <c r="H53" s="45" t="n">
        <v>0</v>
      </c>
      <c r="I53" s="45"/>
    </row>
    <row r="54" customFormat="false" ht="15" hidden="false" customHeight="false" outlineLevel="0" collapsed="false">
      <c r="A54" s="45" t="s">
        <v>1014</v>
      </c>
      <c r="B54" s="45" t="s">
        <v>1015</v>
      </c>
      <c r="C54" s="45" t="s">
        <v>1043</v>
      </c>
      <c r="D54" s="45" t="s">
        <v>400</v>
      </c>
      <c r="E54" s="45" t="n">
        <v>19.75</v>
      </c>
      <c r="F54" s="45" t="n">
        <v>74</v>
      </c>
      <c r="G54" s="45" t="n">
        <v>19915</v>
      </c>
      <c r="H54" s="45" t="n">
        <v>0</v>
      </c>
      <c r="I54" s="45"/>
    </row>
    <row r="55" customFormat="false" ht="15" hidden="false" customHeight="false" outlineLevel="0" collapsed="false">
      <c r="A55" s="45" t="s">
        <v>1017</v>
      </c>
      <c r="B55" s="45" t="s">
        <v>1018</v>
      </c>
      <c r="C55" s="45" t="s">
        <v>1043</v>
      </c>
      <c r="D55" s="45" t="s">
        <v>670</v>
      </c>
      <c r="E55" s="45" t="n">
        <v>40</v>
      </c>
      <c r="F55" s="45"/>
      <c r="G55" s="45" t="n">
        <v>0</v>
      </c>
      <c r="H55" s="45" t="n">
        <v>0</v>
      </c>
      <c r="I55" s="45"/>
    </row>
    <row r="56" customFormat="false" ht="15" hidden="false" customHeight="false" outlineLevel="0" collapsed="false">
      <c r="A56" s="45" t="s">
        <v>1017</v>
      </c>
      <c r="B56" s="45" t="s">
        <v>1018</v>
      </c>
      <c r="C56" s="45" t="s">
        <v>1043</v>
      </c>
      <c r="D56" s="45" t="s">
        <v>1044</v>
      </c>
      <c r="E56" s="45" t="n">
        <v>50.5</v>
      </c>
      <c r="F56" s="45"/>
      <c r="G56" s="45" t="n">
        <v>605</v>
      </c>
      <c r="H56" s="45" t="n">
        <v>0</v>
      </c>
      <c r="I56" s="45"/>
    </row>
    <row r="57" customFormat="false" ht="15" hidden="false" customHeight="false" outlineLevel="0" collapsed="false">
      <c r="A57" s="45" t="s">
        <v>1020</v>
      </c>
      <c r="B57" s="45" t="s">
        <v>1011</v>
      </c>
      <c r="C57" s="45" t="s">
        <v>1043</v>
      </c>
      <c r="D57" s="45" t="s">
        <v>456</v>
      </c>
      <c r="E57" s="45" t="n">
        <v>102.5</v>
      </c>
      <c r="F57" s="45" t="n">
        <v>72</v>
      </c>
      <c r="G57" s="45" t="n">
        <v>1235</v>
      </c>
      <c r="H57" s="45" t="n">
        <v>0</v>
      </c>
      <c r="I57" s="45"/>
    </row>
    <row r="58" customFormat="false" ht="15" hidden="false" customHeight="false" outlineLevel="0" collapsed="false">
      <c r="A58" s="45" t="s">
        <v>1021</v>
      </c>
      <c r="B58" s="45" t="s">
        <v>1022</v>
      </c>
      <c r="C58" s="45" t="s">
        <v>1043</v>
      </c>
      <c r="D58" s="45" t="s">
        <v>364</v>
      </c>
      <c r="E58" s="45" t="n">
        <v>88.5</v>
      </c>
      <c r="F58" s="45" t="n">
        <v>38</v>
      </c>
      <c r="G58" s="45" t="n">
        <v>725</v>
      </c>
      <c r="H58" s="45" t="n">
        <v>0</v>
      </c>
      <c r="I58" s="45"/>
    </row>
    <row r="59" customFormat="false" ht="15" hidden="false" customHeight="false" outlineLevel="0" collapsed="false">
      <c r="A59" s="45" t="s">
        <v>1021</v>
      </c>
      <c r="B59" s="45" t="s">
        <v>1022</v>
      </c>
      <c r="C59" s="45" t="s">
        <v>1043</v>
      </c>
      <c r="D59" s="45" t="s">
        <v>458</v>
      </c>
      <c r="E59" s="45" t="n">
        <v>141.5</v>
      </c>
      <c r="F59" s="45"/>
      <c r="G59" s="45" t="n">
        <v>0</v>
      </c>
      <c r="H59" s="45" t="n">
        <v>0</v>
      </c>
      <c r="I59" s="45"/>
    </row>
    <row r="60" customFormat="false" ht="15" hidden="false" customHeight="false" outlineLevel="0" collapsed="false">
      <c r="A60" s="45" t="s">
        <v>1008</v>
      </c>
      <c r="B60" s="45" t="s">
        <v>999</v>
      </c>
      <c r="C60" s="45" t="s">
        <v>1045</v>
      </c>
      <c r="D60" s="45" t="s">
        <v>464</v>
      </c>
      <c r="E60" s="45" t="n">
        <v>2</v>
      </c>
      <c r="F60" s="45" t="n">
        <v>15</v>
      </c>
      <c r="G60" s="45" t="n">
        <v>210</v>
      </c>
      <c r="H60" s="45" t="n">
        <v>0</v>
      </c>
      <c r="I60" s="45"/>
    </row>
    <row r="61" customFormat="false" ht="15" hidden="false" customHeight="false" outlineLevel="0" collapsed="false">
      <c r="A61" s="45" t="s">
        <v>1046</v>
      </c>
      <c r="B61" s="45" t="s">
        <v>999</v>
      </c>
      <c r="C61" s="45" t="s">
        <v>1047</v>
      </c>
      <c r="D61" s="45" t="s">
        <v>895</v>
      </c>
      <c r="E61" s="45" t="n">
        <v>3.25</v>
      </c>
      <c r="F61" s="45" t="n">
        <v>14</v>
      </c>
      <c r="G61" s="45" t="n">
        <v>200</v>
      </c>
      <c r="H61" s="45" t="n">
        <v>280</v>
      </c>
      <c r="I61" s="45"/>
    </row>
    <row r="62" customFormat="false" ht="15" hidden="false" customHeight="false" outlineLevel="0" collapsed="false">
      <c r="A62" s="45" t="s">
        <v>1029</v>
      </c>
      <c r="B62" s="45" t="s">
        <v>999</v>
      </c>
      <c r="C62" s="45" t="s">
        <v>1048</v>
      </c>
      <c r="D62" s="45" t="s">
        <v>356</v>
      </c>
      <c r="E62" s="45" t="n">
        <v>3.25</v>
      </c>
      <c r="F62" s="45" t="n">
        <v>27</v>
      </c>
      <c r="G62" s="45" t="n">
        <v>350</v>
      </c>
      <c r="H62" s="45" t="n">
        <v>315</v>
      </c>
      <c r="I62" s="45"/>
    </row>
    <row r="63" customFormat="false" ht="15" hidden="false" customHeight="false" outlineLevel="0" collapsed="false">
      <c r="A63" s="45" t="s">
        <v>1029</v>
      </c>
      <c r="B63" s="45" t="s">
        <v>999</v>
      </c>
      <c r="C63" s="45" t="s">
        <v>1048</v>
      </c>
      <c r="D63" s="45" t="s">
        <v>458</v>
      </c>
      <c r="E63" s="45" t="n">
        <v>4</v>
      </c>
      <c r="F63" s="45"/>
      <c r="G63" s="45" t="n">
        <v>0</v>
      </c>
      <c r="H63" s="45" t="n">
        <v>0</v>
      </c>
      <c r="I63" s="45"/>
    </row>
    <row r="64" customFormat="false" ht="15" hidden="false" customHeight="false" outlineLevel="0" collapsed="false">
      <c r="A64" s="45" t="s">
        <v>1008</v>
      </c>
      <c r="B64" s="45" t="s">
        <v>999</v>
      </c>
      <c r="C64" s="45" t="s">
        <v>1048</v>
      </c>
      <c r="D64" s="45" t="s">
        <v>607</v>
      </c>
      <c r="E64" s="45" t="n">
        <v>2</v>
      </c>
      <c r="F64" s="45" t="n">
        <v>12</v>
      </c>
      <c r="G64" s="45" t="n">
        <v>205</v>
      </c>
      <c r="H64" s="45" t="n">
        <v>0</v>
      </c>
      <c r="I64" s="45"/>
    </row>
    <row r="65" customFormat="false" ht="15" hidden="false" customHeight="false" outlineLevel="0" collapsed="false">
      <c r="A65" s="45" t="s">
        <v>1046</v>
      </c>
      <c r="B65" s="45" t="s">
        <v>999</v>
      </c>
      <c r="C65" s="45" t="s">
        <v>1049</v>
      </c>
      <c r="D65" s="45" t="s">
        <v>364</v>
      </c>
      <c r="E65" s="45" t="n">
        <v>3.25</v>
      </c>
      <c r="F65" s="45" t="n">
        <v>16</v>
      </c>
      <c r="G65" s="45" t="n">
        <v>200</v>
      </c>
      <c r="H65" s="45" t="n">
        <v>320</v>
      </c>
      <c r="I65" s="45"/>
    </row>
    <row r="66" customFormat="false" ht="15" hidden="false" customHeight="false" outlineLevel="0" collapsed="false">
      <c r="A66" s="45" t="s">
        <v>1029</v>
      </c>
      <c r="B66" s="45" t="s">
        <v>999</v>
      </c>
      <c r="C66" s="45" t="s">
        <v>1049</v>
      </c>
      <c r="D66" s="45" t="s">
        <v>456</v>
      </c>
      <c r="E66" s="45" t="n">
        <v>3.5</v>
      </c>
      <c r="F66" s="45" t="n">
        <v>27</v>
      </c>
      <c r="G66" s="45" t="n">
        <v>870</v>
      </c>
      <c r="H66" s="45" t="n">
        <v>320</v>
      </c>
      <c r="I66" s="45"/>
    </row>
    <row r="67" customFormat="false" ht="15" hidden="false" customHeight="false" outlineLevel="0" collapsed="false">
      <c r="A67" s="45" t="s">
        <v>1029</v>
      </c>
      <c r="B67" s="45" t="s">
        <v>999</v>
      </c>
      <c r="C67" s="45" t="s">
        <v>1049</v>
      </c>
      <c r="D67" s="45" t="s">
        <v>1050</v>
      </c>
      <c r="E67" s="45" t="n">
        <v>3</v>
      </c>
      <c r="F67" s="45"/>
      <c r="G67" s="45" t="n">
        <v>0</v>
      </c>
      <c r="H67" s="45" t="n">
        <v>0</v>
      </c>
      <c r="I67" s="45"/>
    </row>
    <row r="68" customFormat="false" ht="15" hidden="false" customHeight="false" outlineLevel="0" collapsed="false">
      <c r="A68" s="45" t="s">
        <v>1005</v>
      </c>
      <c r="B68" s="45" t="s">
        <v>1006</v>
      </c>
      <c r="C68" s="45" t="s">
        <v>1049</v>
      </c>
      <c r="D68" s="45" t="s">
        <v>317</v>
      </c>
      <c r="E68" s="45" t="n">
        <v>7.75</v>
      </c>
      <c r="F68" s="45" t="n">
        <v>51</v>
      </c>
      <c r="G68" s="45" t="n">
        <v>3105</v>
      </c>
      <c r="H68" s="45" t="n">
        <v>0</v>
      </c>
      <c r="I68" s="45"/>
    </row>
    <row r="69" customFormat="false" ht="15" hidden="false" customHeight="false" outlineLevel="0" collapsed="false">
      <c r="A69" s="45" t="s">
        <v>1033</v>
      </c>
      <c r="B69" s="45" t="s">
        <v>1011</v>
      </c>
      <c r="C69" s="45" t="s">
        <v>1051</v>
      </c>
      <c r="D69" s="45" t="s">
        <v>280</v>
      </c>
      <c r="E69" s="45" t="n">
        <v>3.5</v>
      </c>
      <c r="F69" s="45" t="n">
        <v>66</v>
      </c>
      <c r="G69" s="45" t="n">
        <v>115</v>
      </c>
      <c r="H69" s="45" t="n">
        <v>0</v>
      </c>
      <c r="I69" s="45"/>
    </row>
    <row r="70" customFormat="false" ht="15" hidden="false" customHeight="false" outlineLevel="0" collapsed="false">
      <c r="A70" s="45" t="s">
        <v>1029</v>
      </c>
      <c r="B70" s="45" t="s">
        <v>999</v>
      </c>
      <c r="C70" s="45" t="s">
        <v>1051</v>
      </c>
      <c r="D70" s="45" t="s">
        <v>561</v>
      </c>
      <c r="E70" s="45" t="n">
        <v>3.75</v>
      </c>
      <c r="F70" s="45" t="n">
        <v>24</v>
      </c>
      <c r="G70" s="45" t="n">
        <v>885</v>
      </c>
      <c r="H70" s="45" t="n">
        <v>15</v>
      </c>
      <c r="I70" s="45"/>
    </row>
    <row r="71" customFormat="false" ht="15" hidden="false" customHeight="false" outlineLevel="0" collapsed="false">
      <c r="A71" s="45" t="s">
        <v>1029</v>
      </c>
      <c r="B71" s="45" t="s">
        <v>999</v>
      </c>
      <c r="C71" s="45" t="s">
        <v>1051</v>
      </c>
      <c r="D71" s="45" t="s">
        <v>325</v>
      </c>
      <c r="E71" s="45" t="n">
        <v>3.25</v>
      </c>
      <c r="F71" s="45"/>
      <c r="G71" s="45" t="n">
        <v>0</v>
      </c>
      <c r="H71" s="45" t="n">
        <v>0</v>
      </c>
      <c r="I71" s="45"/>
    </row>
    <row r="72" customFormat="false" ht="15" hidden="false" customHeight="false" outlineLevel="0" collapsed="false">
      <c r="A72" s="45" t="s">
        <v>344</v>
      </c>
      <c r="B72" s="45" t="s">
        <v>1015</v>
      </c>
      <c r="C72" s="45" t="s">
        <v>1051</v>
      </c>
      <c r="D72" s="45" t="s">
        <v>453</v>
      </c>
      <c r="E72" s="45" t="n">
        <v>2.25</v>
      </c>
      <c r="F72" s="45" t="n">
        <v>11</v>
      </c>
      <c r="G72" s="45" t="n">
        <v>45</v>
      </c>
      <c r="H72" s="45" t="n">
        <v>0</v>
      </c>
      <c r="I72" s="45"/>
    </row>
    <row r="73" customFormat="false" ht="15" hidden="false" customHeight="false" outlineLevel="0" collapsed="false">
      <c r="A73" s="45" t="s">
        <v>344</v>
      </c>
      <c r="B73" s="45" t="s">
        <v>1015</v>
      </c>
      <c r="C73" s="45" t="s">
        <v>1051</v>
      </c>
      <c r="D73" s="45" t="s">
        <v>349</v>
      </c>
      <c r="E73" s="45" t="n">
        <v>1.75</v>
      </c>
      <c r="F73" s="45"/>
      <c r="G73" s="45" t="n">
        <v>0</v>
      </c>
      <c r="H73" s="45" t="n">
        <v>0</v>
      </c>
      <c r="I73" s="45"/>
    </row>
    <row r="74" customFormat="false" ht="15" hidden="false" customHeight="false" outlineLevel="0" collapsed="false">
      <c r="A74" s="45" t="s">
        <v>1014</v>
      </c>
      <c r="B74" s="45" t="s">
        <v>1015</v>
      </c>
      <c r="C74" s="45" t="s">
        <v>1051</v>
      </c>
      <c r="D74" s="45" t="s">
        <v>448</v>
      </c>
      <c r="E74" s="45" t="n">
        <v>63</v>
      </c>
      <c r="F74" s="45"/>
      <c r="G74" s="45" t="n">
        <v>0</v>
      </c>
      <c r="H74" s="45" t="n">
        <v>0</v>
      </c>
      <c r="I74" s="45"/>
    </row>
    <row r="75" customFormat="false" ht="15" hidden="false" customHeight="false" outlineLevel="0" collapsed="false">
      <c r="A75" s="45" t="s">
        <v>1014</v>
      </c>
      <c r="B75" s="45" t="s">
        <v>1015</v>
      </c>
      <c r="C75" s="45" t="s">
        <v>1051</v>
      </c>
      <c r="D75" s="45" t="s">
        <v>446</v>
      </c>
      <c r="E75" s="45" t="n">
        <v>20</v>
      </c>
      <c r="F75" s="45" t="n">
        <v>79</v>
      </c>
      <c r="G75" s="45" t="n">
        <v>14055</v>
      </c>
      <c r="H75" s="45" t="n">
        <v>0</v>
      </c>
      <c r="I75" s="45"/>
    </row>
    <row r="76" customFormat="false" ht="15" hidden="false" customHeight="false" outlineLevel="0" collapsed="false">
      <c r="A76" s="45" t="s">
        <v>1017</v>
      </c>
      <c r="B76" s="45" t="s">
        <v>1018</v>
      </c>
      <c r="C76" s="45" t="s">
        <v>1051</v>
      </c>
      <c r="D76" s="45" t="s">
        <v>461</v>
      </c>
      <c r="E76" s="45" t="n">
        <v>34.75</v>
      </c>
      <c r="F76" s="45"/>
      <c r="G76" s="45" t="n">
        <v>0</v>
      </c>
      <c r="H76" s="45" t="n">
        <v>0</v>
      </c>
      <c r="I76" s="45"/>
    </row>
    <row r="77" customFormat="false" ht="15" hidden="false" customHeight="false" outlineLevel="0" collapsed="false">
      <c r="A77" s="45" t="s">
        <v>1017</v>
      </c>
      <c r="B77" s="45" t="s">
        <v>1018</v>
      </c>
      <c r="C77" s="45" t="s">
        <v>1051</v>
      </c>
      <c r="D77" s="45" t="s">
        <v>331</v>
      </c>
      <c r="E77" s="45" t="n">
        <v>52.25</v>
      </c>
      <c r="F77" s="45"/>
      <c r="G77" s="45" t="n">
        <v>260</v>
      </c>
      <c r="H77" s="45" t="n">
        <v>0</v>
      </c>
      <c r="I77" s="45"/>
    </row>
    <row r="78" customFormat="false" ht="15" hidden="false" customHeight="false" outlineLevel="0" collapsed="false">
      <c r="A78" s="45" t="s">
        <v>1020</v>
      </c>
      <c r="B78" s="45" t="s">
        <v>1011</v>
      </c>
      <c r="C78" s="45" t="s">
        <v>1051</v>
      </c>
      <c r="D78" s="45" t="s">
        <v>532</v>
      </c>
      <c r="E78" s="45" t="n">
        <v>104.5</v>
      </c>
      <c r="F78" s="45" t="n">
        <v>49</v>
      </c>
      <c r="G78" s="45" t="n">
        <v>860</v>
      </c>
      <c r="H78" s="45" t="n">
        <v>0</v>
      </c>
      <c r="I78" s="45"/>
    </row>
    <row r="79" customFormat="false" ht="15" hidden="false" customHeight="false" outlineLevel="0" collapsed="false">
      <c r="A79" s="45" t="s">
        <v>1021</v>
      </c>
      <c r="B79" s="45" t="s">
        <v>1022</v>
      </c>
      <c r="C79" s="45" t="s">
        <v>1051</v>
      </c>
      <c r="D79" s="45" t="s">
        <v>255</v>
      </c>
      <c r="E79" s="45" t="n">
        <v>112.5</v>
      </c>
      <c r="F79" s="45" t="n">
        <v>17</v>
      </c>
      <c r="G79" s="45" t="n">
        <v>980</v>
      </c>
      <c r="H79" s="45" t="n">
        <v>0</v>
      </c>
      <c r="I79" s="45"/>
    </row>
    <row r="80" customFormat="false" ht="15" hidden="false" customHeight="false" outlineLevel="0" collapsed="false">
      <c r="A80" s="45" t="s">
        <v>1021</v>
      </c>
      <c r="B80" s="45" t="s">
        <v>1022</v>
      </c>
      <c r="C80" s="45" t="s">
        <v>1051</v>
      </c>
      <c r="D80" s="45" t="s">
        <v>262</v>
      </c>
      <c r="E80" s="45" t="n">
        <v>185</v>
      </c>
      <c r="F80" s="45"/>
      <c r="G80" s="45" t="n">
        <v>0</v>
      </c>
      <c r="H80" s="45" t="n">
        <v>0</v>
      </c>
      <c r="I80" s="45"/>
    </row>
    <row r="81" customFormat="false" ht="15" hidden="false" customHeight="false" outlineLevel="0" collapsed="false">
      <c r="A81" s="45" t="s">
        <v>344</v>
      </c>
      <c r="B81" s="45" t="s">
        <v>1015</v>
      </c>
      <c r="C81" s="45" t="s">
        <v>1052</v>
      </c>
      <c r="D81" s="45" t="s">
        <v>394</v>
      </c>
      <c r="E81" s="45" t="n">
        <v>2</v>
      </c>
      <c r="F81" s="45" t="n">
        <v>9</v>
      </c>
      <c r="G81" s="45" t="n">
        <v>35</v>
      </c>
      <c r="H81" s="45" t="n">
        <v>0</v>
      </c>
      <c r="I81" s="45"/>
    </row>
    <row r="82" customFormat="false" ht="15" hidden="false" customHeight="false" outlineLevel="0" collapsed="false">
      <c r="A82" s="45" t="s">
        <v>344</v>
      </c>
      <c r="B82" s="45" t="s">
        <v>1015</v>
      </c>
      <c r="C82" s="45" t="s">
        <v>1052</v>
      </c>
      <c r="D82" s="45" t="s">
        <v>392</v>
      </c>
      <c r="E82" s="45" t="n">
        <v>1.5</v>
      </c>
      <c r="F82" s="45"/>
      <c r="G82" s="45" t="n">
        <v>0</v>
      </c>
      <c r="H82" s="45" t="n">
        <v>0</v>
      </c>
      <c r="I82" s="45"/>
    </row>
    <row r="83" customFormat="false" ht="15" hidden="false" customHeight="false" outlineLevel="0" collapsed="false">
      <c r="A83" s="45" t="s">
        <v>1053</v>
      </c>
      <c r="B83" s="45" t="s">
        <v>1054</v>
      </c>
      <c r="C83" s="45" t="s">
        <v>1055</v>
      </c>
      <c r="D83" s="45" t="s">
        <v>274</v>
      </c>
      <c r="E83" s="45" t="n">
        <v>3.25</v>
      </c>
      <c r="F83" s="45"/>
      <c r="G83" s="45" t="n">
        <v>0</v>
      </c>
      <c r="H83" s="45" t="n">
        <v>0</v>
      </c>
      <c r="I83" s="45"/>
    </row>
    <row r="84" customFormat="false" ht="15" hidden="false" customHeight="false" outlineLevel="0" collapsed="false">
      <c r="A84" s="45" t="s">
        <v>1053</v>
      </c>
      <c r="B84" s="45" t="s">
        <v>1054</v>
      </c>
      <c r="C84" s="45" t="s">
        <v>1055</v>
      </c>
      <c r="D84" s="45" t="s">
        <v>337</v>
      </c>
      <c r="E84" s="45" t="n">
        <v>6.75</v>
      </c>
      <c r="F84" s="45" t="n">
        <v>21</v>
      </c>
      <c r="G84" s="45" t="n">
        <v>615</v>
      </c>
      <c r="H84" s="45" t="n">
        <v>0</v>
      </c>
      <c r="I84" s="45"/>
    </row>
    <row r="85" customFormat="false" ht="15" hidden="false" customHeight="false" outlineLevel="0" collapsed="false">
      <c r="A85" s="45" t="s">
        <v>1046</v>
      </c>
      <c r="B85" s="45" t="s">
        <v>999</v>
      </c>
      <c r="C85" s="45" t="s">
        <v>1056</v>
      </c>
      <c r="D85" s="45" t="s">
        <v>364</v>
      </c>
      <c r="E85" s="45" t="n">
        <v>3.25</v>
      </c>
      <c r="F85" s="45" t="n">
        <v>20</v>
      </c>
      <c r="G85" s="45" t="n">
        <v>115</v>
      </c>
      <c r="H85" s="45" t="n">
        <v>400</v>
      </c>
      <c r="I85" s="45"/>
    </row>
    <row r="86" customFormat="false" ht="15" hidden="false" customHeight="false" outlineLevel="0" collapsed="false">
      <c r="A86" s="45" t="s">
        <v>1033</v>
      </c>
      <c r="B86" s="45" t="s">
        <v>1011</v>
      </c>
      <c r="C86" s="45" t="s">
        <v>1057</v>
      </c>
      <c r="D86" s="45" t="s">
        <v>280</v>
      </c>
      <c r="E86" s="45" t="n">
        <v>3.75</v>
      </c>
      <c r="F86" s="45" t="n">
        <v>67</v>
      </c>
      <c r="G86" s="45" t="n">
        <v>95</v>
      </c>
      <c r="H86" s="45" t="n">
        <v>0</v>
      </c>
      <c r="I86" s="45"/>
    </row>
    <row r="87" customFormat="false" ht="15" hidden="false" customHeight="false" outlineLevel="0" collapsed="false">
      <c r="A87" s="45" t="s">
        <v>1033</v>
      </c>
      <c r="B87" s="45" t="s">
        <v>1011</v>
      </c>
      <c r="C87" s="45" t="s">
        <v>1058</v>
      </c>
      <c r="D87" s="45" t="s">
        <v>280</v>
      </c>
      <c r="E87" s="45" t="n">
        <v>4.5</v>
      </c>
      <c r="F87" s="45" t="n">
        <v>33</v>
      </c>
      <c r="G87" s="45" t="n">
        <v>90</v>
      </c>
      <c r="H87" s="45" t="n">
        <v>0</v>
      </c>
      <c r="I87" s="45"/>
    </row>
    <row r="88" customFormat="false" ht="15" hidden="false" customHeight="false" outlineLevel="0" collapsed="false">
      <c r="A88" s="45" t="s">
        <v>1027</v>
      </c>
      <c r="B88" s="45" t="s">
        <v>999</v>
      </c>
      <c r="C88" s="45" t="s">
        <v>1059</v>
      </c>
      <c r="D88" s="45" t="s">
        <v>251</v>
      </c>
      <c r="E88" s="45" t="n">
        <v>2.25</v>
      </c>
      <c r="F88" s="45" t="n">
        <v>16</v>
      </c>
      <c r="G88" s="45" t="n">
        <v>170</v>
      </c>
      <c r="H88" s="45" t="n">
        <v>0</v>
      </c>
      <c r="I88" s="45"/>
    </row>
    <row r="89" customFormat="false" ht="15" hidden="false" customHeight="false" outlineLevel="0" collapsed="false">
      <c r="A89" s="45" t="s">
        <v>1027</v>
      </c>
      <c r="B89" s="45" t="s">
        <v>999</v>
      </c>
      <c r="C89" s="45" t="s">
        <v>1059</v>
      </c>
      <c r="D89" s="45" t="s">
        <v>268</v>
      </c>
      <c r="E89" s="45" t="n">
        <v>1.5</v>
      </c>
      <c r="F89" s="45"/>
      <c r="G89" s="45" t="n">
        <v>0</v>
      </c>
      <c r="H89" s="45" t="n">
        <v>0</v>
      </c>
      <c r="I89" s="45"/>
    </row>
    <row r="90" customFormat="false" ht="15" hidden="false" customHeight="false" outlineLevel="0" collapsed="false">
      <c r="A90" s="45" t="s">
        <v>344</v>
      </c>
      <c r="B90" s="45" t="s">
        <v>1015</v>
      </c>
      <c r="C90" s="45" t="s">
        <v>1059</v>
      </c>
      <c r="D90" s="45" t="s">
        <v>394</v>
      </c>
      <c r="E90" s="45" t="n">
        <v>2</v>
      </c>
      <c r="F90" s="45" t="n">
        <v>14</v>
      </c>
      <c r="G90" s="45" t="n">
        <v>25</v>
      </c>
      <c r="H90" s="45" t="n">
        <v>0</v>
      </c>
      <c r="I90" s="45"/>
    </row>
    <row r="91" customFormat="false" ht="15" hidden="false" customHeight="false" outlineLevel="0" collapsed="false">
      <c r="A91" s="45" t="s">
        <v>344</v>
      </c>
      <c r="B91" s="45" t="s">
        <v>1015</v>
      </c>
      <c r="C91" s="45" t="s">
        <v>1059</v>
      </c>
      <c r="D91" s="45" t="s">
        <v>252</v>
      </c>
      <c r="E91" s="45" t="n">
        <v>1.75</v>
      </c>
      <c r="F91" s="45"/>
      <c r="G91" s="45" t="n">
        <v>0</v>
      </c>
      <c r="H91" s="45" t="n">
        <v>0</v>
      </c>
      <c r="I91" s="45"/>
    </row>
    <row r="92" customFormat="false" ht="15" hidden="false" customHeight="false" outlineLevel="0" collapsed="false">
      <c r="A92" s="45" t="s">
        <v>344</v>
      </c>
      <c r="B92" s="45" t="s">
        <v>1015</v>
      </c>
      <c r="C92" s="45" t="s">
        <v>1060</v>
      </c>
      <c r="D92" s="45" t="s">
        <v>394</v>
      </c>
      <c r="E92" s="45" t="n">
        <v>2.5</v>
      </c>
      <c r="F92" s="45" t="n">
        <v>13</v>
      </c>
      <c r="G92" s="45" t="n">
        <v>35</v>
      </c>
      <c r="H92" s="45" t="n">
        <v>0</v>
      </c>
      <c r="I92" s="45"/>
    </row>
    <row r="93" customFormat="false" ht="15" hidden="false" customHeight="false" outlineLevel="0" collapsed="false">
      <c r="A93" s="45" t="s">
        <v>344</v>
      </c>
      <c r="B93" s="45" t="s">
        <v>1015</v>
      </c>
      <c r="C93" s="45" t="s">
        <v>1060</v>
      </c>
      <c r="D93" s="45" t="s">
        <v>323</v>
      </c>
      <c r="E93" s="45" t="n">
        <v>2</v>
      </c>
      <c r="F93" s="45"/>
      <c r="G93" s="45" t="n">
        <v>0</v>
      </c>
      <c r="H93" s="45" t="n">
        <v>0</v>
      </c>
      <c r="I93" s="45"/>
    </row>
    <row r="94" customFormat="false" ht="15" hidden="false" customHeight="false" outlineLevel="0" collapsed="false">
      <c r="A94" s="45" t="s">
        <v>1027</v>
      </c>
      <c r="B94" s="45" t="s">
        <v>999</v>
      </c>
      <c r="C94" s="45" t="s">
        <v>1061</v>
      </c>
      <c r="D94" s="45" t="s">
        <v>315</v>
      </c>
      <c r="E94" s="45" t="n">
        <v>2.25</v>
      </c>
      <c r="F94" s="45" t="n">
        <v>10</v>
      </c>
      <c r="G94" s="45" t="n">
        <v>95</v>
      </c>
      <c r="H94" s="45" t="n">
        <v>0</v>
      </c>
      <c r="I94" s="45"/>
    </row>
    <row r="95" customFormat="false" ht="15" hidden="false" customHeight="false" outlineLevel="0" collapsed="false">
      <c r="A95" s="45" t="s">
        <v>1027</v>
      </c>
      <c r="B95" s="45" t="s">
        <v>999</v>
      </c>
      <c r="C95" s="45" t="s">
        <v>1061</v>
      </c>
      <c r="D95" s="45" t="s">
        <v>411</v>
      </c>
      <c r="E95" s="45" t="n">
        <v>2</v>
      </c>
      <c r="F95" s="45"/>
      <c r="G95" s="45" t="n">
        <v>0</v>
      </c>
      <c r="H95" s="45" t="n">
        <v>0</v>
      </c>
      <c r="I95" s="45"/>
    </row>
    <row r="96" customFormat="false" ht="15" hidden="false" customHeight="false" outlineLevel="0" collapsed="false">
      <c r="A96" s="45" t="s">
        <v>1014</v>
      </c>
      <c r="B96" s="45" t="s">
        <v>1015</v>
      </c>
      <c r="C96" s="45" t="s">
        <v>1062</v>
      </c>
      <c r="D96" s="45" t="s">
        <v>627</v>
      </c>
      <c r="E96" s="45" t="n">
        <v>71.25</v>
      </c>
      <c r="F96" s="45"/>
      <c r="G96" s="45" t="n">
        <v>0</v>
      </c>
      <c r="H96" s="45" t="n">
        <v>0</v>
      </c>
      <c r="I96" s="45"/>
    </row>
    <row r="97" customFormat="false" ht="15" hidden="false" customHeight="false" outlineLevel="0" collapsed="false">
      <c r="A97" s="45" t="s">
        <v>1014</v>
      </c>
      <c r="B97" s="45" t="s">
        <v>1015</v>
      </c>
      <c r="C97" s="45" t="s">
        <v>1062</v>
      </c>
      <c r="D97" s="45" t="s">
        <v>330</v>
      </c>
      <c r="E97" s="45" t="n">
        <v>21</v>
      </c>
      <c r="F97" s="45" t="n">
        <v>105</v>
      </c>
      <c r="G97" s="45" t="n">
        <v>14115</v>
      </c>
      <c r="H97" s="45" t="n">
        <v>0</v>
      </c>
      <c r="I97" s="45"/>
    </row>
    <row r="98" customFormat="false" ht="15" hidden="false" customHeight="false" outlineLevel="0" collapsed="false">
      <c r="A98" s="45" t="s">
        <v>1017</v>
      </c>
      <c r="B98" s="45" t="s">
        <v>1018</v>
      </c>
      <c r="C98" s="45" t="s">
        <v>1062</v>
      </c>
      <c r="D98" s="45" t="s">
        <v>450</v>
      </c>
      <c r="E98" s="45" t="n">
        <v>29.75</v>
      </c>
      <c r="F98" s="45"/>
      <c r="G98" s="45" t="n">
        <v>0</v>
      </c>
      <c r="H98" s="45" t="n">
        <v>0</v>
      </c>
      <c r="I98" s="45"/>
    </row>
    <row r="99" customFormat="false" ht="15" hidden="false" customHeight="false" outlineLevel="0" collapsed="false">
      <c r="A99" s="45" t="s">
        <v>1017</v>
      </c>
      <c r="B99" s="45" t="s">
        <v>1018</v>
      </c>
      <c r="C99" s="45" t="s">
        <v>1062</v>
      </c>
      <c r="D99" s="45" t="s">
        <v>331</v>
      </c>
      <c r="E99" s="45" t="n">
        <v>50</v>
      </c>
      <c r="F99" s="45"/>
      <c r="G99" s="45" t="n">
        <v>500</v>
      </c>
      <c r="H99" s="45" t="n">
        <v>0</v>
      </c>
      <c r="I99" s="45"/>
    </row>
    <row r="100" customFormat="false" ht="15" hidden="false" customHeight="false" outlineLevel="0" collapsed="false">
      <c r="A100" s="45" t="s">
        <v>1020</v>
      </c>
      <c r="B100" s="45" t="s">
        <v>1011</v>
      </c>
      <c r="C100" s="45" t="s">
        <v>1062</v>
      </c>
      <c r="D100" s="45" t="s">
        <v>356</v>
      </c>
      <c r="E100" s="45" t="n">
        <v>69</v>
      </c>
      <c r="F100" s="45" t="n">
        <v>69</v>
      </c>
      <c r="G100" s="45" t="n">
        <v>625</v>
      </c>
      <c r="H100" s="45" t="n">
        <v>0</v>
      </c>
      <c r="I100" s="45"/>
    </row>
    <row r="101" customFormat="false" ht="15" hidden="false" customHeight="false" outlineLevel="0" collapsed="false">
      <c r="A101" s="45" t="s">
        <v>1021</v>
      </c>
      <c r="B101" s="45" t="s">
        <v>1022</v>
      </c>
      <c r="C101" s="45" t="s">
        <v>1062</v>
      </c>
      <c r="D101" s="45" t="s">
        <v>364</v>
      </c>
      <c r="E101" s="45" t="n">
        <v>91.5</v>
      </c>
      <c r="F101" s="45" t="n">
        <v>28</v>
      </c>
      <c r="G101" s="45" t="n">
        <v>820</v>
      </c>
      <c r="H101" s="45" t="n">
        <v>0</v>
      </c>
      <c r="I101" s="45"/>
    </row>
    <row r="102" customFormat="false" ht="15" hidden="false" customHeight="false" outlineLevel="0" collapsed="false">
      <c r="A102" s="45" t="s">
        <v>1021</v>
      </c>
      <c r="B102" s="45" t="s">
        <v>1022</v>
      </c>
      <c r="C102" s="45" t="s">
        <v>1062</v>
      </c>
      <c r="D102" s="45" t="s">
        <v>280</v>
      </c>
      <c r="E102" s="45" t="n">
        <v>162.5</v>
      </c>
      <c r="F102" s="45"/>
      <c r="G102" s="45" t="n">
        <v>0</v>
      </c>
      <c r="H102" s="45" t="n">
        <v>0</v>
      </c>
      <c r="I102" s="45"/>
    </row>
    <row r="103" customFormat="false" ht="15" hidden="false" customHeight="false" outlineLevel="0" collapsed="false">
      <c r="A103" s="45" t="s">
        <v>995</v>
      </c>
      <c r="B103" s="45" t="s">
        <v>996</v>
      </c>
      <c r="C103" s="45" t="s">
        <v>1063</v>
      </c>
      <c r="D103" s="45" t="s">
        <v>331</v>
      </c>
      <c r="E103" s="45" t="n">
        <v>2.75</v>
      </c>
      <c r="F103" s="45"/>
      <c r="G103" s="45" t="n">
        <v>0</v>
      </c>
      <c r="H103" s="45" t="n">
        <v>0</v>
      </c>
      <c r="I103" s="45"/>
    </row>
    <row r="104" customFormat="false" ht="15" hidden="false" customHeight="false" outlineLevel="0" collapsed="false">
      <c r="A104" s="45" t="s">
        <v>995</v>
      </c>
      <c r="B104" s="45" t="s">
        <v>996</v>
      </c>
      <c r="C104" s="45" t="s">
        <v>1063</v>
      </c>
      <c r="D104" s="45" t="s">
        <v>433</v>
      </c>
      <c r="E104" s="45" t="n">
        <v>2.75</v>
      </c>
      <c r="F104" s="45"/>
      <c r="G104" s="45" t="n">
        <v>45</v>
      </c>
      <c r="H104" s="45" t="n">
        <v>0</v>
      </c>
      <c r="I104" s="45"/>
    </row>
    <row r="105" customFormat="false" ht="15" hidden="false" customHeight="false" outlineLevel="0" collapsed="false">
      <c r="A105" s="45" t="s">
        <v>1053</v>
      </c>
      <c r="B105" s="45" t="s">
        <v>1054</v>
      </c>
      <c r="C105" s="45" t="s">
        <v>1064</v>
      </c>
      <c r="D105" s="45" t="s">
        <v>274</v>
      </c>
      <c r="E105" s="45" t="n">
        <v>4.5</v>
      </c>
      <c r="F105" s="45"/>
      <c r="G105" s="45" t="n">
        <v>0</v>
      </c>
      <c r="H105" s="45" t="n">
        <v>0</v>
      </c>
      <c r="I105" s="45"/>
    </row>
    <row r="106" customFormat="false" ht="15" hidden="false" customHeight="false" outlineLevel="0" collapsed="false">
      <c r="A106" s="45" t="s">
        <v>1053</v>
      </c>
      <c r="B106" s="45" t="s">
        <v>1054</v>
      </c>
      <c r="C106" s="45" t="s">
        <v>1064</v>
      </c>
      <c r="D106" s="45" t="s">
        <v>256</v>
      </c>
      <c r="E106" s="45" t="n">
        <v>6.25</v>
      </c>
      <c r="F106" s="45" t="n">
        <v>35</v>
      </c>
      <c r="G106" s="45" t="n">
        <v>700</v>
      </c>
      <c r="H106" s="45" t="n">
        <v>0</v>
      </c>
      <c r="I106" s="45"/>
    </row>
    <row r="107" customFormat="false" ht="15" hidden="false" customHeight="false" outlineLevel="0" collapsed="false">
      <c r="A107" s="45" t="s">
        <v>344</v>
      </c>
      <c r="B107" s="45" t="s">
        <v>1015</v>
      </c>
      <c r="C107" s="45" t="s">
        <v>1065</v>
      </c>
      <c r="D107" s="45" t="s">
        <v>394</v>
      </c>
      <c r="E107" s="45" t="n">
        <v>2.5</v>
      </c>
      <c r="F107" s="45" t="n">
        <v>8</v>
      </c>
      <c r="G107" s="45" t="n">
        <v>50</v>
      </c>
      <c r="H107" s="45" t="n">
        <v>0</v>
      </c>
      <c r="I107" s="45"/>
    </row>
    <row r="108" customFormat="false" ht="15" hidden="false" customHeight="false" outlineLevel="0" collapsed="false">
      <c r="A108" s="45" t="s">
        <v>344</v>
      </c>
      <c r="B108" s="45" t="s">
        <v>1015</v>
      </c>
      <c r="C108" s="45" t="s">
        <v>1065</v>
      </c>
      <c r="D108" s="45" t="s">
        <v>323</v>
      </c>
      <c r="E108" s="45" t="n">
        <v>1.75</v>
      </c>
      <c r="F108" s="45"/>
      <c r="G108" s="45" t="n">
        <v>0</v>
      </c>
      <c r="H108" s="45" t="n">
        <v>0</v>
      </c>
      <c r="I108" s="45"/>
    </row>
    <row r="109" customFormat="false" ht="15" hidden="false" customHeight="false" outlineLevel="0" collapsed="false">
      <c r="A109" s="45" t="s">
        <v>1010</v>
      </c>
      <c r="B109" s="45" t="s">
        <v>1011</v>
      </c>
      <c r="C109" s="45" t="s">
        <v>1065</v>
      </c>
      <c r="D109" s="45" t="s">
        <v>396</v>
      </c>
      <c r="E109" s="45" t="n">
        <v>4.5</v>
      </c>
      <c r="F109" s="45"/>
      <c r="G109" s="45" t="n">
        <v>0</v>
      </c>
      <c r="H109" s="45" t="n">
        <v>0</v>
      </c>
      <c r="I109" s="45"/>
    </row>
    <row r="110" customFormat="false" ht="15" hidden="false" customHeight="false" outlineLevel="0" collapsed="false">
      <c r="A110" s="45" t="s">
        <v>1010</v>
      </c>
      <c r="B110" s="45" t="s">
        <v>1011</v>
      </c>
      <c r="C110" s="45" t="s">
        <v>1065</v>
      </c>
      <c r="D110" s="45" t="s">
        <v>380</v>
      </c>
      <c r="E110" s="45" t="n">
        <v>4.75</v>
      </c>
      <c r="F110" s="45"/>
      <c r="G110" s="45" t="n">
        <v>0</v>
      </c>
      <c r="H110" s="45" t="n">
        <v>0</v>
      </c>
      <c r="I110" s="45"/>
    </row>
    <row r="111" customFormat="false" ht="15" hidden="false" customHeight="false" outlineLevel="0" collapsed="false">
      <c r="A111" s="45" t="s">
        <v>1010</v>
      </c>
      <c r="B111" s="45" t="s">
        <v>1011</v>
      </c>
      <c r="C111" s="45" t="s">
        <v>1065</v>
      </c>
      <c r="D111" s="45" t="s">
        <v>1066</v>
      </c>
      <c r="E111" s="45" t="n">
        <v>4.25</v>
      </c>
      <c r="F111" s="45" t="n">
        <v>116</v>
      </c>
      <c r="G111" s="45" t="n">
        <v>460</v>
      </c>
      <c r="H111" s="45" t="n">
        <v>0</v>
      </c>
      <c r="I111" s="45"/>
    </row>
    <row r="112" customFormat="false" ht="15" hidden="false" customHeight="false" outlineLevel="0" collapsed="false">
      <c r="A112" s="45" t="s">
        <v>344</v>
      </c>
      <c r="B112" s="45" t="s">
        <v>1015</v>
      </c>
      <c r="C112" s="45" t="s">
        <v>1067</v>
      </c>
      <c r="D112" s="45" t="s">
        <v>394</v>
      </c>
      <c r="E112" s="45" t="n">
        <v>2</v>
      </c>
      <c r="F112" s="45" t="n">
        <v>11</v>
      </c>
      <c r="G112" s="45" t="n">
        <v>20</v>
      </c>
      <c r="H112" s="45" t="n">
        <v>0</v>
      </c>
      <c r="I112" s="45"/>
    </row>
    <row r="113" customFormat="false" ht="15" hidden="false" customHeight="false" outlineLevel="0" collapsed="false">
      <c r="A113" s="45" t="s">
        <v>344</v>
      </c>
      <c r="B113" s="45" t="s">
        <v>1015</v>
      </c>
      <c r="C113" s="45" t="s">
        <v>1067</v>
      </c>
      <c r="D113" s="45" t="s">
        <v>347</v>
      </c>
      <c r="E113" s="45" t="n">
        <v>1.75</v>
      </c>
      <c r="F113" s="45"/>
      <c r="G113" s="45" t="n">
        <v>0</v>
      </c>
      <c r="H113" s="45" t="n">
        <v>0</v>
      </c>
      <c r="I113" s="45"/>
    </row>
    <row r="114" customFormat="false" ht="15" hidden="false" customHeight="false" outlineLevel="0" collapsed="false">
      <c r="A114" s="45" t="s">
        <v>344</v>
      </c>
      <c r="B114" s="45" t="s">
        <v>1015</v>
      </c>
      <c r="C114" s="45" t="s">
        <v>1068</v>
      </c>
      <c r="D114" s="45" t="s">
        <v>394</v>
      </c>
      <c r="E114" s="45" t="n">
        <v>2</v>
      </c>
      <c r="F114" s="45" t="n">
        <v>11</v>
      </c>
      <c r="G114" s="45" t="n">
        <v>45</v>
      </c>
      <c r="H114" s="45" t="n">
        <v>0</v>
      </c>
      <c r="I114" s="45"/>
    </row>
    <row r="115" customFormat="false" ht="15" hidden="false" customHeight="false" outlineLevel="0" collapsed="false">
      <c r="A115" s="45" t="s">
        <v>344</v>
      </c>
      <c r="B115" s="45" t="s">
        <v>1015</v>
      </c>
      <c r="C115" s="45" t="s">
        <v>1068</v>
      </c>
      <c r="D115" s="45" t="s">
        <v>323</v>
      </c>
      <c r="E115" s="45" t="n">
        <v>1.75</v>
      </c>
      <c r="F115" s="45"/>
      <c r="G115" s="45" t="n">
        <v>0</v>
      </c>
      <c r="H115" s="45" t="n">
        <v>0</v>
      </c>
      <c r="I115" s="45"/>
    </row>
    <row r="116" customFormat="false" ht="15" hidden="false" customHeight="false" outlineLevel="0" collapsed="false">
      <c r="A116" s="45" t="s">
        <v>1069</v>
      </c>
      <c r="B116" s="45" t="s">
        <v>1041</v>
      </c>
      <c r="C116" s="45" t="s">
        <v>1070</v>
      </c>
      <c r="D116" s="45" t="s">
        <v>1071</v>
      </c>
      <c r="E116" s="45" t="n">
        <v>0</v>
      </c>
      <c r="F116" s="45"/>
      <c r="G116" s="45" t="n">
        <v>50745</v>
      </c>
      <c r="H116" s="45" t="n">
        <v>0</v>
      </c>
      <c r="I116" s="45"/>
    </row>
    <row r="117" customFormat="false" ht="15" hidden="false" customHeight="false" outlineLevel="0" collapsed="false">
      <c r="A117" s="45" t="s">
        <v>1053</v>
      </c>
      <c r="B117" s="45" t="s">
        <v>1054</v>
      </c>
      <c r="C117" s="45" t="s">
        <v>1072</v>
      </c>
      <c r="D117" s="45" t="s">
        <v>364</v>
      </c>
      <c r="E117" s="45" t="n">
        <v>5</v>
      </c>
      <c r="F117" s="45"/>
      <c r="G117" s="45" t="n">
        <v>0</v>
      </c>
      <c r="H117" s="45" t="n">
        <v>0</v>
      </c>
      <c r="I117" s="45"/>
    </row>
    <row r="118" customFormat="false" ht="15" hidden="false" customHeight="false" outlineLevel="0" collapsed="false">
      <c r="A118" s="45" t="s">
        <v>1053</v>
      </c>
      <c r="B118" s="45" t="s">
        <v>1054</v>
      </c>
      <c r="C118" s="45" t="s">
        <v>1072</v>
      </c>
      <c r="D118" s="45" t="s">
        <v>404</v>
      </c>
      <c r="E118" s="45" t="n">
        <v>6.5</v>
      </c>
      <c r="F118" s="45" t="n">
        <v>35</v>
      </c>
      <c r="G118" s="45" t="n">
        <v>670</v>
      </c>
      <c r="H118" s="45" t="n">
        <v>0</v>
      </c>
      <c r="I118" s="45"/>
    </row>
    <row r="119" customFormat="false" ht="15" hidden="false" customHeight="false" outlineLevel="0" collapsed="false">
      <c r="A119" s="45" t="s">
        <v>1027</v>
      </c>
      <c r="B119" s="45" t="s">
        <v>999</v>
      </c>
      <c r="C119" s="45" t="s">
        <v>1073</v>
      </c>
      <c r="D119" s="45" t="s">
        <v>251</v>
      </c>
      <c r="E119" s="45" t="n">
        <v>3</v>
      </c>
      <c r="F119" s="45" t="n">
        <v>14</v>
      </c>
      <c r="G119" s="45" t="n">
        <v>140</v>
      </c>
      <c r="H119" s="45" t="n">
        <v>0</v>
      </c>
      <c r="I119" s="45"/>
    </row>
    <row r="120" customFormat="false" ht="15" hidden="false" customHeight="false" outlineLevel="0" collapsed="false">
      <c r="A120" s="45" t="s">
        <v>1027</v>
      </c>
      <c r="B120" s="45" t="s">
        <v>999</v>
      </c>
      <c r="C120" s="45" t="s">
        <v>1073</v>
      </c>
      <c r="D120" s="45" t="s">
        <v>372</v>
      </c>
      <c r="E120" s="45" t="n">
        <v>2</v>
      </c>
      <c r="F120" s="45"/>
      <c r="G120" s="45" t="n">
        <v>0</v>
      </c>
      <c r="H120" s="45" t="n">
        <v>0</v>
      </c>
      <c r="I120" s="45"/>
    </row>
    <row r="121" customFormat="false" ht="15" hidden="false" customHeight="false" outlineLevel="0" collapsed="false">
      <c r="A121" s="45" t="s">
        <v>998</v>
      </c>
      <c r="B121" s="45" t="s">
        <v>999</v>
      </c>
      <c r="C121" s="45" t="s">
        <v>1073</v>
      </c>
      <c r="D121" s="45" t="s">
        <v>467</v>
      </c>
      <c r="E121" s="45" t="n">
        <v>2</v>
      </c>
      <c r="F121" s="45" t="n">
        <v>16</v>
      </c>
      <c r="G121" s="45" t="n">
        <v>60</v>
      </c>
      <c r="H121" s="45" t="n">
        <v>0</v>
      </c>
      <c r="I121" s="45"/>
    </row>
    <row r="122" customFormat="false" ht="15" hidden="false" customHeight="false" outlineLevel="0" collapsed="false">
      <c r="A122" s="45" t="s">
        <v>1033</v>
      </c>
      <c r="B122" s="45" t="s">
        <v>1011</v>
      </c>
      <c r="C122" s="45" t="s">
        <v>1074</v>
      </c>
      <c r="D122" s="45" t="s">
        <v>280</v>
      </c>
      <c r="E122" s="45" t="n">
        <v>3.25</v>
      </c>
      <c r="F122" s="45" t="n">
        <v>36</v>
      </c>
      <c r="G122" s="45" t="n">
        <v>100</v>
      </c>
      <c r="H122" s="45" t="n">
        <v>0</v>
      </c>
      <c r="I122" s="45"/>
    </row>
    <row r="123" customFormat="false" ht="15" hidden="false" customHeight="false" outlineLevel="0" collapsed="false">
      <c r="A123" s="45" t="s">
        <v>1014</v>
      </c>
      <c r="B123" s="45" t="s">
        <v>1015</v>
      </c>
      <c r="C123" s="45" t="s">
        <v>1075</v>
      </c>
      <c r="D123" s="45" t="s">
        <v>383</v>
      </c>
      <c r="E123" s="45" t="n">
        <v>72.25</v>
      </c>
      <c r="F123" s="45"/>
      <c r="G123" s="45" t="n">
        <v>0</v>
      </c>
      <c r="H123" s="45" t="n">
        <v>0</v>
      </c>
      <c r="I123" s="45"/>
    </row>
    <row r="124" customFormat="false" ht="15" hidden="false" customHeight="false" outlineLevel="0" collapsed="false">
      <c r="A124" s="45" t="s">
        <v>1014</v>
      </c>
      <c r="B124" s="45" t="s">
        <v>1015</v>
      </c>
      <c r="C124" s="45" t="s">
        <v>1075</v>
      </c>
      <c r="D124" s="45" t="s">
        <v>330</v>
      </c>
      <c r="E124" s="45" t="n">
        <v>19.75</v>
      </c>
      <c r="F124" s="45" t="n">
        <v>72</v>
      </c>
      <c r="G124" s="45" t="n">
        <v>16040</v>
      </c>
      <c r="H124" s="45" t="n">
        <v>0</v>
      </c>
      <c r="I124" s="45"/>
    </row>
    <row r="125" customFormat="false" ht="15" hidden="false" customHeight="false" outlineLevel="0" collapsed="false">
      <c r="A125" s="45" t="s">
        <v>1017</v>
      </c>
      <c r="B125" s="45" t="s">
        <v>1018</v>
      </c>
      <c r="C125" s="45" t="s">
        <v>1075</v>
      </c>
      <c r="D125" s="45" t="s">
        <v>333</v>
      </c>
      <c r="E125" s="45" t="n">
        <v>49.75</v>
      </c>
      <c r="F125" s="45"/>
      <c r="G125" s="45" t="n">
        <v>0</v>
      </c>
      <c r="H125" s="45" t="n">
        <v>0</v>
      </c>
      <c r="I125" s="45"/>
    </row>
    <row r="126" customFormat="false" ht="15" hidden="false" customHeight="false" outlineLevel="0" collapsed="false">
      <c r="A126" s="45" t="s">
        <v>1017</v>
      </c>
      <c r="B126" s="45" t="s">
        <v>1018</v>
      </c>
      <c r="C126" s="45" t="s">
        <v>1075</v>
      </c>
      <c r="D126" s="45" t="s">
        <v>313</v>
      </c>
      <c r="E126" s="45" t="n">
        <v>48.75</v>
      </c>
      <c r="F126" s="45"/>
      <c r="G126" s="45" t="n">
        <v>635</v>
      </c>
      <c r="H126" s="45" t="n">
        <v>0</v>
      </c>
      <c r="I126" s="45"/>
    </row>
    <row r="127" customFormat="false" ht="15" hidden="false" customHeight="false" outlineLevel="0" collapsed="false">
      <c r="A127" s="45" t="s">
        <v>1020</v>
      </c>
      <c r="B127" s="45" t="s">
        <v>1011</v>
      </c>
      <c r="C127" s="45" t="s">
        <v>1075</v>
      </c>
      <c r="D127" s="45" t="s">
        <v>356</v>
      </c>
      <c r="E127" s="45" t="n">
        <v>63.75</v>
      </c>
      <c r="F127" s="45" t="n">
        <v>53</v>
      </c>
      <c r="G127" s="45" t="n">
        <v>460</v>
      </c>
      <c r="H127" s="45" t="n">
        <v>0</v>
      </c>
      <c r="I127" s="45"/>
    </row>
    <row r="128" customFormat="false" ht="15" hidden="false" customHeight="false" outlineLevel="0" collapsed="false">
      <c r="A128" s="45" t="s">
        <v>1021</v>
      </c>
      <c r="B128" s="45" t="s">
        <v>1022</v>
      </c>
      <c r="C128" s="45" t="s">
        <v>1075</v>
      </c>
      <c r="D128" s="45" t="s">
        <v>274</v>
      </c>
      <c r="E128" s="45" t="n">
        <v>50.25</v>
      </c>
      <c r="F128" s="45" t="n">
        <v>12</v>
      </c>
      <c r="G128" s="45" t="n">
        <v>285</v>
      </c>
      <c r="H128" s="45" t="n">
        <v>0</v>
      </c>
      <c r="I128" s="45"/>
    </row>
    <row r="129" customFormat="false" ht="15" hidden="false" customHeight="false" outlineLevel="0" collapsed="false">
      <c r="A129" s="45" t="s">
        <v>1021</v>
      </c>
      <c r="B129" s="45" t="s">
        <v>1022</v>
      </c>
      <c r="C129" s="45" t="s">
        <v>1075</v>
      </c>
      <c r="D129" s="45" t="s">
        <v>301</v>
      </c>
      <c r="E129" s="45" t="n">
        <v>58.75</v>
      </c>
      <c r="F129" s="45"/>
      <c r="G129" s="45" t="n">
        <v>0</v>
      </c>
      <c r="H129" s="45" t="n">
        <v>0</v>
      </c>
      <c r="I129" s="45"/>
    </row>
    <row r="130" customFormat="false" ht="15" hidden="false" customHeight="false" outlineLevel="0" collapsed="false">
      <c r="A130" s="45" t="s">
        <v>1029</v>
      </c>
      <c r="B130" s="45" t="s">
        <v>999</v>
      </c>
      <c r="C130" s="45" t="s">
        <v>1076</v>
      </c>
      <c r="D130" s="45" t="s">
        <v>561</v>
      </c>
      <c r="E130" s="45" t="n">
        <v>3</v>
      </c>
      <c r="F130" s="45" t="n">
        <v>32</v>
      </c>
      <c r="G130" s="45" t="n">
        <v>570</v>
      </c>
      <c r="H130" s="45" t="n">
        <v>120</v>
      </c>
      <c r="I130" s="45"/>
    </row>
    <row r="131" customFormat="false" ht="15" hidden="false" customHeight="false" outlineLevel="0" collapsed="false">
      <c r="A131" s="45" t="s">
        <v>1029</v>
      </c>
      <c r="B131" s="45" t="s">
        <v>999</v>
      </c>
      <c r="C131" s="45" t="s">
        <v>1076</v>
      </c>
      <c r="D131" s="45" t="s">
        <v>706</v>
      </c>
      <c r="E131" s="45" t="n">
        <v>4</v>
      </c>
      <c r="F131" s="45"/>
      <c r="G131" s="45" t="n">
        <v>0</v>
      </c>
      <c r="H131" s="45" t="n">
        <v>0</v>
      </c>
      <c r="I131" s="45"/>
    </row>
    <row r="132" customFormat="false" ht="15" hidden="false" customHeight="false" outlineLevel="0" collapsed="false">
      <c r="A132" s="45" t="s">
        <v>998</v>
      </c>
      <c r="B132" s="45" t="s">
        <v>999</v>
      </c>
      <c r="C132" s="45" t="s">
        <v>1077</v>
      </c>
      <c r="D132" s="45" t="s">
        <v>343</v>
      </c>
      <c r="E132" s="45" t="n">
        <v>2.25</v>
      </c>
      <c r="F132" s="45" t="n">
        <v>13</v>
      </c>
      <c r="G132" s="45" t="n">
        <v>85</v>
      </c>
      <c r="H132" s="45" t="n">
        <v>0</v>
      </c>
      <c r="I132" s="45"/>
    </row>
    <row r="133" customFormat="false" ht="15" hidden="false" customHeight="false" outlineLevel="0" collapsed="false">
      <c r="A133" s="45" t="s">
        <v>344</v>
      </c>
      <c r="B133" s="45" t="s">
        <v>1015</v>
      </c>
      <c r="C133" s="45" t="s">
        <v>1078</v>
      </c>
      <c r="D133" s="45" t="s">
        <v>394</v>
      </c>
      <c r="E133" s="45"/>
      <c r="F133" s="45" t="n">
        <v>9</v>
      </c>
      <c r="G133" s="45" t="n">
        <v>40</v>
      </c>
      <c r="H133" s="45" t="n">
        <v>0</v>
      </c>
      <c r="I133" s="45"/>
    </row>
    <row r="134" customFormat="false" ht="15" hidden="false" customHeight="false" outlineLevel="0" collapsed="false">
      <c r="A134" s="45" t="s">
        <v>344</v>
      </c>
      <c r="B134" s="45" t="s">
        <v>1015</v>
      </c>
      <c r="C134" s="45" t="s">
        <v>1078</v>
      </c>
      <c r="D134" s="45" t="s">
        <v>252</v>
      </c>
      <c r="E134" s="45" t="n">
        <v>1.75</v>
      </c>
      <c r="F134" s="45"/>
      <c r="G134" s="45" t="n">
        <v>0</v>
      </c>
      <c r="H134" s="45" t="n">
        <v>0</v>
      </c>
      <c r="I134" s="45"/>
    </row>
    <row r="135" customFormat="false" ht="15" hidden="false" customHeight="false" outlineLevel="0" collapsed="false">
      <c r="A135" s="45" t="s">
        <v>344</v>
      </c>
      <c r="B135" s="45" t="s">
        <v>1015</v>
      </c>
      <c r="C135" s="45" t="s">
        <v>1079</v>
      </c>
      <c r="D135" s="45" t="s">
        <v>394</v>
      </c>
      <c r="E135" s="45"/>
      <c r="F135" s="45" t="n">
        <v>7</v>
      </c>
      <c r="G135" s="45" t="n">
        <v>35</v>
      </c>
      <c r="H135" s="45" t="n">
        <v>0</v>
      </c>
      <c r="I135" s="45"/>
    </row>
    <row r="136" customFormat="false" ht="15" hidden="false" customHeight="false" outlineLevel="0" collapsed="false">
      <c r="A136" s="45" t="s">
        <v>344</v>
      </c>
      <c r="B136" s="45" t="s">
        <v>1015</v>
      </c>
      <c r="C136" s="45" t="s">
        <v>1079</v>
      </c>
      <c r="D136" s="45" t="s">
        <v>323</v>
      </c>
      <c r="E136" s="45" t="n">
        <v>1.75</v>
      </c>
      <c r="F136" s="45"/>
      <c r="G136" s="45" t="n">
        <v>0</v>
      </c>
      <c r="H136" s="45" t="n">
        <v>0</v>
      </c>
      <c r="I136" s="45"/>
    </row>
    <row r="137" customFormat="false" ht="15" hidden="false" customHeight="false" outlineLevel="0" collapsed="false">
      <c r="A137" s="45" t="s">
        <v>1033</v>
      </c>
      <c r="B137" s="45" t="s">
        <v>1011</v>
      </c>
      <c r="C137" s="45" t="s">
        <v>1080</v>
      </c>
      <c r="D137" s="45" t="s">
        <v>325</v>
      </c>
      <c r="E137" s="45" t="n">
        <v>3.5</v>
      </c>
      <c r="F137" s="45" t="n">
        <v>33</v>
      </c>
      <c r="G137" s="45" t="n">
        <v>105</v>
      </c>
      <c r="H137" s="45" t="n">
        <v>0</v>
      </c>
      <c r="I137" s="45"/>
    </row>
    <row r="138" customFormat="false" ht="15" hidden="false" customHeight="false" outlineLevel="0" collapsed="false">
      <c r="A138" s="45" t="s">
        <v>1027</v>
      </c>
      <c r="B138" s="45" t="s">
        <v>999</v>
      </c>
      <c r="C138" s="45" t="s">
        <v>1081</v>
      </c>
      <c r="D138" s="45" t="s">
        <v>263</v>
      </c>
      <c r="E138" s="45" t="n">
        <v>2.25</v>
      </c>
      <c r="F138" s="45" t="n">
        <v>16</v>
      </c>
      <c r="G138" s="45" t="n">
        <v>170</v>
      </c>
      <c r="H138" s="45" t="n">
        <v>0</v>
      </c>
      <c r="I138" s="45"/>
    </row>
    <row r="139" customFormat="false" ht="15" hidden="false" customHeight="false" outlineLevel="0" collapsed="false">
      <c r="A139" s="45" t="s">
        <v>1027</v>
      </c>
      <c r="B139" s="45" t="s">
        <v>999</v>
      </c>
      <c r="C139" s="45" t="s">
        <v>1081</v>
      </c>
      <c r="D139" s="45" t="s">
        <v>507</v>
      </c>
      <c r="E139" s="45" t="n">
        <v>1.75</v>
      </c>
      <c r="F139" s="45"/>
      <c r="G139" s="45" t="n">
        <v>0</v>
      </c>
      <c r="H139" s="45" t="n">
        <v>0</v>
      </c>
      <c r="I139" s="45"/>
    </row>
    <row r="140" customFormat="false" ht="15" hidden="false" customHeight="false" outlineLevel="0" collapsed="false">
      <c r="A140" s="45" t="s">
        <v>995</v>
      </c>
      <c r="B140" s="45" t="s">
        <v>996</v>
      </c>
      <c r="C140" s="45" t="s">
        <v>1081</v>
      </c>
      <c r="D140" s="45" t="s">
        <v>363</v>
      </c>
      <c r="E140" s="45" t="n">
        <v>2.5</v>
      </c>
      <c r="F140" s="45"/>
      <c r="G140" s="45" t="n">
        <v>0</v>
      </c>
      <c r="H140" s="45" t="n">
        <v>0</v>
      </c>
      <c r="I140" s="45"/>
    </row>
    <row r="141" customFormat="false" ht="15" hidden="false" customHeight="false" outlineLevel="0" collapsed="false">
      <c r="A141" s="45" t="s">
        <v>995</v>
      </c>
      <c r="B141" s="45" t="s">
        <v>996</v>
      </c>
      <c r="C141" s="45" t="s">
        <v>1081</v>
      </c>
      <c r="D141" s="45" t="s">
        <v>429</v>
      </c>
      <c r="E141" s="45" t="n">
        <v>2.25</v>
      </c>
      <c r="F141" s="45"/>
      <c r="G141" s="45" t="n">
        <v>35</v>
      </c>
      <c r="H141" s="45" t="n">
        <v>0</v>
      </c>
      <c r="I141" s="45"/>
    </row>
    <row r="142" customFormat="false" ht="15" hidden="false" customHeight="false" outlineLevel="0" collapsed="false">
      <c r="A142" s="45" t="s">
        <v>1008</v>
      </c>
      <c r="B142" s="45" t="s">
        <v>999</v>
      </c>
      <c r="C142" s="45" t="s">
        <v>1082</v>
      </c>
      <c r="D142" s="45" t="s">
        <v>474</v>
      </c>
      <c r="E142" s="45" t="n">
        <v>2</v>
      </c>
      <c r="F142" s="45" t="n">
        <v>14</v>
      </c>
      <c r="G142" s="45" t="n">
        <v>95</v>
      </c>
      <c r="H142" s="45" t="n">
        <v>0</v>
      </c>
      <c r="I142" s="45"/>
    </row>
    <row r="143" customFormat="false" ht="15" hidden="false" customHeight="false" outlineLevel="0" collapsed="false">
      <c r="A143" s="45" t="s">
        <v>1014</v>
      </c>
      <c r="B143" s="45" t="s">
        <v>1015</v>
      </c>
      <c r="C143" s="45" t="s">
        <v>1083</v>
      </c>
      <c r="D143" s="45" t="s">
        <v>459</v>
      </c>
      <c r="E143" s="45" t="n">
        <v>73.75</v>
      </c>
      <c r="F143" s="45"/>
      <c r="G143" s="45" t="n">
        <v>0</v>
      </c>
      <c r="H143" s="45" t="n">
        <v>0</v>
      </c>
      <c r="I143" s="45"/>
    </row>
    <row r="144" customFormat="false" ht="15" hidden="false" customHeight="false" outlineLevel="0" collapsed="false">
      <c r="A144" s="45" t="s">
        <v>1014</v>
      </c>
      <c r="B144" s="45" t="s">
        <v>1015</v>
      </c>
      <c r="C144" s="45" t="s">
        <v>1083</v>
      </c>
      <c r="D144" s="45" t="s">
        <v>441</v>
      </c>
      <c r="E144" s="45" t="n">
        <v>15.5</v>
      </c>
      <c r="F144" s="45" t="n">
        <v>103</v>
      </c>
      <c r="G144" s="45" t="n">
        <v>13430</v>
      </c>
      <c r="H144" s="45" t="n">
        <v>0</v>
      </c>
      <c r="I144" s="45"/>
    </row>
    <row r="145" customFormat="false" ht="15" hidden="false" customHeight="false" outlineLevel="0" collapsed="false">
      <c r="A145" s="45" t="s">
        <v>1017</v>
      </c>
      <c r="B145" s="45" t="s">
        <v>1018</v>
      </c>
      <c r="C145" s="45" t="s">
        <v>1083</v>
      </c>
      <c r="D145" s="45" t="s">
        <v>1084</v>
      </c>
      <c r="E145" s="45" t="n">
        <v>46.75</v>
      </c>
      <c r="F145" s="45"/>
      <c r="G145" s="45" t="n">
        <v>0</v>
      </c>
      <c r="H145" s="45" t="n">
        <v>0</v>
      </c>
      <c r="I145" s="45"/>
    </row>
    <row r="146" customFormat="false" ht="15" hidden="false" customHeight="false" outlineLevel="0" collapsed="false">
      <c r="A146" s="45" t="s">
        <v>1017</v>
      </c>
      <c r="B146" s="45" t="s">
        <v>1018</v>
      </c>
      <c r="C146" s="45" t="s">
        <v>1083</v>
      </c>
      <c r="D146" s="45" t="s">
        <v>292</v>
      </c>
      <c r="E146" s="45" t="n">
        <v>64.25</v>
      </c>
      <c r="F146" s="45"/>
      <c r="G146" s="45" t="n">
        <v>580</v>
      </c>
      <c r="H146" s="45" t="n">
        <v>0</v>
      </c>
      <c r="I146" s="45"/>
    </row>
    <row r="147" customFormat="false" ht="15" hidden="false" customHeight="false" outlineLevel="0" collapsed="false">
      <c r="A147" s="45" t="s">
        <v>1020</v>
      </c>
      <c r="B147" s="45" t="s">
        <v>1011</v>
      </c>
      <c r="C147" s="45" t="s">
        <v>1083</v>
      </c>
      <c r="D147" s="45" t="s">
        <v>456</v>
      </c>
      <c r="E147" s="45" t="n">
        <v>71.5</v>
      </c>
      <c r="F147" s="45" t="n">
        <v>61</v>
      </c>
      <c r="G147" s="45" t="n">
        <v>925</v>
      </c>
      <c r="H147" s="45" t="n">
        <v>0</v>
      </c>
      <c r="I147" s="45"/>
    </row>
    <row r="148" customFormat="false" ht="15" hidden="false" customHeight="false" outlineLevel="0" collapsed="false">
      <c r="A148" s="45" t="s">
        <v>1021</v>
      </c>
      <c r="B148" s="45" t="s">
        <v>1022</v>
      </c>
      <c r="C148" s="45" t="s">
        <v>1083</v>
      </c>
      <c r="D148" s="45" t="s">
        <v>421</v>
      </c>
      <c r="E148" s="45" t="n">
        <v>101.25</v>
      </c>
      <c r="F148" s="45" t="n">
        <v>26</v>
      </c>
      <c r="G148" s="45" t="n">
        <v>650</v>
      </c>
      <c r="H148" s="45" t="n">
        <v>0</v>
      </c>
      <c r="I148" s="45"/>
    </row>
    <row r="149" customFormat="false" ht="15" hidden="false" customHeight="false" outlineLevel="0" collapsed="false">
      <c r="A149" s="45" t="s">
        <v>1021</v>
      </c>
      <c r="B149" s="45" t="s">
        <v>1022</v>
      </c>
      <c r="C149" s="45" t="s">
        <v>1083</v>
      </c>
      <c r="D149" s="45" t="s">
        <v>325</v>
      </c>
      <c r="E149" s="45" t="n">
        <v>156.75</v>
      </c>
      <c r="F149" s="45"/>
      <c r="G149" s="45" t="n">
        <v>0</v>
      </c>
      <c r="H149" s="45" t="n">
        <v>0</v>
      </c>
      <c r="I149" s="45"/>
    </row>
    <row r="150" customFormat="false" ht="15" hidden="false" customHeight="false" outlineLevel="0" collapsed="false">
      <c r="A150" s="45" t="s">
        <v>995</v>
      </c>
      <c r="B150" s="45" t="s">
        <v>996</v>
      </c>
      <c r="C150" s="45" t="s">
        <v>1083</v>
      </c>
      <c r="D150" s="45" t="s">
        <v>419</v>
      </c>
      <c r="E150" s="45" t="n">
        <v>2.5</v>
      </c>
      <c r="F150" s="45"/>
      <c r="G150" s="45" t="n">
        <v>0</v>
      </c>
      <c r="H150" s="45" t="n">
        <v>0</v>
      </c>
      <c r="I150" s="45"/>
    </row>
    <row r="151" customFormat="false" ht="15" hidden="false" customHeight="false" outlineLevel="0" collapsed="false">
      <c r="A151" s="45" t="s">
        <v>995</v>
      </c>
      <c r="B151" s="45" t="s">
        <v>996</v>
      </c>
      <c r="C151" s="45" t="s">
        <v>1083</v>
      </c>
      <c r="D151" s="45" t="s">
        <v>433</v>
      </c>
      <c r="E151" s="45" t="n">
        <v>2.25</v>
      </c>
      <c r="F151" s="45"/>
      <c r="G151" s="45" t="n">
        <v>0</v>
      </c>
      <c r="H151" s="45" t="n">
        <v>0</v>
      </c>
      <c r="I151" s="45"/>
    </row>
    <row r="152" customFormat="false" ht="15" hidden="false" customHeight="false" outlineLevel="0" collapsed="false">
      <c r="A152" s="45" t="s">
        <v>1033</v>
      </c>
      <c r="B152" s="45" t="s">
        <v>1011</v>
      </c>
      <c r="C152" s="45" t="s">
        <v>1085</v>
      </c>
      <c r="D152" s="45" t="s">
        <v>262</v>
      </c>
      <c r="E152" s="45" t="n">
        <v>3.5</v>
      </c>
      <c r="F152" s="45" t="n">
        <v>51</v>
      </c>
      <c r="G152" s="45" t="n">
        <v>55</v>
      </c>
      <c r="H152" s="45" t="n">
        <v>0</v>
      </c>
      <c r="I152" s="45"/>
    </row>
    <row r="153" customFormat="false" ht="15" hidden="false" customHeight="false" outlineLevel="0" collapsed="false">
      <c r="A153" s="45" t="s">
        <v>998</v>
      </c>
      <c r="B153" s="45" t="s">
        <v>999</v>
      </c>
      <c r="C153" s="45" t="s">
        <v>1086</v>
      </c>
      <c r="D153" s="45" t="s">
        <v>343</v>
      </c>
      <c r="E153" s="45" t="n">
        <v>2</v>
      </c>
      <c r="F153" s="45" t="n">
        <v>9</v>
      </c>
      <c r="G153" s="45" t="n">
        <v>105</v>
      </c>
      <c r="H153" s="45" t="n">
        <v>0</v>
      </c>
      <c r="I153" s="45"/>
    </row>
    <row r="154" customFormat="false" ht="15" hidden="false" customHeight="false" outlineLevel="0" collapsed="false">
      <c r="A154" s="45" t="s">
        <v>995</v>
      </c>
      <c r="B154" s="45" t="s">
        <v>996</v>
      </c>
      <c r="C154" s="45" t="s">
        <v>1087</v>
      </c>
      <c r="D154" s="45" t="s">
        <v>331</v>
      </c>
      <c r="E154" s="45" t="n">
        <v>2.75</v>
      </c>
      <c r="F154" s="45"/>
      <c r="G154" s="45" t="n">
        <v>0</v>
      </c>
      <c r="H154" s="45" t="n">
        <v>0</v>
      </c>
      <c r="I154" s="45"/>
    </row>
    <row r="155" customFormat="false" ht="15" hidden="false" customHeight="false" outlineLevel="0" collapsed="false">
      <c r="A155" s="45" t="s">
        <v>995</v>
      </c>
      <c r="B155" s="45" t="s">
        <v>996</v>
      </c>
      <c r="C155" s="45" t="s">
        <v>1087</v>
      </c>
      <c r="D155" s="45" t="s">
        <v>433</v>
      </c>
      <c r="E155" s="45" t="n">
        <v>2.5</v>
      </c>
      <c r="F155" s="45"/>
      <c r="G155" s="45" t="n">
        <v>125</v>
      </c>
      <c r="H155" s="45" t="n">
        <v>0</v>
      </c>
      <c r="I155" s="45"/>
    </row>
    <row r="156" customFormat="false" ht="15" hidden="false" customHeight="false" outlineLevel="0" collapsed="false">
      <c r="A156" s="45" t="s">
        <v>1029</v>
      </c>
      <c r="B156" s="45" t="s">
        <v>999</v>
      </c>
      <c r="C156" s="45" t="s">
        <v>1088</v>
      </c>
      <c r="D156" s="45" t="s">
        <v>456</v>
      </c>
      <c r="E156" s="45" t="n">
        <v>4</v>
      </c>
      <c r="F156" s="45" t="n">
        <v>17</v>
      </c>
      <c r="G156" s="45" t="n">
        <v>595</v>
      </c>
      <c r="H156" s="45" t="n">
        <v>440</v>
      </c>
      <c r="I156" s="45"/>
    </row>
    <row r="157" customFormat="false" ht="15" hidden="false" customHeight="false" outlineLevel="0" collapsed="false">
      <c r="A157" s="45" t="s">
        <v>1029</v>
      </c>
      <c r="B157" s="45" t="s">
        <v>999</v>
      </c>
      <c r="C157" s="45" t="s">
        <v>1088</v>
      </c>
      <c r="D157" s="45" t="s">
        <v>301</v>
      </c>
      <c r="E157" s="45" t="n">
        <v>4</v>
      </c>
      <c r="F157" s="45"/>
      <c r="G157" s="45" t="n">
        <v>0</v>
      </c>
      <c r="H157" s="45" t="n">
        <v>0</v>
      </c>
      <c r="I157" s="45"/>
    </row>
    <row r="158" customFormat="false" ht="15" hidden="false" customHeight="false" outlineLevel="0" collapsed="false">
      <c r="A158" s="45" t="s">
        <v>1046</v>
      </c>
      <c r="B158" s="45" t="s">
        <v>999</v>
      </c>
      <c r="C158" s="45" t="s">
        <v>1089</v>
      </c>
      <c r="D158" s="45" t="s">
        <v>364</v>
      </c>
      <c r="E158" s="45" t="n">
        <v>3.25</v>
      </c>
      <c r="F158" s="45" t="n">
        <v>18</v>
      </c>
      <c r="G158" s="45" t="n">
        <v>160</v>
      </c>
      <c r="H158" s="45" t="n">
        <v>360</v>
      </c>
      <c r="I158" s="45"/>
    </row>
    <row r="159" customFormat="false" ht="15" hidden="false" customHeight="false" outlineLevel="0" collapsed="false">
      <c r="A159" s="45" t="s">
        <v>1029</v>
      </c>
      <c r="B159" s="45" t="s">
        <v>999</v>
      </c>
      <c r="C159" s="45" t="s">
        <v>1089</v>
      </c>
      <c r="D159" s="45" t="s">
        <v>1090</v>
      </c>
      <c r="E159" s="45" t="n">
        <v>3.25</v>
      </c>
      <c r="F159" s="45" t="n">
        <v>27</v>
      </c>
      <c r="G159" s="45" t="n">
        <v>380</v>
      </c>
      <c r="H159" s="45" t="n">
        <v>350</v>
      </c>
      <c r="I159" s="45"/>
    </row>
    <row r="160" customFormat="false" ht="15" hidden="false" customHeight="false" outlineLevel="0" collapsed="false">
      <c r="A160" s="45" t="s">
        <v>1029</v>
      </c>
      <c r="B160" s="45" t="s">
        <v>999</v>
      </c>
      <c r="C160" s="45" t="s">
        <v>1089</v>
      </c>
      <c r="D160" s="45" t="s">
        <v>325</v>
      </c>
      <c r="E160" s="45" t="n">
        <v>3.25</v>
      </c>
      <c r="F160" s="45"/>
      <c r="G160" s="45" t="n">
        <v>0</v>
      </c>
      <c r="H160" s="45" t="n">
        <v>0</v>
      </c>
      <c r="I160" s="45"/>
    </row>
    <row r="161" customFormat="false" ht="15" hidden="false" customHeight="false" outlineLevel="0" collapsed="false">
      <c r="A161" s="45" t="s">
        <v>1014</v>
      </c>
      <c r="B161" s="45" t="s">
        <v>1015</v>
      </c>
      <c r="C161" s="45" t="s">
        <v>1089</v>
      </c>
      <c r="D161" s="45" t="s">
        <v>448</v>
      </c>
      <c r="E161" s="45" t="n">
        <v>73.75</v>
      </c>
      <c r="F161" s="45"/>
      <c r="G161" s="45" t="n">
        <v>0</v>
      </c>
      <c r="H161" s="45" t="n">
        <v>0</v>
      </c>
      <c r="I161" s="45"/>
    </row>
    <row r="162" customFormat="false" ht="15" hidden="false" customHeight="false" outlineLevel="0" collapsed="false">
      <c r="A162" s="45" t="s">
        <v>1014</v>
      </c>
      <c r="B162" s="45" t="s">
        <v>1015</v>
      </c>
      <c r="C162" s="45" t="s">
        <v>1089</v>
      </c>
      <c r="D162" s="45" t="s">
        <v>273</v>
      </c>
      <c r="E162" s="45" t="n">
        <v>20.25</v>
      </c>
      <c r="F162" s="45" t="n">
        <v>95</v>
      </c>
      <c r="G162" s="45" t="n">
        <v>13400</v>
      </c>
      <c r="H162" s="45" t="n">
        <v>0</v>
      </c>
      <c r="I162" s="45"/>
    </row>
    <row r="163" customFormat="false" ht="15" hidden="false" customHeight="false" outlineLevel="0" collapsed="false">
      <c r="A163" s="45" t="s">
        <v>1017</v>
      </c>
      <c r="B163" s="45" t="s">
        <v>1018</v>
      </c>
      <c r="C163" s="45" t="s">
        <v>1089</v>
      </c>
      <c r="D163" s="45" t="s">
        <v>948</v>
      </c>
      <c r="E163" s="45" t="n">
        <v>41.25</v>
      </c>
      <c r="F163" s="45"/>
      <c r="G163" s="45" t="n">
        <v>0</v>
      </c>
      <c r="H163" s="45" t="n">
        <v>0</v>
      </c>
      <c r="I163" s="45"/>
    </row>
    <row r="164" customFormat="false" ht="15" hidden="false" customHeight="false" outlineLevel="0" collapsed="false">
      <c r="A164" s="45" t="s">
        <v>1017</v>
      </c>
      <c r="B164" s="45" t="s">
        <v>1018</v>
      </c>
      <c r="C164" s="45" t="s">
        <v>1089</v>
      </c>
      <c r="D164" s="45" t="s">
        <v>432</v>
      </c>
      <c r="E164" s="45" t="n">
        <v>66</v>
      </c>
      <c r="F164" s="45"/>
      <c r="G164" s="45" t="n">
        <v>395</v>
      </c>
      <c r="H164" s="45" t="n">
        <v>0</v>
      </c>
      <c r="I164" s="45"/>
    </row>
    <row r="165" customFormat="false" ht="15" hidden="false" customHeight="false" outlineLevel="0" collapsed="false">
      <c r="A165" s="45" t="s">
        <v>1020</v>
      </c>
      <c r="B165" s="45" t="s">
        <v>1011</v>
      </c>
      <c r="C165" s="45" t="s">
        <v>1089</v>
      </c>
      <c r="D165" s="45" t="s">
        <v>561</v>
      </c>
      <c r="E165" s="45" t="n">
        <v>68.75</v>
      </c>
      <c r="F165" s="45" t="n">
        <v>53</v>
      </c>
      <c r="G165" s="45" t="n">
        <v>700</v>
      </c>
      <c r="H165" s="45" t="n">
        <v>0</v>
      </c>
      <c r="I165" s="45"/>
    </row>
    <row r="166" customFormat="false" ht="15" hidden="false" customHeight="false" outlineLevel="0" collapsed="false">
      <c r="A166" s="45" t="s">
        <v>1021</v>
      </c>
      <c r="B166" s="45" t="s">
        <v>1022</v>
      </c>
      <c r="C166" s="45" t="s">
        <v>1089</v>
      </c>
      <c r="D166" s="45" t="s">
        <v>364</v>
      </c>
      <c r="E166" s="45" t="n">
        <v>121.75</v>
      </c>
      <c r="F166" s="45" t="n">
        <v>16</v>
      </c>
      <c r="G166" s="45" t="n">
        <v>995</v>
      </c>
      <c r="H166" s="45" t="n">
        <v>0</v>
      </c>
      <c r="I166" s="45"/>
    </row>
    <row r="167" customFormat="false" ht="15" hidden="false" customHeight="false" outlineLevel="0" collapsed="false">
      <c r="A167" s="45" t="s">
        <v>1021</v>
      </c>
      <c r="B167" s="45" t="s">
        <v>1022</v>
      </c>
      <c r="C167" s="45" t="s">
        <v>1089</v>
      </c>
      <c r="D167" s="45" t="s">
        <v>605</v>
      </c>
      <c r="E167" s="45" t="n">
        <v>171.25</v>
      </c>
      <c r="F167" s="45"/>
      <c r="G167" s="45" t="n">
        <v>0</v>
      </c>
      <c r="H167" s="45" t="n">
        <v>0</v>
      </c>
      <c r="I167" s="45"/>
    </row>
    <row r="168" customFormat="false" ht="15" hidden="false" customHeight="false" outlineLevel="0" collapsed="false">
      <c r="A168" s="45" t="s">
        <v>1027</v>
      </c>
      <c r="B168" s="45" t="s">
        <v>999</v>
      </c>
      <c r="C168" s="45" t="s">
        <v>1091</v>
      </c>
      <c r="D168" s="45" t="s">
        <v>272</v>
      </c>
      <c r="E168" s="45" t="n">
        <v>2</v>
      </c>
      <c r="F168" s="45" t="n">
        <v>18</v>
      </c>
      <c r="G168" s="45" t="n">
        <v>110</v>
      </c>
      <c r="H168" s="45" t="n">
        <v>0</v>
      </c>
      <c r="I168" s="45"/>
    </row>
    <row r="169" customFormat="false" ht="15" hidden="false" customHeight="false" outlineLevel="0" collapsed="false">
      <c r="A169" s="45" t="s">
        <v>1027</v>
      </c>
      <c r="B169" s="45" t="s">
        <v>999</v>
      </c>
      <c r="C169" s="45" t="s">
        <v>1091</v>
      </c>
      <c r="D169" s="45" t="s">
        <v>268</v>
      </c>
      <c r="E169" s="45" t="n">
        <v>1.75</v>
      </c>
      <c r="F169" s="45"/>
      <c r="G169" s="45" t="n">
        <v>0</v>
      </c>
      <c r="H169" s="45" t="n">
        <v>0</v>
      </c>
      <c r="I169" s="45"/>
    </row>
    <row r="170" customFormat="false" ht="15" hidden="false" customHeight="false" outlineLevel="0" collapsed="false">
      <c r="A170" s="45" t="s">
        <v>1053</v>
      </c>
      <c r="B170" s="45" t="s">
        <v>1054</v>
      </c>
      <c r="C170" s="45" t="s">
        <v>1092</v>
      </c>
      <c r="D170" s="45" t="s">
        <v>413</v>
      </c>
      <c r="E170" s="45" t="n">
        <v>4.75</v>
      </c>
      <c r="F170" s="45"/>
      <c r="G170" s="45" t="n">
        <v>0</v>
      </c>
      <c r="H170" s="45" t="n">
        <v>0</v>
      </c>
      <c r="I170" s="45"/>
    </row>
    <row r="171" customFormat="false" ht="15" hidden="false" customHeight="false" outlineLevel="0" collapsed="false">
      <c r="A171" s="45" t="s">
        <v>1053</v>
      </c>
      <c r="B171" s="45" t="s">
        <v>1054</v>
      </c>
      <c r="C171" s="45" t="s">
        <v>1092</v>
      </c>
      <c r="D171" s="45" t="s">
        <v>317</v>
      </c>
      <c r="E171" s="45" t="n">
        <v>7.75</v>
      </c>
      <c r="F171" s="45" t="n">
        <v>16</v>
      </c>
      <c r="G171" s="45" t="n">
        <v>1015</v>
      </c>
      <c r="H171" s="45" t="n">
        <v>0</v>
      </c>
      <c r="I171" s="45"/>
    </row>
    <row r="172" customFormat="false" ht="15" hidden="false" customHeight="false" outlineLevel="0" collapsed="false">
      <c r="A172" s="45" t="s">
        <v>344</v>
      </c>
      <c r="B172" s="45" t="s">
        <v>1015</v>
      </c>
      <c r="C172" s="45" t="s">
        <v>1093</v>
      </c>
      <c r="D172" s="45" t="s">
        <v>345</v>
      </c>
      <c r="E172" s="45" t="n">
        <v>2</v>
      </c>
      <c r="F172" s="45" t="n">
        <v>16</v>
      </c>
      <c r="G172" s="45" t="n">
        <v>60</v>
      </c>
      <c r="H172" s="45" t="n">
        <v>0</v>
      </c>
      <c r="I172" s="45"/>
    </row>
    <row r="173" customFormat="false" ht="15" hidden="false" customHeight="false" outlineLevel="0" collapsed="false">
      <c r="A173" s="45" t="s">
        <v>344</v>
      </c>
      <c r="B173" s="45" t="s">
        <v>1015</v>
      </c>
      <c r="C173" s="45" t="s">
        <v>1093</v>
      </c>
      <c r="D173" s="45" t="s">
        <v>1094</v>
      </c>
      <c r="E173" s="45" t="n">
        <v>1.75</v>
      </c>
      <c r="F173" s="45"/>
      <c r="G173" s="45" t="n">
        <v>0</v>
      </c>
      <c r="H173" s="45" t="n">
        <v>0</v>
      </c>
      <c r="I173" s="45"/>
    </row>
    <row r="174" customFormat="false" ht="15" hidden="false" customHeight="false" outlineLevel="0" collapsed="false">
      <c r="A174" s="45" t="s">
        <v>1053</v>
      </c>
      <c r="B174" s="45" t="s">
        <v>1054</v>
      </c>
      <c r="C174" s="45" t="s">
        <v>1095</v>
      </c>
      <c r="D174" s="45" t="s">
        <v>364</v>
      </c>
      <c r="E174" s="45" t="n">
        <v>3.5</v>
      </c>
      <c r="F174" s="45"/>
      <c r="G174" s="45" t="n">
        <v>0</v>
      </c>
      <c r="H174" s="45" t="n">
        <v>0</v>
      </c>
      <c r="I174" s="45"/>
    </row>
    <row r="175" customFormat="false" ht="15" hidden="false" customHeight="false" outlineLevel="0" collapsed="false">
      <c r="A175" s="45" t="s">
        <v>1053</v>
      </c>
      <c r="B175" s="45" t="s">
        <v>1054</v>
      </c>
      <c r="C175" s="45" t="s">
        <v>1095</v>
      </c>
      <c r="D175" s="45" t="s">
        <v>470</v>
      </c>
      <c r="E175" s="45" t="n">
        <v>6.75</v>
      </c>
      <c r="F175" s="45" t="n">
        <v>29</v>
      </c>
      <c r="G175" s="45" t="n">
        <v>1615</v>
      </c>
      <c r="H175" s="45" t="n">
        <v>0</v>
      </c>
      <c r="I175" s="45"/>
    </row>
    <row r="176" customFormat="false" ht="15" hidden="false" customHeight="false" outlineLevel="0" collapsed="false">
      <c r="A176" s="45" t="s">
        <v>1027</v>
      </c>
      <c r="B176" s="45" t="s">
        <v>999</v>
      </c>
      <c r="C176" s="45" t="s">
        <v>1096</v>
      </c>
      <c r="D176" s="45" t="s">
        <v>272</v>
      </c>
      <c r="E176" s="45" t="n">
        <v>2.25</v>
      </c>
      <c r="F176" s="45" t="n">
        <v>12</v>
      </c>
      <c r="G176" s="45" t="n">
        <v>150</v>
      </c>
      <c r="H176" s="45" t="n">
        <v>0</v>
      </c>
      <c r="I176" s="45"/>
    </row>
    <row r="177" customFormat="false" ht="15" hidden="false" customHeight="false" outlineLevel="0" collapsed="false">
      <c r="A177" s="45" t="s">
        <v>1027</v>
      </c>
      <c r="B177" s="45" t="s">
        <v>999</v>
      </c>
      <c r="C177" s="45" t="s">
        <v>1096</v>
      </c>
      <c r="D177" s="45" t="s">
        <v>507</v>
      </c>
      <c r="E177" s="45" t="n">
        <v>1.75</v>
      </c>
      <c r="F177" s="45"/>
      <c r="G177" s="45" t="n">
        <v>0</v>
      </c>
      <c r="H177" s="45" t="n">
        <v>0</v>
      </c>
      <c r="I177" s="45"/>
    </row>
    <row r="178" customFormat="false" ht="15" hidden="false" customHeight="false" outlineLevel="0" collapsed="false">
      <c r="A178" s="45" t="s">
        <v>1010</v>
      </c>
      <c r="B178" s="45" t="s">
        <v>1011</v>
      </c>
      <c r="C178" s="45" t="s">
        <v>1097</v>
      </c>
      <c r="D178" s="45" t="s">
        <v>434</v>
      </c>
      <c r="E178" s="45" t="n">
        <v>4.75</v>
      </c>
      <c r="F178" s="45"/>
      <c r="G178" s="45" t="n">
        <v>0</v>
      </c>
      <c r="H178" s="45" t="n">
        <v>0</v>
      </c>
      <c r="I178" s="45"/>
    </row>
    <row r="179" customFormat="false" ht="15" hidden="false" customHeight="false" outlineLevel="0" collapsed="false">
      <c r="A179" s="45" t="s">
        <v>1010</v>
      </c>
      <c r="B179" s="45" t="s">
        <v>1011</v>
      </c>
      <c r="C179" s="45" t="s">
        <v>1097</v>
      </c>
      <c r="D179" s="45" t="s">
        <v>842</v>
      </c>
      <c r="E179" s="45" t="n">
        <v>4.75</v>
      </c>
      <c r="F179" s="45"/>
      <c r="G179" s="45" t="n">
        <v>0</v>
      </c>
      <c r="H179" s="45" t="n">
        <v>0</v>
      </c>
      <c r="I179" s="45"/>
    </row>
    <row r="180" customFormat="false" ht="15" hidden="false" customHeight="false" outlineLevel="0" collapsed="false">
      <c r="A180" s="45" t="s">
        <v>1010</v>
      </c>
      <c r="B180" s="45" t="s">
        <v>1011</v>
      </c>
      <c r="C180" s="45" t="s">
        <v>1097</v>
      </c>
      <c r="D180" s="45" t="s">
        <v>423</v>
      </c>
      <c r="E180" s="45" t="n">
        <v>5</v>
      </c>
      <c r="F180" s="45" t="n">
        <v>52</v>
      </c>
      <c r="G180" s="45" t="n">
        <v>455</v>
      </c>
      <c r="H180" s="45" t="n">
        <v>0</v>
      </c>
      <c r="I180" s="45"/>
    </row>
    <row r="181" customFormat="false" ht="15" hidden="false" customHeight="false" outlineLevel="0" collapsed="false">
      <c r="A181" s="45" t="s">
        <v>1005</v>
      </c>
      <c r="B181" s="45" t="s">
        <v>1006</v>
      </c>
      <c r="C181" s="45" t="s">
        <v>1097</v>
      </c>
      <c r="D181" s="45" t="s">
        <v>256</v>
      </c>
      <c r="E181" s="45" t="n">
        <v>7.5</v>
      </c>
      <c r="F181" s="45" t="n">
        <v>60</v>
      </c>
      <c r="G181" s="45" t="n">
        <v>3595</v>
      </c>
      <c r="H181" s="45" t="n">
        <v>0</v>
      </c>
      <c r="I181" s="45"/>
    </row>
    <row r="182" customFormat="false" ht="15" hidden="false" customHeight="false" outlineLevel="0" collapsed="false">
      <c r="A182" s="45" t="s">
        <v>1014</v>
      </c>
      <c r="B182" s="45" t="s">
        <v>1015</v>
      </c>
      <c r="C182" s="45" t="s">
        <v>1098</v>
      </c>
      <c r="D182" s="45" t="s">
        <v>383</v>
      </c>
      <c r="E182" s="45" t="n">
        <v>53.5</v>
      </c>
      <c r="F182" s="45"/>
      <c r="G182" s="45" t="n">
        <v>0</v>
      </c>
      <c r="H182" s="45" t="n">
        <v>0</v>
      </c>
      <c r="I182" s="45"/>
    </row>
    <row r="183" customFormat="false" ht="15" hidden="false" customHeight="false" outlineLevel="0" collapsed="false">
      <c r="A183" s="45" t="s">
        <v>1014</v>
      </c>
      <c r="B183" s="45" t="s">
        <v>1015</v>
      </c>
      <c r="C183" s="45" t="s">
        <v>1098</v>
      </c>
      <c r="D183" s="45" t="s">
        <v>283</v>
      </c>
      <c r="E183" s="45" t="n">
        <v>20.5</v>
      </c>
      <c r="F183" s="45" t="n">
        <v>86</v>
      </c>
      <c r="G183" s="45" t="n">
        <v>17820</v>
      </c>
      <c r="H183" s="45" t="n">
        <v>0</v>
      </c>
      <c r="I183" s="45"/>
    </row>
    <row r="184" customFormat="false" ht="15" hidden="false" customHeight="false" outlineLevel="0" collapsed="false">
      <c r="A184" s="45" t="s">
        <v>1017</v>
      </c>
      <c r="B184" s="45" t="s">
        <v>1018</v>
      </c>
      <c r="C184" s="45" t="s">
        <v>1098</v>
      </c>
      <c r="D184" s="45" t="s">
        <v>702</v>
      </c>
      <c r="E184" s="45" t="n">
        <v>35</v>
      </c>
      <c r="F184" s="45"/>
      <c r="G184" s="45" t="n">
        <v>0</v>
      </c>
      <c r="H184" s="45" t="n">
        <v>0</v>
      </c>
      <c r="I184" s="45"/>
    </row>
    <row r="185" customFormat="false" ht="15" hidden="false" customHeight="false" outlineLevel="0" collapsed="false">
      <c r="A185" s="45" t="s">
        <v>1017</v>
      </c>
      <c r="B185" s="45" t="s">
        <v>1018</v>
      </c>
      <c r="C185" s="45" t="s">
        <v>1098</v>
      </c>
      <c r="D185" s="45" t="s">
        <v>331</v>
      </c>
      <c r="E185" s="45" t="n">
        <v>64.5</v>
      </c>
      <c r="F185" s="45"/>
      <c r="G185" s="45" t="n">
        <v>710</v>
      </c>
      <c r="H185" s="45" t="n">
        <v>0</v>
      </c>
      <c r="I185" s="45"/>
    </row>
    <row r="186" customFormat="false" ht="15" hidden="false" customHeight="false" outlineLevel="0" collapsed="false">
      <c r="A186" s="45" t="s">
        <v>1020</v>
      </c>
      <c r="B186" s="45" t="s">
        <v>1011</v>
      </c>
      <c r="C186" s="45" t="s">
        <v>1098</v>
      </c>
      <c r="D186" s="45" t="s">
        <v>456</v>
      </c>
      <c r="E186" s="45" t="n">
        <v>91.25</v>
      </c>
      <c r="F186" s="45" t="n">
        <v>40</v>
      </c>
      <c r="G186" s="45" t="n">
        <v>795</v>
      </c>
      <c r="H186" s="45" t="n">
        <v>0</v>
      </c>
      <c r="I186" s="45"/>
    </row>
    <row r="187" customFormat="false" ht="15" hidden="false" customHeight="false" outlineLevel="0" collapsed="false">
      <c r="A187" s="45" t="s">
        <v>1021</v>
      </c>
      <c r="B187" s="45" t="s">
        <v>1022</v>
      </c>
      <c r="C187" s="45" t="s">
        <v>1098</v>
      </c>
      <c r="D187" s="45" t="s">
        <v>364</v>
      </c>
      <c r="E187" s="45" t="n">
        <v>108</v>
      </c>
      <c r="F187" s="45" t="n">
        <v>33</v>
      </c>
      <c r="G187" s="45" t="n">
        <v>435</v>
      </c>
      <c r="H187" s="45" t="n">
        <v>0</v>
      </c>
      <c r="I187" s="45"/>
    </row>
    <row r="188" customFormat="false" ht="15" hidden="false" customHeight="false" outlineLevel="0" collapsed="false">
      <c r="A188" s="45" t="s">
        <v>1021</v>
      </c>
      <c r="B188" s="45" t="s">
        <v>1022</v>
      </c>
      <c r="C188" s="45" t="s">
        <v>1098</v>
      </c>
      <c r="D188" s="45" t="s">
        <v>335</v>
      </c>
      <c r="E188" s="45" t="n">
        <v>144.25</v>
      </c>
      <c r="F188" s="45"/>
      <c r="G188" s="45" t="n">
        <v>0</v>
      </c>
      <c r="H188" s="45" t="n">
        <v>0</v>
      </c>
      <c r="I188" s="45"/>
    </row>
    <row r="189" customFormat="false" ht="15" hidden="false" customHeight="false" outlineLevel="0" collapsed="false">
      <c r="A189" s="45" t="s">
        <v>1040</v>
      </c>
      <c r="B189" s="45" t="s">
        <v>1041</v>
      </c>
      <c r="C189" s="45" t="s">
        <v>1099</v>
      </c>
      <c r="D189" s="45" t="s">
        <v>444</v>
      </c>
      <c r="E189" s="45" t="n">
        <v>0</v>
      </c>
      <c r="F189" s="45"/>
      <c r="G189" s="45" t="n">
        <v>7470</v>
      </c>
      <c r="H189" s="45" t="n">
        <v>0</v>
      </c>
      <c r="I189" s="45"/>
    </row>
    <row r="190" customFormat="false" ht="15" hidden="false" customHeight="false" outlineLevel="0" collapsed="false">
      <c r="A190" s="45" t="s">
        <v>1027</v>
      </c>
      <c r="B190" s="45" t="s">
        <v>999</v>
      </c>
      <c r="C190" s="45" t="s">
        <v>1100</v>
      </c>
      <c r="D190" s="45" t="s">
        <v>263</v>
      </c>
      <c r="E190" s="45" t="n">
        <v>2.25</v>
      </c>
      <c r="F190" s="45" t="n">
        <v>12</v>
      </c>
      <c r="G190" s="45" t="n">
        <v>75</v>
      </c>
      <c r="H190" s="45" t="n">
        <v>0</v>
      </c>
      <c r="I190" s="45"/>
    </row>
    <row r="191" customFormat="false" ht="15" hidden="false" customHeight="false" outlineLevel="0" collapsed="false">
      <c r="A191" s="45" t="s">
        <v>1027</v>
      </c>
      <c r="B191" s="45" t="s">
        <v>999</v>
      </c>
      <c r="C191" s="45" t="s">
        <v>1100</v>
      </c>
      <c r="D191" s="45" t="s">
        <v>507</v>
      </c>
      <c r="E191" s="45" t="n">
        <v>2</v>
      </c>
      <c r="F191" s="45"/>
      <c r="G191" s="45" t="n">
        <v>0</v>
      </c>
      <c r="H191" s="45" t="n">
        <v>0</v>
      </c>
      <c r="I191" s="45"/>
    </row>
    <row r="192" customFormat="false" ht="15" hidden="false" customHeight="false" outlineLevel="0" collapsed="false">
      <c r="A192" s="45" t="s">
        <v>1008</v>
      </c>
      <c r="B192" s="45" t="s">
        <v>999</v>
      </c>
      <c r="C192" s="45" t="s">
        <v>1101</v>
      </c>
      <c r="D192" s="45" t="s">
        <v>343</v>
      </c>
      <c r="E192" s="45" t="n">
        <v>2</v>
      </c>
      <c r="F192" s="45" t="n">
        <v>8</v>
      </c>
      <c r="G192" s="45" t="n">
        <v>190</v>
      </c>
      <c r="H192" s="45" t="n">
        <v>0</v>
      </c>
      <c r="I192" s="45"/>
    </row>
    <row r="193" customFormat="false" ht="15" hidden="false" customHeight="false" outlineLevel="0" collapsed="false">
      <c r="A193" s="45" t="s">
        <v>1008</v>
      </c>
      <c r="B193" s="45" t="s">
        <v>999</v>
      </c>
      <c r="C193" s="45" t="s">
        <v>1102</v>
      </c>
      <c r="D193" s="45" t="s">
        <v>343</v>
      </c>
      <c r="E193" s="45" t="n">
        <v>2</v>
      </c>
      <c r="F193" s="45" t="n">
        <v>11</v>
      </c>
      <c r="G193" s="45" t="n">
        <v>95</v>
      </c>
      <c r="H193" s="45" t="n">
        <v>0</v>
      </c>
      <c r="I193" s="45"/>
    </row>
    <row r="194" customFormat="false" ht="15" hidden="false" customHeight="false" outlineLevel="0" collapsed="false">
      <c r="A194" s="45" t="s">
        <v>1103</v>
      </c>
      <c r="B194" s="45" t="s">
        <v>999</v>
      </c>
      <c r="C194" s="45" t="s">
        <v>1104</v>
      </c>
      <c r="D194" s="45" t="s">
        <v>267</v>
      </c>
      <c r="E194" s="45" t="n">
        <v>6</v>
      </c>
      <c r="F194" s="45" t="n">
        <v>192</v>
      </c>
      <c r="G194" s="45" t="n">
        <v>1400</v>
      </c>
      <c r="H194" s="45" t="n">
        <v>0</v>
      </c>
      <c r="I194" s="45"/>
    </row>
    <row r="195" customFormat="false" ht="15" hidden="false" customHeight="false" outlineLevel="0" collapsed="false">
      <c r="A195" s="45" t="s">
        <v>1103</v>
      </c>
      <c r="B195" s="45" t="s">
        <v>999</v>
      </c>
      <c r="C195" s="45" t="s">
        <v>1104</v>
      </c>
      <c r="D195" s="45" t="s">
        <v>340</v>
      </c>
      <c r="E195" s="45" t="n">
        <v>6</v>
      </c>
      <c r="F195" s="45"/>
      <c r="G195" s="45" t="n">
        <v>0</v>
      </c>
      <c r="H195" s="45" t="n">
        <v>0</v>
      </c>
      <c r="I195" s="45"/>
    </row>
    <row r="196" customFormat="false" ht="15" hidden="false" customHeight="false" outlineLevel="0" collapsed="false">
      <c r="A196" s="45" t="s">
        <v>998</v>
      </c>
      <c r="B196" s="45" t="s">
        <v>999</v>
      </c>
      <c r="C196" s="45" t="s">
        <v>1105</v>
      </c>
      <c r="D196" s="45" t="s">
        <v>391</v>
      </c>
      <c r="E196" s="45" t="n">
        <v>2</v>
      </c>
      <c r="F196" s="45" t="n">
        <v>15</v>
      </c>
      <c r="G196" s="45" t="n">
        <v>95</v>
      </c>
      <c r="H196" s="45" t="n">
        <v>0</v>
      </c>
      <c r="I196" s="45"/>
    </row>
    <row r="197" customFormat="false" ht="15" hidden="false" customHeight="false" outlineLevel="0" collapsed="false">
      <c r="A197" s="45" t="s">
        <v>1046</v>
      </c>
      <c r="B197" s="45" t="s">
        <v>999</v>
      </c>
      <c r="C197" s="45" t="s">
        <v>1106</v>
      </c>
      <c r="D197" s="45" t="s">
        <v>413</v>
      </c>
      <c r="E197" s="45" t="n">
        <v>3.5</v>
      </c>
      <c r="F197" s="45" t="n">
        <v>14</v>
      </c>
      <c r="G197" s="45" t="n">
        <v>170</v>
      </c>
      <c r="H197" s="45" t="n">
        <v>280</v>
      </c>
      <c r="I197" s="45"/>
    </row>
    <row r="198" customFormat="false" ht="15" hidden="false" customHeight="false" outlineLevel="0" collapsed="false">
      <c r="A198" s="45" t="s">
        <v>344</v>
      </c>
      <c r="B198" s="45" t="s">
        <v>1015</v>
      </c>
      <c r="C198" s="45" t="s">
        <v>1107</v>
      </c>
      <c r="D198" s="45" t="s">
        <v>394</v>
      </c>
      <c r="E198" s="45" t="n">
        <v>2</v>
      </c>
      <c r="F198" s="45" t="n">
        <v>11</v>
      </c>
      <c r="G198" s="45" t="n">
        <v>25</v>
      </c>
      <c r="H198" s="45" t="n">
        <v>0</v>
      </c>
      <c r="I198" s="45"/>
    </row>
    <row r="199" customFormat="false" ht="15" hidden="false" customHeight="false" outlineLevel="0" collapsed="false">
      <c r="A199" s="45" t="s">
        <v>344</v>
      </c>
      <c r="B199" s="45" t="s">
        <v>1015</v>
      </c>
      <c r="C199" s="45" t="s">
        <v>1107</v>
      </c>
      <c r="D199" s="45" t="s">
        <v>252</v>
      </c>
      <c r="E199" s="45" t="n">
        <v>1.5</v>
      </c>
      <c r="F199" s="45"/>
      <c r="G199" s="45" t="n">
        <v>0</v>
      </c>
      <c r="H199" s="45" t="n">
        <v>0</v>
      </c>
      <c r="I199" s="45"/>
    </row>
    <row r="200" customFormat="false" ht="15" hidden="false" customHeight="false" outlineLevel="0" collapsed="false">
      <c r="A200" s="45" t="s">
        <v>998</v>
      </c>
      <c r="B200" s="45" t="s">
        <v>999</v>
      </c>
      <c r="C200" s="45" t="s">
        <v>1108</v>
      </c>
      <c r="D200" s="45" t="s">
        <v>467</v>
      </c>
      <c r="E200" s="45" t="n">
        <v>2</v>
      </c>
      <c r="F200" s="45" t="n">
        <v>11</v>
      </c>
      <c r="G200" s="45" t="n">
        <v>70</v>
      </c>
      <c r="H200" s="45" t="n">
        <v>0</v>
      </c>
      <c r="I200" s="45"/>
    </row>
    <row r="201" customFormat="false" ht="15" hidden="false" customHeight="false" outlineLevel="0" collapsed="false">
      <c r="A201" s="45" t="s">
        <v>1053</v>
      </c>
      <c r="B201" s="45" t="s">
        <v>1054</v>
      </c>
      <c r="C201" s="45" t="s">
        <v>1109</v>
      </c>
      <c r="D201" s="45" t="s">
        <v>1110</v>
      </c>
      <c r="E201" s="45" t="n">
        <v>3.25</v>
      </c>
      <c r="F201" s="45"/>
      <c r="G201" s="45" t="n">
        <v>0</v>
      </c>
      <c r="H201" s="45" t="n">
        <v>0</v>
      </c>
      <c r="I201" s="45"/>
    </row>
    <row r="202" customFormat="false" ht="15" hidden="false" customHeight="false" outlineLevel="0" collapsed="false">
      <c r="A202" s="45" t="s">
        <v>1053</v>
      </c>
      <c r="B202" s="45" t="s">
        <v>1054</v>
      </c>
      <c r="C202" s="45" t="s">
        <v>1109</v>
      </c>
      <c r="D202" s="45" t="s">
        <v>470</v>
      </c>
      <c r="E202" s="45" t="n">
        <v>7.25</v>
      </c>
      <c r="F202" s="45" t="n">
        <v>18</v>
      </c>
      <c r="G202" s="45" t="n">
        <v>530</v>
      </c>
      <c r="H202" s="45" t="n">
        <v>0</v>
      </c>
      <c r="I202" s="45"/>
    </row>
    <row r="203" customFormat="false" ht="15" hidden="false" customHeight="false" outlineLevel="0" collapsed="false">
      <c r="A203" s="45" t="s">
        <v>1005</v>
      </c>
      <c r="B203" s="45" t="s">
        <v>1006</v>
      </c>
      <c r="C203" s="45" t="s">
        <v>1109</v>
      </c>
      <c r="D203" s="45" t="s">
        <v>404</v>
      </c>
      <c r="E203" s="45" t="n">
        <v>6.75</v>
      </c>
      <c r="F203" s="45" t="n">
        <v>45</v>
      </c>
      <c r="G203" s="45" t="n">
        <v>2490</v>
      </c>
      <c r="H203" s="45" t="n">
        <v>0</v>
      </c>
      <c r="I203" s="45"/>
    </row>
    <row r="204" customFormat="false" ht="15" hidden="false" customHeight="false" outlineLevel="0" collapsed="false">
      <c r="A204" s="45" t="s">
        <v>1014</v>
      </c>
      <c r="B204" s="45" t="s">
        <v>1015</v>
      </c>
      <c r="C204" s="45" t="s">
        <v>1111</v>
      </c>
      <c r="D204" s="45" t="s">
        <v>329</v>
      </c>
      <c r="E204" s="45" t="n">
        <v>58</v>
      </c>
      <c r="F204" s="45"/>
      <c r="G204" s="45" t="n">
        <v>0</v>
      </c>
      <c r="H204" s="45" t="n">
        <v>0</v>
      </c>
      <c r="I204" s="45"/>
    </row>
    <row r="205" customFormat="false" ht="15" hidden="false" customHeight="false" outlineLevel="0" collapsed="false">
      <c r="A205" s="45" t="s">
        <v>1014</v>
      </c>
      <c r="B205" s="45" t="s">
        <v>1015</v>
      </c>
      <c r="C205" s="45" t="s">
        <v>1111</v>
      </c>
      <c r="D205" s="45" t="s">
        <v>400</v>
      </c>
      <c r="E205" s="45" t="n">
        <v>16.75</v>
      </c>
      <c r="F205" s="45" t="n">
        <v>99</v>
      </c>
      <c r="G205" s="45" t="n">
        <v>12240</v>
      </c>
      <c r="H205" s="45" t="n">
        <v>0</v>
      </c>
      <c r="I205" s="45"/>
    </row>
    <row r="206" customFormat="false" ht="15" hidden="false" customHeight="false" outlineLevel="0" collapsed="false">
      <c r="A206" s="45" t="s">
        <v>1017</v>
      </c>
      <c r="B206" s="45" t="s">
        <v>1018</v>
      </c>
      <c r="C206" s="45" t="s">
        <v>1111</v>
      </c>
      <c r="D206" s="45" t="s">
        <v>1112</v>
      </c>
      <c r="E206" s="45" t="n">
        <v>46.75</v>
      </c>
      <c r="F206" s="45"/>
      <c r="G206" s="45" t="n">
        <v>0</v>
      </c>
      <c r="H206" s="45" t="n">
        <v>0</v>
      </c>
      <c r="I206" s="45"/>
    </row>
    <row r="207" customFormat="false" ht="15" hidden="false" customHeight="false" outlineLevel="0" collapsed="false">
      <c r="A207" s="45" t="s">
        <v>1017</v>
      </c>
      <c r="B207" s="45" t="s">
        <v>1018</v>
      </c>
      <c r="C207" s="45" t="s">
        <v>1111</v>
      </c>
      <c r="D207" s="45" t="s">
        <v>313</v>
      </c>
      <c r="E207" s="45" t="n">
        <v>67.5</v>
      </c>
      <c r="F207" s="45"/>
      <c r="G207" s="45" t="n">
        <v>505</v>
      </c>
      <c r="H207" s="45" t="n">
        <v>0</v>
      </c>
      <c r="I207" s="45"/>
    </row>
    <row r="208" customFormat="false" ht="15" hidden="false" customHeight="false" outlineLevel="0" collapsed="false">
      <c r="A208" s="45" t="s">
        <v>1020</v>
      </c>
      <c r="B208" s="45" t="s">
        <v>1011</v>
      </c>
      <c r="C208" s="45" t="s">
        <v>1111</v>
      </c>
      <c r="D208" s="45" t="s">
        <v>571</v>
      </c>
      <c r="E208" s="45" t="n">
        <v>83.75</v>
      </c>
      <c r="F208" s="45" t="n">
        <v>55</v>
      </c>
      <c r="G208" s="45" t="n">
        <v>1075</v>
      </c>
      <c r="H208" s="45" t="n">
        <v>0</v>
      </c>
      <c r="I208" s="45"/>
    </row>
    <row r="209" customFormat="false" ht="15" hidden="false" customHeight="false" outlineLevel="0" collapsed="false">
      <c r="A209" s="45" t="s">
        <v>1021</v>
      </c>
      <c r="B209" s="45" t="s">
        <v>1022</v>
      </c>
      <c r="C209" s="45" t="s">
        <v>1111</v>
      </c>
      <c r="D209" s="45" t="s">
        <v>387</v>
      </c>
      <c r="E209" s="45" t="n">
        <v>85</v>
      </c>
      <c r="F209" s="45" t="n">
        <v>37</v>
      </c>
      <c r="G209" s="45" t="n">
        <v>350</v>
      </c>
      <c r="H209" s="45" t="n">
        <v>0</v>
      </c>
      <c r="I209" s="45"/>
    </row>
    <row r="210" customFormat="false" ht="15" hidden="false" customHeight="false" outlineLevel="0" collapsed="false">
      <c r="A210" s="45" t="s">
        <v>1021</v>
      </c>
      <c r="B210" s="45" t="s">
        <v>1022</v>
      </c>
      <c r="C210" s="45" t="s">
        <v>1111</v>
      </c>
      <c r="D210" s="45" t="s">
        <v>340</v>
      </c>
      <c r="E210" s="45" t="n">
        <v>217</v>
      </c>
      <c r="F210" s="45"/>
      <c r="G210" s="45" t="n">
        <v>0</v>
      </c>
      <c r="H210" s="45" t="n">
        <v>0</v>
      </c>
      <c r="I210" s="45"/>
    </row>
    <row r="211" customFormat="false" ht="15" hidden="false" customHeight="false" outlineLevel="0" collapsed="false">
      <c r="A211" s="45" t="s">
        <v>1008</v>
      </c>
      <c r="B211" s="45" t="s">
        <v>999</v>
      </c>
      <c r="C211" s="45" t="s">
        <v>1113</v>
      </c>
      <c r="D211" s="45" t="s">
        <v>581</v>
      </c>
      <c r="E211" s="45" t="n">
        <v>2</v>
      </c>
      <c r="F211" s="45" t="n">
        <v>10</v>
      </c>
      <c r="G211" s="45" t="n">
        <v>150</v>
      </c>
      <c r="H211" s="45" t="n">
        <v>0</v>
      </c>
      <c r="I211" s="45"/>
    </row>
    <row r="212" customFormat="false" ht="15" hidden="false" customHeight="false" outlineLevel="0" collapsed="false">
      <c r="A212" s="45" t="s">
        <v>1027</v>
      </c>
      <c r="B212" s="45" t="s">
        <v>999</v>
      </c>
      <c r="C212" s="45" t="s">
        <v>1114</v>
      </c>
      <c r="D212" s="45" t="s">
        <v>816</v>
      </c>
      <c r="E212" s="45" t="n">
        <v>2.5</v>
      </c>
      <c r="F212" s="45" t="n">
        <v>14</v>
      </c>
      <c r="G212" s="45" t="n">
        <v>75</v>
      </c>
      <c r="H212" s="45" t="n">
        <v>0</v>
      </c>
      <c r="I212" s="45"/>
    </row>
    <row r="213" customFormat="false" ht="15" hidden="false" customHeight="false" outlineLevel="0" collapsed="false">
      <c r="A213" s="45" t="s">
        <v>1027</v>
      </c>
      <c r="B213" s="45" t="s">
        <v>999</v>
      </c>
      <c r="C213" s="45" t="s">
        <v>1114</v>
      </c>
      <c r="D213" s="45" t="s">
        <v>1115</v>
      </c>
      <c r="E213" s="45" t="n">
        <v>1.5</v>
      </c>
      <c r="F213" s="45"/>
      <c r="G213" s="45" t="n">
        <v>0</v>
      </c>
      <c r="H213" s="45" t="n">
        <v>0</v>
      </c>
      <c r="I213" s="45"/>
    </row>
    <row r="214" customFormat="false" ht="15" hidden="false" customHeight="false" outlineLevel="0" collapsed="false">
      <c r="A214" s="45" t="s">
        <v>1046</v>
      </c>
      <c r="B214" s="45" t="s">
        <v>999</v>
      </c>
      <c r="C214" s="45" t="s">
        <v>1116</v>
      </c>
      <c r="D214" s="45" t="s">
        <v>364</v>
      </c>
      <c r="E214" s="45" t="n">
        <v>3.25</v>
      </c>
      <c r="F214" s="45" t="n">
        <v>14</v>
      </c>
      <c r="G214" s="45" t="n">
        <v>145</v>
      </c>
      <c r="H214" s="45" t="n">
        <v>0</v>
      </c>
      <c r="I214" s="45"/>
    </row>
    <row r="215" customFormat="false" ht="15" hidden="false" customHeight="false" outlineLevel="0" collapsed="false">
      <c r="A215" s="45" t="s">
        <v>344</v>
      </c>
      <c r="B215" s="45" t="s">
        <v>1015</v>
      </c>
      <c r="C215" s="45" t="s">
        <v>1117</v>
      </c>
      <c r="D215" s="45" t="s">
        <v>348</v>
      </c>
      <c r="E215" s="45" t="n">
        <v>2.25</v>
      </c>
      <c r="F215" s="45" t="n">
        <v>6</v>
      </c>
      <c r="G215" s="45" t="n">
        <v>45</v>
      </c>
      <c r="H215" s="45" t="n">
        <v>0</v>
      </c>
      <c r="I215" s="45"/>
    </row>
    <row r="216" customFormat="false" ht="15" hidden="false" customHeight="false" outlineLevel="0" collapsed="false">
      <c r="A216" s="45" t="s">
        <v>344</v>
      </c>
      <c r="B216" s="45" t="s">
        <v>1015</v>
      </c>
      <c r="C216" s="45" t="s">
        <v>1117</v>
      </c>
      <c r="D216" s="45" t="s">
        <v>349</v>
      </c>
      <c r="E216" s="45" t="n">
        <v>1.75</v>
      </c>
      <c r="F216" s="45"/>
      <c r="G216" s="45" t="n">
        <v>0</v>
      </c>
      <c r="H216" s="45" t="n">
        <v>0</v>
      </c>
      <c r="I216" s="45"/>
    </row>
    <row r="217" customFormat="false" ht="15" hidden="false" customHeight="false" outlineLevel="0" collapsed="false">
      <c r="A217" s="45" t="s">
        <v>1008</v>
      </c>
      <c r="B217" s="45" t="s">
        <v>999</v>
      </c>
      <c r="C217" s="45" t="s">
        <v>1118</v>
      </c>
      <c r="D217" s="45" t="s">
        <v>343</v>
      </c>
      <c r="E217" s="45" t="n">
        <v>2</v>
      </c>
      <c r="F217" s="45" t="n">
        <v>10</v>
      </c>
      <c r="G217" s="45" t="n">
        <v>95</v>
      </c>
      <c r="H217" s="45" t="n">
        <v>0</v>
      </c>
      <c r="I217" s="45"/>
    </row>
    <row r="218" customFormat="false" ht="15" hidden="false" customHeight="false" outlineLevel="0" collapsed="false">
      <c r="A218" s="45" t="s">
        <v>1014</v>
      </c>
      <c r="B218" s="45" t="s">
        <v>1015</v>
      </c>
      <c r="C218" s="45" t="s">
        <v>1119</v>
      </c>
      <c r="D218" s="45" t="s">
        <v>448</v>
      </c>
      <c r="E218" s="45" t="n">
        <v>68</v>
      </c>
      <c r="F218" s="45"/>
      <c r="G218" s="45" t="n">
        <v>0</v>
      </c>
      <c r="H218" s="45" t="n">
        <v>0</v>
      </c>
      <c r="I218" s="45"/>
    </row>
    <row r="219" customFormat="false" ht="15" hidden="false" customHeight="false" outlineLevel="0" collapsed="false">
      <c r="A219" s="45" t="s">
        <v>1014</v>
      </c>
      <c r="B219" s="45" t="s">
        <v>1015</v>
      </c>
      <c r="C219" s="45" t="s">
        <v>1119</v>
      </c>
      <c r="D219" s="45" t="s">
        <v>283</v>
      </c>
      <c r="E219" s="45" t="n">
        <v>19</v>
      </c>
      <c r="F219" s="45" t="n">
        <v>102</v>
      </c>
      <c r="G219" s="45" t="n">
        <v>14670</v>
      </c>
      <c r="H219" s="45" t="n">
        <v>0</v>
      </c>
      <c r="I219" s="45"/>
    </row>
    <row r="220" customFormat="false" ht="15" hidden="false" customHeight="false" outlineLevel="0" collapsed="false">
      <c r="A220" s="45" t="s">
        <v>1017</v>
      </c>
      <c r="B220" s="45" t="s">
        <v>1018</v>
      </c>
      <c r="C220" s="45" t="s">
        <v>1119</v>
      </c>
      <c r="D220" s="45" t="s">
        <v>450</v>
      </c>
      <c r="E220" s="45" t="n">
        <v>33</v>
      </c>
      <c r="F220" s="45"/>
      <c r="G220" s="45" t="n">
        <v>0</v>
      </c>
      <c r="H220" s="45" t="n">
        <v>0</v>
      </c>
      <c r="I220" s="45"/>
    </row>
    <row r="221" customFormat="false" ht="15" hidden="false" customHeight="false" outlineLevel="0" collapsed="false">
      <c r="A221" s="45" t="s">
        <v>1017</v>
      </c>
      <c r="B221" s="45" t="s">
        <v>1018</v>
      </c>
      <c r="C221" s="45" t="s">
        <v>1119</v>
      </c>
      <c r="D221" s="45" t="s">
        <v>363</v>
      </c>
      <c r="E221" s="45" t="n">
        <v>53.75</v>
      </c>
      <c r="F221" s="45"/>
      <c r="G221" s="45" t="n">
        <v>665</v>
      </c>
      <c r="H221" s="45" t="n">
        <v>0</v>
      </c>
      <c r="I221" s="45"/>
    </row>
    <row r="222" customFormat="false" ht="15" hidden="false" customHeight="false" outlineLevel="0" collapsed="false">
      <c r="A222" s="45" t="s">
        <v>1020</v>
      </c>
      <c r="B222" s="45" t="s">
        <v>1011</v>
      </c>
      <c r="C222" s="45" t="s">
        <v>1119</v>
      </c>
      <c r="D222" s="45" t="s">
        <v>532</v>
      </c>
      <c r="E222" s="45" t="n">
        <v>68.5</v>
      </c>
      <c r="F222" s="45" t="n">
        <v>69</v>
      </c>
      <c r="G222" s="45" t="n">
        <v>560</v>
      </c>
      <c r="H222" s="45" t="n">
        <v>0</v>
      </c>
      <c r="I222" s="45"/>
    </row>
    <row r="223" customFormat="false" ht="15" hidden="false" customHeight="false" outlineLevel="0" collapsed="false">
      <c r="A223" s="45" t="s">
        <v>1021</v>
      </c>
      <c r="B223" s="45" t="s">
        <v>1022</v>
      </c>
      <c r="C223" s="45" t="s">
        <v>1119</v>
      </c>
      <c r="D223" s="45" t="s">
        <v>255</v>
      </c>
      <c r="E223" s="45" t="n">
        <v>122.25</v>
      </c>
      <c r="F223" s="45" t="n">
        <v>15</v>
      </c>
      <c r="G223" s="45" t="n">
        <v>655</v>
      </c>
      <c r="H223" s="45" t="n">
        <v>0</v>
      </c>
      <c r="I223" s="45"/>
    </row>
    <row r="224" customFormat="false" ht="15" hidden="false" customHeight="false" outlineLevel="0" collapsed="false">
      <c r="A224" s="45" t="s">
        <v>1021</v>
      </c>
      <c r="B224" s="45" t="s">
        <v>1022</v>
      </c>
      <c r="C224" s="45" t="s">
        <v>1119</v>
      </c>
      <c r="D224" s="45" t="s">
        <v>398</v>
      </c>
      <c r="E224" s="45" t="n">
        <v>220.5</v>
      </c>
      <c r="F224" s="45"/>
      <c r="G224" s="45" t="n">
        <v>0</v>
      </c>
      <c r="H224" s="45" t="n">
        <v>0</v>
      </c>
      <c r="I224" s="45"/>
    </row>
    <row r="225" customFormat="false" ht="15" hidden="false" customHeight="false" outlineLevel="0" collapsed="false">
      <c r="A225" s="45" t="s">
        <v>1046</v>
      </c>
      <c r="B225" s="45" t="s">
        <v>999</v>
      </c>
      <c r="C225" s="45" t="s">
        <v>1120</v>
      </c>
      <c r="D225" s="45" t="s">
        <v>1121</v>
      </c>
      <c r="E225" s="45" t="n">
        <v>3.25</v>
      </c>
      <c r="F225" s="45" t="n">
        <v>16</v>
      </c>
      <c r="G225" s="45" t="n">
        <v>185</v>
      </c>
      <c r="H225" s="45" t="n">
        <v>320</v>
      </c>
      <c r="I225" s="45"/>
    </row>
    <row r="226" customFormat="false" ht="15" hidden="false" customHeight="false" outlineLevel="0" collapsed="false">
      <c r="A226" s="45" t="s">
        <v>1122</v>
      </c>
      <c r="B226" s="45" t="s">
        <v>1022</v>
      </c>
      <c r="C226" s="45" t="s">
        <v>1123</v>
      </c>
      <c r="D226" s="45" t="s">
        <v>255</v>
      </c>
      <c r="E226" s="45" t="n">
        <v>7.25</v>
      </c>
      <c r="F226" s="45" t="n">
        <v>39</v>
      </c>
      <c r="G226" s="45" t="n">
        <v>955</v>
      </c>
      <c r="H226" s="45" t="n">
        <v>0</v>
      </c>
      <c r="I226" s="45"/>
    </row>
    <row r="227" customFormat="false" ht="15" hidden="false" customHeight="false" outlineLevel="0" collapsed="false">
      <c r="A227" s="45" t="s">
        <v>1122</v>
      </c>
      <c r="B227" s="45" t="s">
        <v>1022</v>
      </c>
      <c r="C227" s="45" t="s">
        <v>1123</v>
      </c>
      <c r="D227" s="45" t="s">
        <v>470</v>
      </c>
      <c r="E227" s="45" t="n">
        <v>7.5</v>
      </c>
      <c r="F227" s="45"/>
      <c r="G227" s="45" t="n">
        <v>0</v>
      </c>
      <c r="H227" s="45" t="n">
        <v>0</v>
      </c>
      <c r="I227" s="45"/>
    </row>
    <row r="228" customFormat="false" ht="15" hidden="false" customHeight="false" outlineLevel="0" collapsed="false">
      <c r="A228" s="45" t="s">
        <v>1122</v>
      </c>
      <c r="B228" s="45" t="s">
        <v>1022</v>
      </c>
      <c r="C228" s="45" t="s">
        <v>1124</v>
      </c>
      <c r="D228" s="45" t="s">
        <v>413</v>
      </c>
      <c r="E228" s="45" t="n">
        <v>7</v>
      </c>
      <c r="F228" s="45" t="n">
        <v>27</v>
      </c>
      <c r="G228" s="45" t="n">
        <v>1185</v>
      </c>
      <c r="H228" s="45" t="n">
        <v>0</v>
      </c>
      <c r="I228" s="45"/>
    </row>
    <row r="229" customFormat="false" ht="15" hidden="false" customHeight="false" outlineLevel="0" collapsed="false">
      <c r="A229" s="45" t="s">
        <v>1122</v>
      </c>
      <c r="B229" s="45" t="s">
        <v>1022</v>
      </c>
      <c r="C229" s="45" t="s">
        <v>1124</v>
      </c>
      <c r="D229" s="45" t="s">
        <v>455</v>
      </c>
      <c r="E229" s="45" t="n">
        <v>7.75</v>
      </c>
      <c r="F229" s="45"/>
      <c r="G229" s="45" t="n">
        <v>0</v>
      </c>
      <c r="H229" s="45" t="n">
        <v>0</v>
      </c>
      <c r="I229" s="45"/>
    </row>
    <row r="230" customFormat="false" ht="15" hidden="false" customHeight="false" outlineLevel="0" collapsed="false">
      <c r="A230" s="45" t="s">
        <v>1027</v>
      </c>
      <c r="B230" s="45" t="s">
        <v>999</v>
      </c>
      <c r="C230" s="45" t="s">
        <v>1125</v>
      </c>
      <c r="D230" s="45" t="s">
        <v>251</v>
      </c>
      <c r="E230" s="45" t="n">
        <v>2.25</v>
      </c>
      <c r="F230" s="45" t="n">
        <v>10</v>
      </c>
      <c r="G230" s="45" t="n">
        <v>65</v>
      </c>
      <c r="H230" s="45" t="n">
        <v>0</v>
      </c>
      <c r="I230" s="45"/>
    </row>
    <row r="231" customFormat="false" ht="15" hidden="false" customHeight="false" outlineLevel="0" collapsed="false">
      <c r="A231" s="45" t="s">
        <v>1027</v>
      </c>
      <c r="B231" s="45" t="s">
        <v>999</v>
      </c>
      <c r="C231" s="45" t="s">
        <v>1125</v>
      </c>
      <c r="D231" s="45" t="s">
        <v>411</v>
      </c>
      <c r="E231" s="45" t="n">
        <v>1.75</v>
      </c>
      <c r="F231" s="45"/>
      <c r="G231" s="45" t="n">
        <v>0</v>
      </c>
      <c r="H231" s="45" t="n">
        <v>0</v>
      </c>
      <c r="I231" s="45"/>
    </row>
    <row r="232" customFormat="false" ht="15" hidden="false" customHeight="false" outlineLevel="0" collapsed="false">
      <c r="A232" s="45" t="s">
        <v>1046</v>
      </c>
      <c r="B232" s="45" t="s">
        <v>999</v>
      </c>
      <c r="C232" s="45" t="s">
        <v>1126</v>
      </c>
      <c r="D232" s="45" t="s">
        <v>274</v>
      </c>
      <c r="E232" s="45" t="n">
        <v>3.5</v>
      </c>
      <c r="F232" s="45" t="n">
        <v>17</v>
      </c>
      <c r="G232" s="45" t="n">
        <v>90</v>
      </c>
      <c r="H232" s="45" t="n">
        <v>0</v>
      </c>
      <c r="I232" s="45"/>
    </row>
    <row r="233" customFormat="false" ht="15" hidden="false" customHeight="false" outlineLevel="0" collapsed="false">
      <c r="A233" s="45" t="s">
        <v>1122</v>
      </c>
      <c r="B233" s="45" t="s">
        <v>1022</v>
      </c>
      <c r="C233" s="45" t="s">
        <v>1127</v>
      </c>
      <c r="D233" s="45" t="s">
        <v>255</v>
      </c>
      <c r="E233" s="45" t="n">
        <v>7.25</v>
      </c>
      <c r="F233" s="45" t="n">
        <v>41</v>
      </c>
      <c r="G233" s="45" t="n">
        <v>790</v>
      </c>
      <c r="H233" s="45" t="n">
        <v>0</v>
      </c>
      <c r="I233" s="45"/>
    </row>
    <row r="234" customFormat="false" ht="15" hidden="false" customHeight="false" outlineLevel="0" collapsed="false">
      <c r="A234" s="45" t="s">
        <v>1122</v>
      </c>
      <c r="B234" s="45" t="s">
        <v>1022</v>
      </c>
      <c r="C234" s="45" t="s">
        <v>1127</v>
      </c>
      <c r="D234" s="45" t="s">
        <v>421</v>
      </c>
      <c r="E234" s="45" t="n">
        <v>7.75</v>
      </c>
      <c r="F234" s="45" t="n">
        <v>37</v>
      </c>
      <c r="G234" s="45" t="n">
        <v>1355</v>
      </c>
      <c r="H234" s="45" t="n">
        <v>0</v>
      </c>
      <c r="I234" s="45"/>
    </row>
    <row r="235" customFormat="false" ht="15" hidden="false" customHeight="false" outlineLevel="0" collapsed="false">
      <c r="A235" s="45" t="s">
        <v>1122</v>
      </c>
      <c r="B235" s="45" t="s">
        <v>1022</v>
      </c>
      <c r="C235" s="45" t="s">
        <v>1127</v>
      </c>
      <c r="D235" s="45" t="s">
        <v>337</v>
      </c>
      <c r="E235" s="45" t="n">
        <v>7.5</v>
      </c>
      <c r="F235" s="45"/>
      <c r="G235" s="45" t="n">
        <v>0</v>
      </c>
      <c r="H235" s="45" t="n">
        <v>0</v>
      </c>
      <c r="I235" s="45"/>
    </row>
    <row r="236" customFormat="false" ht="15" hidden="false" customHeight="false" outlineLevel="0" collapsed="false">
      <c r="A236" s="45" t="s">
        <v>1122</v>
      </c>
      <c r="B236" s="45" t="s">
        <v>1022</v>
      </c>
      <c r="C236" s="45" t="s">
        <v>1127</v>
      </c>
      <c r="D236" s="45" t="s">
        <v>317</v>
      </c>
      <c r="E236" s="45" t="n">
        <v>8</v>
      </c>
      <c r="F236" s="45"/>
      <c r="G236" s="45" t="n">
        <v>0</v>
      </c>
      <c r="H236" s="45" t="n">
        <v>0</v>
      </c>
      <c r="I236" s="45"/>
    </row>
    <row r="237" customFormat="false" ht="15" hidden="false" customHeight="false" outlineLevel="0" collapsed="false">
      <c r="A237" s="45" t="s">
        <v>1008</v>
      </c>
      <c r="B237" s="45" t="s">
        <v>999</v>
      </c>
      <c r="C237" s="45" t="s">
        <v>1128</v>
      </c>
      <c r="D237" s="45" t="s">
        <v>270</v>
      </c>
      <c r="E237" s="45" t="n">
        <v>2</v>
      </c>
      <c r="F237" s="45" t="n">
        <v>11</v>
      </c>
      <c r="G237" s="45" t="n">
        <v>135</v>
      </c>
      <c r="H237" s="45" t="n">
        <v>0</v>
      </c>
      <c r="I237" s="45"/>
    </row>
    <row r="238" customFormat="false" ht="15" hidden="false" customHeight="false" outlineLevel="0" collapsed="false">
      <c r="A238" s="45" t="s">
        <v>1014</v>
      </c>
      <c r="B238" s="45" t="s">
        <v>1015</v>
      </c>
      <c r="C238" s="45" t="s">
        <v>1129</v>
      </c>
      <c r="D238" s="45" t="s">
        <v>459</v>
      </c>
      <c r="E238" s="45" t="n">
        <v>74</v>
      </c>
      <c r="F238" s="45"/>
      <c r="G238" s="45" t="n">
        <v>0</v>
      </c>
      <c r="H238" s="45" t="n">
        <v>0</v>
      </c>
      <c r="I238" s="45"/>
    </row>
    <row r="239" customFormat="false" ht="15" hidden="false" customHeight="false" outlineLevel="0" collapsed="false">
      <c r="A239" s="45" t="s">
        <v>1014</v>
      </c>
      <c r="B239" s="45" t="s">
        <v>1015</v>
      </c>
      <c r="C239" s="45" t="s">
        <v>1129</v>
      </c>
      <c r="D239" s="45" t="s">
        <v>339</v>
      </c>
      <c r="E239" s="45" t="n">
        <v>16.75</v>
      </c>
      <c r="F239" s="45" t="n">
        <v>121</v>
      </c>
      <c r="G239" s="45" t="n">
        <v>14320</v>
      </c>
      <c r="H239" s="45" t="n">
        <v>0</v>
      </c>
      <c r="I239" s="45"/>
    </row>
    <row r="240" customFormat="false" ht="15" hidden="false" customHeight="false" outlineLevel="0" collapsed="false">
      <c r="A240" s="45" t="s">
        <v>1017</v>
      </c>
      <c r="B240" s="45" t="s">
        <v>1018</v>
      </c>
      <c r="C240" s="45" t="s">
        <v>1129</v>
      </c>
      <c r="D240" s="45" t="s">
        <v>670</v>
      </c>
      <c r="E240" s="45" t="n">
        <v>28</v>
      </c>
      <c r="F240" s="45"/>
      <c r="G240" s="45" t="n">
        <v>0</v>
      </c>
      <c r="H240" s="45" t="n">
        <v>0</v>
      </c>
      <c r="I240" s="45"/>
    </row>
    <row r="241" customFormat="false" ht="15" hidden="false" customHeight="false" outlineLevel="0" collapsed="false">
      <c r="A241" s="45" t="s">
        <v>1017</v>
      </c>
      <c r="B241" s="45" t="s">
        <v>1018</v>
      </c>
      <c r="C241" s="45" t="s">
        <v>1129</v>
      </c>
      <c r="D241" s="45" t="s">
        <v>432</v>
      </c>
      <c r="E241" s="45" t="n">
        <v>59.25</v>
      </c>
      <c r="F241" s="45"/>
      <c r="G241" s="45" t="n">
        <v>315</v>
      </c>
      <c r="H241" s="45" t="n">
        <v>0</v>
      </c>
      <c r="I241" s="45"/>
    </row>
    <row r="242" customFormat="false" ht="15" hidden="false" customHeight="false" outlineLevel="0" collapsed="false">
      <c r="A242" s="45" t="s">
        <v>1020</v>
      </c>
      <c r="B242" s="45" t="s">
        <v>1011</v>
      </c>
      <c r="C242" s="45" t="s">
        <v>1129</v>
      </c>
      <c r="D242" s="45" t="s">
        <v>561</v>
      </c>
      <c r="E242" s="45" t="n">
        <v>76.25</v>
      </c>
      <c r="F242" s="45" t="n">
        <v>60</v>
      </c>
      <c r="G242" s="45" t="n">
        <v>885</v>
      </c>
      <c r="H242" s="45" t="n">
        <v>0</v>
      </c>
      <c r="I242" s="45"/>
    </row>
    <row r="243" customFormat="false" ht="15" hidden="false" customHeight="false" outlineLevel="0" collapsed="false">
      <c r="A243" s="45" t="s">
        <v>1021</v>
      </c>
      <c r="B243" s="45" t="s">
        <v>1022</v>
      </c>
      <c r="C243" s="45" t="s">
        <v>1129</v>
      </c>
      <c r="D243" s="45" t="s">
        <v>274</v>
      </c>
      <c r="E243" s="45" t="n">
        <v>37.75</v>
      </c>
      <c r="F243" s="45" t="n">
        <v>10</v>
      </c>
      <c r="G243" s="45" t="n">
        <v>305</v>
      </c>
      <c r="H243" s="45" t="n">
        <v>0</v>
      </c>
      <c r="I243" s="45"/>
    </row>
    <row r="244" customFormat="false" ht="15" hidden="false" customHeight="false" outlineLevel="0" collapsed="false">
      <c r="A244" s="45" t="s">
        <v>1021</v>
      </c>
      <c r="B244" s="45" t="s">
        <v>1022</v>
      </c>
      <c r="C244" s="45" t="s">
        <v>1129</v>
      </c>
      <c r="D244" s="45" t="s">
        <v>340</v>
      </c>
      <c r="E244" s="45" t="n">
        <v>79</v>
      </c>
      <c r="F244" s="45"/>
      <c r="G244" s="45" t="n">
        <v>0</v>
      </c>
      <c r="H244" s="45" t="n">
        <v>0</v>
      </c>
      <c r="I244" s="45"/>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E7C78"/>
    <pageSetUpPr fitToPage="false"/>
  </sheetPr>
  <dimension ref="A1:R16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9"/>
    <col collapsed="false" customWidth="true" hidden="false" outlineLevel="0" max="3" min="3" style="1" width="12"/>
    <col collapsed="false" customWidth="true" hidden="false" outlineLevel="0" max="4" min="4" style="1" width="9"/>
    <col collapsed="false" customWidth="true" hidden="false" outlineLevel="0" max="5" min="5" style="1" width="34"/>
    <col collapsed="false" customWidth="true" hidden="false" outlineLevel="0" max="6" min="6" style="1" width="30"/>
    <col collapsed="false" customWidth="true" hidden="false" outlineLevel="0" max="7" min="7" style="1" width="14"/>
    <col collapsed="false" customWidth="true" hidden="false" outlineLevel="0" max="8" min="8" style="1" width="24"/>
    <col collapsed="false" customWidth="true" hidden="false" outlineLevel="0" max="10" min="9" style="1" width="10"/>
    <col collapsed="false" customWidth="true" hidden="false" outlineLevel="0" max="12" min="11" style="1" width="12"/>
    <col collapsed="false" customWidth="true" hidden="false" outlineLevel="0" max="13" min="13" style="1" width="24"/>
    <col collapsed="false" customWidth="true" hidden="false" outlineLevel="0" max="15" min="15" style="1" width="14"/>
    <col collapsed="false" customWidth="true" hidden="false" outlineLevel="0" max="17" min="16" style="1" width="12"/>
    <col collapsed="false" customWidth="true" hidden="false" outlineLevel="0" max="18" min="18" style="1" width="9"/>
  </cols>
  <sheetData>
    <row r="1" customFormat="false" ht="18.55" hidden="false" customHeight="false" outlineLevel="0" collapsed="false">
      <c r="A1" s="11" t="s">
        <v>1130</v>
      </c>
    </row>
    <row r="2" customFormat="false" ht="15" hidden="false" customHeight="false" outlineLevel="0" collapsed="false">
      <c r="A2" s="12" t="s">
        <v>1131</v>
      </c>
    </row>
    <row r="3" customFormat="false" ht="15" hidden="false" customHeight="false" outlineLevel="0" collapsed="false">
      <c r="A3" s="4" t="s">
        <v>2</v>
      </c>
    </row>
    <row r="4" customFormat="false" ht="30" hidden="false" customHeight="true" outlineLevel="0" collapsed="false">
      <c r="A4" s="7" t="s">
        <v>1132</v>
      </c>
      <c r="B4" s="7" t="s">
        <v>187</v>
      </c>
      <c r="C4" s="7" t="s">
        <v>1133</v>
      </c>
      <c r="D4" s="7" t="s">
        <v>1134</v>
      </c>
      <c r="E4" s="7" t="s">
        <v>1135</v>
      </c>
      <c r="F4" s="7" t="s">
        <v>1136</v>
      </c>
      <c r="G4" s="7" t="s">
        <v>1137</v>
      </c>
      <c r="H4" s="7" t="s">
        <v>1138</v>
      </c>
      <c r="I4" s="7" t="s">
        <v>1139</v>
      </c>
      <c r="J4" s="7" t="s">
        <v>245</v>
      </c>
      <c r="K4" s="7" t="s">
        <v>1140</v>
      </c>
      <c r="L4" s="7" t="s">
        <v>247</v>
      </c>
      <c r="M4" s="7" t="s">
        <v>248</v>
      </c>
      <c r="O4" s="47" t="s">
        <v>1141</v>
      </c>
      <c r="P4" s="47" t="s">
        <v>1142</v>
      </c>
      <c r="Q4" s="47" t="s">
        <v>1143</v>
      </c>
      <c r="R4" s="47" t="s">
        <v>83</v>
      </c>
    </row>
    <row r="5" customFormat="false" ht="15" hidden="false" customHeight="false" outlineLevel="0" collapsed="false">
      <c r="A5" s="1" t="s">
        <v>1144</v>
      </c>
      <c r="B5" s="1" t="s">
        <v>154</v>
      </c>
      <c r="C5" s="1" t="s">
        <v>1145</v>
      </c>
      <c r="D5" s="1" t="n">
        <v>2</v>
      </c>
      <c r="E5" s="48" t="str">
        <f aca="false">IF('RAW KVMC'!A2="","",'RAW KVMC'!A2)</f>
        <v>Mental Health First Aid Training</v>
      </c>
      <c r="F5" s="48" t="str">
        <f aca="false">IF('RAW KVMC'!B2="","",'RAW KVMC'!B2)</f>
        <v>Community Health Education</v>
      </c>
      <c r="G5" s="49" t="n">
        <f aca="false">IF('RAW KVMC'!C2="","",'RAW KVMC'!C2)</f>
        <v>45840</v>
      </c>
      <c r="H5" s="48" t="str">
        <f aca="false">IF('RAW KVMC'!D2="","",'RAW KVMC'!D2)</f>
        <v>Health Education Specialist</v>
      </c>
      <c r="I5" s="48" t="n">
        <f aca="false">IF('RAW KVMC'!E2="","",'RAW KVMC'!E2)</f>
        <v>8</v>
      </c>
      <c r="J5" s="48" t="n">
        <f aca="false">IF('RAW KVMC'!F2="","",'RAW KVMC'!F2)</f>
        <v>0</v>
      </c>
      <c r="K5" s="50" t="n">
        <f aca="false">IF('RAW KVMC'!G2="","",'RAW KVMC'!G2)</f>
        <v>0</v>
      </c>
      <c r="L5" s="50" t="n">
        <f aca="false">IF('RAW KVMC'!H2="","",'RAW KVMC'!H2)</f>
        <v>0</v>
      </c>
      <c r="M5" s="48" t="str">
        <f aca="false">IF('RAW KVMC'!I2="","",'RAW KVMC'!I2)</f>
        <v/>
      </c>
      <c r="O5" s="37" t="s">
        <v>1145</v>
      </c>
      <c r="P5" s="37" t="n">
        <f aca="false">COUNTA('RAW KVMC'!A2:A5000)</f>
        <v>529</v>
      </c>
      <c r="Q5" s="37" t="n">
        <f aca="false">COUNTIF($B$5:$B$1624,"KVMC")</f>
        <v>529</v>
      </c>
      <c r="R5" s="1" t="str">
        <f aca="false">IF(P5=Q5,"PASS","FAIL")</f>
        <v>PASS</v>
      </c>
    </row>
    <row r="6" customFormat="false" ht="15" hidden="false" customHeight="false" outlineLevel="0" collapsed="false">
      <c r="A6" s="1" t="s">
        <v>1146</v>
      </c>
      <c r="B6" s="1" t="s">
        <v>154</v>
      </c>
      <c r="C6" s="1" t="s">
        <v>1145</v>
      </c>
      <c r="D6" s="1" t="n">
        <v>3</v>
      </c>
      <c r="E6" s="48" t="str">
        <f aca="false">IF('RAW KVMC'!A3="","",'RAW KVMC'!A3)</f>
        <v>Mental Health First Aid Training</v>
      </c>
      <c r="F6" s="48" t="str">
        <f aca="false">IF('RAW KVMC'!B3="","",'RAW KVMC'!B3)</f>
        <v>Community Health Education</v>
      </c>
      <c r="G6" s="49" t="n">
        <f aca="false">IF('RAW KVMC'!C3="","",'RAW KVMC'!C3)</f>
        <v>45840</v>
      </c>
      <c r="H6" s="48" t="str">
        <f aca="false">IF('RAW KVMC'!D3="","",'RAW KVMC'!D3)</f>
        <v>LCSW</v>
      </c>
      <c r="I6" s="48" t="n">
        <f aca="false">IF('RAW KVMC'!E3="","",'RAW KVMC'!E3)</f>
        <v>8</v>
      </c>
      <c r="J6" s="48" t="n">
        <f aca="false">IF('RAW KVMC'!F3="","",'RAW KVMC'!F3)</f>
        <v>32</v>
      </c>
      <c r="K6" s="50" t="n">
        <f aca="false">IF('RAW KVMC'!G3="","",'RAW KVMC'!G3)</f>
        <v>345</v>
      </c>
      <c r="L6" s="50" t="n">
        <f aca="false">IF('RAW KVMC'!H3="","",'RAW KVMC'!H3)</f>
        <v>0</v>
      </c>
      <c r="M6" s="48" t="str">
        <f aca="false">IF('RAW KVMC'!I3="","",'RAW KVMC'!I3)</f>
        <v/>
      </c>
      <c r="O6" s="37" t="s">
        <v>1147</v>
      </c>
      <c r="P6" s="37" t="n">
        <f aca="false">COUNTA('RAW ASH'!B5:B5000)</f>
        <v>295</v>
      </c>
      <c r="Q6" s="37" t="n">
        <f aca="false">COUNTIF($B$5:$B$1624,"ASH")</f>
        <v>295</v>
      </c>
      <c r="R6" s="1" t="str">
        <f aca="false">IF(P6=Q6,"PASS","FAIL")</f>
        <v>PASS</v>
      </c>
    </row>
    <row r="7" customFormat="false" ht="15" hidden="false" customHeight="false" outlineLevel="0" collapsed="false">
      <c r="A7" s="1" t="s">
        <v>1148</v>
      </c>
      <c r="B7" s="1" t="s">
        <v>154</v>
      </c>
      <c r="C7" s="1" t="s">
        <v>1145</v>
      </c>
      <c r="D7" s="1" t="n">
        <v>4</v>
      </c>
      <c r="E7" s="48" t="str">
        <f aca="false">IF('RAW KVMC'!A4="","",'RAW KVMC'!A4)</f>
        <v>Youth Health Careers Pathway</v>
      </c>
      <c r="F7" s="48" t="str">
        <f aca="false">IF('RAW KVMC'!B4="","",'RAW KVMC'!B4)</f>
        <v>Community Building - Workforce</v>
      </c>
      <c r="G7" s="49" t="n">
        <f aca="false">IF('RAW KVMC'!C4="","",'RAW KVMC'!C4)</f>
        <v>45850</v>
      </c>
      <c r="H7" s="48" t="str">
        <f aca="false">IF('RAW KVMC'!D4="","",'RAW KVMC'!D4)</f>
        <v>Clinical Nurse Educator</v>
      </c>
      <c r="I7" s="48" t="n">
        <f aca="false">IF('RAW KVMC'!E4="","",'RAW KVMC'!E4)</f>
        <v>3.25</v>
      </c>
      <c r="J7" s="48" t="n">
        <f aca="false">IF('RAW KVMC'!F4="","",'RAW KVMC'!F4)</f>
        <v>0</v>
      </c>
      <c r="K7" s="50" t="n">
        <f aca="false">IF('RAW KVMC'!G4="","",'RAW KVMC'!G4)</f>
        <v>0</v>
      </c>
      <c r="L7" s="50" t="n">
        <f aca="false">IF('RAW KVMC'!H4="","",'RAW KVMC'!H4)</f>
        <v>0</v>
      </c>
      <c r="M7" s="48" t="str">
        <f aca="false">IF('RAW KVMC'!I4="","",'RAW KVMC'!I4)</f>
        <v/>
      </c>
      <c r="O7" s="37" t="s">
        <v>1149</v>
      </c>
      <c r="P7" s="37" t="n">
        <f aca="false">COUNTA('RAW CBH'!A2:A5000)</f>
        <v>279</v>
      </c>
      <c r="Q7" s="37" t="n">
        <f aca="false">COUNTIF($B$5:$B$1624,"CBH")</f>
        <v>279</v>
      </c>
      <c r="R7" s="1" t="str">
        <f aca="false">IF(P7=Q7,"PASS","FAIL")</f>
        <v>PASS</v>
      </c>
    </row>
    <row r="8" customFormat="false" ht="15" hidden="false" customHeight="false" outlineLevel="0" collapsed="false">
      <c r="A8" s="1" t="s">
        <v>1150</v>
      </c>
      <c r="B8" s="1" t="s">
        <v>154</v>
      </c>
      <c r="C8" s="1" t="s">
        <v>1145</v>
      </c>
      <c r="D8" s="1" t="n">
        <v>5</v>
      </c>
      <c r="E8" s="48" t="str">
        <f aca="false">IF('RAW KVMC'!A5="","",'RAW KVMC'!A5)</f>
        <v>Youth Health Careers Pathway</v>
      </c>
      <c r="F8" s="48" t="str">
        <f aca="false">IF('RAW KVMC'!B5="","",'RAW KVMC'!B5)</f>
        <v>Community Building - Workforce</v>
      </c>
      <c r="G8" s="49" t="n">
        <f aca="false">IF('RAW KVMC'!C5="","",'RAW KVMC'!C5)</f>
        <v>45850</v>
      </c>
      <c r="H8" s="48" t="str">
        <f aca="false">IF('RAW KVMC'!D5="","",'RAW KVMC'!D5)</f>
        <v>Program Coordinator</v>
      </c>
      <c r="I8" s="48" t="n">
        <f aca="false">IF('RAW KVMC'!E5="","",'RAW KVMC'!E5)</f>
        <v>7.5</v>
      </c>
      <c r="J8" s="48" t="n">
        <f aca="false">IF('RAW KVMC'!F5="","",'RAW KVMC'!F5)</f>
        <v>20</v>
      </c>
      <c r="K8" s="50" t="n">
        <f aca="false">IF('RAW KVMC'!G5="","",'RAW KVMC'!G5)</f>
        <v>1190</v>
      </c>
      <c r="L8" s="50" t="n">
        <f aca="false">IF('RAW KVMC'!H5="","",'RAW KVMC'!H5)</f>
        <v>0</v>
      </c>
      <c r="M8" s="48" t="str">
        <f aca="false">IF('RAW KVMC'!I5="","",'RAW KVMC'!I5)</f>
        <v/>
      </c>
      <c r="O8" s="37" t="s">
        <v>1151</v>
      </c>
      <c r="P8" s="37" t="n">
        <f aca="false">COUNTA('RAW WCH'!C3:C5000)</f>
        <v>274</v>
      </c>
      <c r="Q8" s="37" t="n">
        <f aca="false">COUNTIF($B$5:$B$1624,"WCH")</f>
        <v>274</v>
      </c>
      <c r="R8" s="1" t="str">
        <f aca="false">IF(P8=Q8,"PASS","FAIL")</f>
        <v>PASS</v>
      </c>
    </row>
    <row r="9" customFormat="false" ht="15" hidden="false" customHeight="false" outlineLevel="0" collapsed="false">
      <c r="A9" s="1" t="s">
        <v>1152</v>
      </c>
      <c r="B9" s="1" t="s">
        <v>154</v>
      </c>
      <c r="C9" s="1" t="s">
        <v>1145</v>
      </c>
      <c r="D9" s="1" t="n">
        <v>6</v>
      </c>
      <c r="E9" s="48" t="str">
        <f aca="false">IF('RAW KVMC'!A6="","",'RAW KVMC'!A6)</f>
        <v>Diabetes Prevention Classes</v>
      </c>
      <c r="F9" s="48" t="str">
        <f aca="false">IF('RAW KVMC'!B6="","",'RAW KVMC'!B6)</f>
        <v>Community Health Education</v>
      </c>
      <c r="G9" s="49" t="n">
        <f aca="false">IF('RAW KVMC'!C6="","",'RAW KVMC'!C6)</f>
        <v>45852</v>
      </c>
      <c r="H9" s="48" t="str">
        <f aca="false">IF('RAW KVMC'!D6="","",'RAW KVMC'!D6)</f>
        <v>Health Education Specialist </v>
      </c>
      <c r="I9" s="48" t="n">
        <f aca="false">IF('RAW KVMC'!E6="","",'RAW KVMC'!E6)</f>
        <v>2.5</v>
      </c>
      <c r="J9" s="48" t="n">
        <f aca="false">IF('RAW KVMC'!F6="","",'RAW KVMC'!F6)</f>
        <v>15</v>
      </c>
      <c r="K9" s="50" t="n">
        <f aca="false">IF('RAW KVMC'!G6="","",'RAW KVMC'!G6)</f>
        <v>110</v>
      </c>
      <c r="L9" s="50" t="n">
        <f aca="false">IF('RAW KVMC'!H6="","",'RAW KVMC'!H6)</f>
        <v>0</v>
      </c>
      <c r="M9" s="48" t="str">
        <f aca="false">IF('RAW KVMC'!I6="","",'RAW KVMC'!I6)</f>
        <v/>
      </c>
      <c r="O9" s="37" t="s">
        <v>1153</v>
      </c>
      <c r="P9" s="37" t="n">
        <f aca="false">COUNTA('RAW QHH'!A2:A5000)</f>
        <v>243</v>
      </c>
      <c r="Q9" s="37" t="n">
        <f aca="false">COUNTIF($B$5:$B$1624,"QHH")</f>
        <v>243</v>
      </c>
      <c r="R9" s="1" t="str">
        <f aca="false">IF(P9=Q9,"PASS","FAIL")</f>
        <v>PASS</v>
      </c>
    </row>
    <row r="10" customFormat="false" ht="15" hidden="false" customHeight="false" outlineLevel="0" collapsed="false">
      <c r="A10" s="1" t="s">
        <v>1154</v>
      </c>
      <c r="B10" s="1" t="s">
        <v>154</v>
      </c>
      <c r="C10" s="1" t="s">
        <v>1145</v>
      </c>
      <c r="D10" s="1" t="n">
        <v>7</v>
      </c>
      <c r="E10" s="48" t="str">
        <f aca="false">IF('RAW KVMC'!A7="","",'RAW KVMC'!A7)</f>
        <v>Diabetes Prevention Classes</v>
      </c>
      <c r="F10" s="48" t="str">
        <f aca="false">IF('RAW KVMC'!B7="","",'RAW KVMC'!B7)</f>
        <v>Community Health Education</v>
      </c>
      <c r="G10" s="49" t="n">
        <f aca="false">IF('RAW KVMC'!C7="","",'RAW KVMC'!C7)</f>
        <v>45852</v>
      </c>
      <c r="H10" s="48" t="str">
        <f aca="false">IF('RAW KVMC'!D7="","",'RAW KVMC'!D7)</f>
        <v>Registered Dietitian</v>
      </c>
      <c r="I10" s="48" t="n">
        <f aca="false">IF('RAW KVMC'!E7="","",'RAW KVMC'!E7)</f>
        <v>1.5</v>
      </c>
      <c r="J10" s="48" t="n">
        <f aca="false">IF('RAW KVMC'!F7="","",'RAW KVMC'!F7)</f>
        <v>0</v>
      </c>
      <c r="K10" s="50" t="n">
        <f aca="false">IF('RAW KVMC'!G7="","",'RAW KVMC'!G7)</f>
        <v>0</v>
      </c>
      <c r="L10" s="50" t="n">
        <f aca="false">IF('RAW KVMC'!H7="","",'RAW KVMC'!H7)</f>
        <v>0</v>
      </c>
      <c r="M10" s="48" t="str">
        <f aca="false">IF('RAW KVMC'!I7="","",'RAW KVMC'!I7)</f>
        <v/>
      </c>
      <c r="O10" s="13" t="s">
        <v>151</v>
      </c>
      <c r="P10" s="13" t="n">
        <f aca="false">SUM(P5:P9)</f>
        <v>1620</v>
      </c>
      <c r="Q10" s="13" t="n">
        <f aca="false">SUM(Q5:Q9)</f>
        <v>1620</v>
      </c>
      <c r="R10" s="1" t="str">
        <f aca="false">IF(P10=Q10,"PASS","FAIL")</f>
        <v>PASS</v>
      </c>
    </row>
    <row r="11" customFormat="false" ht="15" hidden="false" customHeight="false" outlineLevel="0" collapsed="false">
      <c r="A11" s="1" t="s">
        <v>1155</v>
      </c>
      <c r="B11" s="1" t="s">
        <v>154</v>
      </c>
      <c r="C11" s="1" t="s">
        <v>1145</v>
      </c>
      <c r="D11" s="1" t="n">
        <v>8</v>
      </c>
      <c r="E11" s="48" t="str">
        <f aca="false">IF('RAW KVMC'!A8="","",'RAW KVMC'!A8)</f>
        <v>Community Blood Pressure Checks</v>
      </c>
      <c r="F11" s="48" t="str">
        <f aca="false">IF('RAW KVMC'!B8="","",'RAW KVMC'!B8)</f>
        <v>Community-Based Clinical Services</v>
      </c>
      <c r="G11" s="49" t="n">
        <f aca="false">IF('RAW KVMC'!C8="","",'RAW KVMC'!C8)</f>
        <v>45856</v>
      </c>
      <c r="H11" s="48" t="str">
        <f aca="false">IF('RAW KVMC'!D8="","",'RAW KVMC'!D8)</f>
        <v>Reg Nurse</v>
      </c>
      <c r="I11" s="48" t="n">
        <f aca="false">IF('RAW KVMC'!E8="","",'RAW KVMC'!E8)</f>
        <v>3.75</v>
      </c>
      <c r="J11" s="48" t="n">
        <f aca="false">IF('RAW KVMC'!F8="","",'RAW KVMC'!F8)</f>
        <v>65</v>
      </c>
      <c r="K11" s="50" t="n">
        <f aca="false">IF('RAW KVMC'!G8="","",'RAW KVMC'!G8)</f>
        <v>110</v>
      </c>
      <c r="L11" s="50" t="n">
        <f aca="false">IF('RAW KVMC'!H8="","",'RAW KVMC'!H8)</f>
        <v>0</v>
      </c>
      <c r="M11" s="48" t="str">
        <f aca="false">IF('RAW KVMC'!I8="","",'RAW KVMC'!I8)</f>
        <v/>
      </c>
    </row>
    <row r="12" customFormat="false" ht="15" hidden="false" customHeight="false" outlineLevel="0" collapsed="false">
      <c r="A12" s="1" t="s">
        <v>1156</v>
      </c>
      <c r="B12" s="1" t="s">
        <v>154</v>
      </c>
      <c r="C12" s="1" t="s">
        <v>1145</v>
      </c>
      <c r="D12" s="1" t="n">
        <v>9</v>
      </c>
      <c r="E12" s="48" t="str">
        <f aca="false">IF('RAW KVMC'!A9="","",'RAW KVMC'!A9)</f>
        <v>Mental Health First Aid Training</v>
      </c>
      <c r="F12" s="48" t="str">
        <f aca="false">IF('RAW KVMC'!B9="","",'RAW KVMC'!B9)</f>
        <v>Community Health Education</v>
      </c>
      <c r="G12" s="49" t="n">
        <f aca="false">IF('RAW KVMC'!C9="","",'RAW KVMC'!C9)</f>
        <v>45856</v>
      </c>
      <c r="H12" s="48" t="str">
        <f aca="false">IF('RAW KVMC'!D9="","",'RAW KVMC'!D9)</f>
        <v>Hlth Educator</v>
      </c>
      <c r="I12" s="48" t="n">
        <f aca="false">IF('RAW KVMC'!E9="","",'RAW KVMC'!E9)</f>
        <v>8</v>
      </c>
      <c r="J12" s="48" t="n">
        <f aca="false">IF('RAW KVMC'!F9="","",'RAW KVMC'!F9)</f>
        <v>0</v>
      </c>
      <c r="K12" s="50" t="n">
        <f aca="false">IF('RAW KVMC'!G9="","",'RAW KVMC'!G9)</f>
        <v>0</v>
      </c>
      <c r="L12" s="50" t="n">
        <f aca="false">IF('RAW KVMC'!H9="","",'RAW KVMC'!H9)</f>
        <v>0</v>
      </c>
      <c r="M12" s="48" t="str">
        <f aca="false">IF('RAW KVMC'!I9="","",'RAW KVMC'!I9)</f>
        <v/>
      </c>
    </row>
    <row r="13" customFormat="false" ht="15" hidden="false" customHeight="false" outlineLevel="0" collapsed="false">
      <c r="A13" s="1" t="s">
        <v>1157</v>
      </c>
      <c r="B13" s="1" t="s">
        <v>154</v>
      </c>
      <c r="C13" s="1" t="s">
        <v>1145</v>
      </c>
      <c r="D13" s="1" t="n">
        <v>10</v>
      </c>
      <c r="E13" s="48" t="str">
        <f aca="false">IF('RAW KVMC'!A10="","",'RAW KVMC'!A10)</f>
        <v>Mental Health First Aid Training</v>
      </c>
      <c r="F13" s="48" t="str">
        <f aca="false">IF('RAW KVMC'!B10="","",'RAW KVMC'!B10)</f>
        <v>Community Health Education</v>
      </c>
      <c r="G13" s="49" t="n">
        <f aca="false">IF('RAW KVMC'!C10="","",'RAW KVMC'!C10)</f>
        <v>45856</v>
      </c>
      <c r="H13" s="48" t="str">
        <f aca="false">IF('RAW KVMC'!D10="","",'RAW KVMC'!D10)</f>
        <v>LCSW</v>
      </c>
      <c r="I13" s="48" t="n">
        <f aca="false">IF('RAW KVMC'!E10="","",'RAW KVMC'!E10)</f>
        <v>8</v>
      </c>
      <c r="J13" s="48" t="n">
        <f aca="false">IF('RAW KVMC'!F10="","",'RAW KVMC'!F10)</f>
        <v>16</v>
      </c>
      <c r="K13" s="50" t="n">
        <f aca="false">IF('RAW KVMC'!G10="","",'RAW KVMC'!G10)</f>
        <v>465</v>
      </c>
      <c r="L13" s="50" t="n">
        <f aca="false">IF('RAW KVMC'!H10="","",'RAW KVMC'!H10)</f>
        <v>0</v>
      </c>
      <c r="M13" s="48" t="str">
        <f aca="false">IF('RAW KVMC'!I10="","",'RAW KVMC'!I10)</f>
        <v/>
      </c>
    </row>
    <row r="14" customFormat="false" ht="15" hidden="false" customHeight="false" outlineLevel="0" collapsed="false">
      <c r="A14" s="1" t="s">
        <v>1158</v>
      </c>
      <c r="B14" s="1" t="s">
        <v>154</v>
      </c>
      <c r="C14" s="1" t="s">
        <v>1145</v>
      </c>
      <c r="D14" s="1" t="n">
        <v>11</v>
      </c>
      <c r="E14" s="48" t="str">
        <f aca="false">IF('RAW KVMC'!A11="","",'RAW KVMC'!A11)</f>
        <v>Affordable Housing Partnership</v>
      </c>
      <c r="F14" s="48" t="str">
        <f aca="false">IF('RAW KVMC'!B11="","",'RAW KVMC'!B11)</f>
        <v>Community Building - Housing</v>
      </c>
      <c r="G14" s="49" t="n">
        <f aca="false">IF('RAW KVMC'!C11="","",'RAW KVMC'!C11)</f>
        <v>45862</v>
      </c>
      <c r="H14" s="48" t="str">
        <f aca="false">IF('RAW KVMC'!D11="","",'RAW KVMC'!D11)</f>
        <v>DIRECTOR, MISSION</v>
      </c>
      <c r="I14" s="48" t="n">
        <f aca="false">IF('RAW KVMC'!E11="","",'RAW KVMC'!E11)</f>
        <v>4.25</v>
      </c>
      <c r="J14" s="48" t="n">
        <f aca="false">IF('RAW KVMC'!F11="","",'RAW KVMC'!F11)</f>
        <v>0</v>
      </c>
      <c r="K14" s="50" t="n">
        <f aca="false">IF('RAW KVMC'!G11="","",'RAW KVMC'!G11)</f>
        <v>51545</v>
      </c>
      <c r="L14" s="50" t="n">
        <f aca="false">IF('RAW KVMC'!H11="","",'RAW KVMC'!H11)</f>
        <v>0</v>
      </c>
      <c r="M14" s="48" t="str">
        <f aca="false">IF('RAW KVMC'!I11="","",'RAW KVMC'!I11)</f>
        <v/>
      </c>
    </row>
    <row r="15" customFormat="false" ht="15" hidden="false" customHeight="false" outlineLevel="0" collapsed="false">
      <c r="A15" s="1" t="s">
        <v>1159</v>
      </c>
      <c r="B15" s="1" t="s">
        <v>154</v>
      </c>
      <c r="C15" s="1" t="s">
        <v>1145</v>
      </c>
      <c r="D15" s="1" t="n">
        <v>12</v>
      </c>
      <c r="E15" s="48" t="str">
        <f aca="false">IF('RAW KVMC'!A12="","",'RAW KVMC'!A12)</f>
        <v>Affordable Housing Partnership</v>
      </c>
      <c r="F15" s="48" t="str">
        <f aca="false">IF('RAW KVMC'!B12="","",'RAW KVMC'!B12)</f>
        <v>Community Building - Housing</v>
      </c>
      <c r="G15" s="49" t="n">
        <f aca="false">IF('RAW KVMC'!C12="","",'RAW KVMC'!C12)</f>
        <v>45862</v>
      </c>
      <c r="H15" s="48" t="str">
        <f aca="false">IF('RAW KVMC'!D12="","",'RAW KVMC'!D12)</f>
        <v>Program Coordinator</v>
      </c>
      <c r="I15" s="48" t="n">
        <f aca="false">IF('RAW KVMC'!E12="","",'RAW KVMC'!E12)</f>
        <v>8.5</v>
      </c>
      <c r="J15" s="48" t="n">
        <f aca="false">IF('RAW KVMC'!F12="","",'RAW KVMC'!F12)</f>
        <v>0</v>
      </c>
      <c r="K15" s="50" t="n">
        <f aca="false">IF('RAW KVMC'!G12="","",'RAW KVMC'!G12)</f>
        <v>0</v>
      </c>
      <c r="L15" s="50" t="n">
        <f aca="false">IF('RAW KVMC'!H12="","",'RAW KVMC'!H12)</f>
        <v>0</v>
      </c>
      <c r="M15" s="48" t="str">
        <f aca="false">IF('RAW KVMC'!I12="","",'RAW KVMC'!I12)</f>
        <v/>
      </c>
    </row>
    <row r="16" customFormat="false" ht="15" hidden="false" customHeight="false" outlineLevel="0" collapsed="false">
      <c r="A16" s="1" t="s">
        <v>1160</v>
      </c>
      <c r="B16" s="1" t="s">
        <v>154</v>
      </c>
      <c r="C16" s="1" t="s">
        <v>1145</v>
      </c>
      <c r="D16" s="1" t="n">
        <v>13</v>
      </c>
      <c r="E16" s="48" t="str">
        <f aca="false">IF('RAW KVMC'!A13="","",'RAW KVMC'!A13)</f>
        <v>Diabetes Prevention Classes</v>
      </c>
      <c r="F16" s="48" t="str">
        <f aca="false">IF('RAW KVMC'!B13="","",'RAW KVMC'!B13)</f>
        <v>Community Health Education</v>
      </c>
      <c r="G16" s="49" t="n">
        <f aca="false">IF('RAW KVMC'!C13="","",'RAW KVMC'!C13)</f>
        <v>45863</v>
      </c>
      <c r="H16" s="48" t="str">
        <f aca="false">IF('RAW KVMC'!D13="","",'RAW KVMC'!D13)</f>
        <v>CHES</v>
      </c>
      <c r="I16" s="48" t="str">
        <f aca="false">IF('RAW KVMC'!E13="","",'RAW KVMC'!E13)</f>
        <v/>
      </c>
      <c r="J16" s="48" t="n">
        <f aca="false">IF('RAW KVMC'!F13="","",'RAW KVMC'!F13)</f>
        <v>10</v>
      </c>
      <c r="K16" s="50" t="n">
        <f aca="false">IF('RAW KVMC'!G13="","",'RAW KVMC'!G13)</f>
        <v>125</v>
      </c>
      <c r="L16" s="50" t="n">
        <f aca="false">IF('RAW KVMC'!H13="","",'RAW KVMC'!H13)</f>
        <v>0</v>
      </c>
      <c r="M16" s="48" t="str">
        <f aca="false">IF('RAW KVMC'!I13="","",'RAW KVMC'!I13)</f>
        <v/>
      </c>
    </row>
    <row r="17" customFormat="false" ht="15" hidden="false" customHeight="false" outlineLevel="0" collapsed="false">
      <c r="A17" s="1" t="s">
        <v>1161</v>
      </c>
      <c r="B17" s="1" t="s">
        <v>154</v>
      </c>
      <c r="C17" s="1" t="s">
        <v>1145</v>
      </c>
      <c r="D17" s="1" t="n">
        <v>14</v>
      </c>
      <c r="E17" s="48" t="str">
        <f aca="false">IF('RAW KVMC'!A14="","",'RAW KVMC'!A14)</f>
        <v>Diabetes Prevention Classes</v>
      </c>
      <c r="F17" s="48" t="str">
        <f aca="false">IF('RAW KVMC'!B14="","",'RAW KVMC'!B14)</f>
        <v>Community Health Education</v>
      </c>
      <c r="G17" s="49" t="n">
        <f aca="false">IF('RAW KVMC'!C14="","",'RAW KVMC'!C14)</f>
        <v>45863</v>
      </c>
      <c r="H17" s="48" t="str">
        <f aca="false">IF('RAW KVMC'!D14="","",'RAW KVMC'!D14)</f>
        <v>Nutritionist</v>
      </c>
      <c r="I17" s="48" t="n">
        <f aca="false">IF('RAW KVMC'!E14="","",'RAW KVMC'!E14)</f>
        <v>1.75</v>
      </c>
      <c r="J17" s="48" t="n">
        <f aca="false">IF('RAW KVMC'!F14="","",'RAW KVMC'!F14)</f>
        <v>0</v>
      </c>
      <c r="K17" s="50" t="n">
        <f aca="false">IF('RAW KVMC'!G14="","",'RAW KVMC'!G14)</f>
        <v>0</v>
      </c>
      <c r="L17" s="50" t="n">
        <f aca="false">IF('RAW KVMC'!H14="","",'RAW KVMC'!H14)</f>
        <v>0</v>
      </c>
      <c r="M17" s="48" t="str">
        <f aca="false">IF('RAW KVMC'!I14="","",'RAW KVMC'!I14)</f>
        <v/>
      </c>
    </row>
    <row r="18" customFormat="false" ht="15" hidden="false" customHeight="false" outlineLevel="0" collapsed="false">
      <c r="A18" s="1" t="s">
        <v>1162</v>
      </c>
      <c r="B18" s="1" t="s">
        <v>154</v>
      </c>
      <c r="C18" s="1" t="s">
        <v>1145</v>
      </c>
      <c r="D18" s="1" t="n">
        <v>15</v>
      </c>
      <c r="E18" s="48" t="str">
        <f aca="false">IF('RAW KVMC'!A15="","",'RAW KVMC'!A15)</f>
        <v>Tobacco Cessation Classes</v>
      </c>
      <c r="F18" s="48" t="str">
        <f aca="false">IF('RAW KVMC'!B15="","",'RAW KVMC'!B15)</f>
        <v>Community Health Education</v>
      </c>
      <c r="G18" s="49" t="n">
        <f aca="false">IF('RAW KVMC'!C15="","",'RAW KVMC'!C15)</f>
        <v>45863</v>
      </c>
      <c r="H18" s="48" t="str">
        <f aca="false">IF('RAW KVMC'!D15="","",'RAW KVMC'!D15)</f>
        <v>Licensed Therapist</v>
      </c>
      <c r="I18" s="48" t="n">
        <f aca="false">IF('RAW KVMC'!E15="","",'RAW KVMC'!E15)</f>
        <v>2</v>
      </c>
      <c r="J18" s="48" t="n">
        <f aca="false">IF('RAW KVMC'!F15="","",'RAW KVMC'!F15)</f>
        <v>14</v>
      </c>
      <c r="K18" s="50" t="n">
        <f aca="false">IF('RAW KVMC'!G15="","",'RAW KVMC'!G15)</f>
        <v>190</v>
      </c>
      <c r="L18" s="50" t="n">
        <f aca="false">IF('RAW KVMC'!H15="","",'RAW KVMC'!H15)</f>
        <v>0</v>
      </c>
      <c r="M18" s="48" t="str">
        <f aca="false">IF('RAW KVMC'!I15="","",'RAW KVMC'!I15)</f>
        <v/>
      </c>
    </row>
    <row r="19" customFormat="false" ht="15" hidden="false" customHeight="false" outlineLevel="0" collapsed="false">
      <c r="A19" s="1" t="s">
        <v>1163</v>
      </c>
      <c r="B19" s="1" t="s">
        <v>154</v>
      </c>
      <c r="C19" s="1" t="s">
        <v>1145</v>
      </c>
      <c r="D19" s="1" t="n">
        <v>16</v>
      </c>
      <c r="E19" s="48" t="str">
        <f aca="false">IF('RAW KVMC'!A16="","",'RAW KVMC'!A16)</f>
        <v>Naloxone Training and Distribution</v>
      </c>
      <c r="F19" s="48" t="str">
        <f aca="false">IF('RAW KVMC'!B16="","",'RAW KVMC'!B16)</f>
        <v>Community Health Education</v>
      </c>
      <c r="G19" s="49" t="n">
        <f aca="false">IF('RAW KVMC'!C16="","",'RAW KVMC'!C16)</f>
        <v>45866</v>
      </c>
      <c r="H19" s="48" t="str">
        <f aca="false">IF('RAW KVMC'!D16="","",'RAW KVMC'!D16)</f>
        <v>Community Educator</v>
      </c>
      <c r="I19" s="48" t="n">
        <f aca="false">IF('RAW KVMC'!E16="","",'RAW KVMC'!E16)</f>
        <v>2</v>
      </c>
      <c r="J19" s="48" t="n">
        <f aca="false">IF('RAW KVMC'!F16="","",'RAW KVMC'!F16)</f>
        <v>0</v>
      </c>
      <c r="K19" s="50" t="n">
        <f aca="false">IF('RAW KVMC'!G16="","",'RAW KVMC'!G16)</f>
        <v>0</v>
      </c>
      <c r="L19" s="50" t="n">
        <f aca="false">IF('RAW KVMC'!H16="","",'RAW KVMC'!H16)</f>
        <v>0</v>
      </c>
      <c r="M19" s="48" t="str">
        <f aca="false">IF('RAW KVMC'!I16="","",'RAW KVMC'!I16)</f>
        <v/>
      </c>
    </row>
    <row r="20" customFormat="false" ht="15" hidden="false" customHeight="false" outlineLevel="0" collapsed="false">
      <c r="A20" s="1" t="s">
        <v>1164</v>
      </c>
      <c r="B20" s="1" t="s">
        <v>154</v>
      </c>
      <c r="C20" s="1" t="s">
        <v>1145</v>
      </c>
      <c r="D20" s="1" t="n">
        <v>17</v>
      </c>
      <c r="E20" s="48" t="str">
        <f aca="false">IF('RAW KVMC'!A17="","",'RAW KVMC'!A17)</f>
        <v>Naloxone Training and Distribution</v>
      </c>
      <c r="F20" s="48" t="str">
        <f aca="false">IF('RAW KVMC'!B17="","",'RAW KVMC'!B17)</f>
        <v>Community Health Education</v>
      </c>
      <c r="G20" s="49" t="n">
        <f aca="false">IF('RAW KVMC'!C17="","",'RAW KVMC'!C17)</f>
        <v>45866</v>
      </c>
      <c r="H20" s="48" t="str">
        <f aca="false">IF('RAW KVMC'!D17="","",'RAW KVMC'!D17)</f>
        <v>Pharmacist</v>
      </c>
      <c r="I20" s="48" t="n">
        <f aca="false">IF('RAW KVMC'!E17="","",'RAW KVMC'!E17)</f>
        <v>2.25</v>
      </c>
      <c r="J20" s="48" t="n">
        <f aca="false">IF('RAW KVMC'!F17="","",'RAW KVMC'!F17)</f>
        <v>31</v>
      </c>
      <c r="K20" s="50" t="n">
        <f aca="false">IF('RAW KVMC'!G17="","",'RAW KVMC'!G17)</f>
        <v>1620</v>
      </c>
      <c r="L20" s="50" t="n">
        <f aca="false">IF('RAW KVMC'!H17="","",'RAW KVMC'!H17)</f>
        <v>690</v>
      </c>
      <c r="M20" s="48" t="str">
        <f aca="false">IF('RAW KVMC'!I17="","",'RAW KVMC'!I17)</f>
        <v/>
      </c>
    </row>
    <row r="21" customFormat="false" ht="15" hidden="false" customHeight="false" outlineLevel="0" collapsed="false">
      <c r="A21" s="1" t="s">
        <v>1165</v>
      </c>
      <c r="B21" s="1" t="s">
        <v>154</v>
      </c>
      <c r="C21" s="1" t="s">
        <v>1145</v>
      </c>
      <c r="D21" s="1" t="n">
        <v>18</v>
      </c>
      <c r="E21" s="48" t="str">
        <f aca="false">IF('RAW KVMC'!A18="","",'RAW KVMC'!A18)</f>
        <v>Diabetes Prevention Classes</v>
      </c>
      <c r="F21" s="48" t="str">
        <f aca="false">IF('RAW KVMC'!B18="","",'RAW KVMC'!B18)</f>
        <v>Community Health Education</v>
      </c>
      <c r="G21" s="49" t="n">
        <f aca="false">IF('RAW KVMC'!C18="","",'RAW KVMC'!C18)</f>
        <v>45868</v>
      </c>
      <c r="H21" s="48" t="str">
        <f aca="false">IF('RAW KVMC'!D18="","",'RAW KVMC'!D18)</f>
        <v>CHES</v>
      </c>
      <c r="I21" s="48" t="n">
        <f aca="false">IF('RAW KVMC'!E18="","",'RAW KVMC'!E18)</f>
        <v>2.25</v>
      </c>
      <c r="J21" s="48" t="n">
        <f aca="false">IF('RAW KVMC'!F18="","",'RAW KVMC'!F18)</f>
        <v>18</v>
      </c>
      <c r="K21" s="50" t="n">
        <f aca="false">IF('RAW KVMC'!G18="","",'RAW KVMC'!G18)</f>
        <v>135</v>
      </c>
      <c r="L21" s="50" t="n">
        <f aca="false">IF('RAW KVMC'!H18="","",'RAW KVMC'!H18)</f>
        <v>0</v>
      </c>
      <c r="M21" s="48" t="str">
        <f aca="false">IF('RAW KVMC'!I18="","",'RAW KVMC'!I18)</f>
        <v/>
      </c>
    </row>
    <row r="22" customFormat="false" ht="15" hidden="false" customHeight="false" outlineLevel="0" collapsed="false">
      <c r="A22" s="1" t="s">
        <v>1166</v>
      </c>
      <c r="B22" s="1" t="s">
        <v>154</v>
      </c>
      <c r="C22" s="1" t="s">
        <v>1145</v>
      </c>
      <c r="D22" s="1" t="n">
        <v>19</v>
      </c>
      <c r="E22" s="48" t="str">
        <f aca="false">IF('RAW KVMC'!A19="","",'RAW KVMC'!A19)</f>
        <v>Diabetes Prevention Classes</v>
      </c>
      <c r="F22" s="48" t="str">
        <f aca="false">IF('RAW KVMC'!B19="","",'RAW KVMC'!B19)</f>
        <v>Community Health Education</v>
      </c>
      <c r="G22" s="49" t="n">
        <f aca="false">IF('RAW KVMC'!C19="","",'RAW KVMC'!C19)</f>
        <v>45868</v>
      </c>
      <c r="H22" s="48" t="str">
        <f aca="false">IF('RAW KVMC'!D19="","",'RAW KVMC'!D19)</f>
        <v>Registered Dietitian</v>
      </c>
      <c r="I22" s="48" t="n">
        <f aca="false">IF('RAW KVMC'!E19="","",'RAW KVMC'!E19)</f>
        <v>1.5</v>
      </c>
      <c r="J22" s="48" t="n">
        <f aca="false">IF('RAW KVMC'!F19="","",'RAW KVMC'!F19)</f>
        <v>0</v>
      </c>
      <c r="K22" s="50" t="n">
        <f aca="false">IF('RAW KVMC'!G19="","",'RAW KVMC'!G19)</f>
        <v>0</v>
      </c>
      <c r="L22" s="50" t="n">
        <f aca="false">IF('RAW KVMC'!H19="","",'RAW KVMC'!H19)</f>
        <v>0</v>
      </c>
      <c r="M22" s="48" t="str">
        <f aca="false">IF('RAW KVMC'!I19="","",'RAW KVMC'!I19)</f>
        <v/>
      </c>
    </row>
    <row r="23" customFormat="false" ht="15" hidden="false" customHeight="false" outlineLevel="0" collapsed="false">
      <c r="A23" s="1" t="s">
        <v>1167</v>
      </c>
      <c r="B23" s="1" t="s">
        <v>154</v>
      </c>
      <c r="C23" s="1" t="s">
        <v>1145</v>
      </c>
      <c r="D23" s="1" t="n">
        <v>20</v>
      </c>
      <c r="E23" s="48" t="str">
        <f aca="false">IF('RAW KVMC'!A20="","",'RAW KVMC'!A20)</f>
        <v>Youth Health Careers Pathway</v>
      </c>
      <c r="F23" s="48" t="str">
        <f aca="false">IF('RAW KVMC'!B20="","",'RAW KVMC'!B20)</f>
        <v>Community Building - Workforce</v>
      </c>
      <c r="G23" s="49" t="n">
        <f aca="false">IF('RAW KVMC'!C20="","",'RAW KVMC'!C20)</f>
        <v>45868</v>
      </c>
      <c r="H23" s="48" t="str">
        <f aca="false">IF('RAW KVMC'!D20="","",'RAW KVMC'!D20)</f>
        <v>RN Educator</v>
      </c>
      <c r="I23" s="48" t="n">
        <f aca="false">IF('RAW KVMC'!E20="","",'RAW KVMC'!E20)</f>
        <v>4.75</v>
      </c>
      <c r="J23" s="48" t="n">
        <f aca="false">IF('RAW KVMC'!F20="","",'RAW KVMC'!F20)</f>
        <v>0</v>
      </c>
      <c r="K23" s="50" t="n">
        <f aca="false">IF('RAW KVMC'!G20="","",'RAW KVMC'!G20)</f>
        <v>0</v>
      </c>
      <c r="L23" s="50" t="n">
        <f aca="false">IF('RAW KVMC'!H20="","",'RAW KVMC'!H20)</f>
        <v>0</v>
      </c>
      <c r="M23" s="48" t="str">
        <f aca="false">IF('RAW KVMC'!I20="","",'RAW KVMC'!I20)</f>
        <v/>
      </c>
    </row>
    <row r="24" customFormat="false" ht="15" hidden="false" customHeight="false" outlineLevel="0" collapsed="false">
      <c r="A24" s="1" t="s">
        <v>1168</v>
      </c>
      <c r="B24" s="1" t="s">
        <v>154</v>
      </c>
      <c r="C24" s="1" t="s">
        <v>1145</v>
      </c>
      <c r="D24" s="1" t="n">
        <v>21</v>
      </c>
      <c r="E24" s="48" t="str">
        <f aca="false">IF('RAW KVMC'!A21="","",'RAW KVMC'!A21)</f>
        <v>Youth Health Careers Pathway</v>
      </c>
      <c r="F24" s="48" t="str">
        <f aca="false">IF('RAW KVMC'!B21="","",'RAW KVMC'!B21)</f>
        <v>Community Building - Workforce</v>
      </c>
      <c r="G24" s="49" t="n">
        <f aca="false">IF('RAW KVMC'!C21="","",'RAW KVMC'!C21)</f>
        <v>45868</v>
      </c>
      <c r="H24" s="48" t="str">
        <f aca="false">IF('RAW KVMC'!D21="","",'RAW KVMC'!D21)</f>
        <v>residency coordinator</v>
      </c>
      <c r="I24" s="48" t="n">
        <f aca="false">IF('RAW KVMC'!E21="","",'RAW KVMC'!E21)</f>
        <v>6.75</v>
      </c>
      <c r="J24" s="48" t="n">
        <f aca="false">IF('RAW KVMC'!F21="","",'RAW KVMC'!F21)</f>
        <v>38</v>
      </c>
      <c r="K24" s="50" t="n">
        <f aca="false">IF('RAW KVMC'!G21="","",'RAW KVMC'!G21)</f>
        <v>1580</v>
      </c>
      <c r="L24" s="50" t="n">
        <f aca="false">IF('RAW KVMC'!H21="","",'RAW KVMC'!H21)</f>
        <v>0</v>
      </c>
      <c r="M24" s="48" t="str">
        <f aca="false">IF('RAW KVMC'!I21="","",'RAW KVMC'!I21)</f>
        <v/>
      </c>
    </row>
    <row r="25" customFormat="false" ht="15" hidden="false" customHeight="false" outlineLevel="0" collapsed="false">
      <c r="A25" s="1" t="s">
        <v>1169</v>
      </c>
      <c r="B25" s="1" t="s">
        <v>154</v>
      </c>
      <c r="C25" s="1" t="s">
        <v>1145</v>
      </c>
      <c r="D25" s="1" t="n">
        <v>22</v>
      </c>
      <c r="E25" s="48" t="str">
        <f aca="false">IF('RAW KVMC'!A22="","",'RAW KVMC'!A22)</f>
        <v>Diabetes Prevention Classes</v>
      </c>
      <c r="F25" s="48" t="str">
        <f aca="false">IF('RAW KVMC'!B22="","",'RAW KVMC'!B22)</f>
        <v>Community Health Education</v>
      </c>
      <c r="G25" s="49" t="n">
        <f aca="false">IF('RAW KVMC'!C22="","",'RAW KVMC'!C22)</f>
        <v>45869</v>
      </c>
      <c r="H25" s="48" t="str">
        <f aca="false">IF('RAW KVMC'!D22="","",'RAW KVMC'!D22)</f>
        <v>Health Educator</v>
      </c>
      <c r="I25" s="48" t="n">
        <f aca="false">IF('RAW KVMC'!E22="","",'RAW KVMC'!E22)</f>
        <v>2.25</v>
      </c>
      <c r="J25" s="48" t="n">
        <f aca="false">IF('RAW KVMC'!F22="","",'RAW KVMC'!F22)</f>
        <v>12</v>
      </c>
      <c r="K25" s="50" t="n">
        <f aca="false">IF('RAW KVMC'!G22="","",'RAW KVMC'!G22)</f>
        <v>155</v>
      </c>
      <c r="L25" s="50" t="n">
        <f aca="false">IF('RAW KVMC'!H22="","",'RAW KVMC'!H22)</f>
        <v>0</v>
      </c>
      <c r="M25" s="48" t="str">
        <f aca="false">IF('RAW KVMC'!I22="","",'RAW KVMC'!I22)</f>
        <v/>
      </c>
    </row>
    <row r="26" customFormat="false" ht="15" hidden="false" customHeight="false" outlineLevel="0" collapsed="false">
      <c r="A26" s="1" t="s">
        <v>1170</v>
      </c>
      <c r="B26" s="1" t="s">
        <v>154</v>
      </c>
      <c r="C26" s="1" t="s">
        <v>1145</v>
      </c>
      <c r="D26" s="1" t="n">
        <v>23</v>
      </c>
      <c r="E26" s="48" t="str">
        <f aca="false">IF('RAW KVMC'!A23="","",'RAW KVMC'!A23)</f>
        <v>Diabetes Prevention Classes</v>
      </c>
      <c r="F26" s="48" t="str">
        <f aca="false">IF('RAW KVMC'!B23="","",'RAW KVMC'!B23)</f>
        <v>Community Health Education</v>
      </c>
      <c r="G26" s="49" t="n">
        <f aca="false">IF('RAW KVMC'!C23="","",'RAW KVMC'!C23)</f>
        <v>45869</v>
      </c>
      <c r="H26" s="48" t="str">
        <f aca="false">IF('RAW KVMC'!D23="","",'RAW KVMC'!D23)</f>
        <v>Nutritionist</v>
      </c>
      <c r="I26" s="48" t="n">
        <f aca="false">IF('RAW KVMC'!E23="","",'RAW KVMC'!E23)</f>
        <v>1.75</v>
      </c>
      <c r="J26" s="48" t="n">
        <f aca="false">IF('RAW KVMC'!F23="","",'RAW KVMC'!F23)</f>
        <v>0</v>
      </c>
      <c r="K26" s="50" t="n">
        <f aca="false">IF('RAW KVMC'!G23="","",'RAW KVMC'!G23)</f>
        <v>0</v>
      </c>
      <c r="L26" s="50" t="n">
        <f aca="false">IF('RAW KVMC'!H23="","",'RAW KVMC'!H23)</f>
        <v>0</v>
      </c>
      <c r="M26" s="48" t="str">
        <f aca="false">IF('RAW KVMC'!I23="","",'RAW KVMC'!I23)</f>
        <v/>
      </c>
    </row>
    <row r="27" customFormat="false" ht="15" hidden="false" customHeight="false" outlineLevel="0" collapsed="false">
      <c r="A27" s="1" t="s">
        <v>1171</v>
      </c>
      <c r="B27" s="1" t="s">
        <v>154</v>
      </c>
      <c r="C27" s="1" t="s">
        <v>1145</v>
      </c>
      <c r="D27" s="1" t="n">
        <v>24</v>
      </c>
      <c r="E27" s="48" t="str">
        <f aca="false">IF('RAW KVMC'!A24="","",'RAW KVMC'!A24)</f>
        <v>Mobile Health Screening Unit</v>
      </c>
      <c r="F27" s="48" t="str">
        <f aca="false">IF('RAW KVMC'!B24="","",'RAW KVMC'!B24)</f>
        <v>Community-Based Clinical Services</v>
      </c>
      <c r="G27" s="49" t="n">
        <f aca="false">IF('RAW KVMC'!C24="","",'RAW KVMC'!C24)</f>
        <v>45869</v>
      </c>
      <c r="H27" s="48" t="str">
        <f aca="false">IF('RAW KVMC'!D24="","",'RAW KVMC'!D24)</f>
        <v>Comm Health Worker</v>
      </c>
      <c r="I27" s="48" t="n">
        <f aca="false">IF('RAW KVMC'!E24="","",'RAW KVMC'!E24)</f>
        <v>105.75</v>
      </c>
      <c r="J27" s="48" t="n">
        <f aca="false">IF('RAW KVMC'!F24="","",'RAW KVMC'!F24)</f>
        <v>0</v>
      </c>
      <c r="K27" s="50" t="n">
        <f aca="false">IF('RAW KVMC'!G24="","",'RAW KVMC'!G24)</f>
        <v>0</v>
      </c>
      <c r="L27" s="50" t="n">
        <f aca="false">IF('RAW KVMC'!H24="","",'RAW KVMC'!H24)</f>
        <v>0</v>
      </c>
      <c r="M27" s="48" t="str">
        <f aca="false">IF('RAW KVMC'!I24="","",'RAW KVMC'!I24)</f>
        <v/>
      </c>
    </row>
    <row r="28" customFormat="false" ht="15" hidden="false" customHeight="false" outlineLevel="0" collapsed="false">
      <c r="A28" s="1" t="s">
        <v>1172</v>
      </c>
      <c r="B28" s="1" t="s">
        <v>154</v>
      </c>
      <c r="C28" s="1" t="s">
        <v>1145</v>
      </c>
      <c r="D28" s="1" t="n">
        <v>25</v>
      </c>
      <c r="E28" s="48" t="str">
        <f aca="false">IF('RAW KVMC'!A25="","",'RAW KVMC'!A25)</f>
        <v>Mobile Health Screening Unit</v>
      </c>
      <c r="F28" s="48" t="str">
        <f aca="false">IF('RAW KVMC'!B25="","",'RAW KVMC'!B25)</f>
        <v>Community-Based Clinical Services</v>
      </c>
      <c r="G28" s="49" t="n">
        <f aca="false">IF('RAW KVMC'!C25="","",'RAW KVMC'!C25)</f>
        <v>45869</v>
      </c>
      <c r="H28" s="48" t="str">
        <f aca="false">IF('RAW KVMC'!D25="","",'RAW KVMC'!D25)</f>
        <v>Medical Assistant</v>
      </c>
      <c r="I28" s="48" t="n">
        <f aca="false">IF('RAW KVMC'!E25="","",'RAW KVMC'!E25)</f>
        <v>130.25</v>
      </c>
      <c r="J28" s="48" t="n">
        <f aca="false">IF('RAW KVMC'!F25="","",'RAW KVMC'!F25)</f>
        <v>0</v>
      </c>
      <c r="K28" s="50" t="n">
        <f aca="false">IF('RAW KVMC'!G25="","",'RAW KVMC'!G25)</f>
        <v>0</v>
      </c>
      <c r="L28" s="50" t="n">
        <f aca="false">IF('RAW KVMC'!H25="","",'RAW KVMC'!H25)</f>
        <v>0</v>
      </c>
      <c r="M28" s="48" t="str">
        <f aca="false">IF('RAW KVMC'!I25="","",'RAW KVMC'!I25)</f>
        <v/>
      </c>
    </row>
    <row r="29" customFormat="false" ht="15" hidden="false" customHeight="false" outlineLevel="0" collapsed="false">
      <c r="A29" s="1" t="s">
        <v>1173</v>
      </c>
      <c r="B29" s="1" t="s">
        <v>154</v>
      </c>
      <c r="C29" s="1" t="s">
        <v>1145</v>
      </c>
      <c r="D29" s="1" t="n">
        <v>26</v>
      </c>
      <c r="E29" s="48" t="str">
        <f aca="false">IF('RAW KVMC'!A26="","",'RAW KVMC'!A26)</f>
        <v>Mobile Health Screening Unit</v>
      </c>
      <c r="F29" s="48" t="str">
        <f aca="false">IF('RAW KVMC'!B26="","",'RAW KVMC'!B26)</f>
        <v>Community-Based Clinical Services</v>
      </c>
      <c r="G29" s="49" t="n">
        <f aca="false">IF('RAW KVMC'!C26="","",'RAW KVMC'!C26)</f>
        <v>45869</v>
      </c>
      <c r="H29" s="48" t="str">
        <f aca="false">IF('RAW KVMC'!D26="","",'RAW KVMC'!D26)</f>
        <v>Clinical RN</v>
      </c>
      <c r="I29" s="48" t="n">
        <f aca="false">IF('RAW KVMC'!E26="","",'RAW KVMC'!E26)</f>
        <v>115.25</v>
      </c>
      <c r="J29" s="48" t="n">
        <f aca="false">IF('RAW KVMC'!F26="","",'RAW KVMC'!F26)</f>
        <v>245</v>
      </c>
      <c r="K29" s="50" t="n">
        <f aca="false">IF('RAW KVMC'!G26="","",'RAW KVMC'!G26)</f>
        <v>10540</v>
      </c>
      <c r="L29" s="50" t="n">
        <f aca="false">IF('RAW KVMC'!H26="","",'RAW KVMC'!H26)</f>
        <v>0</v>
      </c>
      <c r="M29" s="48" t="str">
        <f aca="false">IF('RAW KVMC'!I26="","",'RAW KVMC'!I26)</f>
        <v/>
      </c>
    </row>
    <row r="30" customFormat="false" ht="15" hidden="false" customHeight="false" outlineLevel="0" collapsed="false">
      <c r="A30" s="1" t="s">
        <v>1174</v>
      </c>
      <c r="B30" s="1" t="s">
        <v>154</v>
      </c>
      <c r="C30" s="1" t="s">
        <v>1145</v>
      </c>
      <c r="D30" s="1" t="n">
        <v>27</v>
      </c>
      <c r="E30" s="48" t="str">
        <f aca="false">IF('RAW KVMC'!A27="","",'RAW KVMC'!A27)</f>
        <v>Free Clinic Provider Staffing</v>
      </c>
      <c r="F30" s="48" t="str">
        <f aca="false">IF('RAW KVMC'!B27="","",'RAW KVMC'!B27)</f>
        <v>Community-Based Clinical Services</v>
      </c>
      <c r="G30" s="49" t="n">
        <f aca="false">IF('RAW KVMC'!C27="","",'RAW KVMC'!C27)</f>
        <v>45869</v>
      </c>
      <c r="H30" s="48" t="str">
        <f aca="false">IF('RAW KVMC'!D27="","",'RAW KVMC'!D27)</f>
        <v>APRN</v>
      </c>
      <c r="I30" s="48" t="n">
        <f aca="false">IF('RAW KVMC'!E27="","",'RAW KVMC'!E27)</f>
        <v>44</v>
      </c>
      <c r="J30" s="48" t="n">
        <f aca="false">IF('RAW KVMC'!F27="","",'RAW KVMC'!F27)</f>
        <v>301</v>
      </c>
      <c r="K30" s="50" t="n">
        <f aca="false">IF('RAW KVMC'!G27="","",'RAW KVMC'!G27)</f>
        <v>3920</v>
      </c>
      <c r="L30" s="50" t="n">
        <f aca="false">IF('RAW KVMC'!H27="","",'RAW KVMC'!H27)</f>
        <v>0</v>
      </c>
      <c r="M30" s="48" t="str">
        <f aca="false">IF('RAW KVMC'!I27="","",'RAW KVMC'!I27)</f>
        <v/>
      </c>
    </row>
    <row r="31" customFormat="false" ht="15" hidden="false" customHeight="false" outlineLevel="0" collapsed="false">
      <c r="A31" s="1" t="s">
        <v>1175</v>
      </c>
      <c r="B31" s="1" t="s">
        <v>154</v>
      </c>
      <c r="C31" s="1" t="s">
        <v>1145</v>
      </c>
      <c r="D31" s="1" t="n">
        <v>28</v>
      </c>
      <c r="E31" s="48" t="str">
        <f aca="false">IF('RAW KVMC'!A28="","",'RAW KVMC'!A28)</f>
        <v>Free Clinic Provider Staffing</v>
      </c>
      <c r="F31" s="48" t="str">
        <f aca="false">IF('RAW KVMC'!B28="","",'RAW KVMC'!B28)</f>
        <v>Community-Based Clinical Services</v>
      </c>
      <c r="G31" s="49" t="n">
        <f aca="false">IF('RAW KVMC'!C28="","",'RAW KVMC'!C28)</f>
        <v>45869</v>
      </c>
      <c r="H31" s="48" t="str">
        <f aca="false">IF('RAW KVMC'!D28="","",'RAW KVMC'!D28)</f>
        <v>RPh</v>
      </c>
      <c r="I31" s="48" t="n">
        <f aca="false">IF('RAW KVMC'!E28="","",'RAW KVMC'!E28)</f>
        <v>13.75</v>
      </c>
      <c r="J31" s="48" t="n">
        <f aca="false">IF('RAW KVMC'!F28="","",'RAW KVMC'!F28)</f>
        <v>0</v>
      </c>
      <c r="K31" s="50" t="n">
        <f aca="false">IF('RAW KVMC'!G28="","",'RAW KVMC'!G28)</f>
        <v>0</v>
      </c>
      <c r="L31" s="50" t="n">
        <f aca="false">IF('RAW KVMC'!H28="","",'RAW KVMC'!H28)</f>
        <v>0</v>
      </c>
      <c r="M31" s="48" t="str">
        <f aca="false">IF('RAW KVMC'!I28="","",'RAW KVMC'!I28)</f>
        <v/>
      </c>
    </row>
    <row r="32" customFormat="false" ht="15" hidden="false" customHeight="false" outlineLevel="0" collapsed="false">
      <c r="A32" s="1" t="s">
        <v>1176</v>
      </c>
      <c r="B32" s="1" t="s">
        <v>154</v>
      </c>
      <c r="C32" s="1" t="s">
        <v>1145</v>
      </c>
      <c r="D32" s="1" t="n">
        <v>29</v>
      </c>
      <c r="E32" s="48" t="str">
        <f aca="false">IF('RAW KVMC'!A29="","",'RAW KVMC'!A29)</f>
        <v>Free Clinic Provider Staffing</v>
      </c>
      <c r="F32" s="48" t="str">
        <f aca="false">IF('RAW KVMC'!B29="","",'RAW KVMC'!B29)</f>
        <v>Community-Based Clinical Services</v>
      </c>
      <c r="G32" s="49" t="n">
        <f aca="false">IF('RAW KVMC'!C29="","",'RAW KVMC'!C29)</f>
        <v>45869</v>
      </c>
      <c r="H32" s="48" t="str">
        <f aca="false">IF('RAW KVMC'!D29="","",'RAW KVMC'!D29)</f>
        <v>Reg Nurse</v>
      </c>
      <c r="I32" s="48" t="n">
        <f aca="false">IF('RAW KVMC'!E29="","",'RAW KVMC'!E29)</f>
        <v>59.25</v>
      </c>
      <c r="J32" s="48" t="n">
        <f aca="false">IF('RAW KVMC'!F29="","",'RAW KVMC'!F29)</f>
        <v>0</v>
      </c>
      <c r="K32" s="50" t="n">
        <f aca="false">IF('RAW KVMC'!G29="","",'RAW KVMC'!G29)</f>
        <v>0</v>
      </c>
      <c r="L32" s="50" t="n">
        <f aca="false">IF('RAW KVMC'!H29="","",'RAW KVMC'!H29)</f>
        <v>0</v>
      </c>
      <c r="M32" s="48" t="str">
        <f aca="false">IF('RAW KVMC'!I29="","",'RAW KVMC'!I29)</f>
        <v/>
      </c>
    </row>
    <row r="33" customFormat="false" ht="15" hidden="false" customHeight="false" outlineLevel="0" collapsed="false">
      <c r="A33" s="1" t="s">
        <v>1177</v>
      </c>
      <c r="B33" s="1" t="s">
        <v>154</v>
      </c>
      <c r="C33" s="1" t="s">
        <v>1145</v>
      </c>
      <c r="D33" s="1" t="n">
        <v>30</v>
      </c>
      <c r="E33" s="48" t="str">
        <f aca="false">IF('RAW KVMC'!A30="","",'RAW KVMC'!A30)</f>
        <v>Community Health Worker Outreach</v>
      </c>
      <c r="F33" s="48" t="str">
        <f aca="false">IF('RAW KVMC'!B30="","",'RAW KVMC'!B30)</f>
        <v>Health Care Support Services</v>
      </c>
      <c r="G33" s="49" t="n">
        <f aca="false">IF('RAW KVMC'!C30="","",'RAW KVMC'!C30)</f>
        <v>45869</v>
      </c>
      <c r="H33" s="48" t="str">
        <f aca="false">IF('RAW KVMC'!D30="","",'RAW KVMC'!D30)</f>
        <v>Community Health Worker</v>
      </c>
      <c r="I33" s="48" t="n">
        <f aca="false">IF('RAW KVMC'!E30="","",'RAW KVMC'!E30)</f>
        <v>387.75</v>
      </c>
      <c r="J33" s="48" t="n">
        <f aca="false">IF('RAW KVMC'!F30="","",'RAW KVMC'!F30)</f>
        <v>398</v>
      </c>
      <c r="K33" s="50" t="n">
        <f aca="false">IF('RAW KVMC'!G30="","",'RAW KVMC'!G30)</f>
        <v>2035</v>
      </c>
      <c r="L33" s="50" t="n">
        <f aca="false">IF('RAW KVMC'!H30="","",'RAW KVMC'!H30)</f>
        <v>0</v>
      </c>
      <c r="M33" s="48" t="str">
        <f aca="false">IF('RAW KVMC'!I30="","",'RAW KVMC'!I30)</f>
        <v/>
      </c>
    </row>
    <row r="34" customFormat="false" ht="15" hidden="false" customHeight="false" outlineLevel="0" collapsed="false">
      <c r="A34" s="1" t="s">
        <v>1178</v>
      </c>
      <c r="B34" s="1" t="s">
        <v>154</v>
      </c>
      <c r="C34" s="1" t="s">
        <v>1145</v>
      </c>
      <c r="D34" s="1" t="n">
        <v>31</v>
      </c>
      <c r="E34" s="48" t="str">
        <f aca="false">IF('RAW KVMC'!A31="","",'RAW KVMC'!A31)</f>
        <v>Community Health Worker Outreach</v>
      </c>
      <c r="F34" s="48" t="str">
        <f aca="false">IF('RAW KVMC'!B31="","",'RAW KVMC'!B31)</f>
        <v>Health Care Support Services</v>
      </c>
      <c r="G34" s="49" t="n">
        <f aca="false">IF('RAW KVMC'!C31="","",'RAW KVMC'!C31)</f>
        <v>45869</v>
      </c>
      <c r="H34" s="48" t="str">
        <f aca="false">IF('RAW KVMC'!D31="","",'RAW KVMC'!D31)</f>
        <v>financial navigator</v>
      </c>
      <c r="I34" s="48" t="n">
        <f aca="false">IF('RAW KVMC'!E31="","",'RAW KVMC'!E31)</f>
        <v>155.5</v>
      </c>
      <c r="J34" s="48" t="n">
        <f aca="false">IF('RAW KVMC'!F31="","",'RAW KVMC'!F31)</f>
        <v>0</v>
      </c>
      <c r="K34" s="50" t="n">
        <f aca="false">IF('RAW KVMC'!G31="","",'RAW KVMC'!G31)</f>
        <v>0</v>
      </c>
      <c r="L34" s="50" t="n">
        <f aca="false">IF('RAW KVMC'!H31="","",'RAW KVMC'!H31)</f>
        <v>0</v>
      </c>
      <c r="M34" s="48" t="str">
        <f aca="false">IF('RAW KVMC'!I31="","",'RAW KVMC'!I31)</f>
        <v/>
      </c>
    </row>
    <row r="35" customFormat="false" ht="15" hidden="false" customHeight="false" outlineLevel="0" collapsed="false">
      <c r="A35" s="1" t="s">
        <v>1179</v>
      </c>
      <c r="B35" s="1" t="s">
        <v>154</v>
      </c>
      <c r="C35" s="1" t="s">
        <v>1145</v>
      </c>
      <c r="D35" s="1" t="n">
        <v>32</v>
      </c>
      <c r="E35" s="48" t="str">
        <f aca="false">IF('RAW KVMC'!A32="","",'RAW KVMC'!A32)</f>
        <v>Medication Assistance Program</v>
      </c>
      <c r="F35" s="48" t="str">
        <f aca="false">IF('RAW KVMC'!B32="","",'RAW KVMC'!B32)</f>
        <v>Health Care Support Services</v>
      </c>
      <c r="G35" s="49" t="n">
        <f aca="false">IF('RAW KVMC'!C32="","",'RAW KVMC'!C32)</f>
        <v>45869</v>
      </c>
      <c r="H35" s="48" t="str">
        <f aca="false">IF('RAW KVMC'!D32="","",'RAW KVMC'!D32)</f>
        <v>Financial Navigator</v>
      </c>
      <c r="I35" s="48" t="n">
        <f aca="false">IF('RAW KVMC'!E32="","",'RAW KVMC'!E32)</f>
        <v>90.75</v>
      </c>
      <c r="J35" s="48" t="n">
        <f aca="false">IF('RAW KVMC'!F32="","",'RAW KVMC'!F32)</f>
        <v>0</v>
      </c>
      <c r="K35" s="50" t="n">
        <f aca="false">IF('RAW KVMC'!G32="","",'RAW KVMC'!G32)</f>
        <v>0</v>
      </c>
      <c r="L35" s="50" t="n">
        <f aca="false">IF('RAW KVMC'!H32="","",'RAW KVMC'!H32)</f>
        <v>0</v>
      </c>
      <c r="M35" s="48" t="str">
        <f aca="false">IF('RAW KVMC'!I32="","",'RAW KVMC'!I32)</f>
        <v/>
      </c>
    </row>
    <row r="36" customFormat="false" ht="15" hidden="false" customHeight="false" outlineLevel="0" collapsed="false">
      <c r="A36" s="1" t="s">
        <v>1180</v>
      </c>
      <c r="B36" s="1" t="s">
        <v>154</v>
      </c>
      <c r="C36" s="1" t="s">
        <v>1145</v>
      </c>
      <c r="D36" s="1" t="n">
        <v>33</v>
      </c>
      <c r="E36" s="48" t="str">
        <f aca="false">IF('RAW KVMC'!A33="","",'RAW KVMC'!A33)</f>
        <v>Medication Assistance Program</v>
      </c>
      <c r="F36" s="48" t="str">
        <f aca="false">IF('RAW KVMC'!B33="","",'RAW KVMC'!B33)</f>
        <v>Health Care Support Services</v>
      </c>
      <c r="G36" s="49" t="n">
        <f aca="false">IF('RAW KVMC'!C33="","",'RAW KVMC'!C33)</f>
        <v>45869</v>
      </c>
      <c r="H36" s="48" t="str">
        <f aca="false">IF('RAW KVMC'!D33="","",'RAW KVMC'!D33)</f>
        <v>RPh</v>
      </c>
      <c r="I36" s="48" t="n">
        <f aca="false">IF('RAW KVMC'!E33="","",'RAW KVMC'!E33)</f>
        <v>24.25</v>
      </c>
      <c r="J36" s="48" t="n">
        <f aca="false">IF('RAW KVMC'!F33="","",'RAW KVMC'!F33)</f>
        <v>93</v>
      </c>
      <c r="K36" s="50" t="n">
        <f aca="false">IF('RAW KVMC'!G33="","",'RAW KVMC'!G33)</f>
        <v>29375</v>
      </c>
      <c r="L36" s="50" t="n">
        <f aca="false">IF('RAW KVMC'!H33="","",'RAW KVMC'!H33)</f>
        <v>0</v>
      </c>
      <c r="M36" s="48" t="str">
        <f aca="false">IF('RAW KVMC'!I33="","",'RAW KVMC'!I33)</f>
        <v/>
      </c>
    </row>
    <row r="37" customFormat="false" ht="15" hidden="false" customHeight="false" outlineLevel="0" collapsed="false">
      <c r="A37" s="1" t="s">
        <v>1181</v>
      </c>
      <c r="B37" s="1" t="s">
        <v>154</v>
      </c>
      <c r="C37" s="1" t="s">
        <v>1145</v>
      </c>
      <c r="D37" s="1" t="n">
        <v>34</v>
      </c>
      <c r="E37" s="48" t="str">
        <f aca="false">IF('RAW KVMC'!A34="","",'RAW KVMC'!A34)</f>
        <v>Community Health Needs Assessment</v>
      </c>
      <c r="F37" s="48" t="str">
        <f aca="false">IF('RAW KVMC'!B34="","",'RAW KVMC'!B34)</f>
        <v>CB Operations</v>
      </c>
      <c r="G37" s="49" t="n">
        <f aca="false">IF('RAW KVMC'!C34="","",'RAW KVMC'!C34)</f>
        <v>45869</v>
      </c>
      <c r="H37" s="48" t="str">
        <f aca="false">IF('RAW KVMC'!D34="","",'RAW KVMC'!D34)</f>
        <v>Community Benefit Manager</v>
      </c>
      <c r="I37" s="48" t="n">
        <f aca="false">IF('RAW KVMC'!E34="","",'RAW KVMC'!E34)</f>
        <v>38.25</v>
      </c>
      <c r="J37" s="48" t="n">
        <f aca="false">IF('RAW KVMC'!F34="","",'RAW KVMC'!F34)</f>
        <v>0</v>
      </c>
      <c r="K37" s="50" t="n">
        <f aca="false">IF('RAW KVMC'!G34="","",'RAW KVMC'!G34)</f>
        <v>1250</v>
      </c>
      <c r="L37" s="50" t="n">
        <f aca="false">IF('RAW KVMC'!H34="","",'RAW KVMC'!H34)</f>
        <v>0</v>
      </c>
      <c r="M37" s="48" t="str">
        <f aca="false">IF('RAW KVMC'!I34="","",'RAW KVMC'!I34)</f>
        <v/>
      </c>
    </row>
    <row r="38" customFormat="false" ht="15" hidden="false" customHeight="false" outlineLevel="0" collapsed="false">
      <c r="A38" s="1" t="s">
        <v>1182</v>
      </c>
      <c r="B38" s="1" t="s">
        <v>154</v>
      </c>
      <c r="C38" s="1" t="s">
        <v>1145</v>
      </c>
      <c r="D38" s="1" t="n">
        <v>35</v>
      </c>
      <c r="E38" s="48" t="str">
        <f aca="false">IF('RAW KVMC'!A35="","",'RAW KVMC'!A35)</f>
        <v>Community Health Needs Assessment</v>
      </c>
      <c r="F38" s="48" t="str">
        <f aca="false">IF('RAW KVMC'!B35="","",'RAW KVMC'!B35)</f>
        <v>CB Operations</v>
      </c>
      <c r="G38" s="49" t="n">
        <f aca="false">IF('RAW KVMC'!C35="","",'RAW KVMC'!C35)</f>
        <v>45869</v>
      </c>
      <c r="H38" s="48" t="str">
        <f aca="false">IF('RAW KVMC'!D35="","",'RAW KVMC'!D35)</f>
        <v>Sr Data Analyst</v>
      </c>
      <c r="I38" s="48" t="n">
        <f aca="false">IF('RAW KVMC'!E35="","",'RAW KVMC'!E35)</f>
        <v>24</v>
      </c>
      <c r="J38" s="48" t="n">
        <f aca="false">IF('RAW KVMC'!F35="","",'RAW KVMC'!F35)</f>
        <v>0</v>
      </c>
      <c r="K38" s="50" t="n">
        <f aca="false">IF('RAW KVMC'!G35="","",'RAW KVMC'!G35)</f>
        <v>0</v>
      </c>
      <c r="L38" s="50" t="n">
        <f aca="false">IF('RAW KVMC'!H35="","",'RAW KVMC'!H35)</f>
        <v>0</v>
      </c>
      <c r="M38" s="48" t="str">
        <f aca="false">IF('RAW KVMC'!I35="","",'RAW KVMC'!I35)</f>
        <v/>
      </c>
    </row>
    <row r="39" customFormat="false" ht="15" hidden="false" customHeight="false" outlineLevel="0" collapsed="false">
      <c r="A39" s="1" t="s">
        <v>1183</v>
      </c>
      <c r="B39" s="1" t="s">
        <v>154</v>
      </c>
      <c r="C39" s="1" t="s">
        <v>1145</v>
      </c>
      <c r="D39" s="1" t="n">
        <v>36</v>
      </c>
      <c r="E39" s="48" t="str">
        <f aca="false">IF('RAW KVMC'!A36="","",'RAW KVMC'!A36)</f>
        <v>Community Benefit Program Administration</v>
      </c>
      <c r="F39" s="48" t="str">
        <f aca="false">IF('RAW KVMC'!B36="","",'RAW KVMC'!B36)</f>
        <v>CB Operations</v>
      </c>
      <c r="G39" s="49" t="n">
        <f aca="false">IF('RAW KVMC'!C36="","",'RAW KVMC'!C36)</f>
        <v>45869</v>
      </c>
      <c r="H39" s="48" t="str">
        <f aca="false">IF('RAW KVMC'!D36="","",'RAW KVMC'!D36)</f>
        <v> Administrative Assistant</v>
      </c>
      <c r="I39" s="48" t="n">
        <f aca="false">IF('RAW KVMC'!E36="","",'RAW KVMC'!E36)</f>
        <v>48.75</v>
      </c>
      <c r="J39" s="48" t="n">
        <f aca="false">IF('RAW KVMC'!F36="","",'RAW KVMC'!F36)</f>
        <v>0</v>
      </c>
      <c r="K39" s="50" t="n">
        <f aca="false">IF('RAW KVMC'!G36="","",'RAW KVMC'!G36)</f>
        <v>0</v>
      </c>
      <c r="L39" s="50" t="n">
        <f aca="false">IF('RAW KVMC'!H36="","",'RAW KVMC'!H36)</f>
        <v>0</v>
      </c>
      <c r="M39" s="48" t="str">
        <f aca="false">IF('RAW KVMC'!I36="","",'RAW KVMC'!I36)</f>
        <v/>
      </c>
    </row>
    <row r="40" customFormat="false" ht="15" hidden="false" customHeight="false" outlineLevel="0" collapsed="false">
      <c r="A40" s="1" t="s">
        <v>1184</v>
      </c>
      <c r="B40" s="1" t="s">
        <v>154</v>
      </c>
      <c r="C40" s="1" t="s">
        <v>1145</v>
      </c>
      <c r="D40" s="1" t="n">
        <v>37</v>
      </c>
      <c r="E40" s="48" t="str">
        <f aca="false">IF('RAW KVMC'!A37="","",'RAW KVMC'!A37)</f>
        <v>Community Benefit Program Administration</v>
      </c>
      <c r="F40" s="48" t="str">
        <f aca="false">IF('RAW KVMC'!B37="","",'RAW KVMC'!B37)</f>
        <v>CB Operations</v>
      </c>
      <c r="G40" s="49" t="n">
        <f aca="false">IF('RAW KVMC'!C37="","",'RAW KVMC'!C37)</f>
        <v>45869</v>
      </c>
      <c r="H40" s="48" t="str">
        <f aca="false">IF('RAW KVMC'!D37="","",'RAW KVMC'!D37)</f>
        <v>Community Benefit Manager</v>
      </c>
      <c r="I40" s="48" t="n">
        <f aca="false">IF('RAW KVMC'!E37="","",'RAW KVMC'!E37)</f>
        <v>92</v>
      </c>
      <c r="J40" s="48" t="n">
        <f aca="false">IF('RAW KVMC'!F37="","",'RAW KVMC'!F37)</f>
        <v>0</v>
      </c>
      <c r="K40" s="50" t="n">
        <f aca="false">IF('RAW KVMC'!G37="","",'RAW KVMC'!G37)</f>
        <v>590</v>
      </c>
      <c r="L40" s="50" t="n">
        <f aca="false">IF('RAW KVMC'!H37="","",'RAW KVMC'!H37)</f>
        <v>0</v>
      </c>
      <c r="M40" s="48" t="str">
        <f aca="false">IF('RAW KVMC'!I37="","",'RAW KVMC'!I37)</f>
        <v/>
      </c>
    </row>
    <row r="41" customFormat="false" ht="15" hidden="false" customHeight="false" outlineLevel="0" collapsed="false">
      <c r="A41" s="1" t="s">
        <v>1185</v>
      </c>
      <c r="B41" s="1" t="s">
        <v>154</v>
      </c>
      <c r="C41" s="1" t="s">
        <v>1145</v>
      </c>
      <c r="D41" s="1" t="n">
        <v>38</v>
      </c>
      <c r="E41" s="48" t="str">
        <f aca="false">IF('RAW KVMC'!A38="","",'RAW KVMC'!A38)</f>
        <v>Interpreter Services for Community Clinics</v>
      </c>
      <c r="F41" s="48" t="str">
        <f aca="false">IF('RAW KVMC'!B38="","",'RAW KVMC'!B38)</f>
        <v>Health Care Support Services</v>
      </c>
      <c r="G41" s="49" t="n">
        <f aca="false">IF('RAW KVMC'!C38="","",'RAW KVMC'!C38)</f>
        <v>45869</v>
      </c>
      <c r="H41" s="48" t="str">
        <f aca="false">IF('RAW KVMC'!D38="","",'RAW KVMC'!D38)</f>
        <v>Spanish Interpreter</v>
      </c>
      <c r="I41" s="48" t="n">
        <f aca="false">IF('RAW KVMC'!E38="","",'RAW KVMC'!E38)</f>
        <v>51</v>
      </c>
      <c r="J41" s="48" t="n">
        <f aca="false">IF('RAW KVMC'!F38="","",'RAW KVMC'!F38)</f>
        <v>186</v>
      </c>
      <c r="K41" s="50" t="n">
        <f aca="false">IF('RAW KVMC'!G38="","",'RAW KVMC'!G38)</f>
        <v>0</v>
      </c>
      <c r="L41" s="50" t="n">
        <f aca="false">IF('RAW KVMC'!H38="","",'RAW KVMC'!H38)</f>
        <v>0</v>
      </c>
      <c r="M41" s="48" t="str">
        <f aca="false">IF('RAW KVMC'!I38="","",'RAW KVMC'!I38)</f>
        <v/>
      </c>
    </row>
    <row r="42" customFormat="false" ht="15" hidden="false" customHeight="false" outlineLevel="0" collapsed="false">
      <c r="A42" s="1" t="s">
        <v>1186</v>
      </c>
      <c r="B42" s="1" t="s">
        <v>154</v>
      </c>
      <c r="C42" s="1" t="s">
        <v>1145</v>
      </c>
      <c r="D42" s="1" t="n">
        <v>39</v>
      </c>
      <c r="E42" s="48" t="str">
        <f aca="false">IF('RAW KVMC'!A39="","",'RAW KVMC'!A39)</f>
        <v>Nursing Student Clinical Rotations</v>
      </c>
      <c r="F42" s="48" t="str">
        <f aca="false">IF('RAW KVMC'!B39="","",'RAW KVMC'!B39)</f>
        <v>Health Professions Education</v>
      </c>
      <c r="G42" s="49" t="n">
        <f aca="false">IF('RAW KVMC'!C39="","",'RAW KVMC'!C39)</f>
        <v>45869</v>
      </c>
      <c r="H42" s="48" t="str">
        <f aca="false">IF('RAW KVMC'!D39="","",'RAW KVMC'!D39)</f>
        <v>Educator, Nursing </v>
      </c>
      <c r="I42" s="48" t="n">
        <f aca="false">IF('RAW KVMC'!E39="","",'RAW KVMC'!E39)</f>
        <v>61</v>
      </c>
      <c r="J42" s="48" t="n">
        <f aca="false">IF('RAW KVMC'!F39="","",'RAW KVMC'!F39)</f>
        <v>9</v>
      </c>
      <c r="K42" s="50" t="n">
        <f aca="false">IF('RAW KVMC'!G39="","",'RAW KVMC'!G39)</f>
        <v>600</v>
      </c>
      <c r="L42" s="50" t="n">
        <f aca="false">IF('RAW KVMC'!H39="","",'RAW KVMC'!H39)</f>
        <v>0</v>
      </c>
      <c r="M42" s="48" t="str">
        <f aca="false">IF('RAW KVMC'!I39="","",'RAW KVMC'!I39)</f>
        <v/>
      </c>
    </row>
    <row r="43" customFormat="false" ht="15" hidden="false" customHeight="false" outlineLevel="0" collapsed="false">
      <c r="A43" s="1" t="s">
        <v>1187</v>
      </c>
      <c r="B43" s="1" t="s">
        <v>154</v>
      </c>
      <c r="C43" s="1" t="s">
        <v>1145</v>
      </c>
      <c r="D43" s="1" t="n">
        <v>40</v>
      </c>
      <c r="E43" s="48" t="str">
        <f aca="false">IF('RAW KVMC'!A40="","",'RAW KVMC'!A40)</f>
        <v>Nursing Student Clinical Rotations</v>
      </c>
      <c r="F43" s="48" t="str">
        <f aca="false">IF('RAW KVMC'!B40="","",'RAW KVMC'!B40)</f>
        <v>Health Professions Education</v>
      </c>
      <c r="G43" s="49" t="n">
        <f aca="false">IF('RAW KVMC'!C40="","",'RAW KVMC'!C40)</f>
        <v>45869</v>
      </c>
      <c r="H43" s="48" t="str">
        <f aca="false">IF('RAW KVMC'!D40="","",'RAW KVMC'!D40)</f>
        <v>RN III</v>
      </c>
      <c r="I43" s="48" t="n">
        <f aca="false">IF('RAW KVMC'!E40="","",'RAW KVMC'!E40)</f>
        <v>110.25</v>
      </c>
      <c r="J43" s="48" t="n">
        <f aca="false">IF('RAW KVMC'!F40="","",'RAW KVMC'!F40)</f>
        <v>0</v>
      </c>
      <c r="K43" s="50" t="n">
        <f aca="false">IF('RAW KVMC'!G40="","",'RAW KVMC'!G40)</f>
        <v>0</v>
      </c>
      <c r="L43" s="50" t="n">
        <f aca="false">IF('RAW KVMC'!H40="","",'RAW KVMC'!H40)</f>
        <v>0</v>
      </c>
      <c r="M43" s="48" t="str">
        <f aca="false">IF('RAW KVMC'!I40="","",'RAW KVMC'!I40)</f>
        <v/>
      </c>
    </row>
    <row r="44" customFormat="false" ht="15" hidden="false" customHeight="false" outlineLevel="0" collapsed="false">
      <c r="A44" s="1" t="s">
        <v>1188</v>
      </c>
      <c r="B44" s="1" t="s">
        <v>154</v>
      </c>
      <c r="C44" s="1" t="s">
        <v>1145</v>
      </c>
      <c r="D44" s="1" t="n">
        <v>41</v>
      </c>
      <c r="E44" s="48" t="str">
        <f aca="false">IF('RAW KVMC'!A41="","",'RAW KVMC'!A41)</f>
        <v>Family Medicine Residency Program</v>
      </c>
      <c r="F44" s="48" t="str">
        <f aca="false">IF('RAW KVMC'!B41="","",'RAW KVMC'!B41)</f>
        <v>Health Professions Education</v>
      </c>
      <c r="G44" s="49" t="n">
        <f aca="false">IF('RAW KVMC'!C41="","",'RAW KVMC'!C41)</f>
        <v>45869</v>
      </c>
      <c r="H44" s="48" t="str">
        <f aca="false">IF('RAW KVMC'!D41="","",'RAW KVMC'!D41)</f>
        <v>Physician</v>
      </c>
      <c r="I44" s="48" t="n">
        <f aca="false">IF('RAW KVMC'!E41="","",'RAW KVMC'!E41)</f>
        <v>367.5</v>
      </c>
      <c r="J44" s="48" t="n">
        <f aca="false">IF('RAW KVMC'!F41="","",'RAW KVMC'!F41)</f>
        <v>24</v>
      </c>
      <c r="K44" s="50" t="n">
        <f aca="false">IF('RAW KVMC'!G41="","",'RAW KVMC'!G41)</f>
        <v>31560</v>
      </c>
      <c r="L44" s="50" t="n">
        <f aca="false">IF('RAW KVMC'!H41="","",'RAW KVMC'!H41)</f>
        <v>168940</v>
      </c>
      <c r="M44" s="48" t="str">
        <f aca="false">IF('RAW KVMC'!I41="","",'RAW KVMC'!I41)</f>
        <v/>
      </c>
    </row>
    <row r="45" customFormat="false" ht="15" hidden="false" customHeight="false" outlineLevel="0" collapsed="false">
      <c r="A45" s="1" t="s">
        <v>1189</v>
      </c>
      <c r="B45" s="1" t="s">
        <v>154</v>
      </c>
      <c r="C45" s="1" t="s">
        <v>1145</v>
      </c>
      <c r="D45" s="1" t="n">
        <v>42</v>
      </c>
      <c r="E45" s="48" t="str">
        <f aca="false">IF('RAW KVMC'!A42="","",'RAW KVMC'!A42)</f>
        <v>Family Medicine Residency Program</v>
      </c>
      <c r="F45" s="48" t="str">
        <f aca="false">IF('RAW KVMC'!B42="","",'RAW KVMC'!B42)</f>
        <v>Health Professions Education</v>
      </c>
      <c r="G45" s="49" t="n">
        <f aca="false">IF('RAW KVMC'!C42="","",'RAW KVMC'!C42)</f>
        <v>45869</v>
      </c>
      <c r="H45" s="48" t="str">
        <f aca="false">IF('RAW KVMC'!D42="","",'RAW KVMC'!D42)</f>
        <v>Coordinator</v>
      </c>
      <c r="I45" s="48" t="n">
        <f aca="false">IF('RAW KVMC'!E42="","",'RAW KVMC'!E42)</f>
        <v>162</v>
      </c>
      <c r="J45" s="48" t="n">
        <f aca="false">IF('RAW KVMC'!F42="","",'RAW KVMC'!F42)</f>
        <v>0</v>
      </c>
      <c r="K45" s="50" t="n">
        <f aca="false">IF('RAW KVMC'!G42="","",'RAW KVMC'!G42)</f>
        <v>0</v>
      </c>
      <c r="L45" s="50" t="n">
        <f aca="false">IF('RAW KVMC'!H42="","",'RAW KVMC'!H42)</f>
        <v>0</v>
      </c>
      <c r="M45" s="48" t="str">
        <f aca="false">IF('RAW KVMC'!I42="","",'RAW KVMC'!I42)</f>
        <v/>
      </c>
    </row>
    <row r="46" customFormat="false" ht="15" hidden="false" customHeight="false" outlineLevel="0" collapsed="false">
      <c r="A46" s="1" t="s">
        <v>1190</v>
      </c>
      <c r="B46" s="1" t="s">
        <v>154</v>
      </c>
      <c r="C46" s="1" t="s">
        <v>1145</v>
      </c>
      <c r="D46" s="1" t="n">
        <v>43</v>
      </c>
      <c r="E46" s="48" t="str">
        <f aca="false">IF('RAW KVMC'!A43="","",'RAW KVMC'!A43)</f>
        <v>Family Medicine Residency Program</v>
      </c>
      <c r="F46" s="48" t="str">
        <f aca="false">IF('RAW KVMC'!B43="","",'RAW KVMC'!B43)</f>
        <v>Health Professions Education</v>
      </c>
      <c r="G46" s="49" t="n">
        <f aca="false">IF('RAW KVMC'!C43="","",'RAW KVMC'!C43)</f>
        <v>45869</v>
      </c>
      <c r="H46" s="48" t="str">
        <f aca="false">IF('RAW KVMC'!D43="","",'RAW KVMC'!D43)</f>
        <v>Resident Physician</v>
      </c>
      <c r="I46" s="48" t="n">
        <f aca="false">IF('RAW KVMC'!E43="","",'RAW KVMC'!E43)</f>
        <v>3989.5</v>
      </c>
      <c r="J46" s="48" t="n">
        <f aca="false">IF('RAW KVMC'!F43="","",'RAW KVMC'!F43)</f>
        <v>0</v>
      </c>
      <c r="K46" s="50" t="n">
        <f aca="false">IF('RAW KVMC'!G43="","",'RAW KVMC'!G43)</f>
        <v>0</v>
      </c>
      <c r="L46" s="50" t="n">
        <f aca="false">IF('RAW KVMC'!H43="","",'RAW KVMC'!H43)</f>
        <v>0</v>
      </c>
      <c r="M46" s="48" t="str">
        <f aca="false">IF('RAW KVMC'!I43="","",'RAW KVMC'!I43)</f>
        <v/>
      </c>
    </row>
    <row r="47" customFormat="false" ht="15" hidden="false" customHeight="false" outlineLevel="0" collapsed="false">
      <c r="A47" s="1" t="s">
        <v>1191</v>
      </c>
      <c r="B47" s="1" t="s">
        <v>154</v>
      </c>
      <c r="C47" s="1" t="s">
        <v>1145</v>
      </c>
      <c r="D47" s="1" t="n">
        <v>44</v>
      </c>
      <c r="E47" s="48" t="str">
        <f aca="false">IF('RAW KVMC'!A44="","",'RAW KVMC'!A44)</f>
        <v>Pharmacy Student Rotations</v>
      </c>
      <c r="F47" s="48" t="str">
        <f aca="false">IF('RAW KVMC'!B44="","",'RAW KVMC'!B44)</f>
        <v>Health Professions Education</v>
      </c>
      <c r="G47" s="49" t="n">
        <f aca="false">IF('RAW KVMC'!C44="","",'RAW KVMC'!C44)</f>
        <v>45869</v>
      </c>
      <c r="H47" s="48" t="str">
        <f aca="false">IF('RAW KVMC'!D44="","",'RAW KVMC'!D44)</f>
        <v>Pharmacist</v>
      </c>
      <c r="I47" s="48" t="n">
        <f aca="false">IF('RAW KVMC'!E44="","",'RAW KVMC'!E44)</f>
        <v>77.5</v>
      </c>
      <c r="J47" s="48" t="n">
        <f aca="false">IF('RAW KVMC'!F44="","",'RAW KVMC'!F44)</f>
        <v>5</v>
      </c>
      <c r="K47" s="50" t="n">
        <f aca="false">IF('RAW KVMC'!G44="","",'RAW KVMC'!G44)</f>
        <v>215</v>
      </c>
      <c r="L47" s="50" t="n">
        <f aca="false">IF('RAW KVMC'!H44="","",'RAW KVMC'!H44)</f>
        <v>0</v>
      </c>
      <c r="M47" s="48" t="str">
        <f aca="false">IF('RAW KVMC'!I44="","",'RAW KVMC'!I44)</f>
        <v/>
      </c>
    </row>
    <row r="48" customFormat="false" ht="15" hidden="false" customHeight="false" outlineLevel="0" collapsed="false">
      <c r="A48" s="1" t="s">
        <v>1192</v>
      </c>
      <c r="B48" s="1" t="s">
        <v>154</v>
      </c>
      <c r="C48" s="1" t="s">
        <v>1145</v>
      </c>
      <c r="D48" s="1" t="n">
        <v>45</v>
      </c>
      <c r="E48" s="48" t="str">
        <f aca="false">IF('RAW KVMC'!A45="","",'RAW KVMC'!A45)</f>
        <v>Community Hypertension Control Study</v>
      </c>
      <c r="F48" s="48" t="str">
        <f aca="false">IF('RAW KVMC'!B45="","",'RAW KVMC'!B45)</f>
        <v>Research</v>
      </c>
      <c r="G48" s="49" t="n">
        <f aca="false">IF('RAW KVMC'!C45="","",'RAW KVMC'!C45)</f>
        <v>45869</v>
      </c>
      <c r="H48" s="48" t="str">
        <f aca="false">IF('RAW KVMC'!D45="","",'RAW KVMC'!D45)</f>
        <v>BI Analyst</v>
      </c>
      <c r="I48" s="48" t="n">
        <f aca="false">IF('RAW KVMC'!E45="","",'RAW KVMC'!E45)</f>
        <v>43.75</v>
      </c>
      <c r="J48" s="48" t="n">
        <f aca="false">IF('RAW KVMC'!F45="","",'RAW KVMC'!F45)</f>
        <v>0</v>
      </c>
      <c r="K48" s="50" t="n">
        <f aca="false">IF('RAW KVMC'!G45="","",'RAW KVMC'!G45)</f>
        <v>0</v>
      </c>
      <c r="L48" s="50" t="n">
        <f aca="false">IF('RAW KVMC'!H45="","",'RAW KVMC'!H45)</f>
        <v>0</v>
      </c>
      <c r="M48" s="48" t="str">
        <f aca="false">IF('RAW KVMC'!I45="","",'RAW KVMC'!I45)</f>
        <v/>
      </c>
    </row>
    <row r="49" customFormat="false" ht="15" hidden="false" customHeight="false" outlineLevel="0" collapsed="false">
      <c r="A49" s="1" t="s">
        <v>1193</v>
      </c>
      <c r="B49" s="1" t="s">
        <v>154</v>
      </c>
      <c r="C49" s="1" t="s">
        <v>1145</v>
      </c>
      <c r="D49" s="1" t="n">
        <v>46</v>
      </c>
      <c r="E49" s="48" t="str">
        <f aca="false">IF('RAW KVMC'!A46="","",'RAW KVMC'!A46)</f>
        <v>Community Hypertension Control Study</v>
      </c>
      <c r="F49" s="48" t="str">
        <f aca="false">IF('RAW KVMC'!B46="","",'RAW KVMC'!B46)</f>
        <v>Research</v>
      </c>
      <c r="G49" s="49" t="n">
        <f aca="false">IF('RAW KVMC'!C46="","",'RAW KVMC'!C46)</f>
        <v>45869</v>
      </c>
      <c r="H49" s="48" t="str">
        <f aca="false">IF('RAW KVMC'!D46="","",'RAW KVMC'!D46)</f>
        <v> Dr.</v>
      </c>
      <c r="I49" s="48" t="n">
        <f aca="false">IF('RAW KVMC'!E46="","",'RAW KVMC'!E46)</f>
        <v>23</v>
      </c>
      <c r="J49" s="48" t="n">
        <f aca="false">IF('RAW KVMC'!F46="","",'RAW KVMC'!F46)</f>
        <v>0</v>
      </c>
      <c r="K49" s="50" t="n">
        <f aca="false">IF('RAW KVMC'!G46="","",'RAW KVMC'!G46)</f>
        <v>0</v>
      </c>
      <c r="L49" s="50" t="n">
        <f aca="false">IF('RAW KVMC'!H46="","",'RAW KVMC'!H46)</f>
        <v>0</v>
      </c>
      <c r="M49" s="48" t="str">
        <f aca="false">IF('RAW KVMC'!I46="","",'RAW KVMC'!I46)</f>
        <v/>
      </c>
    </row>
    <row r="50" customFormat="false" ht="15" hidden="false" customHeight="false" outlineLevel="0" collapsed="false">
      <c r="A50" s="1" t="s">
        <v>1194</v>
      </c>
      <c r="B50" s="1" t="s">
        <v>154</v>
      </c>
      <c r="C50" s="1" t="s">
        <v>1145</v>
      </c>
      <c r="D50" s="1" t="n">
        <v>47</v>
      </c>
      <c r="E50" s="48" t="str">
        <f aca="false">IF('RAW KVMC'!A47="","",'RAW KVMC'!A47)</f>
        <v>Community Hypertension Control Study</v>
      </c>
      <c r="F50" s="48" t="str">
        <f aca="false">IF('RAW KVMC'!B47="","",'RAW KVMC'!B47)</f>
        <v>Research</v>
      </c>
      <c r="G50" s="49" t="n">
        <f aca="false">IF('RAW KVMC'!C47="","",'RAW KVMC'!C47)</f>
        <v>45869</v>
      </c>
      <c r="H50" s="48" t="str">
        <f aca="false">IF('RAW KVMC'!D47="","",'RAW KVMC'!D47)</f>
        <v>Research Coordinator</v>
      </c>
      <c r="I50" s="48" t="n">
        <f aca="false">IF('RAW KVMC'!E47="","",'RAW KVMC'!E47)</f>
        <v>174.75</v>
      </c>
      <c r="J50" s="48" t="n">
        <f aca="false">IF('RAW KVMC'!F47="","",'RAW KVMC'!F47)</f>
        <v>53</v>
      </c>
      <c r="K50" s="50" t="n">
        <f aca="false">IF('RAW KVMC'!G47="","",'RAW KVMC'!G47)</f>
        <v>10740</v>
      </c>
      <c r="L50" s="50" t="n">
        <f aca="false">IF('RAW KVMC'!H47="","",'RAW KVMC'!H47)</f>
        <v>12080</v>
      </c>
      <c r="M50" s="48" t="str">
        <f aca="false">IF('RAW KVMC'!I47="","",'RAW KVMC'!I47)</f>
        <v/>
      </c>
    </row>
    <row r="51" customFormat="false" ht="15" hidden="false" customHeight="false" outlineLevel="0" collapsed="false">
      <c r="A51" s="1" t="s">
        <v>1195</v>
      </c>
      <c r="B51" s="1" t="s">
        <v>154</v>
      </c>
      <c r="C51" s="1" t="s">
        <v>1145</v>
      </c>
      <c r="D51" s="1" t="n">
        <v>48</v>
      </c>
      <c r="E51" s="48" t="str">
        <f aca="false">IF('RAW KVMC'!A48="","",'RAW KVMC'!A48)</f>
        <v>Regional Health Coalition</v>
      </c>
      <c r="F51" s="48" t="str">
        <f aca="false">IF('RAW KVMC'!B48="","",'RAW KVMC'!B48)</f>
        <v>Community Building - Coalition</v>
      </c>
      <c r="G51" s="49" t="n">
        <f aca="false">IF('RAW KVMC'!C48="","",'RAW KVMC'!C48)</f>
        <v>45873</v>
      </c>
      <c r="H51" s="48" t="str">
        <f aca="false">IF('RAW KVMC'!D48="","",'RAW KVMC'!D48)</f>
        <v>Community Benefit Mgr</v>
      </c>
      <c r="I51" s="48" t="n">
        <f aca="false">IF('RAW KVMC'!E48="","",'RAW KVMC'!E48)</f>
        <v>2.75</v>
      </c>
      <c r="J51" s="48" t="n">
        <f aca="false">IF('RAW KVMC'!F48="","",'RAW KVMC'!F48)</f>
        <v>0</v>
      </c>
      <c r="K51" s="50" t="n">
        <f aca="false">IF('RAW KVMC'!G48="","",'RAW KVMC'!G48)</f>
        <v>0</v>
      </c>
      <c r="L51" s="50" t="n">
        <f aca="false">IF('RAW KVMC'!H48="","",'RAW KVMC'!H48)</f>
        <v>0</v>
      </c>
      <c r="M51" s="48" t="str">
        <f aca="false">IF('RAW KVMC'!I48="","",'RAW KVMC'!I48)</f>
        <v/>
      </c>
    </row>
    <row r="52" customFormat="false" ht="15" hidden="false" customHeight="false" outlineLevel="0" collapsed="false">
      <c r="A52" s="1" t="s">
        <v>1196</v>
      </c>
      <c r="B52" s="1" t="s">
        <v>154</v>
      </c>
      <c r="C52" s="1" t="s">
        <v>1145</v>
      </c>
      <c r="D52" s="1" t="n">
        <v>49</v>
      </c>
      <c r="E52" s="48" t="str">
        <f aca="false">IF('RAW KVMC'!A49="","",'RAW KVMC'!A49)</f>
        <v>Regional Health Coalition</v>
      </c>
      <c r="F52" s="48" t="str">
        <f aca="false">IF('RAW KVMC'!B49="","",'RAW KVMC'!B49)</f>
        <v>Community Building - Coalition</v>
      </c>
      <c r="G52" s="49" t="n">
        <f aca="false">IF('RAW KVMC'!C49="","",'RAW KVMC'!C49)</f>
        <v>45873</v>
      </c>
      <c r="H52" s="48" t="str">
        <f aca="false">IF('RAW KVMC'!D49="","",'RAW KVMC'!D49)</f>
        <v>executive director</v>
      </c>
      <c r="I52" s="48" t="n">
        <f aca="false">IF('RAW KVMC'!E49="","",'RAW KVMC'!E49)</f>
        <v>2.5</v>
      </c>
      <c r="J52" s="48" t="n">
        <f aca="false">IF('RAW KVMC'!F49="","",'RAW KVMC'!F49)</f>
        <v>0</v>
      </c>
      <c r="K52" s="50" t="n">
        <f aca="false">IF('RAW KVMC'!G49="","",'RAW KVMC'!G49)</f>
        <v>145</v>
      </c>
      <c r="L52" s="50" t="n">
        <f aca="false">IF('RAW KVMC'!H49="","",'RAW KVMC'!H49)</f>
        <v>0</v>
      </c>
      <c r="M52" s="48" t="str">
        <f aca="false">IF('RAW KVMC'!I49="","",'RAW KVMC'!I49)</f>
        <v/>
      </c>
    </row>
    <row r="53" customFormat="false" ht="15" hidden="false" customHeight="false" outlineLevel="0" collapsed="false">
      <c r="A53" s="1" t="s">
        <v>1197</v>
      </c>
      <c r="B53" s="1" t="s">
        <v>154</v>
      </c>
      <c r="C53" s="1" t="s">
        <v>1145</v>
      </c>
      <c r="D53" s="1" t="n">
        <v>50</v>
      </c>
      <c r="E53" s="48" t="str">
        <f aca="false">IF('RAW KVMC'!A50="","",'RAW KVMC'!A50)</f>
        <v>Diabetes Prevention Classes</v>
      </c>
      <c r="F53" s="48" t="str">
        <f aca="false">IF('RAW KVMC'!B50="","",'RAW KVMC'!B50)</f>
        <v>Community Health Education</v>
      </c>
      <c r="G53" s="49" t="n">
        <f aca="false">IF('RAW KVMC'!C50="","",'RAW KVMC'!C50)</f>
        <v>45874</v>
      </c>
      <c r="H53" s="48" t="str">
        <f aca="false">IF('RAW KVMC'!D50="","",'RAW KVMC'!D50)</f>
        <v>Health Educator</v>
      </c>
      <c r="I53" s="48" t="n">
        <f aca="false">IF('RAW KVMC'!E50="","",'RAW KVMC'!E50)</f>
        <v>2.25</v>
      </c>
      <c r="J53" s="48" t="n">
        <f aca="false">IF('RAW KVMC'!F50="","",'RAW KVMC'!F50)</f>
        <v>18</v>
      </c>
      <c r="K53" s="50" t="n">
        <f aca="false">IF('RAW KVMC'!G50="","",'RAW KVMC'!G50)</f>
        <v>160</v>
      </c>
      <c r="L53" s="50" t="n">
        <f aca="false">IF('RAW KVMC'!H50="","",'RAW KVMC'!H50)</f>
        <v>0</v>
      </c>
      <c r="M53" s="48" t="str">
        <f aca="false">IF('RAW KVMC'!I50="","",'RAW KVMC'!I50)</f>
        <v/>
      </c>
    </row>
    <row r="54" customFormat="false" ht="15" hidden="false" customHeight="false" outlineLevel="0" collapsed="false">
      <c r="A54" s="1" t="s">
        <v>1198</v>
      </c>
      <c r="B54" s="1" t="s">
        <v>154</v>
      </c>
      <c r="C54" s="1" t="s">
        <v>1145</v>
      </c>
      <c r="D54" s="1" t="n">
        <v>51</v>
      </c>
      <c r="E54" s="48" t="str">
        <f aca="false">IF('RAW KVMC'!A51="","",'RAW KVMC'!A51)</f>
        <v>Diabetes Prevention Classes</v>
      </c>
      <c r="F54" s="48" t="str">
        <f aca="false">IF('RAW KVMC'!B51="","",'RAW KVMC'!B51)</f>
        <v>Community Health Education</v>
      </c>
      <c r="G54" s="49" t="n">
        <f aca="false">IF('RAW KVMC'!C51="","",'RAW KVMC'!C51)</f>
        <v>45874</v>
      </c>
      <c r="H54" s="48" t="str">
        <f aca="false">IF('RAW KVMC'!D51="","",'RAW KVMC'!D51)</f>
        <v>Nutritionist</v>
      </c>
      <c r="I54" s="48" t="n">
        <f aca="false">IF('RAW KVMC'!E51="","",'RAW KVMC'!E51)</f>
        <v>1.5</v>
      </c>
      <c r="J54" s="48" t="n">
        <f aca="false">IF('RAW KVMC'!F51="","",'RAW KVMC'!F51)</f>
        <v>0</v>
      </c>
      <c r="K54" s="50" t="n">
        <f aca="false">IF('RAW KVMC'!G51="","",'RAW KVMC'!G51)</f>
        <v>0</v>
      </c>
      <c r="L54" s="50" t="n">
        <f aca="false">IF('RAW KVMC'!H51="","",'RAW KVMC'!H51)</f>
        <v>0</v>
      </c>
      <c r="M54" s="48" t="str">
        <f aca="false">IF('RAW KVMC'!I51="","",'RAW KVMC'!I51)</f>
        <v/>
      </c>
    </row>
    <row r="55" customFormat="false" ht="15" hidden="false" customHeight="false" outlineLevel="0" collapsed="false">
      <c r="A55" s="1" t="s">
        <v>1199</v>
      </c>
      <c r="B55" s="1" t="s">
        <v>154</v>
      </c>
      <c r="C55" s="1" t="s">
        <v>1145</v>
      </c>
      <c r="D55" s="1" t="n">
        <v>52</v>
      </c>
      <c r="E55" s="48" t="str">
        <f aca="false">IF('RAW KVMC'!A52="","",'RAW KVMC'!A52)</f>
        <v>Naloxone Training and Distribution</v>
      </c>
      <c r="F55" s="48" t="str">
        <f aca="false">IF('RAW KVMC'!B52="","",'RAW KVMC'!B52)</f>
        <v>Community Health Education</v>
      </c>
      <c r="G55" s="49" t="n">
        <f aca="false">IF('RAW KVMC'!C52="","",'RAW KVMC'!C52)</f>
        <v>45876</v>
      </c>
      <c r="H55" s="48" t="str">
        <f aca="false">IF('RAW KVMC'!D52="","",'RAW KVMC'!D52)</f>
        <v>Wellness Educator</v>
      </c>
      <c r="I55" s="48" t="n">
        <f aca="false">IF('RAW KVMC'!E52="","",'RAW KVMC'!E52)</f>
        <v>2</v>
      </c>
      <c r="J55" s="48" t="n">
        <f aca="false">IF('RAW KVMC'!F52="","",'RAW KVMC'!F52)</f>
        <v>0</v>
      </c>
      <c r="K55" s="50" t="n">
        <f aca="false">IF('RAW KVMC'!G52="","",'RAW KVMC'!G52)</f>
        <v>0</v>
      </c>
      <c r="L55" s="50" t="n">
        <f aca="false">IF('RAW KVMC'!H52="","",'RAW KVMC'!H52)</f>
        <v>0</v>
      </c>
      <c r="M55" s="48" t="str">
        <f aca="false">IF('RAW KVMC'!I52="","",'RAW KVMC'!I52)</f>
        <v/>
      </c>
    </row>
    <row r="56" customFormat="false" ht="15" hidden="false" customHeight="false" outlineLevel="0" collapsed="false">
      <c r="A56" s="1" t="s">
        <v>1200</v>
      </c>
      <c r="B56" s="1" t="s">
        <v>154</v>
      </c>
      <c r="C56" s="1" t="s">
        <v>1145</v>
      </c>
      <c r="D56" s="1" t="n">
        <v>53</v>
      </c>
      <c r="E56" s="48" t="str">
        <f aca="false">IF('RAW KVMC'!A53="","",'RAW KVMC'!A53)</f>
        <v>Naloxone Training and Distribution</v>
      </c>
      <c r="F56" s="48" t="str">
        <f aca="false">IF('RAW KVMC'!B53="","",'RAW KVMC'!B53)</f>
        <v>Community Health Education</v>
      </c>
      <c r="G56" s="49" t="n">
        <f aca="false">IF('RAW KVMC'!C53="","",'RAW KVMC'!C53)</f>
        <v>45876</v>
      </c>
      <c r="H56" s="48" t="str">
        <f aca="false">IF('RAW KVMC'!D53="","",'RAW KVMC'!D53)</f>
        <v>Pharmacist</v>
      </c>
      <c r="I56" s="48" t="n">
        <f aca="false">IF('RAW KVMC'!E53="","",'RAW KVMC'!E53)</f>
        <v>2.75</v>
      </c>
      <c r="J56" s="48" t="n">
        <f aca="false">IF('RAW KVMC'!F53="","",'RAW KVMC'!F53)</f>
        <v>19</v>
      </c>
      <c r="K56" s="50" t="n">
        <f aca="false">IF('RAW KVMC'!G53="","",'RAW KVMC'!G53)</f>
        <v>2550</v>
      </c>
      <c r="L56" s="50" t="n">
        <f aca="false">IF('RAW KVMC'!H53="","",'RAW KVMC'!H53)</f>
        <v>985</v>
      </c>
      <c r="M56" s="48" t="str">
        <f aca="false">IF('RAW KVMC'!I53="","",'RAW KVMC'!I53)</f>
        <v/>
      </c>
    </row>
    <row r="57" customFormat="false" ht="15" hidden="false" customHeight="false" outlineLevel="0" collapsed="false">
      <c r="A57" s="1" t="s">
        <v>1201</v>
      </c>
      <c r="B57" s="1" t="s">
        <v>154</v>
      </c>
      <c r="C57" s="1" t="s">
        <v>1145</v>
      </c>
      <c r="D57" s="1" t="n">
        <v>54</v>
      </c>
      <c r="E57" s="48" t="str">
        <f aca="false">IF('RAW KVMC'!A54="","",'RAW KVMC'!A54)</f>
        <v>Community Blood Pressure Checks</v>
      </c>
      <c r="F57" s="48" t="str">
        <f aca="false">IF('RAW KVMC'!B54="","",'RAW KVMC'!B54)</f>
        <v>Community-Based Clinical Services</v>
      </c>
      <c r="G57" s="49" t="n">
        <f aca="false">IF('RAW KVMC'!C54="","",'RAW KVMC'!C54)</f>
        <v>45878</v>
      </c>
      <c r="H57" s="48" t="str">
        <f aca="false">IF('RAW KVMC'!D54="","",'RAW KVMC'!D54)</f>
        <v>Reg Nurse</v>
      </c>
      <c r="I57" s="48" t="n">
        <f aca="false">IF('RAW KVMC'!E54="","",'RAW KVMC'!E54)</f>
        <v>3.5</v>
      </c>
      <c r="J57" s="48" t="n">
        <f aca="false">IF('RAW KVMC'!F54="","",'RAW KVMC'!F54)</f>
        <v>74</v>
      </c>
      <c r="K57" s="50" t="n">
        <f aca="false">IF('RAW KVMC'!G54="","",'RAW KVMC'!G54)</f>
        <v>100</v>
      </c>
      <c r="L57" s="50" t="n">
        <f aca="false">IF('RAW KVMC'!H54="","",'RAW KVMC'!H54)</f>
        <v>0</v>
      </c>
      <c r="M57" s="48" t="str">
        <f aca="false">IF('RAW KVMC'!I54="","",'RAW KVMC'!I54)</f>
        <v/>
      </c>
    </row>
    <row r="58" customFormat="false" ht="15" hidden="false" customHeight="false" outlineLevel="0" collapsed="false">
      <c r="A58" s="1" t="s">
        <v>1202</v>
      </c>
      <c r="B58" s="1" t="s">
        <v>154</v>
      </c>
      <c r="C58" s="1" t="s">
        <v>1145</v>
      </c>
      <c r="D58" s="1" t="n">
        <v>55</v>
      </c>
      <c r="E58" s="48" t="str">
        <f aca="false">IF('RAW KVMC'!A55="","",'RAW KVMC'!A55)</f>
        <v>Affordable Housing Partnership</v>
      </c>
      <c r="F58" s="48" t="str">
        <f aca="false">IF('RAW KVMC'!B55="","",'RAW KVMC'!B55)</f>
        <v>Community Building - Housing</v>
      </c>
      <c r="G58" s="49" t="n">
        <f aca="false">IF('RAW KVMC'!C55="","",'RAW KVMC'!C55)</f>
        <v>45878</v>
      </c>
      <c r="H58" s="48" t="str">
        <f aca="false">IF('RAW KVMC'!D55="","",'RAW KVMC'!D55)</f>
        <v>Director, Mission</v>
      </c>
      <c r="I58" s="48" t="n">
        <f aca="false">IF('RAW KVMC'!E55="","",'RAW KVMC'!E55)</f>
        <v>5.5</v>
      </c>
      <c r="J58" s="48" t="n">
        <f aca="false">IF('RAW KVMC'!F55="","",'RAW KVMC'!F55)</f>
        <v>0</v>
      </c>
      <c r="K58" s="50" t="n">
        <f aca="false">IF('RAW KVMC'!G55="","",'RAW KVMC'!G55)</f>
        <v>44005</v>
      </c>
      <c r="L58" s="50" t="n">
        <f aca="false">IF('RAW KVMC'!H55="","",'RAW KVMC'!H55)</f>
        <v>0</v>
      </c>
      <c r="M58" s="48" t="str">
        <f aca="false">IF('RAW KVMC'!I55="","",'RAW KVMC'!I55)</f>
        <v/>
      </c>
    </row>
    <row r="59" customFormat="false" ht="15" hidden="false" customHeight="false" outlineLevel="0" collapsed="false">
      <c r="A59" s="1" t="s">
        <v>1203</v>
      </c>
      <c r="B59" s="1" t="s">
        <v>154</v>
      </c>
      <c r="C59" s="1" t="s">
        <v>1145</v>
      </c>
      <c r="D59" s="1" t="n">
        <v>56</v>
      </c>
      <c r="E59" s="48" t="str">
        <f aca="false">IF('RAW KVMC'!A56="","",'RAW KVMC'!A56)</f>
        <v>Affordable Housing Partnership</v>
      </c>
      <c r="F59" s="48" t="str">
        <f aca="false">IF('RAW KVMC'!B56="","",'RAW KVMC'!B56)</f>
        <v>Community Building - Housing</v>
      </c>
      <c r="G59" s="49" t="n">
        <f aca="false">IF('RAW KVMC'!C56="","",'RAW KVMC'!C56)</f>
        <v>45878</v>
      </c>
      <c r="H59" s="48" t="str">
        <f aca="false">IF('RAW KVMC'!D56="","",'RAW KVMC'!D56)</f>
        <v>Event Coordinator</v>
      </c>
      <c r="I59" s="48" t="n">
        <f aca="false">IF('RAW KVMC'!E56="","",'RAW KVMC'!E56)</f>
        <v>9.75</v>
      </c>
      <c r="J59" s="48" t="n">
        <f aca="false">IF('RAW KVMC'!F56="","",'RAW KVMC'!F56)</f>
        <v>0</v>
      </c>
      <c r="K59" s="50" t="n">
        <f aca="false">IF('RAW KVMC'!G56="","",'RAW KVMC'!G56)</f>
        <v>0</v>
      </c>
      <c r="L59" s="50" t="n">
        <f aca="false">IF('RAW KVMC'!H56="","",'RAW KVMC'!H56)</f>
        <v>0</v>
      </c>
      <c r="M59" s="48" t="str">
        <f aca="false">IF('RAW KVMC'!I56="","",'RAW KVMC'!I56)</f>
        <v/>
      </c>
    </row>
    <row r="60" customFormat="false" ht="15" hidden="false" customHeight="false" outlineLevel="0" collapsed="false">
      <c r="A60" s="1" t="s">
        <v>1204</v>
      </c>
      <c r="B60" s="1" t="s">
        <v>154</v>
      </c>
      <c r="C60" s="1" t="s">
        <v>1145</v>
      </c>
      <c r="D60" s="1" t="n">
        <v>57</v>
      </c>
      <c r="E60" s="48" t="str">
        <f aca="false">IF('RAW KVMC'!A57="","",'RAW KVMC'!A57)</f>
        <v>In-Kind Medical Supply Donations</v>
      </c>
      <c r="F60" s="48" t="str">
        <f aca="false">IF('RAW KVMC'!B57="","",'RAW KVMC'!B57)</f>
        <v>Cash &amp; In-Kind Donations</v>
      </c>
      <c r="G60" s="49" t="n">
        <f aca="false">IF('RAW KVMC'!C57="","",'RAW KVMC'!C57)</f>
        <v>45881</v>
      </c>
      <c r="H60" s="48" t="str">
        <f aca="false">IF('RAW KVMC'!D57="","",'RAW KVMC'!D57)</f>
        <v>N/A </v>
      </c>
      <c r="I60" s="48" t="n">
        <f aca="false">IF('RAW KVMC'!E57="","",'RAW KVMC'!E57)</f>
        <v>0</v>
      </c>
      <c r="J60" s="48" t="n">
        <f aca="false">IF('RAW KVMC'!F57="","",'RAW KVMC'!F57)</f>
        <v>0</v>
      </c>
      <c r="K60" s="50" t="n">
        <f aca="false">IF('RAW KVMC'!G57="","",'RAW KVMC'!G57)</f>
        <v>9090</v>
      </c>
      <c r="L60" s="50" t="n">
        <f aca="false">IF('RAW KVMC'!H57="","",'RAW KVMC'!H57)</f>
        <v>0</v>
      </c>
      <c r="M60" s="48" t="str">
        <f aca="false">IF('RAW KVMC'!I57="","",'RAW KVMC'!I57)</f>
        <v/>
      </c>
    </row>
    <row r="61" customFormat="false" ht="15" hidden="false" customHeight="false" outlineLevel="0" collapsed="false">
      <c r="A61" s="1" t="s">
        <v>1205</v>
      </c>
      <c r="B61" s="1" t="s">
        <v>154</v>
      </c>
      <c r="C61" s="1" t="s">
        <v>1145</v>
      </c>
      <c r="D61" s="1" t="n">
        <v>58</v>
      </c>
      <c r="E61" s="48" t="str">
        <f aca="false">IF('RAW KVMC'!A58="","",'RAW KVMC'!A58)</f>
        <v>Regional Health Coalition</v>
      </c>
      <c r="F61" s="48" t="str">
        <f aca="false">IF('RAW KVMC'!B58="","",'RAW KVMC'!B58)</f>
        <v>Community Building - Coalition</v>
      </c>
      <c r="G61" s="49" t="n">
        <f aca="false">IF('RAW KVMC'!C58="","",'RAW KVMC'!C58)</f>
        <v>45883</v>
      </c>
      <c r="H61" s="48" t="str">
        <f aca="false">IF('RAW KVMC'!D58="","",'RAW KVMC'!D58)</f>
        <v>Community Benefit Manager</v>
      </c>
      <c r="I61" s="48" t="n">
        <f aca="false">IF('RAW KVMC'!E58="","",'RAW KVMC'!E58)</f>
        <v>2.5</v>
      </c>
      <c r="J61" s="48" t="n">
        <f aca="false">IF('RAW KVMC'!F58="","",'RAW KVMC'!F58)</f>
        <v>0</v>
      </c>
      <c r="K61" s="50" t="n">
        <f aca="false">IF('RAW KVMC'!G58="","",'RAW KVMC'!G58)</f>
        <v>0</v>
      </c>
      <c r="L61" s="50" t="n">
        <f aca="false">IF('RAW KVMC'!H58="","",'RAW KVMC'!H58)</f>
        <v>0</v>
      </c>
      <c r="M61" s="48" t="str">
        <f aca="false">IF('RAW KVMC'!I58="","",'RAW KVMC'!I58)</f>
        <v/>
      </c>
    </row>
    <row r="62" customFormat="false" ht="15" hidden="false" customHeight="false" outlineLevel="0" collapsed="false">
      <c r="A62" s="1" t="s">
        <v>1206</v>
      </c>
      <c r="B62" s="1" t="s">
        <v>154</v>
      </c>
      <c r="C62" s="1" t="s">
        <v>1145</v>
      </c>
      <c r="D62" s="1" t="n">
        <v>59</v>
      </c>
      <c r="E62" s="48" t="str">
        <f aca="false">IF('RAW KVMC'!A59="","",'RAW KVMC'!A59)</f>
        <v>Regional Health Coalition</v>
      </c>
      <c r="F62" s="48" t="str">
        <f aca="false">IF('RAW KVMC'!B59="","",'RAW KVMC'!B59)</f>
        <v>Community Building - Coalition</v>
      </c>
      <c r="G62" s="49" t="n">
        <f aca="false">IF('RAW KVMC'!C59="","",'RAW KVMC'!C59)</f>
        <v>45883</v>
      </c>
      <c r="H62" s="48" t="str">
        <f aca="false">IF('RAW KVMC'!D59="","",'RAW KVMC'!D59)</f>
        <v>Director of Community Health</v>
      </c>
      <c r="I62" s="48" t="n">
        <f aca="false">IF('RAW KVMC'!E59="","",'RAW KVMC'!E59)</f>
        <v>2.25</v>
      </c>
      <c r="J62" s="48" t="n">
        <f aca="false">IF('RAW KVMC'!F59="","",'RAW KVMC'!F59)</f>
        <v>0</v>
      </c>
      <c r="K62" s="50" t="n">
        <f aca="false">IF('RAW KVMC'!G59="","",'RAW KVMC'!G59)</f>
        <v>90</v>
      </c>
      <c r="L62" s="50" t="n">
        <f aca="false">IF('RAW KVMC'!H59="","",'RAW KVMC'!H59)</f>
        <v>0</v>
      </c>
      <c r="M62" s="48" t="str">
        <f aca="false">IF('RAW KVMC'!I59="","",'RAW KVMC'!I59)</f>
        <v/>
      </c>
    </row>
    <row r="63" customFormat="false" ht="15" hidden="false" customHeight="false" outlineLevel="0" collapsed="false">
      <c r="A63" s="1" t="s">
        <v>1207</v>
      </c>
      <c r="B63" s="1" t="s">
        <v>154</v>
      </c>
      <c r="C63" s="1" t="s">
        <v>1145</v>
      </c>
      <c r="D63" s="1" t="n">
        <v>60</v>
      </c>
      <c r="E63" s="48" t="str">
        <f aca="false">IF('RAW KVMC'!A60="","",'RAW KVMC'!A60)</f>
        <v>Naloxone Training and Distribution</v>
      </c>
      <c r="F63" s="48" t="str">
        <f aca="false">IF('RAW KVMC'!B60="","",'RAW KVMC'!B60)</f>
        <v>Community Health Education</v>
      </c>
      <c r="G63" s="49" t="n">
        <f aca="false">IF('RAW KVMC'!C60="","",'RAW KVMC'!C60)</f>
        <v>45889</v>
      </c>
      <c r="H63" s="48" t="str">
        <f aca="false">IF('RAW KVMC'!D60="","",'RAW KVMC'!D60)</f>
        <v> CHES </v>
      </c>
      <c r="I63" s="48" t="n">
        <f aca="false">IF('RAW KVMC'!E60="","",'RAW KVMC'!E60)</f>
        <v>2.5</v>
      </c>
      <c r="J63" s="48" t="n">
        <f aca="false">IF('RAW KVMC'!F60="","",'RAW KVMC'!F60)</f>
        <v>0</v>
      </c>
      <c r="K63" s="50" t="n">
        <f aca="false">IF('RAW KVMC'!G60="","",'RAW KVMC'!G60)</f>
        <v>0</v>
      </c>
      <c r="L63" s="50" t="n">
        <f aca="false">IF('RAW KVMC'!H60="","",'RAW KVMC'!H60)</f>
        <v>0</v>
      </c>
      <c r="M63" s="48" t="str">
        <f aca="false">IF('RAW KVMC'!I60="","",'RAW KVMC'!I60)</f>
        <v/>
      </c>
    </row>
    <row r="64" customFormat="false" ht="15" hidden="false" customHeight="false" outlineLevel="0" collapsed="false">
      <c r="A64" s="1" t="s">
        <v>1208</v>
      </c>
      <c r="B64" s="1" t="s">
        <v>154</v>
      </c>
      <c r="C64" s="1" t="s">
        <v>1145</v>
      </c>
      <c r="D64" s="1" t="n">
        <v>61</v>
      </c>
      <c r="E64" s="48" t="str">
        <f aca="false">IF('RAW KVMC'!A61="","",'RAW KVMC'!A61)</f>
        <v>Naloxone Training and Distribution</v>
      </c>
      <c r="F64" s="48" t="str">
        <f aca="false">IF('RAW KVMC'!B61="","",'RAW KVMC'!B61)</f>
        <v>Community Health Education</v>
      </c>
      <c r="G64" s="49" t="n">
        <f aca="false">IF('RAW KVMC'!C61="","",'RAW KVMC'!C61)</f>
        <v>45889</v>
      </c>
      <c r="H64" s="48" t="str">
        <f aca="false">IF('RAW KVMC'!D61="","",'RAW KVMC'!D61)</f>
        <v>Pharmacist</v>
      </c>
      <c r="I64" s="48" t="n">
        <f aca="false">IF('RAW KVMC'!E61="","",'RAW KVMC'!E61)</f>
        <v>2.25</v>
      </c>
      <c r="J64" s="48" t="n">
        <f aca="false">IF('RAW KVMC'!F61="","",'RAW KVMC'!F61)</f>
        <v>24</v>
      </c>
      <c r="K64" s="50" t="n">
        <f aca="false">IF('RAW KVMC'!G61="","",'RAW KVMC'!G61)</f>
        <v>2420</v>
      </c>
      <c r="L64" s="50" t="n">
        <f aca="false">IF('RAW KVMC'!H61="","",'RAW KVMC'!H61)</f>
        <v>1650</v>
      </c>
      <c r="M64" s="48" t="str">
        <f aca="false">IF('RAW KVMC'!I61="","",'RAW KVMC'!I61)</f>
        <v/>
      </c>
    </row>
    <row r="65" customFormat="false" ht="15" hidden="false" customHeight="false" outlineLevel="0" collapsed="false">
      <c r="A65" s="1" t="s">
        <v>1209</v>
      </c>
      <c r="B65" s="1" t="s">
        <v>154</v>
      </c>
      <c r="C65" s="1" t="s">
        <v>1145</v>
      </c>
      <c r="D65" s="1" t="n">
        <v>62</v>
      </c>
      <c r="E65" s="48" t="str">
        <f aca="false">IF('RAW KVMC'!A62="","",'RAW KVMC'!A62)</f>
        <v>Mental Health First Aid Training</v>
      </c>
      <c r="F65" s="48" t="str">
        <f aca="false">IF('RAW KVMC'!B62="","",'RAW KVMC'!B62)</f>
        <v>Community Health Education</v>
      </c>
      <c r="G65" s="49" t="n">
        <f aca="false">IF('RAW KVMC'!C62="","",'RAW KVMC'!C62)</f>
        <v>45891</v>
      </c>
      <c r="H65" s="48" t="str">
        <f aca="false">IF('RAW KVMC'!D62="","",'RAW KVMC'!D62)</f>
        <v>CHES</v>
      </c>
      <c r="I65" s="48" t="n">
        <f aca="false">IF('RAW KVMC'!E62="","",'RAW KVMC'!E62)</f>
        <v>8</v>
      </c>
      <c r="J65" s="48" t="n">
        <f aca="false">IF('RAW KVMC'!F62="","",'RAW KVMC'!F62)</f>
        <v>0</v>
      </c>
      <c r="K65" s="50" t="n">
        <f aca="false">IF('RAW KVMC'!G62="","",'RAW KVMC'!G62)</f>
        <v>0</v>
      </c>
      <c r="L65" s="50" t="n">
        <f aca="false">IF('RAW KVMC'!H62="","",'RAW KVMC'!H62)</f>
        <v>0</v>
      </c>
      <c r="M65" s="48" t="str">
        <f aca="false">IF('RAW KVMC'!I62="","",'RAW KVMC'!I62)</f>
        <v/>
      </c>
    </row>
    <row r="66" customFormat="false" ht="15" hidden="false" customHeight="false" outlineLevel="0" collapsed="false">
      <c r="A66" s="1" t="s">
        <v>1210</v>
      </c>
      <c r="B66" s="1" t="s">
        <v>154</v>
      </c>
      <c r="C66" s="1" t="s">
        <v>1145</v>
      </c>
      <c r="D66" s="1" t="n">
        <v>63</v>
      </c>
      <c r="E66" s="48" t="str">
        <f aca="false">IF('RAW KVMC'!A63="","",'RAW KVMC'!A63)</f>
        <v>Mental Health First Aid Training</v>
      </c>
      <c r="F66" s="48" t="str">
        <f aca="false">IF('RAW KVMC'!B63="","",'RAW KVMC'!B63)</f>
        <v>Community Health Education</v>
      </c>
      <c r="G66" s="49" t="n">
        <f aca="false">IF('RAW KVMC'!C63="","",'RAW KVMC'!C63)</f>
        <v>45891</v>
      </c>
      <c r="H66" s="48" t="str">
        <f aca="false">IF('RAW KVMC'!D63="","",'RAW KVMC'!D63)</f>
        <v>Clinical Social Worker</v>
      </c>
      <c r="I66" s="48" t="n">
        <f aca="false">IF('RAW KVMC'!E63="","",'RAW KVMC'!E63)</f>
        <v>8</v>
      </c>
      <c r="J66" s="48" t="n">
        <f aca="false">IF('RAW KVMC'!F63="","",'RAW KVMC'!F63)</f>
        <v>19</v>
      </c>
      <c r="K66" s="50" t="n">
        <f aca="false">IF('RAW KVMC'!G63="","",'RAW KVMC'!G63)</f>
        <v>540</v>
      </c>
      <c r="L66" s="50" t="n">
        <f aca="false">IF('RAW KVMC'!H63="","",'RAW KVMC'!H63)</f>
        <v>0</v>
      </c>
      <c r="M66" s="48" t="str">
        <f aca="false">IF('RAW KVMC'!I63="","",'RAW KVMC'!I63)</f>
        <v/>
      </c>
    </row>
    <row r="67" customFormat="false" ht="15" hidden="false" customHeight="false" outlineLevel="0" collapsed="false">
      <c r="A67" s="1" t="s">
        <v>1211</v>
      </c>
      <c r="B67" s="1" t="s">
        <v>154</v>
      </c>
      <c r="C67" s="1" t="s">
        <v>1145</v>
      </c>
      <c r="D67" s="1" t="n">
        <v>64</v>
      </c>
      <c r="E67" s="48" t="str">
        <f aca="false">IF('RAW KVMC'!A64="","",'RAW KVMC'!A64)</f>
        <v>Mobile Health Screening Unit</v>
      </c>
      <c r="F67" s="48" t="str">
        <f aca="false">IF('RAW KVMC'!B64="","",'RAW KVMC'!B64)</f>
        <v>Community-Based Clinical Services</v>
      </c>
      <c r="G67" s="49" t="n">
        <f aca="false">IF('RAW KVMC'!C64="","",'RAW KVMC'!C64)</f>
        <v>45900</v>
      </c>
      <c r="H67" s="48" t="str">
        <f aca="false">IF('RAW KVMC'!D64="","",'RAW KVMC'!D64)</f>
        <v>Comm. Health Worker</v>
      </c>
      <c r="I67" s="48" t="n">
        <f aca="false">IF('RAW KVMC'!E64="","",'RAW KVMC'!E64)</f>
        <v>98.25</v>
      </c>
      <c r="J67" s="48" t="n">
        <f aca="false">IF('RAW KVMC'!F64="","",'RAW KVMC'!F64)</f>
        <v>0</v>
      </c>
      <c r="K67" s="50" t="n">
        <f aca="false">IF('RAW KVMC'!G64="","",'RAW KVMC'!G64)</f>
        <v>0</v>
      </c>
      <c r="L67" s="50" t="n">
        <f aca="false">IF('RAW KVMC'!H64="","",'RAW KVMC'!H64)</f>
        <v>0</v>
      </c>
      <c r="M67" s="48" t="str">
        <f aca="false">IF('RAW KVMC'!I64="","",'RAW KVMC'!I64)</f>
        <v/>
      </c>
    </row>
    <row r="68" customFormat="false" ht="15" hidden="false" customHeight="false" outlineLevel="0" collapsed="false">
      <c r="A68" s="1" t="s">
        <v>1212</v>
      </c>
      <c r="B68" s="1" t="s">
        <v>154</v>
      </c>
      <c r="C68" s="1" t="s">
        <v>1145</v>
      </c>
      <c r="D68" s="1" t="n">
        <v>65</v>
      </c>
      <c r="E68" s="48" t="str">
        <f aca="false">IF('RAW KVMC'!A65="","",'RAW KVMC'!A65)</f>
        <v>Mobile Health Screening Unit</v>
      </c>
      <c r="F68" s="48" t="str">
        <f aca="false">IF('RAW KVMC'!B65="","",'RAW KVMC'!B65)</f>
        <v>Community-Based Clinical Services</v>
      </c>
      <c r="G68" s="49" t="n">
        <f aca="false">IF('RAW KVMC'!C65="","",'RAW KVMC'!C65)</f>
        <v>45900</v>
      </c>
      <c r="H68" s="48" t="str">
        <f aca="false">IF('RAW KVMC'!D65="","",'RAW KVMC'!D65)</f>
        <v>Medical Assistant</v>
      </c>
      <c r="I68" s="48" t="n">
        <f aca="false">IF('RAW KVMC'!E65="","",'RAW KVMC'!E65)</f>
        <v>114</v>
      </c>
      <c r="J68" s="48" t="n">
        <f aca="false">IF('RAW KVMC'!F65="","",'RAW KVMC'!F65)</f>
        <v>0</v>
      </c>
      <c r="K68" s="50" t="n">
        <f aca="false">IF('RAW KVMC'!G65="","",'RAW KVMC'!G65)</f>
        <v>0</v>
      </c>
      <c r="L68" s="50" t="n">
        <f aca="false">IF('RAW KVMC'!H65="","",'RAW KVMC'!H65)</f>
        <v>0</v>
      </c>
      <c r="M68" s="48" t="str">
        <f aca="false">IF('RAW KVMC'!I65="","",'RAW KVMC'!I65)</f>
        <v/>
      </c>
    </row>
    <row r="69" customFormat="false" ht="15" hidden="false" customHeight="false" outlineLevel="0" collapsed="false">
      <c r="A69" s="1" t="s">
        <v>1213</v>
      </c>
      <c r="B69" s="1" t="s">
        <v>154</v>
      </c>
      <c r="C69" s="1" t="s">
        <v>1145</v>
      </c>
      <c r="D69" s="1" t="n">
        <v>66</v>
      </c>
      <c r="E69" s="48" t="str">
        <f aca="false">IF('RAW KVMC'!A66="","",'RAW KVMC'!A66)</f>
        <v>Mobile Health Screening Unit</v>
      </c>
      <c r="F69" s="48" t="str">
        <f aca="false">IF('RAW KVMC'!B66="","",'RAW KVMC'!B66)</f>
        <v>Community-Based Clinical Services</v>
      </c>
      <c r="G69" s="49" t="n">
        <f aca="false">IF('RAW KVMC'!C66="","",'RAW KVMC'!C66)</f>
        <v>45900</v>
      </c>
      <c r="H69" s="48" t="str">
        <f aca="false">IF('RAW KVMC'!D66="","",'RAW KVMC'!D66)</f>
        <v>RN II</v>
      </c>
      <c r="I69" s="48" t="n">
        <f aca="false">IF('RAW KVMC'!E66="","",'RAW KVMC'!E66)</f>
        <v>149.25</v>
      </c>
      <c r="J69" s="48" t="n">
        <f aca="false">IF('RAW KVMC'!F66="","",'RAW KVMC'!F66)</f>
        <v>408</v>
      </c>
      <c r="K69" s="50" t="n">
        <f aca="false">IF('RAW KVMC'!G66="","",'RAW KVMC'!G66)</f>
        <v>10775</v>
      </c>
      <c r="L69" s="50" t="n">
        <f aca="false">IF('RAW KVMC'!H66="","",'RAW KVMC'!H66)</f>
        <v>0</v>
      </c>
      <c r="M69" s="48" t="str">
        <f aca="false">IF('RAW KVMC'!I66="","",'RAW KVMC'!I66)</f>
        <v/>
      </c>
    </row>
    <row r="70" customFormat="false" ht="15" hidden="false" customHeight="false" outlineLevel="0" collapsed="false">
      <c r="A70" s="1" t="s">
        <v>1214</v>
      </c>
      <c r="B70" s="1" t="s">
        <v>154</v>
      </c>
      <c r="C70" s="1" t="s">
        <v>1145</v>
      </c>
      <c r="D70" s="1" t="n">
        <v>67</v>
      </c>
      <c r="E70" s="48" t="str">
        <f aca="false">IF('RAW KVMC'!A67="","",'RAW KVMC'!A67)</f>
        <v>Free Clinic Provider Staffing</v>
      </c>
      <c r="F70" s="48" t="str">
        <f aca="false">IF('RAW KVMC'!B67="","",'RAW KVMC'!B67)</f>
        <v>Community-Based Clinical Services</v>
      </c>
      <c r="G70" s="49" t="n">
        <f aca="false">IF('RAW KVMC'!C67="","",'RAW KVMC'!C67)</f>
        <v>45900</v>
      </c>
      <c r="H70" s="48" t="str">
        <f aca="false">IF('RAW KVMC'!D67="","",'RAW KVMC'!D67)</f>
        <v>APRN</v>
      </c>
      <c r="I70" s="48" t="n">
        <f aca="false">IF('RAW KVMC'!E67="","",'RAW KVMC'!E67)</f>
        <v>43.25</v>
      </c>
      <c r="J70" s="48" t="n">
        <f aca="false">IF('RAW KVMC'!F67="","",'RAW KVMC'!F67)</f>
        <v>296</v>
      </c>
      <c r="K70" s="50" t="n">
        <f aca="false">IF('RAW KVMC'!G67="","",'RAW KVMC'!G67)</f>
        <v>3660</v>
      </c>
      <c r="L70" s="50" t="n">
        <f aca="false">IF('RAW KVMC'!H67="","",'RAW KVMC'!H67)</f>
        <v>0</v>
      </c>
      <c r="M70" s="48" t="str">
        <f aca="false">IF('RAW KVMC'!I67="","",'RAW KVMC'!I67)</f>
        <v/>
      </c>
    </row>
    <row r="71" customFormat="false" ht="15" hidden="false" customHeight="false" outlineLevel="0" collapsed="false">
      <c r="A71" s="1" t="s">
        <v>1215</v>
      </c>
      <c r="B71" s="1" t="s">
        <v>154</v>
      </c>
      <c r="C71" s="1" t="s">
        <v>1145</v>
      </c>
      <c r="D71" s="1" t="n">
        <v>68</v>
      </c>
      <c r="E71" s="48" t="str">
        <f aca="false">IF('RAW KVMC'!A68="","",'RAW KVMC'!A68)</f>
        <v>Free Clinic Provider Staffing</v>
      </c>
      <c r="F71" s="48" t="str">
        <f aca="false">IF('RAW KVMC'!B68="","",'RAW KVMC'!B68)</f>
        <v>Community-Based Clinical Services</v>
      </c>
      <c r="G71" s="49" t="n">
        <f aca="false">IF('RAW KVMC'!C68="","",'RAW KVMC'!C68)</f>
        <v>45900</v>
      </c>
      <c r="H71" s="48" t="str">
        <f aca="false">IF('RAW KVMC'!D68="","",'RAW KVMC'!D68)</f>
        <v>Pharmacist II </v>
      </c>
      <c r="I71" s="48" t="n">
        <f aca="false">IF('RAW KVMC'!E68="","",'RAW KVMC'!E68)</f>
        <v>21.25</v>
      </c>
      <c r="J71" s="48" t="n">
        <f aca="false">IF('RAW KVMC'!F68="","",'RAW KVMC'!F68)</f>
        <v>0</v>
      </c>
      <c r="K71" s="50" t="n">
        <f aca="false">IF('RAW KVMC'!G68="","",'RAW KVMC'!G68)</f>
        <v>0</v>
      </c>
      <c r="L71" s="50" t="n">
        <f aca="false">IF('RAW KVMC'!H68="","",'RAW KVMC'!H68)</f>
        <v>0</v>
      </c>
      <c r="M71" s="48" t="str">
        <f aca="false">IF('RAW KVMC'!I68="","",'RAW KVMC'!I68)</f>
        <v/>
      </c>
    </row>
    <row r="72" customFormat="false" ht="15" hidden="false" customHeight="false" outlineLevel="0" collapsed="false">
      <c r="A72" s="1" t="s">
        <v>1216</v>
      </c>
      <c r="B72" s="1" t="s">
        <v>154</v>
      </c>
      <c r="C72" s="1" t="s">
        <v>1145</v>
      </c>
      <c r="D72" s="1" t="n">
        <v>69</v>
      </c>
      <c r="E72" s="48" t="str">
        <f aca="false">IF('RAW KVMC'!A69="","",'RAW KVMC'!A69)</f>
        <v>Free Clinic Provider Staffing</v>
      </c>
      <c r="F72" s="48" t="str">
        <f aca="false">IF('RAW KVMC'!B69="","",'RAW KVMC'!B69)</f>
        <v>Community-Based Clinical Services</v>
      </c>
      <c r="G72" s="49" t="n">
        <f aca="false">IF('RAW KVMC'!C69="","",'RAW KVMC'!C69)</f>
        <v>45900</v>
      </c>
      <c r="H72" s="48" t="str">
        <f aca="false">IF('RAW KVMC'!D69="","",'RAW KVMC'!D69)</f>
        <v>R.N.</v>
      </c>
      <c r="I72" s="48" t="n">
        <f aca="false">IF('RAW KVMC'!E69="","",'RAW KVMC'!E69)</f>
        <v>50.75</v>
      </c>
      <c r="J72" s="48" t="n">
        <f aca="false">IF('RAW KVMC'!F69="","",'RAW KVMC'!F69)</f>
        <v>0</v>
      </c>
      <c r="K72" s="50" t="n">
        <f aca="false">IF('RAW KVMC'!G69="","",'RAW KVMC'!G69)</f>
        <v>0</v>
      </c>
      <c r="L72" s="50" t="n">
        <f aca="false">IF('RAW KVMC'!H69="","",'RAW KVMC'!H69)</f>
        <v>0</v>
      </c>
      <c r="M72" s="48" t="str">
        <f aca="false">IF('RAW KVMC'!I69="","",'RAW KVMC'!I69)</f>
        <v/>
      </c>
    </row>
    <row r="73" customFormat="false" ht="15" hidden="false" customHeight="false" outlineLevel="0" collapsed="false">
      <c r="A73" s="1" t="s">
        <v>1217</v>
      </c>
      <c r="B73" s="1" t="s">
        <v>154</v>
      </c>
      <c r="C73" s="1" t="s">
        <v>1145</v>
      </c>
      <c r="D73" s="1" t="n">
        <v>70</v>
      </c>
      <c r="E73" s="48" t="str">
        <f aca="false">IF('RAW KVMC'!A70="","",'RAW KVMC'!A70)</f>
        <v>Community Health Worker Outreach</v>
      </c>
      <c r="F73" s="48" t="str">
        <f aca="false">IF('RAW KVMC'!B70="","",'RAW KVMC'!B70)</f>
        <v>Health Care Support Services</v>
      </c>
      <c r="G73" s="49" t="n">
        <f aca="false">IF('RAW KVMC'!C70="","",'RAW KVMC'!C70)</f>
        <v>45900</v>
      </c>
      <c r="H73" s="48" t="str">
        <f aca="false">IF('RAW KVMC'!D70="","",'RAW KVMC'!D70)</f>
        <v>CHW II</v>
      </c>
      <c r="I73" s="48" t="n">
        <f aca="false">IF('RAW KVMC'!E70="","",'RAW KVMC'!E70)</f>
        <v>498.25</v>
      </c>
      <c r="J73" s="48" t="n">
        <f aca="false">IF('RAW KVMC'!F70="","",'RAW KVMC'!F70)</f>
        <v>670</v>
      </c>
      <c r="K73" s="50" t="n">
        <f aca="false">IF('RAW KVMC'!G70="","",'RAW KVMC'!G70)</f>
        <v>2950</v>
      </c>
      <c r="L73" s="50" t="n">
        <f aca="false">IF('RAW KVMC'!H70="","",'RAW KVMC'!H70)</f>
        <v>0</v>
      </c>
      <c r="M73" s="48" t="str">
        <f aca="false">IF('RAW KVMC'!I70="","",'RAW KVMC'!I70)</f>
        <v/>
      </c>
    </row>
    <row r="74" customFormat="false" ht="15" hidden="false" customHeight="false" outlineLevel="0" collapsed="false">
      <c r="A74" s="1" t="s">
        <v>1218</v>
      </c>
      <c r="B74" s="1" t="s">
        <v>154</v>
      </c>
      <c r="C74" s="1" t="s">
        <v>1145</v>
      </c>
      <c r="D74" s="1" t="n">
        <v>71</v>
      </c>
      <c r="E74" s="48" t="str">
        <f aca="false">IF('RAW KVMC'!A71="","",'RAW KVMC'!A71)</f>
        <v>Community Health Worker Outreach</v>
      </c>
      <c r="F74" s="48" t="str">
        <f aca="false">IF('RAW KVMC'!B71="","",'RAW KVMC'!B71)</f>
        <v>Health Care Support Services</v>
      </c>
      <c r="G74" s="49" t="n">
        <f aca="false">IF('RAW KVMC'!C71="","",'RAW KVMC'!C71)</f>
        <v>45900</v>
      </c>
      <c r="H74" s="48" t="str">
        <f aca="false">IF('RAW KVMC'!D71="","",'RAW KVMC'!D71)</f>
        <v>Financial Navigator</v>
      </c>
      <c r="I74" s="48" t="n">
        <f aca="false">IF('RAW KVMC'!E71="","",'RAW KVMC'!E71)</f>
        <v>187.75</v>
      </c>
      <c r="J74" s="48" t="n">
        <f aca="false">IF('RAW KVMC'!F71="","",'RAW KVMC'!F71)</f>
        <v>0</v>
      </c>
      <c r="K74" s="50" t="n">
        <f aca="false">IF('RAW KVMC'!G71="","",'RAW KVMC'!G71)</f>
        <v>0</v>
      </c>
      <c r="L74" s="50" t="n">
        <f aca="false">IF('RAW KVMC'!H71="","",'RAW KVMC'!H71)</f>
        <v>0</v>
      </c>
      <c r="M74" s="48" t="str">
        <f aca="false">IF('RAW KVMC'!I71="","",'RAW KVMC'!I71)</f>
        <v/>
      </c>
    </row>
    <row r="75" customFormat="false" ht="15" hidden="false" customHeight="false" outlineLevel="0" collapsed="false">
      <c r="A75" s="1" t="s">
        <v>1219</v>
      </c>
      <c r="B75" s="1" t="s">
        <v>154</v>
      </c>
      <c r="C75" s="1" t="s">
        <v>1145</v>
      </c>
      <c r="D75" s="1" t="n">
        <v>72</v>
      </c>
      <c r="E75" s="48" t="str">
        <f aca="false">IF('RAW KVMC'!A72="","",'RAW KVMC'!A72)</f>
        <v>Medication Assistance Program</v>
      </c>
      <c r="F75" s="48" t="str">
        <f aca="false">IF('RAW KVMC'!B72="","",'RAW KVMC'!B72)</f>
        <v>Health Care Support Services</v>
      </c>
      <c r="G75" s="49" t="n">
        <f aca="false">IF('RAW KVMC'!C72="","",'RAW KVMC'!C72)</f>
        <v>45900</v>
      </c>
      <c r="H75" s="48" t="str">
        <f aca="false">IF('RAW KVMC'!D72="","",'RAW KVMC'!D72)</f>
        <v>Navigator</v>
      </c>
      <c r="I75" s="48" t="n">
        <f aca="false">IF('RAW KVMC'!E72="","",'RAW KVMC'!E72)</f>
        <v>111.75</v>
      </c>
      <c r="J75" s="48" t="n">
        <f aca="false">IF('RAW KVMC'!F72="","",'RAW KVMC'!F72)</f>
        <v>0</v>
      </c>
      <c r="K75" s="50" t="n">
        <f aca="false">IF('RAW KVMC'!G72="","",'RAW KVMC'!G72)</f>
        <v>0</v>
      </c>
      <c r="L75" s="50" t="n">
        <f aca="false">IF('RAW KVMC'!H72="","",'RAW KVMC'!H72)</f>
        <v>0</v>
      </c>
      <c r="M75" s="48" t="str">
        <f aca="false">IF('RAW KVMC'!I72="","",'RAW KVMC'!I72)</f>
        <v/>
      </c>
    </row>
    <row r="76" customFormat="false" ht="15" hidden="false" customHeight="false" outlineLevel="0" collapsed="false">
      <c r="A76" s="1" t="s">
        <v>1220</v>
      </c>
      <c r="B76" s="1" t="s">
        <v>154</v>
      </c>
      <c r="C76" s="1" t="s">
        <v>1145</v>
      </c>
      <c r="D76" s="1" t="n">
        <v>73</v>
      </c>
      <c r="E76" s="48" t="str">
        <f aca="false">IF('RAW KVMC'!A73="","",'RAW KVMC'!A73)</f>
        <v>Medication Assistance Program</v>
      </c>
      <c r="F76" s="48" t="str">
        <f aca="false">IF('RAW KVMC'!B73="","",'RAW KVMC'!B73)</f>
        <v>Health Care Support Services</v>
      </c>
      <c r="G76" s="49" t="n">
        <f aca="false">IF('RAW KVMC'!C73="","",'RAW KVMC'!C73)</f>
        <v>45900</v>
      </c>
      <c r="H76" s="48" t="str">
        <f aca="false">IF('RAW KVMC'!D73="","",'RAW KVMC'!D73)</f>
        <v>Staff Pharmacist</v>
      </c>
      <c r="I76" s="48" t="n">
        <f aca="false">IF('RAW KVMC'!E73="","",'RAW KVMC'!E73)</f>
        <v>21.25</v>
      </c>
      <c r="J76" s="48" t="n">
        <f aca="false">IF('RAW KVMC'!F73="","",'RAW KVMC'!F73)</f>
        <v>88</v>
      </c>
      <c r="K76" s="50" t="n">
        <f aca="false">IF('RAW KVMC'!G73="","",'RAW KVMC'!G73)</f>
        <v>24975</v>
      </c>
      <c r="L76" s="50" t="n">
        <f aca="false">IF('RAW KVMC'!H73="","",'RAW KVMC'!H73)</f>
        <v>0</v>
      </c>
      <c r="M76" s="48" t="str">
        <f aca="false">IF('RAW KVMC'!I73="","",'RAW KVMC'!I73)</f>
        <v/>
      </c>
    </row>
    <row r="77" customFormat="false" ht="15" hidden="false" customHeight="false" outlineLevel="0" collapsed="false">
      <c r="A77" s="1" t="s">
        <v>1221</v>
      </c>
      <c r="B77" s="1" t="s">
        <v>154</v>
      </c>
      <c r="C77" s="1" t="s">
        <v>1145</v>
      </c>
      <c r="D77" s="1" t="n">
        <v>74</v>
      </c>
      <c r="E77" s="48" t="str">
        <f aca="false">IF('RAW KVMC'!A74="","",'RAW KVMC'!A74)</f>
        <v>Community Health Needs Assessment</v>
      </c>
      <c r="F77" s="48" t="str">
        <f aca="false">IF('RAW KVMC'!B74="","",'RAW KVMC'!B74)</f>
        <v>CB Operations</v>
      </c>
      <c r="G77" s="49" t="n">
        <f aca="false">IF('RAW KVMC'!C74="","",'RAW KVMC'!C74)</f>
        <v>45900</v>
      </c>
      <c r="H77" s="48" t="str">
        <f aca="false">IF('RAW KVMC'!D74="","",'RAW KVMC'!D74)</f>
        <v>Manager Community Benefit</v>
      </c>
      <c r="I77" s="48" t="n">
        <f aca="false">IF('RAW KVMC'!E74="","",'RAW KVMC'!E74)</f>
        <v>34</v>
      </c>
      <c r="J77" s="48" t="n">
        <f aca="false">IF('RAW KVMC'!F74="","",'RAW KVMC'!F74)</f>
        <v>0</v>
      </c>
      <c r="K77" s="50" t="n">
        <f aca="false">IF('RAW KVMC'!G74="","",'RAW KVMC'!G74)</f>
        <v>1435</v>
      </c>
      <c r="L77" s="50" t="n">
        <f aca="false">IF('RAW KVMC'!H74="","",'RAW KVMC'!H74)</f>
        <v>0</v>
      </c>
      <c r="M77" s="48" t="str">
        <f aca="false">IF('RAW KVMC'!I74="","",'RAW KVMC'!I74)</f>
        <v/>
      </c>
    </row>
    <row r="78" customFormat="false" ht="15" hidden="false" customHeight="false" outlineLevel="0" collapsed="false">
      <c r="A78" s="1" t="s">
        <v>1222</v>
      </c>
      <c r="B78" s="1" t="s">
        <v>154</v>
      </c>
      <c r="C78" s="1" t="s">
        <v>1145</v>
      </c>
      <c r="D78" s="1" t="n">
        <v>75</v>
      </c>
      <c r="E78" s="48" t="str">
        <f aca="false">IF('RAW KVMC'!A75="","",'RAW KVMC'!A75)</f>
        <v>Community Health Needs Assessment</v>
      </c>
      <c r="F78" s="48" t="str">
        <f aca="false">IF('RAW KVMC'!B75="","",'RAW KVMC'!B75)</f>
        <v>CB Operations</v>
      </c>
      <c r="G78" s="49" t="n">
        <f aca="false">IF('RAW KVMC'!C75="","",'RAW KVMC'!C75)</f>
        <v>45900</v>
      </c>
      <c r="H78" s="48" t="str">
        <f aca="false">IF('RAW KVMC'!D75="","",'RAW KVMC'!D75)</f>
        <v>Data Analyst </v>
      </c>
      <c r="I78" s="48" t="n">
        <f aca="false">IF('RAW KVMC'!E75="","",'RAW KVMC'!E75)</f>
        <v>21.5</v>
      </c>
      <c r="J78" s="48" t="n">
        <f aca="false">IF('RAW KVMC'!F75="","",'RAW KVMC'!F75)</f>
        <v>0</v>
      </c>
      <c r="K78" s="50" t="n">
        <f aca="false">IF('RAW KVMC'!G75="","",'RAW KVMC'!G75)</f>
        <v>0</v>
      </c>
      <c r="L78" s="50" t="n">
        <f aca="false">IF('RAW KVMC'!H75="","",'RAW KVMC'!H75)</f>
        <v>0</v>
      </c>
      <c r="M78" s="48" t="str">
        <f aca="false">IF('RAW KVMC'!I75="","",'RAW KVMC'!I75)</f>
        <v/>
      </c>
    </row>
    <row r="79" customFormat="false" ht="15" hidden="false" customHeight="false" outlineLevel="0" collapsed="false">
      <c r="A79" s="1" t="s">
        <v>1223</v>
      </c>
      <c r="B79" s="1" t="s">
        <v>154</v>
      </c>
      <c r="C79" s="1" t="s">
        <v>1145</v>
      </c>
      <c r="D79" s="1" t="n">
        <v>76</v>
      </c>
      <c r="E79" s="48" t="str">
        <f aca="false">IF('RAW KVMC'!A76="","",'RAW KVMC'!A76)</f>
        <v>Community Benefit Program Administration</v>
      </c>
      <c r="F79" s="48" t="str">
        <f aca="false">IF('RAW KVMC'!B76="","",'RAW KVMC'!B76)</f>
        <v>CB Operations</v>
      </c>
      <c r="G79" s="49" t="n">
        <f aca="false">IF('RAW KVMC'!C76="","",'RAW KVMC'!C76)</f>
        <v>45900</v>
      </c>
      <c r="H79" s="48" t="str">
        <f aca="false">IF('RAW KVMC'!D76="","",'RAW KVMC'!D76)</f>
        <v>Admin. Assistant</v>
      </c>
      <c r="I79" s="48" t="n">
        <f aca="false">IF('RAW KVMC'!E76="","",'RAW KVMC'!E76)</f>
        <v>61.75</v>
      </c>
      <c r="J79" s="48" t="n">
        <f aca="false">IF('RAW KVMC'!F76="","",'RAW KVMC'!F76)</f>
        <v>0</v>
      </c>
      <c r="K79" s="50" t="n">
        <f aca="false">IF('RAW KVMC'!G76="","",'RAW KVMC'!G76)</f>
        <v>0</v>
      </c>
      <c r="L79" s="50" t="n">
        <f aca="false">IF('RAW KVMC'!H76="","",'RAW KVMC'!H76)</f>
        <v>0</v>
      </c>
      <c r="M79" s="48" t="str">
        <f aca="false">IF('RAW KVMC'!I76="","",'RAW KVMC'!I76)</f>
        <v/>
      </c>
    </row>
    <row r="80" customFormat="false" ht="15" hidden="false" customHeight="false" outlineLevel="0" collapsed="false">
      <c r="A80" s="1" t="s">
        <v>1224</v>
      </c>
      <c r="B80" s="1" t="s">
        <v>154</v>
      </c>
      <c r="C80" s="1" t="s">
        <v>1145</v>
      </c>
      <c r="D80" s="1" t="n">
        <v>77</v>
      </c>
      <c r="E80" s="48" t="str">
        <f aca="false">IF('RAW KVMC'!A77="","",'RAW KVMC'!A77)</f>
        <v>Community Benefit Program Administration</v>
      </c>
      <c r="F80" s="48" t="str">
        <f aca="false">IF('RAW KVMC'!B77="","",'RAW KVMC'!B77)</f>
        <v>CB Operations</v>
      </c>
      <c r="G80" s="49" t="n">
        <f aca="false">IF('RAW KVMC'!C77="","",'RAW KVMC'!C77)</f>
        <v>45900</v>
      </c>
      <c r="H80" s="48" t="str">
        <f aca="false">IF('RAW KVMC'!D77="","",'RAW KVMC'!D77)</f>
        <v>Community Benefit Manager</v>
      </c>
      <c r="I80" s="48" t="n">
        <f aca="false">IF('RAW KVMC'!E77="","",'RAW KVMC'!E77)</f>
        <v>90.25</v>
      </c>
      <c r="J80" s="48" t="n">
        <f aca="false">IF('RAW KVMC'!F77="","",'RAW KVMC'!F77)</f>
        <v>0</v>
      </c>
      <c r="K80" s="50" t="n">
        <f aca="false">IF('RAW KVMC'!G77="","",'RAW KVMC'!G77)</f>
        <v>1120</v>
      </c>
      <c r="L80" s="50" t="n">
        <f aca="false">IF('RAW KVMC'!H77="","",'RAW KVMC'!H77)</f>
        <v>0</v>
      </c>
      <c r="M80" s="48" t="str">
        <f aca="false">IF('RAW KVMC'!I77="","",'RAW KVMC'!I77)</f>
        <v/>
      </c>
    </row>
    <row r="81" customFormat="false" ht="15" hidden="false" customHeight="false" outlineLevel="0" collapsed="false">
      <c r="A81" s="1" t="s">
        <v>1225</v>
      </c>
      <c r="B81" s="1" t="s">
        <v>154</v>
      </c>
      <c r="C81" s="1" t="s">
        <v>1145</v>
      </c>
      <c r="D81" s="1" t="n">
        <v>78</v>
      </c>
      <c r="E81" s="48" t="str">
        <f aca="false">IF('RAW KVMC'!A78="","",'RAW KVMC'!A78)</f>
        <v>Interpreter Services for Community Clinics</v>
      </c>
      <c r="F81" s="48" t="str">
        <f aca="false">IF('RAW KVMC'!B78="","",'RAW KVMC'!B78)</f>
        <v>Health Care Support Services</v>
      </c>
      <c r="G81" s="49" t="n">
        <f aca="false">IF('RAW KVMC'!C78="","",'RAW KVMC'!C78)</f>
        <v>45900</v>
      </c>
      <c r="H81" s="48" t="str">
        <f aca="false">IF('RAW KVMC'!D78="","",'RAW KVMC'!D78)</f>
        <v>Interp.</v>
      </c>
      <c r="I81" s="48" t="n">
        <f aca="false">IF('RAW KVMC'!E78="","",'RAW KVMC'!E78)</f>
        <v>76.75</v>
      </c>
      <c r="J81" s="48" t="n">
        <f aca="false">IF('RAW KVMC'!F78="","",'RAW KVMC'!F78)</f>
        <v>168</v>
      </c>
      <c r="K81" s="50" t="n">
        <f aca="false">IF('RAW KVMC'!G78="","",'RAW KVMC'!G78)</f>
        <v>0</v>
      </c>
      <c r="L81" s="50" t="n">
        <f aca="false">IF('RAW KVMC'!H78="","",'RAW KVMC'!H78)</f>
        <v>0</v>
      </c>
      <c r="M81" s="48" t="str">
        <f aca="false">IF('RAW KVMC'!I78="","",'RAW KVMC'!I78)</f>
        <v/>
      </c>
    </row>
    <row r="82" customFormat="false" ht="15" hidden="false" customHeight="false" outlineLevel="0" collapsed="false">
      <c r="A82" s="1" t="s">
        <v>1226</v>
      </c>
      <c r="B82" s="1" t="s">
        <v>154</v>
      </c>
      <c r="C82" s="1" t="s">
        <v>1145</v>
      </c>
      <c r="D82" s="1" t="n">
        <v>79</v>
      </c>
      <c r="E82" s="48" t="str">
        <f aca="false">IF('RAW KVMC'!A79="","",'RAW KVMC'!A79)</f>
        <v>Nursing Student Clinical Rotations</v>
      </c>
      <c r="F82" s="48" t="str">
        <f aca="false">IF('RAW KVMC'!B79="","",'RAW KVMC'!B79)</f>
        <v>Health Professions Education</v>
      </c>
      <c r="G82" s="49" t="n">
        <f aca="false">IF('RAW KVMC'!C79="","",'RAW KVMC'!C79)</f>
        <v>45900</v>
      </c>
      <c r="H82" s="48" t="str">
        <f aca="false">IF('RAW KVMC'!D79="","",'RAW KVMC'!D79)</f>
        <v>Clinical Nurse Educator</v>
      </c>
      <c r="I82" s="48" t="n">
        <f aca="false">IF('RAW KVMC'!E79="","",'RAW KVMC'!E79)</f>
        <v>133.25</v>
      </c>
      <c r="J82" s="48" t="n">
        <f aca="false">IF('RAW KVMC'!F79="","",'RAW KVMC'!F79)</f>
        <v>53</v>
      </c>
      <c r="K82" s="50" t="n">
        <f aca="false">IF('RAW KVMC'!G79="","",'RAW KVMC'!G79)</f>
        <v>800</v>
      </c>
      <c r="L82" s="50" t="n">
        <f aca="false">IF('RAW KVMC'!H79="","",'RAW KVMC'!H79)</f>
        <v>0</v>
      </c>
      <c r="M82" s="48" t="str">
        <f aca="false">IF('RAW KVMC'!I79="","",'RAW KVMC'!I79)</f>
        <v/>
      </c>
    </row>
    <row r="83" customFormat="false" ht="15" hidden="false" customHeight="false" outlineLevel="0" collapsed="false">
      <c r="A83" s="1" t="s">
        <v>1227</v>
      </c>
      <c r="B83" s="1" t="s">
        <v>154</v>
      </c>
      <c r="C83" s="1" t="s">
        <v>1145</v>
      </c>
      <c r="D83" s="1" t="n">
        <v>80</v>
      </c>
      <c r="E83" s="48" t="str">
        <f aca="false">IF('RAW KVMC'!A80="","",'RAW KVMC'!A80)</f>
        <v>Nursing Student Clinical Rotations</v>
      </c>
      <c r="F83" s="48" t="str">
        <f aca="false">IF('RAW KVMC'!B80="","",'RAW KVMC'!B80)</f>
        <v>Health Professions Education</v>
      </c>
      <c r="G83" s="49" t="n">
        <f aca="false">IF('RAW KVMC'!C80="","",'RAW KVMC'!C80)</f>
        <v>45900</v>
      </c>
      <c r="H83" s="48" t="str">
        <f aca="false">IF('RAW KVMC'!D80="","",'RAW KVMC'!D80)</f>
        <v>RN</v>
      </c>
      <c r="I83" s="48" t="n">
        <f aca="false">IF('RAW KVMC'!E80="","",'RAW KVMC'!E80)</f>
        <v>214.25</v>
      </c>
      <c r="J83" s="48" t="n">
        <f aca="false">IF('RAW KVMC'!F80="","",'RAW KVMC'!F80)</f>
        <v>0</v>
      </c>
      <c r="K83" s="50" t="n">
        <f aca="false">IF('RAW KVMC'!G80="","",'RAW KVMC'!G80)</f>
        <v>0</v>
      </c>
      <c r="L83" s="50" t="n">
        <f aca="false">IF('RAW KVMC'!H80="","",'RAW KVMC'!H80)</f>
        <v>0</v>
      </c>
      <c r="M83" s="48" t="str">
        <f aca="false">IF('RAW KVMC'!I80="","",'RAW KVMC'!I80)</f>
        <v/>
      </c>
    </row>
    <row r="84" customFormat="false" ht="15" hidden="false" customHeight="false" outlineLevel="0" collapsed="false">
      <c r="A84" s="1" t="s">
        <v>1228</v>
      </c>
      <c r="B84" s="1" t="s">
        <v>154</v>
      </c>
      <c r="C84" s="1" t="s">
        <v>1145</v>
      </c>
      <c r="D84" s="1" t="n">
        <v>81</v>
      </c>
      <c r="E84" s="48" t="str">
        <f aca="false">IF('RAW KVMC'!A81="","",'RAW KVMC'!A81)</f>
        <v>Family Medicine Residency Program</v>
      </c>
      <c r="F84" s="48" t="str">
        <f aca="false">IF('RAW KVMC'!B81="","",'RAW KVMC'!B81)</f>
        <v>Health Professions Education</v>
      </c>
      <c r="G84" s="49" t="n">
        <f aca="false">IF('RAW KVMC'!C81="","",'RAW KVMC'!C81)</f>
        <v>45900</v>
      </c>
      <c r="H84" s="48" t="str">
        <f aca="false">IF('RAW KVMC'!D81="","",'RAW KVMC'!D81)</f>
        <v>Staff Physician</v>
      </c>
      <c r="I84" s="48" t="n">
        <f aca="false">IF('RAW KVMC'!E81="","",'RAW KVMC'!E81)</f>
        <v>388.25</v>
      </c>
      <c r="J84" s="48" t="n">
        <f aca="false">IF('RAW KVMC'!F81="","",'RAW KVMC'!F81)</f>
        <v>0</v>
      </c>
      <c r="K84" s="50" t="n">
        <f aca="false">IF('RAW KVMC'!G81="","",'RAW KVMC'!G81)</f>
        <v>35940</v>
      </c>
      <c r="L84" s="50" t="n">
        <f aca="false">IF('RAW KVMC'!H81="","",'RAW KVMC'!H81)</f>
        <v>160085</v>
      </c>
      <c r="M84" s="48" t="str">
        <f aca="false">IF('RAW KVMC'!I81="","",'RAW KVMC'!I81)</f>
        <v/>
      </c>
    </row>
    <row r="85" customFormat="false" ht="15" hidden="false" customHeight="false" outlineLevel="0" collapsed="false">
      <c r="A85" s="1" t="s">
        <v>1229</v>
      </c>
      <c r="B85" s="1" t="s">
        <v>154</v>
      </c>
      <c r="C85" s="1" t="s">
        <v>1145</v>
      </c>
      <c r="D85" s="1" t="n">
        <v>82</v>
      </c>
      <c r="E85" s="48" t="str">
        <f aca="false">IF('RAW KVMC'!A82="","",'RAW KVMC'!A82)</f>
        <v>Family Medicine Residency Program</v>
      </c>
      <c r="F85" s="48" t="str">
        <f aca="false">IF('RAW KVMC'!B82="","",'RAW KVMC'!B82)</f>
        <v>Health Professions Education</v>
      </c>
      <c r="G85" s="49" t="n">
        <f aca="false">IF('RAW KVMC'!C82="","",'RAW KVMC'!C82)</f>
        <v>45900</v>
      </c>
      <c r="H85" s="48" t="str">
        <f aca="false">IF('RAW KVMC'!D82="","",'RAW KVMC'!D82)</f>
        <v>Residency Coordinator</v>
      </c>
      <c r="I85" s="48" t="n">
        <f aca="false">IF('RAW KVMC'!E82="","",'RAW KVMC'!E82)</f>
        <v>165</v>
      </c>
      <c r="J85" s="48" t="n">
        <f aca="false">IF('RAW KVMC'!F82="","",'RAW KVMC'!F82)</f>
        <v>0</v>
      </c>
      <c r="K85" s="50" t="n">
        <f aca="false">IF('RAW KVMC'!G82="","",'RAW KVMC'!G82)</f>
        <v>0</v>
      </c>
      <c r="L85" s="50" t="n">
        <f aca="false">IF('RAW KVMC'!H82="","",'RAW KVMC'!H82)</f>
        <v>0</v>
      </c>
      <c r="M85" s="48" t="str">
        <f aca="false">IF('RAW KVMC'!I82="","",'RAW KVMC'!I82)</f>
        <v/>
      </c>
    </row>
    <row r="86" customFormat="false" ht="15" hidden="false" customHeight="false" outlineLevel="0" collapsed="false">
      <c r="A86" s="1" t="s">
        <v>1230</v>
      </c>
      <c r="B86" s="1" t="s">
        <v>154</v>
      </c>
      <c r="C86" s="1" t="s">
        <v>1145</v>
      </c>
      <c r="D86" s="1" t="n">
        <v>83</v>
      </c>
      <c r="E86" s="48" t="str">
        <f aca="false">IF('RAW KVMC'!A83="","",'RAW KVMC'!A83)</f>
        <v>Family Medicine Residency Program</v>
      </c>
      <c r="F86" s="48" t="str">
        <f aca="false">IF('RAW KVMC'!B83="","",'RAW KVMC'!B83)</f>
        <v>Health Professions Education</v>
      </c>
      <c r="G86" s="49" t="n">
        <f aca="false">IF('RAW KVMC'!C83="","",'RAW KVMC'!C83)</f>
        <v>45900</v>
      </c>
      <c r="H86" s="48" t="str">
        <f aca="false">IF('RAW KVMC'!D83="","",'RAW KVMC'!D83)</f>
        <v>PGY-3 </v>
      </c>
      <c r="I86" s="48" t="n">
        <f aca="false">IF('RAW KVMC'!E83="","",'RAW KVMC'!E83)</f>
        <v>4264</v>
      </c>
      <c r="J86" s="48" t="n">
        <f aca="false">IF('RAW KVMC'!F83="","",'RAW KVMC'!F83)</f>
        <v>0</v>
      </c>
      <c r="K86" s="50" t="n">
        <f aca="false">IF('RAW KVMC'!G83="","",'RAW KVMC'!G83)</f>
        <v>0</v>
      </c>
      <c r="L86" s="50" t="n">
        <f aca="false">IF('RAW KVMC'!H83="","",'RAW KVMC'!H83)</f>
        <v>0</v>
      </c>
      <c r="M86" s="48" t="str">
        <f aca="false">IF('RAW KVMC'!I83="","",'RAW KVMC'!I83)</f>
        <v/>
      </c>
    </row>
    <row r="87" customFormat="false" ht="15" hidden="false" customHeight="false" outlineLevel="0" collapsed="false">
      <c r="A87" s="1" t="s">
        <v>1231</v>
      </c>
      <c r="B87" s="1" t="s">
        <v>154</v>
      </c>
      <c r="C87" s="1" t="s">
        <v>1145</v>
      </c>
      <c r="D87" s="1" t="n">
        <v>84</v>
      </c>
      <c r="E87" s="48" t="str">
        <f aca="false">IF('RAW KVMC'!A84="","",'RAW KVMC'!A84)</f>
        <v>Pharmacy Student Rotations</v>
      </c>
      <c r="F87" s="48" t="str">
        <f aca="false">IF('RAW KVMC'!B84="","",'RAW KVMC'!B84)</f>
        <v>Health Professions Education</v>
      </c>
      <c r="G87" s="49" t="n">
        <f aca="false">IF('RAW KVMC'!C84="","",'RAW KVMC'!C84)</f>
        <v>45900</v>
      </c>
      <c r="H87" s="48" t="str">
        <f aca="false">IF('RAW KVMC'!D84="","",'RAW KVMC'!D84)</f>
        <v>Pharm.D.</v>
      </c>
      <c r="I87" s="48" t="n">
        <f aca="false">IF('RAW KVMC'!E84="","",'RAW KVMC'!E84)</f>
        <v>85.75</v>
      </c>
      <c r="J87" s="48" t="n">
        <f aca="false">IF('RAW KVMC'!F84="","",'RAW KVMC'!F84)</f>
        <v>3</v>
      </c>
      <c r="K87" s="50" t="n">
        <f aca="false">IF('RAW KVMC'!G84="","",'RAW KVMC'!G84)</f>
        <v>240</v>
      </c>
      <c r="L87" s="50" t="n">
        <f aca="false">IF('RAW KVMC'!H84="","",'RAW KVMC'!H84)</f>
        <v>0</v>
      </c>
      <c r="M87" s="48" t="str">
        <f aca="false">IF('RAW KVMC'!I84="","",'RAW KVMC'!I84)</f>
        <v/>
      </c>
    </row>
    <row r="88" customFormat="false" ht="15" hidden="false" customHeight="false" outlineLevel="0" collapsed="false">
      <c r="A88" s="1" t="s">
        <v>1232</v>
      </c>
      <c r="B88" s="1" t="s">
        <v>154</v>
      </c>
      <c r="C88" s="1" t="s">
        <v>1145</v>
      </c>
      <c r="D88" s="1" t="n">
        <v>85</v>
      </c>
      <c r="E88" s="48" t="str">
        <f aca="false">IF('RAW KVMC'!A85="","",'RAW KVMC'!A85)</f>
        <v>Community Hypertension Control Study</v>
      </c>
      <c r="F88" s="48" t="str">
        <f aca="false">IF('RAW KVMC'!B85="","",'RAW KVMC'!B85)</f>
        <v>Research</v>
      </c>
      <c r="G88" s="49" t="n">
        <f aca="false">IF('RAW KVMC'!C85="","",'RAW KVMC'!C85)</f>
        <v>45900</v>
      </c>
      <c r="H88" s="48" t="str">
        <f aca="false">IF('RAW KVMC'!D85="","",'RAW KVMC'!D85)</f>
        <v>Sr Data Analyst</v>
      </c>
      <c r="I88" s="48" t="n">
        <f aca="false">IF('RAW KVMC'!E85="","",'RAW KVMC'!E85)</f>
        <v>42.75</v>
      </c>
      <c r="J88" s="48" t="n">
        <f aca="false">IF('RAW KVMC'!F85="","",'RAW KVMC'!F85)</f>
        <v>0</v>
      </c>
      <c r="K88" s="50" t="n">
        <f aca="false">IF('RAW KVMC'!G85="","",'RAW KVMC'!G85)</f>
        <v>0</v>
      </c>
      <c r="L88" s="50" t="n">
        <f aca="false">IF('RAW KVMC'!H85="","",'RAW KVMC'!H85)</f>
        <v>0</v>
      </c>
      <c r="M88" s="48" t="str">
        <f aca="false">IF('RAW KVMC'!I85="","",'RAW KVMC'!I85)</f>
        <v/>
      </c>
    </row>
    <row r="89" customFormat="false" ht="15" hidden="false" customHeight="false" outlineLevel="0" collapsed="false">
      <c r="A89" s="1" t="s">
        <v>1233</v>
      </c>
      <c r="B89" s="1" t="s">
        <v>154</v>
      </c>
      <c r="C89" s="1" t="s">
        <v>1145</v>
      </c>
      <c r="D89" s="1" t="n">
        <v>86</v>
      </c>
      <c r="E89" s="48" t="str">
        <f aca="false">IF('RAW KVMC'!A86="","",'RAW KVMC'!A86)</f>
        <v>Community Hypertension Control Study</v>
      </c>
      <c r="F89" s="48" t="str">
        <f aca="false">IF('RAW KVMC'!B86="","",'RAW KVMC'!B86)</f>
        <v>Research</v>
      </c>
      <c r="G89" s="49" t="n">
        <f aca="false">IF('RAW KVMC'!C86="","",'RAW KVMC'!C86)</f>
        <v>45900</v>
      </c>
      <c r="H89" s="48" t="str">
        <f aca="false">IF('RAW KVMC'!D86="","",'RAW KVMC'!D86)</f>
        <v>Physician</v>
      </c>
      <c r="I89" s="48" t="n">
        <f aca="false">IF('RAW KVMC'!E86="","",'RAW KVMC'!E86)</f>
        <v>16</v>
      </c>
      <c r="J89" s="48" t="n">
        <f aca="false">IF('RAW KVMC'!F86="","",'RAW KVMC'!F86)</f>
        <v>0</v>
      </c>
      <c r="K89" s="50" t="n">
        <f aca="false">IF('RAW KVMC'!G86="","",'RAW KVMC'!G86)</f>
        <v>0</v>
      </c>
      <c r="L89" s="50" t="n">
        <f aca="false">IF('RAW KVMC'!H86="","",'RAW KVMC'!H86)</f>
        <v>0</v>
      </c>
      <c r="M89" s="48" t="str">
        <f aca="false">IF('RAW KVMC'!I86="","",'RAW KVMC'!I86)</f>
        <v/>
      </c>
    </row>
    <row r="90" customFormat="false" ht="15" hidden="false" customHeight="false" outlineLevel="0" collapsed="false">
      <c r="A90" s="1" t="s">
        <v>1234</v>
      </c>
      <c r="B90" s="1" t="s">
        <v>154</v>
      </c>
      <c r="C90" s="1" t="s">
        <v>1145</v>
      </c>
      <c r="D90" s="1" t="n">
        <v>87</v>
      </c>
      <c r="E90" s="48" t="str">
        <f aca="false">IF('RAW KVMC'!A87="","",'RAW KVMC'!A87)</f>
        <v>Community Hypertension Control Study</v>
      </c>
      <c r="F90" s="48" t="str">
        <f aca="false">IF('RAW KVMC'!B87="","",'RAW KVMC'!B87)</f>
        <v>Research</v>
      </c>
      <c r="G90" s="49" t="n">
        <f aca="false">IF('RAW KVMC'!C87="","",'RAW KVMC'!C87)</f>
        <v>45900</v>
      </c>
      <c r="H90" s="48" t="str">
        <f aca="false">IF('RAW KVMC'!D87="","",'RAW KVMC'!D87)</f>
        <v>Research Coordinator</v>
      </c>
      <c r="I90" s="48" t="n">
        <f aca="false">IF('RAW KVMC'!E87="","",'RAW KVMC'!E87)</f>
        <v>158</v>
      </c>
      <c r="J90" s="48" t="n">
        <f aca="false">IF('RAW KVMC'!F87="","",'RAW KVMC'!F87)</f>
        <v>71</v>
      </c>
      <c r="K90" s="50" t="n">
        <f aca="false">IF('RAW KVMC'!G87="","",'RAW KVMC'!G87)</f>
        <v>8485</v>
      </c>
      <c r="L90" s="50" t="n">
        <f aca="false">IF('RAW KVMC'!H87="","",'RAW KVMC'!H87)</f>
        <v>12185</v>
      </c>
      <c r="M90" s="48" t="str">
        <f aca="false">IF('RAW KVMC'!I87="","",'RAW KVMC'!I87)</f>
        <v/>
      </c>
    </row>
    <row r="91" customFormat="false" ht="15" hidden="false" customHeight="false" outlineLevel="0" collapsed="false">
      <c r="A91" s="1" t="s">
        <v>1235</v>
      </c>
      <c r="B91" s="1" t="s">
        <v>154</v>
      </c>
      <c r="C91" s="1" t="s">
        <v>1145</v>
      </c>
      <c r="D91" s="1" t="n">
        <v>88</v>
      </c>
      <c r="E91" s="48" t="str">
        <f aca="false">IF('RAW KVMC'!A88="","",'RAW KVMC'!A88)</f>
        <v>Community Blood Pressure Checks</v>
      </c>
      <c r="F91" s="48" t="str">
        <f aca="false">IF('RAW KVMC'!B88="","",'RAW KVMC'!B88)</f>
        <v>Community-Based Clinical Services</v>
      </c>
      <c r="G91" s="49" t="n">
        <f aca="false">IF('RAW KVMC'!C88="","",'RAW KVMC'!C88)</f>
        <v>45901</v>
      </c>
      <c r="H91" s="48" t="str">
        <f aca="false">IF('RAW KVMC'!D88="","",'RAW KVMC'!D88)</f>
        <v>Charge RN</v>
      </c>
      <c r="I91" s="48" t="n">
        <f aca="false">IF('RAW KVMC'!E88="","",'RAW KVMC'!E88)</f>
        <v>4.25</v>
      </c>
      <c r="J91" s="48" t="n">
        <f aca="false">IF('RAW KVMC'!F88="","",'RAW KVMC'!F88)</f>
        <v>80</v>
      </c>
      <c r="K91" s="50" t="n">
        <f aca="false">IF('RAW KVMC'!G88="","",'RAW KVMC'!G88)</f>
        <v>115</v>
      </c>
      <c r="L91" s="50" t="n">
        <f aca="false">IF('RAW KVMC'!H88="","",'RAW KVMC'!H88)</f>
        <v>0</v>
      </c>
      <c r="M91" s="48" t="str">
        <f aca="false">IF('RAW KVMC'!I88="","",'RAW KVMC'!I88)</f>
        <v/>
      </c>
    </row>
    <row r="92" customFormat="false" ht="15" hidden="false" customHeight="false" outlineLevel="0" collapsed="false">
      <c r="A92" s="1" t="s">
        <v>1236</v>
      </c>
      <c r="B92" s="1" t="s">
        <v>154</v>
      </c>
      <c r="C92" s="1" t="s">
        <v>1145</v>
      </c>
      <c r="D92" s="1" t="n">
        <v>89</v>
      </c>
      <c r="E92" s="48" t="str">
        <f aca="false">IF('RAW KVMC'!A89="","",'RAW KVMC'!A89)</f>
        <v>Community Blood Pressure Checks</v>
      </c>
      <c r="F92" s="48" t="str">
        <f aca="false">IF('RAW KVMC'!B89="","",'RAW KVMC'!B89)</f>
        <v>Community-Based Clinical Services</v>
      </c>
      <c r="G92" s="49" t="n">
        <f aca="false">IF('RAW KVMC'!C89="","",'RAW KVMC'!C89)</f>
        <v>45903</v>
      </c>
      <c r="H92" s="48" t="str">
        <f aca="false">IF('RAW KVMC'!D89="","",'RAW KVMC'!D89)</f>
        <v>R.N.</v>
      </c>
      <c r="I92" s="48" t="n">
        <f aca="false">IF('RAW KVMC'!E89="","",'RAW KVMC'!E89)</f>
        <v>3.5</v>
      </c>
      <c r="J92" s="48" t="n">
        <f aca="false">IF('RAW KVMC'!F89="","",'RAW KVMC'!F89)</f>
        <v>69</v>
      </c>
      <c r="K92" s="50" t="n">
        <f aca="false">IF('RAW KVMC'!G89="","",'RAW KVMC'!G89)</f>
        <v>60</v>
      </c>
      <c r="L92" s="50" t="n">
        <f aca="false">IF('RAW KVMC'!H89="","",'RAW KVMC'!H89)</f>
        <v>0</v>
      </c>
      <c r="M92" s="48" t="str">
        <f aca="false">IF('RAW KVMC'!I89="","",'RAW KVMC'!I89)</f>
        <v/>
      </c>
    </row>
    <row r="93" customFormat="false" ht="15" hidden="false" customHeight="false" outlineLevel="0" collapsed="false">
      <c r="A93" s="1" t="s">
        <v>1237</v>
      </c>
      <c r="B93" s="1" t="s">
        <v>154</v>
      </c>
      <c r="C93" s="1" t="s">
        <v>1145</v>
      </c>
      <c r="D93" s="1" t="n">
        <v>90</v>
      </c>
      <c r="E93" s="48" t="str">
        <f aca="false">IF('RAW KVMC'!A90="","",'RAW KVMC'!A90)</f>
        <v>Mental Health First Aid Training</v>
      </c>
      <c r="F93" s="48" t="str">
        <f aca="false">IF('RAW KVMC'!B90="","",'RAW KVMC'!B90)</f>
        <v>Community Health Education</v>
      </c>
      <c r="G93" s="49" t="n">
        <f aca="false">IF('RAW KVMC'!C90="","",'RAW KVMC'!C90)</f>
        <v>45906</v>
      </c>
      <c r="H93" s="48" t="str">
        <f aca="false">IF('RAW KVMC'!D90="","",'RAW KVMC'!D90)</f>
        <v>Hlth Educator </v>
      </c>
      <c r="I93" s="48" t="n">
        <f aca="false">IF('RAW KVMC'!E90="","",'RAW KVMC'!E90)</f>
        <v>8</v>
      </c>
      <c r="J93" s="48" t="n">
        <f aca="false">IF('RAW KVMC'!F90="","",'RAW KVMC'!F90)</f>
        <v>0</v>
      </c>
      <c r="K93" s="50" t="n">
        <f aca="false">IF('RAW KVMC'!G90="","",'RAW KVMC'!G90)</f>
        <v>0</v>
      </c>
      <c r="L93" s="50" t="n">
        <f aca="false">IF('RAW KVMC'!H90="","",'RAW KVMC'!H90)</f>
        <v>0</v>
      </c>
      <c r="M93" s="48" t="str">
        <f aca="false">IF('RAW KVMC'!I90="","",'RAW KVMC'!I90)</f>
        <v/>
      </c>
    </row>
    <row r="94" customFormat="false" ht="15" hidden="false" customHeight="false" outlineLevel="0" collapsed="false">
      <c r="A94" s="1" t="s">
        <v>1238</v>
      </c>
      <c r="B94" s="1" t="s">
        <v>154</v>
      </c>
      <c r="C94" s="1" t="s">
        <v>1145</v>
      </c>
      <c r="D94" s="1" t="n">
        <v>91</v>
      </c>
      <c r="E94" s="48" t="str">
        <f aca="false">IF('RAW KVMC'!A91="","",'RAW KVMC'!A91)</f>
        <v>Mental Health First Aid Training</v>
      </c>
      <c r="F94" s="48" t="str">
        <f aca="false">IF('RAW KVMC'!B91="","",'RAW KVMC'!B91)</f>
        <v>Community Health Education</v>
      </c>
      <c r="G94" s="49" t="n">
        <f aca="false">IF('RAW KVMC'!C91="","",'RAW KVMC'!C91)</f>
        <v>45906</v>
      </c>
      <c r="H94" s="48" t="str">
        <f aca="false">IF('RAW KVMC'!D91="","",'RAW KVMC'!D91)</f>
        <v>LMSW</v>
      </c>
      <c r="I94" s="48" t="n">
        <f aca="false">IF('RAW KVMC'!E91="","",'RAW KVMC'!E91)</f>
        <v>8</v>
      </c>
      <c r="J94" s="48" t="n">
        <f aca="false">IF('RAW KVMC'!F91="","",'RAW KVMC'!F91)</f>
        <v>28</v>
      </c>
      <c r="K94" s="50" t="n">
        <f aca="false">IF('RAW KVMC'!G91="","",'RAW KVMC'!G91)</f>
        <v>450</v>
      </c>
      <c r="L94" s="50" t="n">
        <f aca="false">IF('RAW KVMC'!H91="","",'RAW KVMC'!H91)</f>
        <v>0</v>
      </c>
      <c r="M94" s="48" t="str">
        <f aca="false">IF('RAW KVMC'!I91="","",'RAW KVMC'!I91)</f>
        <v/>
      </c>
    </row>
    <row r="95" customFormat="false" ht="15" hidden="false" customHeight="false" outlineLevel="0" collapsed="false">
      <c r="A95" s="1" t="s">
        <v>1239</v>
      </c>
      <c r="B95" s="1" t="s">
        <v>154</v>
      </c>
      <c r="C95" s="1" t="s">
        <v>1145</v>
      </c>
      <c r="D95" s="1" t="n">
        <v>92</v>
      </c>
      <c r="E95" s="48" t="str">
        <f aca="false">IF('RAW KVMC'!A92="","",'RAW KVMC'!A92)</f>
        <v>Tobacco Cessation Classes</v>
      </c>
      <c r="F95" s="48" t="str">
        <f aca="false">IF('RAW KVMC'!B92="","",'RAW KVMC'!B92)</f>
        <v>Community Health Education</v>
      </c>
      <c r="G95" s="49" t="n">
        <f aca="false">IF('RAW KVMC'!C92="","",'RAW KVMC'!C92)</f>
        <v>45908</v>
      </c>
      <c r="H95" s="48" t="str">
        <f aca="false">IF('RAW KVMC'!D92="","",'RAW KVMC'!D92)</f>
        <v>Phys Therapist</v>
      </c>
      <c r="I95" s="48" t="n">
        <f aca="false">IF('RAW KVMC'!E92="","",'RAW KVMC'!E92)</f>
        <v>2</v>
      </c>
      <c r="J95" s="48" t="n">
        <f aca="false">IF('RAW KVMC'!F92="","",'RAW KVMC'!F92)</f>
        <v>15</v>
      </c>
      <c r="K95" s="50" t="n">
        <f aca="false">IF('RAW KVMC'!G92="","",'RAW KVMC'!G92)</f>
        <v>140</v>
      </c>
      <c r="L95" s="50" t="n">
        <f aca="false">IF('RAW KVMC'!H92="","",'RAW KVMC'!H92)</f>
        <v>0</v>
      </c>
      <c r="M95" s="48" t="str">
        <f aca="false">IF('RAW KVMC'!I92="","",'RAW KVMC'!I92)</f>
        <v/>
      </c>
    </row>
    <row r="96" customFormat="false" ht="15" hidden="false" customHeight="false" outlineLevel="0" collapsed="false">
      <c r="A96" s="1" t="s">
        <v>1240</v>
      </c>
      <c r="B96" s="1" t="s">
        <v>154</v>
      </c>
      <c r="C96" s="1" t="s">
        <v>1145</v>
      </c>
      <c r="D96" s="1" t="n">
        <v>93</v>
      </c>
      <c r="E96" s="48" t="str">
        <f aca="false">IF('RAW KVMC'!A93="","",'RAW KVMC'!A93)</f>
        <v>Grief Support Group</v>
      </c>
      <c r="F96" s="48" t="str">
        <f aca="false">IF('RAW KVMC'!B93="","",'RAW KVMC'!B93)</f>
        <v>Health Care Support Services</v>
      </c>
      <c r="G96" s="49" t="n">
        <f aca="false">IF('RAW KVMC'!C93="","",'RAW KVMC'!C93)</f>
        <v>45913</v>
      </c>
      <c r="H96" s="48" t="str">
        <f aca="false">IF('RAW KVMC'!D93="","",'RAW KVMC'!D93)</f>
        <v>Chaplain</v>
      </c>
      <c r="I96" s="48" t="n">
        <f aca="false">IF('RAW KVMC'!E93="","",'RAW KVMC'!E93)</f>
        <v>2</v>
      </c>
      <c r="J96" s="48" t="n">
        <f aca="false">IF('RAW KVMC'!F93="","",'RAW KVMC'!F93)</f>
        <v>15</v>
      </c>
      <c r="K96" s="50" t="n">
        <f aca="false">IF('RAW KVMC'!G93="","",'RAW KVMC'!G93)</f>
        <v>55</v>
      </c>
      <c r="L96" s="50" t="n">
        <f aca="false">IF('RAW KVMC'!H93="","",'RAW KVMC'!H93)</f>
        <v>0</v>
      </c>
      <c r="M96" s="48" t="str">
        <f aca="false">IF('RAW KVMC'!I93="","",'RAW KVMC'!I93)</f>
        <v/>
      </c>
    </row>
    <row r="97" customFormat="false" ht="15" hidden="false" customHeight="false" outlineLevel="0" collapsed="false">
      <c r="A97" s="1" t="s">
        <v>1241</v>
      </c>
      <c r="B97" s="1" t="s">
        <v>154</v>
      </c>
      <c r="C97" s="1" t="s">
        <v>1145</v>
      </c>
      <c r="D97" s="1" t="n">
        <v>94</v>
      </c>
      <c r="E97" s="48" t="str">
        <f aca="false">IF('RAW KVMC'!A94="","",'RAW KVMC'!A94)</f>
        <v>Grief Support Group</v>
      </c>
      <c r="F97" s="48" t="str">
        <f aca="false">IF('RAW KVMC'!B94="","",'RAW KVMC'!B94)</f>
        <v>Health Care Support Services</v>
      </c>
      <c r="G97" s="49" t="n">
        <f aca="false">IF('RAW KVMC'!C94="","",'RAW KVMC'!C94)</f>
        <v>45913</v>
      </c>
      <c r="H97" s="48" t="str">
        <f aca="false">IF('RAW KVMC'!D94="","",'RAW KVMC'!D94)</f>
        <v>LMSW</v>
      </c>
      <c r="I97" s="48" t="n">
        <f aca="false">IF('RAW KVMC'!E94="","",'RAW KVMC'!E94)</f>
        <v>2</v>
      </c>
      <c r="J97" s="48" t="n">
        <f aca="false">IF('RAW KVMC'!F94="","",'RAW KVMC'!F94)</f>
        <v>0</v>
      </c>
      <c r="K97" s="50" t="n">
        <f aca="false">IF('RAW KVMC'!G94="","",'RAW KVMC'!G94)</f>
        <v>0</v>
      </c>
      <c r="L97" s="50" t="n">
        <f aca="false">IF('RAW KVMC'!H94="","",'RAW KVMC'!H94)</f>
        <v>0</v>
      </c>
      <c r="M97" s="48" t="str">
        <f aca="false">IF('RAW KVMC'!I94="","",'RAW KVMC'!I94)</f>
        <v/>
      </c>
    </row>
    <row r="98" customFormat="false" ht="15" hidden="false" customHeight="false" outlineLevel="0" collapsed="false">
      <c r="A98" s="1" t="s">
        <v>1242</v>
      </c>
      <c r="B98" s="1" t="s">
        <v>154</v>
      </c>
      <c r="C98" s="1" t="s">
        <v>1145</v>
      </c>
      <c r="D98" s="1" t="n">
        <v>95</v>
      </c>
      <c r="E98" s="48" t="str">
        <f aca="false">IF('RAW KVMC'!A95="","",'RAW KVMC'!A95)</f>
        <v>Grief Support Group</v>
      </c>
      <c r="F98" s="48" t="str">
        <f aca="false">IF('RAW KVMC'!B95="","",'RAW KVMC'!B95)</f>
        <v>Health Care Support Services</v>
      </c>
      <c r="G98" s="49" t="n">
        <f aca="false">IF('RAW KVMC'!C95="","",'RAW KVMC'!C95)</f>
        <v>45915</v>
      </c>
      <c r="H98" s="48" t="str">
        <f aca="false">IF('RAW KVMC'!D95="","",'RAW KVMC'!D95)</f>
        <v>Staff Chaplain</v>
      </c>
      <c r="I98" s="48" t="n">
        <f aca="false">IF('RAW KVMC'!E95="","",'RAW KVMC'!E95)</f>
        <v>2.25</v>
      </c>
      <c r="J98" s="48" t="n">
        <f aca="false">IF('RAW KVMC'!F95="","",'RAW KVMC'!F95)</f>
        <v>16</v>
      </c>
      <c r="K98" s="50" t="n">
        <f aca="false">IF('RAW KVMC'!G95="","",'RAW KVMC'!G95)</f>
        <v>30</v>
      </c>
      <c r="L98" s="50" t="n">
        <f aca="false">IF('RAW KVMC'!H95="","",'RAW KVMC'!H95)</f>
        <v>0</v>
      </c>
      <c r="M98" s="48" t="str">
        <f aca="false">IF('RAW KVMC'!I95="","",'RAW KVMC'!I95)</f>
        <v/>
      </c>
    </row>
    <row r="99" customFormat="false" ht="15" hidden="false" customHeight="false" outlineLevel="0" collapsed="false">
      <c r="A99" s="1" t="s">
        <v>1243</v>
      </c>
      <c r="B99" s="1" t="s">
        <v>154</v>
      </c>
      <c r="C99" s="1" t="s">
        <v>1145</v>
      </c>
      <c r="D99" s="1" t="n">
        <v>96</v>
      </c>
      <c r="E99" s="48" t="str">
        <f aca="false">IF('RAW KVMC'!A96="","",'RAW KVMC'!A96)</f>
        <v>Grief Support Group</v>
      </c>
      <c r="F99" s="48" t="str">
        <f aca="false">IF('RAW KVMC'!B96="","",'RAW KVMC'!B96)</f>
        <v>Health Care Support Services</v>
      </c>
      <c r="G99" s="49" t="n">
        <f aca="false">IF('RAW KVMC'!C96="","",'RAW KVMC'!C96)</f>
        <v>45915</v>
      </c>
      <c r="H99" s="48" t="str">
        <f aca="false">IF('RAW KVMC'!D96="","",'RAW KVMC'!D96)</f>
        <v>MSW</v>
      </c>
      <c r="I99" s="48" t="n">
        <f aca="false">IF('RAW KVMC'!E96="","",'RAW KVMC'!E96)</f>
        <v>2</v>
      </c>
      <c r="J99" s="48" t="n">
        <f aca="false">IF('RAW KVMC'!F96="","",'RAW KVMC'!F96)</f>
        <v>0</v>
      </c>
      <c r="K99" s="50" t="n">
        <f aca="false">IF('RAW KVMC'!G96="","",'RAW KVMC'!G96)</f>
        <v>0</v>
      </c>
      <c r="L99" s="50" t="n">
        <f aca="false">IF('RAW KVMC'!H96="","",'RAW KVMC'!H96)</f>
        <v>0</v>
      </c>
      <c r="M99" s="48" t="str">
        <f aca="false">IF('RAW KVMC'!I96="","",'RAW KVMC'!I96)</f>
        <v/>
      </c>
    </row>
    <row r="100" customFormat="false" ht="15" hidden="false" customHeight="false" outlineLevel="0" collapsed="false">
      <c r="A100" s="1" t="s">
        <v>1244</v>
      </c>
      <c r="B100" s="1" t="s">
        <v>154</v>
      </c>
      <c r="C100" s="1" t="s">
        <v>1145</v>
      </c>
      <c r="D100" s="1" t="n">
        <v>97</v>
      </c>
      <c r="E100" s="48" t="str">
        <f aca="false">IF('RAW KVMC'!A97="","",'RAW KVMC'!A97)</f>
        <v>Grief Support Group</v>
      </c>
      <c r="F100" s="48" t="str">
        <f aca="false">IF('RAW KVMC'!B97="","",'RAW KVMC'!B97)</f>
        <v>Health Care Support Services</v>
      </c>
      <c r="G100" s="49" t="n">
        <f aca="false">IF('RAW KVMC'!C97="","",'RAW KVMC'!C97)</f>
        <v>45916</v>
      </c>
      <c r="H100" s="48" t="str">
        <f aca="false">IF('RAW KVMC'!D97="","",'RAW KVMC'!D97)</f>
        <v>Spiritual Care</v>
      </c>
      <c r="I100" s="48" t="n">
        <f aca="false">IF('RAW KVMC'!E97="","",'RAW KVMC'!E97)</f>
        <v>2</v>
      </c>
      <c r="J100" s="48" t="n">
        <f aca="false">IF('RAW KVMC'!F97="","",'RAW KVMC'!F97)</f>
        <v>14</v>
      </c>
      <c r="K100" s="50" t="n">
        <f aca="false">IF('RAW KVMC'!G97="","",'RAW KVMC'!G97)</f>
        <v>35</v>
      </c>
      <c r="L100" s="50" t="n">
        <f aca="false">IF('RAW KVMC'!H97="","",'RAW KVMC'!H97)</f>
        <v>0</v>
      </c>
      <c r="M100" s="48" t="str">
        <f aca="false">IF('RAW KVMC'!I97="","",'RAW KVMC'!I97)</f>
        <v/>
      </c>
    </row>
    <row r="101" customFormat="false" ht="15" hidden="false" customHeight="false" outlineLevel="0" collapsed="false">
      <c r="A101" s="1" t="s">
        <v>1245</v>
      </c>
      <c r="B101" s="1" t="s">
        <v>154</v>
      </c>
      <c r="C101" s="1" t="s">
        <v>1145</v>
      </c>
      <c r="D101" s="1" t="n">
        <v>98</v>
      </c>
      <c r="E101" s="48" t="str">
        <f aca="false">IF('RAW KVMC'!A98="","",'RAW KVMC'!A98)</f>
        <v>Grief Support Group</v>
      </c>
      <c r="F101" s="48" t="str">
        <f aca="false">IF('RAW KVMC'!B98="","",'RAW KVMC'!B98)</f>
        <v>Health Care Support Services</v>
      </c>
      <c r="G101" s="49" t="n">
        <f aca="false">IF('RAW KVMC'!C98="","",'RAW KVMC'!C98)</f>
        <v>45916</v>
      </c>
      <c r="H101" s="48" t="str">
        <f aca="false">IF('RAW KVMC'!D98="","",'RAW KVMC'!D98)</f>
        <v>Social Worker</v>
      </c>
      <c r="I101" s="48" t="n">
        <f aca="false">IF('RAW KVMC'!E98="","",'RAW KVMC'!E98)</f>
        <v>2</v>
      </c>
      <c r="J101" s="48" t="n">
        <f aca="false">IF('RAW KVMC'!F98="","",'RAW KVMC'!F98)</f>
        <v>0</v>
      </c>
      <c r="K101" s="50" t="n">
        <f aca="false">IF('RAW KVMC'!G98="","",'RAW KVMC'!G98)</f>
        <v>0</v>
      </c>
      <c r="L101" s="50" t="n">
        <f aca="false">IF('RAW KVMC'!H98="","",'RAW KVMC'!H98)</f>
        <v>0</v>
      </c>
      <c r="M101" s="48" t="str">
        <f aca="false">IF('RAW KVMC'!I98="","",'RAW KVMC'!I98)</f>
        <v/>
      </c>
    </row>
    <row r="102" customFormat="false" ht="15" hidden="false" customHeight="false" outlineLevel="0" collapsed="false">
      <c r="A102" s="1" t="s">
        <v>1246</v>
      </c>
      <c r="B102" s="1" t="s">
        <v>154</v>
      </c>
      <c r="C102" s="1" t="s">
        <v>1145</v>
      </c>
      <c r="D102" s="1" t="n">
        <v>99</v>
      </c>
      <c r="E102" s="48" t="str">
        <f aca="false">IF('RAW KVMC'!A99="","",'RAW KVMC'!A99)</f>
        <v>Diabetes Prevention Classes</v>
      </c>
      <c r="F102" s="48" t="str">
        <f aca="false">IF('RAW KVMC'!B99="","",'RAW KVMC'!B99)</f>
        <v>Community Health Education</v>
      </c>
      <c r="G102" s="49" t="n">
        <f aca="false">IF('RAW KVMC'!C99="","",'RAW KVMC'!C99)</f>
        <v>45917</v>
      </c>
      <c r="H102" s="48" t="str">
        <f aca="false">IF('RAW KVMC'!D99="","",'RAW KVMC'!D99)</f>
        <v>Health Educator</v>
      </c>
      <c r="I102" s="48" t="n">
        <f aca="false">IF('RAW KVMC'!E99="","",'RAW KVMC'!E99)</f>
        <v>3</v>
      </c>
      <c r="J102" s="48" t="n">
        <f aca="false">IF('RAW KVMC'!F99="","",'RAW KVMC'!F99)</f>
        <v>12</v>
      </c>
      <c r="K102" s="50" t="n">
        <f aca="false">IF('RAW KVMC'!G99="","",'RAW KVMC'!G99)</f>
        <v>135</v>
      </c>
      <c r="L102" s="50" t="n">
        <f aca="false">IF('RAW KVMC'!H99="","",'RAW KVMC'!H99)</f>
        <v>0</v>
      </c>
      <c r="M102" s="48" t="str">
        <f aca="false">IF('RAW KVMC'!I99="","",'RAW KVMC'!I99)</f>
        <v/>
      </c>
    </row>
    <row r="103" customFormat="false" ht="15" hidden="false" customHeight="false" outlineLevel="0" collapsed="false">
      <c r="A103" s="1" t="s">
        <v>1247</v>
      </c>
      <c r="B103" s="1" t="s">
        <v>154</v>
      </c>
      <c r="C103" s="1" t="s">
        <v>1145</v>
      </c>
      <c r="D103" s="1" t="n">
        <v>100</v>
      </c>
      <c r="E103" s="48" t="str">
        <f aca="false">IF('RAW KVMC'!A100="","",'RAW KVMC'!A100)</f>
        <v>Diabetes Prevention Classes</v>
      </c>
      <c r="F103" s="48" t="str">
        <f aca="false">IF('RAW KVMC'!B100="","",'RAW KVMC'!B100)</f>
        <v>Community Health Education</v>
      </c>
      <c r="G103" s="49" t="n">
        <f aca="false">IF('RAW KVMC'!C100="","",'RAW KVMC'!C100)</f>
        <v>45917</v>
      </c>
      <c r="H103" s="48" t="str">
        <f aca="false">IF('RAW KVMC'!D100="","",'RAW KVMC'!D100)</f>
        <v>Nutritionist</v>
      </c>
      <c r="I103" s="48" t="n">
        <f aca="false">IF('RAW KVMC'!E100="","",'RAW KVMC'!E100)</f>
        <v>2</v>
      </c>
      <c r="J103" s="48" t="n">
        <f aca="false">IF('RAW KVMC'!F100="","",'RAW KVMC'!F100)</f>
        <v>0</v>
      </c>
      <c r="K103" s="50" t="n">
        <f aca="false">IF('RAW KVMC'!G100="","",'RAW KVMC'!G100)</f>
        <v>0</v>
      </c>
      <c r="L103" s="50" t="n">
        <f aca="false">IF('RAW KVMC'!H100="","",'RAW KVMC'!H100)</f>
        <v>0</v>
      </c>
      <c r="M103" s="48" t="str">
        <f aca="false">IF('RAW KVMC'!I100="","",'RAW KVMC'!I100)</f>
        <v/>
      </c>
    </row>
    <row r="104" customFormat="false" ht="15" hidden="false" customHeight="false" outlineLevel="0" collapsed="false">
      <c r="A104" s="1" t="s">
        <v>1248</v>
      </c>
      <c r="B104" s="1" t="s">
        <v>154</v>
      </c>
      <c r="C104" s="1" t="s">
        <v>1145</v>
      </c>
      <c r="D104" s="1" t="n">
        <v>101</v>
      </c>
      <c r="E104" s="48" t="str">
        <f aca="false">IF('RAW KVMC'!A101="","",'RAW KVMC'!A101)</f>
        <v>School-Based Health Center Support Grant</v>
      </c>
      <c r="F104" s="48" t="str">
        <f aca="false">IF('RAW KVMC'!B101="","",'RAW KVMC'!B101)</f>
        <v>Cash &amp; In-Kind Donations</v>
      </c>
      <c r="G104" s="49" t="n">
        <f aca="false">IF('RAW KVMC'!C101="","",'RAW KVMC'!C101)</f>
        <v>45918</v>
      </c>
      <c r="H104" s="48" t="str">
        <f aca="false">IF('RAW KVMC'!D101="","",'RAW KVMC'!D101)</f>
        <v>n.a.</v>
      </c>
      <c r="I104" s="48" t="n">
        <f aca="false">IF('RAW KVMC'!E101="","",'RAW KVMC'!E101)</f>
        <v>0</v>
      </c>
      <c r="J104" s="48" t="n">
        <f aca="false">IF('RAW KVMC'!F101="","",'RAW KVMC'!F101)</f>
        <v>0</v>
      </c>
      <c r="K104" s="50" t="n">
        <f aca="false">IF('RAW KVMC'!G101="","",'RAW KVMC'!G101)</f>
        <v>67360</v>
      </c>
      <c r="L104" s="50" t="n">
        <f aca="false">IF('RAW KVMC'!H101="","",'RAW KVMC'!H101)</f>
        <v>0</v>
      </c>
      <c r="M104" s="48" t="str">
        <f aca="false">IF('RAW KVMC'!I101="","",'RAW KVMC'!I101)</f>
        <v/>
      </c>
    </row>
    <row r="105" customFormat="false" ht="15" hidden="false" customHeight="false" outlineLevel="0" collapsed="false">
      <c r="A105" s="1" t="s">
        <v>1249</v>
      </c>
      <c r="B105" s="1" t="s">
        <v>154</v>
      </c>
      <c r="C105" s="1" t="s">
        <v>1145</v>
      </c>
      <c r="D105" s="1" t="n">
        <v>102</v>
      </c>
      <c r="E105" s="48" t="str">
        <f aca="false">IF('RAW KVMC'!A102="","",'RAW KVMC'!A102)</f>
        <v>Free Clinic Operating Grant</v>
      </c>
      <c r="F105" s="48" t="str">
        <f aca="false">IF('RAW KVMC'!B102="","",'RAW KVMC'!B102)</f>
        <v>Cash &amp; In-Kind Donations</v>
      </c>
      <c r="G105" s="49" t="n">
        <f aca="false">IF('RAW KVMC'!C102="","",'RAW KVMC'!C102)</f>
        <v>45927</v>
      </c>
      <c r="H105" s="48" t="str">
        <f aca="false">IF('RAW KVMC'!D102="","",'RAW KVMC'!D102)</f>
        <v>N/A</v>
      </c>
      <c r="I105" s="48" t="n">
        <f aca="false">IF('RAW KVMC'!E102="","",'RAW KVMC'!E102)</f>
        <v>0</v>
      </c>
      <c r="J105" s="48" t="n">
        <f aca="false">IF('RAW KVMC'!F102="","",'RAW KVMC'!F102)</f>
        <v>0</v>
      </c>
      <c r="K105" s="50" t="n">
        <f aca="false">IF('RAW KVMC'!G102="","",'RAW KVMC'!G102)</f>
        <v>113185</v>
      </c>
      <c r="L105" s="50" t="n">
        <f aca="false">IF('RAW KVMC'!H102="","",'RAW KVMC'!H102)</f>
        <v>0</v>
      </c>
      <c r="M105" s="48" t="str">
        <f aca="false">IF('RAW KVMC'!I102="","",'RAW KVMC'!I102)</f>
        <v/>
      </c>
    </row>
    <row r="106" customFormat="false" ht="15" hidden="false" customHeight="false" outlineLevel="0" collapsed="false">
      <c r="A106" s="1" t="s">
        <v>1250</v>
      </c>
      <c r="B106" s="1" t="s">
        <v>154</v>
      </c>
      <c r="C106" s="1" t="s">
        <v>1145</v>
      </c>
      <c r="D106" s="1" t="n">
        <v>103</v>
      </c>
      <c r="E106" s="48" t="str">
        <f aca="false">IF('RAW KVMC'!A103="","",'RAW KVMC'!A103)</f>
        <v>Community Emergency Preparedness Drills</v>
      </c>
      <c r="F106" s="48" t="str">
        <f aca="false">IF('RAW KVMC'!B103="","",'RAW KVMC'!B103)</f>
        <v>Community Building - Community Support</v>
      </c>
      <c r="G106" s="49" t="n">
        <f aca="false">IF('RAW KVMC'!C103="","",'RAW KVMC'!C103)</f>
        <v>45929</v>
      </c>
      <c r="H106" s="48" t="str">
        <f aca="false">IF('RAW KVMC'!D103="","",'RAW KVMC'!D103)</f>
        <v>Paramedic</v>
      </c>
      <c r="I106" s="48" t="n">
        <f aca="false">IF('RAW KVMC'!E103="","",'RAW KVMC'!E103)</f>
        <v>7.75</v>
      </c>
      <c r="J106" s="48" t="n">
        <f aca="false">IF('RAW KVMC'!F103="","",'RAW KVMC'!F103)</f>
        <v>112</v>
      </c>
      <c r="K106" s="50" t="n">
        <f aca="false">IF('RAW KVMC'!G103="","",'RAW KVMC'!G103)</f>
        <v>1765</v>
      </c>
      <c r="L106" s="50" t="n">
        <f aca="false">IF('RAW KVMC'!H103="","",'RAW KVMC'!H103)</f>
        <v>0</v>
      </c>
      <c r="M106" s="48" t="str">
        <f aca="false">IF('RAW KVMC'!I103="","",'RAW KVMC'!I103)</f>
        <v/>
      </c>
    </row>
    <row r="107" customFormat="false" ht="15" hidden="false" customHeight="false" outlineLevel="0" collapsed="false">
      <c r="A107" s="1" t="s">
        <v>1251</v>
      </c>
      <c r="B107" s="1" t="s">
        <v>154</v>
      </c>
      <c r="C107" s="1" t="s">
        <v>1145</v>
      </c>
      <c r="D107" s="1" t="n">
        <v>104</v>
      </c>
      <c r="E107" s="48" t="str">
        <f aca="false">IF('RAW KVMC'!A104="","",'RAW KVMC'!A104)</f>
        <v>Community Emergency Preparedness Drills</v>
      </c>
      <c r="F107" s="48" t="str">
        <f aca="false">IF('RAW KVMC'!B104="","",'RAW KVMC'!B104)</f>
        <v>Community Building - Community Support</v>
      </c>
      <c r="G107" s="49" t="n">
        <f aca="false">IF('RAW KVMC'!C104="","",'RAW KVMC'!C104)</f>
        <v>45929</v>
      </c>
      <c r="H107" s="48" t="str">
        <f aca="false">IF('RAW KVMC'!D104="","",'RAW KVMC'!D104)</f>
        <v>Program Coordinator</v>
      </c>
      <c r="I107" s="48" t="n">
        <f aca="false">IF('RAW KVMC'!E104="","",'RAW KVMC'!E104)</f>
        <v>4.25</v>
      </c>
      <c r="J107" s="48" t="n">
        <f aca="false">IF('RAW KVMC'!F104="","",'RAW KVMC'!F104)</f>
        <v>0</v>
      </c>
      <c r="K107" s="50" t="n">
        <f aca="false">IF('RAW KVMC'!G104="","",'RAW KVMC'!G104)</f>
        <v>0</v>
      </c>
      <c r="L107" s="50" t="n">
        <f aca="false">IF('RAW KVMC'!H104="","",'RAW KVMC'!H104)</f>
        <v>0</v>
      </c>
      <c r="M107" s="48" t="str">
        <f aca="false">IF('RAW KVMC'!I104="","",'RAW KVMC'!I104)</f>
        <v/>
      </c>
    </row>
    <row r="108" customFormat="false" ht="15" hidden="false" customHeight="false" outlineLevel="0" collapsed="false">
      <c r="A108" s="1" t="s">
        <v>1252</v>
      </c>
      <c r="B108" s="1" t="s">
        <v>154</v>
      </c>
      <c r="C108" s="1" t="s">
        <v>1145</v>
      </c>
      <c r="D108" s="1" t="n">
        <v>105</v>
      </c>
      <c r="E108" s="48" t="str">
        <f aca="false">IF('RAW KVMC'!A105="","",'RAW KVMC'!A105)</f>
        <v>Community Emergency Preparedness Drills</v>
      </c>
      <c r="F108" s="48" t="str">
        <f aca="false">IF('RAW KVMC'!B105="","",'RAW KVMC'!B105)</f>
        <v>Community Building - Community Support</v>
      </c>
      <c r="G108" s="49" t="n">
        <f aca="false">IF('RAW KVMC'!C105="","",'RAW KVMC'!C105)</f>
        <v>45929</v>
      </c>
      <c r="H108" s="48" t="str">
        <f aca="false">IF('RAW KVMC'!D105="","",'RAW KVMC'!D105)</f>
        <v>Registered Nurse</v>
      </c>
      <c r="I108" s="48" t="n">
        <f aca="false">IF('RAW KVMC'!E105="","",'RAW KVMC'!E105)</f>
        <v>7</v>
      </c>
      <c r="J108" s="48" t="n">
        <f aca="false">IF('RAW KVMC'!F105="","",'RAW KVMC'!F105)</f>
        <v>0</v>
      </c>
      <c r="K108" s="50" t="n">
        <f aca="false">IF('RAW KVMC'!G105="","",'RAW KVMC'!G105)</f>
        <v>0</v>
      </c>
      <c r="L108" s="50" t="n">
        <f aca="false">IF('RAW KVMC'!H105="","",'RAW KVMC'!H105)</f>
        <v>0</v>
      </c>
      <c r="M108" s="48" t="str">
        <f aca="false">IF('RAW KVMC'!I105="","",'RAW KVMC'!I105)</f>
        <v/>
      </c>
    </row>
    <row r="109" customFormat="false" ht="15" hidden="false" customHeight="false" outlineLevel="0" collapsed="false">
      <c r="A109" s="1" t="s">
        <v>1253</v>
      </c>
      <c r="B109" s="1" t="s">
        <v>154</v>
      </c>
      <c r="C109" s="1" t="s">
        <v>1145</v>
      </c>
      <c r="D109" s="1" t="n">
        <v>106</v>
      </c>
      <c r="E109" s="48" t="str">
        <f aca="false">IF('RAW KVMC'!A106="","",'RAW KVMC'!A106)</f>
        <v>Mobile Health Screening Unit</v>
      </c>
      <c r="F109" s="48" t="str">
        <f aca="false">IF('RAW KVMC'!B106="","",'RAW KVMC'!B106)</f>
        <v>Community-Based Clinical Services</v>
      </c>
      <c r="G109" s="49" t="n">
        <f aca="false">IF('RAW KVMC'!C106="","",'RAW KVMC'!C106)</f>
        <v>45930</v>
      </c>
      <c r="H109" s="48" t="str">
        <f aca="false">IF('RAW KVMC'!D106="","",'RAW KVMC'!D106)</f>
        <v>Community Health Worker</v>
      </c>
      <c r="I109" s="48" t="n">
        <f aca="false">IF('RAW KVMC'!E106="","",'RAW KVMC'!E106)</f>
        <v>102.25</v>
      </c>
      <c r="J109" s="48" t="n">
        <f aca="false">IF('RAW KVMC'!F106="","",'RAW KVMC'!F106)</f>
        <v>0</v>
      </c>
      <c r="K109" s="50" t="n">
        <f aca="false">IF('RAW KVMC'!G106="","",'RAW KVMC'!G106)</f>
        <v>0</v>
      </c>
      <c r="L109" s="50" t="n">
        <f aca="false">IF('RAW KVMC'!H106="","",'RAW KVMC'!H106)</f>
        <v>0</v>
      </c>
      <c r="M109" s="48" t="str">
        <f aca="false">IF('RAW KVMC'!I106="","",'RAW KVMC'!I106)</f>
        <v/>
      </c>
    </row>
    <row r="110" customFormat="false" ht="15" hidden="false" customHeight="false" outlineLevel="0" collapsed="false">
      <c r="A110" s="1" t="s">
        <v>1254</v>
      </c>
      <c r="B110" s="1" t="s">
        <v>154</v>
      </c>
      <c r="C110" s="1" t="s">
        <v>1145</v>
      </c>
      <c r="D110" s="1" t="n">
        <v>107</v>
      </c>
      <c r="E110" s="48" t="str">
        <f aca="false">IF('RAW KVMC'!A107="","",'RAW KVMC'!A107)</f>
        <v>Mobile Health Screening Unit</v>
      </c>
      <c r="F110" s="48" t="str">
        <f aca="false">IF('RAW KVMC'!B107="","",'RAW KVMC'!B107)</f>
        <v>Community-Based Clinical Services</v>
      </c>
      <c r="G110" s="49" t="n">
        <f aca="false">IF('RAW KVMC'!C107="","",'RAW KVMC'!C107)</f>
        <v>45930</v>
      </c>
      <c r="H110" s="48" t="str">
        <f aca="false">IF('RAW KVMC'!D107="","",'RAW KVMC'!D107)</f>
        <v>Medical Assistant</v>
      </c>
      <c r="I110" s="48" t="n">
        <f aca="false">IF('RAW KVMC'!E107="","",'RAW KVMC'!E107)</f>
        <v>110</v>
      </c>
      <c r="J110" s="48" t="n">
        <f aca="false">IF('RAW KVMC'!F107="","",'RAW KVMC'!F107)</f>
        <v>0</v>
      </c>
      <c r="K110" s="50" t="n">
        <f aca="false">IF('RAW KVMC'!G107="","",'RAW KVMC'!G107)</f>
        <v>0</v>
      </c>
      <c r="L110" s="50" t="n">
        <f aca="false">IF('RAW KVMC'!H107="","",'RAW KVMC'!H107)</f>
        <v>0</v>
      </c>
      <c r="M110" s="48" t="str">
        <f aca="false">IF('RAW KVMC'!I107="","",'RAW KVMC'!I107)</f>
        <v/>
      </c>
    </row>
    <row r="111" customFormat="false" ht="15" hidden="false" customHeight="false" outlineLevel="0" collapsed="false">
      <c r="A111" s="1" t="s">
        <v>1255</v>
      </c>
      <c r="B111" s="1" t="s">
        <v>154</v>
      </c>
      <c r="C111" s="1" t="s">
        <v>1145</v>
      </c>
      <c r="D111" s="1" t="n">
        <v>108</v>
      </c>
      <c r="E111" s="48" t="str">
        <f aca="false">IF('RAW KVMC'!A108="","",'RAW KVMC'!A108)</f>
        <v>Mobile Health Screening Unit</v>
      </c>
      <c r="F111" s="48" t="str">
        <f aca="false">IF('RAW KVMC'!B108="","",'RAW KVMC'!B108)</f>
        <v>Community-Based Clinical Services</v>
      </c>
      <c r="G111" s="49" t="n">
        <f aca="false">IF('RAW KVMC'!C108="","",'RAW KVMC'!C108)</f>
        <v>45930</v>
      </c>
      <c r="H111" s="48" t="str">
        <f aca="false">IF('RAW KVMC'!D108="","",'RAW KVMC'!D108)</f>
        <v>Registered Nurse</v>
      </c>
      <c r="I111" s="48" t="n">
        <f aca="false">IF('RAW KVMC'!E108="","",'RAW KVMC'!E108)</f>
        <v>147.5</v>
      </c>
      <c r="J111" s="48" t="n">
        <f aca="false">IF('RAW KVMC'!F108="","",'RAW KVMC'!F108)</f>
        <v>357</v>
      </c>
      <c r="K111" s="50" t="n">
        <f aca="false">IF('RAW KVMC'!G108="","",'RAW KVMC'!G108)</f>
        <v>7940</v>
      </c>
      <c r="L111" s="50" t="n">
        <f aca="false">IF('RAW KVMC'!H108="","",'RAW KVMC'!H108)</f>
        <v>0</v>
      </c>
      <c r="M111" s="48" t="str">
        <f aca="false">IF('RAW KVMC'!I108="","",'RAW KVMC'!I108)</f>
        <v/>
      </c>
    </row>
    <row r="112" customFormat="false" ht="15" hidden="false" customHeight="false" outlineLevel="0" collapsed="false">
      <c r="A112" s="1" t="s">
        <v>1256</v>
      </c>
      <c r="B112" s="1" t="s">
        <v>154</v>
      </c>
      <c r="C112" s="1" t="s">
        <v>1145</v>
      </c>
      <c r="D112" s="1" t="n">
        <v>109</v>
      </c>
      <c r="E112" s="48" t="str">
        <f aca="false">IF('RAW KVMC'!A109="","",'RAW KVMC'!A109)</f>
        <v>Grief Support Group</v>
      </c>
      <c r="F112" s="48" t="str">
        <f aca="false">IF('RAW KVMC'!B109="","",'RAW KVMC'!B109)</f>
        <v>Health Care Support Services</v>
      </c>
      <c r="G112" s="49" t="n">
        <f aca="false">IF('RAW KVMC'!C109="","",'RAW KVMC'!C109)</f>
        <v>45930</v>
      </c>
      <c r="H112" s="48" t="str">
        <f aca="false">IF('RAW KVMC'!D109="","",'RAW KVMC'!D109)</f>
        <v>Chaplain</v>
      </c>
      <c r="I112" s="48" t="n">
        <f aca="false">IF('RAW KVMC'!E109="","",'RAW KVMC'!E109)</f>
        <v>2.25</v>
      </c>
      <c r="J112" s="48" t="n">
        <f aca="false">IF('RAW KVMC'!F109="","",'RAW KVMC'!F109)</f>
        <v>15</v>
      </c>
      <c r="K112" s="50" t="n">
        <f aca="false">IF('RAW KVMC'!G109="","",'RAW KVMC'!G109)</f>
        <v>30</v>
      </c>
      <c r="L112" s="50" t="n">
        <f aca="false">IF('RAW KVMC'!H109="","",'RAW KVMC'!H109)</f>
        <v>0</v>
      </c>
      <c r="M112" s="48" t="str">
        <f aca="false">IF('RAW KVMC'!I109="","",'RAW KVMC'!I109)</f>
        <v/>
      </c>
    </row>
    <row r="113" customFormat="false" ht="15" hidden="false" customHeight="false" outlineLevel="0" collapsed="false">
      <c r="A113" s="1" t="s">
        <v>1257</v>
      </c>
      <c r="B113" s="1" t="s">
        <v>154</v>
      </c>
      <c r="C113" s="1" t="s">
        <v>1145</v>
      </c>
      <c r="D113" s="1" t="n">
        <v>110</v>
      </c>
      <c r="E113" s="48" t="str">
        <f aca="false">IF('RAW KVMC'!A110="","",'RAW KVMC'!A110)</f>
        <v>Grief Support Group</v>
      </c>
      <c r="F113" s="48" t="str">
        <f aca="false">IF('RAW KVMC'!B110="","",'RAW KVMC'!B110)</f>
        <v>Health Care Support Services</v>
      </c>
      <c r="G113" s="49" t="n">
        <f aca="false">IF('RAW KVMC'!C110="","",'RAW KVMC'!C110)</f>
        <v>45930</v>
      </c>
      <c r="H113" s="48" t="str">
        <f aca="false">IF('RAW KVMC'!D110="","",'RAW KVMC'!D110)</f>
        <v>LCSW </v>
      </c>
      <c r="I113" s="48" t="n">
        <f aca="false">IF('RAW KVMC'!E110="","",'RAW KVMC'!E110)</f>
        <v>1.5</v>
      </c>
      <c r="J113" s="48" t="n">
        <f aca="false">IF('RAW KVMC'!F110="","",'RAW KVMC'!F110)</f>
        <v>0</v>
      </c>
      <c r="K113" s="50" t="n">
        <f aca="false">IF('RAW KVMC'!G110="","",'RAW KVMC'!G110)</f>
        <v>0</v>
      </c>
      <c r="L113" s="50" t="n">
        <f aca="false">IF('RAW KVMC'!H110="","",'RAW KVMC'!H110)</f>
        <v>0</v>
      </c>
      <c r="M113" s="48" t="str">
        <f aca="false">IF('RAW KVMC'!I110="","",'RAW KVMC'!I110)</f>
        <v/>
      </c>
    </row>
    <row r="114" customFormat="false" ht="15" hidden="false" customHeight="false" outlineLevel="0" collapsed="false">
      <c r="A114" s="1" t="s">
        <v>1258</v>
      </c>
      <c r="B114" s="1" t="s">
        <v>154</v>
      </c>
      <c r="C114" s="1" t="s">
        <v>1145</v>
      </c>
      <c r="D114" s="1" t="n">
        <v>111</v>
      </c>
      <c r="E114" s="48" t="str">
        <f aca="false">IF('RAW KVMC'!A111="","",'RAW KVMC'!A111)</f>
        <v>Tobacco Cessation Classes</v>
      </c>
      <c r="F114" s="48" t="str">
        <f aca="false">IF('RAW KVMC'!B111="","",'RAW KVMC'!B111)</f>
        <v>Community Health Education</v>
      </c>
      <c r="G114" s="49" t="n">
        <f aca="false">IF('RAW KVMC'!C111="","",'RAW KVMC'!C111)</f>
        <v>45930</v>
      </c>
      <c r="H114" s="48" t="str">
        <f aca="false">IF('RAW KVMC'!D111="","",'RAW KVMC'!D111)</f>
        <v> Phys Therapist</v>
      </c>
      <c r="I114" s="48" t="n">
        <f aca="false">IF('RAW KVMC'!E111="","",'RAW KVMC'!E111)</f>
        <v>2</v>
      </c>
      <c r="J114" s="48" t="n">
        <f aca="false">IF('RAW KVMC'!F111="","",'RAW KVMC'!F111)</f>
        <v>10</v>
      </c>
      <c r="K114" s="50" t="n">
        <f aca="false">IF('RAW KVMC'!G111="","",'RAW KVMC'!G111)</f>
        <v>255</v>
      </c>
      <c r="L114" s="50" t="n">
        <f aca="false">IF('RAW KVMC'!H111="","",'RAW KVMC'!H111)</f>
        <v>0</v>
      </c>
      <c r="M114" s="48" t="str">
        <f aca="false">IF('RAW KVMC'!I111="","",'RAW KVMC'!I111)</f>
        <v/>
      </c>
    </row>
    <row r="115" customFormat="false" ht="15" hidden="false" customHeight="false" outlineLevel="0" collapsed="false">
      <c r="A115" s="1" t="s">
        <v>1259</v>
      </c>
      <c r="B115" s="1" t="s">
        <v>154</v>
      </c>
      <c r="C115" s="1" t="s">
        <v>1145</v>
      </c>
      <c r="D115" s="1" t="n">
        <v>112</v>
      </c>
      <c r="E115" s="48" t="str">
        <f aca="false">IF('RAW KVMC'!A112="","",'RAW KVMC'!A112)</f>
        <v>Free Clinic Provider Staffing</v>
      </c>
      <c r="F115" s="48" t="str">
        <f aca="false">IF('RAW KVMC'!B112="","",'RAW KVMC'!B112)</f>
        <v>Community-Based Clinical Services</v>
      </c>
      <c r="G115" s="49" t="n">
        <f aca="false">IF('RAW KVMC'!C112="","",'RAW KVMC'!C112)</f>
        <v>45930</v>
      </c>
      <c r="H115" s="48" t="str">
        <f aca="false">IF('RAW KVMC'!D112="","",'RAW KVMC'!D112)</f>
        <v>APRN</v>
      </c>
      <c r="I115" s="48" t="n">
        <f aca="false">IF('RAW KVMC'!E112="","",'RAW KVMC'!E112)</f>
        <v>42</v>
      </c>
      <c r="J115" s="48" t="n">
        <f aca="false">IF('RAW KVMC'!F112="","",'RAW KVMC'!F112)</f>
        <v>234</v>
      </c>
      <c r="K115" s="50" t="n">
        <f aca="false">IF('RAW KVMC'!G112="","",'RAW KVMC'!G112)</f>
        <v>5625</v>
      </c>
      <c r="L115" s="50" t="n">
        <f aca="false">IF('RAW KVMC'!H112="","",'RAW KVMC'!H112)</f>
        <v>0</v>
      </c>
      <c r="M115" s="48" t="str">
        <f aca="false">IF('RAW KVMC'!I112="","",'RAW KVMC'!I112)</f>
        <v/>
      </c>
    </row>
    <row r="116" customFormat="false" ht="15" hidden="false" customHeight="false" outlineLevel="0" collapsed="false">
      <c r="A116" s="1" t="s">
        <v>1260</v>
      </c>
      <c r="B116" s="1" t="s">
        <v>154</v>
      </c>
      <c r="C116" s="1" t="s">
        <v>1145</v>
      </c>
      <c r="D116" s="1" t="n">
        <v>113</v>
      </c>
      <c r="E116" s="48" t="str">
        <f aca="false">IF('RAW KVMC'!A113="","",'RAW KVMC'!A113)</f>
        <v>Free Clinic Provider Staffing</v>
      </c>
      <c r="F116" s="48" t="str">
        <f aca="false">IF('RAW KVMC'!B113="","",'RAW KVMC'!B113)</f>
        <v>Community-Based Clinical Services</v>
      </c>
      <c r="G116" s="49" t="n">
        <f aca="false">IF('RAW KVMC'!C113="","",'RAW KVMC'!C113)</f>
        <v>45930</v>
      </c>
      <c r="H116" s="48" t="str">
        <f aca="false">IF('RAW KVMC'!D113="","",'RAW KVMC'!D113)</f>
        <v>Pharmacist</v>
      </c>
      <c r="I116" s="48" t="n">
        <f aca="false">IF('RAW KVMC'!E113="","",'RAW KVMC'!E113)</f>
        <v>13.25</v>
      </c>
      <c r="J116" s="48" t="n">
        <f aca="false">IF('RAW KVMC'!F113="","",'RAW KVMC'!F113)</f>
        <v>0</v>
      </c>
      <c r="K116" s="50" t="n">
        <f aca="false">IF('RAW KVMC'!G113="","",'RAW KVMC'!G113)</f>
        <v>0</v>
      </c>
      <c r="L116" s="50" t="n">
        <f aca="false">IF('RAW KVMC'!H113="","",'RAW KVMC'!H113)</f>
        <v>0</v>
      </c>
      <c r="M116" s="48" t="str">
        <f aca="false">IF('RAW KVMC'!I113="","",'RAW KVMC'!I113)</f>
        <v/>
      </c>
    </row>
    <row r="117" customFormat="false" ht="15" hidden="false" customHeight="false" outlineLevel="0" collapsed="false">
      <c r="A117" s="1" t="s">
        <v>1261</v>
      </c>
      <c r="B117" s="1" t="s">
        <v>154</v>
      </c>
      <c r="C117" s="1" t="s">
        <v>1145</v>
      </c>
      <c r="D117" s="1" t="n">
        <v>114</v>
      </c>
      <c r="E117" s="48" t="str">
        <f aca="false">IF('RAW KVMC'!A114="","",'RAW KVMC'!A114)</f>
        <v>Free Clinic Provider Staffing</v>
      </c>
      <c r="F117" s="48" t="str">
        <f aca="false">IF('RAW KVMC'!B114="","",'RAW KVMC'!B114)</f>
        <v>Community-Based Clinical Services</v>
      </c>
      <c r="G117" s="49" t="n">
        <f aca="false">IF('RAW KVMC'!C114="","",'RAW KVMC'!C114)</f>
        <v>45930</v>
      </c>
      <c r="H117" s="48" t="str">
        <f aca="false">IF('RAW KVMC'!D114="","",'RAW KVMC'!D114)</f>
        <v>Reg Nurse</v>
      </c>
      <c r="I117" s="48" t="n">
        <f aca="false">IF('RAW KVMC'!E114="","",'RAW KVMC'!E114)</f>
        <v>41.75</v>
      </c>
      <c r="J117" s="48" t="n">
        <f aca="false">IF('RAW KVMC'!F114="","",'RAW KVMC'!F114)</f>
        <v>0</v>
      </c>
      <c r="K117" s="50" t="n">
        <f aca="false">IF('RAW KVMC'!G114="","",'RAW KVMC'!G114)</f>
        <v>0</v>
      </c>
      <c r="L117" s="50" t="n">
        <f aca="false">IF('RAW KVMC'!H114="","",'RAW KVMC'!H114)</f>
        <v>0</v>
      </c>
      <c r="M117" s="48" t="str">
        <f aca="false">IF('RAW KVMC'!I114="","",'RAW KVMC'!I114)</f>
        <v/>
      </c>
    </row>
    <row r="118" customFormat="false" ht="15" hidden="false" customHeight="false" outlineLevel="0" collapsed="false">
      <c r="A118" s="1" t="s">
        <v>1262</v>
      </c>
      <c r="B118" s="1" t="s">
        <v>154</v>
      </c>
      <c r="C118" s="1" t="s">
        <v>1145</v>
      </c>
      <c r="D118" s="1" t="n">
        <v>115</v>
      </c>
      <c r="E118" s="48" t="str">
        <f aca="false">IF('RAW KVMC'!A115="","",'RAW KVMC'!A115)</f>
        <v>Community Health Worker Outreach</v>
      </c>
      <c r="F118" s="48" t="str">
        <f aca="false">IF('RAW KVMC'!B115="","",'RAW KVMC'!B115)</f>
        <v>Health Care Support Services</v>
      </c>
      <c r="G118" s="49" t="n">
        <f aca="false">IF('RAW KVMC'!C115="","",'RAW KVMC'!C115)</f>
        <v>45930</v>
      </c>
      <c r="H118" s="48" t="str">
        <f aca="false">IF('RAW KVMC'!D115="","",'RAW KVMC'!D115)</f>
        <v>Outreach Worker</v>
      </c>
      <c r="I118" s="48" t="n">
        <f aca="false">IF('RAW KVMC'!E115="","",'RAW KVMC'!E115)</f>
        <v>499.5</v>
      </c>
      <c r="J118" s="48" t="n">
        <f aca="false">IF('RAW KVMC'!F115="","",'RAW KVMC'!F115)</f>
        <v>481</v>
      </c>
      <c r="K118" s="50" t="n">
        <f aca="false">IF('RAW KVMC'!G115="","",'RAW KVMC'!G115)</f>
        <v>2070</v>
      </c>
      <c r="L118" s="50" t="n">
        <f aca="false">IF('RAW KVMC'!H115="","",'RAW KVMC'!H115)</f>
        <v>0</v>
      </c>
      <c r="M118" s="48" t="str">
        <f aca="false">IF('RAW KVMC'!I115="","",'RAW KVMC'!I115)</f>
        <v/>
      </c>
    </row>
    <row r="119" customFormat="false" ht="15" hidden="false" customHeight="false" outlineLevel="0" collapsed="false">
      <c r="A119" s="1" t="s">
        <v>1263</v>
      </c>
      <c r="B119" s="1" t="s">
        <v>154</v>
      </c>
      <c r="C119" s="1" t="s">
        <v>1145</v>
      </c>
      <c r="D119" s="1" t="n">
        <v>116</v>
      </c>
      <c r="E119" s="48" t="str">
        <f aca="false">IF('RAW KVMC'!A116="","",'RAW KVMC'!A116)</f>
        <v>Community Health Worker Outreach</v>
      </c>
      <c r="F119" s="48" t="str">
        <f aca="false">IF('RAW KVMC'!B116="","",'RAW KVMC'!B116)</f>
        <v>Health Care Support Services</v>
      </c>
      <c r="G119" s="49" t="n">
        <f aca="false">IF('RAW KVMC'!C116="","",'RAW KVMC'!C116)</f>
        <v>45930</v>
      </c>
      <c r="H119" s="48" t="str">
        <f aca="false">IF('RAW KVMC'!D116="","",'RAW KVMC'!D116)</f>
        <v>Navigator</v>
      </c>
      <c r="I119" s="48" t="n">
        <f aca="false">IF('RAW KVMC'!E116="","",'RAW KVMC'!E116)</f>
        <v>205.25</v>
      </c>
      <c r="J119" s="48" t="n">
        <f aca="false">IF('RAW KVMC'!F116="","",'RAW KVMC'!F116)</f>
        <v>0</v>
      </c>
      <c r="K119" s="50" t="n">
        <f aca="false">IF('RAW KVMC'!G116="","",'RAW KVMC'!G116)</f>
        <v>0</v>
      </c>
      <c r="L119" s="50" t="n">
        <f aca="false">IF('RAW KVMC'!H116="","",'RAW KVMC'!H116)</f>
        <v>0</v>
      </c>
      <c r="M119" s="48" t="str">
        <f aca="false">IF('RAW KVMC'!I116="","",'RAW KVMC'!I116)</f>
        <v/>
      </c>
    </row>
    <row r="120" customFormat="false" ht="15" hidden="false" customHeight="false" outlineLevel="0" collapsed="false">
      <c r="A120" s="1" t="s">
        <v>1264</v>
      </c>
      <c r="B120" s="1" t="s">
        <v>154</v>
      </c>
      <c r="C120" s="1" t="s">
        <v>1145</v>
      </c>
      <c r="D120" s="1" t="n">
        <v>117</v>
      </c>
      <c r="E120" s="48" t="str">
        <f aca="false">IF('RAW KVMC'!A117="","",'RAW KVMC'!A117)</f>
        <v>Medication Assistance Program</v>
      </c>
      <c r="F120" s="48" t="str">
        <f aca="false">IF('RAW KVMC'!B117="","",'RAW KVMC'!B117)</f>
        <v>Health Care Support Services</v>
      </c>
      <c r="G120" s="49" t="n">
        <f aca="false">IF('RAW KVMC'!C117="","",'RAW KVMC'!C117)</f>
        <v>45930</v>
      </c>
      <c r="H120" s="48" t="str">
        <f aca="false">IF('RAW KVMC'!D117="","",'RAW KVMC'!D117)</f>
        <v>Navigator</v>
      </c>
      <c r="I120" s="48" t="n">
        <f aca="false">IF('RAW KVMC'!E117="","",'RAW KVMC'!E117)</f>
        <v>111.75</v>
      </c>
      <c r="J120" s="48" t="n">
        <f aca="false">IF('RAW KVMC'!F117="","",'RAW KVMC'!F117)</f>
        <v>0</v>
      </c>
      <c r="K120" s="50" t="n">
        <f aca="false">IF('RAW KVMC'!G117="","",'RAW KVMC'!G117)</f>
        <v>0</v>
      </c>
      <c r="L120" s="50" t="n">
        <f aca="false">IF('RAW KVMC'!H117="","",'RAW KVMC'!H117)</f>
        <v>0</v>
      </c>
      <c r="M120" s="48" t="str">
        <f aca="false">IF('RAW KVMC'!I117="","",'RAW KVMC'!I117)</f>
        <v/>
      </c>
    </row>
    <row r="121" customFormat="false" ht="15" hidden="false" customHeight="false" outlineLevel="0" collapsed="false">
      <c r="A121" s="1" t="s">
        <v>1265</v>
      </c>
      <c r="B121" s="1" t="s">
        <v>154</v>
      </c>
      <c r="C121" s="1" t="s">
        <v>1145</v>
      </c>
      <c r="D121" s="1" t="n">
        <v>118</v>
      </c>
      <c r="E121" s="48" t="str">
        <f aca="false">IF('RAW KVMC'!A118="","",'RAW KVMC'!A118)</f>
        <v>Medication Assistance Program</v>
      </c>
      <c r="F121" s="48" t="str">
        <f aca="false">IF('RAW KVMC'!B118="","",'RAW KVMC'!B118)</f>
        <v>Health Care Support Services</v>
      </c>
      <c r="G121" s="49" t="n">
        <f aca="false">IF('RAW KVMC'!C118="","",'RAW KVMC'!C118)</f>
        <v>45930</v>
      </c>
      <c r="H121" s="48" t="str">
        <f aca="false">IF('RAW KVMC'!D118="","",'RAW KVMC'!D118)</f>
        <v>Pharm.D.</v>
      </c>
      <c r="I121" s="48" t="n">
        <f aca="false">IF('RAW KVMC'!E118="","",'RAW KVMC'!E118)</f>
        <v>20.5</v>
      </c>
      <c r="J121" s="48" t="n">
        <f aca="false">IF('RAW KVMC'!F118="","",'RAW KVMC'!F118)</f>
        <v>165</v>
      </c>
      <c r="K121" s="50" t="n">
        <f aca="false">IF('RAW KVMC'!G118="","",'RAW KVMC'!G118)</f>
        <v>24395</v>
      </c>
      <c r="L121" s="50" t="n">
        <f aca="false">IF('RAW KVMC'!H118="","",'RAW KVMC'!H118)</f>
        <v>0</v>
      </c>
      <c r="M121" s="48" t="str">
        <f aca="false">IF('RAW KVMC'!I118="","",'RAW KVMC'!I118)</f>
        <v/>
      </c>
    </row>
    <row r="122" customFormat="false" ht="15" hidden="false" customHeight="false" outlineLevel="0" collapsed="false">
      <c r="A122" s="1" t="s">
        <v>1266</v>
      </c>
      <c r="B122" s="1" t="s">
        <v>154</v>
      </c>
      <c r="C122" s="1" t="s">
        <v>1145</v>
      </c>
      <c r="D122" s="1" t="n">
        <v>119</v>
      </c>
      <c r="E122" s="48" t="str">
        <f aca="false">IF('RAW KVMC'!A119="","",'RAW KVMC'!A119)</f>
        <v>Community Health Needs Assessment</v>
      </c>
      <c r="F122" s="48" t="str">
        <f aca="false">IF('RAW KVMC'!B119="","",'RAW KVMC'!B119)</f>
        <v>CB Operations</v>
      </c>
      <c r="G122" s="49" t="n">
        <f aca="false">IF('RAW KVMC'!C119="","",'RAW KVMC'!C119)</f>
        <v>45930</v>
      </c>
      <c r="H122" s="48" t="str">
        <f aca="false">IF('RAW KVMC'!D119="","",'RAW KVMC'!D119)</f>
        <v>mgr, community benefit</v>
      </c>
      <c r="I122" s="48" t="n">
        <f aca="false">IF('RAW KVMC'!E119="","",'RAW KVMC'!E119)</f>
        <v>43.5</v>
      </c>
      <c r="J122" s="48" t="n">
        <f aca="false">IF('RAW KVMC'!F119="","",'RAW KVMC'!F119)</f>
        <v>0</v>
      </c>
      <c r="K122" s="50" t="n">
        <f aca="false">IF('RAW KVMC'!G119="","",'RAW KVMC'!G119)</f>
        <v>3470</v>
      </c>
      <c r="L122" s="50" t="n">
        <f aca="false">IF('RAW KVMC'!H119="","",'RAW KVMC'!H119)</f>
        <v>0</v>
      </c>
      <c r="M122" s="48" t="str">
        <f aca="false">IF('RAW KVMC'!I119="","",'RAW KVMC'!I119)</f>
        <v/>
      </c>
    </row>
    <row r="123" customFormat="false" ht="15" hidden="false" customHeight="false" outlineLevel="0" collapsed="false">
      <c r="A123" s="1" t="s">
        <v>1267</v>
      </c>
      <c r="B123" s="1" t="s">
        <v>154</v>
      </c>
      <c r="C123" s="1" t="s">
        <v>1145</v>
      </c>
      <c r="D123" s="1" t="n">
        <v>120</v>
      </c>
      <c r="E123" s="48" t="str">
        <f aca="false">IF('RAW KVMC'!A120="","",'RAW KVMC'!A120)</f>
        <v>Community Health Needs Assessment</v>
      </c>
      <c r="F123" s="48" t="str">
        <f aca="false">IF('RAW KVMC'!B120="","",'RAW KVMC'!B120)</f>
        <v>CB Operations</v>
      </c>
      <c r="G123" s="49" t="n">
        <f aca="false">IF('RAW KVMC'!C120="","",'RAW KVMC'!C120)</f>
        <v>45930</v>
      </c>
      <c r="H123" s="48" t="str">
        <f aca="false">IF('RAW KVMC'!D120="","",'RAW KVMC'!D120)</f>
        <v>Data Analyst</v>
      </c>
      <c r="I123" s="48" t="n">
        <f aca="false">IF('RAW KVMC'!E120="","",'RAW KVMC'!E120)</f>
        <v>32.75</v>
      </c>
      <c r="J123" s="48" t="n">
        <f aca="false">IF('RAW KVMC'!F120="","",'RAW KVMC'!F120)</f>
        <v>0</v>
      </c>
      <c r="K123" s="50" t="n">
        <f aca="false">IF('RAW KVMC'!G120="","",'RAW KVMC'!G120)</f>
        <v>0</v>
      </c>
      <c r="L123" s="50" t="n">
        <f aca="false">IF('RAW KVMC'!H120="","",'RAW KVMC'!H120)</f>
        <v>0</v>
      </c>
      <c r="M123" s="48" t="str">
        <f aca="false">IF('RAW KVMC'!I120="","",'RAW KVMC'!I120)</f>
        <v/>
      </c>
    </row>
    <row r="124" customFormat="false" ht="15" hidden="false" customHeight="false" outlineLevel="0" collapsed="false">
      <c r="A124" s="1" t="s">
        <v>1268</v>
      </c>
      <c r="B124" s="1" t="s">
        <v>154</v>
      </c>
      <c r="C124" s="1" t="s">
        <v>1145</v>
      </c>
      <c r="D124" s="1" t="n">
        <v>121</v>
      </c>
      <c r="E124" s="48" t="str">
        <f aca="false">IF('RAW KVMC'!A121="","",'RAW KVMC'!A121)</f>
        <v>Community Benefit Program Administration</v>
      </c>
      <c r="F124" s="48" t="str">
        <f aca="false">IF('RAW KVMC'!B121="","",'RAW KVMC'!B121)</f>
        <v>CB Operations</v>
      </c>
      <c r="G124" s="49" t="n">
        <f aca="false">IF('RAW KVMC'!C121="","",'RAW KVMC'!C121)</f>
        <v>45930</v>
      </c>
      <c r="H124" s="48" t="str">
        <f aca="false">IF('RAW KVMC'!D121="","",'RAW KVMC'!D121)</f>
        <v> Administrative Assistant</v>
      </c>
      <c r="I124" s="48" t="n">
        <f aca="false">IF('RAW KVMC'!E121="","",'RAW KVMC'!E121)</f>
        <v>67.5</v>
      </c>
      <c r="J124" s="48" t="n">
        <f aca="false">IF('RAW KVMC'!F121="","",'RAW KVMC'!F121)</f>
        <v>0</v>
      </c>
      <c r="K124" s="50" t="n">
        <f aca="false">IF('RAW KVMC'!G121="","",'RAW KVMC'!G121)</f>
        <v>0</v>
      </c>
      <c r="L124" s="50" t="n">
        <f aca="false">IF('RAW KVMC'!H121="","",'RAW KVMC'!H121)</f>
        <v>0</v>
      </c>
      <c r="M124" s="48" t="str">
        <f aca="false">IF('RAW KVMC'!I121="","",'RAW KVMC'!I121)</f>
        <v/>
      </c>
    </row>
    <row r="125" customFormat="false" ht="15" hidden="false" customHeight="false" outlineLevel="0" collapsed="false">
      <c r="A125" s="1" t="s">
        <v>1269</v>
      </c>
      <c r="B125" s="1" t="s">
        <v>154</v>
      </c>
      <c r="C125" s="1" t="s">
        <v>1145</v>
      </c>
      <c r="D125" s="1" t="n">
        <v>122</v>
      </c>
      <c r="E125" s="48" t="str">
        <f aca="false">IF('RAW KVMC'!A122="","",'RAW KVMC'!A122)</f>
        <v>Community Benefit Program Administration</v>
      </c>
      <c r="F125" s="48" t="str">
        <f aca="false">IF('RAW KVMC'!B122="","",'RAW KVMC'!B122)</f>
        <v>CB Operations</v>
      </c>
      <c r="G125" s="49" t="n">
        <f aca="false">IF('RAW KVMC'!C122="","",'RAW KVMC'!C122)</f>
        <v>45930</v>
      </c>
      <c r="H125" s="48" t="str">
        <f aca="false">IF('RAW KVMC'!D122="","",'RAW KVMC'!D122)</f>
        <v>Community Health Manager</v>
      </c>
      <c r="I125" s="48" t="n">
        <f aca="false">IF('RAW KVMC'!E122="","",'RAW KVMC'!E122)</f>
        <v>86.5</v>
      </c>
      <c r="J125" s="48" t="n">
        <f aca="false">IF('RAW KVMC'!F122="","",'RAW KVMC'!F122)</f>
        <v>0</v>
      </c>
      <c r="K125" s="50" t="n">
        <f aca="false">IF('RAW KVMC'!G122="","",'RAW KVMC'!G122)</f>
        <v>810</v>
      </c>
      <c r="L125" s="50" t="n">
        <f aca="false">IF('RAW KVMC'!H122="","",'RAW KVMC'!H122)</f>
        <v>0</v>
      </c>
      <c r="M125" s="48" t="str">
        <f aca="false">IF('RAW KVMC'!I122="","",'RAW KVMC'!I122)</f>
        <v/>
      </c>
    </row>
    <row r="126" customFormat="false" ht="15" hidden="false" customHeight="false" outlineLevel="0" collapsed="false">
      <c r="A126" s="1" t="s">
        <v>1270</v>
      </c>
      <c r="B126" s="1" t="s">
        <v>154</v>
      </c>
      <c r="C126" s="1" t="s">
        <v>1145</v>
      </c>
      <c r="D126" s="1" t="n">
        <v>123</v>
      </c>
      <c r="E126" s="48" t="str">
        <f aca="false">IF('RAW KVMC'!A123="","",'RAW KVMC'!A123)</f>
        <v>Interpreter Services for Community Clinics</v>
      </c>
      <c r="F126" s="48" t="str">
        <f aca="false">IF('RAW KVMC'!B123="","",'RAW KVMC'!B123)</f>
        <v>Health Care Support Services</v>
      </c>
      <c r="G126" s="49" t="n">
        <f aca="false">IF('RAW KVMC'!C123="","",'RAW KVMC'!C123)</f>
        <v>45930</v>
      </c>
      <c r="H126" s="48" t="str">
        <f aca="false">IF('RAW KVMC'!D123="","",'RAW KVMC'!D123)</f>
        <v>Interp.</v>
      </c>
      <c r="I126" s="48" t="n">
        <f aca="false">IF('RAW KVMC'!E123="","",'RAW KVMC'!E123)</f>
        <v>64</v>
      </c>
      <c r="J126" s="48" t="n">
        <f aca="false">IF('RAW KVMC'!F123="","",'RAW KVMC'!F123)</f>
        <v>164</v>
      </c>
      <c r="K126" s="50" t="n">
        <f aca="false">IF('RAW KVMC'!G123="","",'RAW KVMC'!G123)</f>
        <v>0</v>
      </c>
      <c r="L126" s="50" t="n">
        <f aca="false">IF('RAW KVMC'!H123="","",'RAW KVMC'!H123)</f>
        <v>0</v>
      </c>
      <c r="M126" s="48" t="str">
        <f aca="false">IF('RAW KVMC'!I123="","",'RAW KVMC'!I123)</f>
        <v/>
      </c>
    </row>
    <row r="127" customFormat="false" ht="15" hidden="false" customHeight="false" outlineLevel="0" collapsed="false">
      <c r="A127" s="1" t="s">
        <v>1271</v>
      </c>
      <c r="B127" s="1" t="s">
        <v>154</v>
      </c>
      <c r="C127" s="1" t="s">
        <v>1145</v>
      </c>
      <c r="D127" s="1" t="n">
        <v>124</v>
      </c>
      <c r="E127" s="48" t="str">
        <f aca="false">IF('RAW KVMC'!A124="","",'RAW KVMC'!A124)</f>
        <v>Nursing Student Clinical Rotations</v>
      </c>
      <c r="F127" s="48" t="str">
        <f aca="false">IF('RAW KVMC'!B124="","",'RAW KVMC'!B124)</f>
        <v>Health Professions Education</v>
      </c>
      <c r="G127" s="49" t="n">
        <f aca="false">IF('RAW KVMC'!C124="","",'RAW KVMC'!C124)</f>
        <v>45930</v>
      </c>
      <c r="H127" s="48" t="str">
        <f aca="false">IF('RAW KVMC'!D124="","",'RAW KVMC'!D124)</f>
        <v>Educator, Nursing</v>
      </c>
      <c r="I127" s="48" t="n">
        <f aca="false">IF('RAW KVMC'!E124="","",'RAW KVMC'!E124)</f>
        <v>116.75</v>
      </c>
      <c r="J127" s="48" t="n">
        <f aca="false">IF('RAW KVMC'!F124="","",'RAW KVMC'!F124)</f>
        <v>36</v>
      </c>
      <c r="K127" s="50" t="n">
        <f aca="false">IF('RAW KVMC'!G124="","",'RAW KVMC'!G124)</f>
        <v>765</v>
      </c>
      <c r="L127" s="50" t="n">
        <f aca="false">IF('RAW KVMC'!H124="","",'RAW KVMC'!H124)</f>
        <v>0</v>
      </c>
      <c r="M127" s="48" t="str">
        <f aca="false">IF('RAW KVMC'!I124="","",'RAW KVMC'!I124)</f>
        <v/>
      </c>
    </row>
    <row r="128" customFormat="false" ht="15" hidden="false" customHeight="false" outlineLevel="0" collapsed="false">
      <c r="A128" s="1" t="s">
        <v>1272</v>
      </c>
      <c r="B128" s="1" t="s">
        <v>154</v>
      </c>
      <c r="C128" s="1" t="s">
        <v>1145</v>
      </c>
      <c r="D128" s="1" t="n">
        <v>125</v>
      </c>
      <c r="E128" s="48" t="str">
        <f aca="false">IF('RAW KVMC'!A125="","",'RAW KVMC'!A125)</f>
        <v>Nursing Student Clinical Rotations</v>
      </c>
      <c r="F128" s="48" t="str">
        <f aca="false">IF('RAW KVMC'!B125="","",'RAW KVMC'!B125)</f>
        <v>Health Professions Education</v>
      </c>
      <c r="G128" s="49" t="n">
        <f aca="false">IF('RAW KVMC'!C125="","",'RAW KVMC'!C125)</f>
        <v>45930</v>
      </c>
      <c r="H128" s="48" t="str">
        <f aca="false">IF('RAW KVMC'!D125="","",'RAW KVMC'!D125)</f>
        <v>Charge RN</v>
      </c>
      <c r="I128" s="48" t="n">
        <f aca="false">IF('RAW KVMC'!E125="","",'RAW KVMC'!E125)</f>
        <v>282</v>
      </c>
      <c r="J128" s="48" t="n">
        <f aca="false">IF('RAW KVMC'!F125="","",'RAW KVMC'!F125)</f>
        <v>0</v>
      </c>
      <c r="K128" s="50" t="n">
        <f aca="false">IF('RAW KVMC'!G125="","",'RAW KVMC'!G125)</f>
        <v>0</v>
      </c>
      <c r="L128" s="50" t="n">
        <f aca="false">IF('RAW KVMC'!H125="","",'RAW KVMC'!H125)</f>
        <v>0</v>
      </c>
      <c r="M128" s="48" t="str">
        <f aca="false">IF('RAW KVMC'!I125="","",'RAW KVMC'!I125)</f>
        <v/>
      </c>
    </row>
    <row r="129" customFormat="false" ht="15" hidden="false" customHeight="false" outlineLevel="0" collapsed="false">
      <c r="A129" s="1" t="s">
        <v>1273</v>
      </c>
      <c r="B129" s="1" t="s">
        <v>154</v>
      </c>
      <c r="C129" s="1" t="s">
        <v>1145</v>
      </c>
      <c r="D129" s="1" t="n">
        <v>126</v>
      </c>
      <c r="E129" s="48" t="str">
        <f aca="false">IF('RAW KVMC'!A126="","",'RAW KVMC'!A126)</f>
        <v>Family Medicine Residency Program</v>
      </c>
      <c r="F129" s="48" t="str">
        <f aca="false">IF('RAW KVMC'!B126="","",'RAW KVMC'!B126)</f>
        <v>Health Professions Education</v>
      </c>
      <c r="G129" s="49" t="n">
        <f aca="false">IF('RAW KVMC'!C126="","",'RAW KVMC'!C126)</f>
        <v>45930</v>
      </c>
      <c r="H129" s="48" t="str">
        <f aca="false">IF('RAW KVMC'!D126="","",'RAW KVMC'!D126)</f>
        <v>Dr.</v>
      </c>
      <c r="I129" s="48" t="n">
        <f aca="false">IF('RAW KVMC'!E126="","",'RAW KVMC'!E126)</f>
        <v>410.25</v>
      </c>
      <c r="J129" s="48" t="n">
        <f aca="false">IF('RAW KVMC'!F126="","",'RAW KVMC'!F126)</f>
        <v>0</v>
      </c>
      <c r="K129" s="50" t="n">
        <f aca="false">IF('RAW KVMC'!G126="","",'RAW KVMC'!G126)</f>
        <v>33305</v>
      </c>
      <c r="L129" s="50" t="n">
        <f aca="false">IF('RAW KVMC'!H126="","",'RAW KVMC'!H126)</f>
        <v>169490</v>
      </c>
      <c r="M129" s="48" t="str">
        <f aca="false">IF('RAW KVMC'!I126="","",'RAW KVMC'!I126)</f>
        <v/>
      </c>
    </row>
    <row r="130" customFormat="false" ht="15" hidden="false" customHeight="false" outlineLevel="0" collapsed="false">
      <c r="A130" s="1" t="s">
        <v>1274</v>
      </c>
      <c r="B130" s="1" t="s">
        <v>154</v>
      </c>
      <c r="C130" s="1" t="s">
        <v>1145</v>
      </c>
      <c r="D130" s="1" t="n">
        <v>127</v>
      </c>
      <c r="E130" s="48" t="str">
        <f aca="false">IF('RAW KVMC'!A127="","",'RAW KVMC'!A127)</f>
        <v>Family Medicine Residency Program</v>
      </c>
      <c r="F130" s="48" t="str">
        <f aca="false">IF('RAW KVMC'!B127="","",'RAW KVMC'!B127)</f>
        <v>Health Professions Education</v>
      </c>
      <c r="G130" s="49" t="n">
        <f aca="false">IF('RAW KVMC'!C127="","",'RAW KVMC'!C127)</f>
        <v>45930</v>
      </c>
      <c r="H130" s="48" t="str">
        <f aca="false">IF('RAW KVMC'!D127="","",'RAW KVMC'!D127)</f>
        <v>Residency Coordinator</v>
      </c>
      <c r="I130" s="48" t="n">
        <f aca="false">IF('RAW KVMC'!E127="","",'RAW KVMC'!E127)</f>
        <v>167</v>
      </c>
      <c r="J130" s="48" t="n">
        <f aca="false">IF('RAW KVMC'!F127="","",'RAW KVMC'!F127)</f>
        <v>0</v>
      </c>
      <c r="K130" s="50" t="n">
        <f aca="false">IF('RAW KVMC'!G127="","",'RAW KVMC'!G127)</f>
        <v>0</v>
      </c>
      <c r="L130" s="50" t="n">
        <f aca="false">IF('RAW KVMC'!H127="","",'RAW KVMC'!H127)</f>
        <v>0</v>
      </c>
      <c r="M130" s="48" t="str">
        <f aca="false">IF('RAW KVMC'!I127="","",'RAW KVMC'!I127)</f>
        <v/>
      </c>
    </row>
    <row r="131" customFormat="false" ht="15" hidden="false" customHeight="false" outlineLevel="0" collapsed="false">
      <c r="A131" s="1" t="s">
        <v>1275</v>
      </c>
      <c r="B131" s="1" t="s">
        <v>154</v>
      </c>
      <c r="C131" s="1" t="s">
        <v>1145</v>
      </c>
      <c r="D131" s="1" t="n">
        <v>128</v>
      </c>
      <c r="E131" s="48" t="str">
        <f aca="false">IF('RAW KVMC'!A128="","",'RAW KVMC'!A128)</f>
        <v>Family Medicine Residency Program</v>
      </c>
      <c r="F131" s="48" t="str">
        <f aca="false">IF('RAW KVMC'!B128="","",'RAW KVMC'!B128)</f>
        <v>Health Professions Education</v>
      </c>
      <c r="G131" s="49" t="n">
        <f aca="false">IF('RAW KVMC'!C128="","",'RAW KVMC'!C128)</f>
        <v>45930</v>
      </c>
      <c r="H131" s="48" t="str">
        <f aca="false">IF('RAW KVMC'!D128="","",'RAW KVMC'!D128)</f>
        <v>Resident Physician</v>
      </c>
      <c r="I131" s="48" t="n">
        <f aca="false">IF('RAW KVMC'!E128="","",'RAW KVMC'!E128)</f>
        <v>3939.5</v>
      </c>
      <c r="J131" s="48" t="n">
        <f aca="false">IF('RAW KVMC'!F128="","",'RAW KVMC'!F128)</f>
        <v>0</v>
      </c>
      <c r="K131" s="50" t="n">
        <f aca="false">IF('RAW KVMC'!G128="","",'RAW KVMC'!G128)</f>
        <v>0</v>
      </c>
      <c r="L131" s="50" t="n">
        <f aca="false">IF('RAW KVMC'!H128="","",'RAW KVMC'!H128)</f>
        <v>0</v>
      </c>
      <c r="M131" s="48" t="str">
        <f aca="false">IF('RAW KVMC'!I128="","",'RAW KVMC'!I128)</f>
        <v/>
      </c>
    </row>
    <row r="132" customFormat="false" ht="15" hidden="false" customHeight="false" outlineLevel="0" collapsed="false">
      <c r="A132" s="1" t="s">
        <v>1276</v>
      </c>
      <c r="B132" s="1" t="s">
        <v>154</v>
      </c>
      <c r="C132" s="1" t="s">
        <v>1145</v>
      </c>
      <c r="D132" s="1" t="n">
        <v>129</v>
      </c>
      <c r="E132" s="48" t="str">
        <f aca="false">IF('RAW KVMC'!A129="","",'RAW KVMC'!A129)</f>
        <v>Pharmacy Student Rotations</v>
      </c>
      <c r="F132" s="48" t="str">
        <f aca="false">IF('RAW KVMC'!B129="","",'RAW KVMC'!B129)</f>
        <v>Health Professions Education</v>
      </c>
      <c r="G132" s="49" t="n">
        <f aca="false">IF('RAW KVMC'!C129="","",'RAW KVMC'!C129)</f>
        <v>45930</v>
      </c>
      <c r="H132" s="48" t="str">
        <f aca="false">IF('RAW KVMC'!D129="","",'RAW KVMC'!D129)</f>
        <v>PharmD </v>
      </c>
      <c r="I132" s="48" t="n">
        <f aca="false">IF('RAW KVMC'!E129="","",'RAW KVMC'!E129)</f>
        <v>85.5</v>
      </c>
      <c r="J132" s="48" t="n">
        <f aca="false">IF('RAW KVMC'!F129="","",'RAW KVMC'!F129)</f>
        <v>6</v>
      </c>
      <c r="K132" s="50" t="n">
        <f aca="false">IF('RAW KVMC'!G129="","",'RAW KVMC'!G129)</f>
        <v>140</v>
      </c>
      <c r="L132" s="50" t="n">
        <f aca="false">IF('RAW KVMC'!H129="","",'RAW KVMC'!H129)</f>
        <v>0</v>
      </c>
      <c r="M132" s="48" t="str">
        <f aca="false">IF('RAW KVMC'!I129="","",'RAW KVMC'!I129)</f>
        <v/>
      </c>
    </row>
    <row r="133" customFormat="false" ht="15" hidden="false" customHeight="false" outlineLevel="0" collapsed="false">
      <c r="A133" s="1" t="s">
        <v>1277</v>
      </c>
      <c r="B133" s="1" t="s">
        <v>154</v>
      </c>
      <c r="C133" s="1" t="s">
        <v>1145</v>
      </c>
      <c r="D133" s="1" t="n">
        <v>130</v>
      </c>
      <c r="E133" s="48" t="str">
        <f aca="false">IF('RAW KVMC'!A130="","",'RAW KVMC'!A130)</f>
        <v>Community Hypertension Control Study</v>
      </c>
      <c r="F133" s="48" t="str">
        <f aca="false">IF('RAW KVMC'!B130="","",'RAW KVMC'!B130)</f>
        <v>Research</v>
      </c>
      <c r="G133" s="49" t="n">
        <f aca="false">IF('RAW KVMC'!C130="","",'RAW KVMC'!C130)</f>
        <v>45930</v>
      </c>
      <c r="H133" s="48" t="str">
        <f aca="false">IF('RAW KVMC'!D130="","",'RAW KVMC'!D130)</f>
        <v>BI Analyst</v>
      </c>
      <c r="I133" s="48" t="n">
        <f aca="false">IF('RAW KVMC'!E130="","",'RAW KVMC'!E130)</f>
        <v>43</v>
      </c>
      <c r="J133" s="48" t="n">
        <f aca="false">IF('RAW KVMC'!F130="","",'RAW KVMC'!F130)</f>
        <v>0</v>
      </c>
      <c r="K133" s="50" t="n">
        <f aca="false">IF('RAW KVMC'!G130="","",'RAW KVMC'!G130)</f>
        <v>0</v>
      </c>
      <c r="L133" s="50" t="n">
        <f aca="false">IF('RAW KVMC'!H130="","",'RAW KVMC'!H130)</f>
        <v>0</v>
      </c>
      <c r="M133" s="48" t="str">
        <f aca="false">IF('RAW KVMC'!I130="","",'RAW KVMC'!I130)</f>
        <v/>
      </c>
    </row>
    <row r="134" customFormat="false" ht="15" hidden="false" customHeight="false" outlineLevel="0" collapsed="false">
      <c r="A134" s="1" t="s">
        <v>1278</v>
      </c>
      <c r="B134" s="1" t="s">
        <v>154</v>
      </c>
      <c r="C134" s="1" t="s">
        <v>1145</v>
      </c>
      <c r="D134" s="1" t="n">
        <v>131</v>
      </c>
      <c r="E134" s="48" t="str">
        <f aca="false">IF('RAW KVMC'!A131="","",'RAW KVMC'!A131)</f>
        <v>Community Hypertension Control Study</v>
      </c>
      <c r="F134" s="48" t="str">
        <f aca="false">IF('RAW KVMC'!B131="","",'RAW KVMC'!B131)</f>
        <v>Research</v>
      </c>
      <c r="G134" s="49" t="n">
        <f aca="false">IF('RAW KVMC'!C131="","",'RAW KVMC'!C131)</f>
        <v>45930</v>
      </c>
      <c r="H134" s="48" t="str">
        <f aca="false">IF('RAW KVMC'!D131="","",'RAW KVMC'!D131)</f>
        <v>Physician</v>
      </c>
      <c r="I134" s="48" t="n">
        <f aca="false">IF('RAW KVMC'!E131="","",'RAW KVMC'!E131)</f>
        <v>24.5</v>
      </c>
      <c r="J134" s="48" t="n">
        <f aca="false">IF('RAW KVMC'!F131="","",'RAW KVMC'!F131)</f>
        <v>0</v>
      </c>
      <c r="K134" s="50" t="n">
        <f aca="false">IF('RAW KVMC'!G131="","",'RAW KVMC'!G131)</f>
        <v>0</v>
      </c>
      <c r="L134" s="50" t="n">
        <f aca="false">IF('RAW KVMC'!H131="","",'RAW KVMC'!H131)</f>
        <v>0</v>
      </c>
      <c r="M134" s="48" t="str">
        <f aca="false">IF('RAW KVMC'!I131="","",'RAW KVMC'!I131)</f>
        <v/>
      </c>
    </row>
    <row r="135" customFormat="false" ht="15" hidden="false" customHeight="false" outlineLevel="0" collapsed="false">
      <c r="A135" s="1" t="s">
        <v>1279</v>
      </c>
      <c r="B135" s="1" t="s">
        <v>154</v>
      </c>
      <c r="C135" s="1" t="s">
        <v>1145</v>
      </c>
      <c r="D135" s="1" t="n">
        <v>132</v>
      </c>
      <c r="E135" s="48" t="str">
        <f aca="false">IF('RAW KVMC'!A132="","",'RAW KVMC'!A132)</f>
        <v>Community Hypertension Control Study</v>
      </c>
      <c r="F135" s="48" t="str">
        <f aca="false">IF('RAW KVMC'!B132="","",'RAW KVMC'!B132)</f>
        <v>Research</v>
      </c>
      <c r="G135" s="49" t="n">
        <f aca="false">IF('RAW KVMC'!C132="","",'RAW KVMC'!C132)</f>
        <v>45930</v>
      </c>
      <c r="H135" s="48" t="str">
        <f aca="false">IF('RAW KVMC'!D132="","",'RAW KVMC'!D132)</f>
        <v>CRC</v>
      </c>
      <c r="I135" s="48" t="n">
        <f aca="false">IF('RAW KVMC'!E132="","",'RAW KVMC'!E132)</f>
        <v>168.5</v>
      </c>
      <c r="J135" s="48" t="n">
        <f aca="false">IF('RAW KVMC'!F132="","",'RAW KVMC'!F132)</f>
        <v>56</v>
      </c>
      <c r="K135" s="50" t="n">
        <f aca="false">IF('RAW KVMC'!G132="","",'RAW KVMC'!G132)</f>
        <v>7820</v>
      </c>
      <c r="L135" s="50" t="n">
        <f aca="false">IF('RAW KVMC'!H132="","",'RAW KVMC'!H132)</f>
        <v>12230</v>
      </c>
      <c r="M135" s="48" t="str">
        <f aca="false">IF('RAW KVMC'!I132="","",'RAW KVMC'!I132)</f>
        <v/>
      </c>
    </row>
    <row r="136" customFormat="false" ht="15" hidden="false" customHeight="false" outlineLevel="0" collapsed="false">
      <c r="A136" s="1" t="s">
        <v>1280</v>
      </c>
      <c r="B136" s="1" t="s">
        <v>154</v>
      </c>
      <c r="C136" s="1" t="s">
        <v>1145</v>
      </c>
      <c r="D136" s="1" t="n">
        <v>133</v>
      </c>
      <c r="E136" s="48" t="str">
        <f aca="false">IF('RAW KVMC'!A133="","",'RAW KVMC'!A133)</f>
        <v>Community Blood Pressure Checks</v>
      </c>
      <c r="F136" s="48" t="str">
        <f aca="false">IF('RAW KVMC'!B133="","",'RAW KVMC'!B133)</f>
        <v>Community-Based Clinical Services</v>
      </c>
      <c r="G136" s="49" t="n">
        <f aca="false">IF('RAW KVMC'!C133="","",'RAW KVMC'!C133)</f>
        <v>45934</v>
      </c>
      <c r="H136" s="48" t="str">
        <f aca="false">IF('RAW KVMC'!D133="","",'RAW KVMC'!D133)</f>
        <v>RN III</v>
      </c>
      <c r="I136" s="48" t="n">
        <f aca="false">IF('RAW KVMC'!E133="","",'RAW KVMC'!E133)</f>
        <v>4.5</v>
      </c>
      <c r="J136" s="48" t="n">
        <f aca="false">IF('RAW KVMC'!F133="","",'RAW KVMC'!F133)</f>
        <v>50</v>
      </c>
      <c r="K136" s="50" t="n">
        <f aca="false">IF('RAW KVMC'!G133="","",'RAW KVMC'!G133)</f>
        <v>45</v>
      </c>
      <c r="L136" s="50" t="n">
        <f aca="false">IF('RAW KVMC'!H133="","",'RAW KVMC'!H133)</f>
        <v>0</v>
      </c>
      <c r="M136" s="48" t="str">
        <f aca="false">IF('RAW KVMC'!I133="","",'RAW KVMC'!I133)</f>
        <v/>
      </c>
    </row>
    <row r="137" customFormat="false" ht="15" hidden="false" customHeight="false" outlineLevel="0" collapsed="false">
      <c r="A137" s="1" t="s">
        <v>1281</v>
      </c>
      <c r="B137" s="1" t="s">
        <v>154</v>
      </c>
      <c r="C137" s="1" t="s">
        <v>1145</v>
      </c>
      <c r="D137" s="1" t="n">
        <v>134</v>
      </c>
      <c r="E137" s="48" t="str">
        <f aca="false">IF('RAW KVMC'!A134="","",'RAW KVMC'!A134)</f>
        <v>Grief Support Group</v>
      </c>
      <c r="F137" s="48" t="str">
        <f aca="false">IF('RAW KVMC'!B134="","",'RAW KVMC'!B134)</f>
        <v>Health Care Support Services</v>
      </c>
      <c r="G137" s="49" t="n">
        <f aca="false">IF('RAW KVMC'!C134="","",'RAW KVMC'!C134)</f>
        <v>45936</v>
      </c>
      <c r="H137" s="48" t="str">
        <f aca="false">IF('RAW KVMC'!D134="","",'RAW KVMC'!D134)</f>
        <v>Staff Chaplain</v>
      </c>
      <c r="I137" s="48" t="n">
        <f aca="false">IF('RAW KVMC'!E134="","",'RAW KVMC'!E134)</f>
        <v>2.25</v>
      </c>
      <c r="J137" s="48" t="n">
        <f aca="false">IF('RAW KVMC'!F134="","",'RAW KVMC'!F134)</f>
        <v>11</v>
      </c>
      <c r="K137" s="50" t="n">
        <f aca="false">IF('RAW KVMC'!G134="","",'RAW KVMC'!G134)</f>
        <v>20</v>
      </c>
      <c r="L137" s="50" t="n">
        <f aca="false">IF('RAW KVMC'!H134="","",'RAW KVMC'!H134)</f>
        <v>0</v>
      </c>
      <c r="M137" s="48" t="str">
        <f aca="false">IF('RAW KVMC'!I134="","",'RAW KVMC'!I134)</f>
        <v/>
      </c>
    </row>
    <row r="138" customFormat="false" ht="15" hidden="false" customHeight="false" outlineLevel="0" collapsed="false">
      <c r="A138" s="1" t="s">
        <v>1282</v>
      </c>
      <c r="B138" s="1" t="s">
        <v>154</v>
      </c>
      <c r="C138" s="1" t="s">
        <v>1145</v>
      </c>
      <c r="D138" s="1" t="n">
        <v>135</v>
      </c>
      <c r="E138" s="48" t="str">
        <f aca="false">IF('RAW KVMC'!A135="","",'RAW KVMC'!A135)</f>
        <v>Grief Support Group</v>
      </c>
      <c r="F138" s="48" t="str">
        <f aca="false">IF('RAW KVMC'!B135="","",'RAW KVMC'!B135)</f>
        <v>Health Care Support Services</v>
      </c>
      <c r="G138" s="49" t="n">
        <f aca="false">IF('RAW KVMC'!C135="","",'RAW KVMC'!C135)</f>
        <v>45936</v>
      </c>
      <c r="H138" s="48" t="str">
        <f aca="false">IF('RAW KVMC'!D135="","",'RAW KVMC'!D135)</f>
        <v>lcsw</v>
      </c>
      <c r="I138" s="48" t="n">
        <f aca="false">IF('RAW KVMC'!E135="","",'RAW KVMC'!E135)</f>
        <v>1.75</v>
      </c>
      <c r="J138" s="48" t="n">
        <f aca="false">IF('RAW KVMC'!F135="","",'RAW KVMC'!F135)</f>
        <v>0</v>
      </c>
      <c r="K138" s="50" t="n">
        <f aca="false">IF('RAW KVMC'!G135="","",'RAW KVMC'!G135)</f>
        <v>0</v>
      </c>
      <c r="L138" s="50" t="n">
        <f aca="false">IF('RAW KVMC'!H135="","",'RAW KVMC'!H135)</f>
        <v>0</v>
      </c>
      <c r="M138" s="48" t="str">
        <f aca="false">IF('RAW KVMC'!I135="","",'RAW KVMC'!I135)</f>
        <v/>
      </c>
    </row>
    <row r="139" customFormat="false" ht="15" hidden="false" customHeight="false" outlineLevel="0" collapsed="false">
      <c r="A139" s="1" t="s">
        <v>1283</v>
      </c>
      <c r="B139" s="1" t="s">
        <v>154</v>
      </c>
      <c r="C139" s="1" t="s">
        <v>1145</v>
      </c>
      <c r="D139" s="1" t="n">
        <v>136</v>
      </c>
      <c r="E139" s="48" t="str">
        <f aca="false">IF('RAW KVMC'!A136="","",'RAW KVMC'!A136)</f>
        <v>Tobacco Cessation Classes</v>
      </c>
      <c r="F139" s="48" t="str">
        <f aca="false">IF('RAW KVMC'!B136="","",'RAW KVMC'!B136)</f>
        <v>Community Health Education</v>
      </c>
      <c r="G139" s="49" t="n">
        <f aca="false">IF('RAW KVMC'!C136="","",'RAW KVMC'!C136)</f>
        <v>45936</v>
      </c>
      <c r="H139" s="48" t="str">
        <f aca="false">IF('RAW KVMC'!D136="","",'RAW KVMC'!D136)</f>
        <v>Resp. Therapy</v>
      </c>
      <c r="I139" s="48" t="n">
        <f aca="false">IF('RAW KVMC'!E136="","",'RAW KVMC'!E136)</f>
        <v>2</v>
      </c>
      <c r="J139" s="48" t="n">
        <f aca="false">IF('RAW KVMC'!F136="","",'RAW KVMC'!F136)</f>
        <v>14</v>
      </c>
      <c r="K139" s="50" t="n">
        <f aca="false">IF('RAW KVMC'!G136="","",'RAW KVMC'!G136)</f>
        <v>120</v>
      </c>
      <c r="L139" s="50" t="n">
        <f aca="false">IF('RAW KVMC'!H136="","",'RAW KVMC'!H136)</f>
        <v>0</v>
      </c>
      <c r="M139" s="48" t="str">
        <f aca="false">IF('RAW KVMC'!I136="","",'RAW KVMC'!I136)</f>
        <v/>
      </c>
    </row>
    <row r="140" customFormat="false" ht="15" hidden="false" customHeight="false" outlineLevel="0" collapsed="false">
      <c r="A140" s="1" t="s">
        <v>1284</v>
      </c>
      <c r="B140" s="1" t="s">
        <v>154</v>
      </c>
      <c r="C140" s="1" t="s">
        <v>1145</v>
      </c>
      <c r="D140" s="1" t="n">
        <v>137</v>
      </c>
      <c r="E140" s="48" t="str">
        <f aca="false">IF('RAW KVMC'!A137="","",'RAW KVMC'!A137)</f>
        <v>Community Emergency Preparedness Drills</v>
      </c>
      <c r="F140" s="48" t="str">
        <f aca="false">IF('RAW KVMC'!B137="","",'RAW KVMC'!B137)</f>
        <v>Community Building - Community Support</v>
      </c>
      <c r="G140" s="49" t="n">
        <f aca="false">IF('RAW KVMC'!C137="","",'RAW KVMC'!C137)</f>
        <v>45937</v>
      </c>
      <c r="H140" s="48" t="str">
        <f aca="false">IF('RAW KVMC'!D137="","",'RAW KVMC'!D137)</f>
        <v>FLIGHT PARAMEDIC</v>
      </c>
      <c r="I140" s="48" t="n">
        <f aca="false">IF('RAW KVMC'!E137="","",'RAW KVMC'!E137)</f>
        <v>6</v>
      </c>
      <c r="J140" s="48" t="n">
        <f aca="false">IF('RAW KVMC'!F137="","",'RAW KVMC'!F137)</f>
        <v>108</v>
      </c>
      <c r="K140" s="50" t="n">
        <f aca="false">IF('RAW KVMC'!G137="","",'RAW KVMC'!G137)</f>
        <v>1820</v>
      </c>
      <c r="L140" s="50" t="n">
        <f aca="false">IF('RAW KVMC'!H137="","",'RAW KVMC'!H137)</f>
        <v>0</v>
      </c>
      <c r="M140" s="48" t="str">
        <f aca="false">IF('RAW KVMC'!I137="","",'RAW KVMC'!I137)</f>
        <v/>
      </c>
    </row>
    <row r="141" customFormat="false" ht="15" hidden="false" customHeight="false" outlineLevel="0" collapsed="false">
      <c r="A141" s="1" t="s">
        <v>1285</v>
      </c>
      <c r="B141" s="1" t="s">
        <v>154</v>
      </c>
      <c r="C141" s="1" t="s">
        <v>1145</v>
      </c>
      <c r="D141" s="1" t="n">
        <v>138</v>
      </c>
      <c r="E141" s="48" t="str">
        <f aca="false">IF('RAW KVMC'!A138="","",'RAW KVMC'!A138)</f>
        <v>Community Emergency Preparedness Drills</v>
      </c>
      <c r="F141" s="48" t="str">
        <f aca="false">IF('RAW KVMC'!B138="","",'RAW KVMC'!B138)</f>
        <v>Community Building - Community Support</v>
      </c>
      <c r="G141" s="49" t="n">
        <f aca="false">IF('RAW KVMC'!C138="","",'RAW KVMC'!C138)</f>
        <v>45937</v>
      </c>
      <c r="H141" s="48" t="str">
        <f aca="false">IF('RAW KVMC'!D138="","",'RAW KVMC'!D138)</f>
        <v>Event Coordinator</v>
      </c>
      <c r="I141" s="48" t="n">
        <f aca="false">IF('RAW KVMC'!E138="","",'RAW KVMC'!E138)</f>
        <v>5.25</v>
      </c>
      <c r="J141" s="48" t="n">
        <f aca="false">IF('RAW KVMC'!F138="","",'RAW KVMC'!F138)</f>
        <v>0</v>
      </c>
      <c r="K141" s="50" t="n">
        <f aca="false">IF('RAW KVMC'!G138="","",'RAW KVMC'!G138)</f>
        <v>0</v>
      </c>
      <c r="L141" s="50" t="n">
        <f aca="false">IF('RAW KVMC'!H138="","",'RAW KVMC'!H138)</f>
        <v>0</v>
      </c>
      <c r="M141" s="48" t="str">
        <f aca="false">IF('RAW KVMC'!I138="","",'RAW KVMC'!I138)</f>
        <v/>
      </c>
    </row>
    <row r="142" customFormat="false" ht="15" hidden="false" customHeight="false" outlineLevel="0" collapsed="false">
      <c r="A142" s="1" t="s">
        <v>1286</v>
      </c>
      <c r="B142" s="1" t="s">
        <v>154</v>
      </c>
      <c r="C142" s="1" t="s">
        <v>1145</v>
      </c>
      <c r="D142" s="1" t="n">
        <v>139</v>
      </c>
      <c r="E142" s="48" t="str">
        <f aca="false">IF('RAW KVMC'!A139="","",'RAW KVMC'!A139)</f>
        <v>Community Emergency Preparedness Drills</v>
      </c>
      <c r="F142" s="48" t="str">
        <f aca="false">IF('RAW KVMC'!B139="","",'RAW KVMC'!B139)</f>
        <v>Community Building - Community Support</v>
      </c>
      <c r="G142" s="49" t="n">
        <f aca="false">IF('RAW KVMC'!C139="","",'RAW KVMC'!C139)</f>
        <v>45937</v>
      </c>
      <c r="H142" s="48" t="str">
        <f aca="false">IF('RAW KVMC'!D139="","",'RAW KVMC'!D139)</f>
        <v>Registered Nurse</v>
      </c>
      <c r="I142" s="48" t="n">
        <f aca="false">IF('RAW KVMC'!E139="","",'RAW KVMC'!E139)</f>
        <v>6</v>
      </c>
      <c r="J142" s="48" t="n">
        <f aca="false">IF('RAW KVMC'!F139="","",'RAW KVMC'!F139)</f>
        <v>0</v>
      </c>
      <c r="K142" s="50" t="n">
        <f aca="false">IF('RAW KVMC'!G139="","",'RAW KVMC'!G139)</f>
        <v>0</v>
      </c>
      <c r="L142" s="50" t="n">
        <f aca="false">IF('RAW KVMC'!H139="","",'RAW KVMC'!H139)</f>
        <v>0</v>
      </c>
      <c r="M142" s="48" t="str">
        <f aca="false">IF('RAW KVMC'!I139="","",'RAW KVMC'!I139)</f>
        <v/>
      </c>
    </row>
    <row r="143" customFormat="false" ht="15" hidden="false" customHeight="false" outlineLevel="0" collapsed="false">
      <c r="A143" s="1" t="s">
        <v>1287</v>
      </c>
      <c r="B143" s="1" t="s">
        <v>154</v>
      </c>
      <c r="C143" s="1" t="s">
        <v>1145</v>
      </c>
      <c r="D143" s="1" t="n">
        <v>140</v>
      </c>
      <c r="E143" s="48" t="str">
        <f aca="false">IF('RAW KVMC'!A140="","",'RAW KVMC'!A140)</f>
        <v>Diabetes Prevention Classes</v>
      </c>
      <c r="F143" s="48" t="str">
        <f aca="false">IF('RAW KVMC'!B140="","",'RAW KVMC'!B140)</f>
        <v>Community Health Education</v>
      </c>
      <c r="G143" s="49" t="n">
        <f aca="false">IF('RAW KVMC'!C140="","",'RAW KVMC'!C140)</f>
        <v>45941</v>
      </c>
      <c r="H143" s="48" t="str">
        <f aca="false">IF('RAW KVMC'!D140="","",'RAW KVMC'!D140)</f>
        <v>HEALTH ED</v>
      </c>
      <c r="I143" s="48" t="n">
        <f aca="false">IF('RAW KVMC'!E140="","",'RAW KVMC'!E140)</f>
        <v>2.75</v>
      </c>
      <c r="J143" s="48" t="n">
        <f aca="false">IF('RAW KVMC'!F140="","",'RAW KVMC'!F140)</f>
        <v>21</v>
      </c>
      <c r="K143" s="50" t="n">
        <f aca="false">IF('RAW KVMC'!G140="","",'RAW KVMC'!G140)</f>
        <v>60</v>
      </c>
      <c r="L143" s="50" t="n">
        <f aca="false">IF('RAW KVMC'!H140="","",'RAW KVMC'!H140)</f>
        <v>0</v>
      </c>
      <c r="M143" s="48" t="str">
        <f aca="false">IF('RAW KVMC'!I140="","",'RAW KVMC'!I140)</f>
        <v/>
      </c>
    </row>
    <row r="144" customFormat="false" ht="15" hidden="false" customHeight="false" outlineLevel="0" collapsed="false">
      <c r="A144" s="1" t="s">
        <v>1288</v>
      </c>
      <c r="B144" s="1" t="s">
        <v>154</v>
      </c>
      <c r="C144" s="1" t="s">
        <v>1145</v>
      </c>
      <c r="D144" s="1" t="n">
        <v>141</v>
      </c>
      <c r="E144" s="48" t="str">
        <f aca="false">IF('RAW KVMC'!A141="","",'RAW KVMC'!A141)</f>
        <v>Diabetes Prevention Classes</v>
      </c>
      <c r="F144" s="48" t="str">
        <f aca="false">IF('RAW KVMC'!B141="","",'RAW KVMC'!B141)</f>
        <v>Community Health Education</v>
      </c>
      <c r="G144" s="49" t="n">
        <f aca="false">IF('RAW KVMC'!C141="","",'RAW KVMC'!C141)</f>
        <v>45941</v>
      </c>
      <c r="H144" s="48" t="str">
        <f aca="false">IF('RAW KVMC'!D141="","",'RAW KVMC'!D141)</f>
        <v>Health Education Specialist</v>
      </c>
      <c r="I144" s="48" t="n">
        <f aca="false">IF('RAW KVMC'!E141="","",'RAW KVMC'!E141)</f>
        <v>3</v>
      </c>
      <c r="J144" s="48" t="n">
        <f aca="false">IF('RAW KVMC'!F141="","",'RAW KVMC'!F141)</f>
        <v>19</v>
      </c>
      <c r="K144" s="50" t="n">
        <f aca="false">IF('RAW KVMC'!G141="","",'RAW KVMC'!G141)</f>
        <v>165</v>
      </c>
      <c r="L144" s="50" t="n">
        <f aca="false">IF('RAW KVMC'!H141="","",'RAW KVMC'!H141)</f>
        <v>0</v>
      </c>
      <c r="M144" s="48" t="str">
        <f aca="false">IF('RAW KVMC'!I141="","",'RAW KVMC'!I141)</f>
        <v/>
      </c>
    </row>
    <row r="145" customFormat="false" ht="15" hidden="false" customHeight="false" outlineLevel="0" collapsed="false">
      <c r="A145" s="1" t="s">
        <v>1289</v>
      </c>
      <c r="B145" s="1" t="s">
        <v>154</v>
      </c>
      <c r="C145" s="1" t="s">
        <v>1145</v>
      </c>
      <c r="D145" s="1" t="n">
        <v>142</v>
      </c>
      <c r="E145" s="48" t="str">
        <f aca="false">IF('RAW KVMC'!A142="","",'RAW KVMC'!A142)</f>
        <v>Diabetes Prevention Classes</v>
      </c>
      <c r="F145" s="48" t="str">
        <f aca="false">IF('RAW KVMC'!B142="","",'RAW KVMC'!B142)</f>
        <v>Community Health Education</v>
      </c>
      <c r="G145" s="49" t="n">
        <f aca="false">IF('RAW KVMC'!C142="","",'RAW KVMC'!C142)</f>
        <v>45941</v>
      </c>
      <c r="H145" s="48" t="str">
        <f aca="false">IF('RAW KVMC'!D142="","",'RAW KVMC'!D142)</f>
        <v>Dietitian</v>
      </c>
      <c r="I145" s="48" t="n">
        <f aca="false">IF('RAW KVMC'!E142="","",'RAW KVMC'!E142)</f>
        <v>1.75</v>
      </c>
      <c r="J145" s="48" t="n">
        <f aca="false">IF('RAW KVMC'!F142="","",'RAW KVMC'!F142)</f>
        <v>0</v>
      </c>
      <c r="K145" s="50" t="n">
        <f aca="false">IF('RAW KVMC'!G142="","",'RAW KVMC'!G142)</f>
        <v>0</v>
      </c>
      <c r="L145" s="50" t="n">
        <f aca="false">IF('RAW KVMC'!H142="","",'RAW KVMC'!H142)</f>
        <v>0</v>
      </c>
      <c r="M145" s="48" t="str">
        <f aca="false">IF('RAW KVMC'!I142="","",'RAW KVMC'!I142)</f>
        <v/>
      </c>
    </row>
    <row r="146" customFormat="false" ht="15" hidden="false" customHeight="false" outlineLevel="0" collapsed="false">
      <c r="A146" s="1" t="s">
        <v>1290</v>
      </c>
      <c r="B146" s="1" t="s">
        <v>154</v>
      </c>
      <c r="C146" s="1" t="s">
        <v>1145</v>
      </c>
      <c r="D146" s="1" t="n">
        <v>143</v>
      </c>
      <c r="E146" s="48" t="str">
        <f aca="false">IF('RAW KVMC'!A143="","",'RAW KVMC'!A143)</f>
        <v>Diabetes Prevention Classes</v>
      </c>
      <c r="F146" s="48" t="str">
        <f aca="false">IF('RAW KVMC'!B143="","",'RAW KVMC'!B143)</f>
        <v>Community Health Education</v>
      </c>
      <c r="G146" s="49" t="n">
        <f aca="false">IF('RAW KVMC'!C143="","",'RAW KVMC'!C143)</f>
        <v>45941</v>
      </c>
      <c r="H146" s="48" t="str">
        <f aca="false">IF('RAW KVMC'!D143="","",'RAW KVMC'!D143)</f>
        <v>Nutritionist</v>
      </c>
      <c r="I146" s="48" t="n">
        <f aca="false">IF('RAW KVMC'!E143="","",'RAW KVMC'!E143)</f>
        <v>2</v>
      </c>
      <c r="J146" s="48" t="n">
        <f aca="false">IF('RAW KVMC'!F143="","",'RAW KVMC'!F143)</f>
        <v>0</v>
      </c>
      <c r="K146" s="50" t="n">
        <f aca="false">IF('RAW KVMC'!G143="","",'RAW KVMC'!G143)</f>
        <v>0</v>
      </c>
      <c r="L146" s="50" t="n">
        <f aca="false">IF('RAW KVMC'!H143="","",'RAW KVMC'!H143)</f>
        <v>0</v>
      </c>
      <c r="M146" s="48" t="str">
        <f aca="false">IF('RAW KVMC'!I143="","",'RAW KVMC'!I143)</f>
        <v/>
      </c>
    </row>
    <row r="147" customFormat="false" ht="15" hidden="false" customHeight="false" outlineLevel="0" collapsed="false">
      <c r="A147" s="1" t="s">
        <v>1291</v>
      </c>
      <c r="B147" s="1" t="s">
        <v>154</v>
      </c>
      <c r="C147" s="1" t="s">
        <v>1145</v>
      </c>
      <c r="D147" s="1" t="n">
        <v>144</v>
      </c>
      <c r="E147" s="48" t="str">
        <f aca="false">IF('RAW KVMC'!A144="","",'RAW KVMC'!A144)</f>
        <v>Affordable Housing Partnership</v>
      </c>
      <c r="F147" s="48" t="str">
        <f aca="false">IF('RAW KVMC'!B144="","",'RAW KVMC'!B144)</f>
        <v>Community Building - Housing</v>
      </c>
      <c r="G147" s="49" t="n">
        <f aca="false">IF('RAW KVMC'!C144="","",'RAW KVMC'!C144)</f>
        <v>45943</v>
      </c>
      <c r="H147" s="48" t="str">
        <f aca="false">IF('RAW KVMC'!D144="","",'RAW KVMC'!D144)</f>
        <v>Director</v>
      </c>
      <c r="I147" s="48" t="n">
        <f aca="false">IF('RAW KVMC'!E144="","",'RAW KVMC'!E144)</f>
        <v>4.75</v>
      </c>
      <c r="J147" s="48" t="n">
        <f aca="false">IF('RAW KVMC'!F144="","",'RAW KVMC'!F144)</f>
        <v>0</v>
      </c>
      <c r="K147" s="50" t="n">
        <f aca="false">IF('RAW KVMC'!G144="","",'RAW KVMC'!G144)</f>
        <v>75635</v>
      </c>
      <c r="L147" s="50" t="n">
        <f aca="false">IF('RAW KVMC'!H144="","",'RAW KVMC'!H144)</f>
        <v>0</v>
      </c>
      <c r="M147" s="48" t="str">
        <f aca="false">IF('RAW KVMC'!I144="","",'RAW KVMC'!I144)</f>
        <v/>
      </c>
    </row>
    <row r="148" customFormat="false" ht="15" hidden="false" customHeight="false" outlineLevel="0" collapsed="false">
      <c r="A148" s="1" t="s">
        <v>1292</v>
      </c>
      <c r="B148" s="1" t="s">
        <v>154</v>
      </c>
      <c r="C148" s="1" t="s">
        <v>1145</v>
      </c>
      <c r="D148" s="1" t="n">
        <v>145</v>
      </c>
      <c r="E148" s="48" t="str">
        <f aca="false">IF('RAW KVMC'!A145="","",'RAW KVMC'!A145)</f>
        <v>Affordable Housing Partnership</v>
      </c>
      <c r="F148" s="48" t="str">
        <f aca="false">IF('RAW KVMC'!B145="","",'RAW KVMC'!B145)</f>
        <v>Community Building - Housing</v>
      </c>
      <c r="G148" s="49" t="n">
        <f aca="false">IF('RAW KVMC'!C145="","",'RAW KVMC'!C145)</f>
        <v>45943</v>
      </c>
      <c r="H148" s="48" t="str">
        <f aca="false">IF('RAW KVMC'!D145="","",'RAW KVMC'!D145)</f>
        <v>Program Coordinator </v>
      </c>
      <c r="I148" s="48" t="n">
        <f aca="false">IF('RAW KVMC'!E145="","",'RAW KVMC'!E145)</f>
        <v>8.25</v>
      </c>
      <c r="J148" s="48" t="n">
        <f aca="false">IF('RAW KVMC'!F145="","",'RAW KVMC'!F145)</f>
        <v>0</v>
      </c>
      <c r="K148" s="50" t="n">
        <f aca="false">IF('RAW KVMC'!G145="","",'RAW KVMC'!G145)</f>
        <v>0</v>
      </c>
      <c r="L148" s="50" t="n">
        <f aca="false">IF('RAW KVMC'!H145="","",'RAW KVMC'!H145)</f>
        <v>0</v>
      </c>
      <c r="M148" s="48" t="str">
        <f aca="false">IF('RAW KVMC'!I145="","",'RAW KVMC'!I145)</f>
        <v/>
      </c>
    </row>
    <row r="149" customFormat="false" ht="15" hidden="false" customHeight="false" outlineLevel="0" collapsed="false">
      <c r="A149" s="1" t="s">
        <v>1293</v>
      </c>
      <c r="B149" s="1" t="s">
        <v>154</v>
      </c>
      <c r="C149" s="1" t="s">
        <v>1145</v>
      </c>
      <c r="D149" s="1" t="n">
        <v>146</v>
      </c>
      <c r="E149" s="48" t="str">
        <f aca="false">IF('RAW KVMC'!A146="","",'RAW KVMC'!A146)</f>
        <v>Tobacco Cessation Classes</v>
      </c>
      <c r="F149" s="48" t="str">
        <f aca="false">IF('RAW KVMC'!B146="","",'RAW KVMC'!B146)</f>
        <v>Community Health Education</v>
      </c>
      <c r="G149" s="49" t="n">
        <f aca="false">IF('RAW KVMC'!C146="","",'RAW KVMC'!C146)</f>
        <v>45945</v>
      </c>
      <c r="H149" s="48" t="str">
        <f aca="false">IF('RAW KVMC'!D146="","",'RAW KVMC'!D146)</f>
        <v>respiratory therapist</v>
      </c>
      <c r="I149" s="48" t="n">
        <f aca="false">IF('RAW KVMC'!E146="","",'RAW KVMC'!E146)</f>
        <v>2</v>
      </c>
      <c r="J149" s="48" t="n">
        <f aca="false">IF('RAW KVMC'!F146="","",'RAW KVMC'!F146)</f>
        <v>14</v>
      </c>
      <c r="K149" s="50" t="n">
        <f aca="false">IF('RAW KVMC'!G146="","",'RAW KVMC'!G146)</f>
        <v>215</v>
      </c>
      <c r="L149" s="50" t="n">
        <f aca="false">IF('RAW KVMC'!H146="","",'RAW KVMC'!H146)</f>
        <v>0</v>
      </c>
      <c r="M149" s="48" t="str">
        <f aca="false">IF('RAW KVMC'!I146="","",'RAW KVMC'!I146)</f>
        <v/>
      </c>
    </row>
    <row r="150" customFormat="false" ht="15" hidden="false" customHeight="false" outlineLevel="0" collapsed="false">
      <c r="A150" s="1" t="s">
        <v>1294</v>
      </c>
      <c r="B150" s="1" t="s">
        <v>154</v>
      </c>
      <c r="C150" s="1" t="s">
        <v>1145</v>
      </c>
      <c r="D150" s="1" t="n">
        <v>147</v>
      </c>
      <c r="E150" s="48" t="str">
        <f aca="false">IF('RAW KVMC'!A147="","",'RAW KVMC'!A147)</f>
        <v>Tobacco Cessation Classes</v>
      </c>
      <c r="F150" s="48" t="str">
        <f aca="false">IF('RAW KVMC'!B147="","",'RAW KVMC'!B147)</f>
        <v>Community Health Education</v>
      </c>
      <c r="G150" s="49" t="n">
        <f aca="false">IF('RAW KVMC'!C147="","",'RAW KVMC'!C147)</f>
        <v>45947</v>
      </c>
      <c r="H150" s="48" t="str">
        <f aca="false">IF('RAW KVMC'!D147="","",'RAW KVMC'!D147)</f>
        <v>Licensed Therapist</v>
      </c>
      <c r="I150" s="48" t="n">
        <f aca="false">IF('RAW KVMC'!E147="","",'RAW KVMC'!E147)</f>
        <v>2</v>
      </c>
      <c r="J150" s="48" t="n">
        <f aca="false">IF('RAW KVMC'!F147="","",'RAW KVMC'!F147)</f>
        <v>9</v>
      </c>
      <c r="K150" s="50" t="n">
        <f aca="false">IF('RAW KVMC'!G147="","",'RAW KVMC'!G147)</f>
        <v>95</v>
      </c>
      <c r="L150" s="50" t="n">
        <f aca="false">IF('RAW KVMC'!H147="","",'RAW KVMC'!H147)</f>
        <v>0</v>
      </c>
      <c r="M150" s="48" t="str">
        <f aca="false">IF('RAW KVMC'!I147="","",'RAW KVMC'!I147)</f>
        <v/>
      </c>
    </row>
    <row r="151" customFormat="false" ht="15" hidden="false" customHeight="false" outlineLevel="0" collapsed="false">
      <c r="A151" s="1" t="s">
        <v>1295</v>
      </c>
      <c r="B151" s="1" t="s">
        <v>154</v>
      </c>
      <c r="C151" s="1" t="s">
        <v>1145</v>
      </c>
      <c r="D151" s="1" t="n">
        <v>148</v>
      </c>
      <c r="E151" s="48" t="str">
        <f aca="false">IF('RAW KVMC'!A148="","",'RAW KVMC'!A148)</f>
        <v>Childbirth and Newborn Care Classes</v>
      </c>
      <c r="F151" s="48" t="str">
        <f aca="false">IF('RAW KVMC'!B148="","",'RAW KVMC'!B148)</f>
        <v>Community Health Education</v>
      </c>
      <c r="G151" s="49" t="n">
        <f aca="false">IF('RAW KVMC'!C148="","",'RAW KVMC'!C148)</f>
        <v>45948</v>
      </c>
      <c r="H151" s="48" t="str">
        <f aca="false">IF('RAW KVMC'!D148="","",'RAW KVMC'!D148)</f>
        <v>Clinical Nurse Educator</v>
      </c>
      <c r="I151" s="48" t="n">
        <f aca="false">IF('RAW KVMC'!E148="","",'RAW KVMC'!E148)</f>
        <v>3.25</v>
      </c>
      <c r="J151" s="48" t="n">
        <f aca="false">IF('RAW KVMC'!F148="","",'RAW KVMC'!F148)</f>
        <v>23</v>
      </c>
      <c r="K151" s="50" t="n">
        <f aca="false">IF('RAW KVMC'!G148="","",'RAW KVMC'!G148)</f>
        <v>190</v>
      </c>
      <c r="L151" s="50" t="n">
        <f aca="false">IF('RAW KVMC'!H148="","",'RAW KVMC'!H148)</f>
        <v>460</v>
      </c>
      <c r="M151" s="48" t="str">
        <f aca="false">IF('RAW KVMC'!I148="","",'RAW KVMC'!I148)</f>
        <v/>
      </c>
    </row>
    <row r="152" customFormat="false" ht="15" hidden="false" customHeight="false" outlineLevel="0" collapsed="false">
      <c r="A152" s="1" t="s">
        <v>1296</v>
      </c>
      <c r="B152" s="1" t="s">
        <v>154</v>
      </c>
      <c r="C152" s="1" t="s">
        <v>1145</v>
      </c>
      <c r="D152" s="1" t="n">
        <v>149</v>
      </c>
      <c r="E152" s="48" t="str">
        <f aca="false">IF('RAW KVMC'!A149="","",'RAW KVMC'!A149)</f>
        <v>Youth Health Careers Pathway</v>
      </c>
      <c r="F152" s="48" t="str">
        <f aca="false">IF('RAW KVMC'!B149="","",'RAW KVMC'!B149)</f>
        <v>Community Building - Workforce</v>
      </c>
      <c r="G152" s="49" t="n">
        <f aca="false">IF('RAW KVMC'!C149="","",'RAW KVMC'!C149)</f>
        <v>45948</v>
      </c>
      <c r="H152" s="48" t="str">
        <f aca="false">IF('RAW KVMC'!D149="","",'RAW KVMC'!D149)</f>
        <v>Educator, Nursing</v>
      </c>
      <c r="I152" s="48" t="n">
        <f aca="false">IF('RAW KVMC'!E149="","",'RAW KVMC'!E149)</f>
        <v>3.5</v>
      </c>
      <c r="J152" s="48" t="n">
        <f aca="false">IF('RAW KVMC'!F149="","",'RAW KVMC'!F149)</f>
        <v>0</v>
      </c>
      <c r="K152" s="50" t="n">
        <f aca="false">IF('RAW KVMC'!G149="","",'RAW KVMC'!G149)</f>
        <v>0</v>
      </c>
      <c r="L152" s="50" t="n">
        <f aca="false">IF('RAW KVMC'!H149="","",'RAW KVMC'!H149)</f>
        <v>0</v>
      </c>
      <c r="M152" s="48" t="str">
        <f aca="false">IF('RAW KVMC'!I149="","",'RAW KVMC'!I149)</f>
        <v/>
      </c>
    </row>
    <row r="153" customFormat="false" ht="15" hidden="false" customHeight="false" outlineLevel="0" collapsed="false">
      <c r="A153" s="1" t="s">
        <v>1297</v>
      </c>
      <c r="B153" s="1" t="s">
        <v>154</v>
      </c>
      <c r="C153" s="1" t="s">
        <v>1145</v>
      </c>
      <c r="D153" s="1" t="n">
        <v>150</v>
      </c>
      <c r="E153" s="48" t="str">
        <f aca="false">IF('RAW KVMC'!A150="","",'RAW KVMC'!A150)</f>
        <v>Youth Health Careers Pathway</v>
      </c>
      <c r="F153" s="48" t="str">
        <f aca="false">IF('RAW KVMC'!B150="","",'RAW KVMC'!B150)</f>
        <v>Community Building - Workforce</v>
      </c>
      <c r="G153" s="49" t="n">
        <f aca="false">IF('RAW KVMC'!C150="","",'RAW KVMC'!C150)</f>
        <v>45948</v>
      </c>
      <c r="H153" s="48" t="str">
        <f aca="false">IF('RAW KVMC'!D150="","",'RAW KVMC'!D150)</f>
        <v>Program Coordinator</v>
      </c>
      <c r="I153" s="48" t="n">
        <f aca="false">IF('RAW KVMC'!E150="","",'RAW KVMC'!E150)</f>
        <v>6</v>
      </c>
      <c r="J153" s="48" t="n">
        <f aca="false">IF('RAW KVMC'!F150="","",'RAW KVMC'!F150)</f>
        <v>25</v>
      </c>
      <c r="K153" s="50" t="n">
        <f aca="false">IF('RAW KVMC'!G150="","",'RAW KVMC'!G150)</f>
        <v>1235</v>
      </c>
      <c r="L153" s="50" t="n">
        <f aca="false">IF('RAW KVMC'!H150="","",'RAW KVMC'!H150)</f>
        <v>0</v>
      </c>
      <c r="M153" s="48" t="str">
        <f aca="false">IF('RAW KVMC'!I150="","",'RAW KVMC'!I150)</f>
        <v/>
      </c>
    </row>
    <row r="154" customFormat="false" ht="15" hidden="false" customHeight="false" outlineLevel="0" collapsed="false">
      <c r="A154" s="1" t="s">
        <v>1298</v>
      </c>
      <c r="B154" s="1" t="s">
        <v>154</v>
      </c>
      <c r="C154" s="1" t="s">
        <v>1145</v>
      </c>
      <c r="D154" s="1" t="n">
        <v>151</v>
      </c>
      <c r="E154" s="48" t="str">
        <f aca="false">IF('RAW KVMC'!A151="","",'RAW KVMC'!A151)</f>
        <v>Affordable Housing Partnership</v>
      </c>
      <c r="F154" s="48" t="str">
        <f aca="false">IF('RAW KVMC'!B151="","",'RAW KVMC'!B151)</f>
        <v>Community Building - Housing</v>
      </c>
      <c r="G154" s="49" t="n">
        <f aca="false">IF('RAW KVMC'!C151="","",'RAW KVMC'!C151)</f>
        <v>45958</v>
      </c>
      <c r="H154" s="48" t="str">
        <f aca="false">IF('RAW KVMC'!D151="","",'RAW KVMC'!D151)</f>
        <v>Director, Mission</v>
      </c>
      <c r="I154" s="48" t="n">
        <f aca="false">IF('RAW KVMC'!E151="","",'RAW KVMC'!E151)</f>
        <v>5</v>
      </c>
      <c r="J154" s="48" t="n">
        <f aca="false">IF('RAW KVMC'!F151="","",'RAW KVMC'!F151)</f>
        <v>0</v>
      </c>
      <c r="K154" s="50" t="n">
        <f aca="false">IF('RAW KVMC'!G151="","",'RAW KVMC'!G151)</f>
        <v>59310</v>
      </c>
      <c r="L154" s="50" t="n">
        <f aca="false">IF('RAW KVMC'!H151="","",'RAW KVMC'!H151)</f>
        <v>0</v>
      </c>
      <c r="M154" s="48" t="str">
        <f aca="false">IF('RAW KVMC'!I151="","",'RAW KVMC'!I151)</f>
        <v/>
      </c>
    </row>
    <row r="155" customFormat="false" ht="15" hidden="false" customHeight="false" outlineLevel="0" collapsed="false">
      <c r="A155" s="1" t="s">
        <v>1299</v>
      </c>
      <c r="B155" s="1" t="s">
        <v>154</v>
      </c>
      <c r="C155" s="1" t="s">
        <v>1145</v>
      </c>
      <c r="D155" s="1" t="n">
        <v>152</v>
      </c>
      <c r="E155" s="48" t="str">
        <f aca="false">IF('RAW KVMC'!A152="","",'RAW KVMC'!A152)</f>
        <v>Affordable Housing Partnership</v>
      </c>
      <c r="F155" s="48" t="str">
        <f aca="false">IF('RAW KVMC'!B152="","",'RAW KVMC'!B152)</f>
        <v>Community Building - Housing</v>
      </c>
      <c r="G155" s="49" t="n">
        <f aca="false">IF('RAW KVMC'!C152="","",'RAW KVMC'!C152)</f>
        <v>45958</v>
      </c>
      <c r="H155" s="48" t="str">
        <f aca="false">IF('RAW KVMC'!D152="","",'RAW KVMC'!D152)</f>
        <v>Residency Coordinator </v>
      </c>
      <c r="I155" s="48" t="n">
        <f aca="false">IF('RAW KVMC'!E152="","",'RAW KVMC'!E152)</f>
        <v>9.25</v>
      </c>
      <c r="J155" s="48" t="n">
        <f aca="false">IF('RAW KVMC'!F152="","",'RAW KVMC'!F152)</f>
        <v>0</v>
      </c>
      <c r="K155" s="50" t="n">
        <f aca="false">IF('RAW KVMC'!G152="","",'RAW KVMC'!G152)</f>
        <v>0</v>
      </c>
      <c r="L155" s="50" t="n">
        <f aca="false">IF('RAW KVMC'!H152="","",'RAW KVMC'!H152)</f>
        <v>0</v>
      </c>
      <c r="M155" s="48" t="str">
        <f aca="false">IF('RAW KVMC'!I152="","",'RAW KVMC'!I152)</f>
        <v/>
      </c>
    </row>
    <row r="156" customFormat="false" ht="15" hidden="false" customHeight="false" outlineLevel="0" collapsed="false">
      <c r="A156" s="1" t="s">
        <v>1300</v>
      </c>
      <c r="B156" s="1" t="s">
        <v>154</v>
      </c>
      <c r="C156" s="1" t="s">
        <v>1145</v>
      </c>
      <c r="D156" s="1" t="n">
        <v>153</v>
      </c>
      <c r="E156" s="48" t="str">
        <f aca="false">IF('RAW KVMC'!A153="","",'RAW KVMC'!A153)</f>
        <v>Childbirth and Newborn Care Classes</v>
      </c>
      <c r="F156" s="48" t="str">
        <f aca="false">IF('RAW KVMC'!B153="","",'RAW KVMC'!B153)</f>
        <v>Community Health Education</v>
      </c>
      <c r="G156" s="49" t="n">
        <f aca="false">IF('RAW KVMC'!C153="","",'RAW KVMC'!C153)</f>
        <v>45959</v>
      </c>
      <c r="H156" s="48" t="str">
        <f aca="false">IF('RAW KVMC'!D153="","",'RAW KVMC'!D153)</f>
        <v>Clinical Nurse Educator</v>
      </c>
      <c r="I156" s="48" t="n">
        <f aca="false">IF('RAW KVMC'!E153="","",'RAW KVMC'!E153)</f>
        <v>3</v>
      </c>
      <c r="J156" s="48" t="n">
        <f aca="false">IF('RAW KVMC'!F153="","",'RAW KVMC'!F153)</f>
        <v>22</v>
      </c>
      <c r="K156" s="50" t="n">
        <f aca="false">IF('RAW KVMC'!G153="","",'RAW KVMC'!G153)</f>
        <v>175</v>
      </c>
      <c r="L156" s="50" t="n">
        <f aca="false">IF('RAW KVMC'!H153="","",'RAW KVMC'!H153)</f>
        <v>0</v>
      </c>
      <c r="M156" s="48" t="str">
        <f aca="false">IF('RAW KVMC'!I153="","",'RAW KVMC'!I153)</f>
        <v/>
      </c>
    </row>
    <row r="157" customFormat="false" ht="15" hidden="false" customHeight="false" outlineLevel="0" collapsed="false">
      <c r="A157" s="1" t="s">
        <v>1301</v>
      </c>
      <c r="B157" s="1" t="s">
        <v>154</v>
      </c>
      <c r="C157" s="1" t="s">
        <v>1145</v>
      </c>
      <c r="D157" s="1" t="n">
        <v>154</v>
      </c>
      <c r="E157" s="48" t="str">
        <f aca="false">IF('RAW KVMC'!A154="","",'RAW KVMC'!A154)</f>
        <v>Youth Health Careers Pathway</v>
      </c>
      <c r="F157" s="48" t="str">
        <f aca="false">IF('RAW KVMC'!B154="","",'RAW KVMC'!B154)</f>
        <v>Community Building - Workforce</v>
      </c>
      <c r="G157" s="49" t="n">
        <f aca="false">IF('RAW KVMC'!C154="","",'RAW KVMC'!C154)</f>
        <v>45959</v>
      </c>
      <c r="H157" s="48" t="str">
        <f aca="false">IF('RAW KVMC'!D154="","",'RAW KVMC'!D154)</f>
        <v>NURSE EDUCATOR</v>
      </c>
      <c r="I157" s="48" t="n">
        <f aca="false">IF('RAW KVMC'!E154="","",'RAW KVMC'!E154)</f>
        <v>4.5</v>
      </c>
      <c r="J157" s="48" t="n">
        <f aca="false">IF('RAW KVMC'!F154="","",'RAW KVMC'!F154)</f>
        <v>0</v>
      </c>
      <c r="K157" s="50" t="n">
        <f aca="false">IF('RAW KVMC'!G154="","",'RAW KVMC'!G154)</f>
        <v>0</v>
      </c>
      <c r="L157" s="50" t="n">
        <f aca="false">IF('RAW KVMC'!H154="","",'RAW KVMC'!H154)</f>
        <v>0</v>
      </c>
      <c r="M157" s="48" t="str">
        <f aca="false">IF('RAW KVMC'!I154="","",'RAW KVMC'!I154)</f>
        <v/>
      </c>
    </row>
    <row r="158" customFormat="false" ht="15" hidden="false" customHeight="false" outlineLevel="0" collapsed="false">
      <c r="A158" s="1" t="s">
        <v>1302</v>
      </c>
      <c r="B158" s="1" t="s">
        <v>154</v>
      </c>
      <c r="C158" s="1" t="s">
        <v>1145</v>
      </c>
      <c r="D158" s="1" t="n">
        <v>155</v>
      </c>
      <c r="E158" s="48" t="str">
        <f aca="false">IF('RAW KVMC'!A155="","",'RAW KVMC'!A155)</f>
        <v>Youth Health Careers Pathway</v>
      </c>
      <c r="F158" s="48" t="str">
        <f aca="false">IF('RAW KVMC'!B155="","",'RAW KVMC'!B155)</f>
        <v>Community Building - Workforce</v>
      </c>
      <c r="G158" s="49" t="n">
        <f aca="false">IF('RAW KVMC'!C155="","",'RAW KVMC'!C155)</f>
        <v>45959</v>
      </c>
      <c r="H158" s="48" t="str">
        <f aca="false">IF('RAW KVMC'!D155="","",'RAW KVMC'!D155)</f>
        <v> Program Coordinator</v>
      </c>
      <c r="I158" s="48" t="n">
        <f aca="false">IF('RAW KVMC'!E155="","",'RAW KVMC'!E155)</f>
        <v>6.5</v>
      </c>
      <c r="J158" s="48" t="n">
        <f aca="false">IF('RAW KVMC'!F155="","",'RAW KVMC'!F155)</f>
        <v>24</v>
      </c>
      <c r="K158" s="50" t="n">
        <f aca="false">IF('RAW KVMC'!G155="","",'RAW KVMC'!G155)</f>
        <v>1020</v>
      </c>
      <c r="L158" s="50" t="n">
        <f aca="false">IF('RAW KVMC'!H155="","",'RAW KVMC'!H155)</f>
        <v>0</v>
      </c>
      <c r="M158" s="48" t="str">
        <f aca="false">IF('RAW KVMC'!I155="","",'RAW KVMC'!I155)</f>
        <v/>
      </c>
    </row>
    <row r="159" customFormat="false" ht="15" hidden="false" customHeight="false" outlineLevel="0" collapsed="false">
      <c r="A159" s="1" t="s">
        <v>1303</v>
      </c>
      <c r="B159" s="1" t="s">
        <v>154</v>
      </c>
      <c r="C159" s="1" t="s">
        <v>1145</v>
      </c>
      <c r="D159" s="1" t="n">
        <v>156</v>
      </c>
      <c r="E159" s="48" t="str">
        <f aca="false">IF('RAW KVMC'!A156="","",'RAW KVMC'!A156)</f>
        <v>Diabetes Prevention Classes</v>
      </c>
      <c r="F159" s="48" t="str">
        <f aca="false">IF('RAW KVMC'!B156="","",'RAW KVMC'!B156)</f>
        <v>Community Health Education</v>
      </c>
      <c r="G159" s="49" t="n">
        <f aca="false">IF('RAW KVMC'!C156="","",'RAW KVMC'!C156)</f>
        <v>45960</v>
      </c>
      <c r="H159" s="48" t="str">
        <f aca="false">IF('RAW KVMC'!D156="","",'RAW KVMC'!D156)</f>
        <v>Health Educator</v>
      </c>
      <c r="I159" s="48" t="n">
        <f aca="false">IF('RAW KVMC'!E156="","",'RAW KVMC'!E156)</f>
        <v>2.25</v>
      </c>
      <c r="J159" s="48" t="n">
        <f aca="false">IF('RAW KVMC'!F156="","",'RAW KVMC'!F156)</f>
        <v>21</v>
      </c>
      <c r="K159" s="50" t="n">
        <f aca="false">IF('RAW KVMC'!G156="","",'RAW KVMC'!G156)</f>
        <v>165</v>
      </c>
      <c r="L159" s="50" t="n">
        <f aca="false">IF('RAW KVMC'!H156="","",'RAW KVMC'!H156)</f>
        <v>0</v>
      </c>
      <c r="M159" s="48" t="str">
        <f aca="false">IF('RAW KVMC'!I156="","",'RAW KVMC'!I156)</f>
        <v/>
      </c>
    </row>
    <row r="160" customFormat="false" ht="15" hidden="false" customHeight="false" outlineLevel="0" collapsed="false">
      <c r="A160" s="1" t="s">
        <v>1304</v>
      </c>
      <c r="B160" s="1" t="s">
        <v>154</v>
      </c>
      <c r="C160" s="1" t="s">
        <v>1145</v>
      </c>
      <c r="D160" s="1" t="n">
        <v>157</v>
      </c>
      <c r="E160" s="48" t="str">
        <f aca="false">IF('RAW KVMC'!A157="","",'RAW KVMC'!A157)</f>
        <v>Diabetes Prevention Classes</v>
      </c>
      <c r="F160" s="48" t="str">
        <f aca="false">IF('RAW KVMC'!B157="","",'RAW KVMC'!B157)</f>
        <v>Community Health Education</v>
      </c>
      <c r="G160" s="49" t="n">
        <f aca="false">IF('RAW KVMC'!C157="","",'RAW KVMC'!C157)</f>
        <v>45960</v>
      </c>
      <c r="H160" s="48" t="str">
        <f aca="false">IF('RAW KVMC'!D157="","",'RAW KVMC'!D157)</f>
        <v>Nutritionist</v>
      </c>
      <c r="I160" s="48" t="n">
        <f aca="false">IF('RAW KVMC'!E157="","",'RAW KVMC'!E157)</f>
        <v>1.5</v>
      </c>
      <c r="J160" s="48" t="n">
        <f aca="false">IF('RAW KVMC'!F157="","",'RAW KVMC'!F157)</f>
        <v>0</v>
      </c>
      <c r="K160" s="50" t="n">
        <f aca="false">IF('RAW KVMC'!G157="","",'RAW KVMC'!G157)</f>
        <v>0</v>
      </c>
      <c r="L160" s="50" t="n">
        <f aca="false">IF('RAW KVMC'!H157="","",'RAW KVMC'!H157)</f>
        <v>0</v>
      </c>
      <c r="M160" s="48" t="str">
        <f aca="false">IF('RAW KVMC'!I157="","",'RAW KVMC'!I157)</f>
        <v/>
      </c>
    </row>
    <row r="161" customFormat="false" ht="15" hidden="false" customHeight="false" outlineLevel="0" collapsed="false">
      <c r="A161" s="1" t="s">
        <v>1305</v>
      </c>
      <c r="B161" s="1" t="s">
        <v>154</v>
      </c>
      <c r="C161" s="1" t="s">
        <v>1145</v>
      </c>
      <c r="D161" s="1" t="n">
        <v>158</v>
      </c>
      <c r="E161" s="48" t="str">
        <f aca="false">IF('RAW KVMC'!A158="","",'RAW KVMC'!A158)</f>
        <v>Mobile Health Screening Unit</v>
      </c>
      <c r="F161" s="48" t="str">
        <f aca="false">IF('RAW KVMC'!B158="","",'RAW KVMC'!B158)</f>
        <v>Community-Based Clinical Services</v>
      </c>
      <c r="G161" s="49" t="n">
        <f aca="false">IF('RAW KVMC'!C158="","",'RAW KVMC'!C158)</f>
        <v>45961</v>
      </c>
      <c r="H161" s="48" t="str">
        <f aca="false">IF('RAW KVMC'!D158="","",'RAW KVMC'!D158)</f>
        <v>Community Health Worker</v>
      </c>
      <c r="I161" s="48" t="n">
        <f aca="false">IF('RAW KVMC'!E158="","",'RAW KVMC'!E158)</f>
        <v>103.75</v>
      </c>
      <c r="J161" s="48" t="n">
        <f aca="false">IF('RAW KVMC'!F158="","",'RAW KVMC'!F158)</f>
        <v>0</v>
      </c>
      <c r="K161" s="50" t="n">
        <f aca="false">IF('RAW KVMC'!G158="","",'RAW KVMC'!G158)</f>
        <v>0</v>
      </c>
      <c r="L161" s="50" t="n">
        <f aca="false">IF('RAW KVMC'!H158="","",'RAW KVMC'!H158)</f>
        <v>0</v>
      </c>
      <c r="M161" s="48" t="str">
        <f aca="false">IF('RAW KVMC'!I158="","",'RAW KVMC'!I158)</f>
        <v/>
      </c>
    </row>
    <row r="162" customFormat="false" ht="15" hidden="false" customHeight="false" outlineLevel="0" collapsed="false">
      <c r="A162" s="1" t="s">
        <v>1306</v>
      </c>
      <c r="B162" s="1" t="s">
        <v>154</v>
      </c>
      <c r="C162" s="1" t="s">
        <v>1145</v>
      </c>
      <c r="D162" s="1" t="n">
        <v>159</v>
      </c>
      <c r="E162" s="48" t="str">
        <f aca="false">IF('RAW KVMC'!A159="","",'RAW KVMC'!A159)</f>
        <v>Mobile Health Screening Unit</v>
      </c>
      <c r="F162" s="48" t="str">
        <f aca="false">IF('RAW KVMC'!B159="","",'RAW KVMC'!B159)</f>
        <v>Community-Based Clinical Services</v>
      </c>
      <c r="G162" s="49" t="n">
        <f aca="false">IF('RAW KVMC'!C159="","",'RAW KVMC'!C159)</f>
        <v>45961</v>
      </c>
      <c r="H162" s="48" t="str">
        <f aca="false">IF('RAW KVMC'!D159="","",'RAW KVMC'!D159)</f>
        <v>Medical Assistant</v>
      </c>
      <c r="I162" s="48" t="n">
        <f aca="false">IF('RAW KVMC'!E159="","",'RAW KVMC'!E159)</f>
        <v>108.5</v>
      </c>
      <c r="J162" s="48" t="n">
        <f aca="false">IF('RAW KVMC'!F159="","",'RAW KVMC'!F159)</f>
        <v>0</v>
      </c>
      <c r="K162" s="50" t="n">
        <f aca="false">IF('RAW KVMC'!G159="","",'RAW KVMC'!G159)</f>
        <v>0</v>
      </c>
      <c r="L162" s="50" t="n">
        <f aca="false">IF('RAW KVMC'!H159="","",'RAW KVMC'!H159)</f>
        <v>0</v>
      </c>
      <c r="M162" s="48" t="str">
        <f aca="false">IF('RAW KVMC'!I159="","",'RAW KVMC'!I159)</f>
        <v/>
      </c>
    </row>
    <row r="163" customFormat="false" ht="15" hidden="false" customHeight="false" outlineLevel="0" collapsed="false">
      <c r="A163" s="1" t="s">
        <v>1307</v>
      </c>
      <c r="B163" s="1" t="s">
        <v>154</v>
      </c>
      <c r="C163" s="1" t="s">
        <v>1145</v>
      </c>
      <c r="D163" s="1" t="n">
        <v>160</v>
      </c>
      <c r="E163" s="48" t="str">
        <f aca="false">IF('RAW KVMC'!A160="","",'RAW KVMC'!A160)</f>
        <v>Mobile Health Screening Unit</v>
      </c>
      <c r="F163" s="48" t="str">
        <f aca="false">IF('RAW KVMC'!B160="","",'RAW KVMC'!B160)</f>
        <v>Community-Based Clinical Services</v>
      </c>
      <c r="G163" s="49" t="n">
        <f aca="false">IF('RAW KVMC'!C160="","",'RAW KVMC'!C160)</f>
        <v>45961</v>
      </c>
      <c r="H163" s="48" t="str">
        <f aca="false">IF('RAW KVMC'!D160="","",'RAW KVMC'!D160)</f>
        <v>Registered Nurse</v>
      </c>
      <c r="I163" s="48" t="n">
        <f aca="false">IF('RAW KVMC'!E160="","",'RAW KVMC'!E160)</f>
        <v>117</v>
      </c>
      <c r="J163" s="48" t="n">
        <f aca="false">IF('RAW KVMC'!F160="","",'RAW KVMC'!F160)</f>
        <v>348</v>
      </c>
      <c r="K163" s="50" t="n">
        <f aca="false">IF('RAW KVMC'!G160="","",'RAW KVMC'!G160)</f>
        <v>7880</v>
      </c>
      <c r="L163" s="50" t="n">
        <f aca="false">IF('RAW KVMC'!H160="","",'RAW KVMC'!H160)</f>
        <v>0</v>
      </c>
      <c r="M163" s="48" t="str">
        <f aca="false">IF('RAW KVMC'!I160="","",'RAW KVMC'!I160)</f>
        <v/>
      </c>
    </row>
    <row r="164" customFormat="false" ht="15" hidden="false" customHeight="false" outlineLevel="0" collapsed="false">
      <c r="A164" s="1" t="s">
        <v>1308</v>
      </c>
      <c r="B164" s="1" t="s">
        <v>154</v>
      </c>
      <c r="C164" s="1" t="s">
        <v>1145</v>
      </c>
      <c r="D164" s="1" t="n">
        <v>161</v>
      </c>
      <c r="E164" s="48" t="str">
        <f aca="false">IF('RAW KVMC'!A161="","",'RAW KVMC'!A161)</f>
        <v>Free Clinic Provider Staffing</v>
      </c>
      <c r="F164" s="48" t="str">
        <f aca="false">IF('RAW KVMC'!B161="","",'RAW KVMC'!B161)</f>
        <v>Community-Based Clinical Services</v>
      </c>
      <c r="G164" s="49" t="n">
        <f aca="false">IF('RAW KVMC'!C161="","",'RAW KVMC'!C161)</f>
        <v>45961</v>
      </c>
      <c r="H164" s="48" t="str">
        <f aca="false">IF('RAW KVMC'!D161="","",'RAW KVMC'!D161)</f>
        <v>Family NP</v>
      </c>
      <c r="I164" s="48" t="n">
        <f aca="false">IF('RAW KVMC'!E161="","",'RAW KVMC'!E161)</f>
        <v>42.75</v>
      </c>
      <c r="J164" s="48" t="n">
        <f aca="false">IF('RAW KVMC'!F161="","",'RAW KVMC'!F161)</f>
        <v>287</v>
      </c>
      <c r="K164" s="50" t="n">
        <f aca="false">IF('RAW KVMC'!G161="","",'RAW KVMC'!G161)</f>
        <v>5030</v>
      </c>
      <c r="L164" s="50" t="n">
        <f aca="false">IF('RAW KVMC'!H161="","",'RAW KVMC'!H161)</f>
        <v>0</v>
      </c>
      <c r="M164" s="48" t="str">
        <f aca="false">IF('RAW KVMC'!I161="","",'RAW KVMC'!I161)</f>
        <v/>
      </c>
    </row>
    <row r="165" customFormat="false" ht="15" hidden="false" customHeight="false" outlineLevel="0" collapsed="false">
      <c r="A165" s="1" t="s">
        <v>1309</v>
      </c>
      <c r="B165" s="1" t="s">
        <v>154</v>
      </c>
      <c r="C165" s="1" t="s">
        <v>1145</v>
      </c>
      <c r="D165" s="1" t="n">
        <v>162</v>
      </c>
      <c r="E165" s="48" t="str">
        <f aca="false">IF('RAW KVMC'!A162="","",'RAW KVMC'!A162)</f>
        <v>Free Clinic Provider Staffing</v>
      </c>
      <c r="F165" s="48" t="str">
        <f aca="false">IF('RAW KVMC'!B162="","",'RAW KVMC'!B162)</f>
        <v>Community-Based Clinical Services</v>
      </c>
      <c r="G165" s="49" t="n">
        <f aca="false">IF('RAW KVMC'!C162="","",'RAW KVMC'!C162)</f>
        <v>45961</v>
      </c>
      <c r="H165" s="48" t="str">
        <f aca="false">IF('RAW KVMC'!D162="","",'RAW KVMC'!D162)</f>
        <v>Pharm.D.</v>
      </c>
      <c r="I165" s="48" t="n">
        <f aca="false">IF('RAW KVMC'!E162="","",'RAW KVMC'!E162)</f>
        <v>12.75</v>
      </c>
      <c r="J165" s="48" t="n">
        <f aca="false">IF('RAW KVMC'!F162="","",'RAW KVMC'!F162)</f>
        <v>0</v>
      </c>
      <c r="K165" s="50" t="n">
        <f aca="false">IF('RAW KVMC'!G162="","",'RAW KVMC'!G162)</f>
        <v>0</v>
      </c>
      <c r="L165" s="50" t="n">
        <f aca="false">IF('RAW KVMC'!H162="","",'RAW KVMC'!H162)</f>
        <v>0</v>
      </c>
      <c r="M165" s="48" t="str">
        <f aca="false">IF('RAW KVMC'!I162="","",'RAW KVMC'!I162)</f>
        <v/>
      </c>
    </row>
    <row r="166" customFormat="false" ht="15" hidden="false" customHeight="false" outlineLevel="0" collapsed="false">
      <c r="A166" s="1" t="s">
        <v>1310</v>
      </c>
      <c r="B166" s="1" t="s">
        <v>154</v>
      </c>
      <c r="C166" s="1" t="s">
        <v>1145</v>
      </c>
      <c r="D166" s="1" t="n">
        <v>163</v>
      </c>
      <c r="E166" s="48" t="str">
        <f aca="false">IF('RAW KVMC'!A163="","",'RAW KVMC'!A163)</f>
        <v>Free Clinic Provider Staffing</v>
      </c>
      <c r="F166" s="48" t="str">
        <f aca="false">IF('RAW KVMC'!B163="","",'RAW KVMC'!B163)</f>
        <v>Community-Based Clinical Services</v>
      </c>
      <c r="G166" s="49" t="n">
        <f aca="false">IF('RAW KVMC'!C163="","",'RAW KVMC'!C163)</f>
        <v>45961</v>
      </c>
      <c r="H166" s="48" t="str">
        <f aca="false">IF('RAW KVMC'!D163="","",'RAW KVMC'!D163)</f>
        <v>Registered Nurse</v>
      </c>
      <c r="I166" s="48" t="n">
        <f aca="false">IF('RAW KVMC'!E163="","",'RAW KVMC'!E163)</f>
        <v>42.75</v>
      </c>
      <c r="J166" s="48" t="n">
        <f aca="false">IF('RAW KVMC'!F163="","",'RAW KVMC'!F163)</f>
        <v>0</v>
      </c>
      <c r="K166" s="50" t="n">
        <f aca="false">IF('RAW KVMC'!G163="","",'RAW KVMC'!G163)</f>
        <v>0</v>
      </c>
      <c r="L166" s="50" t="n">
        <f aca="false">IF('RAW KVMC'!H163="","",'RAW KVMC'!H163)</f>
        <v>0</v>
      </c>
      <c r="M166" s="48" t="str">
        <f aca="false">IF('RAW KVMC'!I163="","",'RAW KVMC'!I163)</f>
        <v/>
      </c>
    </row>
    <row r="167" customFormat="false" ht="15" hidden="false" customHeight="false" outlineLevel="0" collapsed="false">
      <c r="A167" s="1" t="s">
        <v>1311</v>
      </c>
      <c r="B167" s="1" t="s">
        <v>154</v>
      </c>
      <c r="C167" s="1" t="s">
        <v>1145</v>
      </c>
      <c r="D167" s="1" t="n">
        <v>164</v>
      </c>
      <c r="E167" s="48" t="str">
        <f aca="false">IF('RAW KVMC'!A164="","",'RAW KVMC'!A164)</f>
        <v>Community Health Worker Outreach</v>
      </c>
      <c r="F167" s="48" t="str">
        <f aca="false">IF('RAW KVMC'!B164="","",'RAW KVMC'!B164)</f>
        <v>Health Care Support Services</v>
      </c>
      <c r="G167" s="49" t="n">
        <f aca="false">IF('RAW KVMC'!C164="","",'RAW KVMC'!C164)</f>
        <v>45961</v>
      </c>
      <c r="H167" s="48" t="str">
        <f aca="false">IF('RAW KVMC'!D164="","",'RAW KVMC'!D164)</f>
        <v>CHW</v>
      </c>
      <c r="I167" s="48" t="n">
        <f aca="false">IF('RAW KVMC'!E164="","",'RAW KVMC'!E164)</f>
        <v>485.75</v>
      </c>
      <c r="J167" s="48" t="n">
        <f aca="false">IF('RAW KVMC'!F164="","",'RAW KVMC'!F164)</f>
        <v>523</v>
      </c>
      <c r="K167" s="50" t="n">
        <f aca="false">IF('RAW KVMC'!G164="","",'RAW KVMC'!G164)</f>
        <v>1385</v>
      </c>
      <c r="L167" s="50" t="n">
        <f aca="false">IF('RAW KVMC'!H164="","",'RAW KVMC'!H164)</f>
        <v>0</v>
      </c>
      <c r="M167" s="48" t="str">
        <f aca="false">IF('RAW KVMC'!I164="","",'RAW KVMC'!I164)</f>
        <v/>
      </c>
    </row>
    <row r="168" customFormat="false" ht="15" hidden="false" customHeight="false" outlineLevel="0" collapsed="false">
      <c r="A168" s="1" t="s">
        <v>1312</v>
      </c>
      <c r="B168" s="1" t="s">
        <v>154</v>
      </c>
      <c r="C168" s="1" t="s">
        <v>1145</v>
      </c>
      <c r="D168" s="1" t="n">
        <v>165</v>
      </c>
      <c r="E168" s="48" t="str">
        <f aca="false">IF('RAW KVMC'!A165="","",'RAW KVMC'!A165)</f>
        <v>Community Health Worker Outreach</v>
      </c>
      <c r="F168" s="48" t="str">
        <f aca="false">IF('RAW KVMC'!B165="","",'RAW KVMC'!B165)</f>
        <v>Health Care Support Services</v>
      </c>
      <c r="G168" s="49" t="n">
        <f aca="false">IF('RAW KVMC'!C165="","",'RAW KVMC'!C165)</f>
        <v>45961</v>
      </c>
      <c r="H168" s="48" t="str">
        <f aca="false">IF('RAW KVMC'!D165="","",'RAW KVMC'!D165)</f>
        <v> Patient Navigator</v>
      </c>
      <c r="I168" s="48" t="n">
        <f aca="false">IF('RAW KVMC'!E165="","",'RAW KVMC'!E165)</f>
        <v>214.5</v>
      </c>
      <c r="J168" s="48" t="n">
        <f aca="false">IF('RAW KVMC'!F165="","",'RAW KVMC'!F165)</f>
        <v>0</v>
      </c>
      <c r="K168" s="50" t="n">
        <f aca="false">IF('RAW KVMC'!G165="","",'RAW KVMC'!G165)</f>
        <v>0</v>
      </c>
      <c r="L168" s="50" t="n">
        <f aca="false">IF('RAW KVMC'!H165="","",'RAW KVMC'!H165)</f>
        <v>0</v>
      </c>
      <c r="M168" s="48" t="str">
        <f aca="false">IF('RAW KVMC'!I165="","",'RAW KVMC'!I165)</f>
        <v/>
      </c>
    </row>
    <row r="169" customFormat="false" ht="15" hidden="false" customHeight="false" outlineLevel="0" collapsed="false">
      <c r="A169" s="1" t="s">
        <v>1313</v>
      </c>
      <c r="B169" s="1" t="s">
        <v>154</v>
      </c>
      <c r="C169" s="1" t="s">
        <v>1145</v>
      </c>
      <c r="D169" s="1" t="n">
        <v>166</v>
      </c>
      <c r="E169" s="48" t="str">
        <f aca="false">IF('RAW KVMC'!A166="","",'RAW KVMC'!A166)</f>
        <v>Medication Assistance Program</v>
      </c>
      <c r="F169" s="48" t="str">
        <f aca="false">IF('RAW KVMC'!B166="","",'RAW KVMC'!B166)</f>
        <v>Health Care Support Services</v>
      </c>
      <c r="G169" s="49" t="n">
        <f aca="false">IF('RAW KVMC'!C166="","",'RAW KVMC'!C166)</f>
        <v>45961</v>
      </c>
      <c r="H169" s="48" t="str">
        <f aca="false">IF('RAW KVMC'!D166="","",'RAW KVMC'!D166)</f>
        <v>Patient Navigator</v>
      </c>
      <c r="I169" s="48" t="n">
        <f aca="false">IF('RAW KVMC'!E166="","",'RAW KVMC'!E166)</f>
        <v>98.25</v>
      </c>
      <c r="J169" s="48" t="n">
        <f aca="false">IF('RAW KVMC'!F166="","",'RAW KVMC'!F166)</f>
        <v>0</v>
      </c>
      <c r="K169" s="50" t="n">
        <f aca="false">IF('RAW KVMC'!G166="","",'RAW KVMC'!G166)</f>
        <v>0</v>
      </c>
      <c r="L169" s="50" t="n">
        <f aca="false">IF('RAW KVMC'!H166="","",'RAW KVMC'!H166)</f>
        <v>0</v>
      </c>
      <c r="M169" s="48" t="str">
        <f aca="false">IF('RAW KVMC'!I166="","",'RAW KVMC'!I166)</f>
        <v/>
      </c>
    </row>
    <row r="170" customFormat="false" ht="15" hidden="false" customHeight="false" outlineLevel="0" collapsed="false">
      <c r="A170" s="1" t="s">
        <v>1314</v>
      </c>
      <c r="B170" s="1" t="s">
        <v>154</v>
      </c>
      <c r="C170" s="1" t="s">
        <v>1145</v>
      </c>
      <c r="D170" s="1" t="n">
        <v>167</v>
      </c>
      <c r="E170" s="48" t="str">
        <f aca="false">IF('RAW KVMC'!A167="","",'RAW KVMC'!A167)</f>
        <v>Medication Assistance Program</v>
      </c>
      <c r="F170" s="48" t="str">
        <f aca="false">IF('RAW KVMC'!B167="","",'RAW KVMC'!B167)</f>
        <v>Health Care Support Services</v>
      </c>
      <c r="G170" s="49" t="n">
        <f aca="false">IF('RAW KVMC'!C167="","",'RAW KVMC'!C167)</f>
        <v>45961</v>
      </c>
      <c r="H170" s="48" t="str">
        <f aca="false">IF('RAW KVMC'!D167="","",'RAW KVMC'!D167)</f>
        <v>Pharm.D.</v>
      </c>
      <c r="I170" s="48" t="n">
        <f aca="false">IF('RAW KVMC'!E167="","",'RAW KVMC'!E167)</f>
        <v>31.5</v>
      </c>
      <c r="J170" s="48" t="n">
        <f aca="false">IF('RAW KVMC'!F167="","",'RAW KVMC'!F167)</f>
        <v>153</v>
      </c>
      <c r="K170" s="50" t="n">
        <f aca="false">IF('RAW KVMC'!G167="","",'RAW KVMC'!G167)</f>
        <v>25195</v>
      </c>
      <c r="L170" s="50" t="n">
        <f aca="false">IF('RAW KVMC'!H167="","",'RAW KVMC'!H167)</f>
        <v>0</v>
      </c>
      <c r="M170" s="48" t="str">
        <f aca="false">IF('RAW KVMC'!I167="","",'RAW KVMC'!I167)</f>
        <v/>
      </c>
    </row>
    <row r="171" customFormat="false" ht="15" hidden="false" customHeight="false" outlineLevel="0" collapsed="false">
      <c r="A171" s="1" t="s">
        <v>1315</v>
      </c>
      <c r="B171" s="1" t="s">
        <v>154</v>
      </c>
      <c r="C171" s="1" t="s">
        <v>1145</v>
      </c>
      <c r="D171" s="1" t="n">
        <v>168</v>
      </c>
      <c r="E171" s="48" t="str">
        <f aca="false">IF('RAW KVMC'!A168="","",'RAW KVMC'!A168)</f>
        <v>Community Health Needs Assessment</v>
      </c>
      <c r="F171" s="48" t="str">
        <f aca="false">IF('RAW KVMC'!B168="","",'RAW KVMC'!B168)</f>
        <v>CB Operations</v>
      </c>
      <c r="G171" s="49" t="n">
        <f aca="false">IF('RAW KVMC'!C168="","",'RAW KVMC'!C168)</f>
        <v>45961</v>
      </c>
      <c r="H171" s="48" t="str">
        <f aca="false">IF('RAW KVMC'!D168="","",'RAW KVMC'!D168)</f>
        <v>Community Benefit Manager</v>
      </c>
      <c r="I171" s="48" t="n">
        <f aca="false">IF('RAW KVMC'!E168="","",'RAW KVMC'!E168)</f>
        <v>43.75</v>
      </c>
      <c r="J171" s="48" t="n">
        <f aca="false">IF('RAW KVMC'!F168="","",'RAW KVMC'!F168)</f>
        <v>0</v>
      </c>
      <c r="K171" s="50" t="n">
        <f aca="false">IF('RAW KVMC'!G168="","",'RAW KVMC'!G168)</f>
        <v>1680</v>
      </c>
      <c r="L171" s="50" t="n">
        <f aca="false">IF('RAW KVMC'!H168="","",'RAW KVMC'!H168)</f>
        <v>0</v>
      </c>
      <c r="M171" s="48" t="str">
        <f aca="false">IF('RAW KVMC'!I168="","",'RAW KVMC'!I168)</f>
        <v/>
      </c>
    </row>
    <row r="172" customFormat="false" ht="15" hidden="false" customHeight="false" outlineLevel="0" collapsed="false">
      <c r="A172" s="1" t="s">
        <v>1316</v>
      </c>
      <c r="B172" s="1" t="s">
        <v>154</v>
      </c>
      <c r="C172" s="1" t="s">
        <v>1145</v>
      </c>
      <c r="D172" s="1" t="n">
        <v>169</v>
      </c>
      <c r="E172" s="48" t="str">
        <f aca="false">IF('RAW KVMC'!A169="","",'RAW KVMC'!A169)</f>
        <v>Community Health Needs Assessment</v>
      </c>
      <c r="F172" s="48" t="str">
        <f aca="false">IF('RAW KVMC'!B169="","",'RAW KVMC'!B169)</f>
        <v>CB Operations</v>
      </c>
      <c r="G172" s="49" t="n">
        <f aca="false">IF('RAW KVMC'!C169="","",'RAW KVMC'!C169)</f>
        <v>45961</v>
      </c>
      <c r="H172" s="48" t="str">
        <f aca="false">IF('RAW KVMC'!D169="","",'RAW KVMC'!D169)</f>
        <v>Analyst</v>
      </c>
      <c r="I172" s="48" t="n">
        <f aca="false">IF('RAW KVMC'!E169="","",'RAW KVMC'!E169)</f>
        <v>33.5</v>
      </c>
      <c r="J172" s="48" t="n">
        <f aca="false">IF('RAW KVMC'!F169="","",'RAW KVMC'!F169)</f>
        <v>0</v>
      </c>
      <c r="K172" s="50" t="n">
        <f aca="false">IF('RAW KVMC'!G169="","",'RAW KVMC'!G169)</f>
        <v>0</v>
      </c>
      <c r="L172" s="50" t="n">
        <f aca="false">IF('RAW KVMC'!H169="","",'RAW KVMC'!H169)</f>
        <v>0</v>
      </c>
      <c r="M172" s="48" t="str">
        <f aca="false">IF('RAW KVMC'!I169="","",'RAW KVMC'!I169)</f>
        <v/>
      </c>
    </row>
    <row r="173" customFormat="false" ht="15" hidden="false" customHeight="false" outlineLevel="0" collapsed="false">
      <c r="A173" s="1" t="s">
        <v>1317</v>
      </c>
      <c r="B173" s="1" t="s">
        <v>154</v>
      </c>
      <c r="C173" s="1" t="s">
        <v>1145</v>
      </c>
      <c r="D173" s="1" t="n">
        <v>170</v>
      </c>
      <c r="E173" s="48" t="str">
        <f aca="false">IF('RAW KVMC'!A170="","",'RAW KVMC'!A170)</f>
        <v>Community Benefit Program Administration</v>
      </c>
      <c r="F173" s="48" t="str">
        <f aca="false">IF('RAW KVMC'!B170="","",'RAW KVMC'!B170)</f>
        <v>CB Operations</v>
      </c>
      <c r="G173" s="49" t="n">
        <f aca="false">IF('RAW KVMC'!C170="","",'RAW KVMC'!C170)</f>
        <v>45961</v>
      </c>
      <c r="H173" s="48" t="str">
        <f aca="false">IF('RAW KVMC'!D170="","",'RAW KVMC'!D170)</f>
        <v>office coordinator </v>
      </c>
      <c r="I173" s="48" t="n">
        <f aca="false">IF('RAW KVMC'!E170="","",'RAW KVMC'!E170)</f>
        <v>51.25</v>
      </c>
      <c r="J173" s="48" t="n">
        <f aca="false">IF('RAW KVMC'!F170="","",'RAW KVMC'!F170)</f>
        <v>0</v>
      </c>
      <c r="K173" s="50" t="n">
        <f aca="false">IF('RAW KVMC'!G170="","",'RAW KVMC'!G170)</f>
        <v>0</v>
      </c>
      <c r="L173" s="50" t="n">
        <f aca="false">IF('RAW KVMC'!H170="","",'RAW KVMC'!H170)</f>
        <v>0</v>
      </c>
      <c r="M173" s="48" t="str">
        <f aca="false">IF('RAW KVMC'!I170="","",'RAW KVMC'!I170)</f>
        <v/>
      </c>
    </row>
    <row r="174" customFormat="false" ht="15" hidden="false" customHeight="false" outlineLevel="0" collapsed="false">
      <c r="A174" s="1" t="s">
        <v>1318</v>
      </c>
      <c r="B174" s="1" t="s">
        <v>154</v>
      </c>
      <c r="C174" s="1" t="s">
        <v>1145</v>
      </c>
      <c r="D174" s="1" t="n">
        <v>171</v>
      </c>
      <c r="E174" s="48" t="str">
        <f aca="false">IF('RAW KVMC'!A171="","",'RAW KVMC'!A171)</f>
        <v>Community Benefit Program Administration</v>
      </c>
      <c r="F174" s="48" t="str">
        <f aca="false">IF('RAW KVMC'!B171="","",'RAW KVMC'!B171)</f>
        <v>CB Operations</v>
      </c>
      <c r="G174" s="49" t="n">
        <f aca="false">IF('RAW KVMC'!C171="","",'RAW KVMC'!C171)</f>
        <v>45961</v>
      </c>
      <c r="H174" s="48" t="str">
        <f aca="false">IF('RAW KVMC'!D171="","",'RAW KVMC'!D171)</f>
        <v>Community Benefit Mgr</v>
      </c>
      <c r="I174" s="48" t="n">
        <f aca="false">IF('RAW KVMC'!E171="","",'RAW KVMC'!E171)</f>
        <v>97.25</v>
      </c>
      <c r="J174" s="48" t="n">
        <f aca="false">IF('RAW KVMC'!F171="","",'RAW KVMC'!F171)</f>
        <v>0</v>
      </c>
      <c r="K174" s="50" t="n">
        <f aca="false">IF('RAW KVMC'!G171="","",'RAW KVMC'!G171)</f>
        <v>290</v>
      </c>
      <c r="L174" s="50" t="n">
        <f aca="false">IF('RAW KVMC'!H171="","",'RAW KVMC'!H171)</f>
        <v>0</v>
      </c>
      <c r="M174" s="48" t="str">
        <f aca="false">IF('RAW KVMC'!I171="","",'RAW KVMC'!I171)</f>
        <v/>
      </c>
    </row>
    <row r="175" customFormat="false" ht="15" hidden="false" customHeight="false" outlineLevel="0" collapsed="false">
      <c r="A175" s="1" t="s">
        <v>1319</v>
      </c>
      <c r="B175" s="1" t="s">
        <v>154</v>
      </c>
      <c r="C175" s="1" t="s">
        <v>1145</v>
      </c>
      <c r="D175" s="1" t="n">
        <v>172</v>
      </c>
      <c r="E175" s="48" t="str">
        <f aca="false">IF('RAW KVMC'!A172="","",'RAW KVMC'!A172)</f>
        <v>Interpreter Services for Community Clinics</v>
      </c>
      <c r="F175" s="48" t="str">
        <f aca="false">IF('RAW KVMC'!B172="","",'RAW KVMC'!B172)</f>
        <v>Health Care Support Services</v>
      </c>
      <c r="G175" s="49" t="n">
        <f aca="false">IF('RAW KVMC'!C172="","",'RAW KVMC'!C172)</f>
        <v>45961</v>
      </c>
      <c r="H175" s="48" t="str">
        <f aca="false">IF('RAW KVMC'!D172="","",'RAW KVMC'!D172)</f>
        <v>INTERPRETER</v>
      </c>
      <c r="I175" s="48" t="n">
        <f aca="false">IF('RAW KVMC'!E172="","",'RAW KVMC'!E172)</f>
        <v>68.25</v>
      </c>
      <c r="J175" s="48" t="n">
        <f aca="false">IF('RAW KVMC'!F172="","",'RAW KVMC'!F172)</f>
        <v>212</v>
      </c>
      <c r="K175" s="50" t="n">
        <f aca="false">IF('RAW KVMC'!G172="","",'RAW KVMC'!G172)</f>
        <v>0</v>
      </c>
      <c r="L175" s="50" t="n">
        <f aca="false">IF('RAW KVMC'!H172="","",'RAW KVMC'!H172)</f>
        <v>0</v>
      </c>
      <c r="M175" s="48" t="str">
        <f aca="false">IF('RAW KVMC'!I172="","",'RAW KVMC'!I172)</f>
        <v/>
      </c>
    </row>
    <row r="176" customFormat="false" ht="15" hidden="false" customHeight="false" outlineLevel="0" collapsed="false">
      <c r="A176" s="1" t="s">
        <v>1320</v>
      </c>
      <c r="B176" s="1" t="s">
        <v>154</v>
      </c>
      <c r="C176" s="1" t="s">
        <v>1145</v>
      </c>
      <c r="D176" s="1" t="n">
        <v>173</v>
      </c>
      <c r="E176" s="48" t="str">
        <f aca="false">IF('RAW KVMC'!A173="","",'RAW KVMC'!A173)</f>
        <v>Nursing Student Clinical Rotations</v>
      </c>
      <c r="F176" s="48" t="str">
        <f aca="false">IF('RAW KVMC'!B173="","",'RAW KVMC'!B173)</f>
        <v>Health Professions Education</v>
      </c>
      <c r="G176" s="49" t="n">
        <f aca="false">IF('RAW KVMC'!C173="","",'RAW KVMC'!C173)</f>
        <v>45961</v>
      </c>
      <c r="H176" s="48" t="str">
        <f aca="false">IF('RAW KVMC'!D173="","",'RAW KVMC'!D173)</f>
        <v>Preceptor RN</v>
      </c>
      <c r="I176" s="48" t="n">
        <f aca="false">IF('RAW KVMC'!E173="","",'RAW KVMC'!E173)</f>
        <v>150</v>
      </c>
      <c r="J176" s="48" t="n">
        <f aca="false">IF('RAW KVMC'!F173="","",'RAW KVMC'!F173)</f>
        <v>26</v>
      </c>
      <c r="K176" s="50" t="n">
        <f aca="false">IF('RAW KVMC'!G173="","",'RAW KVMC'!G173)</f>
        <v>800</v>
      </c>
      <c r="L176" s="50" t="n">
        <f aca="false">IF('RAW KVMC'!H173="","",'RAW KVMC'!H173)</f>
        <v>0</v>
      </c>
      <c r="M176" s="48" t="str">
        <f aca="false">IF('RAW KVMC'!I173="","",'RAW KVMC'!I173)</f>
        <v/>
      </c>
    </row>
    <row r="177" customFormat="false" ht="15" hidden="false" customHeight="false" outlineLevel="0" collapsed="false">
      <c r="A177" s="1" t="s">
        <v>1321</v>
      </c>
      <c r="B177" s="1" t="s">
        <v>154</v>
      </c>
      <c r="C177" s="1" t="s">
        <v>1145</v>
      </c>
      <c r="D177" s="1" t="n">
        <v>174</v>
      </c>
      <c r="E177" s="48" t="str">
        <f aca="false">IF('RAW KVMC'!A174="","",'RAW KVMC'!A174)</f>
        <v>Nursing Student Clinical Rotations</v>
      </c>
      <c r="F177" s="48" t="str">
        <f aca="false">IF('RAW KVMC'!B174="","",'RAW KVMC'!B174)</f>
        <v>Health Professions Education</v>
      </c>
      <c r="G177" s="49" t="n">
        <f aca="false">IF('RAW KVMC'!C174="","",'RAW KVMC'!C174)</f>
        <v>45961</v>
      </c>
      <c r="H177" s="48" t="str">
        <f aca="false">IF('RAW KVMC'!D174="","",'RAW KVMC'!D174)</f>
        <v>RN II</v>
      </c>
      <c r="I177" s="48" t="n">
        <f aca="false">IF('RAW KVMC'!E174="","",'RAW KVMC'!E174)</f>
        <v>209.25</v>
      </c>
      <c r="J177" s="48" t="n">
        <f aca="false">IF('RAW KVMC'!F174="","",'RAW KVMC'!F174)</f>
        <v>0</v>
      </c>
      <c r="K177" s="50" t="n">
        <f aca="false">IF('RAW KVMC'!G174="","",'RAW KVMC'!G174)</f>
        <v>0</v>
      </c>
      <c r="L177" s="50" t="n">
        <f aca="false">IF('RAW KVMC'!H174="","",'RAW KVMC'!H174)</f>
        <v>0</v>
      </c>
      <c r="M177" s="48" t="str">
        <f aca="false">IF('RAW KVMC'!I174="","",'RAW KVMC'!I174)</f>
        <v/>
      </c>
    </row>
    <row r="178" customFormat="false" ht="15" hidden="false" customHeight="false" outlineLevel="0" collapsed="false">
      <c r="A178" s="1" t="s">
        <v>1322</v>
      </c>
      <c r="B178" s="1" t="s">
        <v>154</v>
      </c>
      <c r="C178" s="1" t="s">
        <v>1145</v>
      </c>
      <c r="D178" s="1" t="n">
        <v>175</v>
      </c>
      <c r="E178" s="48" t="str">
        <f aca="false">IF('RAW KVMC'!A175="","",'RAW KVMC'!A175)</f>
        <v>Family Medicine Residency Program</v>
      </c>
      <c r="F178" s="48" t="str">
        <f aca="false">IF('RAW KVMC'!B175="","",'RAW KVMC'!B175)</f>
        <v>Health Professions Education</v>
      </c>
      <c r="G178" s="49" t="n">
        <f aca="false">IF('RAW KVMC'!C175="","",'RAW KVMC'!C175)</f>
        <v>45961</v>
      </c>
      <c r="H178" s="48" t="str">
        <f aca="false">IF('RAW KVMC'!D175="","",'RAW KVMC'!D175)</f>
        <v> Dr.</v>
      </c>
      <c r="I178" s="48" t="n">
        <f aca="false">IF('RAW KVMC'!E175="","",'RAW KVMC'!E175)</f>
        <v>373.5</v>
      </c>
      <c r="J178" s="48" t="n">
        <f aca="false">IF('RAW KVMC'!F175="","",'RAW KVMC'!F175)</f>
        <v>0</v>
      </c>
      <c r="K178" s="50" t="n">
        <f aca="false">IF('RAW KVMC'!G175="","",'RAW KVMC'!G175)</f>
        <v>38785</v>
      </c>
      <c r="L178" s="50" t="n">
        <f aca="false">IF('RAW KVMC'!H175="","",'RAW KVMC'!H175)</f>
        <v>167285</v>
      </c>
      <c r="M178" s="48" t="str">
        <f aca="false">IF('RAW KVMC'!I175="","",'RAW KVMC'!I175)</f>
        <v/>
      </c>
    </row>
    <row r="179" customFormat="false" ht="15" hidden="false" customHeight="false" outlineLevel="0" collapsed="false">
      <c r="A179" s="1" t="s">
        <v>1323</v>
      </c>
      <c r="B179" s="1" t="s">
        <v>154</v>
      </c>
      <c r="C179" s="1" t="s">
        <v>1145</v>
      </c>
      <c r="D179" s="1" t="n">
        <v>176</v>
      </c>
      <c r="E179" s="48" t="str">
        <f aca="false">IF('RAW KVMC'!A176="","",'RAW KVMC'!A176)</f>
        <v>Family Medicine Residency Program</v>
      </c>
      <c r="F179" s="48" t="str">
        <f aca="false">IF('RAW KVMC'!B176="","",'RAW KVMC'!B176)</f>
        <v>Health Professions Education</v>
      </c>
      <c r="G179" s="49" t="n">
        <f aca="false">IF('RAW KVMC'!C176="","",'RAW KVMC'!C176)</f>
        <v>45961</v>
      </c>
      <c r="H179" s="48" t="str">
        <f aca="false">IF('RAW KVMC'!D176="","",'RAW KVMC'!D176)</f>
        <v> RESIDENCY COORDINATOR</v>
      </c>
      <c r="I179" s="48" t="n">
        <f aca="false">IF('RAW KVMC'!E176="","",'RAW KVMC'!E176)</f>
        <v>163.75</v>
      </c>
      <c r="J179" s="48" t="n">
        <f aca="false">IF('RAW KVMC'!F176="","",'RAW KVMC'!F176)</f>
        <v>0</v>
      </c>
      <c r="K179" s="50" t="n">
        <f aca="false">IF('RAW KVMC'!G176="","",'RAW KVMC'!G176)</f>
        <v>0</v>
      </c>
      <c r="L179" s="50" t="n">
        <f aca="false">IF('RAW KVMC'!H176="","",'RAW KVMC'!H176)</f>
        <v>0</v>
      </c>
      <c r="M179" s="48" t="str">
        <f aca="false">IF('RAW KVMC'!I176="","",'RAW KVMC'!I176)</f>
        <v/>
      </c>
    </row>
    <row r="180" customFormat="false" ht="15" hidden="false" customHeight="false" outlineLevel="0" collapsed="false">
      <c r="A180" s="1" t="s">
        <v>1324</v>
      </c>
      <c r="B180" s="1" t="s">
        <v>154</v>
      </c>
      <c r="C180" s="1" t="s">
        <v>1145</v>
      </c>
      <c r="D180" s="1" t="n">
        <v>177</v>
      </c>
      <c r="E180" s="48" t="str">
        <f aca="false">IF('RAW KVMC'!A177="","",'RAW KVMC'!A177)</f>
        <v>Family Medicine Residency Program</v>
      </c>
      <c r="F180" s="48" t="str">
        <f aca="false">IF('RAW KVMC'!B177="","",'RAW KVMC'!B177)</f>
        <v>Health Professions Education</v>
      </c>
      <c r="G180" s="49" t="n">
        <f aca="false">IF('RAW KVMC'!C177="","",'RAW KVMC'!C177)</f>
        <v>45961</v>
      </c>
      <c r="H180" s="48" t="str">
        <f aca="false">IF('RAW KVMC'!D177="","",'RAW KVMC'!D177)</f>
        <v>Res. Physician</v>
      </c>
      <c r="I180" s="48" t="n">
        <f aca="false">IF('RAW KVMC'!E177="","",'RAW KVMC'!E177)</f>
        <v>4206.75</v>
      </c>
      <c r="J180" s="48" t="n">
        <f aca="false">IF('RAW KVMC'!F177="","",'RAW KVMC'!F177)</f>
        <v>0</v>
      </c>
      <c r="K180" s="50" t="n">
        <f aca="false">IF('RAW KVMC'!G177="","",'RAW KVMC'!G177)</f>
        <v>0</v>
      </c>
      <c r="L180" s="50" t="n">
        <f aca="false">IF('RAW KVMC'!H177="","",'RAW KVMC'!H177)</f>
        <v>0</v>
      </c>
      <c r="M180" s="48" t="str">
        <f aca="false">IF('RAW KVMC'!I177="","",'RAW KVMC'!I177)</f>
        <v/>
      </c>
    </row>
    <row r="181" customFormat="false" ht="15" hidden="false" customHeight="false" outlineLevel="0" collapsed="false">
      <c r="A181" s="1" t="s">
        <v>1325</v>
      </c>
      <c r="B181" s="1" t="s">
        <v>154</v>
      </c>
      <c r="C181" s="1" t="s">
        <v>1145</v>
      </c>
      <c r="D181" s="1" t="n">
        <v>178</v>
      </c>
      <c r="E181" s="48" t="str">
        <f aca="false">IF('RAW KVMC'!A178="","",'RAW KVMC'!A178)</f>
        <v>Pharmacy Student Rotations</v>
      </c>
      <c r="F181" s="48" t="str">
        <f aca="false">IF('RAW KVMC'!B178="","",'RAW KVMC'!B178)</f>
        <v>Health Professions Education</v>
      </c>
      <c r="G181" s="49" t="n">
        <f aca="false">IF('RAW KVMC'!C178="","",'RAW KVMC'!C178)</f>
        <v>45961</v>
      </c>
      <c r="H181" s="48" t="str">
        <f aca="false">IF('RAW KVMC'!D178="","",'RAW KVMC'!D178)</f>
        <v>Pharmacist</v>
      </c>
      <c r="I181" s="48" t="n">
        <f aca="false">IF('RAW KVMC'!E178="","",'RAW KVMC'!E178)</f>
        <v>82.5</v>
      </c>
      <c r="J181" s="48" t="n">
        <f aca="false">IF('RAW KVMC'!F178="","",'RAW KVMC'!F178)</f>
        <v>3</v>
      </c>
      <c r="K181" s="50" t="n">
        <f aca="false">IF('RAW KVMC'!G178="","",'RAW KVMC'!G178)</f>
        <v>190</v>
      </c>
      <c r="L181" s="50" t="n">
        <f aca="false">IF('RAW KVMC'!H178="","",'RAW KVMC'!H178)</f>
        <v>0</v>
      </c>
      <c r="M181" s="48" t="str">
        <f aca="false">IF('RAW KVMC'!I178="","",'RAW KVMC'!I178)</f>
        <v/>
      </c>
    </row>
    <row r="182" customFormat="false" ht="15" hidden="false" customHeight="false" outlineLevel="0" collapsed="false">
      <c r="A182" s="1" t="s">
        <v>1326</v>
      </c>
      <c r="B182" s="1" t="s">
        <v>154</v>
      </c>
      <c r="C182" s="1" t="s">
        <v>1145</v>
      </c>
      <c r="D182" s="1" t="n">
        <v>179</v>
      </c>
      <c r="E182" s="48" t="str">
        <f aca="false">IF('RAW KVMC'!A179="","",'RAW KVMC'!A179)</f>
        <v>Community Hypertension Control Study</v>
      </c>
      <c r="F182" s="48" t="str">
        <f aca="false">IF('RAW KVMC'!B179="","",'RAW KVMC'!B179)</f>
        <v>Research</v>
      </c>
      <c r="G182" s="49" t="n">
        <f aca="false">IF('RAW KVMC'!C179="","",'RAW KVMC'!C179)</f>
        <v>45961</v>
      </c>
      <c r="H182" s="48" t="str">
        <f aca="false">IF('RAW KVMC'!D179="","",'RAW KVMC'!D179)</f>
        <v>Data Analyst</v>
      </c>
      <c r="I182" s="48" t="n">
        <f aca="false">IF('RAW KVMC'!E179="","",'RAW KVMC'!E179)</f>
        <v>50.25</v>
      </c>
      <c r="J182" s="48" t="n">
        <f aca="false">IF('RAW KVMC'!F179="","",'RAW KVMC'!F179)</f>
        <v>0</v>
      </c>
      <c r="K182" s="50" t="n">
        <f aca="false">IF('RAW KVMC'!G179="","",'RAW KVMC'!G179)</f>
        <v>0</v>
      </c>
      <c r="L182" s="50" t="n">
        <f aca="false">IF('RAW KVMC'!H179="","",'RAW KVMC'!H179)</f>
        <v>0</v>
      </c>
      <c r="M182" s="48" t="str">
        <f aca="false">IF('RAW KVMC'!I179="","",'RAW KVMC'!I179)</f>
        <v/>
      </c>
    </row>
    <row r="183" customFormat="false" ht="15" hidden="false" customHeight="false" outlineLevel="0" collapsed="false">
      <c r="A183" s="1" t="s">
        <v>1327</v>
      </c>
      <c r="B183" s="1" t="s">
        <v>154</v>
      </c>
      <c r="C183" s="1" t="s">
        <v>1145</v>
      </c>
      <c r="D183" s="1" t="n">
        <v>180</v>
      </c>
      <c r="E183" s="48" t="str">
        <f aca="false">IF('RAW KVMC'!A180="","",'RAW KVMC'!A180)</f>
        <v>Community Hypertension Control Study</v>
      </c>
      <c r="F183" s="48" t="str">
        <f aca="false">IF('RAW KVMC'!B180="","",'RAW KVMC'!B180)</f>
        <v>Research</v>
      </c>
      <c r="G183" s="49" t="n">
        <f aca="false">IF('RAW KVMC'!C180="","",'RAW KVMC'!C180)</f>
        <v>45961</v>
      </c>
      <c r="H183" s="48" t="str">
        <f aca="false">IF('RAW KVMC'!D180="","",'RAW KVMC'!D180)</f>
        <v>Attending Physician</v>
      </c>
      <c r="I183" s="48" t="n">
        <f aca="false">IF('RAW KVMC'!E180="","",'RAW KVMC'!E180)</f>
        <v>15.25</v>
      </c>
      <c r="J183" s="48" t="n">
        <f aca="false">IF('RAW KVMC'!F180="","",'RAW KVMC'!F180)</f>
        <v>0</v>
      </c>
      <c r="K183" s="50" t="n">
        <f aca="false">IF('RAW KVMC'!G180="","",'RAW KVMC'!G180)</f>
        <v>0</v>
      </c>
      <c r="L183" s="50" t="n">
        <f aca="false">IF('RAW KVMC'!H180="","",'RAW KVMC'!H180)</f>
        <v>0</v>
      </c>
      <c r="M183" s="48" t="str">
        <f aca="false">IF('RAW KVMC'!I180="","",'RAW KVMC'!I180)</f>
        <v/>
      </c>
    </row>
    <row r="184" customFormat="false" ht="15" hidden="false" customHeight="false" outlineLevel="0" collapsed="false">
      <c r="A184" s="1" t="s">
        <v>1328</v>
      </c>
      <c r="B184" s="1" t="s">
        <v>154</v>
      </c>
      <c r="C184" s="1" t="s">
        <v>1145</v>
      </c>
      <c r="D184" s="1" t="n">
        <v>181</v>
      </c>
      <c r="E184" s="48" t="str">
        <f aca="false">IF('RAW KVMC'!A181="","",'RAW KVMC'!A181)</f>
        <v>Community Hypertension Control Study</v>
      </c>
      <c r="F184" s="48" t="str">
        <f aca="false">IF('RAW KVMC'!B181="","",'RAW KVMC'!B181)</f>
        <v>Research</v>
      </c>
      <c r="G184" s="49" t="n">
        <f aca="false">IF('RAW KVMC'!C181="","",'RAW KVMC'!C181)</f>
        <v>45961</v>
      </c>
      <c r="H184" s="48" t="str">
        <f aca="false">IF('RAW KVMC'!D181="","",'RAW KVMC'!D181)</f>
        <v>Research Coordinator</v>
      </c>
      <c r="I184" s="48" t="n">
        <f aca="false">IF('RAW KVMC'!E181="","",'RAW KVMC'!E181)</f>
        <v>196.5</v>
      </c>
      <c r="J184" s="48" t="n">
        <f aca="false">IF('RAW KVMC'!F181="","",'RAW KVMC'!F181)</f>
        <v>103</v>
      </c>
      <c r="K184" s="50" t="n">
        <f aca="false">IF('RAW KVMC'!G181="","",'RAW KVMC'!G181)</f>
        <v>9350</v>
      </c>
      <c r="L184" s="50" t="n">
        <f aca="false">IF('RAW KVMC'!H181="","",'RAW KVMC'!H181)</f>
        <v>10555</v>
      </c>
      <c r="M184" s="48" t="str">
        <f aca="false">IF('RAW KVMC'!I181="","",'RAW KVMC'!I181)</f>
        <v/>
      </c>
    </row>
    <row r="185" customFormat="false" ht="15" hidden="false" customHeight="false" outlineLevel="0" collapsed="false">
      <c r="A185" s="1" t="s">
        <v>1329</v>
      </c>
      <c r="B185" s="1" t="s">
        <v>154</v>
      </c>
      <c r="C185" s="1" t="s">
        <v>1145</v>
      </c>
      <c r="D185" s="1" t="n">
        <v>182</v>
      </c>
      <c r="E185" s="48" t="str">
        <f aca="false">IF('RAW KVMC'!A182="","",'RAW KVMC'!A182)</f>
        <v>Community Blood Pressure Checks</v>
      </c>
      <c r="F185" s="48" t="str">
        <f aca="false">IF('RAW KVMC'!B182="","",'RAW KVMC'!B182)</f>
        <v>Community-Based Clinical Services</v>
      </c>
      <c r="G185" s="49" t="n">
        <f aca="false">IF('RAW KVMC'!C182="","",'RAW KVMC'!C182)</f>
        <v>45972</v>
      </c>
      <c r="H185" s="48" t="str">
        <f aca="false">IF('RAW KVMC'!D182="","",'RAW KVMC'!D182)</f>
        <v>Reg Nurse</v>
      </c>
      <c r="I185" s="48" t="n">
        <f aca="false">IF('RAW KVMC'!E182="","",'RAW KVMC'!E182)</f>
        <v>3.25</v>
      </c>
      <c r="J185" s="48" t="n">
        <f aca="false">IF('RAW KVMC'!F182="","",'RAW KVMC'!F182)</f>
        <v>79</v>
      </c>
      <c r="K185" s="50" t="n">
        <f aca="false">IF('RAW KVMC'!G182="","",'RAW KVMC'!G182)</f>
        <v>45</v>
      </c>
      <c r="L185" s="50" t="n">
        <f aca="false">IF('RAW KVMC'!H182="","",'RAW KVMC'!H182)</f>
        <v>0</v>
      </c>
      <c r="M185" s="48" t="str">
        <f aca="false">IF('RAW KVMC'!I182="","",'RAW KVMC'!I182)</f>
        <v/>
      </c>
    </row>
    <row r="186" customFormat="false" ht="15" hidden="false" customHeight="false" outlineLevel="0" collapsed="false">
      <c r="A186" s="1" t="s">
        <v>1330</v>
      </c>
      <c r="B186" s="1" t="s">
        <v>154</v>
      </c>
      <c r="C186" s="1" t="s">
        <v>1145</v>
      </c>
      <c r="D186" s="1" t="n">
        <v>183</v>
      </c>
      <c r="E186" s="48" t="str">
        <f aca="false">IF('RAW KVMC'!A183="","",'RAW KVMC'!A183)</f>
        <v>Tobacco Cessation Classes</v>
      </c>
      <c r="F186" s="48" t="str">
        <f aca="false">IF('RAW KVMC'!B183="","",'RAW KVMC'!B183)</f>
        <v>Community Health Education</v>
      </c>
      <c r="G186" s="49" t="n">
        <f aca="false">IF('RAW KVMC'!C183="","",'RAW KVMC'!C183)</f>
        <v>45972</v>
      </c>
      <c r="H186" s="48" t="str">
        <f aca="false">IF('RAW KVMC'!D183="","",'RAW KVMC'!D183)</f>
        <v>Physical Therapist</v>
      </c>
      <c r="I186" s="48" t="n">
        <f aca="false">IF('RAW KVMC'!E183="","",'RAW KVMC'!E183)</f>
        <v>2</v>
      </c>
      <c r="J186" s="48" t="n">
        <f aca="false">IF('RAW KVMC'!F183="","",'RAW KVMC'!F183)</f>
        <v>16</v>
      </c>
      <c r="K186" s="50" t="n">
        <f aca="false">IF('RAW KVMC'!G183="","",'RAW KVMC'!G183)</f>
        <v>210</v>
      </c>
      <c r="L186" s="50" t="n">
        <f aca="false">IF('RAW KVMC'!H183="","",'RAW KVMC'!H183)</f>
        <v>0</v>
      </c>
      <c r="M186" s="48" t="str">
        <f aca="false">IF('RAW KVMC'!I183="","",'RAW KVMC'!I183)</f>
        <v/>
      </c>
    </row>
    <row r="187" customFormat="false" ht="15" hidden="false" customHeight="false" outlineLevel="0" collapsed="false">
      <c r="A187" s="1" t="s">
        <v>1331</v>
      </c>
      <c r="B187" s="1" t="s">
        <v>154</v>
      </c>
      <c r="C187" s="1" t="s">
        <v>1145</v>
      </c>
      <c r="D187" s="1" t="n">
        <v>184</v>
      </c>
      <c r="E187" s="48" t="str">
        <f aca="false">IF('RAW KVMC'!A184="","",'RAW KVMC'!A184)</f>
        <v>Childbirth and Newborn Care Classes</v>
      </c>
      <c r="F187" s="48" t="str">
        <f aca="false">IF('RAW KVMC'!B184="","",'RAW KVMC'!B184)</f>
        <v>Community Health Education</v>
      </c>
      <c r="G187" s="49" t="n">
        <f aca="false">IF('RAW KVMC'!C184="","",'RAW KVMC'!C184)</f>
        <v>45976</v>
      </c>
      <c r="H187" s="48" t="str">
        <f aca="false">IF('RAW KVMC'!D184="","",'RAW KVMC'!D184)</f>
        <v>Preceptor RN</v>
      </c>
      <c r="I187" s="48" t="n">
        <f aca="false">IF('RAW KVMC'!E184="","",'RAW KVMC'!E184)</f>
        <v>3.5</v>
      </c>
      <c r="J187" s="48" t="n">
        <f aca="false">IF('RAW KVMC'!F184="","",'RAW KVMC'!F184)</f>
        <v>19</v>
      </c>
      <c r="K187" s="50" t="n">
        <f aca="false">IF('RAW KVMC'!G184="","",'RAW KVMC'!G184)</f>
        <v>95</v>
      </c>
      <c r="L187" s="50" t="n">
        <f aca="false">IF('RAW KVMC'!H184="","",'RAW KVMC'!H184)</f>
        <v>0</v>
      </c>
      <c r="M187" s="48" t="str">
        <f aca="false">IF('RAW KVMC'!I184="","",'RAW KVMC'!I184)</f>
        <v/>
      </c>
    </row>
    <row r="188" customFormat="false" ht="15" hidden="false" customHeight="false" outlineLevel="0" collapsed="false">
      <c r="A188" s="1" t="s">
        <v>1332</v>
      </c>
      <c r="B188" s="1" t="s">
        <v>154</v>
      </c>
      <c r="C188" s="1" t="s">
        <v>1145</v>
      </c>
      <c r="D188" s="1" t="n">
        <v>185</v>
      </c>
      <c r="E188" s="48" t="str">
        <f aca="false">IF('RAW KVMC'!A185="","",'RAW KVMC'!A185)</f>
        <v>In-Kind Medical Supply Donations</v>
      </c>
      <c r="F188" s="48" t="str">
        <f aca="false">IF('RAW KVMC'!B185="","",'RAW KVMC'!B185)</f>
        <v>Cash &amp; In-Kind Donations</v>
      </c>
      <c r="G188" s="49" t="n">
        <f aca="false">IF('RAW KVMC'!C185="","",'RAW KVMC'!C185)</f>
        <v>45977</v>
      </c>
      <c r="H188" s="48" t="str">
        <f aca="false">IF('RAW KVMC'!D185="","",'RAW KVMC'!D185)</f>
        <v>n.a.</v>
      </c>
      <c r="I188" s="48" t="n">
        <f aca="false">IF('RAW KVMC'!E185="","",'RAW KVMC'!E185)</f>
        <v>0</v>
      </c>
      <c r="J188" s="48" t="n">
        <f aca="false">IF('RAW KVMC'!F185="","",'RAW KVMC'!F185)</f>
        <v>0</v>
      </c>
      <c r="K188" s="50" t="n">
        <f aca="false">IF('RAW KVMC'!G185="","",'RAW KVMC'!G185)</f>
        <v>10220</v>
      </c>
      <c r="L188" s="50" t="n">
        <f aca="false">IF('RAW KVMC'!H185="","",'RAW KVMC'!H185)</f>
        <v>0</v>
      </c>
      <c r="M188" s="48" t="str">
        <f aca="false">IF('RAW KVMC'!I185="","",'RAW KVMC'!I185)</f>
        <v/>
      </c>
    </row>
    <row r="189" customFormat="false" ht="15" hidden="false" customHeight="false" outlineLevel="0" collapsed="false">
      <c r="A189" s="1" t="s">
        <v>1333</v>
      </c>
      <c r="B189" s="1" t="s">
        <v>154</v>
      </c>
      <c r="C189" s="1" t="s">
        <v>1145</v>
      </c>
      <c r="D189" s="1" t="n">
        <v>186</v>
      </c>
      <c r="E189" s="48" t="str">
        <f aca="false">IF('RAW KVMC'!A186="","",'RAW KVMC'!A186)</f>
        <v>Grief Support Group</v>
      </c>
      <c r="F189" s="48" t="str">
        <f aca="false">IF('RAW KVMC'!B186="","",'RAW KVMC'!B186)</f>
        <v>Health Care Support Services</v>
      </c>
      <c r="G189" s="49" t="n">
        <f aca="false">IF('RAW KVMC'!C186="","",'RAW KVMC'!C186)</f>
        <v>45980</v>
      </c>
      <c r="H189" s="48" t="str">
        <f aca="false">IF('RAW KVMC'!D186="","",'RAW KVMC'!D186)</f>
        <v>Spiritual Care</v>
      </c>
      <c r="I189" s="48" t="n">
        <f aca="false">IF('RAW KVMC'!E186="","",'RAW KVMC'!E186)</f>
        <v>2.5</v>
      </c>
      <c r="J189" s="48" t="n">
        <f aca="false">IF('RAW KVMC'!F186="","",'RAW KVMC'!F186)</f>
        <v>15</v>
      </c>
      <c r="K189" s="50" t="n">
        <f aca="false">IF('RAW KVMC'!G186="","",'RAW KVMC'!G186)</f>
        <v>35</v>
      </c>
      <c r="L189" s="50" t="n">
        <f aca="false">IF('RAW KVMC'!H186="","",'RAW KVMC'!H186)</f>
        <v>0</v>
      </c>
      <c r="M189" s="48" t="str">
        <f aca="false">IF('RAW KVMC'!I186="","",'RAW KVMC'!I186)</f>
        <v/>
      </c>
    </row>
    <row r="190" customFormat="false" ht="15" hidden="false" customHeight="false" outlineLevel="0" collapsed="false">
      <c r="A190" s="1" t="s">
        <v>1334</v>
      </c>
      <c r="B190" s="1" t="s">
        <v>154</v>
      </c>
      <c r="C190" s="1" t="s">
        <v>1145</v>
      </c>
      <c r="D190" s="1" t="n">
        <v>187</v>
      </c>
      <c r="E190" s="48" t="str">
        <f aca="false">IF('RAW KVMC'!A187="","",'RAW KVMC'!A187)</f>
        <v>Grief Support Group</v>
      </c>
      <c r="F190" s="48" t="str">
        <f aca="false">IF('RAW KVMC'!B187="","",'RAW KVMC'!B187)</f>
        <v>Health Care Support Services</v>
      </c>
      <c r="G190" s="49" t="n">
        <f aca="false">IF('RAW KVMC'!C187="","",'RAW KVMC'!C187)</f>
        <v>45980</v>
      </c>
      <c r="H190" s="48" t="str">
        <f aca="false">IF('RAW KVMC'!D187="","",'RAW KVMC'!D187)</f>
        <v>Social Work</v>
      </c>
      <c r="I190" s="48" t="n">
        <f aca="false">IF('RAW KVMC'!E187="","",'RAW KVMC'!E187)</f>
        <v>1.5</v>
      </c>
      <c r="J190" s="48" t="n">
        <f aca="false">IF('RAW KVMC'!F187="","",'RAW KVMC'!F187)</f>
        <v>0</v>
      </c>
      <c r="K190" s="50" t="n">
        <f aca="false">IF('RAW KVMC'!G187="","",'RAW KVMC'!G187)</f>
        <v>0</v>
      </c>
      <c r="L190" s="50" t="n">
        <f aca="false">IF('RAW KVMC'!H187="","",'RAW KVMC'!H187)</f>
        <v>0</v>
      </c>
      <c r="M190" s="48" t="str">
        <f aca="false">IF('RAW KVMC'!I187="","",'RAW KVMC'!I187)</f>
        <v/>
      </c>
    </row>
    <row r="191" customFormat="false" ht="15" hidden="false" customHeight="false" outlineLevel="0" collapsed="false">
      <c r="A191" s="1" t="s">
        <v>1335</v>
      </c>
      <c r="B191" s="1" t="s">
        <v>154</v>
      </c>
      <c r="C191" s="1" t="s">
        <v>1145</v>
      </c>
      <c r="D191" s="1" t="n">
        <v>188</v>
      </c>
      <c r="E191" s="48" t="str">
        <f aca="false">IF('RAW KVMC'!A188="","",'RAW KVMC'!A188)</f>
        <v>Childbirth and Newborn Care Classes</v>
      </c>
      <c r="F191" s="48" t="str">
        <f aca="false">IF('RAW KVMC'!B188="","",'RAW KVMC'!B188)</f>
        <v>Community Health Education</v>
      </c>
      <c r="G191" s="49" t="n">
        <f aca="false">IF('RAW KVMC'!C188="","",'RAW KVMC'!C188)</f>
        <v>45981</v>
      </c>
      <c r="H191" s="48" t="str">
        <f aca="false">IF('RAW KVMC'!D188="","",'RAW KVMC'!D188)</f>
        <v>RN Educator</v>
      </c>
      <c r="I191" s="48" t="n">
        <f aca="false">IF('RAW KVMC'!E188="","",'RAW KVMC'!E188)</f>
        <v>3.5</v>
      </c>
      <c r="J191" s="48" t="n">
        <f aca="false">IF('RAW KVMC'!F188="","",'RAW KVMC'!F188)</f>
        <v>27</v>
      </c>
      <c r="K191" s="50" t="n">
        <f aca="false">IF('RAW KVMC'!G188="","",'RAW KVMC'!G188)</f>
        <v>115</v>
      </c>
      <c r="L191" s="50" t="n">
        <f aca="false">IF('RAW KVMC'!H188="","",'RAW KVMC'!H188)</f>
        <v>0</v>
      </c>
      <c r="M191" s="48" t="str">
        <f aca="false">IF('RAW KVMC'!I188="","",'RAW KVMC'!I188)</f>
        <v/>
      </c>
    </row>
    <row r="192" customFormat="false" ht="15" hidden="false" customHeight="false" outlineLevel="0" collapsed="false">
      <c r="A192" s="1" t="s">
        <v>1336</v>
      </c>
      <c r="B192" s="1" t="s">
        <v>154</v>
      </c>
      <c r="C192" s="1" t="s">
        <v>1145</v>
      </c>
      <c r="D192" s="1" t="n">
        <v>189</v>
      </c>
      <c r="E192" s="48" t="str">
        <f aca="false">IF('RAW KVMC'!A189="","",'RAW KVMC'!A189)</f>
        <v>Childbirth and Newborn Care Classes</v>
      </c>
      <c r="F192" s="48" t="str">
        <f aca="false">IF('RAW KVMC'!B189="","",'RAW KVMC'!B189)</f>
        <v>Community Health Education</v>
      </c>
      <c r="G192" s="49" t="n">
        <f aca="false">IF('RAW KVMC'!C189="","",'RAW KVMC'!C189)</f>
        <v>45988</v>
      </c>
      <c r="H192" s="48" t="str">
        <f aca="false">IF('RAW KVMC'!D189="","",'RAW KVMC'!D189)</f>
        <v>Preceptor RN</v>
      </c>
      <c r="I192" s="48" t="n">
        <f aca="false">IF('RAW KVMC'!E189="","",'RAW KVMC'!E189)</f>
        <v>3</v>
      </c>
      <c r="J192" s="48" t="n">
        <f aca="false">IF('RAW KVMC'!F189="","",'RAW KVMC'!F189)</f>
        <v>15</v>
      </c>
      <c r="K192" s="50" t="n">
        <f aca="false">IF('RAW KVMC'!G189="","",'RAW KVMC'!G189)</f>
        <v>175</v>
      </c>
      <c r="L192" s="50" t="n">
        <f aca="false">IF('RAW KVMC'!H189="","",'RAW KVMC'!H189)</f>
        <v>300</v>
      </c>
      <c r="M192" s="48" t="str">
        <f aca="false">IF('RAW KVMC'!I189="","",'RAW KVMC'!I189)</f>
        <v/>
      </c>
    </row>
    <row r="193" customFormat="false" ht="15" hidden="false" customHeight="false" outlineLevel="0" collapsed="false">
      <c r="A193" s="1" t="s">
        <v>1337</v>
      </c>
      <c r="B193" s="1" t="s">
        <v>154</v>
      </c>
      <c r="C193" s="1" t="s">
        <v>1145</v>
      </c>
      <c r="D193" s="1" t="n">
        <v>190</v>
      </c>
      <c r="E193" s="48" t="str">
        <f aca="false">IF('RAW KVMC'!A190="","",'RAW KVMC'!A190)</f>
        <v>Mental Health First Aid Training</v>
      </c>
      <c r="F193" s="48" t="str">
        <f aca="false">IF('RAW KVMC'!B190="","",'RAW KVMC'!B190)</f>
        <v>Community Health Education</v>
      </c>
      <c r="G193" s="49" t="n">
        <f aca="false">IF('RAW KVMC'!C190="","",'RAW KVMC'!C190)</f>
        <v>45990</v>
      </c>
      <c r="H193" s="48" t="str">
        <f aca="false">IF('RAW KVMC'!D190="","",'RAW KVMC'!D190)</f>
        <v>CHES</v>
      </c>
      <c r="I193" s="48" t="n">
        <f aca="false">IF('RAW KVMC'!E190="","",'RAW KVMC'!E190)</f>
        <v>8</v>
      </c>
      <c r="J193" s="48" t="n">
        <f aca="false">IF('RAW KVMC'!F190="","",'RAW KVMC'!F190)</f>
        <v>0</v>
      </c>
      <c r="K193" s="50" t="n">
        <f aca="false">IF('RAW KVMC'!G190="","",'RAW KVMC'!G190)</f>
        <v>0</v>
      </c>
      <c r="L193" s="50" t="n">
        <f aca="false">IF('RAW KVMC'!H190="","",'RAW KVMC'!H190)</f>
        <v>0</v>
      </c>
      <c r="M193" s="48" t="str">
        <f aca="false">IF('RAW KVMC'!I190="","",'RAW KVMC'!I190)</f>
        <v/>
      </c>
    </row>
    <row r="194" customFormat="false" ht="15" hidden="false" customHeight="false" outlineLevel="0" collapsed="false">
      <c r="A194" s="1" t="s">
        <v>1338</v>
      </c>
      <c r="B194" s="1" t="s">
        <v>154</v>
      </c>
      <c r="C194" s="1" t="s">
        <v>1145</v>
      </c>
      <c r="D194" s="1" t="n">
        <v>191</v>
      </c>
      <c r="E194" s="48" t="str">
        <f aca="false">IF('RAW KVMC'!A191="","",'RAW KVMC'!A191)</f>
        <v>Mental Health First Aid Training</v>
      </c>
      <c r="F194" s="48" t="str">
        <f aca="false">IF('RAW KVMC'!B191="","",'RAW KVMC'!B191)</f>
        <v>Community Health Education</v>
      </c>
      <c r="G194" s="49" t="n">
        <f aca="false">IF('RAW KVMC'!C191="","",'RAW KVMC'!C191)</f>
        <v>45990</v>
      </c>
      <c r="H194" s="48" t="str">
        <f aca="false">IF('RAW KVMC'!D191="","",'RAW KVMC'!D191)</f>
        <v> Clinical Social Worker</v>
      </c>
      <c r="I194" s="48" t="n">
        <f aca="false">IF('RAW KVMC'!E191="","",'RAW KVMC'!E191)</f>
        <v>8</v>
      </c>
      <c r="J194" s="48" t="n">
        <f aca="false">IF('RAW KVMC'!F191="","",'RAW KVMC'!F191)</f>
        <v>20</v>
      </c>
      <c r="K194" s="50" t="n">
        <f aca="false">IF('RAW KVMC'!G191="","",'RAW KVMC'!G191)</f>
        <v>455</v>
      </c>
      <c r="L194" s="50" t="n">
        <f aca="false">IF('RAW KVMC'!H191="","",'RAW KVMC'!H191)</f>
        <v>0</v>
      </c>
      <c r="M194" s="48" t="str">
        <f aca="false">IF('RAW KVMC'!I191="","",'RAW KVMC'!I191)</f>
        <v/>
      </c>
    </row>
    <row r="195" customFormat="false" ht="15" hidden="false" customHeight="false" outlineLevel="0" collapsed="false">
      <c r="A195" s="1" t="s">
        <v>1339</v>
      </c>
      <c r="B195" s="1" t="s">
        <v>154</v>
      </c>
      <c r="C195" s="1" t="s">
        <v>1145</v>
      </c>
      <c r="D195" s="1" t="n">
        <v>192</v>
      </c>
      <c r="E195" s="48" t="str">
        <f aca="false">IF('RAW KVMC'!A192="","",'RAW KVMC'!A192)</f>
        <v>Grief Support Group</v>
      </c>
      <c r="F195" s="48" t="str">
        <f aca="false">IF('RAW KVMC'!B192="","",'RAW KVMC'!B192)</f>
        <v>Health Care Support Services</v>
      </c>
      <c r="G195" s="49" t="n">
        <f aca="false">IF('RAW KVMC'!C192="","",'RAW KVMC'!C192)</f>
        <v>45990</v>
      </c>
      <c r="H195" s="48" t="str">
        <f aca="false">IF('RAW KVMC'!D192="","",'RAW KVMC'!D192)</f>
        <v>Chaplain Resident</v>
      </c>
      <c r="I195" s="48" t="n">
        <f aca="false">IF('RAW KVMC'!E192="","",'RAW KVMC'!E192)</f>
        <v>2.25</v>
      </c>
      <c r="J195" s="48" t="n">
        <f aca="false">IF('RAW KVMC'!F192="","",'RAW KVMC'!F192)</f>
        <v>13</v>
      </c>
      <c r="K195" s="50" t="n">
        <f aca="false">IF('RAW KVMC'!G192="","",'RAW KVMC'!G192)</f>
        <v>35</v>
      </c>
      <c r="L195" s="50" t="n">
        <f aca="false">IF('RAW KVMC'!H192="","",'RAW KVMC'!H192)</f>
        <v>0</v>
      </c>
      <c r="M195" s="48" t="str">
        <f aca="false">IF('RAW KVMC'!I192="","",'RAW KVMC'!I192)</f>
        <v/>
      </c>
    </row>
    <row r="196" customFormat="false" ht="15" hidden="false" customHeight="false" outlineLevel="0" collapsed="false">
      <c r="A196" s="1" t="s">
        <v>1340</v>
      </c>
      <c r="B196" s="1" t="s">
        <v>154</v>
      </c>
      <c r="C196" s="1" t="s">
        <v>1145</v>
      </c>
      <c r="D196" s="1" t="n">
        <v>193</v>
      </c>
      <c r="E196" s="48" t="str">
        <f aca="false">IF('RAW KVMC'!A193="","",'RAW KVMC'!A193)</f>
        <v>Grief Support Group</v>
      </c>
      <c r="F196" s="48" t="str">
        <f aca="false">IF('RAW KVMC'!B193="","",'RAW KVMC'!B193)</f>
        <v>Health Care Support Services</v>
      </c>
      <c r="G196" s="49" t="n">
        <f aca="false">IF('RAW KVMC'!C193="","",'RAW KVMC'!C193)</f>
        <v>45990</v>
      </c>
      <c r="H196" s="48" t="str">
        <f aca="false">IF('RAW KVMC'!D193="","",'RAW KVMC'!D193)</f>
        <v>Chaplain</v>
      </c>
      <c r="I196" s="48" t="n">
        <f aca="false">IF('RAW KVMC'!E193="","",'RAW KVMC'!E193)</f>
        <v>2.5</v>
      </c>
      <c r="J196" s="48" t="n">
        <f aca="false">IF('RAW KVMC'!F193="","",'RAW KVMC'!F193)</f>
        <v>12</v>
      </c>
      <c r="K196" s="50" t="n">
        <f aca="false">IF('RAW KVMC'!G193="","",'RAW KVMC'!G193)</f>
        <v>25</v>
      </c>
      <c r="L196" s="50" t="n">
        <f aca="false">IF('RAW KVMC'!H193="","",'RAW KVMC'!H193)</f>
        <v>0</v>
      </c>
      <c r="M196" s="48" t="str">
        <f aca="false">IF('RAW KVMC'!I193="","",'RAW KVMC'!I193)</f>
        <v/>
      </c>
    </row>
    <row r="197" customFormat="false" ht="15" hidden="false" customHeight="false" outlineLevel="0" collapsed="false">
      <c r="A197" s="1" t="s">
        <v>1341</v>
      </c>
      <c r="B197" s="1" t="s">
        <v>154</v>
      </c>
      <c r="C197" s="1" t="s">
        <v>1145</v>
      </c>
      <c r="D197" s="1" t="n">
        <v>194</v>
      </c>
      <c r="E197" s="48" t="str">
        <f aca="false">IF('RAW KVMC'!A194="","",'RAW KVMC'!A194)</f>
        <v>Grief Support Group</v>
      </c>
      <c r="F197" s="48" t="str">
        <f aca="false">IF('RAW KVMC'!B194="","",'RAW KVMC'!B194)</f>
        <v>Health Care Support Services</v>
      </c>
      <c r="G197" s="49" t="n">
        <f aca="false">IF('RAW KVMC'!C194="","",'RAW KVMC'!C194)</f>
        <v>45990</v>
      </c>
      <c r="H197" s="48" t="str">
        <f aca="false">IF('RAW KVMC'!D194="","",'RAW KVMC'!D194)</f>
        <v>LMSW</v>
      </c>
      <c r="I197" s="48" t="n">
        <f aca="false">IF('RAW KVMC'!E194="","",'RAW KVMC'!E194)</f>
        <v>1.5</v>
      </c>
      <c r="J197" s="48" t="n">
        <f aca="false">IF('RAW KVMC'!F194="","",'RAW KVMC'!F194)</f>
        <v>0</v>
      </c>
      <c r="K197" s="50" t="n">
        <f aca="false">IF('RAW KVMC'!G194="","",'RAW KVMC'!G194)</f>
        <v>0</v>
      </c>
      <c r="L197" s="50" t="n">
        <f aca="false">IF('RAW KVMC'!H194="","",'RAW KVMC'!H194)</f>
        <v>0</v>
      </c>
      <c r="M197" s="48" t="str">
        <f aca="false">IF('RAW KVMC'!I194="","",'RAW KVMC'!I194)</f>
        <v/>
      </c>
    </row>
    <row r="198" customFormat="false" ht="15" hidden="false" customHeight="false" outlineLevel="0" collapsed="false">
      <c r="A198" s="1" t="s">
        <v>1342</v>
      </c>
      <c r="B198" s="1" t="s">
        <v>154</v>
      </c>
      <c r="C198" s="1" t="s">
        <v>1145</v>
      </c>
      <c r="D198" s="1" t="n">
        <v>195</v>
      </c>
      <c r="E198" s="48" t="str">
        <f aca="false">IF('RAW KVMC'!A195="","",'RAW KVMC'!A195)</f>
        <v>Grief Support Group</v>
      </c>
      <c r="F198" s="48" t="str">
        <f aca="false">IF('RAW KVMC'!B195="","",'RAW KVMC'!B195)</f>
        <v>Health Care Support Services</v>
      </c>
      <c r="G198" s="49" t="n">
        <f aca="false">IF('RAW KVMC'!C195="","",'RAW KVMC'!C195)</f>
        <v>45990</v>
      </c>
      <c r="H198" s="48" t="str">
        <f aca="false">IF('RAW KVMC'!D195="","",'RAW KVMC'!D195)</f>
        <v>MSW</v>
      </c>
      <c r="I198" s="48" t="n">
        <f aca="false">IF('RAW KVMC'!E195="","",'RAW KVMC'!E195)</f>
        <v>1.75</v>
      </c>
      <c r="J198" s="48" t="n">
        <f aca="false">IF('RAW KVMC'!F195="","",'RAW KVMC'!F195)</f>
        <v>0</v>
      </c>
      <c r="K198" s="50" t="n">
        <f aca="false">IF('RAW KVMC'!G195="","",'RAW KVMC'!G195)</f>
        <v>0</v>
      </c>
      <c r="L198" s="50" t="n">
        <f aca="false">IF('RAW KVMC'!H195="","",'RAW KVMC'!H195)</f>
        <v>0</v>
      </c>
      <c r="M198" s="48" t="str">
        <f aca="false">IF('RAW KVMC'!I195="","",'RAW KVMC'!I195)</f>
        <v/>
      </c>
    </row>
    <row r="199" customFormat="false" ht="15" hidden="false" customHeight="false" outlineLevel="0" collapsed="false">
      <c r="A199" s="1" t="s">
        <v>1343</v>
      </c>
      <c r="B199" s="1" t="s">
        <v>154</v>
      </c>
      <c r="C199" s="1" t="s">
        <v>1145</v>
      </c>
      <c r="D199" s="1" t="n">
        <v>196</v>
      </c>
      <c r="E199" s="48" t="str">
        <f aca="false">IF('RAW KVMC'!A196="","",'RAW KVMC'!A196)</f>
        <v>Mobile Health Screening Unit</v>
      </c>
      <c r="F199" s="48" t="str">
        <f aca="false">IF('RAW KVMC'!B196="","",'RAW KVMC'!B196)</f>
        <v>Community-Based Clinical Services</v>
      </c>
      <c r="G199" s="49" t="n">
        <f aca="false">IF('RAW KVMC'!C196="","",'RAW KVMC'!C196)</f>
        <v>45991</v>
      </c>
      <c r="H199" s="48" t="str">
        <f aca="false">IF('RAW KVMC'!D196="","",'RAW KVMC'!D196)</f>
        <v>Promotora</v>
      </c>
      <c r="I199" s="48" t="n">
        <f aca="false">IF('RAW KVMC'!E196="","",'RAW KVMC'!E196)</f>
        <v>92.25</v>
      </c>
      <c r="J199" s="48" t="n">
        <f aca="false">IF('RAW KVMC'!F196="","",'RAW KVMC'!F196)</f>
        <v>0</v>
      </c>
      <c r="K199" s="50" t="n">
        <f aca="false">IF('RAW KVMC'!G196="","",'RAW KVMC'!G196)</f>
        <v>0</v>
      </c>
      <c r="L199" s="50" t="n">
        <f aca="false">IF('RAW KVMC'!H196="","",'RAW KVMC'!H196)</f>
        <v>0</v>
      </c>
      <c r="M199" s="48" t="str">
        <f aca="false">IF('RAW KVMC'!I196="","",'RAW KVMC'!I196)</f>
        <v/>
      </c>
    </row>
    <row r="200" customFormat="false" ht="15" hidden="false" customHeight="false" outlineLevel="0" collapsed="false">
      <c r="A200" s="1" t="s">
        <v>1344</v>
      </c>
      <c r="B200" s="1" t="s">
        <v>154</v>
      </c>
      <c r="C200" s="1" t="s">
        <v>1145</v>
      </c>
      <c r="D200" s="1" t="n">
        <v>197</v>
      </c>
      <c r="E200" s="48" t="str">
        <f aca="false">IF('RAW KVMC'!A197="","",'RAW KVMC'!A197)</f>
        <v>Mobile Health Screening Unit</v>
      </c>
      <c r="F200" s="48" t="str">
        <f aca="false">IF('RAW KVMC'!B197="","",'RAW KVMC'!B197)</f>
        <v>Community-Based Clinical Services</v>
      </c>
      <c r="G200" s="49" t="n">
        <f aca="false">IF('RAW KVMC'!C197="","",'RAW KVMC'!C197)</f>
        <v>45991</v>
      </c>
      <c r="H200" s="48" t="str">
        <f aca="false">IF('RAW KVMC'!D197="","",'RAW KVMC'!D197)</f>
        <v>CMA</v>
      </c>
      <c r="I200" s="48" t="n">
        <f aca="false">IF('RAW KVMC'!E197="","",'RAW KVMC'!E197)</f>
        <v>99</v>
      </c>
      <c r="J200" s="48" t="n">
        <f aca="false">IF('RAW KVMC'!F197="","",'RAW KVMC'!F197)</f>
        <v>0</v>
      </c>
      <c r="K200" s="50" t="n">
        <f aca="false">IF('RAW KVMC'!G197="","",'RAW KVMC'!G197)</f>
        <v>0</v>
      </c>
      <c r="L200" s="50" t="n">
        <f aca="false">IF('RAW KVMC'!H197="","",'RAW KVMC'!H197)</f>
        <v>0</v>
      </c>
      <c r="M200" s="48" t="str">
        <f aca="false">IF('RAW KVMC'!I197="","",'RAW KVMC'!I197)</f>
        <v/>
      </c>
    </row>
    <row r="201" customFormat="false" ht="15" hidden="false" customHeight="false" outlineLevel="0" collapsed="false">
      <c r="A201" s="1" t="s">
        <v>1345</v>
      </c>
      <c r="B201" s="1" t="s">
        <v>154</v>
      </c>
      <c r="C201" s="1" t="s">
        <v>1145</v>
      </c>
      <c r="D201" s="1" t="n">
        <v>198</v>
      </c>
      <c r="E201" s="48" t="str">
        <f aca="false">IF('RAW KVMC'!A198="","",'RAW KVMC'!A198)</f>
        <v>Mobile Health Screening Unit</v>
      </c>
      <c r="F201" s="48" t="str">
        <f aca="false">IF('RAW KVMC'!B198="","",'RAW KVMC'!B198)</f>
        <v>Community-Based Clinical Services</v>
      </c>
      <c r="G201" s="49" t="n">
        <f aca="false">IF('RAW KVMC'!C198="","",'RAW KVMC'!C198)</f>
        <v>45991</v>
      </c>
      <c r="H201" s="48" t="str">
        <f aca="false">IF('RAW KVMC'!D198="","",'RAW KVMC'!D198)</f>
        <v>Reg Nurse</v>
      </c>
      <c r="I201" s="48" t="n">
        <f aca="false">IF('RAW KVMC'!E198="","",'RAW KVMC'!E198)</f>
        <v>133</v>
      </c>
      <c r="J201" s="48" t="n">
        <f aca="false">IF('RAW KVMC'!F198="","",'RAW KVMC'!F198)</f>
        <v>332</v>
      </c>
      <c r="K201" s="50" t="n">
        <f aca="false">IF('RAW KVMC'!G198="","",'RAW KVMC'!G198)</f>
        <v>10005</v>
      </c>
      <c r="L201" s="50" t="n">
        <f aca="false">IF('RAW KVMC'!H198="","",'RAW KVMC'!H198)</f>
        <v>0</v>
      </c>
      <c r="M201" s="48" t="str">
        <f aca="false">IF('RAW KVMC'!I198="","",'RAW KVMC'!I198)</f>
        <v/>
      </c>
    </row>
    <row r="202" customFormat="false" ht="15" hidden="false" customHeight="false" outlineLevel="0" collapsed="false">
      <c r="A202" s="1" t="s">
        <v>1346</v>
      </c>
      <c r="B202" s="1" t="s">
        <v>154</v>
      </c>
      <c r="C202" s="1" t="s">
        <v>1145</v>
      </c>
      <c r="D202" s="1" t="n">
        <v>199</v>
      </c>
      <c r="E202" s="48" t="str">
        <f aca="false">IF('RAW KVMC'!A199="","",'RAW KVMC'!A199)</f>
        <v>Free Clinic Provider Staffing</v>
      </c>
      <c r="F202" s="48" t="str">
        <f aca="false">IF('RAW KVMC'!B199="","",'RAW KVMC'!B199)</f>
        <v>Community-Based Clinical Services</v>
      </c>
      <c r="G202" s="49" t="n">
        <f aca="false">IF('RAW KVMC'!C199="","",'RAW KVMC'!C199)</f>
        <v>45991</v>
      </c>
      <c r="H202" s="48" t="str">
        <f aca="false">IF('RAW KVMC'!D199="","",'RAW KVMC'!D199)</f>
        <v>FNP</v>
      </c>
      <c r="I202" s="48" t="n">
        <f aca="false">IF('RAW KVMC'!E199="","",'RAW KVMC'!E199)</f>
        <v>59.5</v>
      </c>
      <c r="J202" s="48" t="n">
        <f aca="false">IF('RAW KVMC'!F199="","",'RAW KVMC'!F199)</f>
        <v>391</v>
      </c>
      <c r="K202" s="50" t="n">
        <f aca="false">IF('RAW KVMC'!G199="","",'RAW KVMC'!G199)</f>
        <v>4965</v>
      </c>
      <c r="L202" s="50" t="n">
        <f aca="false">IF('RAW KVMC'!H199="","",'RAW KVMC'!H199)</f>
        <v>0</v>
      </c>
      <c r="M202" s="48" t="str">
        <f aca="false">IF('RAW KVMC'!I199="","",'RAW KVMC'!I199)</f>
        <v/>
      </c>
    </row>
    <row r="203" customFormat="false" ht="15" hidden="false" customHeight="false" outlineLevel="0" collapsed="false">
      <c r="A203" s="1" t="s">
        <v>1347</v>
      </c>
      <c r="B203" s="1" t="s">
        <v>154</v>
      </c>
      <c r="C203" s="1" t="s">
        <v>1145</v>
      </c>
      <c r="D203" s="1" t="n">
        <v>200</v>
      </c>
      <c r="E203" s="48" t="str">
        <f aca="false">IF('RAW KVMC'!A200="","",'RAW KVMC'!A200)</f>
        <v>Free Clinic Provider Staffing</v>
      </c>
      <c r="F203" s="48" t="str">
        <f aca="false">IF('RAW KVMC'!B200="","",'RAW KVMC'!B200)</f>
        <v>Community-Based Clinical Services</v>
      </c>
      <c r="G203" s="49" t="n">
        <f aca="false">IF('RAW KVMC'!C200="","",'RAW KVMC'!C200)</f>
        <v>45991</v>
      </c>
      <c r="H203" s="48" t="str">
        <f aca="false">IF('RAW KVMC'!D200="","",'RAW KVMC'!D200)</f>
        <v>Staff Pharmacist</v>
      </c>
      <c r="I203" s="48" t="n">
        <f aca="false">IF('RAW KVMC'!E200="","",'RAW KVMC'!E200)</f>
        <v>21.5</v>
      </c>
      <c r="J203" s="48" t="n">
        <f aca="false">IF('RAW KVMC'!F200="","",'RAW KVMC'!F200)</f>
        <v>0</v>
      </c>
      <c r="K203" s="50" t="n">
        <f aca="false">IF('RAW KVMC'!G200="","",'RAW KVMC'!G200)</f>
        <v>0</v>
      </c>
      <c r="L203" s="50" t="n">
        <f aca="false">IF('RAW KVMC'!H200="","",'RAW KVMC'!H200)</f>
        <v>0</v>
      </c>
      <c r="M203" s="48" t="str">
        <f aca="false">IF('RAW KVMC'!I200="","",'RAW KVMC'!I200)</f>
        <v/>
      </c>
    </row>
    <row r="204" customFormat="false" ht="15" hidden="false" customHeight="false" outlineLevel="0" collapsed="false">
      <c r="A204" s="1" t="s">
        <v>1348</v>
      </c>
      <c r="B204" s="1" t="s">
        <v>154</v>
      </c>
      <c r="C204" s="1" t="s">
        <v>1145</v>
      </c>
      <c r="D204" s="1" t="n">
        <v>201</v>
      </c>
      <c r="E204" s="48" t="str">
        <f aca="false">IF('RAW KVMC'!A201="","",'RAW KVMC'!A201)</f>
        <v>Free Clinic Provider Staffing</v>
      </c>
      <c r="F204" s="48" t="str">
        <f aca="false">IF('RAW KVMC'!B201="","",'RAW KVMC'!B201)</f>
        <v>Community-Based Clinical Services</v>
      </c>
      <c r="G204" s="49" t="n">
        <f aca="false">IF('RAW KVMC'!C201="","",'RAW KVMC'!C201)</f>
        <v>45991</v>
      </c>
      <c r="H204" s="48" t="str">
        <f aca="false">IF('RAW KVMC'!D201="","",'RAW KVMC'!D201)</f>
        <v>RN III </v>
      </c>
      <c r="I204" s="48" t="n">
        <f aca="false">IF('RAW KVMC'!E201="","",'RAW KVMC'!E201)</f>
        <v>45</v>
      </c>
      <c r="J204" s="48" t="n">
        <f aca="false">IF('RAW KVMC'!F201="","",'RAW KVMC'!F201)</f>
        <v>0</v>
      </c>
      <c r="K204" s="50" t="n">
        <f aca="false">IF('RAW KVMC'!G201="","",'RAW KVMC'!G201)</f>
        <v>0</v>
      </c>
      <c r="L204" s="50" t="n">
        <f aca="false">IF('RAW KVMC'!H201="","",'RAW KVMC'!H201)</f>
        <v>0</v>
      </c>
      <c r="M204" s="48" t="str">
        <f aca="false">IF('RAW KVMC'!I201="","",'RAW KVMC'!I201)</f>
        <v/>
      </c>
    </row>
    <row r="205" customFormat="false" ht="15" hidden="false" customHeight="false" outlineLevel="0" collapsed="false">
      <c r="A205" s="1" t="s">
        <v>1349</v>
      </c>
      <c r="B205" s="1" t="s">
        <v>154</v>
      </c>
      <c r="C205" s="1" t="s">
        <v>1145</v>
      </c>
      <c r="D205" s="1" t="n">
        <v>202</v>
      </c>
      <c r="E205" s="48" t="str">
        <f aca="false">IF('RAW KVMC'!A202="","",'RAW KVMC'!A202)</f>
        <v>Community Health Worker Outreach</v>
      </c>
      <c r="F205" s="48" t="str">
        <f aca="false">IF('RAW KVMC'!B202="","",'RAW KVMC'!B202)</f>
        <v>Health Care Support Services</v>
      </c>
      <c r="G205" s="49" t="n">
        <f aca="false">IF('RAW KVMC'!C202="","",'RAW KVMC'!C202)</f>
        <v>45991</v>
      </c>
      <c r="H205" s="48" t="str">
        <f aca="false">IF('RAW KVMC'!D202="","",'RAW KVMC'!D202)</f>
        <v>Promotora</v>
      </c>
      <c r="I205" s="48" t="n">
        <f aca="false">IF('RAW KVMC'!E202="","",'RAW KVMC'!E202)</f>
        <v>376.5</v>
      </c>
      <c r="J205" s="48" t="n">
        <f aca="false">IF('RAW KVMC'!F202="","",'RAW KVMC'!F202)</f>
        <v>423</v>
      </c>
      <c r="K205" s="50" t="n">
        <f aca="false">IF('RAW KVMC'!G202="","",'RAW KVMC'!G202)</f>
        <v>1995</v>
      </c>
      <c r="L205" s="50" t="n">
        <f aca="false">IF('RAW KVMC'!H202="","",'RAW KVMC'!H202)</f>
        <v>0</v>
      </c>
      <c r="M205" s="48" t="str">
        <f aca="false">IF('RAW KVMC'!I202="","",'RAW KVMC'!I202)</f>
        <v/>
      </c>
    </row>
    <row r="206" customFormat="false" ht="15" hidden="false" customHeight="false" outlineLevel="0" collapsed="false">
      <c r="A206" s="1" t="s">
        <v>1350</v>
      </c>
      <c r="B206" s="1" t="s">
        <v>154</v>
      </c>
      <c r="C206" s="1" t="s">
        <v>1145</v>
      </c>
      <c r="D206" s="1" t="n">
        <v>203</v>
      </c>
      <c r="E206" s="48" t="str">
        <f aca="false">IF('RAW KVMC'!A203="","",'RAW KVMC'!A203)</f>
        <v>Community Health Worker Outreach</v>
      </c>
      <c r="F206" s="48" t="str">
        <f aca="false">IF('RAW KVMC'!B203="","",'RAW KVMC'!B203)</f>
        <v>Health Care Support Services</v>
      </c>
      <c r="G206" s="49" t="n">
        <f aca="false">IF('RAW KVMC'!C203="","",'RAW KVMC'!C203)</f>
        <v>45991</v>
      </c>
      <c r="H206" s="48" t="str">
        <f aca="false">IF('RAW KVMC'!D203="","",'RAW KVMC'!D203)</f>
        <v>Patient Navigator</v>
      </c>
      <c r="I206" s="48" t="n">
        <f aca="false">IF('RAW KVMC'!E203="","",'RAW KVMC'!E203)</f>
        <v>202</v>
      </c>
      <c r="J206" s="48" t="n">
        <f aca="false">IF('RAW KVMC'!F203="","",'RAW KVMC'!F203)</f>
        <v>0</v>
      </c>
      <c r="K206" s="50" t="n">
        <f aca="false">IF('RAW KVMC'!G203="","",'RAW KVMC'!G203)</f>
        <v>0</v>
      </c>
      <c r="L206" s="50" t="n">
        <f aca="false">IF('RAW KVMC'!H203="","",'RAW KVMC'!H203)</f>
        <v>0</v>
      </c>
      <c r="M206" s="48" t="str">
        <f aca="false">IF('RAW KVMC'!I203="","",'RAW KVMC'!I203)</f>
        <v/>
      </c>
    </row>
    <row r="207" customFormat="false" ht="15" hidden="false" customHeight="false" outlineLevel="0" collapsed="false">
      <c r="A207" s="1" t="s">
        <v>1351</v>
      </c>
      <c r="B207" s="1" t="s">
        <v>154</v>
      </c>
      <c r="C207" s="1" t="s">
        <v>1145</v>
      </c>
      <c r="D207" s="1" t="n">
        <v>204</v>
      </c>
      <c r="E207" s="48" t="str">
        <f aca="false">IF('RAW KVMC'!A204="","",'RAW KVMC'!A204)</f>
        <v>Medication Assistance Program</v>
      </c>
      <c r="F207" s="48" t="str">
        <f aca="false">IF('RAW KVMC'!B204="","",'RAW KVMC'!B204)</f>
        <v>Health Care Support Services</v>
      </c>
      <c r="G207" s="49" t="n">
        <f aca="false">IF('RAW KVMC'!C204="","",'RAW KVMC'!C204)</f>
        <v>45991</v>
      </c>
      <c r="H207" s="48" t="str">
        <f aca="false">IF('RAW KVMC'!D204="","",'RAW KVMC'!D204)</f>
        <v>Patient Navigator </v>
      </c>
      <c r="I207" s="48" t="n">
        <f aca="false">IF('RAW KVMC'!E204="","",'RAW KVMC'!E204)</f>
        <v>78</v>
      </c>
      <c r="J207" s="48" t="n">
        <f aca="false">IF('RAW KVMC'!F204="","",'RAW KVMC'!F204)</f>
        <v>0</v>
      </c>
      <c r="K207" s="50" t="n">
        <f aca="false">IF('RAW KVMC'!G204="","",'RAW KVMC'!G204)</f>
        <v>0</v>
      </c>
      <c r="L207" s="50" t="n">
        <f aca="false">IF('RAW KVMC'!H204="","",'RAW KVMC'!H204)</f>
        <v>0</v>
      </c>
      <c r="M207" s="48" t="str">
        <f aca="false">IF('RAW KVMC'!I204="","",'RAW KVMC'!I204)</f>
        <v/>
      </c>
    </row>
    <row r="208" customFormat="false" ht="15" hidden="false" customHeight="false" outlineLevel="0" collapsed="false">
      <c r="A208" s="1" t="s">
        <v>1352</v>
      </c>
      <c r="B208" s="1" t="s">
        <v>154</v>
      </c>
      <c r="C208" s="1" t="s">
        <v>1145</v>
      </c>
      <c r="D208" s="1" t="n">
        <v>205</v>
      </c>
      <c r="E208" s="48" t="str">
        <f aca="false">IF('RAW KVMC'!A205="","",'RAW KVMC'!A205)</f>
        <v>Medication Assistance Program</v>
      </c>
      <c r="F208" s="48" t="str">
        <f aca="false">IF('RAW KVMC'!B205="","",'RAW KVMC'!B205)</f>
        <v>Health Care Support Services</v>
      </c>
      <c r="G208" s="49" t="n">
        <f aca="false">IF('RAW KVMC'!C205="","",'RAW KVMC'!C205)</f>
        <v>45991</v>
      </c>
      <c r="H208" s="48" t="str">
        <f aca="false">IF('RAW KVMC'!D205="","",'RAW KVMC'!D205)</f>
        <v>PharmD</v>
      </c>
      <c r="I208" s="48" t="n">
        <f aca="false">IF('RAW KVMC'!E205="","",'RAW KVMC'!E205)</f>
        <v>25.25</v>
      </c>
      <c r="J208" s="48" t="n">
        <f aca="false">IF('RAW KVMC'!F205="","",'RAW KVMC'!F205)</f>
        <v>100</v>
      </c>
      <c r="K208" s="50" t="n">
        <f aca="false">IF('RAW KVMC'!G205="","",'RAW KVMC'!G205)</f>
        <v>20340</v>
      </c>
      <c r="L208" s="50" t="n">
        <f aca="false">IF('RAW KVMC'!H205="","",'RAW KVMC'!H205)</f>
        <v>0</v>
      </c>
      <c r="M208" s="48" t="str">
        <f aca="false">IF('RAW KVMC'!I205="","",'RAW KVMC'!I205)</f>
        <v/>
      </c>
    </row>
    <row r="209" customFormat="false" ht="15" hidden="false" customHeight="false" outlineLevel="0" collapsed="false">
      <c r="A209" s="1" t="s">
        <v>1353</v>
      </c>
      <c r="B209" s="1" t="s">
        <v>154</v>
      </c>
      <c r="C209" s="1" t="s">
        <v>1145</v>
      </c>
      <c r="D209" s="1" t="n">
        <v>206</v>
      </c>
      <c r="E209" s="48" t="str">
        <f aca="false">IF('RAW KVMC'!A206="","",'RAW KVMC'!A206)</f>
        <v>Community Health Needs Assessment</v>
      </c>
      <c r="F209" s="48" t="str">
        <f aca="false">IF('RAW KVMC'!B206="","",'RAW KVMC'!B206)</f>
        <v>CB Operations</v>
      </c>
      <c r="G209" s="49" t="n">
        <f aca="false">IF('RAW KVMC'!C206="","",'RAW KVMC'!C206)</f>
        <v>45991</v>
      </c>
      <c r="H209" s="48" t="str">
        <f aca="false">IF('RAW KVMC'!D206="","",'RAW KVMC'!D206)</f>
        <v>Community Benefit Manager</v>
      </c>
      <c r="I209" s="48" t="n">
        <f aca="false">IF('RAW KVMC'!E206="","",'RAW KVMC'!E206)</f>
        <v>32.5</v>
      </c>
      <c r="J209" s="48" t="n">
        <f aca="false">IF('RAW KVMC'!F206="","",'RAW KVMC'!F206)</f>
        <v>0</v>
      </c>
      <c r="K209" s="50" t="n">
        <f aca="false">IF('RAW KVMC'!G206="","",'RAW KVMC'!G206)</f>
        <v>2485</v>
      </c>
      <c r="L209" s="50" t="n">
        <f aca="false">IF('RAW KVMC'!H206="","",'RAW KVMC'!H206)</f>
        <v>0</v>
      </c>
      <c r="M209" s="48" t="str">
        <f aca="false">IF('RAW KVMC'!I206="","",'RAW KVMC'!I206)</f>
        <v/>
      </c>
    </row>
    <row r="210" customFormat="false" ht="15" hidden="false" customHeight="false" outlineLevel="0" collapsed="false">
      <c r="A210" s="1" t="s">
        <v>1354</v>
      </c>
      <c r="B210" s="1" t="s">
        <v>154</v>
      </c>
      <c r="C210" s="1" t="s">
        <v>1145</v>
      </c>
      <c r="D210" s="1" t="n">
        <v>207</v>
      </c>
      <c r="E210" s="48" t="str">
        <f aca="false">IF('RAW KVMC'!A207="","",'RAW KVMC'!A207)</f>
        <v>Community Health Needs Assessment</v>
      </c>
      <c r="F210" s="48" t="str">
        <f aca="false">IF('RAW KVMC'!B207="","",'RAW KVMC'!B207)</f>
        <v>CB Operations</v>
      </c>
      <c r="G210" s="49" t="n">
        <f aca="false">IF('RAW KVMC'!C207="","",'RAW KVMC'!C207)</f>
        <v>45991</v>
      </c>
      <c r="H210" s="48" t="str">
        <f aca="false">IF('RAW KVMC'!D207="","",'RAW KVMC'!D207)</f>
        <v>Data Analyst</v>
      </c>
      <c r="I210" s="48" t="n">
        <f aca="false">IF('RAW KVMC'!E207="","",'RAW KVMC'!E207)</f>
        <v>25.25</v>
      </c>
      <c r="J210" s="48" t="n">
        <f aca="false">IF('RAW KVMC'!F207="","",'RAW KVMC'!F207)</f>
        <v>0</v>
      </c>
      <c r="K210" s="50" t="n">
        <f aca="false">IF('RAW KVMC'!G207="","",'RAW KVMC'!G207)</f>
        <v>0</v>
      </c>
      <c r="L210" s="50" t="n">
        <f aca="false">IF('RAW KVMC'!H207="","",'RAW KVMC'!H207)</f>
        <v>0</v>
      </c>
      <c r="M210" s="48" t="str">
        <f aca="false">IF('RAW KVMC'!I207="","",'RAW KVMC'!I207)</f>
        <v/>
      </c>
    </row>
    <row r="211" customFormat="false" ht="15" hidden="false" customHeight="false" outlineLevel="0" collapsed="false">
      <c r="A211" s="1" t="s">
        <v>1355</v>
      </c>
      <c r="B211" s="1" t="s">
        <v>154</v>
      </c>
      <c r="C211" s="1" t="s">
        <v>1145</v>
      </c>
      <c r="D211" s="1" t="n">
        <v>208</v>
      </c>
      <c r="E211" s="48" t="str">
        <f aca="false">IF('RAW KVMC'!A208="","",'RAW KVMC'!A208)</f>
        <v>Community Benefit Program Administration</v>
      </c>
      <c r="F211" s="48" t="str">
        <f aca="false">IF('RAW KVMC'!B208="","",'RAW KVMC'!B208)</f>
        <v>CB Operations</v>
      </c>
      <c r="G211" s="49" t="n">
        <f aca="false">IF('RAW KVMC'!C208="","",'RAW KVMC'!C208)</f>
        <v>45991</v>
      </c>
      <c r="H211" s="48" t="str">
        <f aca="false">IF('RAW KVMC'!D208="","",'RAW KVMC'!D208)</f>
        <v>Administrative Assistant</v>
      </c>
      <c r="I211" s="48" t="n">
        <f aca="false">IF('RAW KVMC'!E208="","",'RAW KVMC'!E208)</f>
        <v>49.5</v>
      </c>
      <c r="J211" s="48" t="n">
        <f aca="false">IF('RAW KVMC'!F208="","",'RAW KVMC'!F208)</f>
        <v>0</v>
      </c>
      <c r="K211" s="50" t="n">
        <f aca="false">IF('RAW KVMC'!G208="","",'RAW KVMC'!G208)</f>
        <v>0</v>
      </c>
      <c r="L211" s="50" t="n">
        <f aca="false">IF('RAW KVMC'!H208="","",'RAW KVMC'!H208)</f>
        <v>0</v>
      </c>
      <c r="M211" s="48" t="str">
        <f aca="false">IF('RAW KVMC'!I208="","",'RAW KVMC'!I208)</f>
        <v/>
      </c>
    </row>
    <row r="212" customFormat="false" ht="15" hidden="false" customHeight="false" outlineLevel="0" collapsed="false">
      <c r="A212" s="1" t="s">
        <v>1356</v>
      </c>
      <c r="B212" s="1" t="s">
        <v>154</v>
      </c>
      <c r="C212" s="1" t="s">
        <v>1145</v>
      </c>
      <c r="D212" s="1" t="n">
        <v>209</v>
      </c>
      <c r="E212" s="48" t="str">
        <f aca="false">IF('RAW KVMC'!A209="","",'RAW KVMC'!A209)</f>
        <v>Community Benefit Program Administration</v>
      </c>
      <c r="F212" s="48" t="str">
        <f aca="false">IF('RAW KVMC'!B209="","",'RAW KVMC'!B209)</f>
        <v>CB Operations</v>
      </c>
      <c r="G212" s="49" t="n">
        <f aca="false">IF('RAW KVMC'!C209="","",'RAW KVMC'!C209)</f>
        <v>45991</v>
      </c>
      <c r="H212" s="48" t="str">
        <f aca="false">IF('RAW KVMC'!D209="","",'RAW KVMC'!D209)</f>
        <v>Community Benefit Mgr</v>
      </c>
      <c r="I212" s="48" t="n">
        <f aca="false">IF('RAW KVMC'!E209="","",'RAW KVMC'!E209)</f>
        <v>89</v>
      </c>
      <c r="J212" s="48" t="n">
        <f aca="false">IF('RAW KVMC'!F209="","",'RAW KVMC'!F209)</f>
        <v>0</v>
      </c>
      <c r="K212" s="50" t="n">
        <f aca="false">IF('RAW KVMC'!G209="","",'RAW KVMC'!G209)</f>
        <v>1100</v>
      </c>
      <c r="L212" s="50" t="n">
        <f aca="false">IF('RAW KVMC'!H209="","",'RAW KVMC'!H209)</f>
        <v>0</v>
      </c>
      <c r="M212" s="48" t="str">
        <f aca="false">IF('RAW KVMC'!I209="","",'RAW KVMC'!I209)</f>
        <v/>
      </c>
    </row>
    <row r="213" customFormat="false" ht="15" hidden="false" customHeight="false" outlineLevel="0" collapsed="false">
      <c r="A213" s="1" t="s">
        <v>1357</v>
      </c>
      <c r="B213" s="1" t="s">
        <v>154</v>
      </c>
      <c r="C213" s="1" t="s">
        <v>1145</v>
      </c>
      <c r="D213" s="1" t="n">
        <v>210</v>
      </c>
      <c r="E213" s="48" t="str">
        <f aca="false">IF('RAW KVMC'!A210="","",'RAW KVMC'!A210)</f>
        <v>Interpreter Services for Community Clinics</v>
      </c>
      <c r="F213" s="48" t="str">
        <f aca="false">IF('RAW KVMC'!B210="","",'RAW KVMC'!B210)</f>
        <v>Health Care Support Services</v>
      </c>
      <c r="G213" s="49" t="n">
        <f aca="false">IF('RAW KVMC'!C210="","",'RAW KVMC'!C210)</f>
        <v>45991</v>
      </c>
      <c r="H213" s="48" t="str">
        <f aca="false">IF('RAW KVMC'!D210="","",'RAW KVMC'!D210)</f>
        <v>Interpreter</v>
      </c>
      <c r="I213" s="48" t="n">
        <f aca="false">IF('RAW KVMC'!E210="","",'RAW KVMC'!E210)</f>
        <v>78.25</v>
      </c>
      <c r="J213" s="48" t="n">
        <f aca="false">IF('RAW KVMC'!F210="","",'RAW KVMC'!F210)</f>
        <v>217</v>
      </c>
      <c r="K213" s="50" t="n">
        <f aca="false">IF('RAW KVMC'!G210="","",'RAW KVMC'!G210)</f>
        <v>0</v>
      </c>
      <c r="L213" s="50" t="n">
        <f aca="false">IF('RAW KVMC'!H210="","",'RAW KVMC'!H210)</f>
        <v>0</v>
      </c>
      <c r="M213" s="48" t="str">
        <f aca="false">IF('RAW KVMC'!I210="","",'RAW KVMC'!I210)</f>
        <v/>
      </c>
    </row>
    <row r="214" customFormat="false" ht="15" hidden="false" customHeight="false" outlineLevel="0" collapsed="false">
      <c r="A214" s="1" t="s">
        <v>1358</v>
      </c>
      <c r="B214" s="1" t="s">
        <v>154</v>
      </c>
      <c r="C214" s="1" t="s">
        <v>1145</v>
      </c>
      <c r="D214" s="1" t="n">
        <v>211</v>
      </c>
      <c r="E214" s="48" t="str">
        <f aca="false">IF('RAW KVMC'!A211="","",'RAW KVMC'!A211)</f>
        <v>Nursing Student Clinical Rotations</v>
      </c>
      <c r="F214" s="48" t="str">
        <f aca="false">IF('RAW KVMC'!B211="","",'RAW KVMC'!B211)</f>
        <v>Health Professions Education</v>
      </c>
      <c r="G214" s="49" t="n">
        <f aca="false">IF('RAW KVMC'!C211="","",'RAW KVMC'!C211)</f>
        <v>45991</v>
      </c>
      <c r="H214" s="48" t="str">
        <f aca="false">IF('RAW KVMC'!D211="","",'RAW KVMC'!D211)</f>
        <v>Preceptor RN</v>
      </c>
      <c r="I214" s="48" t="n">
        <f aca="false">IF('RAW KVMC'!E211="","",'RAW KVMC'!E211)</f>
        <v>179.5</v>
      </c>
      <c r="J214" s="48" t="n">
        <f aca="false">IF('RAW KVMC'!F211="","",'RAW KVMC'!F211)</f>
        <v>47</v>
      </c>
      <c r="K214" s="50" t="n">
        <f aca="false">IF('RAW KVMC'!G211="","",'RAW KVMC'!G211)</f>
        <v>580</v>
      </c>
      <c r="L214" s="50" t="n">
        <f aca="false">IF('RAW KVMC'!H211="","",'RAW KVMC'!H211)</f>
        <v>0</v>
      </c>
      <c r="M214" s="48" t="str">
        <f aca="false">IF('RAW KVMC'!I211="","",'RAW KVMC'!I211)</f>
        <v/>
      </c>
    </row>
    <row r="215" customFormat="false" ht="15" hidden="false" customHeight="false" outlineLevel="0" collapsed="false">
      <c r="A215" s="1" t="s">
        <v>1359</v>
      </c>
      <c r="B215" s="1" t="s">
        <v>154</v>
      </c>
      <c r="C215" s="1" t="s">
        <v>1145</v>
      </c>
      <c r="D215" s="1" t="n">
        <v>212</v>
      </c>
      <c r="E215" s="48" t="str">
        <f aca="false">IF('RAW KVMC'!A212="","",'RAW KVMC'!A212)</f>
        <v>Nursing Student Clinical Rotations</v>
      </c>
      <c r="F215" s="48" t="str">
        <f aca="false">IF('RAW KVMC'!B212="","",'RAW KVMC'!B212)</f>
        <v>Health Professions Education</v>
      </c>
      <c r="G215" s="49" t="n">
        <f aca="false">IF('RAW KVMC'!C212="","",'RAW KVMC'!C212)</f>
        <v>45991</v>
      </c>
      <c r="H215" s="48" t="str">
        <f aca="false">IF('RAW KVMC'!D212="","",'RAW KVMC'!D212)</f>
        <v>Charge RN</v>
      </c>
      <c r="I215" s="48" t="n">
        <f aca="false">IF('RAW KVMC'!E212="","",'RAW KVMC'!E212)</f>
        <v>296</v>
      </c>
      <c r="J215" s="48" t="n">
        <f aca="false">IF('RAW KVMC'!F212="","",'RAW KVMC'!F212)</f>
        <v>0</v>
      </c>
      <c r="K215" s="50" t="n">
        <f aca="false">IF('RAW KVMC'!G212="","",'RAW KVMC'!G212)</f>
        <v>0</v>
      </c>
      <c r="L215" s="50" t="n">
        <f aca="false">IF('RAW KVMC'!H212="","",'RAW KVMC'!H212)</f>
        <v>0</v>
      </c>
      <c r="M215" s="48" t="str">
        <f aca="false">IF('RAW KVMC'!I212="","",'RAW KVMC'!I212)</f>
        <v/>
      </c>
    </row>
    <row r="216" customFormat="false" ht="15" hidden="false" customHeight="false" outlineLevel="0" collapsed="false">
      <c r="A216" s="1" t="s">
        <v>1360</v>
      </c>
      <c r="B216" s="1" t="s">
        <v>154</v>
      </c>
      <c r="C216" s="1" t="s">
        <v>1145</v>
      </c>
      <c r="D216" s="1" t="n">
        <v>213</v>
      </c>
      <c r="E216" s="48" t="str">
        <f aca="false">IF('RAW KVMC'!A213="","",'RAW KVMC'!A213)</f>
        <v>Family Medicine Residency Program</v>
      </c>
      <c r="F216" s="48" t="str">
        <f aca="false">IF('RAW KVMC'!B213="","",'RAW KVMC'!B213)</f>
        <v>Health Professions Education</v>
      </c>
      <c r="G216" s="49" t="n">
        <f aca="false">IF('RAW KVMC'!C213="","",'RAW KVMC'!C213)</f>
        <v>45991</v>
      </c>
      <c r="H216" s="48" t="str">
        <f aca="false">IF('RAW KVMC'!D213="","",'RAW KVMC'!D213)</f>
        <v>Attending Physician </v>
      </c>
      <c r="I216" s="48" t="n">
        <f aca="false">IF('RAW KVMC'!E213="","",'RAW KVMC'!E213)</f>
        <v>384.75</v>
      </c>
      <c r="J216" s="48" t="n">
        <f aca="false">IF('RAW KVMC'!F213="","",'RAW KVMC'!F213)</f>
        <v>0</v>
      </c>
      <c r="K216" s="50" t="n">
        <f aca="false">IF('RAW KVMC'!G213="","",'RAW KVMC'!G213)</f>
        <v>42780</v>
      </c>
      <c r="L216" s="50" t="n">
        <f aca="false">IF('RAW KVMC'!H213="","",'RAW KVMC'!H213)</f>
        <v>162940</v>
      </c>
      <c r="M216" s="48" t="str">
        <f aca="false">IF('RAW KVMC'!I213="","",'RAW KVMC'!I213)</f>
        <v/>
      </c>
    </row>
    <row r="217" customFormat="false" ht="15" hidden="false" customHeight="false" outlineLevel="0" collapsed="false">
      <c r="A217" s="1" t="s">
        <v>1361</v>
      </c>
      <c r="B217" s="1" t="s">
        <v>154</v>
      </c>
      <c r="C217" s="1" t="s">
        <v>1145</v>
      </c>
      <c r="D217" s="1" t="n">
        <v>214</v>
      </c>
      <c r="E217" s="48" t="str">
        <f aca="false">IF('RAW KVMC'!A214="","",'RAW KVMC'!A214)</f>
        <v>Family Medicine Residency Program</v>
      </c>
      <c r="F217" s="48" t="str">
        <f aca="false">IF('RAW KVMC'!B214="","",'RAW KVMC'!B214)</f>
        <v>Health Professions Education</v>
      </c>
      <c r="G217" s="49" t="n">
        <f aca="false">IF('RAW KVMC'!C214="","",'RAW KVMC'!C214)</f>
        <v>45991</v>
      </c>
      <c r="H217" s="48" t="str">
        <f aca="false">IF('RAW KVMC'!D214="","",'RAW KVMC'!D214)</f>
        <v>Volunteer Coordinator</v>
      </c>
      <c r="I217" s="48" t="n">
        <f aca="false">IF('RAW KVMC'!E214="","",'RAW KVMC'!E214)</f>
        <v>162.75</v>
      </c>
      <c r="J217" s="48" t="n">
        <f aca="false">IF('RAW KVMC'!F214="","",'RAW KVMC'!F214)</f>
        <v>0</v>
      </c>
      <c r="K217" s="50" t="n">
        <f aca="false">IF('RAW KVMC'!G214="","",'RAW KVMC'!G214)</f>
        <v>0</v>
      </c>
      <c r="L217" s="50" t="n">
        <f aca="false">IF('RAW KVMC'!H214="","",'RAW KVMC'!H214)</f>
        <v>0</v>
      </c>
      <c r="M217" s="48" t="str">
        <f aca="false">IF('RAW KVMC'!I214="","",'RAW KVMC'!I214)</f>
        <v/>
      </c>
    </row>
    <row r="218" customFormat="false" ht="15" hidden="false" customHeight="false" outlineLevel="0" collapsed="false">
      <c r="A218" s="1" t="s">
        <v>1362</v>
      </c>
      <c r="B218" s="1" t="s">
        <v>154</v>
      </c>
      <c r="C218" s="1" t="s">
        <v>1145</v>
      </c>
      <c r="D218" s="1" t="n">
        <v>215</v>
      </c>
      <c r="E218" s="48" t="str">
        <f aca="false">IF('RAW KVMC'!A215="","",'RAW KVMC'!A215)</f>
        <v>Family Medicine Residency Program</v>
      </c>
      <c r="F218" s="48" t="str">
        <f aca="false">IF('RAW KVMC'!B215="","",'RAW KVMC'!B215)</f>
        <v>Health Professions Education</v>
      </c>
      <c r="G218" s="49" t="n">
        <f aca="false">IF('RAW KVMC'!C215="","",'RAW KVMC'!C215)</f>
        <v>45991</v>
      </c>
      <c r="H218" s="48" t="str">
        <f aca="false">IF('RAW KVMC'!D215="","",'RAW KVMC'!D215)</f>
        <v>Resident</v>
      </c>
      <c r="I218" s="48" t="n">
        <f aca="false">IF('RAW KVMC'!E215="","",'RAW KVMC'!E215)</f>
        <v>4019.75</v>
      </c>
      <c r="J218" s="48" t="n">
        <f aca="false">IF('RAW KVMC'!F215="","",'RAW KVMC'!F215)</f>
        <v>0</v>
      </c>
      <c r="K218" s="50" t="n">
        <f aca="false">IF('RAW KVMC'!G215="","",'RAW KVMC'!G215)</f>
        <v>0</v>
      </c>
      <c r="L218" s="50" t="n">
        <f aca="false">IF('RAW KVMC'!H215="","",'RAW KVMC'!H215)</f>
        <v>0</v>
      </c>
      <c r="M218" s="48" t="str">
        <f aca="false">IF('RAW KVMC'!I215="","",'RAW KVMC'!I215)</f>
        <v/>
      </c>
    </row>
    <row r="219" customFormat="false" ht="15" hidden="false" customHeight="false" outlineLevel="0" collapsed="false">
      <c r="A219" s="1" t="s">
        <v>1363</v>
      </c>
      <c r="B219" s="1" t="s">
        <v>154</v>
      </c>
      <c r="C219" s="1" t="s">
        <v>1145</v>
      </c>
      <c r="D219" s="1" t="n">
        <v>216</v>
      </c>
      <c r="E219" s="48" t="str">
        <f aca="false">IF('RAW KVMC'!A216="","",'RAW KVMC'!A216)</f>
        <v>Pharmacy Student Rotations</v>
      </c>
      <c r="F219" s="48" t="str">
        <f aca="false">IF('RAW KVMC'!B216="","",'RAW KVMC'!B216)</f>
        <v>Health Professions Education</v>
      </c>
      <c r="G219" s="49" t="n">
        <f aca="false">IF('RAW KVMC'!C216="","",'RAW KVMC'!C216)</f>
        <v>45991</v>
      </c>
      <c r="H219" s="48" t="str">
        <f aca="false">IF('RAW KVMC'!D216="","",'RAW KVMC'!D216)</f>
        <v>Pharm.D.</v>
      </c>
      <c r="I219" s="48" t="n">
        <f aca="false">IF('RAW KVMC'!E216="","",'RAW KVMC'!E216)</f>
        <v>81.75</v>
      </c>
      <c r="J219" s="48" t="n">
        <f aca="false">IF('RAW KVMC'!F216="","",'RAW KVMC'!F216)</f>
        <v>3</v>
      </c>
      <c r="K219" s="50" t="n">
        <f aca="false">IF('RAW KVMC'!G216="","",'RAW KVMC'!G216)</f>
        <v>95</v>
      </c>
      <c r="L219" s="50" t="n">
        <f aca="false">IF('RAW KVMC'!H216="","",'RAW KVMC'!H216)</f>
        <v>0</v>
      </c>
      <c r="M219" s="48" t="str">
        <f aca="false">IF('RAW KVMC'!I216="","",'RAW KVMC'!I216)</f>
        <v/>
      </c>
    </row>
    <row r="220" customFormat="false" ht="15" hidden="false" customHeight="false" outlineLevel="0" collapsed="false">
      <c r="A220" s="1" t="s">
        <v>1364</v>
      </c>
      <c r="B220" s="1" t="s">
        <v>154</v>
      </c>
      <c r="C220" s="1" t="s">
        <v>1145</v>
      </c>
      <c r="D220" s="1" t="n">
        <v>217</v>
      </c>
      <c r="E220" s="48" t="str">
        <f aca="false">IF('RAW KVMC'!A217="","",'RAW KVMC'!A217)</f>
        <v>Community Hypertension Control Study</v>
      </c>
      <c r="F220" s="48" t="str">
        <f aca="false">IF('RAW KVMC'!B217="","",'RAW KVMC'!B217)</f>
        <v>Research</v>
      </c>
      <c r="G220" s="49" t="n">
        <f aca="false">IF('RAW KVMC'!C217="","",'RAW KVMC'!C217)</f>
        <v>45991</v>
      </c>
      <c r="H220" s="48" t="str">
        <f aca="false">IF('RAW KVMC'!D217="","",'RAW KVMC'!D217)</f>
        <v>Analyst</v>
      </c>
      <c r="I220" s="48" t="n">
        <f aca="false">IF('RAW KVMC'!E217="","",'RAW KVMC'!E217)</f>
        <v>40.25</v>
      </c>
      <c r="J220" s="48" t="n">
        <f aca="false">IF('RAW KVMC'!F217="","",'RAW KVMC'!F217)</f>
        <v>0</v>
      </c>
      <c r="K220" s="50" t="n">
        <f aca="false">IF('RAW KVMC'!G217="","",'RAW KVMC'!G217)</f>
        <v>0</v>
      </c>
      <c r="L220" s="50" t="n">
        <f aca="false">IF('RAW KVMC'!H217="","",'RAW KVMC'!H217)</f>
        <v>0</v>
      </c>
      <c r="M220" s="48" t="str">
        <f aca="false">IF('RAW KVMC'!I217="","",'RAW KVMC'!I217)</f>
        <v/>
      </c>
    </row>
    <row r="221" customFormat="false" ht="15" hidden="false" customHeight="false" outlineLevel="0" collapsed="false">
      <c r="A221" s="1" t="s">
        <v>1365</v>
      </c>
      <c r="B221" s="1" t="s">
        <v>154</v>
      </c>
      <c r="C221" s="1" t="s">
        <v>1145</v>
      </c>
      <c r="D221" s="1" t="n">
        <v>218</v>
      </c>
      <c r="E221" s="48" t="str">
        <f aca="false">IF('RAW KVMC'!A218="","",'RAW KVMC'!A218)</f>
        <v>Community Hypertension Control Study</v>
      </c>
      <c r="F221" s="48" t="str">
        <f aca="false">IF('RAW KVMC'!B218="","",'RAW KVMC'!B218)</f>
        <v>Research</v>
      </c>
      <c r="G221" s="49" t="n">
        <f aca="false">IF('RAW KVMC'!C218="","",'RAW KVMC'!C218)</f>
        <v>45991</v>
      </c>
      <c r="H221" s="48" t="str">
        <f aca="false">IF('RAW KVMC'!D218="","",'RAW KVMC'!D218)</f>
        <v>M.D.</v>
      </c>
      <c r="I221" s="48" t="n">
        <f aca="false">IF('RAW KVMC'!E218="","",'RAW KVMC'!E218)</f>
        <v>16</v>
      </c>
      <c r="J221" s="48" t="n">
        <f aca="false">IF('RAW KVMC'!F218="","",'RAW KVMC'!F218)</f>
        <v>0</v>
      </c>
      <c r="K221" s="50" t="n">
        <f aca="false">IF('RAW KVMC'!G218="","",'RAW KVMC'!G218)</f>
        <v>0</v>
      </c>
      <c r="L221" s="50" t="n">
        <f aca="false">IF('RAW KVMC'!H218="","",'RAW KVMC'!H218)</f>
        <v>0</v>
      </c>
      <c r="M221" s="48" t="str">
        <f aca="false">IF('RAW KVMC'!I218="","",'RAW KVMC'!I218)</f>
        <v/>
      </c>
    </row>
    <row r="222" customFormat="false" ht="15" hidden="false" customHeight="false" outlineLevel="0" collapsed="false">
      <c r="A222" s="1" t="s">
        <v>1366</v>
      </c>
      <c r="B222" s="1" t="s">
        <v>154</v>
      </c>
      <c r="C222" s="1" t="s">
        <v>1145</v>
      </c>
      <c r="D222" s="1" t="n">
        <v>219</v>
      </c>
      <c r="E222" s="48" t="str">
        <f aca="false">IF('RAW KVMC'!A219="","",'RAW KVMC'!A219)</f>
        <v>Community Hypertension Control Study</v>
      </c>
      <c r="F222" s="48" t="str">
        <f aca="false">IF('RAW KVMC'!B219="","",'RAW KVMC'!B219)</f>
        <v>Research</v>
      </c>
      <c r="G222" s="49" t="n">
        <f aca="false">IF('RAW KVMC'!C219="","",'RAW KVMC'!C219)</f>
        <v>45991</v>
      </c>
      <c r="H222" s="48" t="str">
        <f aca="false">IF('RAW KVMC'!D219="","",'RAW KVMC'!D219)</f>
        <v>CLINICAL RESEARCH COORD</v>
      </c>
      <c r="I222" s="48" t="n">
        <f aca="false">IF('RAW KVMC'!E219="","",'RAW KVMC'!E219)</f>
        <v>181.75</v>
      </c>
      <c r="J222" s="48" t="n">
        <f aca="false">IF('RAW KVMC'!F219="","",'RAW KVMC'!F219)</f>
        <v>94</v>
      </c>
      <c r="K222" s="50" t="n">
        <f aca="false">IF('RAW KVMC'!G219="","",'RAW KVMC'!G219)</f>
        <v>9320</v>
      </c>
      <c r="L222" s="50" t="n">
        <f aca="false">IF('RAW KVMC'!H219="","",'RAW KVMC'!H219)</f>
        <v>10395</v>
      </c>
      <c r="M222" s="48" t="str">
        <f aca="false">IF('RAW KVMC'!I219="","",'RAW KVMC'!I219)</f>
        <v/>
      </c>
    </row>
    <row r="223" customFormat="false" ht="15" hidden="false" customHeight="false" outlineLevel="0" collapsed="false">
      <c r="A223" s="1" t="s">
        <v>1367</v>
      </c>
      <c r="B223" s="1" t="s">
        <v>154</v>
      </c>
      <c r="C223" s="1" t="s">
        <v>1145</v>
      </c>
      <c r="D223" s="1" t="n">
        <v>220</v>
      </c>
      <c r="E223" s="48" t="str">
        <f aca="false">IF('RAW KVMC'!A220="","",'RAW KVMC'!A220)</f>
        <v>Diabetes Prevention Classes</v>
      </c>
      <c r="F223" s="48" t="str">
        <f aca="false">IF('RAW KVMC'!B220="","",'RAW KVMC'!B220)</f>
        <v>Community Health Education</v>
      </c>
      <c r="G223" s="49" t="n">
        <f aca="false">IF('RAW KVMC'!C220="","",'RAW KVMC'!C220)</f>
        <v>45992</v>
      </c>
      <c r="H223" s="48" t="str">
        <f aca="false">IF('RAW KVMC'!D220="","",'RAW KVMC'!D220)</f>
        <v>Hlth Educator</v>
      </c>
      <c r="I223" s="48" t="n">
        <f aca="false">IF('RAW KVMC'!E220="","",'RAW KVMC'!E220)</f>
        <v>2.25</v>
      </c>
      <c r="J223" s="48" t="n">
        <f aca="false">IF('RAW KVMC'!F220="","",'RAW KVMC'!F220)</f>
        <v>20</v>
      </c>
      <c r="K223" s="50" t="n">
        <f aca="false">IF('RAW KVMC'!G220="","",'RAW KVMC'!G220)</f>
        <v>160</v>
      </c>
      <c r="L223" s="50" t="n">
        <f aca="false">IF('RAW KVMC'!H220="","",'RAW KVMC'!H220)</f>
        <v>0</v>
      </c>
      <c r="M223" s="48" t="str">
        <f aca="false">IF('RAW KVMC'!I220="","",'RAW KVMC'!I220)</f>
        <v/>
      </c>
    </row>
    <row r="224" customFormat="false" ht="15" hidden="false" customHeight="false" outlineLevel="0" collapsed="false">
      <c r="A224" s="1" t="s">
        <v>1368</v>
      </c>
      <c r="B224" s="1" t="s">
        <v>154</v>
      </c>
      <c r="C224" s="1" t="s">
        <v>1145</v>
      </c>
      <c r="D224" s="1" t="n">
        <v>221</v>
      </c>
      <c r="E224" s="48" t="str">
        <f aca="false">IF('RAW KVMC'!A221="","",'RAW KVMC'!A221)</f>
        <v>Diabetes Prevention Classes</v>
      </c>
      <c r="F224" s="48" t="str">
        <f aca="false">IF('RAW KVMC'!B221="","",'RAW KVMC'!B221)</f>
        <v>Community Health Education</v>
      </c>
      <c r="G224" s="49" t="n">
        <f aca="false">IF('RAW KVMC'!C221="","",'RAW KVMC'!C221)</f>
        <v>45992</v>
      </c>
      <c r="H224" s="48" t="str">
        <f aca="false">IF('RAW KVMC'!D221="","",'RAW KVMC'!D221)</f>
        <v>Registered Dietitian</v>
      </c>
      <c r="I224" s="48" t="n">
        <f aca="false">IF('RAW KVMC'!E221="","",'RAW KVMC'!E221)</f>
        <v>1.75</v>
      </c>
      <c r="J224" s="48" t="n">
        <f aca="false">IF('RAW KVMC'!F221="","",'RAW KVMC'!F221)</f>
        <v>0</v>
      </c>
      <c r="K224" s="50" t="n">
        <f aca="false">IF('RAW KVMC'!G221="","",'RAW KVMC'!G221)</f>
        <v>0</v>
      </c>
      <c r="L224" s="50" t="n">
        <f aca="false">IF('RAW KVMC'!H221="","",'RAW KVMC'!H221)</f>
        <v>0</v>
      </c>
      <c r="M224" s="48" t="str">
        <f aca="false">IF('RAW KVMC'!I221="","",'RAW KVMC'!I221)</f>
        <v/>
      </c>
    </row>
    <row r="225" customFormat="false" ht="15" hidden="false" customHeight="false" outlineLevel="0" collapsed="false">
      <c r="A225" s="1" t="s">
        <v>1369</v>
      </c>
      <c r="B225" s="1" t="s">
        <v>154</v>
      </c>
      <c r="C225" s="1" t="s">
        <v>1145</v>
      </c>
      <c r="D225" s="1" t="n">
        <v>222</v>
      </c>
      <c r="E225" s="48" t="str">
        <f aca="false">IF('RAW KVMC'!A222="","",'RAW KVMC'!A222)</f>
        <v>Childbirth and Newborn Care Classes</v>
      </c>
      <c r="F225" s="48" t="str">
        <f aca="false">IF('RAW KVMC'!B222="","",'RAW KVMC'!B222)</f>
        <v>Community Health Education</v>
      </c>
      <c r="G225" s="49" t="n">
        <f aca="false">IF('RAW KVMC'!C222="","",'RAW KVMC'!C222)</f>
        <v>45992</v>
      </c>
      <c r="H225" s="48" t="str">
        <f aca="false">IF('RAW KVMC'!D222="","",'RAW KVMC'!D222)</f>
        <v>Preceptor RN</v>
      </c>
      <c r="I225" s="48" t="n">
        <f aca="false">IF('RAW KVMC'!E222="","",'RAW KVMC'!E222)</f>
        <v>3.25</v>
      </c>
      <c r="J225" s="48" t="n">
        <f aca="false">IF('RAW KVMC'!F222="","",'RAW KVMC'!F222)</f>
        <v>23</v>
      </c>
      <c r="K225" s="50" t="n">
        <f aca="false">IF('RAW KVMC'!G222="","",'RAW KVMC'!G222)</f>
        <v>110</v>
      </c>
      <c r="L225" s="50" t="n">
        <f aca="false">IF('RAW KVMC'!H222="","",'RAW KVMC'!H222)</f>
        <v>460</v>
      </c>
      <c r="M225" s="48" t="str">
        <f aca="false">IF('RAW KVMC'!I222="","",'RAW KVMC'!I222)</f>
        <v/>
      </c>
    </row>
    <row r="226" customFormat="false" ht="15" hidden="false" customHeight="false" outlineLevel="0" collapsed="false">
      <c r="A226" s="1" t="s">
        <v>1370</v>
      </c>
      <c r="B226" s="1" t="s">
        <v>154</v>
      </c>
      <c r="C226" s="1" t="s">
        <v>1145</v>
      </c>
      <c r="D226" s="1" t="n">
        <v>223</v>
      </c>
      <c r="E226" s="48" t="str">
        <f aca="false">IF('RAW KVMC'!A223="","",'RAW KVMC'!A223)</f>
        <v>Diabetes Prevention Classes</v>
      </c>
      <c r="F226" s="48" t="str">
        <f aca="false">IF('RAW KVMC'!B223="","",'RAW KVMC'!B223)</f>
        <v>Community Health Education</v>
      </c>
      <c r="G226" s="49" t="n">
        <f aca="false">IF('RAW KVMC'!C223="","",'RAW KVMC'!C223)</f>
        <v>45993</v>
      </c>
      <c r="H226" s="48" t="str">
        <f aca="false">IF('RAW KVMC'!D223="","",'RAW KVMC'!D223)</f>
        <v>CHES</v>
      </c>
      <c r="I226" s="48" t="n">
        <f aca="false">IF('RAW KVMC'!E223="","",'RAW KVMC'!E223)</f>
        <v>2.75</v>
      </c>
      <c r="J226" s="48" t="n">
        <f aca="false">IF('RAW KVMC'!F223="","",'RAW KVMC'!F223)</f>
        <v>17</v>
      </c>
      <c r="K226" s="50" t="n">
        <f aca="false">IF('RAW KVMC'!G223="","",'RAW KVMC'!G223)</f>
        <v>80</v>
      </c>
      <c r="L226" s="50" t="n">
        <f aca="false">IF('RAW KVMC'!H223="","",'RAW KVMC'!H223)</f>
        <v>0</v>
      </c>
      <c r="M226" s="48" t="str">
        <f aca="false">IF('RAW KVMC'!I223="","",'RAW KVMC'!I223)</f>
        <v/>
      </c>
    </row>
    <row r="227" customFormat="false" ht="15" hidden="false" customHeight="false" outlineLevel="0" collapsed="false">
      <c r="A227" s="1" t="s">
        <v>1371</v>
      </c>
      <c r="B227" s="1" t="s">
        <v>154</v>
      </c>
      <c r="C227" s="1" t="s">
        <v>1145</v>
      </c>
      <c r="D227" s="1" t="n">
        <v>224</v>
      </c>
      <c r="E227" s="48" t="str">
        <f aca="false">IF('RAW KVMC'!A224="","",'RAW KVMC'!A224)</f>
        <v>Diabetes Prevention Classes</v>
      </c>
      <c r="F227" s="48" t="str">
        <f aca="false">IF('RAW KVMC'!B224="","",'RAW KVMC'!B224)</f>
        <v>Community Health Education</v>
      </c>
      <c r="G227" s="49" t="n">
        <f aca="false">IF('RAW KVMC'!C224="","",'RAW KVMC'!C224)</f>
        <v>45993</v>
      </c>
      <c r="H227" s="48" t="str">
        <f aca="false">IF('RAW KVMC'!D224="","",'RAW KVMC'!D224)</f>
        <v>Dietitian</v>
      </c>
      <c r="I227" s="48" t="n">
        <f aca="false">IF('RAW KVMC'!E224="","",'RAW KVMC'!E224)</f>
        <v>1.5</v>
      </c>
      <c r="J227" s="48" t="n">
        <f aca="false">IF('RAW KVMC'!F224="","",'RAW KVMC'!F224)</f>
        <v>0</v>
      </c>
      <c r="K227" s="50" t="n">
        <f aca="false">IF('RAW KVMC'!G224="","",'RAW KVMC'!G224)</f>
        <v>0</v>
      </c>
      <c r="L227" s="50" t="n">
        <f aca="false">IF('RAW KVMC'!H224="","",'RAW KVMC'!H224)</f>
        <v>0</v>
      </c>
      <c r="M227" s="48" t="str">
        <f aca="false">IF('RAW KVMC'!I224="","",'RAW KVMC'!I224)</f>
        <v/>
      </c>
    </row>
    <row r="228" customFormat="false" ht="15" hidden="false" customHeight="false" outlineLevel="0" collapsed="false">
      <c r="A228" s="1" t="s">
        <v>1372</v>
      </c>
      <c r="B228" s="1" t="s">
        <v>154</v>
      </c>
      <c r="C228" s="1" t="s">
        <v>1145</v>
      </c>
      <c r="D228" s="1" t="n">
        <v>225</v>
      </c>
      <c r="E228" s="48" t="str">
        <f aca="false">IF('RAW KVMC'!A225="","",'RAW KVMC'!A225)</f>
        <v>Childbirth and Newborn Care Classes</v>
      </c>
      <c r="F228" s="48" t="str">
        <f aca="false">IF('RAW KVMC'!B225="","",'RAW KVMC'!B225)</f>
        <v>Community Health Education</v>
      </c>
      <c r="G228" s="49" t="n">
        <f aca="false">IF('RAW KVMC'!C225="","",'RAW KVMC'!C225)</f>
        <v>46004</v>
      </c>
      <c r="H228" s="48" t="str">
        <f aca="false">IF('RAW KVMC'!D225="","",'RAW KVMC'!D225)</f>
        <v>clin educator</v>
      </c>
      <c r="I228" s="48" t="n">
        <f aca="false">IF('RAW KVMC'!E225="","",'RAW KVMC'!E225)</f>
        <v>3.25</v>
      </c>
      <c r="J228" s="48" t="n">
        <f aca="false">IF('RAW KVMC'!F225="","",'RAW KVMC'!F225)</f>
        <v>13</v>
      </c>
      <c r="K228" s="50" t="n">
        <f aca="false">IF('RAW KVMC'!G225="","",'RAW KVMC'!G225)</f>
        <v>190</v>
      </c>
      <c r="L228" s="50" t="n">
        <f aca="false">IF('RAW KVMC'!H225="","",'RAW KVMC'!H225)</f>
        <v>260</v>
      </c>
      <c r="M228" s="48" t="str">
        <f aca="false">IF('RAW KVMC'!I225="","",'RAW KVMC'!I225)</f>
        <v/>
      </c>
    </row>
    <row r="229" customFormat="false" ht="15" hidden="false" customHeight="false" outlineLevel="0" collapsed="false">
      <c r="A229" s="1" t="s">
        <v>1373</v>
      </c>
      <c r="B229" s="1" t="s">
        <v>154</v>
      </c>
      <c r="C229" s="1" t="s">
        <v>1145</v>
      </c>
      <c r="D229" s="1" t="n">
        <v>226</v>
      </c>
      <c r="E229" s="48" t="str">
        <f aca="false">IF('RAW KVMC'!A226="","",'RAW KVMC'!A226)</f>
        <v>Diabetes Prevention Classes</v>
      </c>
      <c r="F229" s="48" t="str">
        <f aca="false">IF('RAW KVMC'!B226="","",'RAW KVMC'!B226)</f>
        <v>Community Health Education</v>
      </c>
      <c r="G229" s="49" t="n">
        <f aca="false">IF('RAW KVMC'!C226="","",'RAW KVMC'!C226)</f>
        <v>46008</v>
      </c>
      <c r="H229" s="48" t="str">
        <f aca="false">IF('RAW KVMC'!D226="","",'RAW KVMC'!D226)</f>
        <v>Health Education Specialist</v>
      </c>
      <c r="I229" s="48" t="n">
        <f aca="false">IF('RAW KVMC'!E226="","",'RAW KVMC'!E226)</f>
        <v>2.5</v>
      </c>
      <c r="J229" s="48" t="n">
        <f aca="false">IF('RAW KVMC'!F226="","",'RAW KVMC'!F226)</f>
        <v>20</v>
      </c>
      <c r="K229" s="50" t="n">
        <f aca="false">IF('RAW KVMC'!G226="","",'RAW KVMC'!G226)</f>
        <v>150</v>
      </c>
      <c r="L229" s="50" t="n">
        <f aca="false">IF('RAW KVMC'!H226="","",'RAW KVMC'!H226)</f>
        <v>0</v>
      </c>
      <c r="M229" s="48" t="str">
        <f aca="false">IF('RAW KVMC'!I226="","",'RAW KVMC'!I226)</f>
        <v/>
      </c>
    </row>
    <row r="230" customFormat="false" ht="15" hidden="false" customHeight="false" outlineLevel="0" collapsed="false">
      <c r="A230" s="1" t="s">
        <v>1374</v>
      </c>
      <c r="B230" s="1" t="s">
        <v>154</v>
      </c>
      <c r="C230" s="1" t="s">
        <v>1145</v>
      </c>
      <c r="D230" s="1" t="n">
        <v>227</v>
      </c>
      <c r="E230" s="48" t="str">
        <f aca="false">IF('RAW KVMC'!A227="","",'RAW KVMC'!A227)</f>
        <v>Diabetes Prevention Classes</v>
      </c>
      <c r="F230" s="48" t="str">
        <f aca="false">IF('RAW KVMC'!B227="","",'RAW KVMC'!B227)</f>
        <v>Community Health Education</v>
      </c>
      <c r="G230" s="49" t="n">
        <f aca="false">IF('RAW KVMC'!C227="","",'RAW KVMC'!C227)</f>
        <v>46008</v>
      </c>
      <c r="H230" s="48" t="str">
        <f aca="false">IF('RAW KVMC'!D227="","",'RAW KVMC'!D227)</f>
        <v>Nutritionist</v>
      </c>
      <c r="I230" s="48" t="n">
        <f aca="false">IF('RAW KVMC'!E227="","",'RAW KVMC'!E227)</f>
        <v>1.75</v>
      </c>
      <c r="J230" s="48" t="n">
        <f aca="false">IF('RAW KVMC'!F227="","",'RAW KVMC'!F227)</f>
        <v>0</v>
      </c>
      <c r="K230" s="50" t="n">
        <f aca="false">IF('RAW KVMC'!G227="","",'RAW KVMC'!G227)</f>
        <v>0</v>
      </c>
      <c r="L230" s="50" t="n">
        <f aca="false">IF('RAW KVMC'!H227="","",'RAW KVMC'!H227)</f>
        <v>0</v>
      </c>
      <c r="M230" s="48" t="str">
        <f aca="false">IF('RAW KVMC'!I227="","",'RAW KVMC'!I227)</f>
        <v/>
      </c>
    </row>
    <row r="231" customFormat="false" ht="15" hidden="false" customHeight="false" outlineLevel="0" collapsed="false">
      <c r="A231" s="1" t="s">
        <v>1375</v>
      </c>
      <c r="B231" s="1" t="s">
        <v>154</v>
      </c>
      <c r="C231" s="1" t="s">
        <v>1145</v>
      </c>
      <c r="D231" s="1" t="n">
        <v>228</v>
      </c>
      <c r="E231" s="48" t="str">
        <f aca="false">IF('RAW KVMC'!A228="","",'RAW KVMC'!A228)</f>
        <v>Grief Support Group</v>
      </c>
      <c r="F231" s="48" t="str">
        <f aca="false">IF('RAW KVMC'!B228="","",'RAW KVMC'!B228)</f>
        <v>Health Care Support Services</v>
      </c>
      <c r="G231" s="49" t="n">
        <f aca="false">IF('RAW KVMC'!C228="","",'RAW KVMC'!C228)</f>
        <v>46015</v>
      </c>
      <c r="H231" s="48" t="str">
        <f aca="false">IF('RAW KVMC'!D228="","",'RAW KVMC'!D228)</f>
        <v>Chaplain</v>
      </c>
      <c r="I231" s="48" t="n">
        <f aca="false">IF('RAW KVMC'!E228="","",'RAW KVMC'!E228)</f>
        <v>2.25</v>
      </c>
      <c r="J231" s="48" t="n">
        <f aca="false">IF('RAW KVMC'!F228="","",'RAW KVMC'!F228)</f>
        <v>9</v>
      </c>
      <c r="K231" s="50" t="n">
        <f aca="false">IF('RAW KVMC'!G228="","",'RAW KVMC'!G228)</f>
        <v>50</v>
      </c>
      <c r="L231" s="50" t="n">
        <f aca="false">IF('RAW KVMC'!H228="","",'RAW KVMC'!H228)</f>
        <v>0</v>
      </c>
      <c r="M231" s="48" t="str">
        <f aca="false">IF('RAW KVMC'!I228="","",'RAW KVMC'!I228)</f>
        <v/>
      </c>
    </row>
    <row r="232" customFormat="false" ht="15" hidden="false" customHeight="false" outlineLevel="0" collapsed="false">
      <c r="A232" s="1" t="s">
        <v>1376</v>
      </c>
      <c r="B232" s="1" t="s">
        <v>154</v>
      </c>
      <c r="C232" s="1" t="s">
        <v>1145</v>
      </c>
      <c r="D232" s="1" t="n">
        <v>229</v>
      </c>
      <c r="E232" s="48" t="str">
        <f aca="false">IF('RAW KVMC'!A229="","",'RAW KVMC'!A229)</f>
        <v>Grief Support Group</v>
      </c>
      <c r="F232" s="48" t="str">
        <f aca="false">IF('RAW KVMC'!B229="","",'RAW KVMC'!B229)</f>
        <v>Health Care Support Services</v>
      </c>
      <c r="G232" s="49" t="n">
        <f aca="false">IF('RAW KVMC'!C229="","",'RAW KVMC'!C229)</f>
        <v>46015</v>
      </c>
      <c r="H232" s="48" t="str">
        <f aca="false">IF('RAW KVMC'!D229="","",'RAW KVMC'!D229)</f>
        <v>LMSW</v>
      </c>
      <c r="I232" s="48" t="n">
        <f aca="false">IF('RAW KVMC'!E229="","",'RAW KVMC'!E229)</f>
        <v>2</v>
      </c>
      <c r="J232" s="48" t="n">
        <f aca="false">IF('RAW KVMC'!F229="","",'RAW KVMC'!F229)</f>
        <v>0</v>
      </c>
      <c r="K232" s="50" t="n">
        <f aca="false">IF('RAW KVMC'!G229="","",'RAW KVMC'!G229)</f>
        <v>0</v>
      </c>
      <c r="L232" s="50" t="n">
        <f aca="false">IF('RAW KVMC'!H229="","",'RAW KVMC'!H229)</f>
        <v>0</v>
      </c>
      <c r="M232" s="48" t="str">
        <f aca="false">IF('RAW KVMC'!I229="","",'RAW KVMC'!I229)</f>
        <v/>
      </c>
    </row>
    <row r="233" customFormat="false" ht="15" hidden="false" customHeight="false" outlineLevel="0" collapsed="false">
      <c r="A233" s="1" t="s">
        <v>1377</v>
      </c>
      <c r="B233" s="1" t="s">
        <v>154</v>
      </c>
      <c r="C233" s="1" t="s">
        <v>1145</v>
      </c>
      <c r="D233" s="1" t="n">
        <v>230</v>
      </c>
      <c r="E233" s="48" t="str">
        <f aca="false">IF('RAW KVMC'!A230="","",'RAW KVMC'!A230)</f>
        <v>Diabetes Prevention Classes</v>
      </c>
      <c r="F233" s="48" t="str">
        <f aca="false">IF('RAW KVMC'!B230="","",'RAW KVMC'!B230)</f>
        <v>Community Health Education</v>
      </c>
      <c r="G233" s="49" t="n">
        <f aca="false">IF('RAW KVMC'!C230="","",'RAW KVMC'!C230)</f>
        <v>46016</v>
      </c>
      <c r="H233" s="48" t="str">
        <f aca="false">IF('RAW KVMC'!D230="","",'RAW KVMC'!D230)</f>
        <v>Health Ed</v>
      </c>
      <c r="I233" s="48" t="n">
        <f aca="false">IF('RAW KVMC'!E230="","",'RAW KVMC'!E230)</f>
        <v>2</v>
      </c>
      <c r="J233" s="48" t="n">
        <f aca="false">IF('RAW KVMC'!F230="","",'RAW KVMC'!F230)</f>
        <v>16</v>
      </c>
      <c r="K233" s="50" t="n">
        <f aca="false">IF('RAW KVMC'!G230="","",'RAW KVMC'!G230)</f>
        <v>80</v>
      </c>
      <c r="L233" s="50" t="n">
        <f aca="false">IF('RAW KVMC'!H230="","",'RAW KVMC'!H230)</f>
        <v>0</v>
      </c>
      <c r="M233" s="48" t="str">
        <f aca="false">IF('RAW KVMC'!I230="","",'RAW KVMC'!I230)</f>
        <v/>
      </c>
    </row>
    <row r="234" customFormat="false" ht="15" hidden="false" customHeight="false" outlineLevel="0" collapsed="false">
      <c r="A234" s="1" t="s">
        <v>1378</v>
      </c>
      <c r="B234" s="1" t="s">
        <v>154</v>
      </c>
      <c r="C234" s="1" t="s">
        <v>1145</v>
      </c>
      <c r="D234" s="1" t="n">
        <v>231</v>
      </c>
      <c r="E234" s="48" t="str">
        <f aca="false">IF('RAW KVMC'!A231="","",'RAW KVMC'!A231)</f>
        <v>Diabetes Prevention Classes</v>
      </c>
      <c r="F234" s="48" t="str">
        <f aca="false">IF('RAW KVMC'!B231="","",'RAW KVMC'!B231)</f>
        <v>Community Health Education</v>
      </c>
      <c r="G234" s="49" t="n">
        <f aca="false">IF('RAW KVMC'!C231="","",'RAW KVMC'!C231)</f>
        <v>46016</v>
      </c>
      <c r="H234" s="48" t="str">
        <f aca="false">IF('RAW KVMC'!D231="","",'RAW KVMC'!D231)</f>
        <v>RD</v>
      </c>
      <c r="I234" s="48" t="n">
        <f aca="false">IF('RAW KVMC'!E231="","",'RAW KVMC'!E231)</f>
        <v>1.75</v>
      </c>
      <c r="J234" s="48" t="n">
        <f aca="false">IF('RAW KVMC'!F231="","",'RAW KVMC'!F231)</f>
        <v>0</v>
      </c>
      <c r="K234" s="50" t="n">
        <f aca="false">IF('RAW KVMC'!G231="","",'RAW KVMC'!G231)</f>
        <v>0</v>
      </c>
      <c r="L234" s="50" t="n">
        <f aca="false">IF('RAW KVMC'!H231="","",'RAW KVMC'!H231)</f>
        <v>0</v>
      </c>
      <c r="M234" s="48" t="str">
        <f aca="false">IF('RAW KVMC'!I231="","",'RAW KVMC'!I231)</f>
        <v/>
      </c>
    </row>
    <row r="235" customFormat="false" ht="15" hidden="false" customHeight="false" outlineLevel="0" collapsed="false">
      <c r="A235" s="1" t="s">
        <v>1379</v>
      </c>
      <c r="B235" s="1" t="s">
        <v>154</v>
      </c>
      <c r="C235" s="1" t="s">
        <v>1145</v>
      </c>
      <c r="D235" s="1" t="n">
        <v>232</v>
      </c>
      <c r="E235" s="48" t="str">
        <f aca="false">IF('RAW KVMC'!A232="","",'RAW KVMC'!A232)</f>
        <v>Diabetes Prevention Classes</v>
      </c>
      <c r="F235" s="48" t="str">
        <f aca="false">IF('RAW KVMC'!B232="","",'RAW KVMC'!B232)</f>
        <v>Community Health Education</v>
      </c>
      <c r="G235" s="49" t="n">
        <f aca="false">IF('RAW KVMC'!C232="","",'RAW KVMC'!C232)</f>
        <v>46017</v>
      </c>
      <c r="H235" s="48" t="str">
        <f aca="false">IF('RAW KVMC'!D232="","",'RAW KVMC'!D232)</f>
        <v>Health Educator</v>
      </c>
      <c r="I235" s="48" t="n">
        <f aca="false">IF('RAW KVMC'!E232="","",'RAW KVMC'!E232)</f>
        <v>2</v>
      </c>
      <c r="J235" s="48" t="n">
        <f aca="false">IF('RAW KVMC'!F232="","",'RAW KVMC'!F232)</f>
        <v>15</v>
      </c>
      <c r="K235" s="50" t="n">
        <f aca="false">IF('RAW KVMC'!G232="","",'RAW KVMC'!G232)</f>
        <v>165</v>
      </c>
      <c r="L235" s="50" t="n">
        <f aca="false">IF('RAW KVMC'!H232="","",'RAW KVMC'!H232)</f>
        <v>0</v>
      </c>
      <c r="M235" s="48" t="str">
        <f aca="false">IF('RAW KVMC'!I232="","",'RAW KVMC'!I232)</f>
        <v/>
      </c>
    </row>
    <row r="236" customFormat="false" ht="15" hidden="false" customHeight="false" outlineLevel="0" collapsed="false">
      <c r="A236" s="1" t="s">
        <v>1380</v>
      </c>
      <c r="B236" s="1" t="s">
        <v>154</v>
      </c>
      <c r="C236" s="1" t="s">
        <v>1145</v>
      </c>
      <c r="D236" s="1" t="n">
        <v>233</v>
      </c>
      <c r="E236" s="48" t="str">
        <f aca="false">IF('RAW KVMC'!A233="","",'RAW KVMC'!A233)</f>
        <v>Diabetes Prevention Classes</v>
      </c>
      <c r="F236" s="48" t="str">
        <f aca="false">IF('RAW KVMC'!B233="","",'RAW KVMC'!B233)</f>
        <v>Community Health Education</v>
      </c>
      <c r="G236" s="49" t="n">
        <f aca="false">IF('RAW KVMC'!C233="","",'RAW KVMC'!C233)</f>
        <v>46017</v>
      </c>
      <c r="H236" s="48" t="str">
        <f aca="false">IF('RAW KVMC'!D233="","",'RAW KVMC'!D233)</f>
        <v>RDN</v>
      </c>
      <c r="I236" s="48" t="n">
        <f aca="false">IF('RAW KVMC'!E233="","",'RAW KVMC'!E233)</f>
        <v>1.75</v>
      </c>
      <c r="J236" s="48" t="n">
        <f aca="false">IF('RAW KVMC'!F233="","",'RAW KVMC'!F233)</f>
        <v>0</v>
      </c>
      <c r="K236" s="50" t="n">
        <f aca="false">IF('RAW KVMC'!G233="","",'RAW KVMC'!G233)</f>
        <v>0</v>
      </c>
      <c r="L236" s="50" t="n">
        <f aca="false">IF('RAW KVMC'!H233="","",'RAW KVMC'!H233)</f>
        <v>0</v>
      </c>
      <c r="M236" s="48" t="str">
        <f aca="false">IF('RAW KVMC'!I233="","",'RAW KVMC'!I233)</f>
        <v/>
      </c>
    </row>
    <row r="237" customFormat="false" ht="15" hidden="false" customHeight="false" outlineLevel="0" collapsed="false">
      <c r="A237" s="1" t="s">
        <v>1381</v>
      </c>
      <c r="B237" s="1" t="s">
        <v>154</v>
      </c>
      <c r="C237" s="1" t="s">
        <v>1145</v>
      </c>
      <c r="D237" s="1" t="n">
        <v>234</v>
      </c>
      <c r="E237" s="48" t="str">
        <f aca="false">IF('RAW KVMC'!A234="","",'RAW KVMC'!A234)</f>
        <v>Diabetes Prevention Classes</v>
      </c>
      <c r="F237" s="48" t="str">
        <f aca="false">IF('RAW KVMC'!B234="","",'RAW KVMC'!B234)</f>
        <v>Community Health Education</v>
      </c>
      <c r="G237" s="49" t="n">
        <f aca="false">IF('RAW KVMC'!C234="","",'RAW KVMC'!C234)</f>
        <v>46018</v>
      </c>
      <c r="H237" s="48" t="str">
        <f aca="false">IF('RAW KVMC'!D234="","",'RAW KVMC'!D234)</f>
        <v>Hlth Educator </v>
      </c>
      <c r="I237" s="48" t="n">
        <f aca="false">IF('RAW KVMC'!E234="","",'RAW KVMC'!E234)</f>
        <v>2.5</v>
      </c>
      <c r="J237" s="48" t="n">
        <f aca="false">IF('RAW KVMC'!F234="","",'RAW KVMC'!F234)</f>
        <v>9</v>
      </c>
      <c r="K237" s="50" t="n">
        <f aca="false">IF('RAW KVMC'!G234="","",'RAW KVMC'!G234)</f>
        <v>60</v>
      </c>
      <c r="L237" s="50" t="n">
        <f aca="false">IF('RAW KVMC'!H234="","",'RAW KVMC'!H234)</f>
        <v>0</v>
      </c>
      <c r="M237" s="48" t="str">
        <f aca="false">IF('RAW KVMC'!I234="","",'RAW KVMC'!I234)</f>
        <v/>
      </c>
    </row>
    <row r="238" customFormat="false" ht="15" hidden="false" customHeight="false" outlineLevel="0" collapsed="false">
      <c r="A238" s="1" t="s">
        <v>1382</v>
      </c>
      <c r="B238" s="1" t="s">
        <v>154</v>
      </c>
      <c r="C238" s="1" t="s">
        <v>1145</v>
      </c>
      <c r="D238" s="1" t="n">
        <v>235</v>
      </c>
      <c r="E238" s="48" t="str">
        <f aca="false">IF('RAW KVMC'!A235="","",'RAW KVMC'!A235)</f>
        <v>Diabetes Prevention Classes</v>
      </c>
      <c r="F238" s="48" t="str">
        <f aca="false">IF('RAW KVMC'!B235="","",'RAW KVMC'!B235)</f>
        <v>Community Health Education</v>
      </c>
      <c r="G238" s="49" t="n">
        <f aca="false">IF('RAW KVMC'!C235="","",'RAW KVMC'!C235)</f>
        <v>46018</v>
      </c>
      <c r="H238" s="48" t="str">
        <f aca="false">IF('RAW KVMC'!D235="","",'RAW KVMC'!D235)</f>
        <v>Registered Dietitian</v>
      </c>
      <c r="I238" s="48" t="n">
        <f aca="false">IF('RAW KVMC'!E235="","",'RAW KVMC'!E235)</f>
        <v>1.75</v>
      </c>
      <c r="J238" s="48" t="n">
        <f aca="false">IF('RAW KVMC'!F235="","",'RAW KVMC'!F235)</f>
        <v>0</v>
      </c>
      <c r="K238" s="50" t="n">
        <f aca="false">IF('RAW KVMC'!G235="","",'RAW KVMC'!G235)</f>
        <v>0</v>
      </c>
      <c r="L238" s="50" t="n">
        <f aca="false">IF('RAW KVMC'!H235="","",'RAW KVMC'!H235)</f>
        <v>0</v>
      </c>
      <c r="M238" s="48" t="str">
        <f aca="false">IF('RAW KVMC'!I235="","",'RAW KVMC'!I235)</f>
        <v/>
      </c>
    </row>
    <row r="239" customFormat="false" ht="15" hidden="false" customHeight="false" outlineLevel="0" collapsed="false">
      <c r="A239" s="1" t="s">
        <v>1383</v>
      </c>
      <c r="B239" s="1" t="s">
        <v>154</v>
      </c>
      <c r="C239" s="1" t="s">
        <v>1145</v>
      </c>
      <c r="D239" s="1" t="n">
        <v>236</v>
      </c>
      <c r="E239" s="48" t="str">
        <f aca="false">IF('RAW KVMC'!A236="","",'RAW KVMC'!A236)</f>
        <v>Community Blood Pressure Checks</v>
      </c>
      <c r="F239" s="48" t="str">
        <f aca="false">IF('RAW KVMC'!B236="","",'RAW KVMC'!B236)</f>
        <v>Community-Based Clinical Services</v>
      </c>
      <c r="G239" s="49" t="n">
        <f aca="false">IF('RAW KVMC'!C236="","",'RAW KVMC'!C236)</f>
        <v>46021</v>
      </c>
      <c r="H239" s="48" t="str">
        <f aca="false">IF('RAW KVMC'!D236="","",'RAW KVMC'!D236)</f>
        <v>Charge RN</v>
      </c>
      <c r="I239" s="48" t="n">
        <f aca="false">IF('RAW KVMC'!E236="","",'RAW KVMC'!E236)</f>
        <v>3.5</v>
      </c>
      <c r="J239" s="48" t="n">
        <f aca="false">IF('RAW KVMC'!F236="","",'RAW KVMC'!F236)</f>
        <v>70</v>
      </c>
      <c r="K239" s="50" t="n">
        <f aca="false">IF('RAW KVMC'!G236="","",'RAW KVMC'!G236)</f>
        <v>60</v>
      </c>
      <c r="L239" s="50" t="n">
        <f aca="false">IF('RAW KVMC'!H236="","",'RAW KVMC'!H236)</f>
        <v>0</v>
      </c>
      <c r="M239" s="48" t="str">
        <f aca="false">IF('RAW KVMC'!I236="","",'RAW KVMC'!I236)</f>
        <v/>
      </c>
    </row>
    <row r="240" customFormat="false" ht="15" hidden="false" customHeight="false" outlineLevel="0" collapsed="false">
      <c r="A240" s="1" t="s">
        <v>1384</v>
      </c>
      <c r="B240" s="1" t="s">
        <v>154</v>
      </c>
      <c r="C240" s="1" t="s">
        <v>1145</v>
      </c>
      <c r="D240" s="1" t="n">
        <v>237</v>
      </c>
      <c r="E240" s="48" t="str">
        <f aca="false">IF('RAW KVMC'!A237="","",'RAW KVMC'!A237)</f>
        <v>Regional Health Coalition</v>
      </c>
      <c r="F240" s="48" t="str">
        <f aca="false">IF('RAW KVMC'!B237="","",'RAW KVMC'!B237)</f>
        <v>Community Building - Coalition</v>
      </c>
      <c r="G240" s="49" t="n">
        <f aca="false">IF('RAW KVMC'!C237="","",'RAW KVMC'!C237)</f>
        <v>46021</v>
      </c>
      <c r="H240" s="48" t="str">
        <f aca="false">IF('RAW KVMC'!D237="","",'RAW KVMC'!D237)</f>
        <v>Community Health Manager</v>
      </c>
      <c r="I240" s="48" t="n">
        <f aca="false">IF('RAW KVMC'!E237="","",'RAW KVMC'!E237)</f>
        <v>2.25</v>
      </c>
      <c r="J240" s="48" t="n">
        <f aca="false">IF('RAW KVMC'!F237="","",'RAW KVMC'!F237)</f>
        <v>0</v>
      </c>
      <c r="K240" s="50" t="n">
        <f aca="false">IF('RAW KVMC'!G237="","",'RAW KVMC'!G237)</f>
        <v>0</v>
      </c>
      <c r="L240" s="50" t="n">
        <f aca="false">IF('RAW KVMC'!H237="","",'RAW KVMC'!H237)</f>
        <v>0</v>
      </c>
      <c r="M240" s="48" t="str">
        <f aca="false">IF('RAW KVMC'!I237="","",'RAW KVMC'!I237)</f>
        <v/>
      </c>
    </row>
    <row r="241" customFormat="false" ht="15" hidden="false" customHeight="false" outlineLevel="0" collapsed="false">
      <c r="A241" s="1" t="s">
        <v>1385</v>
      </c>
      <c r="B241" s="1" t="s">
        <v>154</v>
      </c>
      <c r="C241" s="1" t="s">
        <v>1145</v>
      </c>
      <c r="D241" s="1" t="n">
        <v>238</v>
      </c>
      <c r="E241" s="48" t="str">
        <f aca="false">IF('RAW KVMC'!A238="","",'RAW KVMC'!A238)</f>
        <v>Regional Health Coalition</v>
      </c>
      <c r="F241" s="48" t="str">
        <f aca="false">IF('RAW KVMC'!B238="","",'RAW KVMC'!B238)</f>
        <v>Community Building - Coalition</v>
      </c>
      <c r="G241" s="49" t="n">
        <f aca="false">IF('RAW KVMC'!C238="","",'RAW KVMC'!C238)</f>
        <v>46021</v>
      </c>
      <c r="H241" s="48" t="str">
        <f aca="false">IF('RAW KVMC'!D238="","",'RAW KVMC'!D238)</f>
        <v>Director of Community Health</v>
      </c>
      <c r="I241" s="48" t="n">
        <f aca="false">IF('RAW KVMC'!E238="","",'RAW KVMC'!E238)</f>
        <v>2.75</v>
      </c>
      <c r="J241" s="48" t="n">
        <f aca="false">IF('RAW KVMC'!F238="","",'RAW KVMC'!F238)</f>
        <v>0</v>
      </c>
      <c r="K241" s="50" t="n">
        <f aca="false">IF('RAW KVMC'!G238="","",'RAW KVMC'!G238)</f>
        <v>50</v>
      </c>
      <c r="L241" s="50" t="n">
        <f aca="false">IF('RAW KVMC'!H238="","",'RAW KVMC'!H238)</f>
        <v>0</v>
      </c>
      <c r="M241" s="48" t="str">
        <f aca="false">IF('RAW KVMC'!I238="","",'RAW KVMC'!I238)</f>
        <v/>
      </c>
    </row>
    <row r="242" customFormat="false" ht="15" hidden="false" customHeight="false" outlineLevel="0" collapsed="false">
      <c r="A242" s="1" t="s">
        <v>1386</v>
      </c>
      <c r="B242" s="1" t="s">
        <v>154</v>
      </c>
      <c r="C242" s="1" t="s">
        <v>1145</v>
      </c>
      <c r="D242" s="1" t="n">
        <v>239</v>
      </c>
      <c r="E242" s="48" t="str">
        <f aca="false">IF('RAW KVMC'!A239="","",'RAW KVMC'!A239)</f>
        <v>Mobile Health Screening Unit</v>
      </c>
      <c r="F242" s="48" t="str">
        <f aca="false">IF('RAW KVMC'!B239="","",'RAW KVMC'!B239)</f>
        <v>Community-Based Clinical Services</v>
      </c>
      <c r="G242" s="49" t="n">
        <f aca="false">IF('RAW KVMC'!C239="","",'RAW KVMC'!C239)</f>
        <v>46022</v>
      </c>
      <c r="H242" s="48" t="str">
        <f aca="false">IF('RAW KVMC'!D239="","",'RAW KVMC'!D239)</f>
        <v>Outreach Worker</v>
      </c>
      <c r="I242" s="48" t="n">
        <f aca="false">IF('RAW KVMC'!E239="","",'RAW KVMC'!E239)</f>
        <v>73.75</v>
      </c>
      <c r="J242" s="48" t="n">
        <f aca="false">IF('RAW KVMC'!F239="","",'RAW KVMC'!F239)</f>
        <v>0</v>
      </c>
      <c r="K242" s="50" t="n">
        <f aca="false">IF('RAW KVMC'!G239="","",'RAW KVMC'!G239)</f>
        <v>0</v>
      </c>
      <c r="L242" s="50" t="n">
        <f aca="false">IF('RAW KVMC'!H239="","",'RAW KVMC'!H239)</f>
        <v>0</v>
      </c>
      <c r="M242" s="48" t="str">
        <f aca="false">IF('RAW KVMC'!I239="","",'RAW KVMC'!I239)</f>
        <v/>
      </c>
    </row>
    <row r="243" customFormat="false" ht="15" hidden="false" customHeight="false" outlineLevel="0" collapsed="false">
      <c r="A243" s="1" t="s">
        <v>1387</v>
      </c>
      <c r="B243" s="1" t="s">
        <v>154</v>
      </c>
      <c r="C243" s="1" t="s">
        <v>1145</v>
      </c>
      <c r="D243" s="1" t="n">
        <v>240</v>
      </c>
      <c r="E243" s="48" t="str">
        <f aca="false">IF('RAW KVMC'!A240="","",'RAW KVMC'!A240)</f>
        <v>Mobile Health Screening Unit</v>
      </c>
      <c r="F243" s="48" t="str">
        <f aca="false">IF('RAW KVMC'!B240="","",'RAW KVMC'!B240)</f>
        <v>Community-Based Clinical Services</v>
      </c>
      <c r="G243" s="49" t="n">
        <f aca="false">IF('RAW KVMC'!C240="","",'RAW KVMC'!C240)</f>
        <v>46022</v>
      </c>
      <c r="H243" s="48" t="str">
        <f aca="false">IF('RAW KVMC'!D240="","",'RAW KVMC'!D240)</f>
        <v>Med Asst </v>
      </c>
      <c r="I243" s="48" t="n">
        <f aca="false">IF('RAW KVMC'!E240="","",'RAW KVMC'!E240)</f>
        <v>123.5</v>
      </c>
      <c r="J243" s="48" t="n">
        <f aca="false">IF('RAW KVMC'!F240="","",'RAW KVMC'!F240)</f>
        <v>0</v>
      </c>
      <c r="K243" s="50" t="n">
        <f aca="false">IF('RAW KVMC'!G240="","",'RAW KVMC'!G240)</f>
        <v>0</v>
      </c>
      <c r="L243" s="50" t="n">
        <f aca="false">IF('RAW KVMC'!H240="","",'RAW KVMC'!H240)</f>
        <v>0</v>
      </c>
      <c r="M243" s="48" t="str">
        <f aca="false">IF('RAW KVMC'!I240="","",'RAW KVMC'!I240)</f>
        <v/>
      </c>
    </row>
    <row r="244" customFormat="false" ht="15" hidden="false" customHeight="false" outlineLevel="0" collapsed="false">
      <c r="A244" s="1" t="s">
        <v>1388</v>
      </c>
      <c r="B244" s="1" t="s">
        <v>154</v>
      </c>
      <c r="C244" s="1" t="s">
        <v>1145</v>
      </c>
      <c r="D244" s="1" t="n">
        <v>241</v>
      </c>
      <c r="E244" s="48" t="str">
        <f aca="false">IF('RAW KVMC'!A241="","",'RAW KVMC'!A241)</f>
        <v>Mobile Health Screening Unit</v>
      </c>
      <c r="F244" s="48" t="str">
        <f aca="false">IF('RAW KVMC'!B241="","",'RAW KVMC'!B241)</f>
        <v>Community-Based Clinical Services</v>
      </c>
      <c r="G244" s="49" t="n">
        <f aca="false">IF('RAW KVMC'!C241="","",'RAW KVMC'!C241)</f>
        <v>46022</v>
      </c>
      <c r="H244" s="48" t="str">
        <f aca="false">IF('RAW KVMC'!D241="","",'RAW KVMC'!D241)</f>
        <v>Registered Nurse</v>
      </c>
      <c r="I244" s="48" t="n">
        <f aca="false">IF('RAW KVMC'!E241="","",'RAW KVMC'!E241)</f>
        <v>122</v>
      </c>
      <c r="J244" s="48" t="n">
        <f aca="false">IF('RAW KVMC'!F241="","",'RAW KVMC'!F241)</f>
        <v>264</v>
      </c>
      <c r="K244" s="50" t="n">
        <f aca="false">IF('RAW KVMC'!G241="","",'RAW KVMC'!G241)</f>
        <v>6205</v>
      </c>
      <c r="L244" s="50" t="n">
        <f aca="false">IF('RAW KVMC'!H241="","",'RAW KVMC'!H241)</f>
        <v>0</v>
      </c>
      <c r="M244" s="48" t="str">
        <f aca="false">IF('RAW KVMC'!I241="","",'RAW KVMC'!I241)</f>
        <v/>
      </c>
    </row>
    <row r="245" customFormat="false" ht="15" hidden="false" customHeight="false" outlineLevel="0" collapsed="false">
      <c r="A245" s="1" t="s">
        <v>1389</v>
      </c>
      <c r="B245" s="1" t="s">
        <v>154</v>
      </c>
      <c r="C245" s="1" t="s">
        <v>1145</v>
      </c>
      <c r="D245" s="1" t="n">
        <v>242</v>
      </c>
      <c r="E245" s="48" t="str">
        <f aca="false">IF('RAW KVMC'!A242="","",'RAW KVMC'!A242)</f>
        <v>Childbirth and Newborn Care Classes</v>
      </c>
      <c r="F245" s="48" t="str">
        <f aca="false">IF('RAW KVMC'!B242="","",'RAW KVMC'!B242)</f>
        <v>Community Health Education</v>
      </c>
      <c r="G245" s="49" t="n">
        <f aca="false">IF('RAW KVMC'!C242="","",'RAW KVMC'!C242)</f>
        <v>46022</v>
      </c>
      <c r="H245" s="48" t="str">
        <f aca="false">IF('RAW KVMC'!D242="","",'RAW KVMC'!D242)</f>
        <v>Nurse Educator</v>
      </c>
      <c r="I245" s="48" t="n">
        <f aca="false">IF('RAW KVMC'!E242="","",'RAW KVMC'!E242)</f>
        <v>3.25</v>
      </c>
      <c r="J245" s="48" t="n">
        <f aca="false">IF('RAW KVMC'!F242="","",'RAW KVMC'!F242)</f>
        <v>18</v>
      </c>
      <c r="K245" s="50" t="n">
        <f aca="false">IF('RAW KVMC'!G242="","",'RAW KVMC'!G242)</f>
        <v>170</v>
      </c>
      <c r="L245" s="50" t="n">
        <f aca="false">IF('RAW KVMC'!H242="","",'RAW KVMC'!H242)</f>
        <v>360</v>
      </c>
      <c r="M245" s="48" t="str">
        <f aca="false">IF('RAW KVMC'!I242="","",'RAW KVMC'!I242)</f>
        <v/>
      </c>
    </row>
    <row r="246" customFormat="false" ht="15" hidden="false" customHeight="false" outlineLevel="0" collapsed="false">
      <c r="A246" s="1" t="s">
        <v>1390</v>
      </c>
      <c r="B246" s="1" t="s">
        <v>154</v>
      </c>
      <c r="C246" s="1" t="s">
        <v>1145</v>
      </c>
      <c r="D246" s="1" t="n">
        <v>243</v>
      </c>
      <c r="E246" s="48" t="str">
        <f aca="false">IF('RAW KVMC'!A243="","",'RAW KVMC'!A243)</f>
        <v>Grief Support Group</v>
      </c>
      <c r="F246" s="48" t="str">
        <f aca="false">IF('RAW KVMC'!B243="","",'RAW KVMC'!B243)</f>
        <v>Health Care Support Services</v>
      </c>
      <c r="G246" s="49" t="n">
        <f aca="false">IF('RAW KVMC'!C243="","",'RAW KVMC'!C243)</f>
        <v>46022</v>
      </c>
      <c r="H246" s="48" t="str">
        <f aca="false">IF('RAW KVMC'!D243="","",'RAW KVMC'!D243)</f>
        <v>Chaplain</v>
      </c>
      <c r="I246" s="48" t="n">
        <f aca="false">IF('RAW KVMC'!E243="","",'RAW KVMC'!E243)</f>
        <v>2</v>
      </c>
      <c r="J246" s="48" t="n">
        <f aca="false">IF('RAW KVMC'!F243="","",'RAW KVMC'!F243)</f>
        <v>12</v>
      </c>
      <c r="K246" s="50" t="n">
        <f aca="false">IF('RAW KVMC'!G243="","",'RAW KVMC'!G243)</f>
        <v>35</v>
      </c>
      <c r="L246" s="50" t="n">
        <f aca="false">IF('RAW KVMC'!H243="","",'RAW KVMC'!H243)</f>
        <v>0</v>
      </c>
      <c r="M246" s="48" t="str">
        <f aca="false">IF('RAW KVMC'!I243="","",'RAW KVMC'!I243)</f>
        <v/>
      </c>
    </row>
    <row r="247" customFormat="false" ht="15" hidden="false" customHeight="false" outlineLevel="0" collapsed="false">
      <c r="A247" s="1" t="s">
        <v>1391</v>
      </c>
      <c r="B247" s="1" t="s">
        <v>154</v>
      </c>
      <c r="C247" s="1" t="s">
        <v>1145</v>
      </c>
      <c r="D247" s="1" t="n">
        <v>244</v>
      </c>
      <c r="E247" s="48" t="str">
        <f aca="false">IF('RAW KVMC'!A244="","",'RAW KVMC'!A244)</f>
        <v>Grief Support Group</v>
      </c>
      <c r="F247" s="48" t="str">
        <f aca="false">IF('RAW KVMC'!B244="","",'RAW KVMC'!B244)</f>
        <v>Health Care Support Services</v>
      </c>
      <c r="G247" s="49" t="n">
        <f aca="false">IF('RAW KVMC'!C244="","",'RAW KVMC'!C244)</f>
        <v>46022</v>
      </c>
      <c r="H247" s="48" t="str">
        <f aca="false">IF('RAW KVMC'!D244="","",'RAW KVMC'!D244)</f>
        <v>LMSW</v>
      </c>
      <c r="I247" s="48" t="n">
        <f aca="false">IF('RAW KVMC'!E244="","",'RAW KVMC'!E244)</f>
        <v>1.5</v>
      </c>
      <c r="J247" s="48" t="n">
        <f aca="false">IF('RAW KVMC'!F244="","",'RAW KVMC'!F244)</f>
        <v>0</v>
      </c>
      <c r="K247" s="50" t="n">
        <f aca="false">IF('RAW KVMC'!G244="","",'RAW KVMC'!G244)</f>
        <v>0</v>
      </c>
      <c r="L247" s="50" t="n">
        <f aca="false">IF('RAW KVMC'!H244="","",'RAW KVMC'!H244)</f>
        <v>0</v>
      </c>
      <c r="M247" s="48" t="str">
        <f aca="false">IF('RAW KVMC'!I244="","",'RAW KVMC'!I244)</f>
        <v/>
      </c>
    </row>
    <row r="248" customFormat="false" ht="15" hidden="false" customHeight="false" outlineLevel="0" collapsed="false">
      <c r="A248" s="1" t="s">
        <v>1392</v>
      </c>
      <c r="B248" s="1" t="s">
        <v>154</v>
      </c>
      <c r="C248" s="1" t="s">
        <v>1145</v>
      </c>
      <c r="D248" s="1" t="n">
        <v>245</v>
      </c>
      <c r="E248" s="48" t="str">
        <f aca="false">IF('RAW KVMC'!A245="","",'RAW KVMC'!A245)</f>
        <v>Free Clinic Provider Staffing</v>
      </c>
      <c r="F248" s="48" t="str">
        <f aca="false">IF('RAW KVMC'!B245="","",'RAW KVMC'!B245)</f>
        <v>Community-Based Clinical Services</v>
      </c>
      <c r="G248" s="49" t="n">
        <f aca="false">IF('RAW KVMC'!C245="","",'RAW KVMC'!C245)</f>
        <v>46022</v>
      </c>
      <c r="H248" s="48" t="str">
        <f aca="false">IF('RAW KVMC'!D245="","",'RAW KVMC'!D245)</f>
        <v>Nurse Practitioner</v>
      </c>
      <c r="I248" s="48" t="n">
        <f aca="false">IF('RAW KVMC'!E245="","",'RAW KVMC'!E245)</f>
        <v>50.25</v>
      </c>
      <c r="J248" s="48" t="n">
        <f aca="false">IF('RAW KVMC'!F245="","",'RAW KVMC'!F245)</f>
        <v>289</v>
      </c>
      <c r="K248" s="50" t="n">
        <f aca="false">IF('RAW KVMC'!G245="","",'RAW KVMC'!G245)</f>
        <v>3925</v>
      </c>
      <c r="L248" s="50" t="n">
        <f aca="false">IF('RAW KVMC'!H245="","",'RAW KVMC'!H245)</f>
        <v>0</v>
      </c>
      <c r="M248" s="48" t="str">
        <f aca="false">IF('RAW KVMC'!I245="","",'RAW KVMC'!I245)</f>
        <v/>
      </c>
    </row>
    <row r="249" customFormat="false" ht="15" hidden="false" customHeight="false" outlineLevel="0" collapsed="false">
      <c r="A249" s="1" t="s">
        <v>1393</v>
      </c>
      <c r="B249" s="1" t="s">
        <v>154</v>
      </c>
      <c r="C249" s="1" t="s">
        <v>1145</v>
      </c>
      <c r="D249" s="1" t="n">
        <v>246</v>
      </c>
      <c r="E249" s="48" t="str">
        <f aca="false">IF('RAW KVMC'!A246="","",'RAW KVMC'!A246)</f>
        <v>Free Clinic Provider Staffing</v>
      </c>
      <c r="F249" s="48" t="str">
        <f aca="false">IF('RAW KVMC'!B246="","",'RAW KVMC'!B246)</f>
        <v>Community-Based Clinical Services</v>
      </c>
      <c r="G249" s="49" t="n">
        <f aca="false">IF('RAW KVMC'!C246="","",'RAW KVMC'!C246)</f>
        <v>46022</v>
      </c>
      <c r="H249" s="48" t="str">
        <f aca="false">IF('RAW KVMC'!D246="","",'RAW KVMC'!D246)</f>
        <v>Pharmacist II</v>
      </c>
      <c r="I249" s="48" t="n">
        <f aca="false">IF('RAW KVMC'!E246="","",'RAW KVMC'!E246)</f>
        <v>16.25</v>
      </c>
      <c r="J249" s="48" t="n">
        <f aca="false">IF('RAW KVMC'!F246="","",'RAW KVMC'!F246)</f>
        <v>0</v>
      </c>
      <c r="K249" s="50" t="n">
        <f aca="false">IF('RAW KVMC'!G246="","",'RAW KVMC'!G246)</f>
        <v>0</v>
      </c>
      <c r="L249" s="50" t="n">
        <f aca="false">IF('RAW KVMC'!H246="","",'RAW KVMC'!H246)</f>
        <v>0</v>
      </c>
      <c r="M249" s="48" t="str">
        <f aca="false">IF('RAW KVMC'!I246="","",'RAW KVMC'!I246)</f>
        <v/>
      </c>
    </row>
    <row r="250" customFormat="false" ht="15" hidden="false" customHeight="false" outlineLevel="0" collapsed="false">
      <c r="A250" s="1" t="s">
        <v>1394</v>
      </c>
      <c r="B250" s="1" t="s">
        <v>154</v>
      </c>
      <c r="C250" s="1" t="s">
        <v>1145</v>
      </c>
      <c r="D250" s="1" t="n">
        <v>247</v>
      </c>
      <c r="E250" s="48" t="str">
        <f aca="false">IF('RAW KVMC'!A247="","",'RAW KVMC'!A247)</f>
        <v>Free Clinic Provider Staffing</v>
      </c>
      <c r="F250" s="48" t="str">
        <f aca="false">IF('RAW KVMC'!B247="","",'RAW KVMC'!B247)</f>
        <v>Community-Based Clinical Services</v>
      </c>
      <c r="G250" s="49" t="n">
        <f aca="false">IF('RAW KVMC'!C247="","",'RAW KVMC'!C247)</f>
        <v>46022</v>
      </c>
      <c r="H250" s="48" t="str">
        <f aca="false">IF('RAW KVMC'!D247="","",'RAW KVMC'!D247)</f>
        <v>RN II</v>
      </c>
      <c r="I250" s="48" t="n">
        <f aca="false">IF('RAW KVMC'!E247="","",'RAW KVMC'!E247)</f>
        <v>43.75</v>
      </c>
      <c r="J250" s="48" t="n">
        <f aca="false">IF('RAW KVMC'!F247="","",'RAW KVMC'!F247)</f>
        <v>0</v>
      </c>
      <c r="K250" s="50" t="n">
        <f aca="false">IF('RAW KVMC'!G247="","",'RAW KVMC'!G247)</f>
        <v>0</v>
      </c>
      <c r="L250" s="50" t="n">
        <f aca="false">IF('RAW KVMC'!H247="","",'RAW KVMC'!H247)</f>
        <v>0</v>
      </c>
      <c r="M250" s="48" t="str">
        <f aca="false">IF('RAW KVMC'!I247="","",'RAW KVMC'!I247)</f>
        <v/>
      </c>
    </row>
    <row r="251" customFormat="false" ht="15" hidden="false" customHeight="false" outlineLevel="0" collapsed="false">
      <c r="A251" s="1" t="s">
        <v>1395</v>
      </c>
      <c r="B251" s="1" t="s">
        <v>154</v>
      </c>
      <c r="C251" s="1" t="s">
        <v>1145</v>
      </c>
      <c r="D251" s="1" t="n">
        <v>248</v>
      </c>
      <c r="E251" s="48" t="str">
        <f aca="false">IF('RAW KVMC'!A248="","",'RAW KVMC'!A248)</f>
        <v>Community Health Worker Outreach</v>
      </c>
      <c r="F251" s="48" t="str">
        <f aca="false">IF('RAW KVMC'!B248="","",'RAW KVMC'!B248)</f>
        <v>Health Care Support Services</v>
      </c>
      <c r="G251" s="49" t="n">
        <f aca="false">IF('RAW KVMC'!C248="","",'RAW KVMC'!C248)</f>
        <v>46022</v>
      </c>
      <c r="H251" s="48" t="str">
        <f aca="false">IF('RAW KVMC'!D248="","",'RAW KVMC'!D248)</f>
        <v>Community Health Worker</v>
      </c>
      <c r="I251" s="48" t="n">
        <f aca="false">IF('RAW KVMC'!E248="","",'RAW KVMC'!E248)</f>
        <v>383.5</v>
      </c>
      <c r="J251" s="48" t="n">
        <f aca="false">IF('RAW KVMC'!F248="","",'RAW KVMC'!F248)</f>
        <v>435</v>
      </c>
      <c r="K251" s="50" t="n">
        <f aca="false">IF('RAW KVMC'!G248="","",'RAW KVMC'!G248)</f>
        <v>2335</v>
      </c>
      <c r="L251" s="50" t="n">
        <f aca="false">IF('RAW KVMC'!H248="","",'RAW KVMC'!H248)</f>
        <v>0</v>
      </c>
      <c r="M251" s="48" t="str">
        <f aca="false">IF('RAW KVMC'!I248="","",'RAW KVMC'!I248)</f>
        <v/>
      </c>
    </row>
    <row r="252" customFormat="false" ht="15" hidden="false" customHeight="false" outlineLevel="0" collapsed="false">
      <c r="A252" s="1" t="s">
        <v>1396</v>
      </c>
      <c r="B252" s="1" t="s">
        <v>154</v>
      </c>
      <c r="C252" s="1" t="s">
        <v>1145</v>
      </c>
      <c r="D252" s="1" t="n">
        <v>249</v>
      </c>
      <c r="E252" s="48" t="str">
        <f aca="false">IF('RAW KVMC'!A249="","",'RAW KVMC'!A249)</f>
        <v>Community Health Worker Outreach</v>
      </c>
      <c r="F252" s="48" t="str">
        <f aca="false">IF('RAW KVMC'!B249="","",'RAW KVMC'!B249)</f>
        <v>Health Care Support Services</v>
      </c>
      <c r="G252" s="49" t="n">
        <f aca="false">IF('RAW KVMC'!C249="","",'RAW KVMC'!C249)</f>
        <v>46022</v>
      </c>
      <c r="H252" s="48" t="str">
        <f aca="false">IF('RAW KVMC'!D249="","",'RAW KVMC'!D249)</f>
        <v>Financial Navigator</v>
      </c>
      <c r="I252" s="48" t="n">
        <f aca="false">IF('RAW KVMC'!E249="","",'RAW KVMC'!E249)</f>
        <v>159.5</v>
      </c>
      <c r="J252" s="48" t="n">
        <f aca="false">IF('RAW KVMC'!F249="","",'RAW KVMC'!F249)</f>
        <v>0</v>
      </c>
      <c r="K252" s="50" t="n">
        <f aca="false">IF('RAW KVMC'!G249="","",'RAW KVMC'!G249)</f>
        <v>0</v>
      </c>
      <c r="L252" s="50" t="n">
        <f aca="false">IF('RAW KVMC'!H249="","",'RAW KVMC'!H249)</f>
        <v>0</v>
      </c>
      <c r="M252" s="48" t="str">
        <f aca="false">IF('RAW KVMC'!I249="","",'RAW KVMC'!I249)</f>
        <v/>
      </c>
    </row>
    <row r="253" customFormat="false" ht="15" hidden="false" customHeight="false" outlineLevel="0" collapsed="false">
      <c r="A253" s="1" t="s">
        <v>1397</v>
      </c>
      <c r="B253" s="1" t="s">
        <v>154</v>
      </c>
      <c r="C253" s="1" t="s">
        <v>1145</v>
      </c>
      <c r="D253" s="1" t="n">
        <v>250</v>
      </c>
      <c r="E253" s="48" t="str">
        <f aca="false">IF('RAW KVMC'!A250="","",'RAW KVMC'!A250)</f>
        <v>Medication Assistance Program</v>
      </c>
      <c r="F253" s="48" t="str">
        <f aca="false">IF('RAW KVMC'!B250="","",'RAW KVMC'!B250)</f>
        <v>Health Care Support Services</v>
      </c>
      <c r="G253" s="49" t="n">
        <f aca="false">IF('RAW KVMC'!C250="","",'RAW KVMC'!C250)</f>
        <v>46022</v>
      </c>
      <c r="H253" s="48" t="str">
        <f aca="false">IF('RAW KVMC'!D250="","",'RAW KVMC'!D250)</f>
        <v>Nurse Navigator </v>
      </c>
      <c r="I253" s="48" t="n">
        <f aca="false">IF('RAW KVMC'!E250="","",'RAW KVMC'!E250)</f>
        <v>81.25</v>
      </c>
      <c r="J253" s="48" t="n">
        <f aca="false">IF('RAW KVMC'!F250="","",'RAW KVMC'!F250)</f>
        <v>0</v>
      </c>
      <c r="K253" s="50" t="n">
        <f aca="false">IF('RAW KVMC'!G250="","",'RAW KVMC'!G250)</f>
        <v>0</v>
      </c>
      <c r="L253" s="50" t="n">
        <f aca="false">IF('RAW KVMC'!H250="","",'RAW KVMC'!H250)</f>
        <v>0</v>
      </c>
      <c r="M253" s="48" t="str">
        <f aca="false">IF('RAW KVMC'!I250="","",'RAW KVMC'!I250)</f>
        <v/>
      </c>
    </row>
    <row r="254" customFormat="false" ht="15" hidden="false" customHeight="false" outlineLevel="0" collapsed="false">
      <c r="A254" s="1" t="s">
        <v>1398</v>
      </c>
      <c r="B254" s="1" t="s">
        <v>154</v>
      </c>
      <c r="C254" s="1" t="s">
        <v>1145</v>
      </c>
      <c r="D254" s="1" t="n">
        <v>251</v>
      </c>
      <c r="E254" s="48" t="str">
        <f aca="false">IF('RAW KVMC'!A251="","",'RAW KVMC'!A251)</f>
        <v>Medication Assistance Program</v>
      </c>
      <c r="F254" s="48" t="str">
        <f aca="false">IF('RAW KVMC'!B251="","",'RAW KVMC'!B251)</f>
        <v>Health Care Support Services</v>
      </c>
      <c r="G254" s="49" t="n">
        <f aca="false">IF('RAW KVMC'!C251="","",'RAW KVMC'!C251)</f>
        <v>46022</v>
      </c>
      <c r="H254" s="48" t="str">
        <f aca="false">IF('RAW KVMC'!D251="","",'RAW KVMC'!D251)</f>
        <v>Pharm.D. </v>
      </c>
      <c r="I254" s="48" t="n">
        <f aca="false">IF('RAW KVMC'!E251="","",'RAW KVMC'!E251)</f>
        <v>32.5</v>
      </c>
      <c r="J254" s="48" t="n">
        <f aca="false">IF('RAW KVMC'!F251="","",'RAW KVMC'!F251)</f>
        <v>185</v>
      </c>
      <c r="K254" s="50" t="n">
        <f aca="false">IF('RAW KVMC'!G251="","",'RAW KVMC'!G251)</f>
        <v>20895</v>
      </c>
      <c r="L254" s="50" t="n">
        <f aca="false">IF('RAW KVMC'!H251="","",'RAW KVMC'!H251)</f>
        <v>0</v>
      </c>
      <c r="M254" s="48" t="str">
        <f aca="false">IF('RAW KVMC'!I251="","",'RAW KVMC'!I251)</f>
        <v/>
      </c>
    </row>
    <row r="255" customFormat="false" ht="15" hidden="false" customHeight="false" outlineLevel="0" collapsed="false">
      <c r="A255" s="1" t="s">
        <v>1399</v>
      </c>
      <c r="B255" s="1" t="s">
        <v>154</v>
      </c>
      <c r="C255" s="1" t="s">
        <v>1145</v>
      </c>
      <c r="D255" s="1" t="n">
        <v>252</v>
      </c>
      <c r="E255" s="48" t="str">
        <f aca="false">IF('RAW KVMC'!A252="","",'RAW KVMC'!A252)</f>
        <v>Community Health Needs Assessment</v>
      </c>
      <c r="F255" s="48" t="str">
        <f aca="false">IF('RAW KVMC'!B252="","",'RAW KVMC'!B252)</f>
        <v>CB Operations</v>
      </c>
      <c r="G255" s="49" t="n">
        <f aca="false">IF('RAW KVMC'!C252="","",'RAW KVMC'!C252)</f>
        <v>46022</v>
      </c>
      <c r="H255" s="48" t="str">
        <f aca="false">IF('RAW KVMC'!D252="","",'RAW KVMC'!D252)</f>
        <v>Community Benefit Manager</v>
      </c>
      <c r="I255" s="48" t="n">
        <f aca="false">IF('RAW KVMC'!E252="","",'RAW KVMC'!E252)</f>
        <v>41.5</v>
      </c>
      <c r="J255" s="48" t="n">
        <f aca="false">IF('RAW KVMC'!F252="","",'RAW KVMC'!F252)</f>
        <v>0</v>
      </c>
      <c r="K255" s="50" t="n">
        <f aca="false">IF('RAW KVMC'!G252="","",'RAW KVMC'!G252)</f>
        <v>2045</v>
      </c>
      <c r="L255" s="50" t="n">
        <f aca="false">IF('RAW KVMC'!H252="","",'RAW KVMC'!H252)</f>
        <v>0</v>
      </c>
      <c r="M255" s="48" t="str">
        <f aca="false">IF('RAW KVMC'!I252="","",'RAW KVMC'!I252)</f>
        <v/>
      </c>
    </row>
    <row r="256" customFormat="false" ht="15" hidden="false" customHeight="false" outlineLevel="0" collapsed="false">
      <c r="A256" s="1" t="s">
        <v>1400</v>
      </c>
      <c r="B256" s="1" t="s">
        <v>154</v>
      </c>
      <c r="C256" s="1" t="s">
        <v>1145</v>
      </c>
      <c r="D256" s="1" t="n">
        <v>253</v>
      </c>
      <c r="E256" s="48" t="str">
        <f aca="false">IF('RAW KVMC'!A253="","",'RAW KVMC'!A253)</f>
        <v>Community Health Needs Assessment</v>
      </c>
      <c r="F256" s="48" t="str">
        <f aca="false">IF('RAW KVMC'!B253="","",'RAW KVMC'!B253)</f>
        <v>CB Operations</v>
      </c>
      <c r="G256" s="49" t="n">
        <f aca="false">IF('RAW KVMC'!C253="","",'RAW KVMC'!C253)</f>
        <v>46022</v>
      </c>
      <c r="H256" s="48" t="str">
        <f aca="false">IF('RAW KVMC'!D253="","",'RAW KVMC'!D253)</f>
        <v>Data Analyst</v>
      </c>
      <c r="I256" s="48" t="n">
        <f aca="false">IF('RAW KVMC'!E253="","",'RAW KVMC'!E253)</f>
        <v>20.75</v>
      </c>
      <c r="J256" s="48" t="n">
        <f aca="false">IF('RAW KVMC'!F253="","",'RAW KVMC'!F253)</f>
        <v>0</v>
      </c>
      <c r="K256" s="50" t="n">
        <f aca="false">IF('RAW KVMC'!G253="","",'RAW KVMC'!G253)</f>
        <v>0</v>
      </c>
      <c r="L256" s="50" t="n">
        <f aca="false">IF('RAW KVMC'!H253="","",'RAW KVMC'!H253)</f>
        <v>0</v>
      </c>
      <c r="M256" s="48" t="str">
        <f aca="false">IF('RAW KVMC'!I253="","",'RAW KVMC'!I253)</f>
        <v/>
      </c>
    </row>
    <row r="257" customFormat="false" ht="15" hidden="false" customHeight="false" outlineLevel="0" collapsed="false">
      <c r="A257" s="1" t="s">
        <v>1401</v>
      </c>
      <c r="B257" s="1" t="s">
        <v>154</v>
      </c>
      <c r="C257" s="1" t="s">
        <v>1145</v>
      </c>
      <c r="D257" s="1" t="n">
        <v>254</v>
      </c>
      <c r="E257" s="48" t="str">
        <f aca="false">IF('RAW KVMC'!A254="","",'RAW KVMC'!A254)</f>
        <v>Community Benefit Program Administration</v>
      </c>
      <c r="F257" s="48" t="str">
        <f aca="false">IF('RAW KVMC'!B254="","",'RAW KVMC'!B254)</f>
        <v>CB Operations</v>
      </c>
      <c r="G257" s="49" t="n">
        <f aca="false">IF('RAW KVMC'!C254="","",'RAW KVMC'!C254)</f>
        <v>46022</v>
      </c>
      <c r="H257" s="48" t="str">
        <f aca="false">IF('RAW KVMC'!D254="","",'RAW KVMC'!D254)</f>
        <v>admin</v>
      </c>
      <c r="I257" s="48" t="n">
        <f aca="false">IF('RAW KVMC'!E254="","",'RAW KVMC'!E254)</f>
        <v>73.5</v>
      </c>
      <c r="J257" s="48" t="n">
        <f aca="false">IF('RAW KVMC'!F254="","",'RAW KVMC'!F254)</f>
        <v>0</v>
      </c>
      <c r="K257" s="50" t="n">
        <f aca="false">IF('RAW KVMC'!G254="","",'RAW KVMC'!G254)</f>
        <v>0</v>
      </c>
      <c r="L257" s="50" t="n">
        <f aca="false">IF('RAW KVMC'!H254="","",'RAW KVMC'!H254)</f>
        <v>0</v>
      </c>
      <c r="M257" s="48" t="str">
        <f aca="false">IF('RAW KVMC'!I254="","",'RAW KVMC'!I254)</f>
        <v/>
      </c>
    </row>
    <row r="258" customFormat="false" ht="15" hidden="false" customHeight="false" outlineLevel="0" collapsed="false">
      <c r="A258" s="1" t="s">
        <v>1402</v>
      </c>
      <c r="B258" s="1" t="s">
        <v>154</v>
      </c>
      <c r="C258" s="1" t="s">
        <v>1145</v>
      </c>
      <c r="D258" s="1" t="n">
        <v>255</v>
      </c>
      <c r="E258" s="48" t="str">
        <f aca="false">IF('RAW KVMC'!A255="","",'RAW KVMC'!A255)</f>
        <v>Community Benefit Program Administration</v>
      </c>
      <c r="F258" s="48" t="str">
        <f aca="false">IF('RAW KVMC'!B255="","",'RAW KVMC'!B255)</f>
        <v>CB Operations</v>
      </c>
      <c r="G258" s="49" t="n">
        <f aca="false">IF('RAW KVMC'!C255="","",'RAW KVMC'!C255)</f>
        <v>46022</v>
      </c>
      <c r="H258" s="48" t="str">
        <f aca="false">IF('RAW KVMC'!D255="","",'RAW KVMC'!D255)</f>
        <v>CB Manager</v>
      </c>
      <c r="I258" s="48" t="n">
        <f aca="false">IF('RAW KVMC'!E255="","",'RAW KVMC'!E255)</f>
        <v>76.75</v>
      </c>
      <c r="J258" s="48" t="n">
        <f aca="false">IF('RAW KVMC'!F255="","",'RAW KVMC'!F255)</f>
        <v>0</v>
      </c>
      <c r="K258" s="50" t="n">
        <f aca="false">IF('RAW KVMC'!G255="","",'RAW KVMC'!G255)</f>
        <v>1000</v>
      </c>
      <c r="L258" s="50" t="n">
        <f aca="false">IF('RAW KVMC'!H255="","",'RAW KVMC'!H255)</f>
        <v>0</v>
      </c>
      <c r="M258" s="48" t="str">
        <f aca="false">IF('RAW KVMC'!I255="","",'RAW KVMC'!I255)</f>
        <v/>
      </c>
    </row>
    <row r="259" customFormat="false" ht="15" hidden="false" customHeight="false" outlineLevel="0" collapsed="false">
      <c r="A259" s="1" t="s">
        <v>1403</v>
      </c>
      <c r="B259" s="1" t="s">
        <v>154</v>
      </c>
      <c r="C259" s="1" t="s">
        <v>1145</v>
      </c>
      <c r="D259" s="1" t="n">
        <v>256</v>
      </c>
      <c r="E259" s="48" t="str">
        <f aca="false">IF('RAW KVMC'!A256="","",'RAW KVMC'!A256)</f>
        <v>Naloxone Training and Distribution</v>
      </c>
      <c r="F259" s="48" t="str">
        <f aca="false">IF('RAW KVMC'!B256="","",'RAW KVMC'!B256)</f>
        <v>Community Health Education</v>
      </c>
      <c r="G259" s="49" t="n">
        <f aca="false">IF('RAW KVMC'!C256="","",'RAW KVMC'!C256)</f>
        <v>46022</v>
      </c>
      <c r="H259" s="48" t="str">
        <f aca="false">IF('RAW KVMC'!D256="","",'RAW KVMC'!D256)</f>
        <v>Health Educator</v>
      </c>
      <c r="I259" s="48" t="n">
        <f aca="false">IF('RAW KVMC'!E256="","",'RAW KVMC'!E256)</f>
        <v>3</v>
      </c>
      <c r="J259" s="48" t="n">
        <f aca="false">IF('RAW KVMC'!F256="","",'RAW KVMC'!F256)</f>
        <v>0</v>
      </c>
      <c r="K259" s="50" t="n">
        <f aca="false">IF('RAW KVMC'!G256="","",'RAW KVMC'!G256)</f>
        <v>0</v>
      </c>
      <c r="L259" s="50" t="n">
        <f aca="false">IF('RAW KVMC'!H256="","",'RAW KVMC'!H256)</f>
        <v>0</v>
      </c>
      <c r="M259" s="48" t="str">
        <f aca="false">IF('RAW KVMC'!I256="","",'RAW KVMC'!I256)</f>
        <v/>
      </c>
    </row>
    <row r="260" customFormat="false" ht="15" hidden="false" customHeight="false" outlineLevel="0" collapsed="false">
      <c r="A260" s="1" t="s">
        <v>1404</v>
      </c>
      <c r="B260" s="1" t="s">
        <v>154</v>
      </c>
      <c r="C260" s="1" t="s">
        <v>1145</v>
      </c>
      <c r="D260" s="1" t="n">
        <v>257</v>
      </c>
      <c r="E260" s="48" t="str">
        <f aca="false">IF('RAW KVMC'!A257="","",'RAW KVMC'!A257)</f>
        <v>Naloxone Training and Distribution</v>
      </c>
      <c r="F260" s="48" t="str">
        <f aca="false">IF('RAW KVMC'!B257="","",'RAW KVMC'!B257)</f>
        <v>Community Health Education</v>
      </c>
      <c r="G260" s="49" t="n">
        <f aca="false">IF('RAW KVMC'!C257="","",'RAW KVMC'!C257)</f>
        <v>46022</v>
      </c>
      <c r="H260" s="48" t="str">
        <f aca="false">IF('RAW KVMC'!D257="","",'RAW KVMC'!D257)</f>
        <v>PharmD</v>
      </c>
      <c r="I260" s="48" t="n">
        <f aca="false">IF('RAW KVMC'!E257="","",'RAW KVMC'!E257)</f>
        <v>2.5</v>
      </c>
      <c r="J260" s="48" t="n">
        <f aca="false">IF('RAW KVMC'!F257="","",'RAW KVMC'!F257)</f>
        <v>24</v>
      </c>
      <c r="K260" s="50" t="n">
        <f aca="false">IF('RAW KVMC'!G257="","",'RAW KVMC'!G257)</f>
        <v>1220</v>
      </c>
      <c r="L260" s="50" t="n">
        <f aca="false">IF('RAW KVMC'!H257="","",'RAW KVMC'!H257)</f>
        <v>800</v>
      </c>
      <c r="M260" s="48" t="str">
        <f aca="false">IF('RAW KVMC'!I257="","",'RAW KVMC'!I257)</f>
        <v/>
      </c>
    </row>
    <row r="261" customFormat="false" ht="15" hidden="false" customHeight="false" outlineLevel="0" collapsed="false">
      <c r="A261" s="1" t="s">
        <v>1405</v>
      </c>
      <c r="B261" s="1" t="s">
        <v>154</v>
      </c>
      <c r="C261" s="1" t="s">
        <v>1145</v>
      </c>
      <c r="D261" s="1" t="n">
        <v>258</v>
      </c>
      <c r="E261" s="48" t="str">
        <f aca="false">IF('RAW KVMC'!A258="","",'RAW KVMC'!A258)</f>
        <v>Interpreter Services for Community Clinics</v>
      </c>
      <c r="F261" s="48" t="str">
        <f aca="false">IF('RAW KVMC'!B258="","",'RAW KVMC'!B258)</f>
        <v>Health Care Support Services</v>
      </c>
      <c r="G261" s="49" t="n">
        <f aca="false">IF('RAW KVMC'!C258="","",'RAW KVMC'!C258)</f>
        <v>46022</v>
      </c>
      <c r="H261" s="48" t="str">
        <f aca="false">IF('RAW KVMC'!D258="","",'RAW KVMC'!D258)</f>
        <v>Language Services</v>
      </c>
      <c r="I261" s="48" t="n">
        <f aca="false">IF('RAW KVMC'!E258="","",'RAW KVMC'!E258)</f>
        <v>83.25</v>
      </c>
      <c r="J261" s="48" t="n">
        <f aca="false">IF('RAW KVMC'!F258="","",'RAW KVMC'!F258)</f>
        <v>213</v>
      </c>
      <c r="K261" s="50" t="n">
        <f aca="false">IF('RAW KVMC'!G258="","",'RAW KVMC'!G258)</f>
        <v>0</v>
      </c>
      <c r="L261" s="50" t="n">
        <f aca="false">IF('RAW KVMC'!H258="","",'RAW KVMC'!H258)</f>
        <v>0</v>
      </c>
      <c r="M261" s="48" t="str">
        <f aca="false">IF('RAW KVMC'!I258="","",'RAW KVMC'!I258)</f>
        <v/>
      </c>
    </row>
    <row r="262" customFormat="false" ht="15" hidden="false" customHeight="false" outlineLevel="0" collapsed="false">
      <c r="A262" s="1" t="s">
        <v>1406</v>
      </c>
      <c r="B262" s="1" t="s">
        <v>154</v>
      </c>
      <c r="C262" s="1" t="s">
        <v>1145</v>
      </c>
      <c r="D262" s="1" t="n">
        <v>259</v>
      </c>
      <c r="E262" s="48" t="str">
        <f aca="false">IF('RAW KVMC'!A259="","",'RAW KVMC'!A259)</f>
        <v>Nursing Student Clinical Rotations</v>
      </c>
      <c r="F262" s="48" t="str">
        <f aca="false">IF('RAW KVMC'!B259="","",'RAW KVMC'!B259)</f>
        <v>Health Professions Education</v>
      </c>
      <c r="G262" s="49" t="n">
        <f aca="false">IF('RAW KVMC'!C259="","",'RAW KVMC'!C259)</f>
        <v>46022</v>
      </c>
      <c r="H262" s="48" t="str">
        <f aca="false">IF('RAW KVMC'!D259="","",'RAW KVMC'!D259)</f>
        <v>Clin Educator</v>
      </c>
      <c r="I262" s="48" t="n">
        <f aca="false">IF('RAW KVMC'!E259="","",'RAW KVMC'!E259)</f>
        <v>57</v>
      </c>
      <c r="J262" s="48" t="n">
        <f aca="false">IF('RAW KVMC'!F259="","",'RAW KVMC'!F259)</f>
        <v>15</v>
      </c>
      <c r="K262" s="50" t="n">
        <f aca="false">IF('RAW KVMC'!G259="","",'RAW KVMC'!G259)</f>
        <v>385</v>
      </c>
      <c r="L262" s="50" t="n">
        <f aca="false">IF('RAW KVMC'!H259="","",'RAW KVMC'!H259)</f>
        <v>0</v>
      </c>
      <c r="M262" s="48" t="str">
        <f aca="false">IF('RAW KVMC'!I259="","",'RAW KVMC'!I259)</f>
        <v/>
      </c>
    </row>
    <row r="263" customFormat="false" ht="15" hidden="false" customHeight="false" outlineLevel="0" collapsed="false">
      <c r="A263" s="1" t="s">
        <v>1407</v>
      </c>
      <c r="B263" s="1" t="s">
        <v>154</v>
      </c>
      <c r="C263" s="1" t="s">
        <v>1145</v>
      </c>
      <c r="D263" s="1" t="n">
        <v>260</v>
      </c>
      <c r="E263" s="48" t="str">
        <f aca="false">IF('RAW KVMC'!A260="","",'RAW KVMC'!A260)</f>
        <v>Nursing Student Clinical Rotations</v>
      </c>
      <c r="F263" s="48" t="str">
        <f aca="false">IF('RAW KVMC'!B260="","",'RAW KVMC'!B260)</f>
        <v>Health Professions Education</v>
      </c>
      <c r="G263" s="49" t="n">
        <f aca="false">IF('RAW KVMC'!C260="","",'RAW KVMC'!C260)</f>
        <v>46022</v>
      </c>
      <c r="H263" s="48" t="str">
        <f aca="false">IF('RAW KVMC'!D260="","",'RAW KVMC'!D260)</f>
        <v>RN II</v>
      </c>
      <c r="I263" s="48" t="n">
        <f aca="false">IF('RAW KVMC'!E260="","",'RAW KVMC'!E260)</f>
        <v>85.75</v>
      </c>
      <c r="J263" s="48" t="n">
        <f aca="false">IF('RAW KVMC'!F260="","",'RAW KVMC'!F260)</f>
        <v>0</v>
      </c>
      <c r="K263" s="50" t="n">
        <f aca="false">IF('RAW KVMC'!G260="","",'RAW KVMC'!G260)</f>
        <v>0</v>
      </c>
      <c r="L263" s="50" t="n">
        <f aca="false">IF('RAW KVMC'!H260="","",'RAW KVMC'!H260)</f>
        <v>0</v>
      </c>
      <c r="M263" s="48" t="str">
        <f aca="false">IF('RAW KVMC'!I260="","",'RAW KVMC'!I260)</f>
        <v/>
      </c>
    </row>
    <row r="264" customFormat="false" ht="15" hidden="false" customHeight="false" outlineLevel="0" collapsed="false">
      <c r="A264" s="1" t="s">
        <v>1408</v>
      </c>
      <c r="B264" s="1" t="s">
        <v>154</v>
      </c>
      <c r="C264" s="1" t="s">
        <v>1145</v>
      </c>
      <c r="D264" s="1" t="n">
        <v>261</v>
      </c>
      <c r="E264" s="48" t="str">
        <f aca="false">IF('RAW KVMC'!A261="","",'RAW KVMC'!A261)</f>
        <v>Family Medicine Residency Program</v>
      </c>
      <c r="F264" s="48" t="str">
        <f aca="false">IF('RAW KVMC'!B261="","",'RAW KVMC'!B261)</f>
        <v>Health Professions Education</v>
      </c>
      <c r="G264" s="49" t="n">
        <f aca="false">IF('RAW KVMC'!C261="","",'RAW KVMC'!C261)</f>
        <v>46022</v>
      </c>
      <c r="H264" s="48" t="str">
        <f aca="false">IF('RAW KVMC'!D261="","",'RAW KVMC'!D261)</f>
        <v>Physician</v>
      </c>
      <c r="I264" s="48" t="n">
        <f aca="false">IF('RAW KVMC'!E261="","",'RAW KVMC'!E261)</f>
        <v>414</v>
      </c>
      <c r="J264" s="48" t="n">
        <f aca="false">IF('RAW KVMC'!F261="","",'RAW KVMC'!F261)</f>
        <v>0</v>
      </c>
      <c r="K264" s="50" t="n">
        <f aca="false">IF('RAW KVMC'!G261="","",'RAW KVMC'!G261)</f>
        <v>44745</v>
      </c>
      <c r="L264" s="50" t="n">
        <f aca="false">IF('RAW KVMC'!H261="","",'RAW KVMC'!H261)</f>
        <v>174555</v>
      </c>
      <c r="M264" s="48" t="str">
        <f aca="false">IF('RAW KVMC'!I261="","",'RAW KVMC'!I261)</f>
        <v/>
      </c>
    </row>
    <row r="265" customFormat="false" ht="15" hidden="false" customHeight="false" outlineLevel="0" collapsed="false">
      <c r="A265" s="1" t="s">
        <v>1409</v>
      </c>
      <c r="B265" s="1" t="s">
        <v>154</v>
      </c>
      <c r="C265" s="1" t="s">
        <v>1145</v>
      </c>
      <c r="D265" s="1" t="n">
        <v>262</v>
      </c>
      <c r="E265" s="48" t="str">
        <f aca="false">IF('RAW KVMC'!A262="","",'RAW KVMC'!A262)</f>
        <v>Family Medicine Residency Program</v>
      </c>
      <c r="F265" s="48" t="str">
        <f aca="false">IF('RAW KVMC'!B262="","",'RAW KVMC'!B262)</f>
        <v>Health Professions Education</v>
      </c>
      <c r="G265" s="49" t="n">
        <f aca="false">IF('RAW KVMC'!C262="","",'RAW KVMC'!C262)</f>
        <v>46022</v>
      </c>
      <c r="H265" s="48" t="str">
        <f aca="false">IF('RAW KVMC'!D262="","",'RAW KVMC'!D262)</f>
        <v>Residency Coordinator</v>
      </c>
      <c r="I265" s="48" t="n">
        <f aca="false">IF('RAW KVMC'!E262="","",'RAW KVMC'!E262)</f>
        <v>167.5</v>
      </c>
      <c r="J265" s="48" t="n">
        <f aca="false">IF('RAW KVMC'!F262="","",'RAW KVMC'!F262)</f>
        <v>0</v>
      </c>
      <c r="K265" s="50" t="n">
        <f aca="false">IF('RAW KVMC'!G262="","",'RAW KVMC'!G262)</f>
        <v>0</v>
      </c>
      <c r="L265" s="50" t="n">
        <f aca="false">IF('RAW KVMC'!H262="","",'RAW KVMC'!H262)</f>
        <v>0</v>
      </c>
      <c r="M265" s="48" t="str">
        <f aca="false">IF('RAW KVMC'!I262="","",'RAW KVMC'!I262)</f>
        <v/>
      </c>
    </row>
    <row r="266" customFormat="false" ht="15" hidden="false" customHeight="false" outlineLevel="0" collapsed="false">
      <c r="A266" s="1" t="s">
        <v>1410</v>
      </c>
      <c r="B266" s="1" t="s">
        <v>154</v>
      </c>
      <c r="C266" s="1" t="s">
        <v>1145</v>
      </c>
      <c r="D266" s="1" t="n">
        <v>263</v>
      </c>
      <c r="E266" s="48" t="str">
        <f aca="false">IF('RAW KVMC'!A263="","",'RAW KVMC'!A263)</f>
        <v>Family Medicine Residency Program</v>
      </c>
      <c r="F266" s="48" t="str">
        <f aca="false">IF('RAW KVMC'!B263="","",'RAW KVMC'!B263)</f>
        <v>Health Professions Education</v>
      </c>
      <c r="G266" s="49" t="n">
        <f aca="false">IF('RAW KVMC'!C263="","",'RAW KVMC'!C263)</f>
        <v>46022</v>
      </c>
      <c r="H266" s="48" t="str">
        <f aca="false">IF('RAW KVMC'!D263="","",'RAW KVMC'!D263)</f>
        <v>Res. Physician</v>
      </c>
      <c r="I266" s="48" t="n">
        <f aca="false">IF('RAW KVMC'!E263="","",'RAW KVMC'!E263)</f>
        <v>4291.25</v>
      </c>
      <c r="J266" s="48" t="n">
        <f aca="false">IF('RAW KVMC'!F263="","",'RAW KVMC'!F263)</f>
        <v>0</v>
      </c>
      <c r="K266" s="50" t="n">
        <f aca="false">IF('RAW KVMC'!G263="","",'RAW KVMC'!G263)</f>
        <v>0</v>
      </c>
      <c r="L266" s="50" t="n">
        <f aca="false">IF('RAW KVMC'!H263="","",'RAW KVMC'!H263)</f>
        <v>0</v>
      </c>
      <c r="M266" s="48" t="str">
        <f aca="false">IF('RAW KVMC'!I263="","",'RAW KVMC'!I263)</f>
        <v/>
      </c>
    </row>
    <row r="267" customFormat="false" ht="15" hidden="false" customHeight="false" outlineLevel="0" collapsed="false">
      <c r="A267" s="1" t="s">
        <v>1411</v>
      </c>
      <c r="B267" s="1" t="s">
        <v>154</v>
      </c>
      <c r="C267" s="1" t="s">
        <v>1145</v>
      </c>
      <c r="D267" s="1" t="n">
        <v>264</v>
      </c>
      <c r="E267" s="48" t="str">
        <f aca="false">IF('RAW KVMC'!A264="","",'RAW KVMC'!A264)</f>
        <v>Pharmacy Student Rotations</v>
      </c>
      <c r="F267" s="48" t="str">
        <f aca="false">IF('RAW KVMC'!B264="","",'RAW KVMC'!B264)</f>
        <v>Health Professions Education</v>
      </c>
      <c r="G267" s="49" t="n">
        <f aca="false">IF('RAW KVMC'!C264="","",'RAW KVMC'!C264)</f>
        <v>46022</v>
      </c>
      <c r="H267" s="48" t="str">
        <f aca="false">IF('RAW KVMC'!D264="","",'RAW KVMC'!D264)</f>
        <v>RPh</v>
      </c>
      <c r="I267" s="48" t="n">
        <f aca="false">IF('RAW KVMC'!E264="","",'RAW KVMC'!E264)</f>
        <v>76.75</v>
      </c>
      <c r="J267" s="48" t="n">
        <f aca="false">IF('RAW KVMC'!F264="","",'RAW KVMC'!F264)</f>
        <v>4</v>
      </c>
      <c r="K267" s="50" t="n">
        <f aca="false">IF('RAW KVMC'!G264="","",'RAW KVMC'!G264)</f>
        <v>185</v>
      </c>
      <c r="L267" s="50" t="n">
        <f aca="false">IF('RAW KVMC'!H264="","",'RAW KVMC'!H264)</f>
        <v>0</v>
      </c>
      <c r="M267" s="48" t="str">
        <f aca="false">IF('RAW KVMC'!I264="","",'RAW KVMC'!I264)</f>
        <v/>
      </c>
    </row>
    <row r="268" customFormat="false" ht="15" hidden="false" customHeight="false" outlineLevel="0" collapsed="false">
      <c r="A268" s="1" t="s">
        <v>1412</v>
      </c>
      <c r="B268" s="1" t="s">
        <v>154</v>
      </c>
      <c r="C268" s="1" t="s">
        <v>1145</v>
      </c>
      <c r="D268" s="1" t="n">
        <v>265</v>
      </c>
      <c r="E268" s="48" t="str">
        <f aca="false">IF('RAW KVMC'!A265="","",'RAW KVMC'!A265)</f>
        <v>Community Hypertension Control Study</v>
      </c>
      <c r="F268" s="48" t="str">
        <f aca="false">IF('RAW KVMC'!B265="","",'RAW KVMC'!B265)</f>
        <v>Research</v>
      </c>
      <c r="G268" s="49" t="n">
        <f aca="false">IF('RAW KVMC'!C265="","",'RAW KVMC'!C265)</f>
        <v>46022</v>
      </c>
      <c r="H268" s="48" t="str">
        <f aca="false">IF('RAW KVMC'!D265="","",'RAW KVMC'!D265)</f>
        <v>Decision Support Analyst </v>
      </c>
      <c r="I268" s="48" t="n">
        <f aca="false">IF('RAW KVMC'!E265="","",'RAW KVMC'!E265)</f>
        <v>49.25</v>
      </c>
      <c r="J268" s="48" t="n">
        <f aca="false">IF('RAW KVMC'!F265="","",'RAW KVMC'!F265)</f>
        <v>0</v>
      </c>
      <c r="K268" s="50" t="n">
        <f aca="false">IF('RAW KVMC'!G265="","",'RAW KVMC'!G265)</f>
        <v>0</v>
      </c>
      <c r="L268" s="50" t="n">
        <f aca="false">IF('RAW KVMC'!H265="","",'RAW KVMC'!H265)</f>
        <v>0</v>
      </c>
      <c r="M268" s="48" t="str">
        <f aca="false">IF('RAW KVMC'!I265="","",'RAW KVMC'!I265)</f>
        <v/>
      </c>
    </row>
    <row r="269" customFormat="false" ht="15" hidden="false" customHeight="false" outlineLevel="0" collapsed="false">
      <c r="A269" s="1" t="s">
        <v>1413</v>
      </c>
      <c r="B269" s="1" t="s">
        <v>154</v>
      </c>
      <c r="C269" s="1" t="s">
        <v>1145</v>
      </c>
      <c r="D269" s="1" t="n">
        <v>266</v>
      </c>
      <c r="E269" s="48" t="str">
        <f aca="false">IF('RAW KVMC'!A266="","",'RAW KVMC'!A266)</f>
        <v>Community Hypertension Control Study</v>
      </c>
      <c r="F269" s="48" t="str">
        <f aca="false">IF('RAW KVMC'!B266="","",'RAW KVMC'!B266)</f>
        <v>Research</v>
      </c>
      <c r="G269" s="49" t="n">
        <f aca="false">IF('RAW KVMC'!C266="","",'RAW KVMC'!C266)</f>
        <v>46022</v>
      </c>
      <c r="H269" s="48" t="str">
        <f aca="false">IF('RAW KVMC'!D266="","",'RAW KVMC'!D266)</f>
        <v>MD</v>
      </c>
      <c r="I269" s="48" t="n">
        <f aca="false">IF('RAW KVMC'!E266="","",'RAW KVMC'!E266)</f>
        <v>16.75</v>
      </c>
      <c r="J269" s="48" t="n">
        <f aca="false">IF('RAW KVMC'!F266="","",'RAW KVMC'!F266)</f>
        <v>0</v>
      </c>
      <c r="K269" s="50" t="n">
        <f aca="false">IF('RAW KVMC'!G266="","",'RAW KVMC'!G266)</f>
        <v>0</v>
      </c>
      <c r="L269" s="50" t="n">
        <f aca="false">IF('RAW KVMC'!H266="","",'RAW KVMC'!H266)</f>
        <v>0</v>
      </c>
      <c r="M269" s="48" t="str">
        <f aca="false">IF('RAW KVMC'!I266="","",'RAW KVMC'!I266)</f>
        <v/>
      </c>
    </row>
    <row r="270" customFormat="false" ht="15" hidden="false" customHeight="false" outlineLevel="0" collapsed="false">
      <c r="A270" s="1" t="s">
        <v>1414</v>
      </c>
      <c r="B270" s="1" t="s">
        <v>154</v>
      </c>
      <c r="C270" s="1" t="s">
        <v>1145</v>
      </c>
      <c r="D270" s="1" t="n">
        <v>267</v>
      </c>
      <c r="E270" s="48" t="str">
        <f aca="false">IF('RAW KVMC'!A267="","",'RAW KVMC'!A267)</f>
        <v>Community Hypertension Control Study</v>
      </c>
      <c r="F270" s="48" t="str">
        <f aca="false">IF('RAW KVMC'!B267="","",'RAW KVMC'!B267)</f>
        <v>Research</v>
      </c>
      <c r="G270" s="49" t="n">
        <f aca="false">IF('RAW KVMC'!C267="","",'RAW KVMC'!C267)</f>
        <v>46022</v>
      </c>
      <c r="H270" s="48" t="str">
        <f aca="false">IF('RAW KVMC'!D267="","",'RAW KVMC'!D267)</f>
        <v>Clinical Research Coord</v>
      </c>
      <c r="I270" s="48" t="n">
        <f aca="false">IF('RAW KVMC'!E267="","",'RAW KVMC'!E267)</f>
        <v>158.75</v>
      </c>
      <c r="J270" s="48" t="n">
        <f aca="false">IF('RAW KVMC'!F267="","",'RAW KVMC'!F267)</f>
        <v>104</v>
      </c>
      <c r="K270" s="50" t="n">
        <f aca="false">IF('RAW KVMC'!G267="","",'RAW KVMC'!G267)</f>
        <v>7625</v>
      </c>
      <c r="L270" s="50" t="n">
        <f aca="false">IF('RAW KVMC'!H267="","",'RAW KVMC'!H267)</f>
        <v>12780</v>
      </c>
      <c r="M270" s="48" t="str">
        <f aca="false">IF('RAW KVMC'!I267="","",'RAW KVMC'!I267)</f>
        <v/>
      </c>
    </row>
    <row r="271" customFormat="false" ht="15" hidden="false" customHeight="false" outlineLevel="0" collapsed="false">
      <c r="A271" s="1" t="s">
        <v>1415</v>
      </c>
      <c r="B271" s="1" t="s">
        <v>154</v>
      </c>
      <c r="C271" s="1" t="s">
        <v>1145</v>
      </c>
      <c r="D271" s="1" t="n">
        <v>268</v>
      </c>
      <c r="E271" s="48" t="str">
        <f aca="false">IF('RAW KVMC'!A268="","",'RAW KVMC'!A268)</f>
        <v>Naloxone Training and Distribution</v>
      </c>
      <c r="F271" s="48" t="str">
        <f aca="false">IF('RAW KVMC'!B268="","",'RAW KVMC'!B268)</f>
        <v>Community Health Education</v>
      </c>
      <c r="G271" s="49" t="n">
        <f aca="false">IF('RAW KVMC'!C268="","",'RAW KVMC'!C268)</f>
        <v>46024</v>
      </c>
      <c r="H271" s="48" t="str">
        <f aca="false">IF('RAW KVMC'!D268="","",'RAW KVMC'!D268)</f>
        <v>Wellness Educator</v>
      </c>
      <c r="I271" s="48" t="n">
        <f aca="false">IF('RAW KVMC'!E268="","",'RAW KVMC'!E268)</f>
        <v>3</v>
      </c>
      <c r="J271" s="48" t="n">
        <f aca="false">IF('RAW KVMC'!F268="","",'RAW KVMC'!F268)</f>
        <v>0</v>
      </c>
      <c r="K271" s="50" t="n">
        <f aca="false">IF('RAW KVMC'!G268="","",'RAW KVMC'!G268)</f>
        <v>0</v>
      </c>
      <c r="L271" s="50" t="n">
        <f aca="false">IF('RAW KVMC'!H268="","",'RAW KVMC'!H268)</f>
        <v>0</v>
      </c>
      <c r="M271" s="48" t="str">
        <f aca="false">IF('RAW KVMC'!I268="","",'RAW KVMC'!I268)</f>
        <v/>
      </c>
    </row>
    <row r="272" customFormat="false" ht="15" hidden="false" customHeight="false" outlineLevel="0" collapsed="false">
      <c r="A272" s="1" t="s">
        <v>1416</v>
      </c>
      <c r="B272" s="1" t="s">
        <v>154</v>
      </c>
      <c r="C272" s="1" t="s">
        <v>1145</v>
      </c>
      <c r="D272" s="1" t="n">
        <v>269</v>
      </c>
      <c r="E272" s="48" t="str">
        <f aca="false">IF('RAW KVMC'!A269="","",'RAW KVMC'!A269)</f>
        <v>Naloxone Training and Distribution</v>
      </c>
      <c r="F272" s="48" t="str">
        <f aca="false">IF('RAW KVMC'!B269="","",'RAW KVMC'!B269)</f>
        <v>Community Health Education</v>
      </c>
      <c r="G272" s="49" t="n">
        <f aca="false">IF('RAW KVMC'!C269="","",'RAW KVMC'!C269)</f>
        <v>46024</v>
      </c>
      <c r="H272" s="48" t="str">
        <f aca="false">IF('RAW KVMC'!D269="","",'RAW KVMC'!D269)</f>
        <v>PharmD</v>
      </c>
      <c r="I272" s="48" t="n">
        <f aca="false">IF('RAW KVMC'!E269="","",'RAW KVMC'!E269)</f>
        <v>2.5</v>
      </c>
      <c r="J272" s="48" t="n">
        <f aca="false">IF('RAW KVMC'!F269="","",'RAW KVMC'!F269)</f>
        <v>35</v>
      </c>
      <c r="K272" s="50" t="n">
        <f aca="false">IF('RAW KVMC'!G269="","",'RAW KVMC'!G269)</f>
        <v>1105</v>
      </c>
      <c r="L272" s="50" t="n">
        <f aca="false">IF('RAW KVMC'!H269="","",'RAW KVMC'!H269)</f>
        <v>1590</v>
      </c>
      <c r="M272" s="48" t="str">
        <f aca="false">IF('RAW KVMC'!I269="","",'RAW KVMC'!I269)</f>
        <v/>
      </c>
    </row>
    <row r="273" customFormat="false" ht="15" hidden="false" customHeight="false" outlineLevel="0" collapsed="false">
      <c r="A273" s="1" t="s">
        <v>1417</v>
      </c>
      <c r="B273" s="1" t="s">
        <v>154</v>
      </c>
      <c r="C273" s="1" t="s">
        <v>1145</v>
      </c>
      <c r="D273" s="1" t="n">
        <v>270</v>
      </c>
      <c r="E273" s="48" t="str">
        <f aca="false">IF('RAW KVMC'!A270="","",'RAW KVMC'!A270)</f>
        <v>Diabetes Prevention Classes</v>
      </c>
      <c r="F273" s="48" t="str">
        <f aca="false">IF('RAW KVMC'!B270="","",'RAW KVMC'!B270)</f>
        <v>Community Health Education</v>
      </c>
      <c r="G273" s="49" t="n">
        <f aca="false">IF('RAW KVMC'!C270="","",'RAW KVMC'!C270)</f>
        <v>46025</v>
      </c>
      <c r="H273" s="48" t="str">
        <f aca="false">IF('RAW KVMC'!D270="","",'RAW KVMC'!D270)</f>
        <v>Hlth Educator</v>
      </c>
      <c r="I273" s="48" t="n">
        <f aca="false">IF('RAW KVMC'!E270="","",'RAW KVMC'!E270)</f>
        <v>2.25</v>
      </c>
      <c r="J273" s="48" t="n">
        <f aca="false">IF('RAW KVMC'!F270="","",'RAW KVMC'!F270)</f>
        <v>15</v>
      </c>
      <c r="K273" s="50" t="n">
        <f aca="false">IF('RAW KVMC'!G270="","",'RAW KVMC'!G270)</f>
        <v>150</v>
      </c>
      <c r="L273" s="50" t="n">
        <f aca="false">IF('RAW KVMC'!H270="","",'RAW KVMC'!H270)</f>
        <v>0</v>
      </c>
      <c r="M273" s="48" t="str">
        <f aca="false">IF('RAW KVMC'!I270="","",'RAW KVMC'!I270)</f>
        <v/>
      </c>
    </row>
    <row r="274" customFormat="false" ht="15" hidden="false" customHeight="false" outlineLevel="0" collapsed="false">
      <c r="A274" s="1" t="s">
        <v>1418</v>
      </c>
      <c r="B274" s="1" t="s">
        <v>154</v>
      </c>
      <c r="C274" s="1" t="s">
        <v>1145</v>
      </c>
      <c r="D274" s="1" t="n">
        <v>271</v>
      </c>
      <c r="E274" s="48" t="str">
        <f aca="false">IF('RAW KVMC'!A271="","",'RAW KVMC'!A271)</f>
        <v>Diabetes Prevention Classes</v>
      </c>
      <c r="F274" s="48" t="str">
        <f aca="false">IF('RAW KVMC'!B271="","",'RAW KVMC'!B271)</f>
        <v>Community Health Education</v>
      </c>
      <c r="G274" s="49" t="n">
        <f aca="false">IF('RAW KVMC'!C271="","",'RAW KVMC'!C271)</f>
        <v>46025</v>
      </c>
      <c r="H274" s="48" t="str">
        <f aca="false">IF('RAW KVMC'!D271="","",'RAW KVMC'!D271)</f>
        <v>Nutritionist</v>
      </c>
      <c r="I274" s="48" t="n">
        <f aca="false">IF('RAW KVMC'!E271="","",'RAW KVMC'!E271)</f>
        <v>1.5</v>
      </c>
      <c r="J274" s="48" t="n">
        <f aca="false">IF('RAW KVMC'!F271="","",'RAW KVMC'!F271)</f>
        <v>0</v>
      </c>
      <c r="K274" s="50" t="n">
        <f aca="false">IF('RAW KVMC'!G271="","",'RAW KVMC'!G271)</f>
        <v>0</v>
      </c>
      <c r="L274" s="50" t="n">
        <f aca="false">IF('RAW KVMC'!H271="","",'RAW KVMC'!H271)</f>
        <v>0</v>
      </c>
      <c r="M274" s="48" t="str">
        <f aca="false">IF('RAW KVMC'!I271="","",'RAW KVMC'!I271)</f>
        <v/>
      </c>
    </row>
    <row r="275" customFormat="false" ht="15" hidden="false" customHeight="false" outlineLevel="0" collapsed="false">
      <c r="A275" s="1" t="s">
        <v>1419</v>
      </c>
      <c r="B275" s="1" t="s">
        <v>154</v>
      </c>
      <c r="C275" s="1" t="s">
        <v>1145</v>
      </c>
      <c r="D275" s="1" t="n">
        <v>272</v>
      </c>
      <c r="E275" s="48" t="str">
        <f aca="false">IF('RAW KVMC'!A272="","",'RAW KVMC'!A272)</f>
        <v>Diabetes Prevention Classes</v>
      </c>
      <c r="F275" s="48" t="str">
        <f aca="false">IF('RAW KVMC'!B272="","",'RAW KVMC'!B272)</f>
        <v>Community Health Education</v>
      </c>
      <c r="G275" s="49" t="n">
        <f aca="false">IF('RAW KVMC'!C272="","",'RAW KVMC'!C272)</f>
        <v>46031</v>
      </c>
      <c r="H275" s="48" t="str">
        <f aca="false">IF('RAW KVMC'!D272="","",'RAW KVMC'!D272)</f>
        <v>Health Educator</v>
      </c>
      <c r="I275" s="48" t="n">
        <f aca="false">IF('RAW KVMC'!E272="","",'RAW KVMC'!E272)</f>
        <v>2.5</v>
      </c>
      <c r="J275" s="48" t="n">
        <f aca="false">IF('RAW KVMC'!F272="","",'RAW KVMC'!F272)</f>
        <v>20</v>
      </c>
      <c r="K275" s="50" t="n">
        <f aca="false">IF('RAW KVMC'!G272="","",'RAW KVMC'!G272)</f>
        <v>75</v>
      </c>
      <c r="L275" s="50" t="n">
        <f aca="false">IF('RAW KVMC'!H272="","",'RAW KVMC'!H272)</f>
        <v>0</v>
      </c>
      <c r="M275" s="48" t="str">
        <f aca="false">IF('RAW KVMC'!I272="","",'RAW KVMC'!I272)</f>
        <v/>
      </c>
    </row>
    <row r="276" customFormat="false" ht="15" hidden="false" customHeight="false" outlineLevel="0" collapsed="false">
      <c r="A276" s="1" t="s">
        <v>1420</v>
      </c>
      <c r="B276" s="1" t="s">
        <v>154</v>
      </c>
      <c r="C276" s="1" t="s">
        <v>1145</v>
      </c>
      <c r="D276" s="1" t="n">
        <v>273</v>
      </c>
      <c r="E276" s="48" t="str">
        <f aca="false">IF('RAW KVMC'!A273="","",'RAW KVMC'!A273)</f>
        <v>Diabetes Prevention Classes</v>
      </c>
      <c r="F276" s="48" t="str">
        <f aca="false">IF('RAW KVMC'!B273="","",'RAW KVMC'!B273)</f>
        <v>Community Health Education</v>
      </c>
      <c r="G276" s="49" t="n">
        <f aca="false">IF('RAW KVMC'!C273="","",'RAW KVMC'!C273)</f>
        <v>46031</v>
      </c>
      <c r="H276" s="48" t="str">
        <f aca="false">IF('RAW KVMC'!D273="","",'RAW KVMC'!D273)</f>
        <v>Nutritionist </v>
      </c>
      <c r="I276" s="48" t="n">
        <f aca="false">IF('RAW KVMC'!E273="","",'RAW KVMC'!E273)</f>
        <v>1.75</v>
      </c>
      <c r="J276" s="48" t="n">
        <f aca="false">IF('RAW KVMC'!F273="","",'RAW KVMC'!F273)</f>
        <v>0</v>
      </c>
      <c r="K276" s="50" t="n">
        <f aca="false">IF('RAW KVMC'!G273="","",'RAW KVMC'!G273)</f>
        <v>0</v>
      </c>
      <c r="L276" s="50" t="n">
        <f aca="false">IF('RAW KVMC'!H273="","",'RAW KVMC'!H273)</f>
        <v>0</v>
      </c>
      <c r="M276" s="48" t="str">
        <f aca="false">IF('RAW KVMC'!I273="","",'RAW KVMC'!I273)</f>
        <v/>
      </c>
    </row>
    <row r="277" customFormat="false" ht="15" hidden="false" customHeight="false" outlineLevel="0" collapsed="false">
      <c r="A277" s="1" t="s">
        <v>1421</v>
      </c>
      <c r="B277" s="1" t="s">
        <v>154</v>
      </c>
      <c r="C277" s="1" t="s">
        <v>1145</v>
      </c>
      <c r="D277" s="1" t="n">
        <v>274</v>
      </c>
      <c r="E277" s="48" t="str">
        <f aca="false">IF('RAW KVMC'!A274="","",'RAW KVMC'!A274)</f>
        <v>Grief Support Group</v>
      </c>
      <c r="F277" s="48" t="str">
        <f aca="false">IF('RAW KVMC'!B274="","",'RAW KVMC'!B274)</f>
        <v>Health Care Support Services</v>
      </c>
      <c r="G277" s="49" t="n">
        <f aca="false">IF('RAW KVMC'!C274="","",'RAW KVMC'!C274)</f>
        <v>46031</v>
      </c>
      <c r="H277" s="48" t="str">
        <f aca="false">IF('RAW KVMC'!D274="","",'RAW KVMC'!D274)</f>
        <v> Chaplain</v>
      </c>
      <c r="I277" s="48" t="n">
        <f aca="false">IF('RAW KVMC'!E274="","",'RAW KVMC'!E274)</f>
        <v>2.25</v>
      </c>
      <c r="J277" s="48" t="n">
        <f aca="false">IF('RAW KVMC'!F274="","",'RAW KVMC'!F274)</f>
        <v>16</v>
      </c>
      <c r="K277" s="50" t="n">
        <f aca="false">IF('RAW KVMC'!G274="","",'RAW KVMC'!G274)</f>
        <v>55</v>
      </c>
      <c r="L277" s="50" t="n">
        <f aca="false">IF('RAW KVMC'!H274="","",'RAW KVMC'!H274)</f>
        <v>0</v>
      </c>
      <c r="M277" s="48" t="str">
        <f aca="false">IF('RAW KVMC'!I274="","",'RAW KVMC'!I274)</f>
        <v/>
      </c>
    </row>
    <row r="278" customFormat="false" ht="15" hidden="false" customHeight="false" outlineLevel="0" collapsed="false">
      <c r="A278" s="1" t="s">
        <v>1422</v>
      </c>
      <c r="B278" s="1" t="s">
        <v>154</v>
      </c>
      <c r="C278" s="1" t="s">
        <v>1145</v>
      </c>
      <c r="D278" s="1" t="n">
        <v>275</v>
      </c>
      <c r="E278" s="48" t="str">
        <f aca="false">IF('RAW KVMC'!A275="","",'RAW KVMC'!A275)</f>
        <v>Grief Support Group</v>
      </c>
      <c r="F278" s="48" t="str">
        <f aca="false">IF('RAW KVMC'!B275="","",'RAW KVMC'!B275)</f>
        <v>Health Care Support Services</v>
      </c>
      <c r="G278" s="49" t="n">
        <f aca="false">IF('RAW KVMC'!C275="","",'RAW KVMC'!C275)</f>
        <v>46031</v>
      </c>
      <c r="H278" s="48" t="str">
        <f aca="false">IF('RAW KVMC'!D275="","",'RAW KVMC'!D275)</f>
        <v>Social Worker</v>
      </c>
      <c r="I278" s="48" t="n">
        <f aca="false">IF('RAW KVMC'!E275="","",'RAW KVMC'!E275)</f>
        <v>1.5</v>
      </c>
      <c r="J278" s="48" t="n">
        <f aca="false">IF('RAW KVMC'!F275="","",'RAW KVMC'!F275)</f>
        <v>0</v>
      </c>
      <c r="K278" s="50" t="n">
        <f aca="false">IF('RAW KVMC'!G275="","",'RAW KVMC'!G275)</f>
        <v>0</v>
      </c>
      <c r="L278" s="50" t="n">
        <f aca="false">IF('RAW KVMC'!H275="","",'RAW KVMC'!H275)</f>
        <v>0</v>
      </c>
      <c r="M278" s="48" t="str">
        <f aca="false">IF('RAW KVMC'!I275="","",'RAW KVMC'!I275)</f>
        <v/>
      </c>
    </row>
    <row r="279" customFormat="false" ht="15" hidden="false" customHeight="false" outlineLevel="0" collapsed="false">
      <c r="A279" s="1" t="s">
        <v>1423</v>
      </c>
      <c r="B279" s="1" t="s">
        <v>154</v>
      </c>
      <c r="C279" s="1" t="s">
        <v>1145</v>
      </c>
      <c r="D279" s="1" t="n">
        <v>276</v>
      </c>
      <c r="E279" s="48" t="str">
        <f aca="false">IF('RAW KVMC'!A276="","",'RAW KVMC'!A276)</f>
        <v>Small Business Health Partnership</v>
      </c>
      <c r="F279" s="48" t="str">
        <f aca="false">IF('RAW KVMC'!B276="","",'RAW KVMC'!B276)</f>
        <v>Community Building - Economic Dev</v>
      </c>
      <c r="G279" s="49" t="n">
        <f aca="false">IF('RAW KVMC'!C276="","",'RAW KVMC'!C276)</f>
        <v>46032</v>
      </c>
      <c r="H279" s="48" t="str">
        <f aca="false">IF('RAW KVMC'!D276="","",'RAW KVMC'!D276)</f>
        <v>Assoc. Director</v>
      </c>
      <c r="I279" s="48" t="n">
        <f aca="false">IF('RAW KVMC'!E276="","",'RAW KVMC'!E276)</f>
        <v>3.25</v>
      </c>
      <c r="J279" s="48" t="n">
        <f aca="false">IF('RAW KVMC'!F276="","",'RAW KVMC'!F276)</f>
        <v>0</v>
      </c>
      <c r="K279" s="50" t="n">
        <f aca="false">IF('RAW KVMC'!G276="","",'RAW KVMC'!G276)</f>
        <v>3295</v>
      </c>
      <c r="L279" s="50" t="n">
        <f aca="false">IF('RAW KVMC'!H276="","",'RAW KVMC'!H276)</f>
        <v>0</v>
      </c>
      <c r="M279" s="48" t="str">
        <f aca="false">IF('RAW KVMC'!I276="","",'RAW KVMC'!I276)</f>
        <v/>
      </c>
    </row>
    <row r="280" customFormat="false" ht="15" hidden="false" customHeight="false" outlineLevel="0" collapsed="false">
      <c r="A280" s="1" t="s">
        <v>1424</v>
      </c>
      <c r="B280" s="1" t="s">
        <v>154</v>
      </c>
      <c r="C280" s="1" t="s">
        <v>1145</v>
      </c>
      <c r="D280" s="1" t="n">
        <v>277</v>
      </c>
      <c r="E280" s="48" t="str">
        <f aca="false">IF('RAW KVMC'!A277="","",'RAW KVMC'!A277)</f>
        <v>Small Business Health Partnership</v>
      </c>
      <c r="F280" s="48" t="str">
        <f aca="false">IF('RAW KVMC'!B277="","",'RAW KVMC'!B277)</f>
        <v>Community Building - Economic Dev</v>
      </c>
      <c r="G280" s="49" t="n">
        <f aca="false">IF('RAW KVMC'!C277="","",'RAW KVMC'!C277)</f>
        <v>46032</v>
      </c>
      <c r="H280" s="48" t="str">
        <f aca="false">IF('RAW KVMC'!D277="","",'RAW KVMC'!D277)</f>
        <v> Volunteer Coordinator</v>
      </c>
      <c r="I280" s="48" t="n">
        <f aca="false">IF('RAW KVMC'!E277="","",'RAW KVMC'!E277)</f>
        <v>5.25</v>
      </c>
      <c r="J280" s="48" t="n">
        <f aca="false">IF('RAW KVMC'!F277="","",'RAW KVMC'!F277)</f>
        <v>0</v>
      </c>
      <c r="K280" s="50" t="n">
        <f aca="false">IF('RAW KVMC'!G277="","",'RAW KVMC'!G277)</f>
        <v>0</v>
      </c>
      <c r="L280" s="50" t="n">
        <f aca="false">IF('RAW KVMC'!H277="","",'RAW KVMC'!H277)</f>
        <v>0</v>
      </c>
      <c r="M280" s="48" t="str">
        <f aca="false">IF('RAW KVMC'!I277="","",'RAW KVMC'!I277)</f>
        <v/>
      </c>
    </row>
    <row r="281" customFormat="false" ht="15" hidden="false" customHeight="false" outlineLevel="0" collapsed="false">
      <c r="A281" s="1" t="s">
        <v>1425</v>
      </c>
      <c r="B281" s="1" t="s">
        <v>154</v>
      </c>
      <c r="C281" s="1" t="s">
        <v>1145</v>
      </c>
      <c r="D281" s="1" t="n">
        <v>278</v>
      </c>
      <c r="E281" s="48" t="str">
        <f aca="false">IF('RAW KVMC'!A278="","",'RAW KVMC'!A278)</f>
        <v>Childbirth and Newborn Care Classes</v>
      </c>
      <c r="F281" s="48" t="str">
        <f aca="false">IF('RAW KVMC'!B278="","",'RAW KVMC'!B278)</f>
        <v>Community Health Education</v>
      </c>
      <c r="G281" s="49" t="n">
        <f aca="false">IF('RAW KVMC'!C278="","",'RAW KVMC'!C278)</f>
        <v>46035</v>
      </c>
      <c r="H281" s="48" t="str">
        <f aca="false">IF('RAW KVMC'!D278="","",'RAW KVMC'!D278)</f>
        <v>Clin Educator</v>
      </c>
      <c r="I281" s="48" t="n">
        <f aca="false">IF('RAW KVMC'!E278="","",'RAW KVMC'!E278)</f>
        <v>3.25</v>
      </c>
      <c r="J281" s="48" t="n">
        <f aca="false">IF('RAW KVMC'!F278="","",'RAW KVMC'!F278)</f>
        <v>22</v>
      </c>
      <c r="K281" s="50" t="n">
        <f aca="false">IF('RAW KVMC'!G278="","",'RAW KVMC'!G278)</f>
        <v>170</v>
      </c>
      <c r="L281" s="50" t="n">
        <f aca="false">IF('RAW KVMC'!H278="","",'RAW KVMC'!H278)</f>
        <v>440</v>
      </c>
      <c r="M281" s="48" t="str">
        <f aca="false">IF('RAW KVMC'!I278="","",'RAW KVMC'!I278)</f>
        <v/>
      </c>
    </row>
    <row r="282" customFormat="false" ht="15" hidden="false" customHeight="false" outlineLevel="0" collapsed="false">
      <c r="A282" s="1" t="s">
        <v>1426</v>
      </c>
      <c r="B282" s="1" t="s">
        <v>154</v>
      </c>
      <c r="C282" s="1" t="s">
        <v>1145</v>
      </c>
      <c r="D282" s="1" t="n">
        <v>279</v>
      </c>
      <c r="E282" s="48" t="str">
        <f aca="false">IF('RAW KVMC'!A279="","",'RAW KVMC'!A279)</f>
        <v>Grief Support Group</v>
      </c>
      <c r="F282" s="48" t="str">
        <f aca="false">IF('RAW KVMC'!B279="","",'RAW KVMC'!B279)</f>
        <v>Health Care Support Services</v>
      </c>
      <c r="G282" s="49" t="n">
        <f aca="false">IF('RAW KVMC'!C279="","",'RAW KVMC'!C279)</f>
        <v>46039</v>
      </c>
      <c r="H282" s="48" t="str">
        <f aca="false">IF('RAW KVMC'!D279="","",'RAW KVMC'!D279)</f>
        <v>Staff Chaplain</v>
      </c>
      <c r="I282" s="48" t="n">
        <f aca="false">IF('RAW KVMC'!E279="","",'RAW KVMC'!E279)</f>
        <v>2.25</v>
      </c>
      <c r="J282" s="48" t="n">
        <f aca="false">IF('RAW KVMC'!F279="","",'RAW KVMC'!F279)</f>
        <v>9</v>
      </c>
      <c r="K282" s="50" t="n">
        <f aca="false">IF('RAW KVMC'!G279="","",'RAW KVMC'!G279)</f>
        <v>40</v>
      </c>
      <c r="L282" s="50" t="n">
        <f aca="false">IF('RAW KVMC'!H279="","",'RAW KVMC'!H279)</f>
        <v>0</v>
      </c>
      <c r="M282" s="48" t="str">
        <f aca="false">IF('RAW KVMC'!I279="","",'RAW KVMC'!I279)</f>
        <v/>
      </c>
    </row>
    <row r="283" customFormat="false" ht="15" hidden="false" customHeight="false" outlineLevel="0" collapsed="false">
      <c r="A283" s="1" t="s">
        <v>1427</v>
      </c>
      <c r="B283" s="1" t="s">
        <v>154</v>
      </c>
      <c r="C283" s="1" t="s">
        <v>1145</v>
      </c>
      <c r="D283" s="1" t="n">
        <v>280</v>
      </c>
      <c r="E283" s="48" t="str">
        <f aca="false">IF('RAW KVMC'!A280="","",'RAW KVMC'!A280)</f>
        <v>Grief Support Group</v>
      </c>
      <c r="F283" s="48" t="str">
        <f aca="false">IF('RAW KVMC'!B280="","",'RAW KVMC'!B280)</f>
        <v>Health Care Support Services</v>
      </c>
      <c r="G283" s="49" t="n">
        <f aca="false">IF('RAW KVMC'!C280="","",'RAW KVMC'!C280)</f>
        <v>46039</v>
      </c>
      <c r="H283" s="48" t="str">
        <f aca="false">IF('RAW KVMC'!D280="","",'RAW KVMC'!D280)</f>
        <v>Social Work</v>
      </c>
      <c r="I283" s="48" t="n">
        <f aca="false">IF('RAW KVMC'!E280="","",'RAW KVMC'!E280)</f>
        <v>1.5</v>
      </c>
      <c r="J283" s="48" t="n">
        <f aca="false">IF('RAW KVMC'!F280="","",'RAW KVMC'!F280)</f>
        <v>0</v>
      </c>
      <c r="K283" s="50" t="n">
        <f aca="false">IF('RAW KVMC'!G280="","",'RAW KVMC'!G280)</f>
        <v>0</v>
      </c>
      <c r="L283" s="50" t="n">
        <f aca="false">IF('RAW KVMC'!H280="","",'RAW KVMC'!H280)</f>
        <v>0</v>
      </c>
      <c r="M283" s="48" t="str">
        <f aca="false">IF('RAW KVMC'!I280="","",'RAW KVMC'!I280)</f>
        <v/>
      </c>
    </row>
    <row r="284" customFormat="false" ht="15" hidden="false" customHeight="false" outlineLevel="0" collapsed="false">
      <c r="A284" s="1" t="s">
        <v>1428</v>
      </c>
      <c r="B284" s="1" t="s">
        <v>154</v>
      </c>
      <c r="C284" s="1" t="s">
        <v>1145</v>
      </c>
      <c r="D284" s="1" t="n">
        <v>281</v>
      </c>
      <c r="E284" s="48" t="str">
        <f aca="false">IF('RAW KVMC'!A281="","",'RAW KVMC'!A281)</f>
        <v>Childbirth and Newborn Care Classes</v>
      </c>
      <c r="F284" s="48" t="str">
        <f aca="false">IF('RAW KVMC'!B281="","",'RAW KVMC'!B281)</f>
        <v>Community Health Education</v>
      </c>
      <c r="G284" s="49" t="n">
        <f aca="false">IF('RAW KVMC'!C281="","",'RAW KVMC'!C281)</f>
        <v>46041</v>
      </c>
      <c r="H284" s="48" t="str">
        <f aca="false">IF('RAW KVMC'!D281="","",'RAW KVMC'!D281)</f>
        <v>Preceptor RN</v>
      </c>
      <c r="I284" s="48" t="n">
        <f aca="false">IF('RAW KVMC'!E281="","",'RAW KVMC'!E281)</f>
        <v>3</v>
      </c>
      <c r="J284" s="48" t="n">
        <f aca="false">IF('RAW KVMC'!F281="","",'RAW KVMC'!F281)</f>
        <v>16</v>
      </c>
      <c r="K284" s="50" t="n">
        <f aca="false">IF('RAW KVMC'!G281="","",'RAW KVMC'!G281)</f>
        <v>160</v>
      </c>
      <c r="L284" s="50" t="n">
        <f aca="false">IF('RAW KVMC'!H281="","",'RAW KVMC'!H281)</f>
        <v>320</v>
      </c>
      <c r="M284" s="48" t="str">
        <f aca="false">IF('RAW KVMC'!I281="","",'RAW KVMC'!I281)</f>
        <v/>
      </c>
    </row>
    <row r="285" customFormat="false" ht="15" hidden="false" customHeight="false" outlineLevel="0" collapsed="false">
      <c r="A285" s="1" t="s">
        <v>1429</v>
      </c>
      <c r="B285" s="1" t="s">
        <v>154</v>
      </c>
      <c r="C285" s="1" t="s">
        <v>1145</v>
      </c>
      <c r="D285" s="1" t="n">
        <v>282</v>
      </c>
      <c r="E285" s="48" t="str">
        <f aca="false">IF('RAW KVMC'!A282="","",'RAW KVMC'!A282)</f>
        <v>Diabetes Prevention Classes</v>
      </c>
      <c r="F285" s="48" t="str">
        <f aca="false">IF('RAW KVMC'!B282="","",'RAW KVMC'!B282)</f>
        <v>Community Health Education</v>
      </c>
      <c r="G285" s="49" t="n">
        <f aca="false">IF('RAW KVMC'!C282="","",'RAW KVMC'!C282)</f>
        <v>46043</v>
      </c>
      <c r="H285" s="48" t="str">
        <f aca="false">IF('RAW KVMC'!D282="","",'RAW KVMC'!D282)</f>
        <v>Hlth Educator</v>
      </c>
      <c r="I285" s="48" t="n">
        <f aca="false">IF('RAW KVMC'!E282="","",'RAW KVMC'!E282)</f>
        <v>2.5</v>
      </c>
      <c r="J285" s="48" t="n">
        <f aca="false">IF('RAW KVMC'!F282="","",'RAW KVMC'!F282)</f>
        <v>18</v>
      </c>
      <c r="K285" s="50" t="n">
        <f aca="false">IF('RAW KVMC'!G282="","",'RAW KVMC'!G282)</f>
        <v>80</v>
      </c>
      <c r="L285" s="50" t="n">
        <f aca="false">IF('RAW KVMC'!H282="","",'RAW KVMC'!H282)</f>
        <v>0</v>
      </c>
      <c r="M285" s="48" t="str">
        <f aca="false">IF('RAW KVMC'!I282="","",'RAW KVMC'!I282)</f>
        <v/>
      </c>
    </row>
    <row r="286" customFormat="false" ht="15" hidden="false" customHeight="false" outlineLevel="0" collapsed="false">
      <c r="A286" s="1" t="s">
        <v>1430</v>
      </c>
      <c r="B286" s="1" t="s">
        <v>154</v>
      </c>
      <c r="C286" s="1" t="s">
        <v>1145</v>
      </c>
      <c r="D286" s="1" t="n">
        <v>283</v>
      </c>
      <c r="E286" s="48" t="str">
        <f aca="false">IF('RAW KVMC'!A283="","",'RAW KVMC'!A283)</f>
        <v>Diabetes Prevention Classes</v>
      </c>
      <c r="F286" s="48" t="str">
        <f aca="false">IF('RAW KVMC'!B283="","",'RAW KVMC'!B283)</f>
        <v>Community Health Education</v>
      </c>
      <c r="G286" s="49" t="n">
        <f aca="false">IF('RAW KVMC'!C283="","",'RAW KVMC'!C283)</f>
        <v>46043</v>
      </c>
      <c r="H286" s="48" t="str">
        <f aca="false">IF('RAW KVMC'!D283="","",'RAW KVMC'!D283)</f>
        <v>Registered Dietitian</v>
      </c>
      <c r="I286" s="48" t="n">
        <f aca="false">IF('RAW KVMC'!E283="","",'RAW KVMC'!E283)</f>
        <v>1.5</v>
      </c>
      <c r="J286" s="48" t="n">
        <f aca="false">IF('RAW KVMC'!F283="","",'RAW KVMC'!F283)</f>
        <v>0</v>
      </c>
      <c r="K286" s="50" t="n">
        <f aca="false">IF('RAW KVMC'!G283="","",'RAW KVMC'!G283)</f>
        <v>0</v>
      </c>
      <c r="L286" s="50" t="n">
        <f aca="false">IF('RAW KVMC'!H283="","",'RAW KVMC'!H283)</f>
        <v>0</v>
      </c>
      <c r="M286" s="48" t="str">
        <f aca="false">IF('RAW KVMC'!I283="","",'RAW KVMC'!I283)</f>
        <v/>
      </c>
    </row>
    <row r="287" customFormat="false" ht="15" hidden="false" customHeight="false" outlineLevel="0" collapsed="false">
      <c r="A287" s="1" t="s">
        <v>1431</v>
      </c>
      <c r="B287" s="1" t="s">
        <v>154</v>
      </c>
      <c r="C287" s="1" t="s">
        <v>1145</v>
      </c>
      <c r="D287" s="1" t="n">
        <v>284</v>
      </c>
      <c r="E287" s="48" t="str">
        <f aca="false">IF('RAW KVMC'!A284="","",'RAW KVMC'!A284)</f>
        <v>Grief Support Group</v>
      </c>
      <c r="F287" s="48" t="str">
        <f aca="false">IF('RAW KVMC'!B284="","",'RAW KVMC'!B284)</f>
        <v>Health Care Support Services</v>
      </c>
      <c r="G287" s="49" t="n">
        <f aca="false">IF('RAW KVMC'!C284="","",'RAW KVMC'!C284)</f>
        <v>46046</v>
      </c>
      <c r="H287" s="48" t="str">
        <f aca="false">IF('RAW KVMC'!D284="","",'RAW KVMC'!D284)</f>
        <v>Chaplain</v>
      </c>
      <c r="I287" s="48" t="n">
        <f aca="false">IF('RAW KVMC'!E284="","",'RAW KVMC'!E284)</f>
        <v>2</v>
      </c>
      <c r="J287" s="48" t="n">
        <f aca="false">IF('RAW KVMC'!F284="","",'RAW KVMC'!F284)</f>
        <v>13</v>
      </c>
      <c r="K287" s="50" t="n">
        <f aca="false">IF('RAW KVMC'!G284="","",'RAW KVMC'!G284)</f>
        <v>25</v>
      </c>
      <c r="L287" s="50" t="n">
        <f aca="false">IF('RAW KVMC'!H284="","",'RAW KVMC'!H284)</f>
        <v>0</v>
      </c>
      <c r="M287" s="48" t="str">
        <f aca="false">IF('RAW KVMC'!I284="","",'RAW KVMC'!I284)</f>
        <v/>
      </c>
    </row>
    <row r="288" customFormat="false" ht="15" hidden="false" customHeight="false" outlineLevel="0" collapsed="false">
      <c r="A288" s="1" t="s">
        <v>1432</v>
      </c>
      <c r="B288" s="1" t="s">
        <v>154</v>
      </c>
      <c r="C288" s="1" t="s">
        <v>1145</v>
      </c>
      <c r="D288" s="1" t="n">
        <v>285</v>
      </c>
      <c r="E288" s="48" t="str">
        <f aca="false">IF('RAW KVMC'!A285="","",'RAW KVMC'!A285)</f>
        <v>Grief Support Group</v>
      </c>
      <c r="F288" s="48" t="str">
        <f aca="false">IF('RAW KVMC'!B285="","",'RAW KVMC'!B285)</f>
        <v>Health Care Support Services</v>
      </c>
      <c r="G288" s="49" t="n">
        <f aca="false">IF('RAW KVMC'!C285="","",'RAW KVMC'!C285)</f>
        <v>46046</v>
      </c>
      <c r="H288" s="48" t="str">
        <f aca="false">IF('RAW KVMC'!D285="","",'RAW KVMC'!D285)</f>
        <v> Social Worker</v>
      </c>
      <c r="I288" s="48" t="n">
        <f aca="false">IF('RAW KVMC'!E285="","",'RAW KVMC'!E285)</f>
        <v>2</v>
      </c>
      <c r="J288" s="48" t="n">
        <f aca="false">IF('RAW KVMC'!F285="","",'RAW KVMC'!F285)</f>
        <v>0</v>
      </c>
      <c r="K288" s="50" t="n">
        <f aca="false">IF('RAW KVMC'!G285="","",'RAW KVMC'!G285)</f>
        <v>0</v>
      </c>
      <c r="L288" s="50" t="n">
        <f aca="false">IF('RAW KVMC'!H285="","",'RAW KVMC'!H285)</f>
        <v>0</v>
      </c>
      <c r="M288" s="48" t="str">
        <f aca="false">IF('RAW KVMC'!I285="","",'RAW KVMC'!I285)</f>
        <v/>
      </c>
    </row>
    <row r="289" customFormat="false" ht="15" hidden="false" customHeight="false" outlineLevel="0" collapsed="false">
      <c r="A289" s="1" t="s">
        <v>1433</v>
      </c>
      <c r="B289" s="1" t="s">
        <v>154</v>
      </c>
      <c r="C289" s="1" t="s">
        <v>1145</v>
      </c>
      <c r="D289" s="1" t="n">
        <v>286</v>
      </c>
      <c r="E289" s="48" t="str">
        <f aca="false">IF('RAW KVMC'!A286="","",'RAW KVMC'!A286)</f>
        <v>Regional Health Coalition</v>
      </c>
      <c r="F289" s="48" t="str">
        <f aca="false">IF('RAW KVMC'!B286="","",'RAW KVMC'!B286)</f>
        <v>Community Building - Coalition</v>
      </c>
      <c r="G289" s="49" t="n">
        <f aca="false">IF('RAW KVMC'!C286="","",'RAW KVMC'!C286)</f>
        <v>46046</v>
      </c>
      <c r="H289" s="48" t="str">
        <f aca="false">IF('RAW KVMC'!D286="","",'RAW KVMC'!D286)</f>
        <v>Mgr, Community Benefit</v>
      </c>
      <c r="I289" s="48" t="n">
        <f aca="false">IF('RAW KVMC'!E286="","",'RAW KVMC'!E286)</f>
        <v>2.5</v>
      </c>
      <c r="J289" s="48" t="n">
        <f aca="false">IF('RAW KVMC'!F286="","",'RAW KVMC'!F286)</f>
        <v>0</v>
      </c>
      <c r="K289" s="50" t="n">
        <f aca="false">IF('RAW KVMC'!G286="","",'RAW KVMC'!G286)</f>
        <v>0</v>
      </c>
      <c r="L289" s="50" t="n">
        <f aca="false">IF('RAW KVMC'!H286="","",'RAW KVMC'!H286)</f>
        <v>0</v>
      </c>
      <c r="M289" s="48" t="str">
        <f aca="false">IF('RAW KVMC'!I286="","",'RAW KVMC'!I286)</f>
        <v/>
      </c>
    </row>
    <row r="290" customFormat="false" ht="15" hidden="false" customHeight="false" outlineLevel="0" collapsed="false">
      <c r="A290" s="1" t="s">
        <v>1434</v>
      </c>
      <c r="B290" s="1" t="s">
        <v>154</v>
      </c>
      <c r="C290" s="1" t="s">
        <v>1145</v>
      </c>
      <c r="D290" s="1" t="n">
        <v>287</v>
      </c>
      <c r="E290" s="48" t="str">
        <f aca="false">IF('RAW KVMC'!A287="","",'RAW KVMC'!A287)</f>
        <v>Regional Health Coalition</v>
      </c>
      <c r="F290" s="48" t="str">
        <f aca="false">IF('RAW KVMC'!B287="","",'RAW KVMC'!B287)</f>
        <v>Community Building - Coalition</v>
      </c>
      <c r="G290" s="49" t="n">
        <f aca="false">IF('RAW KVMC'!C287="","",'RAW KVMC'!C287)</f>
        <v>46046</v>
      </c>
      <c r="H290" s="48" t="str">
        <f aca="false">IF('RAW KVMC'!D287="","",'RAW KVMC'!D287)</f>
        <v>Executive Director</v>
      </c>
      <c r="I290" s="48" t="n">
        <f aca="false">IF('RAW KVMC'!E287="","",'RAW KVMC'!E287)</f>
        <v>2.5</v>
      </c>
      <c r="J290" s="48" t="n">
        <f aca="false">IF('RAW KVMC'!F287="","",'RAW KVMC'!F287)</f>
        <v>0</v>
      </c>
      <c r="K290" s="50" t="n">
        <f aca="false">IF('RAW KVMC'!G287="","",'RAW KVMC'!G287)</f>
        <v>40</v>
      </c>
      <c r="L290" s="50" t="n">
        <f aca="false">IF('RAW KVMC'!H287="","",'RAW KVMC'!H287)</f>
        <v>0</v>
      </c>
      <c r="M290" s="48" t="str">
        <f aca="false">IF('RAW KVMC'!I287="","",'RAW KVMC'!I287)</f>
        <v/>
      </c>
    </row>
    <row r="291" customFormat="false" ht="15" hidden="false" customHeight="false" outlineLevel="0" collapsed="false">
      <c r="A291" s="1" t="s">
        <v>1435</v>
      </c>
      <c r="B291" s="1" t="s">
        <v>154</v>
      </c>
      <c r="C291" s="1" t="s">
        <v>1145</v>
      </c>
      <c r="D291" s="1" t="n">
        <v>288</v>
      </c>
      <c r="E291" s="48" t="str">
        <f aca="false">IF('RAW KVMC'!A288="","",'RAW KVMC'!A288)</f>
        <v>Mobile Health Screening Unit</v>
      </c>
      <c r="F291" s="48" t="str">
        <f aca="false">IF('RAW KVMC'!B288="","",'RAW KVMC'!B288)</f>
        <v>Community-Based Clinical Services</v>
      </c>
      <c r="G291" s="49" t="n">
        <f aca="false">IF('RAW KVMC'!C288="","",'RAW KVMC'!C288)</f>
        <v>46053</v>
      </c>
      <c r="H291" s="48" t="str">
        <f aca="false">IF('RAW KVMC'!D288="","",'RAW KVMC'!D288)</f>
        <v>Community Health Worker</v>
      </c>
      <c r="I291" s="48" t="n">
        <f aca="false">IF('RAW KVMC'!E288="","",'RAW KVMC'!E288)</f>
        <v>92.75</v>
      </c>
      <c r="J291" s="48" t="n">
        <f aca="false">IF('RAW KVMC'!F288="","",'RAW KVMC'!F288)</f>
        <v>0</v>
      </c>
      <c r="K291" s="50" t="n">
        <f aca="false">IF('RAW KVMC'!G288="","",'RAW KVMC'!G288)</f>
        <v>0</v>
      </c>
      <c r="L291" s="50" t="n">
        <f aca="false">IF('RAW KVMC'!H288="","",'RAW KVMC'!H288)</f>
        <v>0</v>
      </c>
      <c r="M291" s="48" t="str">
        <f aca="false">IF('RAW KVMC'!I288="","",'RAW KVMC'!I288)</f>
        <v/>
      </c>
    </row>
    <row r="292" customFormat="false" ht="15" hidden="false" customHeight="false" outlineLevel="0" collapsed="false">
      <c r="A292" s="1" t="s">
        <v>1436</v>
      </c>
      <c r="B292" s="1" t="s">
        <v>154</v>
      </c>
      <c r="C292" s="1" t="s">
        <v>1145</v>
      </c>
      <c r="D292" s="1" t="n">
        <v>289</v>
      </c>
      <c r="E292" s="48" t="str">
        <f aca="false">IF('RAW KVMC'!A289="","",'RAW KVMC'!A289)</f>
        <v>Mobile Health Screening Unit</v>
      </c>
      <c r="F292" s="48" t="str">
        <f aca="false">IF('RAW KVMC'!B289="","",'RAW KVMC'!B289)</f>
        <v>Community-Based Clinical Services</v>
      </c>
      <c r="G292" s="49" t="n">
        <f aca="false">IF('RAW KVMC'!C289="","",'RAW KVMC'!C289)</f>
        <v>46053</v>
      </c>
      <c r="H292" s="48" t="str">
        <f aca="false">IF('RAW KVMC'!D289="","",'RAW KVMC'!D289)</f>
        <v>Certified Medical Assistant</v>
      </c>
      <c r="I292" s="48" t="n">
        <f aca="false">IF('RAW KVMC'!E289="","",'RAW KVMC'!E289)</f>
        <v>97</v>
      </c>
      <c r="J292" s="48" t="n">
        <f aca="false">IF('RAW KVMC'!F289="","",'RAW KVMC'!F289)</f>
        <v>0</v>
      </c>
      <c r="K292" s="50" t="n">
        <f aca="false">IF('RAW KVMC'!G289="","",'RAW KVMC'!G289)</f>
        <v>0</v>
      </c>
      <c r="L292" s="50" t="n">
        <f aca="false">IF('RAW KVMC'!H289="","",'RAW KVMC'!H289)</f>
        <v>0</v>
      </c>
      <c r="M292" s="48" t="str">
        <f aca="false">IF('RAW KVMC'!I289="","",'RAW KVMC'!I289)</f>
        <v/>
      </c>
    </row>
    <row r="293" customFormat="false" ht="15" hidden="false" customHeight="false" outlineLevel="0" collapsed="false">
      <c r="A293" s="1" t="s">
        <v>1437</v>
      </c>
      <c r="B293" s="1" t="s">
        <v>154</v>
      </c>
      <c r="C293" s="1" t="s">
        <v>1145</v>
      </c>
      <c r="D293" s="1" t="n">
        <v>290</v>
      </c>
      <c r="E293" s="48" t="str">
        <f aca="false">IF('RAW KVMC'!A290="","",'RAW KVMC'!A290)</f>
        <v>Mobile Health Screening Unit</v>
      </c>
      <c r="F293" s="48" t="str">
        <f aca="false">IF('RAW KVMC'!B290="","",'RAW KVMC'!B290)</f>
        <v>Community-Based Clinical Services</v>
      </c>
      <c r="G293" s="49" t="n">
        <f aca="false">IF('RAW KVMC'!C290="","",'RAW KVMC'!C290)</f>
        <v>46053</v>
      </c>
      <c r="H293" s="48" t="str">
        <f aca="false">IF('RAW KVMC'!D290="","",'RAW KVMC'!D290)</f>
        <v>Clinical RN</v>
      </c>
      <c r="I293" s="48" t="n">
        <f aca="false">IF('RAW KVMC'!E290="","",'RAW KVMC'!E290)</f>
        <v>120.5</v>
      </c>
      <c r="J293" s="48" t="n">
        <f aca="false">IF('RAW KVMC'!F290="","",'RAW KVMC'!F290)</f>
        <v>321</v>
      </c>
      <c r="K293" s="50" t="n">
        <f aca="false">IF('RAW KVMC'!G290="","",'RAW KVMC'!G290)</f>
        <v>10585</v>
      </c>
      <c r="L293" s="50" t="n">
        <f aca="false">IF('RAW KVMC'!H290="","",'RAW KVMC'!H290)</f>
        <v>0</v>
      </c>
      <c r="M293" s="48" t="str">
        <f aca="false">IF('RAW KVMC'!I290="","",'RAW KVMC'!I290)</f>
        <v/>
      </c>
    </row>
    <row r="294" customFormat="false" ht="15" hidden="false" customHeight="false" outlineLevel="0" collapsed="false">
      <c r="A294" s="1" t="s">
        <v>1438</v>
      </c>
      <c r="B294" s="1" t="s">
        <v>154</v>
      </c>
      <c r="C294" s="1" t="s">
        <v>1145</v>
      </c>
      <c r="D294" s="1" t="n">
        <v>291</v>
      </c>
      <c r="E294" s="48" t="str">
        <f aca="false">IF('RAW KVMC'!A291="","",'RAW KVMC'!A291)</f>
        <v>Free Clinic Provider Staffing</v>
      </c>
      <c r="F294" s="48" t="str">
        <f aca="false">IF('RAW KVMC'!B291="","",'RAW KVMC'!B291)</f>
        <v>Community-Based Clinical Services</v>
      </c>
      <c r="G294" s="49" t="n">
        <f aca="false">IF('RAW KVMC'!C291="","",'RAW KVMC'!C291)</f>
        <v>46053</v>
      </c>
      <c r="H294" s="48" t="str">
        <f aca="false">IF('RAW KVMC'!D291="","",'RAW KVMC'!D291)</f>
        <v>Family NP</v>
      </c>
      <c r="I294" s="48" t="n">
        <f aca="false">IF('RAW KVMC'!E291="","",'RAW KVMC'!E291)</f>
        <v>39</v>
      </c>
      <c r="J294" s="48" t="n">
        <f aca="false">IF('RAW KVMC'!F291="","",'RAW KVMC'!F291)</f>
        <v>397</v>
      </c>
      <c r="K294" s="50" t="n">
        <f aca="false">IF('RAW KVMC'!G291="","",'RAW KVMC'!G291)</f>
        <v>4615</v>
      </c>
      <c r="L294" s="50" t="n">
        <f aca="false">IF('RAW KVMC'!H291="","",'RAW KVMC'!H291)</f>
        <v>0</v>
      </c>
      <c r="M294" s="48" t="str">
        <f aca="false">IF('RAW KVMC'!I291="","",'RAW KVMC'!I291)</f>
        <v/>
      </c>
    </row>
    <row r="295" customFormat="false" ht="15" hidden="false" customHeight="false" outlineLevel="0" collapsed="false">
      <c r="A295" s="1" t="s">
        <v>1439</v>
      </c>
      <c r="B295" s="1" t="s">
        <v>154</v>
      </c>
      <c r="C295" s="1" t="s">
        <v>1145</v>
      </c>
      <c r="D295" s="1" t="n">
        <v>292</v>
      </c>
      <c r="E295" s="48" t="str">
        <f aca="false">IF('RAW KVMC'!A292="","",'RAW KVMC'!A292)</f>
        <v>Free Clinic Provider Staffing</v>
      </c>
      <c r="F295" s="48" t="str">
        <f aca="false">IF('RAW KVMC'!B292="","",'RAW KVMC'!B292)</f>
        <v>Community-Based Clinical Services</v>
      </c>
      <c r="G295" s="49" t="n">
        <f aca="false">IF('RAW KVMC'!C292="","",'RAW KVMC'!C292)</f>
        <v>46053</v>
      </c>
      <c r="H295" s="48" t="str">
        <f aca="false">IF('RAW KVMC'!D292="","",'RAW KVMC'!D292)</f>
        <v>Pharmacist</v>
      </c>
      <c r="I295" s="48" t="n">
        <f aca="false">IF('RAW KVMC'!E292="","",'RAW KVMC'!E292)</f>
        <v>19.5</v>
      </c>
      <c r="J295" s="48" t="n">
        <f aca="false">IF('RAW KVMC'!F292="","",'RAW KVMC'!F292)</f>
        <v>0</v>
      </c>
      <c r="K295" s="50" t="n">
        <f aca="false">IF('RAW KVMC'!G292="","",'RAW KVMC'!G292)</f>
        <v>0</v>
      </c>
      <c r="L295" s="50" t="n">
        <f aca="false">IF('RAW KVMC'!H292="","",'RAW KVMC'!H292)</f>
        <v>0</v>
      </c>
      <c r="M295" s="48" t="str">
        <f aca="false">IF('RAW KVMC'!I292="","",'RAW KVMC'!I292)</f>
        <v/>
      </c>
    </row>
    <row r="296" customFormat="false" ht="15" hidden="false" customHeight="false" outlineLevel="0" collapsed="false">
      <c r="A296" s="1" t="s">
        <v>1440</v>
      </c>
      <c r="B296" s="1" t="s">
        <v>154</v>
      </c>
      <c r="C296" s="1" t="s">
        <v>1145</v>
      </c>
      <c r="D296" s="1" t="n">
        <v>293</v>
      </c>
      <c r="E296" s="48" t="str">
        <f aca="false">IF('RAW KVMC'!A293="","",'RAW KVMC'!A293)</f>
        <v>Free Clinic Provider Staffing</v>
      </c>
      <c r="F296" s="48" t="str">
        <f aca="false">IF('RAW KVMC'!B293="","",'RAW KVMC'!B293)</f>
        <v>Community-Based Clinical Services</v>
      </c>
      <c r="G296" s="49" t="n">
        <f aca="false">IF('RAW KVMC'!C293="","",'RAW KVMC'!C293)</f>
        <v>46053</v>
      </c>
      <c r="H296" s="48" t="str">
        <f aca="false">IF('RAW KVMC'!D293="","",'RAW KVMC'!D293)</f>
        <v>Reg Nurse</v>
      </c>
      <c r="I296" s="48" t="n">
        <f aca="false">IF('RAW KVMC'!E293="","",'RAW KVMC'!E293)</f>
        <v>59</v>
      </c>
      <c r="J296" s="48" t="n">
        <f aca="false">IF('RAW KVMC'!F293="","",'RAW KVMC'!F293)</f>
        <v>0</v>
      </c>
      <c r="K296" s="50" t="n">
        <f aca="false">IF('RAW KVMC'!G293="","",'RAW KVMC'!G293)</f>
        <v>0</v>
      </c>
      <c r="L296" s="50" t="n">
        <f aca="false">IF('RAW KVMC'!H293="","",'RAW KVMC'!H293)</f>
        <v>0</v>
      </c>
      <c r="M296" s="48" t="str">
        <f aca="false">IF('RAW KVMC'!I293="","",'RAW KVMC'!I293)</f>
        <v/>
      </c>
    </row>
    <row r="297" customFormat="false" ht="15" hidden="false" customHeight="false" outlineLevel="0" collapsed="false">
      <c r="A297" s="1" t="s">
        <v>1441</v>
      </c>
      <c r="B297" s="1" t="s">
        <v>154</v>
      </c>
      <c r="C297" s="1" t="s">
        <v>1145</v>
      </c>
      <c r="D297" s="1" t="n">
        <v>294</v>
      </c>
      <c r="E297" s="48" t="str">
        <f aca="false">IF('RAW KVMC'!A294="","",'RAW KVMC'!A294)</f>
        <v>Community Health Worker Outreach</v>
      </c>
      <c r="F297" s="48" t="str">
        <f aca="false">IF('RAW KVMC'!B294="","",'RAW KVMC'!B294)</f>
        <v>Health Care Support Services</v>
      </c>
      <c r="G297" s="49" t="n">
        <f aca="false">IF('RAW KVMC'!C294="","",'RAW KVMC'!C294)</f>
        <v>46053</v>
      </c>
      <c r="H297" s="48" t="str">
        <f aca="false">IF('RAW KVMC'!D294="","",'RAW KVMC'!D294)</f>
        <v>Comm. Health Worker</v>
      </c>
      <c r="I297" s="48" t="n">
        <f aca="false">IF('RAW KVMC'!E294="","",'RAW KVMC'!E294)</f>
        <v>370.75</v>
      </c>
      <c r="J297" s="48" t="n">
        <f aca="false">IF('RAW KVMC'!F294="","",'RAW KVMC'!F294)</f>
        <v>438</v>
      </c>
      <c r="K297" s="50" t="n">
        <f aca="false">IF('RAW KVMC'!G294="","",'RAW KVMC'!G294)</f>
        <v>1085</v>
      </c>
      <c r="L297" s="50" t="n">
        <f aca="false">IF('RAW KVMC'!H294="","",'RAW KVMC'!H294)</f>
        <v>0</v>
      </c>
      <c r="M297" s="48" t="str">
        <f aca="false">IF('RAW KVMC'!I294="","",'RAW KVMC'!I294)</f>
        <v/>
      </c>
    </row>
    <row r="298" customFormat="false" ht="15" hidden="false" customHeight="false" outlineLevel="0" collapsed="false">
      <c r="A298" s="1" t="s">
        <v>1442</v>
      </c>
      <c r="B298" s="1" t="s">
        <v>154</v>
      </c>
      <c r="C298" s="1" t="s">
        <v>1145</v>
      </c>
      <c r="D298" s="1" t="n">
        <v>295</v>
      </c>
      <c r="E298" s="48" t="str">
        <f aca="false">IF('RAW KVMC'!A295="","",'RAW KVMC'!A295)</f>
        <v>Community Health Worker Outreach</v>
      </c>
      <c r="F298" s="48" t="str">
        <f aca="false">IF('RAW KVMC'!B295="","",'RAW KVMC'!B295)</f>
        <v>Health Care Support Services</v>
      </c>
      <c r="G298" s="49" t="n">
        <f aca="false">IF('RAW KVMC'!C295="","",'RAW KVMC'!C295)</f>
        <v>46053</v>
      </c>
      <c r="H298" s="48" t="str">
        <f aca="false">IF('RAW KVMC'!D295="","",'RAW KVMC'!D295)</f>
        <v> Pt Navigator</v>
      </c>
      <c r="I298" s="48" t="n">
        <f aca="false">IF('RAW KVMC'!E295="","",'RAW KVMC'!E295)</f>
        <v>144.5</v>
      </c>
      <c r="J298" s="48" t="n">
        <f aca="false">IF('RAW KVMC'!F295="","",'RAW KVMC'!F295)</f>
        <v>0</v>
      </c>
      <c r="K298" s="50" t="n">
        <f aca="false">IF('RAW KVMC'!G295="","",'RAW KVMC'!G295)</f>
        <v>0</v>
      </c>
      <c r="L298" s="50" t="n">
        <f aca="false">IF('RAW KVMC'!H295="","",'RAW KVMC'!H295)</f>
        <v>0</v>
      </c>
      <c r="M298" s="48" t="str">
        <f aca="false">IF('RAW KVMC'!I295="","",'RAW KVMC'!I295)</f>
        <v/>
      </c>
    </row>
    <row r="299" customFormat="false" ht="15" hidden="false" customHeight="false" outlineLevel="0" collapsed="false">
      <c r="A299" s="1" t="s">
        <v>1443</v>
      </c>
      <c r="B299" s="1" t="s">
        <v>154</v>
      </c>
      <c r="C299" s="1" t="s">
        <v>1145</v>
      </c>
      <c r="D299" s="1" t="n">
        <v>296</v>
      </c>
      <c r="E299" s="48" t="str">
        <f aca="false">IF('RAW KVMC'!A296="","",'RAW KVMC'!A296)</f>
        <v>Medication Assistance Program</v>
      </c>
      <c r="F299" s="48" t="str">
        <f aca="false">IF('RAW KVMC'!B296="","",'RAW KVMC'!B296)</f>
        <v>Health Care Support Services</v>
      </c>
      <c r="G299" s="49" t="n">
        <f aca="false">IF('RAW KVMC'!C296="","",'RAW KVMC'!C296)</f>
        <v>46053</v>
      </c>
      <c r="H299" s="48" t="str">
        <f aca="false">IF('RAW KVMC'!D296="","",'RAW KVMC'!D296)</f>
        <v>Financial Navigator</v>
      </c>
      <c r="I299" s="48" t="n">
        <f aca="false">IF('RAW KVMC'!E296="","",'RAW KVMC'!E296)</f>
        <v>103.75</v>
      </c>
      <c r="J299" s="48" t="n">
        <f aca="false">IF('RAW KVMC'!F296="","",'RAW KVMC'!F296)</f>
        <v>0</v>
      </c>
      <c r="K299" s="50" t="n">
        <f aca="false">IF('RAW KVMC'!G296="","",'RAW KVMC'!G296)</f>
        <v>0</v>
      </c>
      <c r="L299" s="50" t="n">
        <f aca="false">IF('RAW KVMC'!H296="","",'RAW KVMC'!H296)</f>
        <v>0</v>
      </c>
      <c r="M299" s="48" t="str">
        <f aca="false">IF('RAW KVMC'!I296="","",'RAW KVMC'!I296)</f>
        <v/>
      </c>
    </row>
    <row r="300" customFormat="false" ht="15" hidden="false" customHeight="false" outlineLevel="0" collapsed="false">
      <c r="A300" s="1" t="s">
        <v>1444</v>
      </c>
      <c r="B300" s="1" t="s">
        <v>154</v>
      </c>
      <c r="C300" s="1" t="s">
        <v>1145</v>
      </c>
      <c r="D300" s="1" t="n">
        <v>297</v>
      </c>
      <c r="E300" s="48" t="str">
        <f aca="false">IF('RAW KVMC'!A297="","",'RAW KVMC'!A297)</f>
        <v>Medication Assistance Program</v>
      </c>
      <c r="F300" s="48" t="str">
        <f aca="false">IF('RAW KVMC'!B297="","",'RAW KVMC'!B297)</f>
        <v>Health Care Support Services</v>
      </c>
      <c r="G300" s="49" t="n">
        <f aca="false">IF('RAW KVMC'!C297="","",'RAW KVMC'!C297)</f>
        <v>46053</v>
      </c>
      <c r="H300" s="48" t="str">
        <f aca="false">IF('RAW KVMC'!D297="","",'RAW KVMC'!D297)</f>
        <v>Pharmacist</v>
      </c>
      <c r="I300" s="48" t="n">
        <f aca="false">IF('RAW KVMC'!E297="","",'RAW KVMC'!E297)</f>
        <v>20.5</v>
      </c>
      <c r="J300" s="48" t="n">
        <f aca="false">IF('RAW KVMC'!F297="","",'RAW KVMC'!F297)</f>
        <v>100</v>
      </c>
      <c r="K300" s="50" t="n">
        <f aca="false">IF('RAW KVMC'!G297="","",'RAW KVMC'!G297)</f>
        <v>18270</v>
      </c>
      <c r="L300" s="50" t="n">
        <f aca="false">IF('RAW KVMC'!H297="","",'RAW KVMC'!H297)</f>
        <v>0</v>
      </c>
      <c r="M300" s="48" t="str">
        <f aca="false">IF('RAW KVMC'!I297="","",'RAW KVMC'!I297)</f>
        <v/>
      </c>
    </row>
    <row r="301" customFormat="false" ht="15" hidden="false" customHeight="false" outlineLevel="0" collapsed="false">
      <c r="A301" s="1" t="s">
        <v>1445</v>
      </c>
      <c r="B301" s="1" t="s">
        <v>154</v>
      </c>
      <c r="C301" s="1" t="s">
        <v>1145</v>
      </c>
      <c r="D301" s="1" t="n">
        <v>298</v>
      </c>
      <c r="E301" s="48" t="str">
        <f aca="false">IF('RAW KVMC'!A298="","",'RAW KVMC'!A298)</f>
        <v>Community Health Needs Assessment</v>
      </c>
      <c r="F301" s="48" t="str">
        <f aca="false">IF('RAW KVMC'!B298="","",'RAW KVMC'!B298)</f>
        <v>CB Operations</v>
      </c>
      <c r="G301" s="49" t="n">
        <f aca="false">IF('RAW KVMC'!C298="","",'RAW KVMC'!C298)</f>
        <v>46053</v>
      </c>
      <c r="H301" s="48" t="str">
        <f aca="false">IF('RAW KVMC'!D298="","",'RAW KVMC'!D298)</f>
        <v>Community Benefit Manager</v>
      </c>
      <c r="I301" s="48" t="n">
        <f aca="false">IF('RAW KVMC'!E298="","",'RAW KVMC'!E298)</f>
        <v>121.25</v>
      </c>
      <c r="J301" s="48" t="n">
        <f aca="false">IF('RAW KVMC'!F298="","",'RAW KVMC'!F298)</f>
        <v>0</v>
      </c>
      <c r="K301" s="50" t="n">
        <f aca="false">IF('RAW KVMC'!G298="","",'RAW KVMC'!G298)</f>
        <v>4310</v>
      </c>
      <c r="L301" s="50" t="n">
        <f aca="false">IF('RAW KVMC'!H298="","",'RAW KVMC'!H298)</f>
        <v>0</v>
      </c>
      <c r="M301" s="48" t="str">
        <f aca="false">IF('RAW KVMC'!I298="","",'RAW KVMC'!I298)</f>
        <v/>
      </c>
    </row>
    <row r="302" customFormat="false" ht="15" hidden="false" customHeight="false" outlineLevel="0" collapsed="false">
      <c r="A302" s="1" t="s">
        <v>1446</v>
      </c>
      <c r="B302" s="1" t="s">
        <v>154</v>
      </c>
      <c r="C302" s="1" t="s">
        <v>1145</v>
      </c>
      <c r="D302" s="1" t="n">
        <v>299</v>
      </c>
      <c r="E302" s="48" t="str">
        <f aca="false">IF('RAW KVMC'!A299="","",'RAW KVMC'!A299)</f>
        <v>Community Health Needs Assessment</v>
      </c>
      <c r="F302" s="48" t="str">
        <f aca="false">IF('RAW KVMC'!B299="","",'RAW KVMC'!B299)</f>
        <v>CB Operations</v>
      </c>
      <c r="G302" s="49" t="n">
        <f aca="false">IF('RAW KVMC'!C299="","",'RAW KVMC'!C299)</f>
        <v>46053</v>
      </c>
      <c r="H302" s="48" t="str">
        <f aca="false">IF('RAW KVMC'!D299="","",'RAW KVMC'!D299)</f>
        <v>Sr Data Analyst </v>
      </c>
      <c r="I302" s="48" t="n">
        <f aca="false">IF('RAW KVMC'!E299="","",'RAW KVMC'!E299)</f>
        <v>63.75</v>
      </c>
      <c r="J302" s="48" t="n">
        <f aca="false">IF('RAW KVMC'!F299="","",'RAW KVMC'!F299)</f>
        <v>0</v>
      </c>
      <c r="K302" s="50" t="n">
        <f aca="false">IF('RAW KVMC'!G299="","",'RAW KVMC'!G299)</f>
        <v>0</v>
      </c>
      <c r="L302" s="50" t="n">
        <f aca="false">IF('RAW KVMC'!H299="","",'RAW KVMC'!H299)</f>
        <v>0</v>
      </c>
      <c r="M302" s="48" t="str">
        <f aca="false">IF('RAW KVMC'!I299="","",'RAW KVMC'!I299)</f>
        <v/>
      </c>
    </row>
    <row r="303" customFormat="false" ht="15" hidden="false" customHeight="false" outlineLevel="0" collapsed="false">
      <c r="A303" s="1" t="s">
        <v>1447</v>
      </c>
      <c r="B303" s="1" t="s">
        <v>154</v>
      </c>
      <c r="C303" s="1" t="s">
        <v>1145</v>
      </c>
      <c r="D303" s="1" t="n">
        <v>300</v>
      </c>
      <c r="E303" s="48" t="str">
        <f aca="false">IF('RAW KVMC'!A300="","",'RAW KVMC'!A300)</f>
        <v>Community Benefit Program Administration</v>
      </c>
      <c r="F303" s="48" t="str">
        <f aca="false">IF('RAW KVMC'!B300="","",'RAW KVMC'!B300)</f>
        <v>CB Operations</v>
      </c>
      <c r="G303" s="49" t="n">
        <f aca="false">IF('RAW KVMC'!C300="","",'RAW KVMC'!C300)</f>
        <v>46053</v>
      </c>
      <c r="H303" s="48" t="str">
        <f aca="false">IF('RAW KVMC'!D300="","",'RAW KVMC'!D300)</f>
        <v>Administrative Assistant</v>
      </c>
      <c r="I303" s="48" t="n">
        <f aca="false">IF('RAW KVMC'!E300="","",'RAW KVMC'!E300)</f>
        <v>37.5</v>
      </c>
      <c r="J303" s="48" t="n">
        <f aca="false">IF('RAW KVMC'!F300="","",'RAW KVMC'!F300)</f>
        <v>0</v>
      </c>
      <c r="K303" s="50" t="n">
        <f aca="false">IF('RAW KVMC'!G300="","",'RAW KVMC'!G300)</f>
        <v>0</v>
      </c>
      <c r="L303" s="50" t="n">
        <f aca="false">IF('RAW KVMC'!H300="","",'RAW KVMC'!H300)</f>
        <v>0</v>
      </c>
      <c r="M303" s="48" t="str">
        <f aca="false">IF('RAW KVMC'!I300="","",'RAW KVMC'!I300)</f>
        <v/>
      </c>
    </row>
    <row r="304" customFormat="false" ht="15" hidden="false" customHeight="false" outlineLevel="0" collapsed="false">
      <c r="A304" s="1" t="s">
        <v>1448</v>
      </c>
      <c r="B304" s="1" t="s">
        <v>154</v>
      </c>
      <c r="C304" s="1" t="s">
        <v>1145</v>
      </c>
      <c r="D304" s="1" t="n">
        <v>301</v>
      </c>
      <c r="E304" s="48" t="str">
        <f aca="false">IF('RAW KVMC'!A301="","",'RAW KVMC'!A301)</f>
        <v>Community Benefit Program Administration</v>
      </c>
      <c r="F304" s="48" t="str">
        <f aca="false">IF('RAW KVMC'!B301="","",'RAW KVMC'!B301)</f>
        <v>CB Operations</v>
      </c>
      <c r="G304" s="49" t="n">
        <f aca="false">IF('RAW KVMC'!C301="","",'RAW KVMC'!C301)</f>
        <v>46053</v>
      </c>
      <c r="H304" s="48" t="str">
        <f aca="false">IF('RAW KVMC'!D301="","",'RAW KVMC'!D301)</f>
        <v>Community Health Manager</v>
      </c>
      <c r="I304" s="48" t="n">
        <f aca="false">IF('RAW KVMC'!E301="","",'RAW KVMC'!E301)</f>
        <v>70.75</v>
      </c>
      <c r="J304" s="48" t="n">
        <f aca="false">IF('RAW KVMC'!F301="","",'RAW KVMC'!F301)</f>
        <v>0</v>
      </c>
      <c r="K304" s="50" t="n">
        <f aca="false">IF('RAW KVMC'!G301="","",'RAW KVMC'!G301)</f>
        <v>385</v>
      </c>
      <c r="L304" s="50" t="n">
        <f aca="false">IF('RAW KVMC'!H301="","",'RAW KVMC'!H301)</f>
        <v>0</v>
      </c>
      <c r="M304" s="48" t="str">
        <f aca="false">IF('RAW KVMC'!I301="","",'RAW KVMC'!I301)</f>
        <v/>
      </c>
    </row>
    <row r="305" customFormat="false" ht="15" hidden="false" customHeight="false" outlineLevel="0" collapsed="false">
      <c r="A305" s="1" t="s">
        <v>1449</v>
      </c>
      <c r="B305" s="1" t="s">
        <v>154</v>
      </c>
      <c r="C305" s="1" t="s">
        <v>1145</v>
      </c>
      <c r="D305" s="1" t="n">
        <v>302</v>
      </c>
      <c r="E305" s="48" t="str">
        <f aca="false">IF('RAW KVMC'!A302="","",'RAW KVMC'!A302)</f>
        <v>Interpreter Services for Community Clinics</v>
      </c>
      <c r="F305" s="48" t="str">
        <f aca="false">IF('RAW KVMC'!B302="","",'RAW KVMC'!B302)</f>
        <v>Health Care Support Services</v>
      </c>
      <c r="G305" s="49" t="n">
        <f aca="false">IF('RAW KVMC'!C302="","",'RAW KVMC'!C302)</f>
        <v>46053</v>
      </c>
      <c r="H305" s="48" t="str">
        <f aca="false">IF('RAW KVMC'!D302="","",'RAW KVMC'!D302)</f>
        <v>Medical Interpreter</v>
      </c>
      <c r="I305" s="48" t="n">
        <f aca="false">IF('RAW KVMC'!E302="","",'RAW KVMC'!E302)</f>
        <v>66</v>
      </c>
      <c r="J305" s="48" t="n">
        <f aca="false">IF('RAW KVMC'!F302="","",'RAW KVMC'!F302)</f>
        <v>134</v>
      </c>
      <c r="K305" s="50" t="n">
        <f aca="false">IF('RAW KVMC'!G302="","",'RAW KVMC'!G302)</f>
        <v>0</v>
      </c>
      <c r="L305" s="50" t="n">
        <f aca="false">IF('RAW KVMC'!H302="","",'RAW KVMC'!H302)</f>
        <v>0</v>
      </c>
      <c r="M305" s="48" t="str">
        <f aca="false">IF('RAW KVMC'!I302="","",'RAW KVMC'!I302)</f>
        <v/>
      </c>
    </row>
    <row r="306" customFormat="false" ht="15" hidden="false" customHeight="false" outlineLevel="0" collapsed="false">
      <c r="A306" s="1" t="s">
        <v>1450</v>
      </c>
      <c r="B306" s="1" t="s">
        <v>154</v>
      </c>
      <c r="C306" s="1" t="s">
        <v>1145</v>
      </c>
      <c r="D306" s="1" t="n">
        <v>303</v>
      </c>
      <c r="E306" s="48" t="str">
        <f aca="false">IF('RAW KVMC'!A303="","",'RAW KVMC'!A303)</f>
        <v>Nursing Student Clinical Rotations</v>
      </c>
      <c r="F306" s="48" t="str">
        <f aca="false">IF('RAW KVMC'!B303="","",'RAW KVMC'!B303)</f>
        <v>Health Professions Education</v>
      </c>
      <c r="G306" s="49" t="n">
        <f aca="false">IF('RAW KVMC'!C303="","",'RAW KVMC'!C303)</f>
        <v>46053</v>
      </c>
      <c r="H306" s="48" t="str">
        <f aca="false">IF('RAW KVMC'!D303="","",'RAW KVMC'!D303)</f>
        <v>Educator, Nursing</v>
      </c>
      <c r="I306" s="48" t="n">
        <f aca="false">IF('RAW KVMC'!E303="","",'RAW KVMC'!E303)</f>
        <v>183.75</v>
      </c>
      <c r="J306" s="48" t="n">
        <f aca="false">IF('RAW KVMC'!F303="","",'RAW KVMC'!F303)</f>
        <v>27</v>
      </c>
      <c r="K306" s="50" t="n">
        <f aca="false">IF('RAW KVMC'!G303="","",'RAW KVMC'!G303)</f>
        <v>675</v>
      </c>
      <c r="L306" s="50" t="n">
        <f aca="false">IF('RAW KVMC'!H303="","",'RAW KVMC'!H303)</f>
        <v>0</v>
      </c>
      <c r="M306" s="48" t="str">
        <f aca="false">IF('RAW KVMC'!I303="","",'RAW KVMC'!I303)</f>
        <v/>
      </c>
    </row>
    <row r="307" customFormat="false" ht="15" hidden="false" customHeight="false" outlineLevel="0" collapsed="false">
      <c r="A307" s="1" t="s">
        <v>1451</v>
      </c>
      <c r="B307" s="1" t="s">
        <v>154</v>
      </c>
      <c r="C307" s="1" t="s">
        <v>1145</v>
      </c>
      <c r="D307" s="1" t="n">
        <v>304</v>
      </c>
      <c r="E307" s="48" t="str">
        <f aca="false">IF('RAW KVMC'!A304="","",'RAW KVMC'!A304)</f>
        <v>Nursing Student Clinical Rotations</v>
      </c>
      <c r="F307" s="48" t="str">
        <f aca="false">IF('RAW KVMC'!B304="","",'RAW KVMC'!B304)</f>
        <v>Health Professions Education</v>
      </c>
      <c r="G307" s="49" t="n">
        <f aca="false">IF('RAW KVMC'!C304="","",'RAW KVMC'!C304)</f>
        <v>46053</v>
      </c>
      <c r="H307" s="48" t="str">
        <f aca="false">IF('RAW KVMC'!D304="","",'RAW KVMC'!D304)</f>
        <v>Registered Nurse</v>
      </c>
      <c r="I307" s="48" t="n">
        <f aca="false">IF('RAW KVMC'!E304="","",'RAW KVMC'!E304)</f>
        <v>305.5</v>
      </c>
      <c r="J307" s="48" t="n">
        <f aca="false">IF('RAW KVMC'!F304="","",'RAW KVMC'!F304)</f>
        <v>0</v>
      </c>
      <c r="K307" s="50" t="n">
        <f aca="false">IF('RAW KVMC'!G304="","",'RAW KVMC'!G304)</f>
        <v>0</v>
      </c>
      <c r="L307" s="50" t="n">
        <f aca="false">IF('RAW KVMC'!H304="","",'RAW KVMC'!H304)</f>
        <v>0</v>
      </c>
      <c r="M307" s="48" t="str">
        <f aca="false">IF('RAW KVMC'!I304="","",'RAW KVMC'!I304)</f>
        <v/>
      </c>
    </row>
    <row r="308" customFormat="false" ht="15" hidden="false" customHeight="false" outlineLevel="0" collapsed="false">
      <c r="A308" s="1" t="s">
        <v>1452</v>
      </c>
      <c r="B308" s="1" t="s">
        <v>154</v>
      </c>
      <c r="C308" s="1" t="s">
        <v>1145</v>
      </c>
      <c r="D308" s="1" t="n">
        <v>305</v>
      </c>
      <c r="E308" s="48" t="str">
        <f aca="false">IF('RAW KVMC'!A305="","",'RAW KVMC'!A305)</f>
        <v>Family Medicine Residency Program</v>
      </c>
      <c r="F308" s="48" t="str">
        <f aca="false">IF('RAW KVMC'!B305="","",'RAW KVMC'!B305)</f>
        <v>Health Professions Education</v>
      </c>
      <c r="G308" s="49" t="n">
        <f aca="false">IF('RAW KVMC'!C305="","",'RAW KVMC'!C305)</f>
        <v>46053</v>
      </c>
      <c r="H308" s="48" t="str">
        <f aca="false">IF('RAW KVMC'!D305="","",'RAW KVMC'!D305)</f>
        <v>Staff Physician</v>
      </c>
      <c r="I308" s="48" t="n">
        <f aca="false">IF('RAW KVMC'!E305="","",'RAW KVMC'!E305)</f>
        <v>403.25</v>
      </c>
      <c r="J308" s="48" t="n">
        <f aca="false">IF('RAW KVMC'!F305="","",'RAW KVMC'!F305)</f>
        <v>0</v>
      </c>
      <c r="K308" s="50" t="n">
        <f aca="false">IF('RAW KVMC'!G305="","",'RAW KVMC'!G305)</f>
        <v>39425</v>
      </c>
      <c r="L308" s="50" t="n">
        <f aca="false">IF('RAW KVMC'!H305="","",'RAW KVMC'!H305)</f>
        <v>166625</v>
      </c>
      <c r="M308" s="48" t="str">
        <f aca="false">IF('RAW KVMC'!I305="","",'RAW KVMC'!I305)</f>
        <v/>
      </c>
    </row>
    <row r="309" customFormat="false" ht="15" hidden="false" customHeight="false" outlineLevel="0" collapsed="false">
      <c r="A309" s="1" t="s">
        <v>1453</v>
      </c>
      <c r="B309" s="1" t="s">
        <v>154</v>
      </c>
      <c r="C309" s="1" t="s">
        <v>1145</v>
      </c>
      <c r="D309" s="1" t="n">
        <v>306</v>
      </c>
      <c r="E309" s="48" t="str">
        <f aca="false">IF('RAW KVMC'!A306="","",'RAW KVMC'!A306)</f>
        <v>Family Medicine Residency Program</v>
      </c>
      <c r="F309" s="48" t="str">
        <f aca="false">IF('RAW KVMC'!B306="","",'RAW KVMC'!B306)</f>
        <v>Health Professions Education</v>
      </c>
      <c r="G309" s="49" t="n">
        <f aca="false">IF('RAW KVMC'!C306="","",'RAW KVMC'!C306)</f>
        <v>46053</v>
      </c>
      <c r="H309" s="48" t="str">
        <f aca="false">IF('RAW KVMC'!D306="","",'RAW KVMC'!D306)</f>
        <v>Residency Coordinator</v>
      </c>
      <c r="I309" s="48" t="n">
        <f aca="false">IF('RAW KVMC'!E306="","",'RAW KVMC'!E306)</f>
        <v>165.25</v>
      </c>
      <c r="J309" s="48" t="n">
        <f aca="false">IF('RAW KVMC'!F306="","",'RAW KVMC'!F306)</f>
        <v>0</v>
      </c>
      <c r="K309" s="50" t="n">
        <f aca="false">IF('RAW KVMC'!G306="","",'RAW KVMC'!G306)</f>
        <v>0</v>
      </c>
      <c r="L309" s="50" t="n">
        <f aca="false">IF('RAW KVMC'!H306="","",'RAW KVMC'!H306)</f>
        <v>0</v>
      </c>
      <c r="M309" s="48" t="str">
        <f aca="false">IF('RAW KVMC'!I306="","",'RAW KVMC'!I306)</f>
        <v/>
      </c>
    </row>
    <row r="310" customFormat="false" ht="15" hidden="false" customHeight="false" outlineLevel="0" collapsed="false">
      <c r="A310" s="1" t="s">
        <v>1454</v>
      </c>
      <c r="B310" s="1" t="s">
        <v>154</v>
      </c>
      <c r="C310" s="1" t="s">
        <v>1145</v>
      </c>
      <c r="D310" s="1" t="n">
        <v>307</v>
      </c>
      <c r="E310" s="48" t="str">
        <f aca="false">IF('RAW KVMC'!A307="","",'RAW KVMC'!A307)</f>
        <v>Family Medicine Residency Program</v>
      </c>
      <c r="F310" s="48" t="str">
        <f aca="false">IF('RAW KVMC'!B307="","",'RAW KVMC'!B307)</f>
        <v>Health Professions Education</v>
      </c>
      <c r="G310" s="49" t="n">
        <f aca="false">IF('RAW KVMC'!C307="","",'RAW KVMC'!C307)</f>
        <v>46053</v>
      </c>
      <c r="H310" s="48" t="str">
        <f aca="false">IF('RAW KVMC'!D307="","",'RAW KVMC'!D307)</f>
        <v>PGY-2</v>
      </c>
      <c r="I310" s="48" t="n">
        <f aca="false">IF('RAW KVMC'!E307="","",'RAW KVMC'!E307)</f>
        <v>3925.5</v>
      </c>
      <c r="J310" s="48" t="n">
        <f aca="false">IF('RAW KVMC'!F307="","",'RAW KVMC'!F307)</f>
        <v>0</v>
      </c>
      <c r="K310" s="50" t="n">
        <f aca="false">IF('RAW KVMC'!G307="","",'RAW KVMC'!G307)</f>
        <v>0</v>
      </c>
      <c r="L310" s="50" t="n">
        <f aca="false">IF('RAW KVMC'!H307="","",'RAW KVMC'!H307)</f>
        <v>0</v>
      </c>
      <c r="M310" s="48" t="str">
        <f aca="false">IF('RAW KVMC'!I307="","",'RAW KVMC'!I307)</f>
        <v/>
      </c>
    </row>
    <row r="311" customFormat="false" ht="15" hidden="false" customHeight="false" outlineLevel="0" collapsed="false">
      <c r="A311" s="1" t="s">
        <v>1455</v>
      </c>
      <c r="B311" s="1" t="s">
        <v>154</v>
      </c>
      <c r="C311" s="1" t="s">
        <v>1145</v>
      </c>
      <c r="D311" s="1" t="n">
        <v>308</v>
      </c>
      <c r="E311" s="48" t="str">
        <f aca="false">IF('RAW KVMC'!A308="","",'RAW KVMC'!A308)</f>
        <v>Pharmacy Student Rotations</v>
      </c>
      <c r="F311" s="48" t="str">
        <f aca="false">IF('RAW KVMC'!B308="","",'RAW KVMC'!B308)</f>
        <v>Health Professions Education</v>
      </c>
      <c r="G311" s="49" t="n">
        <f aca="false">IF('RAW KVMC'!C308="","",'RAW KVMC'!C308)</f>
        <v>46053</v>
      </c>
      <c r="H311" s="48" t="str">
        <f aca="false">IF('RAW KVMC'!D308="","",'RAW KVMC'!D308)</f>
        <v>Pharmacist</v>
      </c>
      <c r="I311" s="48" t="n">
        <f aca="false">IF('RAW KVMC'!E308="","",'RAW KVMC'!E308)</f>
        <v>58</v>
      </c>
      <c r="J311" s="48" t="n">
        <f aca="false">IF('RAW KVMC'!F308="","",'RAW KVMC'!F308)</f>
        <v>5</v>
      </c>
      <c r="K311" s="50" t="n">
        <f aca="false">IF('RAW KVMC'!G308="","",'RAW KVMC'!G308)</f>
        <v>55</v>
      </c>
      <c r="L311" s="50" t="n">
        <f aca="false">IF('RAW KVMC'!H308="","",'RAW KVMC'!H308)</f>
        <v>0</v>
      </c>
      <c r="M311" s="48" t="str">
        <f aca="false">IF('RAW KVMC'!I308="","",'RAW KVMC'!I308)</f>
        <v/>
      </c>
    </row>
    <row r="312" customFormat="false" ht="15" hidden="false" customHeight="false" outlineLevel="0" collapsed="false">
      <c r="A312" s="1" t="s">
        <v>1456</v>
      </c>
      <c r="B312" s="1" t="s">
        <v>154</v>
      </c>
      <c r="C312" s="1" t="s">
        <v>1145</v>
      </c>
      <c r="D312" s="1" t="n">
        <v>309</v>
      </c>
      <c r="E312" s="48" t="str">
        <f aca="false">IF('RAW KVMC'!A309="","",'RAW KVMC'!A309)</f>
        <v>Community Hypertension Control Study</v>
      </c>
      <c r="F312" s="48" t="str">
        <f aca="false">IF('RAW KVMC'!B309="","",'RAW KVMC'!B309)</f>
        <v>Research</v>
      </c>
      <c r="G312" s="49" t="n">
        <f aca="false">IF('RAW KVMC'!C309="","",'RAW KVMC'!C309)</f>
        <v>46053</v>
      </c>
      <c r="H312" s="48" t="str">
        <f aca="false">IF('RAW KVMC'!D309="","",'RAW KVMC'!D309)</f>
        <v>Data Analyst </v>
      </c>
      <c r="I312" s="48" t="n">
        <f aca="false">IF('RAW KVMC'!E309="","",'RAW KVMC'!E309)</f>
        <v>57.75</v>
      </c>
      <c r="J312" s="48" t="n">
        <f aca="false">IF('RAW KVMC'!F309="","",'RAW KVMC'!F309)</f>
        <v>0</v>
      </c>
      <c r="K312" s="50" t="n">
        <f aca="false">IF('RAW KVMC'!G309="","",'RAW KVMC'!G309)</f>
        <v>0</v>
      </c>
      <c r="L312" s="50" t="n">
        <f aca="false">IF('RAW KVMC'!H309="","",'RAW KVMC'!H309)</f>
        <v>0</v>
      </c>
      <c r="M312" s="48" t="str">
        <f aca="false">IF('RAW KVMC'!I309="","",'RAW KVMC'!I309)</f>
        <v/>
      </c>
    </row>
    <row r="313" customFormat="false" ht="15" hidden="false" customHeight="false" outlineLevel="0" collapsed="false">
      <c r="A313" s="1" t="s">
        <v>1457</v>
      </c>
      <c r="B313" s="1" t="s">
        <v>154</v>
      </c>
      <c r="C313" s="1" t="s">
        <v>1145</v>
      </c>
      <c r="D313" s="1" t="n">
        <v>310</v>
      </c>
      <c r="E313" s="48" t="str">
        <f aca="false">IF('RAW KVMC'!A310="","",'RAW KVMC'!A310)</f>
        <v>Community Hypertension Control Study</v>
      </c>
      <c r="F313" s="48" t="str">
        <f aca="false">IF('RAW KVMC'!B310="","",'RAW KVMC'!B310)</f>
        <v>Research</v>
      </c>
      <c r="G313" s="49" t="n">
        <f aca="false">IF('RAW KVMC'!C310="","",'RAW KVMC'!C310)</f>
        <v>46053</v>
      </c>
      <c r="H313" s="48" t="str">
        <f aca="false">IF('RAW KVMC'!D310="","",'RAW KVMC'!D310)</f>
        <v>Dr.</v>
      </c>
      <c r="I313" s="48" t="n">
        <f aca="false">IF('RAW KVMC'!E310="","",'RAW KVMC'!E310)</f>
        <v>21</v>
      </c>
      <c r="J313" s="48" t="n">
        <f aca="false">IF('RAW KVMC'!F310="","",'RAW KVMC'!F310)</f>
        <v>0</v>
      </c>
      <c r="K313" s="50" t="n">
        <f aca="false">IF('RAW KVMC'!G310="","",'RAW KVMC'!G310)</f>
        <v>0</v>
      </c>
      <c r="L313" s="50" t="n">
        <f aca="false">IF('RAW KVMC'!H310="","",'RAW KVMC'!H310)</f>
        <v>0</v>
      </c>
      <c r="M313" s="48" t="str">
        <f aca="false">IF('RAW KVMC'!I310="","",'RAW KVMC'!I310)</f>
        <v/>
      </c>
    </row>
    <row r="314" customFormat="false" ht="15" hidden="false" customHeight="false" outlineLevel="0" collapsed="false">
      <c r="A314" s="1" t="s">
        <v>1458</v>
      </c>
      <c r="B314" s="1" t="s">
        <v>154</v>
      </c>
      <c r="C314" s="1" t="s">
        <v>1145</v>
      </c>
      <c r="D314" s="1" t="n">
        <v>311</v>
      </c>
      <c r="E314" s="48" t="str">
        <f aca="false">IF('RAW KVMC'!A311="","",'RAW KVMC'!A311)</f>
        <v>Community Hypertension Control Study</v>
      </c>
      <c r="F314" s="48" t="str">
        <f aca="false">IF('RAW KVMC'!B311="","",'RAW KVMC'!B311)</f>
        <v>Research</v>
      </c>
      <c r="G314" s="49" t="n">
        <f aca="false">IF('RAW KVMC'!C311="","",'RAW KVMC'!C311)</f>
        <v>46053</v>
      </c>
      <c r="H314" s="48" t="str">
        <f aca="false">IF('RAW KVMC'!D311="","",'RAW KVMC'!D311)</f>
        <v>Study Coordinator</v>
      </c>
      <c r="I314" s="48" t="n">
        <f aca="false">IF('RAW KVMC'!E311="","",'RAW KVMC'!E311)</f>
        <v>184.25</v>
      </c>
      <c r="J314" s="48" t="n">
        <f aca="false">IF('RAW KVMC'!F311="","",'RAW KVMC'!F311)</f>
        <v>63</v>
      </c>
      <c r="K314" s="50" t="n">
        <f aca="false">IF('RAW KVMC'!G311="","",'RAW KVMC'!G311)</f>
        <v>10665</v>
      </c>
      <c r="L314" s="50" t="n">
        <f aca="false">IF('RAW KVMC'!H311="","",'RAW KVMC'!H311)</f>
        <v>11945</v>
      </c>
      <c r="M314" s="48" t="str">
        <f aca="false">IF('RAW KVMC'!I311="","",'RAW KVMC'!I311)</f>
        <v/>
      </c>
    </row>
    <row r="315" customFormat="false" ht="15" hidden="false" customHeight="false" outlineLevel="0" collapsed="false">
      <c r="A315" s="1" t="s">
        <v>1459</v>
      </c>
      <c r="B315" s="1" t="s">
        <v>154</v>
      </c>
      <c r="C315" s="1" t="s">
        <v>1145</v>
      </c>
      <c r="D315" s="1" t="n">
        <v>312</v>
      </c>
      <c r="E315" s="48" t="str">
        <f aca="false">IF('RAW KVMC'!A312="","",'RAW KVMC'!A312)</f>
        <v>Regional Health Coalition</v>
      </c>
      <c r="F315" s="48" t="str">
        <f aca="false">IF('RAW KVMC'!B312="","",'RAW KVMC'!B312)</f>
        <v>Community Building - Coalition</v>
      </c>
      <c r="G315" s="49" t="n">
        <f aca="false">IF('RAW KVMC'!C312="","",'RAW KVMC'!C312)</f>
        <v>46053</v>
      </c>
      <c r="H315" s="48" t="str">
        <f aca="false">IF('RAW KVMC'!D312="","",'RAW KVMC'!D312)</f>
        <v>Community Benefit Mgr</v>
      </c>
      <c r="I315" s="48" t="n">
        <f aca="false">IF('RAW KVMC'!E312="","",'RAW KVMC'!E312)</f>
        <v>2.75</v>
      </c>
      <c r="J315" s="48" t="n">
        <f aca="false">IF('RAW KVMC'!F312="","",'RAW KVMC'!F312)</f>
        <v>0</v>
      </c>
      <c r="K315" s="50" t="n">
        <f aca="false">IF('RAW KVMC'!G312="","",'RAW KVMC'!G312)</f>
        <v>0</v>
      </c>
      <c r="L315" s="50" t="n">
        <f aca="false">IF('RAW KVMC'!H312="","",'RAW KVMC'!H312)</f>
        <v>0</v>
      </c>
      <c r="M315" s="48" t="str">
        <f aca="false">IF('RAW KVMC'!I312="","",'RAW KVMC'!I312)</f>
        <v/>
      </c>
    </row>
    <row r="316" customFormat="false" ht="15" hidden="false" customHeight="false" outlineLevel="0" collapsed="false">
      <c r="A316" s="1" t="s">
        <v>1460</v>
      </c>
      <c r="B316" s="1" t="s">
        <v>154</v>
      </c>
      <c r="C316" s="1" t="s">
        <v>1145</v>
      </c>
      <c r="D316" s="1" t="n">
        <v>313</v>
      </c>
      <c r="E316" s="48" t="str">
        <f aca="false">IF('RAW KVMC'!A313="","",'RAW KVMC'!A313)</f>
        <v>Regional Health Coalition</v>
      </c>
      <c r="F316" s="48" t="str">
        <f aca="false">IF('RAW KVMC'!B313="","",'RAW KVMC'!B313)</f>
        <v>Community Building - Coalition</v>
      </c>
      <c r="G316" s="49" t="n">
        <f aca="false">IF('RAW KVMC'!C313="","",'RAW KVMC'!C313)</f>
        <v>46053</v>
      </c>
      <c r="H316" s="48" t="str">
        <f aca="false">IF('RAW KVMC'!D313="","",'RAW KVMC'!D313)</f>
        <v>vp</v>
      </c>
      <c r="I316" s="48" t="n">
        <f aca="false">IF('RAW KVMC'!E313="","",'RAW KVMC'!E313)</f>
        <v>2</v>
      </c>
      <c r="J316" s="48" t="n">
        <f aca="false">IF('RAW KVMC'!F313="","",'RAW KVMC'!F313)</f>
        <v>0</v>
      </c>
      <c r="K316" s="50" t="n">
        <f aca="false">IF('RAW KVMC'!G313="","",'RAW KVMC'!G313)</f>
        <v>105</v>
      </c>
      <c r="L316" s="50" t="n">
        <f aca="false">IF('RAW KVMC'!H313="","",'RAW KVMC'!H313)</f>
        <v>0</v>
      </c>
      <c r="M316" s="48" t="str">
        <f aca="false">IF('RAW KVMC'!I313="","",'RAW KVMC'!I313)</f>
        <v/>
      </c>
    </row>
    <row r="317" customFormat="false" ht="15" hidden="false" customHeight="false" outlineLevel="0" collapsed="false">
      <c r="A317" s="1" t="s">
        <v>1461</v>
      </c>
      <c r="B317" s="1" t="s">
        <v>154</v>
      </c>
      <c r="C317" s="1" t="s">
        <v>1145</v>
      </c>
      <c r="D317" s="1" t="n">
        <v>314</v>
      </c>
      <c r="E317" s="48" t="str">
        <f aca="false">IF('RAW KVMC'!A314="","",'RAW KVMC'!A314)</f>
        <v>Naloxone Training and Distribution</v>
      </c>
      <c r="F317" s="48" t="str">
        <f aca="false">IF('RAW KVMC'!B314="","",'RAW KVMC'!B314)</f>
        <v>Community Health Education</v>
      </c>
      <c r="G317" s="49" t="n">
        <f aca="false">IF('RAW KVMC'!C314="","",'RAW KVMC'!C314)</f>
        <v>46058</v>
      </c>
      <c r="H317" s="48" t="str">
        <f aca="false">IF('RAW KVMC'!D314="","",'RAW KVMC'!D314)</f>
        <v>CHES</v>
      </c>
      <c r="I317" s="48" t="n">
        <f aca="false">IF('RAW KVMC'!E314="","",'RAW KVMC'!E314)</f>
        <v>2</v>
      </c>
      <c r="J317" s="48" t="n">
        <f aca="false">IF('RAW KVMC'!F314="","",'RAW KVMC'!F314)</f>
        <v>0</v>
      </c>
      <c r="K317" s="50" t="n">
        <f aca="false">IF('RAW KVMC'!G314="","",'RAW KVMC'!G314)</f>
        <v>0</v>
      </c>
      <c r="L317" s="50" t="n">
        <f aca="false">IF('RAW KVMC'!H314="","",'RAW KVMC'!H314)</f>
        <v>0</v>
      </c>
      <c r="M317" s="48" t="str">
        <f aca="false">IF('RAW KVMC'!I314="","",'RAW KVMC'!I314)</f>
        <v/>
      </c>
    </row>
    <row r="318" customFormat="false" ht="15" hidden="false" customHeight="false" outlineLevel="0" collapsed="false">
      <c r="A318" s="1" t="s">
        <v>1462</v>
      </c>
      <c r="B318" s="1" t="s">
        <v>154</v>
      </c>
      <c r="C318" s="1" t="s">
        <v>1145</v>
      </c>
      <c r="D318" s="1" t="n">
        <v>315</v>
      </c>
      <c r="E318" s="48" t="str">
        <f aca="false">IF('RAW KVMC'!A315="","",'RAW KVMC'!A315)</f>
        <v>Naloxone Training and Distribution</v>
      </c>
      <c r="F318" s="48" t="str">
        <f aca="false">IF('RAW KVMC'!B315="","",'RAW KVMC'!B315)</f>
        <v>Community Health Education</v>
      </c>
      <c r="G318" s="49" t="n">
        <f aca="false">IF('RAW KVMC'!C315="","",'RAW KVMC'!C315)</f>
        <v>46058</v>
      </c>
      <c r="H318" s="48" t="str">
        <f aca="false">IF('RAW KVMC'!D315="","",'RAW KVMC'!D315)</f>
        <v>Clinical Pharmacist</v>
      </c>
      <c r="I318" s="48" t="n">
        <f aca="false">IF('RAW KVMC'!E315="","",'RAW KVMC'!E315)</f>
        <v>2.75</v>
      </c>
      <c r="J318" s="48" t="n">
        <f aca="false">IF('RAW KVMC'!F315="","",'RAW KVMC'!F315)</f>
        <v>44</v>
      </c>
      <c r="K318" s="50" t="n">
        <f aca="false">IF('RAW KVMC'!G315="","",'RAW KVMC'!G315)</f>
        <v>1100</v>
      </c>
      <c r="L318" s="50" t="n">
        <f aca="false">IF('RAW KVMC'!H315="","",'RAW KVMC'!H315)</f>
        <v>520</v>
      </c>
      <c r="M318" s="48" t="str">
        <f aca="false">IF('RAW KVMC'!I315="","",'RAW KVMC'!I315)</f>
        <v/>
      </c>
    </row>
    <row r="319" customFormat="false" ht="15" hidden="false" customHeight="false" outlineLevel="0" collapsed="false">
      <c r="A319" s="1" t="s">
        <v>1463</v>
      </c>
      <c r="B319" s="1" t="s">
        <v>154</v>
      </c>
      <c r="C319" s="1" t="s">
        <v>1145</v>
      </c>
      <c r="D319" s="1" t="n">
        <v>316</v>
      </c>
      <c r="E319" s="48" t="str">
        <f aca="false">IF('RAW KVMC'!A316="","",'RAW KVMC'!A316)</f>
        <v>Tobacco Cessation Classes</v>
      </c>
      <c r="F319" s="48" t="str">
        <f aca="false">IF('RAW KVMC'!B316="","",'RAW KVMC'!B316)</f>
        <v>Community Health Education</v>
      </c>
      <c r="G319" s="49" t="n">
        <f aca="false">IF('RAW KVMC'!C316="","",'RAW KVMC'!C316)</f>
        <v>46060</v>
      </c>
      <c r="H319" s="48" t="str">
        <f aca="false">IF('RAW KVMC'!D316="","",'RAW KVMC'!D316)</f>
        <v>Contract</v>
      </c>
      <c r="I319" s="48" t="n">
        <f aca="false">IF('RAW KVMC'!E316="","",'RAW KVMC'!E316)</f>
        <v>2</v>
      </c>
      <c r="J319" s="48" t="n">
        <f aca="false">IF('RAW KVMC'!F316="","",'RAW KVMC'!F316)</f>
        <v>12</v>
      </c>
      <c r="K319" s="50" t="n">
        <f aca="false">IF('RAW KVMC'!G316="","",'RAW KVMC'!G316)</f>
        <v>195</v>
      </c>
      <c r="L319" s="50" t="n">
        <f aca="false">IF('RAW KVMC'!H316="","",'RAW KVMC'!H316)</f>
        <v>0</v>
      </c>
      <c r="M319" s="48" t="str">
        <f aca="false">IF('RAW KVMC'!I316="","",'RAW KVMC'!I316)</f>
        <v/>
      </c>
    </row>
    <row r="320" customFormat="false" ht="15" hidden="false" customHeight="false" outlineLevel="0" collapsed="false">
      <c r="A320" s="1" t="s">
        <v>1464</v>
      </c>
      <c r="B320" s="1" t="s">
        <v>154</v>
      </c>
      <c r="C320" s="1" t="s">
        <v>1145</v>
      </c>
      <c r="D320" s="1" t="n">
        <v>317</v>
      </c>
      <c r="E320" s="48" t="str">
        <f aca="false">IF('RAW KVMC'!A317="","",'RAW KVMC'!A317)</f>
        <v>Small Business Health Partnership</v>
      </c>
      <c r="F320" s="48" t="str">
        <f aca="false">IF('RAW KVMC'!B317="","",'RAW KVMC'!B317)</f>
        <v>Community Building - Economic Dev</v>
      </c>
      <c r="G320" s="49" t="n">
        <f aca="false">IF('RAW KVMC'!C317="","",'RAW KVMC'!C317)</f>
        <v>46060</v>
      </c>
      <c r="H320" s="48" t="str">
        <f aca="false">IF('RAW KVMC'!D317="","",'RAW KVMC'!D317)</f>
        <v>Director</v>
      </c>
      <c r="I320" s="48" t="n">
        <f aca="false">IF('RAW KVMC'!E317="","",'RAW KVMC'!E317)</f>
        <v>4</v>
      </c>
      <c r="J320" s="48" t="n">
        <f aca="false">IF('RAW KVMC'!F317="","",'RAW KVMC'!F317)</f>
        <v>0</v>
      </c>
      <c r="K320" s="50" t="n">
        <f aca="false">IF('RAW KVMC'!G317="","",'RAW KVMC'!G317)</f>
        <v>1940</v>
      </c>
      <c r="L320" s="50" t="n">
        <f aca="false">IF('RAW KVMC'!H317="","",'RAW KVMC'!H317)</f>
        <v>0</v>
      </c>
      <c r="M320" s="48" t="str">
        <f aca="false">IF('RAW KVMC'!I317="","",'RAW KVMC'!I317)</f>
        <v/>
      </c>
    </row>
    <row r="321" customFormat="false" ht="15" hidden="false" customHeight="false" outlineLevel="0" collapsed="false">
      <c r="A321" s="1" t="s">
        <v>1465</v>
      </c>
      <c r="B321" s="1" t="s">
        <v>154</v>
      </c>
      <c r="C321" s="1" t="s">
        <v>1145</v>
      </c>
      <c r="D321" s="1" t="n">
        <v>318</v>
      </c>
      <c r="E321" s="48" t="str">
        <f aca="false">IF('RAW KVMC'!A318="","",'RAW KVMC'!A318)</f>
        <v>Small Business Health Partnership</v>
      </c>
      <c r="F321" s="48" t="str">
        <f aca="false">IF('RAW KVMC'!B318="","",'RAW KVMC'!B318)</f>
        <v>Community Building - Economic Dev</v>
      </c>
      <c r="G321" s="49" t="n">
        <f aca="false">IF('RAW KVMC'!C318="","",'RAW KVMC'!C318)</f>
        <v>46060</v>
      </c>
      <c r="H321" s="48" t="str">
        <f aca="false">IF('RAW KVMC'!D318="","",'RAW KVMC'!D318)</f>
        <v>Program Coordinator </v>
      </c>
      <c r="I321" s="48" t="n">
        <f aca="false">IF('RAW KVMC'!E318="","",'RAW KVMC'!E318)</f>
        <v>6</v>
      </c>
      <c r="J321" s="48" t="n">
        <f aca="false">IF('RAW KVMC'!F318="","",'RAW KVMC'!F318)</f>
        <v>0</v>
      </c>
      <c r="K321" s="50" t="n">
        <f aca="false">IF('RAW KVMC'!G318="","",'RAW KVMC'!G318)</f>
        <v>0</v>
      </c>
      <c r="L321" s="50" t="n">
        <f aca="false">IF('RAW KVMC'!H318="","",'RAW KVMC'!H318)</f>
        <v>0</v>
      </c>
      <c r="M321" s="48" t="str">
        <f aca="false">IF('RAW KVMC'!I318="","",'RAW KVMC'!I318)</f>
        <v/>
      </c>
    </row>
    <row r="322" customFormat="false" ht="15" hidden="false" customHeight="false" outlineLevel="0" collapsed="false">
      <c r="A322" s="1" t="s">
        <v>1466</v>
      </c>
      <c r="B322" s="1" t="s">
        <v>154</v>
      </c>
      <c r="C322" s="1" t="s">
        <v>1145</v>
      </c>
      <c r="D322" s="1" t="n">
        <v>319</v>
      </c>
      <c r="E322" s="48" t="str">
        <f aca="false">IF('RAW KVMC'!A319="","",'RAW KVMC'!A319)</f>
        <v>Naloxone Training and Distribution</v>
      </c>
      <c r="F322" s="48" t="str">
        <f aca="false">IF('RAW KVMC'!B319="","",'RAW KVMC'!B319)</f>
        <v>Community Health Education</v>
      </c>
      <c r="G322" s="49" t="n">
        <f aca="false">IF('RAW KVMC'!C319="","",'RAW KVMC'!C319)</f>
        <v>46064</v>
      </c>
      <c r="H322" s="48" t="str">
        <f aca="false">IF('RAW KVMC'!D319="","",'RAW KVMC'!D319)</f>
        <v>Wellness Educator </v>
      </c>
      <c r="I322" s="48" t="n">
        <f aca="false">IF('RAW KVMC'!E319="","",'RAW KVMC'!E319)</f>
        <v>2.25</v>
      </c>
      <c r="J322" s="48" t="n">
        <f aca="false">IF('RAW KVMC'!F319="","",'RAW KVMC'!F319)</f>
        <v>0</v>
      </c>
      <c r="K322" s="50" t="n">
        <f aca="false">IF('RAW KVMC'!G319="","",'RAW KVMC'!G319)</f>
        <v>0</v>
      </c>
      <c r="L322" s="50" t="n">
        <f aca="false">IF('RAW KVMC'!H319="","",'RAW KVMC'!H319)</f>
        <v>0</v>
      </c>
      <c r="M322" s="48" t="str">
        <f aca="false">IF('RAW KVMC'!I319="","",'RAW KVMC'!I319)</f>
        <v/>
      </c>
    </row>
    <row r="323" customFormat="false" ht="15" hidden="false" customHeight="false" outlineLevel="0" collapsed="false">
      <c r="A323" s="1" t="s">
        <v>1467</v>
      </c>
      <c r="B323" s="1" t="s">
        <v>154</v>
      </c>
      <c r="C323" s="1" t="s">
        <v>1145</v>
      </c>
      <c r="D323" s="1" t="n">
        <v>320</v>
      </c>
      <c r="E323" s="48" t="str">
        <f aca="false">IF('RAW KVMC'!A320="","",'RAW KVMC'!A320)</f>
        <v>Naloxone Training and Distribution</v>
      </c>
      <c r="F323" s="48" t="str">
        <f aca="false">IF('RAW KVMC'!B320="","",'RAW KVMC'!B320)</f>
        <v>Community Health Education</v>
      </c>
      <c r="G323" s="49" t="n">
        <f aca="false">IF('RAW KVMC'!C320="","",'RAW KVMC'!C320)</f>
        <v>46064</v>
      </c>
      <c r="H323" s="48" t="str">
        <f aca="false">IF('RAW KVMC'!D320="","",'RAW KVMC'!D320)</f>
        <v>Pharmacist</v>
      </c>
      <c r="I323" s="48" t="n">
        <f aca="false">IF('RAW KVMC'!E320="","",'RAW KVMC'!E320)</f>
        <v>2.5</v>
      </c>
      <c r="J323" s="48" t="n">
        <f aca="false">IF('RAW KVMC'!F320="","",'RAW KVMC'!F320)</f>
        <v>36</v>
      </c>
      <c r="K323" s="50" t="n">
        <f aca="false">IF('RAW KVMC'!G320="","",'RAW KVMC'!G320)</f>
        <v>1200</v>
      </c>
      <c r="L323" s="50" t="n">
        <f aca="false">IF('RAW KVMC'!H320="","",'RAW KVMC'!H320)</f>
        <v>895</v>
      </c>
      <c r="M323" s="48" t="str">
        <f aca="false">IF('RAW KVMC'!I320="","",'RAW KVMC'!I320)</f>
        <v/>
      </c>
    </row>
    <row r="324" customFormat="false" ht="15" hidden="false" customHeight="false" outlineLevel="0" collapsed="false">
      <c r="A324" s="1" t="s">
        <v>1468</v>
      </c>
      <c r="B324" s="1" t="s">
        <v>154</v>
      </c>
      <c r="C324" s="1" t="s">
        <v>1145</v>
      </c>
      <c r="D324" s="1" t="n">
        <v>321</v>
      </c>
      <c r="E324" s="48" t="str">
        <f aca="false">IF('RAW KVMC'!A321="","",'RAW KVMC'!A321)</f>
        <v>In-Kind Medical Supply Donations</v>
      </c>
      <c r="F324" s="48" t="str">
        <f aca="false">IF('RAW KVMC'!B321="","",'RAW KVMC'!B321)</f>
        <v>Cash &amp; In-Kind Donations</v>
      </c>
      <c r="G324" s="49" t="n">
        <f aca="false">IF('RAW KVMC'!C321="","",'RAW KVMC'!C321)</f>
        <v>46065</v>
      </c>
      <c r="H324" s="48" t="str">
        <f aca="false">IF('RAW KVMC'!D321="","",'RAW KVMC'!D321)</f>
        <v>none</v>
      </c>
      <c r="I324" s="48" t="n">
        <f aca="false">IF('RAW KVMC'!E321="","",'RAW KVMC'!E321)</f>
        <v>0</v>
      </c>
      <c r="J324" s="48" t="n">
        <f aca="false">IF('RAW KVMC'!F321="","",'RAW KVMC'!F321)</f>
        <v>0</v>
      </c>
      <c r="K324" s="50" t="n">
        <f aca="false">IF('RAW KVMC'!G321="","",'RAW KVMC'!G321)</f>
        <v>9800</v>
      </c>
      <c r="L324" s="50" t="n">
        <f aca="false">IF('RAW KVMC'!H321="","",'RAW KVMC'!H321)</f>
        <v>0</v>
      </c>
      <c r="M324" s="48" t="str">
        <f aca="false">IF('RAW KVMC'!I321="","",'RAW KVMC'!I321)</f>
        <v/>
      </c>
    </row>
    <row r="325" customFormat="false" ht="15" hidden="false" customHeight="false" outlineLevel="0" collapsed="false">
      <c r="A325" s="1" t="s">
        <v>1469</v>
      </c>
      <c r="B325" s="1" t="s">
        <v>154</v>
      </c>
      <c r="C325" s="1" t="s">
        <v>1145</v>
      </c>
      <c r="D325" s="1" t="n">
        <v>322</v>
      </c>
      <c r="E325" s="48" t="str">
        <f aca="false">IF('RAW KVMC'!A322="","",'RAW KVMC'!A322)</f>
        <v>Childbirth and Newborn Care Classes</v>
      </c>
      <c r="F325" s="48" t="str">
        <f aca="false">IF('RAW KVMC'!B322="","",'RAW KVMC'!B322)</f>
        <v>Community Health Education</v>
      </c>
      <c r="G325" s="49" t="n">
        <f aca="false">IF('RAW KVMC'!C322="","",'RAW KVMC'!C322)</f>
        <v>46070</v>
      </c>
      <c r="H325" s="48" t="str">
        <f aca="false">IF('RAW KVMC'!D322="","",'RAW KVMC'!D322)</f>
        <v>Preceptor RN</v>
      </c>
      <c r="I325" s="48" t="n">
        <f aca="false">IF('RAW KVMC'!E322="","",'RAW KVMC'!E322)</f>
        <v>3</v>
      </c>
      <c r="J325" s="48" t="n">
        <f aca="false">IF('RAW KVMC'!F322="","",'RAW KVMC'!F322)</f>
        <v>17</v>
      </c>
      <c r="K325" s="50" t="n">
        <f aca="false">IF('RAW KVMC'!G322="","",'RAW KVMC'!G322)</f>
        <v>165</v>
      </c>
      <c r="L325" s="50" t="n">
        <f aca="false">IF('RAW KVMC'!H322="","",'RAW KVMC'!H322)</f>
        <v>0</v>
      </c>
      <c r="M325" s="48" t="str">
        <f aca="false">IF('RAW KVMC'!I322="","",'RAW KVMC'!I322)</f>
        <v/>
      </c>
    </row>
    <row r="326" customFormat="false" ht="15" hidden="false" customHeight="false" outlineLevel="0" collapsed="false">
      <c r="A326" s="1" t="s">
        <v>1470</v>
      </c>
      <c r="B326" s="1" t="s">
        <v>154</v>
      </c>
      <c r="C326" s="1" t="s">
        <v>1145</v>
      </c>
      <c r="D326" s="1" t="n">
        <v>323</v>
      </c>
      <c r="E326" s="48" t="str">
        <f aca="false">IF('RAW KVMC'!A323="","",'RAW KVMC'!A323)</f>
        <v>Regional Health Coalition</v>
      </c>
      <c r="F326" s="48" t="str">
        <f aca="false">IF('RAW KVMC'!B323="","",'RAW KVMC'!B323)</f>
        <v>Community Building - Coalition</v>
      </c>
      <c r="G326" s="49" t="n">
        <f aca="false">IF('RAW KVMC'!C323="","",'RAW KVMC'!C323)</f>
        <v>46071</v>
      </c>
      <c r="H326" s="48" t="str">
        <f aca="false">IF('RAW KVMC'!D323="","",'RAW KVMC'!D323)</f>
        <v>Manager Community Benefit</v>
      </c>
      <c r="I326" s="48" t="n">
        <f aca="false">IF('RAW KVMC'!E323="","",'RAW KVMC'!E323)</f>
        <v>2.5</v>
      </c>
      <c r="J326" s="48" t="n">
        <f aca="false">IF('RAW KVMC'!F323="","",'RAW KVMC'!F323)</f>
        <v>0</v>
      </c>
      <c r="K326" s="50" t="n">
        <f aca="false">IF('RAW KVMC'!G323="","",'RAW KVMC'!G323)</f>
        <v>0</v>
      </c>
      <c r="L326" s="50" t="n">
        <f aca="false">IF('RAW KVMC'!H323="","",'RAW KVMC'!H323)</f>
        <v>0</v>
      </c>
      <c r="M326" s="48" t="str">
        <f aca="false">IF('RAW KVMC'!I323="","",'RAW KVMC'!I323)</f>
        <v/>
      </c>
    </row>
    <row r="327" customFormat="false" ht="15" hidden="false" customHeight="false" outlineLevel="0" collapsed="false">
      <c r="A327" s="1" t="s">
        <v>1471</v>
      </c>
      <c r="B327" s="1" t="s">
        <v>154</v>
      </c>
      <c r="C327" s="1" t="s">
        <v>1145</v>
      </c>
      <c r="D327" s="1" t="n">
        <v>324</v>
      </c>
      <c r="E327" s="48" t="str">
        <f aca="false">IF('RAW KVMC'!A324="","",'RAW KVMC'!A324)</f>
        <v>Regional Health Coalition</v>
      </c>
      <c r="F327" s="48" t="str">
        <f aca="false">IF('RAW KVMC'!B324="","",'RAW KVMC'!B324)</f>
        <v>Community Building - Coalition</v>
      </c>
      <c r="G327" s="49" t="n">
        <f aca="false">IF('RAW KVMC'!C324="","",'RAW KVMC'!C324)</f>
        <v>46071</v>
      </c>
      <c r="H327" s="48" t="str">
        <f aca="false">IF('RAW KVMC'!D324="","",'RAW KVMC'!D324)</f>
        <v>Assoc. Director</v>
      </c>
      <c r="I327" s="48" t="n">
        <f aca="false">IF('RAW KVMC'!E324="","",'RAW KVMC'!E324)</f>
        <v>2</v>
      </c>
      <c r="J327" s="48" t="n">
        <f aca="false">IF('RAW KVMC'!F324="","",'RAW KVMC'!F324)</f>
        <v>0</v>
      </c>
      <c r="K327" s="50" t="n">
        <f aca="false">IF('RAW KVMC'!G324="","",'RAW KVMC'!G324)</f>
        <v>75</v>
      </c>
      <c r="L327" s="50" t="n">
        <f aca="false">IF('RAW KVMC'!H324="","",'RAW KVMC'!H324)</f>
        <v>0</v>
      </c>
      <c r="M327" s="48" t="str">
        <f aca="false">IF('RAW KVMC'!I324="","",'RAW KVMC'!I324)</f>
        <v/>
      </c>
    </row>
    <row r="328" customFormat="false" ht="15" hidden="false" customHeight="false" outlineLevel="0" collapsed="false">
      <c r="A328" s="1" t="s">
        <v>1472</v>
      </c>
      <c r="B328" s="1" t="s">
        <v>154</v>
      </c>
      <c r="C328" s="1" t="s">
        <v>1145</v>
      </c>
      <c r="D328" s="1" t="n">
        <v>325</v>
      </c>
      <c r="E328" s="48" t="str">
        <f aca="false">IF('RAW KVMC'!A325="","",'RAW KVMC'!A325)</f>
        <v>Diabetes Prevention Classes</v>
      </c>
      <c r="F328" s="48" t="str">
        <f aca="false">IF('RAW KVMC'!B325="","",'RAW KVMC'!B325)</f>
        <v>Community Health Education</v>
      </c>
      <c r="G328" s="49" t="n">
        <f aca="false">IF('RAW KVMC'!C325="","",'RAW KVMC'!C325)</f>
        <v>46072</v>
      </c>
      <c r="H328" s="48" t="str">
        <f aca="false">IF('RAW KVMC'!D325="","",'RAW KVMC'!D325)</f>
        <v>CHES</v>
      </c>
      <c r="I328" s="48" t="n">
        <f aca="false">IF('RAW KVMC'!E325="","",'RAW KVMC'!E325)</f>
        <v>2.75</v>
      </c>
      <c r="J328" s="48" t="n">
        <f aca="false">IF('RAW KVMC'!F325="","",'RAW KVMC'!F325)</f>
        <v>13</v>
      </c>
      <c r="K328" s="50" t="n">
        <f aca="false">IF('RAW KVMC'!G325="","",'RAW KVMC'!G325)</f>
        <v>90</v>
      </c>
      <c r="L328" s="50" t="n">
        <f aca="false">IF('RAW KVMC'!H325="","",'RAW KVMC'!H325)</f>
        <v>0</v>
      </c>
      <c r="M328" s="48" t="str">
        <f aca="false">IF('RAW KVMC'!I325="","",'RAW KVMC'!I325)</f>
        <v/>
      </c>
    </row>
    <row r="329" customFormat="false" ht="15" hidden="false" customHeight="false" outlineLevel="0" collapsed="false">
      <c r="A329" s="1" t="s">
        <v>1473</v>
      </c>
      <c r="B329" s="1" t="s">
        <v>154</v>
      </c>
      <c r="C329" s="1" t="s">
        <v>1145</v>
      </c>
      <c r="D329" s="1" t="n">
        <v>326</v>
      </c>
      <c r="E329" s="48" t="str">
        <f aca="false">IF('RAW KVMC'!A326="","",'RAW KVMC'!A326)</f>
        <v>Diabetes Prevention Classes</v>
      </c>
      <c r="F329" s="48" t="str">
        <f aca="false">IF('RAW KVMC'!B326="","",'RAW KVMC'!B326)</f>
        <v>Community Health Education</v>
      </c>
      <c r="G329" s="49" t="n">
        <f aca="false">IF('RAW KVMC'!C326="","",'RAW KVMC'!C326)</f>
        <v>46072</v>
      </c>
      <c r="H329" s="48" t="str">
        <f aca="false">IF('RAW KVMC'!D326="","",'RAW KVMC'!D326)</f>
        <v>Nutritionist</v>
      </c>
      <c r="I329" s="48" t="n">
        <f aca="false">IF('RAW KVMC'!E326="","",'RAW KVMC'!E326)</f>
        <v>1.5</v>
      </c>
      <c r="J329" s="48" t="n">
        <f aca="false">IF('RAW KVMC'!F326="","",'RAW KVMC'!F326)</f>
        <v>0</v>
      </c>
      <c r="K329" s="50" t="n">
        <f aca="false">IF('RAW KVMC'!G326="","",'RAW KVMC'!G326)</f>
        <v>0</v>
      </c>
      <c r="L329" s="50" t="n">
        <f aca="false">IF('RAW KVMC'!H326="","",'RAW KVMC'!H326)</f>
        <v>0</v>
      </c>
      <c r="M329" s="48" t="str">
        <f aca="false">IF('RAW KVMC'!I326="","",'RAW KVMC'!I326)</f>
        <v/>
      </c>
    </row>
    <row r="330" customFormat="false" ht="15" hidden="false" customHeight="false" outlineLevel="0" collapsed="false">
      <c r="A330" s="1" t="s">
        <v>1474</v>
      </c>
      <c r="B330" s="1" t="s">
        <v>154</v>
      </c>
      <c r="C330" s="1" t="s">
        <v>1145</v>
      </c>
      <c r="D330" s="1" t="n">
        <v>327</v>
      </c>
      <c r="E330" s="48" t="str">
        <f aca="false">IF('RAW KVMC'!A327="","",'RAW KVMC'!A327)</f>
        <v>Childbirth and Newborn Care Classes</v>
      </c>
      <c r="F330" s="48" t="str">
        <f aca="false">IF('RAW KVMC'!B327="","",'RAW KVMC'!B327)</f>
        <v>Community Health Education</v>
      </c>
      <c r="G330" s="49" t="n">
        <f aca="false">IF('RAW KVMC'!C327="","",'RAW KVMC'!C327)</f>
        <v>46073</v>
      </c>
      <c r="H330" s="48" t="str">
        <f aca="false">IF('RAW KVMC'!D327="","",'RAW KVMC'!D327)</f>
        <v>Educator, Nursing </v>
      </c>
      <c r="I330" s="48" t="n">
        <f aca="false">IF('RAW KVMC'!E327="","",'RAW KVMC'!E327)</f>
        <v>3.5</v>
      </c>
      <c r="J330" s="48" t="n">
        <f aca="false">IF('RAW KVMC'!F327="","",'RAW KVMC'!F327)</f>
        <v>19</v>
      </c>
      <c r="K330" s="50" t="n">
        <f aca="false">IF('RAW KVMC'!G327="","",'RAW KVMC'!G327)</f>
        <v>200</v>
      </c>
      <c r="L330" s="50" t="n">
        <f aca="false">IF('RAW KVMC'!H327="","",'RAW KVMC'!H327)</f>
        <v>0</v>
      </c>
      <c r="M330" s="48" t="str">
        <f aca="false">IF('RAW KVMC'!I327="","",'RAW KVMC'!I327)</f>
        <v/>
      </c>
    </row>
    <row r="331" customFormat="false" ht="15" hidden="false" customHeight="false" outlineLevel="0" collapsed="false">
      <c r="A331" s="1" t="s">
        <v>1475</v>
      </c>
      <c r="B331" s="1" t="s">
        <v>154</v>
      </c>
      <c r="C331" s="1" t="s">
        <v>1145</v>
      </c>
      <c r="D331" s="1" t="n">
        <v>328</v>
      </c>
      <c r="E331" s="48" t="str">
        <f aca="false">IF('RAW KVMC'!A328="","",'RAW KVMC'!A328)</f>
        <v>Diabetes Prevention Classes</v>
      </c>
      <c r="F331" s="48" t="str">
        <f aca="false">IF('RAW KVMC'!B328="","",'RAW KVMC'!B328)</f>
        <v>Community Health Education</v>
      </c>
      <c r="G331" s="49" t="n">
        <f aca="false">IF('RAW KVMC'!C328="","",'RAW KVMC'!C328)</f>
        <v>46074</v>
      </c>
      <c r="H331" s="48" t="str">
        <f aca="false">IF('RAW KVMC'!D328="","",'RAW KVMC'!D328)</f>
        <v>Hlth Educator</v>
      </c>
      <c r="I331" s="48" t="n">
        <f aca="false">IF('RAW KVMC'!E328="","",'RAW KVMC'!E328)</f>
        <v>3</v>
      </c>
      <c r="J331" s="48" t="n">
        <f aca="false">IF('RAW KVMC'!F328="","",'RAW KVMC'!F328)</f>
        <v>10</v>
      </c>
      <c r="K331" s="50" t="n">
        <f aca="false">IF('RAW KVMC'!G328="","",'RAW KVMC'!G328)</f>
        <v>90</v>
      </c>
      <c r="L331" s="50" t="n">
        <f aca="false">IF('RAW KVMC'!H328="","",'RAW KVMC'!H328)</f>
        <v>0</v>
      </c>
      <c r="M331" s="48" t="str">
        <f aca="false">IF('RAW KVMC'!I328="","",'RAW KVMC'!I328)</f>
        <v/>
      </c>
    </row>
    <row r="332" customFormat="false" ht="15" hidden="false" customHeight="false" outlineLevel="0" collapsed="false">
      <c r="A332" s="1" t="s">
        <v>1476</v>
      </c>
      <c r="B332" s="1" t="s">
        <v>154</v>
      </c>
      <c r="C332" s="1" t="s">
        <v>1145</v>
      </c>
      <c r="D332" s="1" t="n">
        <v>329</v>
      </c>
      <c r="E332" s="48" t="str">
        <f aca="false">IF('RAW KVMC'!A329="","",'RAW KVMC'!A329)</f>
        <v>Diabetes Prevention Classes</v>
      </c>
      <c r="F332" s="48" t="str">
        <f aca="false">IF('RAW KVMC'!B329="","",'RAW KVMC'!B329)</f>
        <v>Community Health Education</v>
      </c>
      <c r="G332" s="49" t="n">
        <f aca="false">IF('RAW KVMC'!C329="","",'RAW KVMC'!C329)</f>
        <v>46074</v>
      </c>
      <c r="H332" s="48" t="str">
        <f aca="false">IF('RAW KVMC'!D329="","",'RAW KVMC'!D329)</f>
        <v>Registered Dietitian</v>
      </c>
      <c r="I332" s="48" t="n">
        <f aca="false">IF('RAW KVMC'!E329="","",'RAW KVMC'!E329)</f>
        <v>1.5</v>
      </c>
      <c r="J332" s="48" t="n">
        <f aca="false">IF('RAW KVMC'!F329="","",'RAW KVMC'!F329)</f>
        <v>0</v>
      </c>
      <c r="K332" s="50" t="n">
        <f aca="false">IF('RAW KVMC'!G329="","",'RAW KVMC'!G329)</f>
        <v>0</v>
      </c>
      <c r="L332" s="50" t="n">
        <f aca="false">IF('RAW KVMC'!H329="","",'RAW KVMC'!H329)</f>
        <v>0</v>
      </c>
      <c r="M332" s="48" t="str">
        <f aca="false">IF('RAW KVMC'!I329="","",'RAW KVMC'!I329)</f>
        <v/>
      </c>
    </row>
    <row r="333" customFormat="false" ht="15" hidden="false" customHeight="false" outlineLevel="0" collapsed="false">
      <c r="A333" s="1" t="s">
        <v>1477</v>
      </c>
      <c r="B333" s="1" t="s">
        <v>154</v>
      </c>
      <c r="C333" s="1" t="s">
        <v>1145</v>
      </c>
      <c r="D333" s="1" t="n">
        <v>330</v>
      </c>
      <c r="E333" s="48" t="str">
        <f aca="false">IF('RAW KVMC'!A330="","",'RAW KVMC'!A330)</f>
        <v>Naloxone Training and Distribution</v>
      </c>
      <c r="F333" s="48" t="str">
        <f aca="false">IF('RAW KVMC'!B330="","",'RAW KVMC'!B330)</f>
        <v>Community Health Education</v>
      </c>
      <c r="G333" s="49" t="n">
        <f aca="false">IF('RAW KVMC'!C330="","",'RAW KVMC'!C330)</f>
        <v>46077</v>
      </c>
      <c r="H333" s="48" t="str">
        <f aca="false">IF('RAW KVMC'!D330="","",'RAW KVMC'!D330)</f>
        <v> CHES</v>
      </c>
      <c r="I333" s="48" t="n">
        <f aca="false">IF('RAW KVMC'!E330="","",'RAW KVMC'!E330)</f>
        <v>2.25</v>
      </c>
      <c r="J333" s="48" t="n">
        <f aca="false">IF('RAW KVMC'!F330="","",'RAW KVMC'!F330)</f>
        <v>0</v>
      </c>
      <c r="K333" s="50" t="n">
        <f aca="false">IF('RAW KVMC'!G330="","",'RAW KVMC'!G330)</f>
        <v>0</v>
      </c>
      <c r="L333" s="50" t="n">
        <f aca="false">IF('RAW KVMC'!H330="","",'RAW KVMC'!H330)</f>
        <v>0</v>
      </c>
      <c r="M333" s="48" t="str">
        <f aca="false">IF('RAW KVMC'!I330="","",'RAW KVMC'!I330)</f>
        <v/>
      </c>
    </row>
    <row r="334" customFormat="false" ht="15" hidden="false" customHeight="false" outlineLevel="0" collapsed="false">
      <c r="A334" s="1" t="s">
        <v>1478</v>
      </c>
      <c r="B334" s="1" t="s">
        <v>154</v>
      </c>
      <c r="C334" s="1" t="s">
        <v>1145</v>
      </c>
      <c r="D334" s="1" t="n">
        <v>331</v>
      </c>
      <c r="E334" s="48" t="str">
        <f aca="false">IF('RAW KVMC'!A331="","",'RAW KVMC'!A331)</f>
        <v>Naloxone Training and Distribution</v>
      </c>
      <c r="F334" s="48" t="str">
        <f aca="false">IF('RAW KVMC'!B331="","",'RAW KVMC'!B331)</f>
        <v>Community Health Education</v>
      </c>
      <c r="G334" s="49" t="n">
        <f aca="false">IF('RAW KVMC'!C331="","",'RAW KVMC'!C331)</f>
        <v>46077</v>
      </c>
      <c r="H334" s="48" t="str">
        <f aca="false">IF('RAW KVMC'!D331="","",'RAW KVMC'!D331)</f>
        <v> Pharm.D.</v>
      </c>
      <c r="I334" s="48" t="n">
        <f aca="false">IF('RAW KVMC'!E331="","",'RAW KVMC'!E331)</f>
        <v>2.25</v>
      </c>
      <c r="J334" s="48" t="n">
        <f aca="false">IF('RAW KVMC'!F331="","",'RAW KVMC'!F331)</f>
        <v>51</v>
      </c>
      <c r="K334" s="50" t="n">
        <f aca="false">IF('RAW KVMC'!G331="","",'RAW KVMC'!G331)</f>
        <v>2215</v>
      </c>
      <c r="L334" s="50" t="n">
        <f aca="false">IF('RAW KVMC'!H331="","",'RAW KVMC'!H331)</f>
        <v>1685</v>
      </c>
      <c r="M334" s="48" t="str">
        <f aca="false">IF('RAW KVMC'!I331="","",'RAW KVMC'!I331)</f>
        <v/>
      </c>
    </row>
    <row r="335" customFormat="false" ht="15" hidden="false" customHeight="false" outlineLevel="0" collapsed="false">
      <c r="A335" s="1" t="s">
        <v>1479</v>
      </c>
      <c r="B335" s="1" t="s">
        <v>154</v>
      </c>
      <c r="C335" s="1" t="s">
        <v>1145</v>
      </c>
      <c r="D335" s="1" t="n">
        <v>332</v>
      </c>
      <c r="E335" s="48" t="str">
        <f aca="false">IF('RAW KVMC'!A332="","",'RAW KVMC'!A332)</f>
        <v>Mobile Health Screening Unit</v>
      </c>
      <c r="F335" s="48" t="str">
        <f aca="false">IF('RAW KVMC'!B332="","",'RAW KVMC'!B332)</f>
        <v>Community-Based Clinical Services</v>
      </c>
      <c r="G335" s="49" t="n">
        <f aca="false">IF('RAW KVMC'!C332="","",'RAW KVMC'!C332)</f>
        <v>46081</v>
      </c>
      <c r="H335" s="48" t="str">
        <f aca="false">IF('RAW KVMC'!D332="","",'RAW KVMC'!D332)</f>
        <v>Comm. Health Worker</v>
      </c>
      <c r="I335" s="48" t="n">
        <f aca="false">IF('RAW KVMC'!E332="","",'RAW KVMC'!E332)</f>
        <v>70</v>
      </c>
      <c r="J335" s="48" t="n">
        <f aca="false">IF('RAW KVMC'!F332="","",'RAW KVMC'!F332)</f>
        <v>0</v>
      </c>
      <c r="K335" s="50" t="n">
        <f aca="false">IF('RAW KVMC'!G332="","",'RAW KVMC'!G332)</f>
        <v>0</v>
      </c>
      <c r="L335" s="50" t="n">
        <f aca="false">IF('RAW KVMC'!H332="","",'RAW KVMC'!H332)</f>
        <v>0</v>
      </c>
      <c r="M335" s="48" t="str">
        <f aca="false">IF('RAW KVMC'!I332="","",'RAW KVMC'!I332)</f>
        <v/>
      </c>
    </row>
    <row r="336" customFormat="false" ht="15" hidden="false" customHeight="false" outlineLevel="0" collapsed="false">
      <c r="A336" s="1" t="s">
        <v>1480</v>
      </c>
      <c r="B336" s="1" t="s">
        <v>154</v>
      </c>
      <c r="C336" s="1" t="s">
        <v>1145</v>
      </c>
      <c r="D336" s="1" t="n">
        <v>333</v>
      </c>
      <c r="E336" s="48" t="str">
        <f aca="false">IF('RAW KVMC'!A333="","",'RAW KVMC'!A333)</f>
        <v>Mobile Health Screening Unit</v>
      </c>
      <c r="F336" s="48" t="str">
        <f aca="false">IF('RAW KVMC'!B333="","",'RAW KVMC'!B333)</f>
        <v>Community-Based Clinical Services</v>
      </c>
      <c r="G336" s="49" t="n">
        <f aca="false">IF('RAW KVMC'!C333="","",'RAW KVMC'!C333)</f>
        <v>46081</v>
      </c>
      <c r="H336" s="48" t="str">
        <f aca="false">IF('RAW KVMC'!D333="","",'RAW KVMC'!D333)</f>
        <v>CMA</v>
      </c>
      <c r="I336" s="48" t="n">
        <f aca="false">IF('RAW KVMC'!E333="","",'RAW KVMC'!E333)</f>
        <v>96.25</v>
      </c>
      <c r="J336" s="48" t="n">
        <f aca="false">IF('RAW KVMC'!F333="","",'RAW KVMC'!F333)</f>
        <v>0</v>
      </c>
      <c r="K336" s="50" t="n">
        <f aca="false">IF('RAW KVMC'!G333="","",'RAW KVMC'!G333)</f>
        <v>0</v>
      </c>
      <c r="L336" s="50" t="n">
        <f aca="false">IF('RAW KVMC'!H333="","",'RAW KVMC'!H333)</f>
        <v>0</v>
      </c>
      <c r="M336" s="48" t="str">
        <f aca="false">IF('RAW KVMC'!I333="","",'RAW KVMC'!I333)</f>
        <v/>
      </c>
    </row>
    <row r="337" customFormat="false" ht="15" hidden="false" customHeight="false" outlineLevel="0" collapsed="false">
      <c r="A337" s="1" t="s">
        <v>1481</v>
      </c>
      <c r="B337" s="1" t="s">
        <v>154</v>
      </c>
      <c r="C337" s="1" t="s">
        <v>1145</v>
      </c>
      <c r="D337" s="1" t="n">
        <v>334</v>
      </c>
      <c r="E337" s="48" t="str">
        <f aca="false">IF('RAW KVMC'!A334="","",'RAW KVMC'!A334)</f>
        <v>Mobile Health Screening Unit</v>
      </c>
      <c r="F337" s="48" t="str">
        <f aca="false">IF('RAW KVMC'!B334="","",'RAW KVMC'!B334)</f>
        <v>Community-Based Clinical Services</v>
      </c>
      <c r="G337" s="49" t="n">
        <f aca="false">IF('RAW KVMC'!C334="","",'RAW KVMC'!C334)</f>
        <v>46081</v>
      </c>
      <c r="H337" s="48" t="str">
        <f aca="false">IF('RAW KVMC'!D334="","",'RAW KVMC'!D334)</f>
        <v>RN II</v>
      </c>
      <c r="I337" s="48" t="n">
        <f aca="false">IF('RAW KVMC'!E334="","",'RAW KVMC'!E334)</f>
        <v>106.25</v>
      </c>
      <c r="J337" s="48" t="n">
        <f aca="false">IF('RAW KVMC'!F334="","",'RAW KVMC'!F334)</f>
        <v>380</v>
      </c>
      <c r="K337" s="50" t="n">
        <f aca="false">IF('RAW KVMC'!G334="","",'RAW KVMC'!G334)</f>
        <v>12085</v>
      </c>
      <c r="L337" s="50" t="n">
        <f aca="false">IF('RAW KVMC'!H334="","",'RAW KVMC'!H334)</f>
        <v>0</v>
      </c>
      <c r="M337" s="48" t="str">
        <f aca="false">IF('RAW KVMC'!I334="","",'RAW KVMC'!I334)</f>
        <v/>
      </c>
    </row>
    <row r="338" customFormat="false" ht="15" hidden="false" customHeight="false" outlineLevel="0" collapsed="false">
      <c r="A338" s="1" t="s">
        <v>1482</v>
      </c>
      <c r="B338" s="1" t="s">
        <v>154</v>
      </c>
      <c r="C338" s="1" t="s">
        <v>1145</v>
      </c>
      <c r="D338" s="1" t="n">
        <v>335</v>
      </c>
      <c r="E338" s="48" t="str">
        <f aca="false">IF('RAW KVMC'!A335="","",'RAW KVMC'!A335)</f>
        <v>Grief Support Group</v>
      </c>
      <c r="F338" s="48" t="str">
        <f aca="false">IF('RAW KVMC'!B335="","",'RAW KVMC'!B335)</f>
        <v>Health Care Support Services</v>
      </c>
      <c r="G338" s="49" t="n">
        <f aca="false">IF('RAW KVMC'!C335="","",'RAW KVMC'!C335)</f>
        <v>46081</v>
      </c>
      <c r="H338" s="48" t="str">
        <f aca="false">IF('RAW KVMC'!D335="","",'RAW KVMC'!D335)</f>
        <v>Chaplain</v>
      </c>
      <c r="I338" s="48" t="n">
        <f aca="false">IF('RAW KVMC'!E335="","",'RAW KVMC'!E335)</f>
        <v>2</v>
      </c>
      <c r="J338" s="48" t="n">
        <f aca="false">IF('RAW KVMC'!F335="","",'RAW KVMC'!F335)</f>
        <v>13</v>
      </c>
      <c r="K338" s="50" t="n">
        <f aca="false">IF('RAW KVMC'!G335="","",'RAW KVMC'!G335)</f>
        <v>45</v>
      </c>
      <c r="L338" s="50" t="n">
        <f aca="false">IF('RAW KVMC'!H335="","",'RAW KVMC'!H335)</f>
        <v>0</v>
      </c>
      <c r="M338" s="48" t="str">
        <f aca="false">IF('RAW KVMC'!I335="","",'RAW KVMC'!I335)</f>
        <v/>
      </c>
    </row>
    <row r="339" customFormat="false" ht="15" hidden="false" customHeight="false" outlineLevel="0" collapsed="false">
      <c r="A339" s="1" t="s">
        <v>1483</v>
      </c>
      <c r="B339" s="1" t="s">
        <v>154</v>
      </c>
      <c r="C339" s="1" t="s">
        <v>1145</v>
      </c>
      <c r="D339" s="1" t="n">
        <v>336</v>
      </c>
      <c r="E339" s="48" t="str">
        <f aca="false">IF('RAW KVMC'!A336="","",'RAW KVMC'!A336)</f>
        <v>Grief Support Group</v>
      </c>
      <c r="F339" s="48" t="str">
        <f aca="false">IF('RAW KVMC'!B336="","",'RAW KVMC'!B336)</f>
        <v>Health Care Support Services</v>
      </c>
      <c r="G339" s="49" t="n">
        <f aca="false">IF('RAW KVMC'!C336="","",'RAW KVMC'!C336)</f>
        <v>46081</v>
      </c>
      <c r="H339" s="48" t="str">
        <f aca="false">IF('RAW KVMC'!D336="","",'RAW KVMC'!D336)</f>
        <v> MSW</v>
      </c>
      <c r="I339" s="48" t="n">
        <f aca="false">IF('RAW KVMC'!E336="","",'RAW KVMC'!E336)</f>
        <v>2</v>
      </c>
      <c r="J339" s="48" t="n">
        <f aca="false">IF('RAW KVMC'!F336="","",'RAW KVMC'!F336)</f>
        <v>0</v>
      </c>
      <c r="K339" s="50" t="n">
        <f aca="false">IF('RAW KVMC'!G336="","",'RAW KVMC'!G336)</f>
        <v>0</v>
      </c>
      <c r="L339" s="50" t="n">
        <f aca="false">IF('RAW KVMC'!H336="","",'RAW KVMC'!H336)</f>
        <v>0</v>
      </c>
      <c r="M339" s="48" t="str">
        <f aca="false">IF('RAW KVMC'!I336="","",'RAW KVMC'!I336)</f>
        <v/>
      </c>
    </row>
    <row r="340" customFormat="false" ht="15" hidden="false" customHeight="false" outlineLevel="0" collapsed="false">
      <c r="A340" s="1" t="s">
        <v>1484</v>
      </c>
      <c r="B340" s="1" t="s">
        <v>154</v>
      </c>
      <c r="C340" s="1" t="s">
        <v>1145</v>
      </c>
      <c r="D340" s="1" t="n">
        <v>337</v>
      </c>
      <c r="E340" s="48" t="str">
        <f aca="false">IF('RAW KVMC'!A337="","",'RAW KVMC'!A337)</f>
        <v>Free Clinic Provider Staffing</v>
      </c>
      <c r="F340" s="48" t="str">
        <f aca="false">IF('RAW KVMC'!B337="","",'RAW KVMC'!B337)</f>
        <v>Community-Based Clinical Services</v>
      </c>
      <c r="G340" s="49" t="n">
        <f aca="false">IF('RAW KVMC'!C337="","",'RAW KVMC'!C337)</f>
        <v>46081</v>
      </c>
      <c r="H340" s="48" t="str">
        <f aca="false">IF('RAW KVMC'!D337="","",'RAW KVMC'!D337)</f>
        <v>APRN</v>
      </c>
      <c r="I340" s="48" t="n">
        <f aca="false">IF('RAW KVMC'!E337="","",'RAW KVMC'!E337)</f>
        <v>38.75</v>
      </c>
      <c r="J340" s="48" t="n">
        <f aca="false">IF('RAW KVMC'!F337="","",'RAW KVMC'!F337)</f>
        <v>231</v>
      </c>
      <c r="K340" s="50" t="n">
        <f aca="false">IF('RAW KVMC'!G337="","",'RAW KVMC'!G337)</f>
        <v>4585</v>
      </c>
      <c r="L340" s="50" t="n">
        <f aca="false">IF('RAW KVMC'!H337="","",'RAW KVMC'!H337)</f>
        <v>0</v>
      </c>
      <c r="M340" s="48" t="str">
        <f aca="false">IF('RAW KVMC'!I337="","",'RAW KVMC'!I337)</f>
        <v/>
      </c>
    </row>
    <row r="341" customFormat="false" ht="15" hidden="false" customHeight="false" outlineLevel="0" collapsed="false">
      <c r="A341" s="1" t="s">
        <v>1485</v>
      </c>
      <c r="B341" s="1" t="s">
        <v>154</v>
      </c>
      <c r="C341" s="1" t="s">
        <v>1145</v>
      </c>
      <c r="D341" s="1" t="n">
        <v>338</v>
      </c>
      <c r="E341" s="48" t="str">
        <f aca="false">IF('RAW KVMC'!A338="","",'RAW KVMC'!A338)</f>
        <v>Free Clinic Provider Staffing</v>
      </c>
      <c r="F341" s="48" t="str">
        <f aca="false">IF('RAW KVMC'!B338="","",'RAW KVMC'!B338)</f>
        <v>Community-Based Clinical Services</v>
      </c>
      <c r="G341" s="49" t="n">
        <f aca="false">IF('RAW KVMC'!C338="","",'RAW KVMC'!C338)</f>
        <v>46081</v>
      </c>
      <c r="H341" s="48" t="str">
        <f aca="false">IF('RAW KVMC'!D338="","",'RAW KVMC'!D338)</f>
        <v>RPh</v>
      </c>
      <c r="I341" s="48" t="n">
        <f aca="false">IF('RAW KVMC'!E338="","",'RAW KVMC'!E338)</f>
        <v>21</v>
      </c>
      <c r="J341" s="48" t="n">
        <f aca="false">IF('RAW KVMC'!F338="","",'RAW KVMC'!F338)</f>
        <v>0</v>
      </c>
      <c r="K341" s="50" t="n">
        <f aca="false">IF('RAW KVMC'!G338="","",'RAW KVMC'!G338)</f>
        <v>0</v>
      </c>
      <c r="L341" s="50" t="n">
        <f aca="false">IF('RAW KVMC'!H338="","",'RAW KVMC'!H338)</f>
        <v>0</v>
      </c>
      <c r="M341" s="48" t="str">
        <f aca="false">IF('RAW KVMC'!I338="","",'RAW KVMC'!I338)</f>
        <v/>
      </c>
    </row>
    <row r="342" customFormat="false" ht="15" hidden="false" customHeight="false" outlineLevel="0" collapsed="false">
      <c r="A342" s="1" t="s">
        <v>1486</v>
      </c>
      <c r="B342" s="1" t="s">
        <v>154</v>
      </c>
      <c r="C342" s="1" t="s">
        <v>1145</v>
      </c>
      <c r="D342" s="1" t="n">
        <v>339</v>
      </c>
      <c r="E342" s="48" t="str">
        <f aca="false">IF('RAW KVMC'!A339="","",'RAW KVMC'!A339)</f>
        <v>Free Clinic Provider Staffing</v>
      </c>
      <c r="F342" s="48" t="str">
        <f aca="false">IF('RAW KVMC'!B339="","",'RAW KVMC'!B339)</f>
        <v>Community-Based Clinical Services</v>
      </c>
      <c r="G342" s="49" t="n">
        <f aca="false">IF('RAW KVMC'!C339="","",'RAW KVMC'!C339)</f>
        <v>46081</v>
      </c>
      <c r="H342" s="48" t="str">
        <f aca="false">IF('RAW KVMC'!D339="","",'RAW KVMC'!D339)</f>
        <v>Charge RN</v>
      </c>
      <c r="I342" s="48" t="n">
        <f aca="false">IF('RAW KVMC'!E339="","",'RAW KVMC'!E339)</f>
        <v>56.75</v>
      </c>
      <c r="J342" s="48" t="n">
        <f aca="false">IF('RAW KVMC'!F339="","",'RAW KVMC'!F339)</f>
        <v>0</v>
      </c>
      <c r="K342" s="50" t="n">
        <f aca="false">IF('RAW KVMC'!G339="","",'RAW KVMC'!G339)</f>
        <v>0</v>
      </c>
      <c r="L342" s="50" t="n">
        <f aca="false">IF('RAW KVMC'!H339="","",'RAW KVMC'!H339)</f>
        <v>0</v>
      </c>
      <c r="M342" s="48" t="str">
        <f aca="false">IF('RAW KVMC'!I339="","",'RAW KVMC'!I339)</f>
        <v/>
      </c>
    </row>
    <row r="343" customFormat="false" ht="15" hidden="false" customHeight="false" outlineLevel="0" collapsed="false">
      <c r="A343" s="1" t="s">
        <v>1487</v>
      </c>
      <c r="B343" s="1" t="s">
        <v>154</v>
      </c>
      <c r="C343" s="1" t="s">
        <v>1145</v>
      </c>
      <c r="D343" s="1" t="n">
        <v>340</v>
      </c>
      <c r="E343" s="48" t="str">
        <f aca="false">IF('RAW KVMC'!A340="","",'RAW KVMC'!A340)</f>
        <v>Community Health Worker Outreach</v>
      </c>
      <c r="F343" s="48" t="str">
        <f aca="false">IF('RAW KVMC'!B340="","",'RAW KVMC'!B340)</f>
        <v>Health Care Support Services</v>
      </c>
      <c r="G343" s="49" t="n">
        <f aca="false">IF('RAW KVMC'!C340="","",'RAW KVMC'!C340)</f>
        <v>46081</v>
      </c>
      <c r="H343" s="48" t="str">
        <f aca="false">IF('RAW KVMC'!D340="","",'RAW KVMC'!D340)</f>
        <v>Comm. Health Worker</v>
      </c>
      <c r="I343" s="48" t="n">
        <f aca="false">IF('RAW KVMC'!E340="","",'RAW KVMC'!E340)</f>
        <v>391.5</v>
      </c>
      <c r="J343" s="48" t="n">
        <f aca="false">IF('RAW KVMC'!F340="","",'RAW KVMC'!F340)</f>
        <v>419</v>
      </c>
      <c r="K343" s="50" t="n">
        <f aca="false">IF('RAW KVMC'!G340="","",'RAW KVMC'!G340)</f>
        <v>1915</v>
      </c>
      <c r="L343" s="50" t="n">
        <f aca="false">IF('RAW KVMC'!H340="","",'RAW KVMC'!H340)</f>
        <v>0</v>
      </c>
      <c r="M343" s="48" t="str">
        <f aca="false">IF('RAW KVMC'!I340="","",'RAW KVMC'!I340)</f>
        <v/>
      </c>
    </row>
    <row r="344" customFormat="false" ht="15" hidden="false" customHeight="false" outlineLevel="0" collapsed="false">
      <c r="A344" s="1" t="s">
        <v>1488</v>
      </c>
      <c r="B344" s="1" t="s">
        <v>154</v>
      </c>
      <c r="C344" s="1" t="s">
        <v>1145</v>
      </c>
      <c r="D344" s="1" t="n">
        <v>341</v>
      </c>
      <c r="E344" s="48" t="str">
        <f aca="false">IF('RAW KVMC'!A341="","",'RAW KVMC'!A341)</f>
        <v>Community Health Worker Outreach</v>
      </c>
      <c r="F344" s="48" t="str">
        <f aca="false">IF('RAW KVMC'!B341="","",'RAW KVMC'!B341)</f>
        <v>Health Care Support Services</v>
      </c>
      <c r="G344" s="49" t="n">
        <f aca="false">IF('RAW KVMC'!C341="","",'RAW KVMC'!C341)</f>
        <v>46081</v>
      </c>
      <c r="H344" s="48" t="str">
        <f aca="false">IF('RAW KVMC'!D341="","",'RAW KVMC'!D341)</f>
        <v>Pt Navigator</v>
      </c>
      <c r="I344" s="48" t="n">
        <f aca="false">IF('RAW KVMC'!E341="","",'RAW KVMC'!E341)</f>
        <v>187.25</v>
      </c>
      <c r="J344" s="48" t="n">
        <f aca="false">IF('RAW KVMC'!F341="","",'RAW KVMC'!F341)</f>
        <v>0</v>
      </c>
      <c r="K344" s="50" t="n">
        <f aca="false">IF('RAW KVMC'!G341="","",'RAW KVMC'!G341)</f>
        <v>0</v>
      </c>
      <c r="L344" s="50" t="n">
        <f aca="false">IF('RAW KVMC'!H341="","",'RAW KVMC'!H341)</f>
        <v>0</v>
      </c>
      <c r="M344" s="48" t="str">
        <f aca="false">IF('RAW KVMC'!I341="","",'RAW KVMC'!I341)</f>
        <v/>
      </c>
    </row>
    <row r="345" customFormat="false" ht="15" hidden="false" customHeight="false" outlineLevel="0" collapsed="false">
      <c r="A345" s="1" t="s">
        <v>1489</v>
      </c>
      <c r="B345" s="1" t="s">
        <v>154</v>
      </c>
      <c r="C345" s="1" t="s">
        <v>1145</v>
      </c>
      <c r="D345" s="1" t="n">
        <v>342</v>
      </c>
      <c r="E345" s="48" t="str">
        <f aca="false">IF('RAW KVMC'!A342="","",'RAW KVMC'!A342)</f>
        <v>Medication Assistance Program</v>
      </c>
      <c r="F345" s="48" t="str">
        <f aca="false">IF('RAW KVMC'!B342="","",'RAW KVMC'!B342)</f>
        <v>Health Care Support Services</v>
      </c>
      <c r="G345" s="49" t="n">
        <f aca="false">IF('RAW KVMC'!C342="","",'RAW KVMC'!C342)</f>
        <v>46081</v>
      </c>
      <c r="H345" s="48" t="str">
        <f aca="false">IF('RAW KVMC'!D342="","",'RAW KVMC'!D342)</f>
        <v>Patient Navigator</v>
      </c>
      <c r="I345" s="48" t="n">
        <f aca="false">IF('RAW KVMC'!E342="","",'RAW KVMC'!E342)</f>
        <v>103</v>
      </c>
      <c r="J345" s="48" t="n">
        <f aca="false">IF('RAW KVMC'!F342="","",'RAW KVMC'!F342)</f>
        <v>0</v>
      </c>
      <c r="K345" s="50" t="n">
        <f aca="false">IF('RAW KVMC'!G342="","",'RAW KVMC'!G342)</f>
        <v>0</v>
      </c>
      <c r="L345" s="50" t="n">
        <f aca="false">IF('RAW KVMC'!H342="","",'RAW KVMC'!H342)</f>
        <v>0</v>
      </c>
      <c r="M345" s="48" t="str">
        <f aca="false">IF('RAW KVMC'!I342="","",'RAW KVMC'!I342)</f>
        <v/>
      </c>
    </row>
    <row r="346" customFormat="false" ht="15" hidden="false" customHeight="false" outlineLevel="0" collapsed="false">
      <c r="A346" s="1" t="s">
        <v>1490</v>
      </c>
      <c r="B346" s="1" t="s">
        <v>154</v>
      </c>
      <c r="C346" s="1" t="s">
        <v>1145</v>
      </c>
      <c r="D346" s="1" t="n">
        <v>343</v>
      </c>
      <c r="E346" s="48" t="str">
        <f aca="false">IF('RAW KVMC'!A343="","",'RAW KVMC'!A343)</f>
        <v>Medication Assistance Program</v>
      </c>
      <c r="F346" s="48" t="str">
        <f aca="false">IF('RAW KVMC'!B343="","",'RAW KVMC'!B343)</f>
        <v>Health Care Support Services</v>
      </c>
      <c r="G346" s="49" t="n">
        <f aca="false">IF('RAW KVMC'!C343="","",'RAW KVMC'!C343)</f>
        <v>46081</v>
      </c>
      <c r="H346" s="48" t="str">
        <f aca="false">IF('RAW KVMC'!D343="","",'RAW KVMC'!D343)</f>
        <v> Staff Pharmacist</v>
      </c>
      <c r="I346" s="48" t="n">
        <f aca="false">IF('RAW KVMC'!E343="","",'RAW KVMC'!E343)</f>
        <v>22.75</v>
      </c>
      <c r="J346" s="48" t="n">
        <f aca="false">IF('RAW KVMC'!F343="","",'RAW KVMC'!F343)</f>
        <v>105</v>
      </c>
      <c r="K346" s="50" t="n">
        <f aca="false">IF('RAW KVMC'!G343="","",'RAW KVMC'!G343)</f>
        <v>25855</v>
      </c>
      <c r="L346" s="50" t="n">
        <f aca="false">IF('RAW KVMC'!H343="","",'RAW KVMC'!H343)</f>
        <v>0</v>
      </c>
      <c r="M346" s="48" t="str">
        <f aca="false">IF('RAW KVMC'!I343="","",'RAW KVMC'!I343)</f>
        <v/>
      </c>
    </row>
    <row r="347" customFormat="false" ht="15" hidden="false" customHeight="false" outlineLevel="0" collapsed="false">
      <c r="A347" s="1" t="s">
        <v>1491</v>
      </c>
      <c r="B347" s="1" t="s">
        <v>154</v>
      </c>
      <c r="C347" s="1" t="s">
        <v>1145</v>
      </c>
      <c r="D347" s="1" t="n">
        <v>344</v>
      </c>
      <c r="E347" s="48" t="str">
        <f aca="false">IF('RAW KVMC'!A344="","",'RAW KVMC'!A344)</f>
        <v>Community Health Needs Assessment</v>
      </c>
      <c r="F347" s="48" t="str">
        <f aca="false">IF('RAW KVMC'!B344="","",'RAW KVMC'!B344)</f>
        <v>CB Operations</v>
      </c>
      <c r="G347" s="49" t="n">
        <f aca="false">IF('RAW KVMC'!C344="","",'RAW KVMC'!C344)</f>
        <v>46081</v>
      </c>
      <c r="H347" s="48" t="str">
        <f aca="false">IF('RAW KVMC'!D344="","",'RAW KVMC'!D344)</f>
        <v>Community Benefit Mgr</v>
      </c>
      <c r="I347" s="48" t="n">
        <f aca="false">IF('RAW KVMC'!E344="","",'RAW KVMC'!E344)</f>
        <v>121.75</v>
      </c>
      <c r="J347" s="48" t="n">
        <f aca="false">IF('RAW KVMC'!F344="","",'RAW KVMC'!F344)</f>
        <v>0</v>
      </c>
      <c r="K347" s="50" t="n">
        <f aca="false">IF('RAW KVMC'!G344="","",'RAW KVMC'!G344)</f>
        <v>3915</v>
      </c>
      <c r="L347" s="50" t="n">
        <f aca="false">IF('RAW KVMC'!H344="","",'RAW KVMC'!H344)</f>
        <v>0</v>
      </c>
      <c r="M347" s="48" t="str">
        <f aca="false">IF('RAW KVMC'!I344="","",'RAW KVMC'!I344)</f>
        <v/>
      </c>
    </row>
    <row r="348" customFormat="false" ht="15" hidden="false" customHeight="false" outlineLevel="0" collapsed="false">
      <c r="A348" s="1" t="s">
        <v>1492</v>
      </c>
      <c r="B348" s="1" t="s">
        <v>154</v>
      </c>
      <c r="C348" s="1" t="s">
        <v>1145</v>
      </c>
      <c r="D348" s="1" t="n">
        <v>345</v>
      </c>
      <c r="E348" s="48" t="str">
        <f aca="false">IF('RAW KVMC'!A345="","",'RAW KVMC'!A345)</f>
        <v>Community Health Needs Assessment</v>
      </c>
      <c r="F348" s="48" t="str">
        <f aca="false">IF('RAW KVMC'!B345="","",'RAW KVMC'!B345)</f>
        <v>CB Operations</v>
      </c>
      <c r="G348" s="49" t="n">
        <f aca="false">IF('RAW KVMC'!C345="","",'RAW KVMC'!C345)</f>
        <v>46081</v>
      </c>
      <c r="H348" s="48" t="str">
        <f aca="false">IF('RAW KVMC'!D345="","",'RAW KVMC'!D345)</f>
        <v>Data Analyst</v>
      </c>
      <c r="I348" s="48" t="n">
        <f aca="false">IF('RAW KVMC'!E345="","",'RAW KVMC'!E345)</f>
        <v>71</v>
      </c>
      <c r="J348" s="48" t="n">
        <f aca="false">IF('RAW KVMC'!F345="","",'RAW KVMC'!F345)</f>
        <v>0</v>
      </c>
      <c r="K348" s="50" t="n">
        <f aca="false">IF('RAW KVMC'!G345="","",'RAW KVMC'!G345)</f>
        <v>0</v>
      </c>
      <c r="L348" s="50" t="n">
        <f aca="false">IF('RAW KVMC'!H345="","",'RAW KVMC'!H345)</f>
        <v>0</v>
      </c>
      <c r="M348" s="48" t="str">
        <f aca="false">IF('RAW KVMC'!I345="","",'RAW KVMC'!I345)</f>
        <v/>
      </c>
    </row>
    <row r="349" customFormat="false" ht="15" hidden="false" customHeight="false" outlineLevel="0" collapsed="false">
      <c r="A349" s="1" t="s">
        <v>1493</v>
      </c>
      <c r="B349" s="1" t="s">
        <v>154</v>
      </c>
      <c r="C349" s="1" t="s">
        <v>1145</v>
      </c>
      <c r="D349" s="1" t="n">
        <v>346</v>
      </c>
      <c r="E349" s="48" t="str">
        <f aca="false">IF('RAW KVMC'!A346="","",'RAW KVMC'!A346)</f>
        <v>Community Benefit Program Administration</v>
      </c>
      <c r="F349" s="48" t="str">
        <f aca="false">IF('RAW KVMC'!B346="","",'RAW KVMC'!B346)</f>
        <v>CB Operations</v>
      </c>
      <c r="G349" s="49" t="n">
        <f aca="false">IF('RAW KVMC'!C346="","",'RAW KVMC'!C346)</f>
        <v>46081</v>
      </c>
      <c r="H349" s="48" t="str">
        <f aca="false">IF('RAW KVMC'!D346="","",'RAW KVMC'!D346)</f>
        <v>Office Coordinator</v>
      </c>
      <c r="I349" s="48" t="n">
        <f aca="false">IF('RAW KVMC'!E346="","",'RAW KVMC'!E346)</f>
        <v>59.75</v>
      </c>
      <c r="J349" s="48" t="n">
        <f aca="false">IF('RAW KVMC'!F346="","",'RAW KVMC'!F346)</f>
        <v>0</v>
      </c>
      <c r="K349" s="50" t="n">
        <f aca="false">IF('RAW KVMC'!G346="","",'RAW KVMC'!G346)</f>
        <v>0</v>
      </c>
      <c r="L349" s="50" t="n">
        <f aca="false">IF('RAW KVMC'!H346="","",'RAW KVMC'!H346)</f>
        <v>0</v>
      </c>
      <c r="M349" s="48" t="str">
        <f aca="false">IF('RAW KVMC'!I346="","",'RAW KVMC'!I346)</f>
        <v/>
      </c>
    </row>
    <row r="350" customFormat="false" ht="15" hidden="false" customHeight="false" outlineLevel="0" collapsed="false">
      <c r="A350" s="1" t="s">
        <v>1494</v>
      </c>
      <c r="B350" s="1" t="s">
        <v>154</v>
      </c>
      <c r="C350" s="1" t="s">
        <v>1145</v>
      </c>
      <c r="D350" s="1" t="n">
        <v>347</v>
      </c>
      <c r="E350" s="48" t="str">
        <f aca="false">IF('RAW KVMC'!A347="","",'RAW KVMC'!A347)</f>
        <v>Community Benefit Program Administration</v>
      </c>
      <c r="F350" s="48" t="str">
        <f aca="false">IF('RAW KVMC'!B347="","",'RAW KVMC'!B347)</f>
        <v>CB Operations</v>
      </c>
      <c r="G350" s="49" t="n">
        <f aca="false">IF('RAW KVMC'!C347="","",'RAW KVMC'!C347)</f>
        <v>46081</v>
      </c>
      <c r="H350" s="48" t="str">
        <f aca="false">IF('RAW KVMC'!D347="","",'RAW KVMC'!D347)</f>
        <v>CB Manager</v>
      </c>
      <c r="I350" s="48" t="n">
        <f aca="false">IF('RAW KVMC'!E347="","",'RAW KVMC'!E347)</f>
        <v>73.75</v>
      </c>
      <c r="J350" s="48" t="n">
        <f aca="false">IF('RAW KVMC'!F347="","",'RAW KVMC'!F347)</f>
        <v>0</v>
      </c>
      <c r="K350" s="50" t="n">
        <f aca="false">IF('RAW KVMC'!G347="","",'RAW KVMC'!G347)</f>
        <v>1010</v>
      </c>
      <c r="L350" s="50" t="n">
        <f aca="false">IF('RAW KVMC'!H347="","",'RAW KVMC'!H347)</f>
        <v>0</v>
      </c>
      <c r="M350" s="48" t="str">
        <f aca="false">IF('RAW KVMC'!I347="","",'RAW KVMC'!I347)</f>
        <v/>
      </c>
    </row>
    <row r="351" customFormat="false" ht="15" hidden="false" customHeight="false" outlineLevel="0" collapsed="false">
      <c r="A351" s="1" t="s">
        <v>1495</v>
      </c>
      <c r="B351" s="1" t="s">
        <v>154</v>
      </c>
      <c r="C351" s="1" t="s">
        <v>1145</v>
      </c>
      <c r="D351" s="1" t="n">
        <v>348</v>
      </c>
      <c r="E351" s="48" t="str">
        <f aca="false">IF('RAW KVMC'!A348="","",'RAW KVMC'!A348)</f>
        <v>Interpreter Services for Community Clinics</v>
      </c>
      <c r="F351" s="48" t="str">
        <f aca="false">IF('RAW KVMC'!B348="","",'RAW KVMC'!B348)</f>
        <v>Health Care Support Services</v>
      </c>
      <c r="G351" s="49" t="n">
        <f aca="false">IF('RAW KVMC'!C348="","",'RAW KVMC'!C348)</f>
        <v>46081</v>
      </c>
      <c r="H351" s="48" t="str">
        <f aca="false">IF('RAW KVMC'!D348="","",'RAW KVMC'!D348)</f>
        <v>Spanish Interpreter</v>
      </c>
      <c r="I351" s="48" t="n">
        <f aca="false">IF('RAW KVMC'!E348="","",'RAW KVMC'!E348)</f>
        <v>70.5</v>
      </c>
      <c r="J351" s="48" t="n">
        <f aca="false">IF('RAW KVMC'!F348="","",'RAW KVMC'!F348)</f>
        <v>192</v>
      </c>
      <c r="K351" s="50" t="n">
        <f aca="false">IF('RAW KVMC'!G348="","",'RAW KVMC'!G348)</f>
        <v>0</v>
      </c>
      <c r="L351" s="50" t="n">
        <f aca="false">IF('RAW KVMC'!H348="","",'RAW KVMC'!H348)</f>
        <v>0</v>
      </c>
      <c r="M351" s="48" t="str">
        <f aca="false">IF('RAW KVMC'!I348="","",'RAW KVMC'!I348)</f>
        <v/>
      </c>
    </row>
    <row r="352" customFormat="false" ht="15" hidden="false" customHeight="false" outlineLevel="0" collapsed="false">
      <c r="A352" s="1" t="s">
        <v>1496</v>
      </c>
      <c r="B352" s="1" t="s">
        <v>154</v>
      </c>
      <c r="C352" s="1" t="s">
        <v>1145</v>
      </c>
      <c r="D352" s="1" t="n">
        <v>349</v>
      </c>
      <c r="E352" s="48" t="str">
        <f aca="false">IF('RAW KVMC'!A349="","",'RAW KVMC'!A349)</f>
        <v>Nursing Student Clinical Rotations</v>
      </c>
      <c r="F352" s="48" t="str">
        <f aca="false">IF('RAW KVMC'!B349="","",'RAW KVMC'!B349)</f>
        <v>Health Professions Education</v>
      </c>
      <c r="G352" s="49" t="n">
        <f aca="false">IF('RAW KVMC'!C349="","",'RAW KVMC'!C349)</f>
        <v>46081</v>
      </c>
      <c r="H352" s="48" t="str">
        <f aca="false">IF('RAW KVMC'!D349="","",'RAW KVMC'!D349)</f>
        <v>Clinical Nurse Educator</v>
      </c>
      <c r="I352" s="48" t="n">
        <f aca="false">IF('RAW KVMC'!E349="","",'RAW KVMC'!E349)</f>
        <v>169.75</v>
      </c>
      <c r="J352" s="48" t="n">
        <f aca="false">IF('RAW KVMC'!F349="","",'RAW KVMC'!F349)</f>
        <v>23</v>
      </c>
      <c r="K352" s="50" t="n">
        <f aca="false">IF('RAW KVMC'!G349="","",'RAW KVMC'!G349)</f>
        <v>1390</v>
      </c>
      <c r="L352" s="50" t="n">
        <f aca="false">IF('RAW KVMC'!H349="","",'RAW KVMC'!H349)</f>
        <v>0</v>
      </c>
      <c r="M352" s="48" t="str">
        <f aca="false">IF('RAW KVMC'!I349="","",'RAW KVMC'!I349)</f>
        <v/>
      </c>
    </row>
    <row r="353" customFormat="false" ht="15" hidden="false" customHeight="false" outlineLevel="0" collapsed="false">
      <c r="A353" s="1" t="s">
        <v>1497</v>
      </c>
      <c r="B353" s="1" t="s">
        <v>154</v>
      </c>
      <c r="C353" s="1" t="s">
        <v>1145</v>
      </c>
      <c r="D353" s="1" t="n">
        <v>350</v>
      </c>
      <c r="E353" s="48" t="str">
        <f aca="false">IF('RAW KVMC'!A350="","",'RAW KVMC'!A350)</f>
        <v>Nursing Student Clinical Rotations</v>
      </c>
      <c r="F353" s="48" t="str">
        <f aca="false">IF('RAW KVMC'!B350="","",'RAW KVMC'!B350)</f>
        <v>Health Professions Education</v>
      </c>
      <c r="G353" s="49" t="n">
        <f aca="false">IF('RAW KVMC'!C350="","",'RAW KVMC'!C350)</f>
        <v>46081</v>
      </c>
      <c r="H353" s="48" t="str">
        <f aca="false">IF('RAW KVMC'!D350="","",'RAW KVMC'!D350)</f>
        <v>Registered Nurse</v>
      </c>
      <c r="I353" s="48" t="n">
        <f aca="false">IF('RAW KVMC'!E350="","",'RAW KVMC'!E350)</f>
        <v>229.25</v>
      </c>
      <c r="J353" s="48" t="n">
        <f aca="false">IF('RAW KVMC'!F350="","",'RAW KVMC'!F350)</f>
        <v>0</v>
      </c>
      <c r="K353" s="50" t="n">
        <f aca="false">IF('RAW KVMC'!G350="","",'RAW KVMC'!G350)</f>
        <v>0</v>
      </c>
      <c r="L353" s="50" t="n">
        <f aca="false">IF('RAW KVMC'!H350="","",'RAW KVMC'!H350)</f>
        <v>0</v>
      </c>
      <c r="M353" s="48" t="str">
        <f aca="false">IF('RAW KVMC'!I350="","",'RAW KVMC'!I350)</f>
        <v/>
      </c>
    </row>
    <row r="354" customFormat="false" ht="15" hidden="false" customHeight="false" outlineLevel="0" collapsed="false">
      <c r="A354" s="1" t="s">
        <v>1498</v>
      </c>
      <c r="B354" s="1" t="s">
        <v>154</v>
      </c>
      <c r="C354" s="1" t="s">
        <v>1145</v>
      </c>
      <c r="D354" s="1" t="n">
        <v>351</v>
      </c>
      <c r="E354" s="48" t="str">
        <f aca="false">IF('RAW KVMC'!A351="","",'RAW KVMC'!A351)</f>
        <v>Family Medicine Residency Program</v>
      </c>
      <c r="F354" s="48" t="str">
        <f aca="false">IF('RAW KVMC'!B351="","",'RAW KVMC'!B351)</f>
        <v>Health Professions Education</v>
      </c>
      <c r="G354" s="49" t="n">
        <f aca="false">IF('RAW KVMC'!C351="","",'RAW KVMC'!C351)</f>
        <v>46081</v>
      </c>
      <c r="H354" s="48" t="str">
        <f aca="false">IF('RAW KVMC'!D351="","",'RAW KVMC'!D351)</f>
        <v> Staff Physician</v>
      </c>
      <c r="I354" s="48" t="n">
        <f aca="false">IF('RAW KVMC'!E351="","",'RAW KVMC'!E351)</f>
        <v>410.75</v>
      </c>
      <c r="J354" s="48" t="n">
        <f aca="false">IF('RAW KVMC'!F351="","",'RAW KVMC'!F351)</f>
        <v>0</v>
      </c>
      <c r="K354" s="50" t="n">
        <f aca="false">IF('RAW KVMC'!G351="","",'RAW KVMC'!G351)</f>
        <v>39660</v>
      </c>
      <c r="L354" s="50" t="n">
        <f aca="false">IF('RAW KVMC'!H351="","",'RAW KVMC'!H351)</f>
        <v>169175</v>
      </c>
      <c r="M354" s="48" t="str">
        <f aca="false">IF('RAW KVMC'!I351="","",'RAW KVMC'!I351)</f>
        <v/>
      </c>
    </row>
    <row r="355" customFormat="false" ht="15" hidden="false" customHeight="false" outlineLevel="0" collapsed="false">
      <c r="A355" s="1" t="s">
        <v>1499</v>
      </c>
      <c r="B355" s="1" t="s">
        <v>154</v>
      </c>
      <c r="C355" s="1" t="s">
        <v>1145</v>
      </c>
      <c r="D355" s="1" t="n">
        <v>352</v>
      </c>
      <c r="E355" s="48" t="str">
        <f aca="false">IF('RAW KVMC'!A352="","",'RAW KVMC'!A352)</f>
        <v>Family Medicine Residency Program</v>
      </c>
      <c r="F355" s="48" t="str">
        <f aca="false">IF('RAW KVMC'!B352="","",'RAW KVMC'!B352)</f>
        <v>Health Professions Education</v>
      </c>
      <c r="G355" s="49" t="n">
        <f aca="false">IF('RAW KVMC'!C352="","",'RAW KVMC'!C352)</f>
        <v>46081</v>
      </c>
      <c r="H355" s="48" t="str">
        <f aca="false">IF('RAW KVMC'!D352="","",'RAW KVMC'!D352)</f>
        <v>Residency Coordinator</v>
      </c>
      <c r="I355" s="48" t="n">
        <f aca="false">IF('RAW KVMC'!E352="","",'RAW KVMC'!E352)</f>
        <v>174.25</v>
      </c>
      <c r="J355" s="48" t="n">
        <f aca="false">IF('RAW KVMC'!F352="","",'RAW KVMC'!F352)</f>
        <v>0</v>
      </c>
      <c r="K355" s="50" t="n">
        <f aca="false">IF('RAW KVMC'!G352="","",'RAW KVMC'!G352)</f>
        <v>0</v>
      </c>
      <c r="L355" s="50" t="n">
        <f aca="false">IF('RAW KVMC'!H352="","",'RAW KVMC'!H352)</f>
        <v>0</v>
      </c>
      <c r="M355" s="48" t="str">
        <f aca="false">IF('RAW KVMC'!I352="","",'RAW KVMC'!I352)</f>
        <v/>
      </c>
    </row>
    <row r="356" customFormat="false" ht="15" hidden="false" customHeight="false" outlineLevel="0" collapsed="false">
      <c r="A356" s="1" t="s">
        <v>1500</v>
      </c>
      <c r="B356" s="1" t="s">
        <v>154</v>
      </c>
      <c r="C356" s="1" t="s">
        <v>1145</v>
      </c>
      <c r="D356" s="1" t="n">
        <v>353</v>
      </c>
      <c r="E356" s="48" t="str">
        <f aca="false">IF('RAW KVMC'!A353="","",'RAW KVMC'!A353)</f>
        <v>Family Medicine Residency Program</v>
      </c>
      <c r="F356" s="48" t="str">
        <f aca="false">IF('RAW KVMC'!B353="","",'RAW KVMC'!B353)</f>
        <v>Health Professions Education</v>
      </c>
      <c r="G356" s="49" t="n">
        <f aca="false">IF('RAW KVMC'!C353="","",'RAW KVMC'!C353)</f>
        <v>46081</v>
      </c>
      <c r="H356" s="48" t="str">
        <f aca="false">IF('RAW KVMC'!D353="","",'RAW KVMC'!D353)</f>
        <v> resident</v>
      </c>
      <c r="I356" s="48" t="n">
        <f aca="false">IF('RAW KVMC'!E353="","",'RAW KVMC'!E353)</f>
        <v>4104</v>
      </c>
      <c r="J356" s="48" t="n">
        <f aca="false">IF('RAW KVMC'!F353="","",'RAW KVMC'!F353)</f>
        <v>0</v>
      </c>
      <c r="K356" s="50" t="n">
        <f aca="false">IF('RAW KVMC'!G353="","",'RAW KVMC'!G353)</f>
        <v>0</v>
      </c>
      <c r="L356" s="50" t="n">
        <f aca="false">IF('RAW KVMC'!H353="","",'RAW KVMC'!H353)</f>
        <v>0</v>
      </c>
      <c r="M356" s="48" t="str">
        <f aca="false">IF('RAW KVMC'!I353="","",'RAW KVMC'!I353)</f>
        <v/>
      </c>
    </row>
    <row r="357" customFormat="false" ht="15" hidden="false" customHeight="false" outlineLevel="0" collapsed="false">
      <c r="A357" s="1" t="s">
        <v>1501</v>
      </c>
      <c r="B357" s="1" t="s">
        <v>154</v>
      </c>
      <c r="C357" s="1" t="s">
        <v>1145</v>
      </c>
      <c r="D357" s="1" t="n">
        <v>354</v>
      </c>
      <c r="E357" s="48" t="str">
        <f aca="false">IF('RAW KVMC'!A354="","",'RAW KVMC'!A354)</f>
        <v>Pharmacy Student Rotations</v>
      </c>
      <c r="F357" s="48" t="str">
        <f aca="false">IF('RAW KVMC'!B354="","",'RAW KVMC'!B354)</f>
        <v>Health Professions Education</v>
      </c>
      <c r="G357" s="49" t="n">
        <f aca="false">IF('RAW KVMC'!C354="","",'RAW KVMC'!C354)</f>
        <v>46081</v>
      </c>
      <c r="H357" s="48" t="str">
        <f aca="false">IF('RAW KVMC'!D354="","",'RAW KVMC'!D354)</f>
        <v>Pharmacist</v>
      </c>
      <c r="I357" s="48" t="n">
        <f aca="false">IF('RAW KVMC'!E354="","",'RAW KVMC'!E354)</f>
        <v>86.75</v>
      </c>
      <c r="J357" s="48" t="n">
        <f aca="false">IF('RAW KVMC'!F354="","",'RAW KVMC'!F354)</f>
        <v>4</v>
      </c>
      <c r="K357" s="50" t="n">
        <f aca="false">IF('RAW KVMC'!G354="","",'RAW KVMC'!G354)</f>
        <v>40</v>
      </c>
      <c r="L357" s="50" t="n">
        <f aca="false">IF('RAW KVMC'!H354="","",'RAW KVMC'!H354)</f>
        <v>0</v>
      </c>
      <c r="M357" s="48" t="str">
        <f aca="false">IF('RAW KVMC'!I354="","",'RAW KVMC'!I354)</f>
        <v/>
      </c>
    </row>
    <row r="358" customFormat="false" ht="15" hidden="false" customHeight="false" outlineLevel="0" collapsed="false">
      <c r="A358" s="1" t="s">
        <v>1502</v>
      </c>
      <c r="B358" s="1" t="s">
        <v>154</v>
      </c>
      <c r="C358" s="1" t="s">
        <v>1145</v>
      </c>
      <c r="D358" s="1" t="n">
        <v>355</v>
      </c>
      <c r="E358" s="48" t="str">
        <f aca="false">IF('RAW KVMC'!A355="","",'RAW KVMC'!A355)</f>
        <v>Community Hypertension Control Study</v>
      </c>
      <c r="F358" s="48" t="str">
        <f aca="false">IF('RAW KVMC'!B355="","",'RAW KVMC'!B355)</f>
        <v>Research</v>
      </c>
      <c r="G358" s="49" t="n">
        <f aca="false">IF('RAW KVMC'!C355="","",'RAW KVMC'!C355)</f>
        <v>46081</v>
      </c>
      <c r="H358" s="48" t="str">
        <f aca="false">IF('RAW KVMC'!D355="","",'RAW KVMC'!D355)</f>
        <v>Data Analyst</v>
      </c>
      <c r="I358" s="48" t="n">
        <f aca="false">IF('RAW KVMC'!E355="","",'RAW KVMC'!E355)</f>
        <v>59.75</v>
      </c>
      <c r="J358" s="48" t="n">
        <f aca="false">IF('RAW KVMC'!F355="","",'RAW KVMC'!F355)</f>
        <v>0</v>
      </c>
      <c r="K358" s="50" t="n">
        <f aca="false">IF('RAW KVMC'!G355="","",'RAW KVMC'!G355)</f>
        <v>0</v>
      </c>
      <c r="L358" s="50" t="n">
        <f aca="false">IF('RAW KVMC'!H355="","",'RAW KVMC'!H355)</f>
        <v>0</v>
      </c>
      <c r="M358" s="48" t="str">
        <f aca="false">IF('RAW KVMC'!I355="","",'RAW KVMC'!I355)</f>
        <v/>
      </c>
    </row>
    <row r="359" customFormat="false" ht="15" hidden="false" customHeight="false" outlineLevel="0" collapsed="false">
      <c r="A359" s="1" t="s">
        <v>1503</v>
      </c>
      <c r="B359" s="1" t="s">
        <v>154</v>
      </c>
      <c r="C359" s="1" t="s">
        <v>1145</v>
      </c>
      <c r="D359" s="1" t="n">
        <v>356</v>
      </c>
      <c r="E359" s="48" t="str">
        <f aca="false">IF('RAW KVMC'!A356="","",'RAW KVMC'!A356)</f>
        <v>Community Hypertension Control Study</v>
      </c>
      <c r="F359" s="48" t="str">
        <f aca="false">IF('RAW KVMC'!B356="","",'RAW KVMC'!B356)</f>
        <v>Research</v>
      </c>
      <c r="G359" s="49" t="n">
        <f aca="false">IF('RAW KVMC'!C356="","",'RAW KVMC'!C356)</f>
        <v>46081</v>
      </c>
      <c r="H359" s="48" t="str">
        <f aca="false">IF('RAW KVMC'!D356="","",'RAW KVMC'!D356)</f>
        <v>Physician</v>
      </c>
      <c r="I359" s="48" t="n">
        <f aca="false">IF('RAW KVMC'!E356="","",'RAW KVMC'!E356)</f>
        <v>21.75</v>
      </c>
      <c r="J359" s="48" t="n">
        <f aca="false">IF('RAW KVMC'!F356="","",'RAW KVMC'!F356)</f>
        <v>0</v>
      </c>
      <c r="K359" s="50" t="n">
        <f aca="false">IF('RAW KVMC'!G356="","",'RAW KVMC'!G356)</f>
        <v>0</v>
      </c>
      <c r="L359" s="50" t="n">
        <f aca="false">IF('RAW KVMC'!H356="","",'RAW KVMC'!H356)</f>
        <v>0</v>
      </c>
      <c r="M359" s="48" t="str">
        <f aca="false">IF('RAW KVMC'!I356="","",'RAW KVMC'!I356)</f>
        <v/>
      </c>
    </row>
    <row r="360" customFormat="false" ht="15" hidden="false" customHeight="false" outlineLevel="0" collapsed="false">
      <c r="A360" s="1" t="s">
        <v>1504</v>
      </c>
      <c r="B360" s="1" t="s">
        <v>154</v>
      </c>
      <c r="C360" s="1" t="s">
        <v>1145</v>
      </c>
      <c r="D360" s="1" t="n">
        <v>357</v>
      </c>
      <c r="E360" s="48" t="str">
        <f aca="false">IF('RAW KVMC'!A357="","",'RAW KVMC'!A357)</f>
        <v>Community Hypertension Control Study</v>
      </c>
      <c r="F360" s="48" t="str">
        <f aca="false">IF('RAW KVMC'!B357="","",'RAW KVMC'!B357)</f>
        <v>Research</v>
      </c>
      <c r="G360" s="49" t="n">
        <f aca="false">IF('RAW KVMC'!C357="","",'RAW KVMC'!C357)</f>
        <v>46081</v>
      </c>
      <c r="H360" s="48" t="str">
        <f aca="false">IF('RAW KVMC'!D357="","",'RAW KVMC'!D357)</f>
        <v>Research Coordinator</v>
      </c>
      <c r="I360" s="48" t="n">
        <f aca="false">IF('RAW KVMC'!E357="","",'RAW KVMC'!E357)</f>
        <v>189.5</v>
      </c>
      <c r="J360" s="48" t="n">
        <f aca="false">IF('RAW KVMC'!F357="","",'RAW KVMC'!F357)</f>
        <v>79</v>
      </c>
      <c r="K360" s="50" t="n">
        <f aca="false">IF('RAW KVMC'!G357="","",'RAW KVMC'!G357)</f>
        <v>7300</v>
      </c>
      <c r="L360" s="50" t="n">
        <f aca="false">IF('RAW KVMC'!H357="","",'RAW KVMC'!H357)</f>
        <v>9695</v>
      </c>
      <c r="M360" s="48" t="str">
        <f aca="false">IF('RAW KVMC'!I357="","",'RAW KVMC'!I357)</f>
        <v/>
      </c>
    </row>
    <row r="361" customFormat="false" ht="15" hidden="false" customHeight="false" outlineLevel="0" collapsed="false">
      <c r="A361" s="1" t="s">
        <v>1505</v>
      </c>
      <c r="B361" s="1" t="s">
        <v>154</v>
      </c>
      <c r="C361" s="1" t="s">
        <v>1145</v>
      </c>
      <c r="D361" s="1" t="n">
        <v>358</v>
      </c>
      <c r="E361" s="48" t="str">
        <f aca="false">IF('RAW KVMC'!A358="","",'RAW KVMC'!A358)</f>
        <v>Grief Support Group</v>
      </c>
      <c r="F361" s="48" t="str">
        <f aca="false">IF('RAW KVMC'!B358="","",'RAW KVMC'!B358)</f>
        <v>Health Care Support Services</v>
      </c>
      <c r="G361" s="49" t="n">
        <f aca="false">IF('RAW KVMC'!C358="","",'RAW KVMC'!C358)</f>
        <v>46083</v>
      </c>
      <c r="H361" s="48" t="str">
        <f aca="false">IF('RAW KVMC'!D358="","",'RAW KVMC'!D358)</f>
        <v>Pastoral Care</v>
      </c>
      <c r="I361" s="48" t="n">
        <f aca="false">IF('RAW KVMC'!E358="","",'RAW KVMC'!E358)</f>
        <v>2</v>
      </c>
      <c r="J361" s="48" t="n">
        <f aca="false">IF('RAW KVMC'!F358="","",'RAW KVMC'!F358)</f>
        <v>18</v>
      </c>
      <c r="K361" s="50" t="n">
        <f aca="false">IF('RAW KVMC'!G358="","",'RAW KVMC'!G358)</f>
        <v>45</v>
      </c>
      <c r="L361" s="50" t="n">
        <f aca="false">IF('RAW KVMC'!H358="","",'RAW KVMC'!H358)</f>
        <v>0</v>
      </c>
      <c r="M361" s="48" t="str">
        <f aca="false">IF('RAW KVMC'!I358="","",'RAW KVMC'!I358)</f>
        <v/>
      </c>
    </row>
    <row r="362" customFormat="false" ht="15" hidden="false" customHeight="false" outlineLevel="0" collapsed="false">
      <c r="A362" s="1" t="s">
        <v>1506</v>
      </c>
      <c r="B362" s="1" t="s">
        <v>154</v>
      </c>
      <c r="C362" s="1" t="s">
        <v>1145</v>
      </c>
      <c r="D362" s="1" t="n">
        <v>359</v>
      </c>
      <c r="E362" s="48" t="str">
        <f aca="false">IF('RAW KVMC'!A359="","",'RAW KVMC'!A359)</f>
        <v>Grief Support Group</v>
      </c>
      <c r="F362" s="48" t="str">
        <f aca="false">IF('RAW KVMC'!B359="","",'RAW KVMC'!B359)</f>
        <v>Health Care Support Services</v>
      </c>
      <c r="G362" s="49" t="n">
        <f aca="false">IF('RAW KVMC'!C359="","",'RAW KVMC'!C359)</f>
        <v>46083</v>
      </c>
      <c r="H362" s="48" t="str">
        <f aca="false">IF('RAW KVMC'!D359="","",'RAW KVMC'!D359)</f>
        <v>LMSW</v>
      </c>
      <c r="I362" s="48" t="n">
        <f aca="false">IF('RAW KVMC'!E359="","",'RAW KVMC'!E359)</f>
        <v>1.75</v>
      </c>
      <c r="J362" s="48" t="n">
        <f aca="false">IF('RAW KVMC'!F359="","",'RAW KVMC'!F359)</f>
        <v>0</v>
      </c>
      <c r="K362" s="50" t="n">
        <f aca="false">IF('RAW KVMC'!G359="","",'RAW KVMC'!G359)</f>
        <v>0</v>
      </c>
      <c r="L362" s="50" t="n">
        <f aca="false">IF('RAW KVMC'!H359="","",'RAW KVMC'!H359)</f>
        <v>0</v>
      </c>
      <c r="M362" s="48" t="str">
        <f aca="false">IF('RAW KVMC'!I359="","",'RAW KVMC'!I359)</f>
        <v/>
      </c>
    </row>
    <row r="363" customFormat="false" ht="15" hidden="false" customHeight="false" outlineLevel="0" collapsed="false">
      <c r="A363" s="1" t="s">
        <v>1507</v>
      </c>
      <c r="B363" s="1" t="s">
        <v>154</v>
      </c>
      <c r="C363" s="1" t="s">
        <v>1145</v>
      </c>
      <c r="D363" s="1" t="n">
        <v>360</v>
      </c>
      <c r="E363" s="48" t="str">
        <f aca="false">IF('RAW KVMC'!A360="","",'RAW KVMC'!A360)</f>
        <v>Regional Health Coalition</v>
      </c>
      <c r="F363" s="48" t="str">
        <f aca="false">IF('RAW KVMC'!B360="","",'RAW KVMC'!B360)</f>
        <v>Community Building - Coalition</v>
      </c>
      <c r="G363" s="49" t="n">
        <f aca="false">IF('RAW KVMC'!C360="","",'RAW KVMC'!C360)</f>
        <v>46084</v>
      </c>
      <c r="H363" s="48" t="str">
        <f aca="false">IF('RAW KVMC'!D360="","",'RAW KVMC'!D360)</f>
        <v>Community Benefit Mgr</v>
      </c>
      <c r="I363" s="48" t="n">
        <f aca="false">IF('RAW KVMC'!E360="","",'RAW KVMC'!E360)</f>
        <v>2.25</v>
      </c>
      <c r="J363" s="48" t="n">
        <f aca="false">IF('RAW KVMC'!F360="","",'RAW KVMC'!F360)</f>
        <v>0</v>
      </c>
      <c r="K363" s="50" t="n">
        <f aca="false">IF('RAW KVMC'!G360="","",'RAW KVMC'!G360)</f>
        <v>0</v>
      </c>
      <c r="L363" s="50" t="n">
        <f aca="false">IF('RAW KVMC'!H360="","",'RAW KVMC'!H360)</f>
        <v>0</v>
      </c>
      <c r="M363" s="48" t="str">
        <f aca="false">IF('RAW KVMC'!I360="","",'RAW KVMC'!I360)</f>
        <v/>
      </c>
    </row>
    <row r="364" customFormat="false" ht="15" hidden="false" customHeight="false" outlineLevel="0" collapsed="false">
      <c r="A364" s="1" t="s">
        <v>1508</v>
      </c>
      <c r="B364" s="1" t="s">
        <v>154</v>
      </c>
      <c r="C364" s="1" t="s">
        <v>1145</v>
      </c>
      <c r="D364" s="1" t="n">
        <v>361</v>
      </c>
      <c r="E364" s="48" t="str">
        <f aca="false">IF('RAW KVMC'!A361="","",'RAW KVMC'!A361)</f>
        <v>Regional Health Coalition</v>
      </c>
      <c r="F364" s="48" t="str">
        <f aca="false">IF('RAW KVMC'!B361="","",'RAW KVMC'!B361)</f>
        <v>Community Building - Coalition</v>
      </c>
      <c r="G364" s="49" t="n">
        <f aca="false">IF('RAW KVMC'!C361="","",'RAW KVMC'!C361)</f>
        <v>46084</v>
      </c>
      <c r="H364" s="48" t="str">
        <f aca="false">IF('RAW KVMC'!D361="","",'RAW KVMC'!D361)</f>
        <v>Dir.</v>
      </c>
      <c r="I364" s="48" t="n">
        <f aca="false">IF('RAW KVMC'!E361="","",'RAW KVMC'!E361)</f>
        <v>2.5</v>
      </c>
      <c r="J364" s="48" t="n">
        <f aca="false">IF('RAW KVMC'!F361="","",'RAW KVMC'!F361)</f>
        <v>0</v>
      </c>
      <c r="K364" s="50" t="n">
        <f aca="false">IF('RAW KVMC'!G361="","",'RAW KVMC'!G361)</f>
        <v>80</v>
      </c>
      <c r="L364" s="50" t="n">
        <f aca="false">IF('RAW KVMC'!H361="","",'RAW KVMC'!H361)</f>
        <v>0</v>
      </c>
      <c r="M364" s="48" t="str">
        <f aca="false">IF('RAW KVMC'!I361="","",'RAW KVMC'!I361)</f>
        <v/>
      </c>
    </row>
    <row r="365" customFormat="false" ht="15" hidden="false" customHeight="false" outlineLevel="0" collapsed="false">
      <c r="A365" s="1" t="s">
        <v>1509</v>
      </c>
      <c r="B365" s="1" t="s">
        <v>154</v>
      </c>
      <c r="C365" s="1" t="s">
        <v>1145</v>
      </c>
      <c r="D365" s="1" t="n">
        <v>362</v>
      </c>
      <c r="E365" s="48" t="str">
        <f aca="false">IF('RAW KVMC'!A362="","",'RAW KVMC'!A362)</f>
        <v>Naloxone Training and Distribution</v>
      </c>
      <c r="F365" s="48" t="str">
        <f aca="false">IF('RAW KVMC'!B362="","",'RAW KVMC'!B362)</f>
        <v>Community Health Education</v>
      </c>
      <c r="G365" s="49" t="n">
        <f aca="false">IF('RAW KVMC'!C362="","",'RAW KVMC'!C362)</f>
        <v>46085</v>
      </c>
      <c r="H365" s="48" t="str">
        <f aca="false">IF('RAW KVMC'!D362="","",'RAW KVMC'!D362)</f>
        <v>Health Ed</v>
      </c>
      <c r="I365" s="48" t="n">
        <f aca="false">IF('RAW KVMC'!E362="","",'RAW KVMC'!E362)</f>
        <v>2.5</v>
      </c>
      <c r="J365" s="48" t="n">
        <f aca="false">IF('RAW KVMC'!F362="","",'RAW KVMC'!F362)</f>
        <v>0</v>
      </c>
      <c r="K365" s="50" t="n">
        <f aca="false">IF('RAW KVMC'!G362="","",'RAW KVMC'!G362)</f>
        <v>0</v>
      </c>
      <c r="L365" s="50" t="n">
        <f aca="false">IF('RAW KVMC'!H362="","",'RAW KVMC'!H362)</f>
        <v>0</v>
      </c>
      <c r="M365" s="48" t="str">
        <f aca="false">IF('RAW KVMC'!I362="","",'RAW KVMC'!I362)</f>
        <v/>
      </c>
    </row>
    <row r="366" customFormat="false" ht="15" hidden="false" customHeight="false" outlineLevel="0" collapsed="false">
      <c r="A366" s="1" t="s">
        <v>1510</v>
      </c>
      <c r="B366" s="1" t="s">
        <v>154</v>
      </c>
      <c r="C366" s="1" t="s">
        <v>1145</v>
      </c>
      <c r="D366" s="1" t="n">
        <v>363</v>
      </c>
      <c r="E366" s="48" t="str">
        <f aca="false">IF('RAW KVMC'!A363="","",'RAW KVMC'!A363)</f>
        <v>Naloxone Training and Distribution</v>
      </c>
      <c r="F366" s="48" t="str">
        <f aca="false">IF('RAW KVMC'!B363="","",'RAW KVMC'!B363)</f>
        <v>Community Health Education</v>
      </c>
      <c r="G366" s="49" t="n">
        <f aca="false">IF('RAW KVMC'!C363="","",'RAW KVMC'!C363)</f>
        <v>46085</v>
      </c>
      <c r="H366" s="48" t="str">
        <f aca="false">IF('RAW KVMC'!D363="","",'RAW KVMC'!D363)</f>
        <v>Pharm.D.</v>
      </c>
      <c r="I366" s="48" t="n">
        <f aca="false">IF('RAW KVMC'!E363="","",'RAW KVMC'!E363)</f>
        <v>3</v>
      </c>
      <c r="J366" s="48" t="n">
        <f aca="false">IF('RAW KVMC'!F363="","",'RAW KVMC'!F363)</f>
        <v>26</v>
      </c>
      <c r="K366" s="50" t="n">
        <f aca="false">IF('RAW KVMC'!G363="","",'RAW KVMC'!G363)</f>
        <v>2500</v>
      </c>
      <c r="L366" s="50" t="n">
        <f aca="false">IF('RAW KVMC'!H363="","",'RAW KVMC'!H363)</f>
        <v>1670</v>
      </c>
      <c r="M366" s="48" t="str">
        <f aca="false">IF('RAW KVMC'!I363="","",'RAW KVMC'!I363)</f>
        <v/>
      </c>
    </row>
    <row r="367" customFormat="false" ht="15" hidden="false" customHeight="false" outlineLevel="0" collapsed="false">
      <c r="A367" s="1" t="s">
        <v>1511</v>
      </c>
      <c r="B367" s="1" t="s">
        <v>154</v>
      </c>
      <c r="C367" s="1" t="s">
        <v>1145</v>
      </c>
      <c r="D367" s="1" t="n">
        <v>364</v>
      </c>
      <c r="E367" s="48" t="str">
        <f aca="false">IF('RAW KVMC'!A364="","",'RAW KVMC'!A364)</f>
        <v>Youth Health Careers Pathway</v>
      </c>
      <c r="F367" s="48" t="str">
        <f aca="false">IF('RAW KVMC'!B364="","",'RAW KVMC'!B364)</f>
        <v>Community Building - Workforce</v>
      </c>
      <c r="G367" s="49" t="n">
        <f aca="false">IF('RAW KVMC'!C364="","",'RAW KVMC'!C364)</f>
        <v>46085</v>
      </c>
      <c r="H367" s="48" t="str">
        <f aca="false">IF('RAW KVMC'!D364="","",'RAW KVMC'!D364)</f>
        <v>Clin Educator</v>
      </c>
      <c r="I367" s="48" t="n">
        <f aca="false">IF('RAW KVMC'!E364="","",'RAW KVMC'!E364)</f>
        <v>4.75</v>
      </c>
      <c r="J367" s="48" t="n">
        <f aca="false">IF('RAW KVMC'!F364="","",'RAW KVMC'!F364)</f>
        <v>0</v>
      </c>
      <c r="K367" s="50" t="n">
        <f aca="false">IF('RAW KVMC'!G364="","",'RAW KVMC'!G364)</f>
        <v>0</v>
      </c>
      <c r="L367" s="50" t="n">
        <f aca="false">IF('RAW KVMC'!H364="","",'RAW KVMC'!H364)</f>
        <v>0</v>
      </c>
      <c r="M367" s="48" t="str">
        <f aca="false">IF('RAW KVMC'!I364="","",'RAW KVMC'!I364)</f>
        <v/>
      </c>
    </row>
    <row r="368" customFormat="false" ht="15" hidden="false" customHeight="false" outlineLevel="0" collapsed="false">
      <c r="A368" s="1" t="s">
        <v>1512</v>
      </c>
      <c r="B368" s="1" t="s">
        <v>154</v>
      </c>
      <c r="C368" s="1" t="s">
        <v>1145</v>
      </c>
      <c r="D368" s="1" t="n">
        <v>365</v>
      </c>
      <c r="E368" s="48" t="str">
        <f aca="false">IF('RAW KVMC'!A365="","",'RAW KVMC'!A365)</f>
        <v>Youth Health Careers Pathway</v>
      </c>
      <c r="F368" s="48" t="str">
        <f aca="false">IF('RAW KVMC'!B365="","",'RAW KVMC'!B365)</f>
        <v>Community Building - Workforce</v>
      </c>
      <c r="G368" s="49" t="n">
        <f aca="false">IF('RAW KVMC'!C365="","",'RAW KVMC'!C365)</f>
        <v>46085</v>
      </c>
      <c r="H368" s="48" t="str">
        <f aca="false">IF('RAW KVMC'!D365="","",'RAW KVMC'!D365)</f>
        <v>Outreach Coordinator</v>
      </c>
      <c r="I368" s="48" t="n">
        <f aca="false">IF('RAW KVMC'!E365="","",'RAW KVMC'!E365)</f>
        <v>7.25</v>
      </c>
      <c r="J368" s="48" t="n">
        <f aca="false">IF('RAW KVMC'!F365="","",'RAW KVMC'!F365)</f>
        <v>31</v>
      </c>
      <c r="K368" s="50" t="n">
        <f aca="false">IF('RAW KVMC'!G365="","",'RAW KVMC'!G365)</f>
        <v>510</v>
      </c>
      <c r="L368" s="50" t="n">
        <f aca="false">IF('RAW KVMC'!H365="","",'RAW KVMC'!H365)</f>
        <v>0</v>
      </c>
      <c r="M368" s="48" t="str">
        <f aca="false">IF('RAW KVMC'!I365="","",'RAW KVMC'!I365)</f>
        <v/>
      </c>
    </row>
    <row r="369" customFormat="false" ht="15" hidden="false" customHeight="false" outlineLevel="0" collapsed="false">
      <c r="A369" s="1" t="s">
        <v>1513</v>
      </c>
      <c r="B369" s="1" t="s">
        <v>154</v>
      </c>
      <c r="C369" s="1" t="s">
        <v>1145</v>
      </c>
      <c r="D369" s="1" t="n">
        <v>366</v>
      </c>
      <c r="E369" s="48" t="str">
        <f aca="false">IF('RAW KVMC'!A366="","",'RAW KVMC'!A366)</f>
        <v>Childbirth and Newborn Care Classes</v>
      </c>
      <c r="F369" s="48" t="str">
        <f aca="false">IF('RAW KVMC'!B366="","",'RAW KVMC'!B366)</f>
        <v>Community Health Education</v>
      </c>
      <c r="G369" s="49" t="n">
        <f aca="false">IF('RAW KVMC'!C366="","",'RAW KVMC'!C366)</f>
        <v>46088</v>
      </c>
      <c r="H369" s="48" t="str">
        <f aca="false">IF('RAW KVMC'!D366="","",'RAW KVMC'!D366)</f>
        <v>Preceptor RN</v>
      </c>
      <c r="I369" s="48" t="n">
        <f aca="false">IF('RAW KVMC'!E366="","",'RAW KVMC'!E366)</f>
        <v>3</v>
      </c>
      <c r="J369" s="48" t="n">
        <f aca="false">IF('RAW KVMC'!F366="","",'RAW KVMC'!F366)</f>
        <v>20</v>
      </c>
      <c r="K369" s="50" t="n">
        <f aca="false">IF('RAW KVMC'!G366="","",'RAW KVMC'!G366)</f>
        <v>110</v>
      </c>
      <c r="L369" s="50" t="n">
        <f aca="false">IF('RAW KVMC'!H366="","",'RAW KVMC'!H366)</f>
        <v>400</v>
      </c>
      <c r="M369" s="48" t="str">
        <f aca="false">IF('RAW KVMC'!I366="","",'RAW KVMC'!I366)</f>
        <v/>
      </c>
    </row>
    <row r="370" customFormat="false" ht="15" hidden="false" customHeight="false" outlineLevel="0" collapsed="false">
      <c r="A370" s="1" t="s">
        <v>1514</v>
      </c>
      <c r="B370" s="1" t="s">
        <v>154</v>
      </c>
      <c r="C370" s="1" t="s">
        <v>1145</v>
      </c>
      <c r="D370" s="1" t="n">
        <v>367</v>
      </c>
      <c r="E370" s="48" t="str">
        <f aca="false">IF('RAW KVMC'!A367="","",'RAW KVMC'!A367)</f>
        <v>Tobacco Cessation Classes</v>
      </c>
      <c r="F370" s="48" t="str">
        <f aca="false">IF('RAW KVMC'!B367="","",'RAW KVMC'!B367)</f>
        <v>Community Health Education</v>
      </c>
      <c r="G370" s="49" t="n">
        <f aca="false">IF('RAW KVMC'!C367="","",'RAW KVMC'!C367)</f>
        <v>46093</v>
      </c>
      <c r="H370" s="48" t="str">
        <f aca="false">IF('RAW KVMC'!D367="","",'RAW KVMC'!D367)</f>
        <v>Resp. Therapy</v>
      </c>
      <c r="I370" s="48" t="n">
        <f aca="false">IF('RAW KVMC'!E367="","",'RAW KVMC'!E367)</f>
        <v>2</v>
      </c>
      <c r="J370" s="48" t="n">
        <f aca="false">IF('RAW KVMC'!F367="","",'RAW KVMC'!F367)</f>
        <v>8</v>
      </c>
      <c r="K370" s="50" t="n">
        <f aca="false">IF('RAW KVMC'!G367="","",'RAW KVMC'!G367)</f>
        <v>140</v>
      </c>
      <c r="L370" s="50" t="n">
        <f aca="false">IF('RAW KVMC'!H367="","",'RAW KVMC'!H367)</f>
        <v>0</v>
      </c>
      <c r="M370" s="48" t="str">
        <f aca="false">IF('RAW KVMC'!I367="","",'RAW KVMC'!I367)</f>
        <v/>
      </c>
    </row>
    <row r="371" customFormat="false" ht="15" hidden="false" customHeight="false" outlineLevel="0" collapsed="false">
      <c r="A371" s="1" t="s">
        <v>1515</v>
      </c>
      <c r="B371" s="1" t="s">
        <v>154</v>
      </c>
      <c r="C371" s="1" t="s">
        <v>1145</v>
      </c>
      <c r="D371" s="1" t="n">
        <v>368</v>
      </c>
      <c r="E371" s="48" t="str">
        <f aca="false">IF('RAW KVMC'!A368="","",'RAW KVMC'!A368)</f>
        <v>Grief Support Group</v>
      </c>
      <c r="F371" s="48" t="str">
        <f aca="false">IF('RAW KVMC'!B368="","",'RAW KVMC'!B368)</f>
        <v>Health Care Support Services</v>
      </c>
      <c r="G371" s="49" t="n">
        <f aca="false">IF('RAW KVMC'!C368="","",'RAW KVMC'!C368)</f>
        <v>46094</v>
      </c>
      <c r="H371" s="48" t="str">
        <f aca="false">IF('RAW KVMC'!D368="","",'RAW KVMC'!D368)</f>
        <v>Chaplain</v>
      </c>
      <c r="I371" s="48" t="n">
        <f aca="false">IF('RAW KVMC'!E368="","",'RAW KVMC'!E368)</f>
        <v>2</v>
      </c>
      <c r="J371" s="48" t="n">
        <f aca="false">IF('RAW KVMC'!F368="","",'RAW KVMC'!F368)</f>
        <v>17</v>
      </c>
      <c r="K371" s="50" t="n">
        <f aca="false">IF('RAW KVMC'!G368="","",'RAW KVMC'!G368)</f>
        <v>40</v>
      </c>
      <c r="L371" s="50" t="n">
        <f aca="false">IF('RAW KVMC'!H368="","",'RAW KVMC'!H368)</f>
        <v>0</v>
      </c>
      <c r="M371" s="48" t="str">
        <f aca="false">IF('RAW KVMC'!I368="","",'RAW KVMC'!I368)</f>
        <v/>
      </c>
    </row>
    <row r="372" customFormat="false" ht="15" hidden="false" customHeight="false" outlineLevel="0" collapsed="false">
      <c r="A372" s="1" t="s">
        <v>1516</v>
      </c>
      <c r="B372" s="1" t="s">
        <v>154</v>
      </c>
      <c r="C372" s="1" t="s">
        <v>1145</v>
      </c>
      <c r="D372" s="1" t="n">
        <v>369</v>
      </c>
      <c r="E372" s="48" t="str">
        <f aca="false">IF('RAW KVMC'!A369="","",'RAW KVMC'!A369)</f>
        <v>Grief Support Group</v>
      </c>
      <c r="F372" s="48" t="str">
        <f aca="false">IF('RAW KVMC'!B369="","",'RAW KVMC'!B369)</f>
        <v>Health Care Support Services</v>
      </c>
      <c r="G372" s="49" t="n">
        <f aca="false">IF('RAW KVMC'!C369="","",'RAW KVMC'!C369)</f>
        <v>46094</v>
      </c>
      <c r="H372" s="48" t="str">
        <f aca="false">IF('RAW KVMC'!D369="","",'RAW KVMC'!D369)</f>
        <v>Clinical Social Worker</v>
      </c>
      <c r="I372" s="48" t="n">
        <f aca="false">IF('RAW KVMC'!E369="","",'RAW KVMC'!E369)</f>
        <v>2</v>
      </c>
      <c r="J372" s="48" t="n">
        <f aca="false">IF('RAW KVMC'!F369="","",'RAW KVMC'!F369)</f>
        <v>0</v>
      </c>
      <c r="K372" s="50" t="n">
        <f aca="false">IF('RAW KVMC'!G369="","",'RAW KVMC'!G369)</f>
        <v>0</v>
      </c>
      <c r="L372" s="50" t="n">
        <f aca="false">IF('RAW KVMC'!H369="","",'RAW KVMC'!H369)</f>
        <v>0</v>
      </c>
      <c r="M372" s="48" t="str">
        <f aca="false">IF('RAW KVMC'!I369="","",'RAW KVMC'!I369)</f>
        <v/>
      </c>
    </row>
    <row r="373" customFormat="false" ht="15" hidden="false" customHeight="false" outlineLevel="0" collapsed="false">
      <c r="A373" s="1" t="s">
        <v>1517</v>
      </c>
      <c r="B373" s="1" t="s">
        <v>154</v>
      </c>
      <c r="C373" s="1" t="s">
        <v>1145</v>
      </c>
      <c r="D373" s="1" t="n">
        <v>370</v>
      </c>
      <c r="E373" s="48" t="str">
        <f aca="false">IF('RAW KVMC'!A370="","",'RAW KVMC'!A370)</f>
        <v>Community Emergency Preparedness Drills</v>
      </c>
      <c r="F373" s="48" t="str">
        <f aca="false">IF('RAW KVMC'!B370="","",'RAW KVMC'!B370)</f>
        <v>Community Building - Community Support</v>
      </c>
      <c r="G373" s="49" t="n">
        <f aca="false">IF('RAW KVMC'!C370="","",'RAW KVMC'!C370)</f>
        <v>46101</v>
      </c>
      <c r="H373" s="48" t="str">
        <f aca="false">IF('RAW KVMC'!D370="","",'RAW KVMC'!D370)</f>
        <v>EMS Paramedic</v>
      </c>
      <c r="I373" s="48" t="n">
        <f aca="false">IF('RAW KVMC'!E370="","",'RAW KVMC'!E370)</f>
        <v>6</v>
      </c>
      <c r="J373" s="48" t="n">
        <f aca="false">IF('RAW KVMC'!F370="","",'RAW KVMC'!F370)</f>
        <v>82</v>
      </c>
      <c r="K373" s="50" t="n">
        <f aca="false">IF('RAW KVMC'!G370="","",'RAW KVMC'!G370)</f>
        <v>945</v>
      </c>
      <c r="L373" s="50" t="n">
        <f aca="false">IF('RAW KVMC'!H370="","",'RAW KVMC'!H370)</f>
        <v>0</v>
      </c>
      <c r="M373" s="48" t="str">
        <f aca="false">IF('RAW KVMC'!I370="","",'RAW KVMC'!I370)</f>
        <v/>
      </c>
    </row>
    <row r="374" customFormat="false" ht="15" hidden="false" customHeight="false" outlineLevel="0" collapsed="false">
      <c r="A374" s="1" t="s">
        <v>1518</v>
      </c>
      <c r="B374" s="1" t="s">
        <v>154</v>
      </c>
      <c r="C374" s="1" t="s">
        <v>1145</v>
      </c>
      <c r="D374" s="1" t="n">
        <v>371</v>
      </c>
      <c r="E374" s="48" t="str">
        <f aca="false">IF('RAW KVMC'!A371="","",'RAW KVMC'!A371)</f>
        <v>Community Emergency Preparedness Drills</v>
      </c>
      <c r="F374" s="48" t="str">
        <f aca="false">IF('RAW KVMC'!B371="","",'RAW KVMC'!B371)</f>
        <v>Community Building - Community Support</v>
      </c>
      <c r="G374" s="49" t="n">
        <f aca="false">IF('RAW KVMC'!C371="","",'RAW KVMC'!C371)</f>
        <v>46101</v>
      </c>
      <c r="H374" s="48" t="str">
        <f aca="false">IF('RAW KVMC'!D371="","",'RAW KVMC'!D371)</f>
        <v> Coordinator</v>
      </c>
      <c r="I374" s="48" t="n">
        <f aca="false">IF('RAW KVMC'!E371="","",'RAW KVMC'!E371)</f>
        <v>4.25</v>
      </c>
      <c r="J374" s="48" t="n">
        <f aca="false">IF('RAW KVMC'!F371="","",'RAW KVMC'!F371)</f>
        <v>0</v>
      </c>
      <c r="K374" s="50" t="n">
        <f aca="false">IF('RAW KVMC'!G371="","",'RAW KVMC'!G371)</f>
        <v>0</v>
      </c>
      <c r="L374" s="50" t="n">
        <f aca="false">IF('RAW KVMC'!H371="","",'RAW KVMC'!H371)</f>
        <v>0</v>
      </c>
      <c r="M374" s="48" t="str">
        <f aca="false">IF('RAW KVMC'!I371="","",'RAW KVMC'!I371)</f>
        <v/>
      </c>
    </row>
    <row r="375" customFormat="false" ht="15" hidden="false" customHeight="false" outlineLevel="0" collapsed="false">
      <c r="A375" s="1" t="s">
        <v>1519</v>
      </c>
      <c r="B375" s="1" t="s">
        <v>154</v>
      </c>
      <c r="C375" s="1" t="s">
        <v>1145</v>
      </c>
      <c r="D375" s="1" t="n">
        <v>372</v>
      </c>
      <c r="E375" s="48" t="str">
        <f aca="false">IF('RAW KVMC'!A372="","",'RAW KVMC'!A372)</f>
        <v>Community Emergency Preparedness Drills</v>
      </c>
      <c r="F375" s="48" t="str">
        <f aca="false">IF('RAW KVMC'!B372="","",'RAW KVMC'!B372)</f>
        <v>Community Building - Community Support</v>
      </c>
      <c r="G375" s="49" t="n">
        <f aca="false">IF('RAW KVMC'!C372="","",'RAW KVMC'!C372)</f>
        <v>46101</v>
      </c>
      <c r="H375" s="48" t="str">
        <f aca="false">IF('RAW KVMC'!D372="","",'RAW KVMC'!D372)</f>
        <v>RN - Outreach</v>
      </c>
      <c r="I375" s="48" t="n">
        <f aca="false">IF('RAW KVMC'!E372="","",'RAW KVMC'!E372)</f>
        <v>6</v>
      </c>
      <c r="J375" s="48" t="n">
        <f aca="false">IF('RAW KVMC'!F372="","",'RAW KVMC'!F372)</f>
        <v>0</v>
      </c>
      <c r="K375" s="50" t="n">
        <f aca="false">IF('RAW KVMC'!G372="","",'RAW KVMC'!G372)</f>
        <v>0</v>
      </c>
      <c r="L375" s="50" t="n">
        <f aca="false">IF('RAW KVMC'!H372="","",'RAW KVMC'!H372)</f>
        <v>0</v>
      </c>
      <c r="M375" s="48" t="str">
        <f aca="false">IF('RAW KVMC'!I372="","",'RAW KVMC'!I372)</f>
        <v/>
      </c>
    </row>
    <row r="376" customFormat="false" ht="15" hidden="false" customHeight="false" outlineLevel="0" collapsed="false">
      <c r="A376" s="1" t="s">
        <v>1520</v>
      </c>
      <c r="B376" s="1" t="s">
        <v>154</v>
      </c>
      <c r="C376" s="1" t="s">
        <v>1145</v>
      </c>
      <c r="D376" s="1" t="n">
        <v>373</v>
      </c>
      <c r="E376" s="48" t="str">
        <f aca="false">IF('RAW KVMC'!A373="","",'RAW KVMC'!A373)</f>
        <v>Free Clinic Operating Grant</v>
      </c>
      <c r="F376" s="48" t="str">
        <f aca="false">IF('RAW KVMC'!B373="","",'RAW KVMC'!B373)</f>
        <v>Cash &amp; In-Kind Donations</v>
      </c>
      <c r="G376" s="49" t="n">
        <f aca="false">IF('RAW KVMC'!C373="","",'RAW KVMC'!C373)</f>
        <v>46105</v>
      </c>
      <c r="H376" s="48" t="str">
        <f aca="false">IF('RAW KVMC'!D373="","",'RAW KVMC'!D373)</f>
        <v>n.a.</v>
      </c>
      <c r="I376" s="48" t="n">
        <f aca="false">IF('RAW KVMC'!E373="","",'RAW KVMC'!E373)</f>
        <v>0</v>
      </c>
      <c r="J376" s="48" t="n">
        <f aca="false">IF('RAW KVMC'!F373="","",'RAW KVMC'!F373)</f>
        <v>0</v>
      </c>
      <c r="K376" s="50" t="n">
        <f aca="false">IF('RAW KVMC'!G373="","",'RAW KVMC'!G373)</f>
        <v>102265</v>
      </c>
      <c r="L376" s="50" t="n">
        <f aca="false">IF('RAW KVMC'!H373="","",'RAW KVMC'!H373)</f>
        <v>0</v>
      </c>
      <c r="M376" s="48" t="str">
        <f aca="false">IF('RAW KVMC'!I373="","",'RAW KVMC'!I373)</f>
        <v/>
      </c>
    </row>
    <row r="377" customFormat="false" ht="15" hidden="false" customHeight="false" outlineLevel="0" collapsed="false">
      <c r="A377" s="1" t="s">
        <v>1521</v>
      </c>
      <c r="B377" s="1" t="s">
        <v>154</v>
      </c>
      <c r="C377" s="1" t="s">
        <v>1145</v>
      </c>
      <c r="D377" s="1" t="n">
        <v>374</v>
      </c>
      <c r="E377" s="48" t="str">
        <f aca="false">IF('RAW KVMC'!A374="","",'RAW KVMC'!A374)</f>
        <v>Mobile Health Screening Unit</v>
      </c>
      <c r="F377" s="48" t="str">
        <f aca="false">IF('RAW KVMC'!B374="","",'RAW KVMC'!B374)</f>
        <v>Community-Based Clinical Services</v>
      </c>
      <c r="G377" s="49" t="n">
        <f aca="false">IF('RAW KVMC'!C374="","",'RAW KVMC'!C374)</f>
        <v>46112</v>
      </c>
      <c r="H377" s="48" t="str">
        <f aca="false">IF('RAW KVMC'!D374="","",'RAW KVMC'!D374)</f>
        <v>Community Health Worker</v>
      </c>
      <c r="I377" s="48" t="n">
        <f aca="false">IF('RAW KVMC'!E374="","",'RAW KVMC'!E374)</f>
        <v>87.25</v>
      </c>
      <c r="J377" s="48" t="n">
        <f aca="false">IF('RAW KVMC'!F374="","",'RAW KVMC'!F374)</f>
        <v>0</v>
      </c>
      <c r="K377" s="50" t="n">
        <f aca="false">IF('RAW KVMC'!G374="","",'RAW KVMC'!G374)</f>
        <v>0</v>
      </c>
      <c r="L377" s="50" t="n">
        <f aca="false">IF('RAW KVMC'!H374="","",'RAW KVMC'!H374)</f>
        <v>0</v>
      </c>
      <c r="M377" s="48" t="str">
        <f aca="false">IF('RAW KVMC'!I374="","",'RAW KVMC'!I374)</f>
        <v/>
      </c>
    </row>
    <row r="378" customFormat="false" ht="15" hidden="false" customHeight="false" outlineLevel="0" collapsed="false">
      <c r="A378" s="1" t="s">
        <v>1522</v>
      </c>
      <c r="B378" s="1" t="s">
        <v>154</v>
      </c>
      <c r="C378" s="1" t="s">
        <v>1145</v>
      </c>
      <c r="D378" s="1" t="n">
        <v>375</v>
      </c>
      <c r="E378" s="48" t="str">
        <f aca="false">IF('RAW KVMC'!A375="","",'RAW KVMC'!A375)</f>
        <v>Mobile Health Screening Unit</v>
      </c>
      <c r="F378" s="48" t="str">
        <f aca="false">IF('RAW KVMC'!B375="","",'RAW KVMC'!B375)</f>
        <v>Community-Based Clinical Services</v>
      </c>
      <c r="G378" s="49" t="n">
        <f aca="false">IF('RAW KVMC'!C375="","",'RAW KVMC'!C375)</f>
        <v>46112</v>
      </c>
      <c r="H378" s="48" t="str">
        <f aca="false">IF('RAW KVMC'!D375="","",'RAW KVMC'!D375)</f>
        <v>CMA</v>
      </c>
      <c r="I378" s="48" t="n">
        <f aca="false">IF('RAW KVMC'!E375="","",'RAW KVMC'!E375)</f>
        <v>131</v>
      </c>
      <c r="J378" s="48" t="n">
        <f aca="false">IF('RAW KVMC'!F375="","",'RAW KVMC'!F375)</f>
        <v>0</v>
      </c>
      <c r="K378" s="50" t="n">
        <f aca="false">IF('RAW KVMC'!G375="","",'RAW KVMC'!G375)</f>
        <v>0</v>
      </c>
      <c r="L378" s="50" t="n">
        <f aca="false">IF('RAW KVMC'!H375="","",'RAW KVMC'!H375)</f>
        <v>0</v>
      </c>
      <c r="M378" s="48" t="str">
        <f aca="false">IF('RAW KVMC'!I375="","",'RAW KVMC'!I375)</f>
        <v/>
      </c>
    </row>
    <row r="379" customFormat="false" ht="15" hidden="false" customHeight="false" outlineLevel="0" collapsed="false">
      <c r="A379" s="1" t="s">
        <v>1523</v>
      </c>
      <c r="B379" s="1" t="s">
        <v>154</v>
      </c>
      <c r="C379" s="1" t="s">
        <v>1145</v>
      </c>
      <c r="D379" s="1" t="n">
        <v>376</v>
      </c>
      <c r="E379" s="48" t="str">
        <f aca="false">IF('RAW KVMC'!A376="","",'RAW KVMC'!A376)</f>
        <v>Mobile Health Screening Unit</v>
      </c>
      <c r="F379" s="48" t="str">
        <f aca="false">IF('RAW KVMC'!B376="","",'RAW KVMC'!B376)</f>
        <v>Community-Based Clinical Services</v>
      </c>
      <c r="G379" s="49" t="n">
        <f aca="false">IF('RAW KVMC'!C376="","",'RAW KVMC'!C376)</f>
        <v>46112</v>
      </c>
      <c r="H379" s="48" t="str">
        <f aca="false">IF('RAW KVMC'!D376="","",'RAW KVMC'!D376)</f>
        <v>Reg Nurse</v>
      </c>
      <c r="I379" s="48" t="n">
        <f aca="false">IF('RAW KVMC'!E376="","",'RAW KVMC'!E376)</f>
        <v>131.25</v>
      </c>
      <c r="J379" s="48" t="n">
        <f aca="false">IF('RAW KVMC'!F376="","",'RAW KVMC'!F376)</f>
        <v>270</v>
      </c>
      <c r="K379" s="50" t="n">
        <f aca="false">IF('RAW KVMC'!G376="","",'RAW KVMC'!G376)</f>
        <v>6695</v>
      </c>
      <c r="L379" s="50" t="n">
        <f aca="false">IF('RAW KVMC'!H376="","",'RAW KVMC'!H376)</f>
        <v>0</v>
      </c>
      <c r="M379" s="48" t="str">
        <f aca="false">IF('RAW KVMC'!I376="","",'RAW KVMC'!I376)</f>
        <v/>
      </c>
    </row>
    <row r="380" customFormat="false" ht="15" hidden="false" customHeight="false" outlineLevel="0" collapsed="false">
      <c r="A380" s="1" t="s">
        <v>1524</v>
      </c>
      <c r="B380" s="1" t="s">
        <v>154</v>
      </c>
      <c r="C380" s="1" t="s">
        <v>1145</v>
      </c>
      <c r="D380" s="1" t="n">
        <v>377</v>
      </c>
      <c r="E380" s="48" t="str">
        <f aca="false">IF('RAW KVMC'!A377="","",'RAW KVMC'!A377)</f>
        <v>Free Clinic Provider Staffing</v>
      </c>
      <c r="F380" s="48" t="str">
        <f aca="false">IF('RAW KVMC'!B377="","",'RAW KVMC'!B377)</f>
        <v>Community-Based Clinical Services</v>
      </c>
      <c r="G380" s="49" t="n">
        <f aca="false">IF('RAW KVMC'!C377="","",'RAW KVMC'!C377)</f>
        <v>46112</v>
      </c>
      <c r="H380" s="48" t="str">
        <f aca="false">IF('RAW KVMC'!D377="","",'RAW KVMC'!D377)</f>
        <v>Nurse Practitioner</v>
      </c>
      <c r="I380" s="48" t="n">
        <f aca="false">IF('RAW KVMC'!E377="","",'RAW KVMC'!E377)</f>
        <v>40</v>
      </c>
      <c r="J380" s="48" t="n">
        <f aca="false">IF('RAW KVMC'!F377="","",'RAW KVMC'!F377)</f>
        <v>396</v>
      </c>
      <c r="K380" s="50" t="n">
        <f aca="false">IF('RAW KVMC'!G377="","",'RAW KVMC'!G377)</f>
        <v>5850</v>
      </c>
      <c r="L380" s="50" t="n">
        <f aca="false">IF('RAW KVMC'!H377="","",'RAW KVMC'!H377)</f>
        <v>0</v>
      </c>
      <c r="M380" s="48" t="str">
        <f aca="false">IF('RAW KVMC'!I377="","",'RAW KVMC'!I377)</f>
        <v/>
      </c>
    </row>
    <row r="381" customFormat="false" ht="15" hidden="false" customHeight="false" outlineLevel="0" collapsed="false">
      <c r="A381" s="1" t="s">
        <v>1525</v>
      </c>
      <c r="B381" s="1" t="s">
        <v>154</v>
      </c>
      <c r="C381" s="1" t="s">
        <v>1145</v>
      </c>
      <c r="D381" s="1" t="n">
        <v>378</v>
      </c>
      <c r="E381" s="48" t="str">
        <f aca="false">IF('RAW KVMC'!A378="","",'RAW KVMC'!A378)</f>
        <v>Free Clinic Provider Staffing</v>
      </c>
      <c r="F381" s="48" t="str">
        <f aca="false">IF('RAW KVMC'!B378="","",'RAW KVMC'!B378)</f>
        <v>Community-Based Clinical Services</v>
      </c>
      <c r="G381" s="49" t="n">
        <f aca="false">IF('RAW KVMC'!C378="","",'RAW KVMC'!C378)</f>
        <v>46112</v>
      </c>
      <c r="H381" s="48" t="str">
        <f aca="false">IF('RAW KVMC'!D378="","",'RAW KVMC'!D378)</f>
        <v>Pharmacist</v>
      </c>
      <c r="I381" s="48" t="n">
        <f aca="false">IF('RAW KVMC'!E378="","",'RAW KVMC'!E378)</f>
        <v>22.25</v>
      </c>
      <c r="J381" s="48" t="n">
        <f aca="false">IF('RAW KVMC'!F378="","",'RAW KVMC'!F378)</f>
        <v>0</v>
      </c>
      <c r="K381" s="50" t="n">
        <f aca="false">IF('RAW KVMC'!G378="","",'RAW KVMC'!G378)</f>
        <v>0</v>
      </c>
      <c r="L381" s="50" t="n">
        <f aca="false">IF('RAW KVMC'!H378="","",'RAW KVMC'!H378)</f>
        <v>0</v>
      </c>
      <c r="M381" s="48" t="str">
        <f aca="false">IF('RAW KVMC'!I378="","",'RAW KVMC'!I378)</f>
        <v/>
      </c>
    </row>
    <row r="382" customFormat="false" ht="15" hidden="false" customHeight="false" outlineLevel="0" collapsed="false">
      <c r="A382" s="1" t="s">
        <v>1526</v>
      </c>
      <c r="B382" s="1" t="s">
        <v>154</v>
      </c>
      <c r="C382" s="1" t="s">
        <v>1145</v>
      </c>
      <c r="D382" s="1" t="n">
        <v>379</v>
      </c>
      <c r="E382" s="48" t="str">
        <f aca="false">IF('RAW KVMC'!A379="","",'RAW KVMC'!A379)</f>
        <v>Free Clinic Provider Staffing</v>
      </c>
      <c r="F382" s="48" t="str">
        <f aca="false">IF('RAW KVMC'!B379="","",'RAW KVMC'!B379)</f>
        <v>Community-Based Clinical Services</v>
      </c>
      <c r="G382" s="49" t="n">
        <f aca="false">IF('RAW KVMC'!C379="","",'RAW KVMC'!C379)</f>
        <v>46112</v>
      </c>
      <c r="H382" s="48" t="str">
        <f aca="false">IF('RAW KVMC'!D379="","",'RAW KVMC'!D379)</f>
        <v>R.N.</v>
      </c>
      <c r="I382" s="48" t="n">
        <f aca="false">IF('RAW KVMC'!E379="","",'RAW KVMC'!E379)</f>
        <v>56.25</v>
      </c>
      <c r="J382" s="48" t="n">
        <f aca="false">IF('RAW KVMC'!F379="","",'RAW KVMC'!F379)</f>
        <v>0</v>
      </c>
      <c r="K382" s="50" t="n">
        <f aca="false">IF('RAW KVMC'!G379="","",'RAW KVMC'!G379)</f>
        <v>0</v>
      </c>
      <c r="L382" s="50" t="n">
        <f aca="false">IF('RAW KVMC'!H379="","",'RAW KVMC'!H379)</f>
        <v>0</v>
      </c>
      <c r="M382" s="48" t="str">
        <f aca="false">IF('RAW KVMC'!I379="","",'RAW KVMC'!I379)</f>
        <v/>
      </c>
    </row>
    <row r="383" customFormat="false" ht="15" hidden="false" customHeight="false" outlineLevel="0" collapsed="false">
      <c r="A383" s="1" t="s">
        <v>1527</v>
      </c>
      <c r="B383" s="1" t="s">
        <v>154</v>
      </c>
      <c r="C383" s="1" t="s">
        <v>1145</v>
      </c>
      <c r="D383" s="1" t="n">
        <v>380</v>
      </c>
      <c r="E383" s="48" t="str">
        <f aca="false">IF('RAW KVMC'!A380="","",'RAW KVMC'!A380)</f>
        <v>Community Health Worker Outreach</v>
      </c>
      <c r="F383" s="48" t="str">
        <f aca="false">IF('RAW KVMC'!B380="","",'RAW KVMC'!B380)</f>
        <v>Health Care Support Services</v>
      </c>
      <c r="G383" s="49" t="n">
        <f aca="false">IF('RAW KVMC'!C380="","",'RAW KVMC'!C380)</f>
        <v>46112</v>
      </c>
      <c r="H383" s="48" t="str">
        <f aca="false">IF('RAW KVMC'!D380="","",'RAW KVMC'!D380)</f>
        <v>Comm Health Worker</v>
      </c>
      <c r="I383" s="48" t="n">
        <f aca="false">IF('RAW KVMC'!E380="","",'RAW KVMC'!E380)</f>
        <v>377</v>
      </c>
      <c r="J383" s="48" t="n">
        <f aca="false">IF('RAW KVMC'!F380="","",'RAW KVMC'!F380)</f>
        <v>603</v>
      </c>
      <c r="K383" s="50" t="n">
        <f aca="false">IF('RAW KVMC'!G380="","",'RAW KVMC'!G380)</f>
        <v>1495</v>
      </c>
      <c r="L383" s="50" t="n">
        <f aca="false">IF('RAW KVMC'!H380="","",'RAW KVMC'!H380)</f>
        <v>0</v>
      </c>
      <c r="M383" s="48" t="str">
        <f aca="false">IF('RAW KVMC'!I380="","",'RAW KVMC'!I380)</f>
        <v/>
      </c>
    </row>
    <row r="384" customFormat="false" ht="15" hidden="false" customHeight="false" outlineLevel="0" collapsed="false">
      <c r="A384" s="1" t="s">
        <v>1528</v>
      </c>
      <c r="B384" s="1" t="s">
        <v>154</v>
      </c>
      <c r="C384" s="1" t="s">
        <v>1145</v>
      </c>
      <c r="D384" s="1" t="n">
        <v>381</v>
      </c>
      <c r="E384" s="48" t="str">
        <f aca="false">IF('RAW KVMC'!A381="","",'RAW KVMC'!A381)</f>
        <v>Community Health Worker Outreach</v>
      </c>
      <c r="F384" s="48" t="str">
        <f aca="false">IF('RAW KVMC'!B381="","",'RAW KVMC'!B381)</f>
        <v>Health Care Support Services</v>
      </c>
      <c r="G384" s="49" t="n">
        <f aca="false">IF('RAW KVMC'!C381="","",'RAW KVMC'!C381)</f>
        <v>46112</v>
      </c>
      <c r="H384" s="48" t="str">
        <f aca="false">IF('RAW KVMC'!D381="","",'RAW KVMC'!D381)</f>
        <v>Financial Navigator</v>
      </c>
      <c r="I384" s="48" t="n">
        <f aca="false">IF('RAW KVMC'!E381="","",'RAW KVMC'!E381)</f>
        <v>170.5</v>
      </c>
      <c r="J384" s="48" t="n">
        <f aca="false">IF('RAW KVMC'!F381="","",'RAW KVMC'!F381)</f>
        <v>0</v>
      </c>
      <c r="K384" s="50" t="n">
        <f aca="false">IF('RAW KVMC'!G381="","",'RAW KVMC'!G381)</f>
        <v>0</v>
      </c>
      <c r="L384" s="50" t="n">
        <f aca="false">IF('RAW KVMC'!H381="","",'RAW KVMC'!H381)</f>
        <v>0</v>
      </c>
      <c r="M384" s="48" t="str">
        <f aca="false">IF('RAW KVMC'!I381="","",'RAW KVMC'!I381)</f>
        <v/>
      </c>
    </row>
    <row r="385" customFormat="false" ht="15" hidden="false" customHeight="false" outlineLevel="0" collapsed="false">
      <c r="A385" s="1" t="s">
        <v>1529</v>
      </c>
      <c r="B385" s="1" t="s">
        <v>154</v>
      </c>
      <c r="C385" s="1" t="s">
        <v>1145</v>
      </c>
      <c r="D385" s="1" t="n">
        <v>382</v>
      </c>
      <c r="E385" s="48" t="str">
        <f aca="false">IF('RAW KVMC'!A382="","",'RAW KVMC'!A382)</f>
        <v>Medication Assistance Program</v>
      </c>
      <c r="F385" s="48" t="str">
        <f aca="false">IF('RAW KVMC'!B382="","",'RAW KVMC'!B382)</f>
        <v>Health Care Support Services</v>
      </c>
      <c r="G385" s="49" t="n">
        <f aca="false">IF('RAW KVMC'!C382="","",'RAW KVMC'!C382)</f>
        <v>46112</v>
      </c>
      <c r="H385" s="48" t="str">
        <f aca="false">IF('RAW KVMC'!D382="","",'RAW KVMC'!D382)</f>
        <v>Nurse Navigator</v>
      </c>
      <c r="I385" s="48" t="n">
        <f aca="false">IF('RAW KVMC'!E382="","",'RAW KVMC'!E382)</f>
        <v>83</v>
      </c>
      <c r="J385" s="48" t="n">
        <f aca="false">IF('RAW KVMC'!F382="","",'RAW KVMC'!F382)</f>
        <v>0</v>
      </c>
      <c r="K385" s="50" t="n">
        <f aca="false">IF('RAW KVMC'!G382="","",'RAW KVMC'!G382)</f>
        <v>0</v>
      </c>
      <c r="L385" s="50" t="n">
        <f aca="false">IF('RAW KVMC'!H382="","",'RAW KVMC'!H382)</f>
        <v>0</v>
      </c>
      <c r="M385" s="48" t="str">
        <f aca="false">IF('RAW KVMC'!I382="","",'RAW KVMC'!I382)</f>
        <v/>
      </c>
    </row>
    <row r="386" customFormat="false" ht="15" hidden="false" customHeight="false" outlineLevel="0" collapsed="false">
      <c r="A386" s="1" t="s">
        <v>1530</v>
      </c>
      <c r="B386" s="1" t="s">
        <v>154</v>
      </c>
      <c r="C386" s="1" t="s">
        <v>1145</v>
      </c>
      <c r="D386" s="1" t="n">
        <v>383</v>
      </c>
      <c r="E386" s="48" t="str">
        <f aca="false">IF('RAW KVMC'!A383="","",'RAW KVMC'!A383)</f>
        <v>Medication Assistance Program</v>
      </c>
      <c r="F386" s="48" t="str">
        <f aca="false">IF('RAW KVMC'!B383="","",'RAW KVMC'!B383)</f>
        <v>Health Care Support Services</v>
      </c>
      <c r="G386" s="49" t="n">
        <f aca="false">IF('RAW KVMC'!C383="","",'RAW KVMC'!C383)</f>
        <v>46112</v>
      </c>
      <c r="H386" s="48" t="str">
        <f aca="false">IF('RAW KVMC'!D383="","",'RAW KVMC'!D383)</f>
        <v>RPh</v>
      </c>
      <c r="I386" s="48" t="n">
        <f aca="false">IF('RAW KVMC'!E383="","",'RAW KVMC'!E383)</f>
        <v>27.25</v>
      </c>
      <c r="J386" s="48" t="n">
        <f aca="false">IF('RAW KVMC'!F383="","",'RAW KVMC'!F383)</f>
        <v>159</v>
      </c>
      <c r="K386" s="50" t="n">
        <f aca="false">IF('RAW KVMC'!G383="","",'RAW KVMC'!G383)</f>
        <v>22280</v>
      </c>
      <c r="L386" s="50" t="n">
        <f aca="false">IF('RAW KVMC'!H383="","",'RAW KVMC'!H383)</f>
        <v>0</v>
      </c>
      <c r="M386" s="48" t="str">
        <f aca="false">IF('RAW KVMC'!I383="","",'RAW KVMC'!I383)</f>
        <v/>
      </c>
    </row>
    <row r="387" customFormat="false" ht="15" hidden="false" customHeight="false" outlineLevel="0" collapsed="false">
      <c r="A387" s="1" t="s">
        <v>1531</v>
      </c>
      <c r="B387" s="1" t="s">
        <v>154</v>
      </c>
      <c r="C387" s="1" t="s">
        <v>1145</v>
      </c>
      <c r="D387" s="1" t="n">
        <v>384</v>
      </c>
      <c r="E387" s="48" t="str">
        <f aca="false">IF('RAW KVMC'!A384="","",'RAW KVMC'!A384)</f>
        <v>Community Health Needs Assessment</v>
      </c>
      <c r="F387" s="48" t="str">
        <f aca="false">IF('RAW KVMC'!B384="","",'RAW KVMC'!B384)</f>
        <v>CB Operations</v>
      </c>
      <c r="G387" s="49" t="n">
        <f aca="false">IF('RAW KVMC'!C384="","",'RAW KVMC'!C384)</f>
        <v>46112</v>
      </c>
      <c r="H387" s="48" t="str">
        <f aca="false">IF('RAW KVMC'!D384="","",'RAW KVMC'!D384)</f>
        <v>COMMUNITY BENEFIT MANAGER</v>
      </c>
      <c r="I387" s="48" t="n">
        <f aca="false">IF('RAW KVMC'!E384="","",'RAW KVMC'!E384)</f>
        <v>90.75</v>
      </c>
      <c r="J387" s="48" t="n">
        <f aca="false">IF('RAW KVMC'!F384="","",'RAW KVMC'!F384)</f>
        <v>0</v>
      </c>
      <c r="K387" s="50" t="n">
        <f aca="false">IF('RAW KVMC'!G384="","",'RAW KVMC'!G384)</f>
        <v>10320</v>
      </c>
      <c r="L387" s="50" t="n">
        <f aca="false">IF('RAW KVMC'!H384="","",'RAW KVMC'!H384)</f>
        <v>0</v>
      </c>
      <c r="M387" s="48" t="str">
        <f aca="false">IF('RAW KVMC'!I384="","",'RAW KVMC'!I384)</f>
        <v/>
      </c>
    </row>
    <row r="388" customFormat="false" ht="15" hidden="false" customHeight="false" outlineLevel="0" collapsed="false">
      <c r="A388" s="1" t="s">
        <v>1532</v>
      </c>
      <c r="B388" s="1" t="s">
        <v>154</v>
      </c>
      <c r="C388" s="1" t="s">
        <v>1145</v>
      </c>
      <c r="D388" s="1" t="n">
        <v>385</v>
      </c>
      <c r="E388" s="48" t="str">
        <f aca="false">IF('RAW KVMC'!A385="","",'RAW KVMC'!A385)</f>
        <v>Community Health Needs Assessment</v>
      </c>
      <c r="F388" s="48" t="str">
        <f aca="false">IF('RAW KVMC'!B385="","",'RAW KVMC'!B385)</f>
        <v>CB Operations</v>
      </c>
      <c r="G388" s="49" t="n">
        <f aca="false">IF('RAW KVMC'!C385="","",'RAW KVMC'!C385)</f>
        <v>46112</v>
      </c>
      <c r="H388" s="48" t="str">
        <f aca="false">IF('RAW KVMC'!D385="","",'RAW KVMC'!D385)</f>
        <v>Data Analyst</v>
      </c>
      <c r="I388" s="48" t="n">
        <f aca="false">IF('RAW KVMC'!E385="","",'RAW KVMC'!E385)</f>
        <v>99.25</v>
      </c>
      <c r="J388" s="48" t="n">
        <f aca="false">IF('RAW KVMC'!F385="","",'RAW KVMC'!F385)</f>
        <v>0</v>
      </c>
      <c r="K388" s="50" t="n">
        <f aca="false">IF('RAW KVMC'!G385="","",'RAW KVMC'!G385)</f>
        <v>0</v>
      </c>
      <c r="L388" s="50" t="n">
        <f aca="false">IF('RAW KVMC'!H385="","",'RAW KVMC'!H385)</f>
        <v>0</v>
      </c>
      <c r="M388" s="48" t="str">
        <f aca="false">IF('RAW KVMC'!I385="","",'RAW KVMC'!I385)</f>
        <v/>
      </c>
    </row>
    <row r="389" customFormat="false" ht="15" hidden="false" customHeight="false" outlineLevel="0" collapsed="false">
      <c r="A389" s="1" t="s">
        <v>1533</v>
      </c>
      <c r="B389" s="1" t="s">
        <v>154</v>
      </c>
      <c r="C389" s="1" t="s">
        <v>1145</v>
      </c>
      <c r="D389" s="1" t="n">
        <v>386</v>
      </c>
      <c r="E389" s="48" t="str">
        <f aca="false">IF('RAW KVMC'!A386="","",'RAW KVMC'!A386)</f>
        <v>Community Benefit Program Administration</v>
      </c>
      <c r="F389" s="48" t="str">
        <f aca="false">IF('RAW KVMC'!B386="","",'RAW KVMC'!B386)</f>
        <v>CB Operations</v>
      </c>
      <c r="G389" s="49" t="n">
        <f aca="false">IF('RAW KVMC'!C386="","",'RAW KVMC'!C386)</f>
        <v>46112</v>
      </c>
      <c r="H389" s="48" t="str">
        <f aca="false">IF('RAW KVMC'!D386="","",'RAW KVMC'!D386)</f>
        <v>Admin Asst</v>
      </c>
      <c r="I389" s="48" t="n">
        <f aca="false">IF('RAW KVMC'!E386="","",'RAW KVMC'!E386)</f>
        <v>68.25</v>
      </c>
      <c r="J389" s="48" t="n">
        <f aca="false">IF('RAW KVMC'!F386="","",'RAW KVMC'!F386)</f>
        <v>0</v>
      </c>
      <c r="K389" s="50" t="n">
        <f aca="false">IF('RAW KVMC'!G386="","",'RAW KVMC'!G386)</f>
        <v>0</v>
      </c>
      <c r="L389" s="50" t="n">
        <f aca="false">IF('RAW KVMC'!H386="","",'RAW KVMC'!H386)</f>
        <v>0</v>
      </c>
      <c r="M389" s="48" t="str">
        <f aca="false">IF('RAW KVMC'!I386="","",'RAW KVMC'!I386)</f>
        <v/>
      </c>
    </row>
    <row r="390" customFormat="false" ht="15" hidden="false" customHeight="false" outlineLevel="0" collapsed="false">
      <c r="A390" s="1" t="s">
        <v>1534</v>
      </c>
      <c r="B390" s="1" t="s">
        <v>154</v>
      </c>
      <c r="C390" s="1" t="s">
        <v>1145</v>
      </c>
      <c r="D390" s="1" t="n">
        <v>387</v>
      </c>
      <c r="E390" s="48" t="str">
        <f aca="false">IF('RAW KVMC'!A387="","",'RAW KVMC'!A387)</f>
        <v>Community Benefit Program Administration</v>
      </c>
      <c r="F390" s="48" t="str">
        <f aca="false">IF('RAW KVMC'!B387="","",'RAW KVMC'!B387)</f>
        <v>CB Operations</v>
      </c>
      <c r="G390" s="49" t="n">
        <f aca="false">IF('RAW KVMC'!C387="","",'RAW KVMC'!C387)</f>
        <v>46112</v>
      </c>
      <c r="H390" s="48" t="str">
        <f aca="false">IF('RAW KVMC'!D387="","",'RAW KVMC'!D387)</f>
        <v>Community Benefit Mgr</v>
      </c>
      <c r="I390" s="48" t="n">
        <f aca="false">IF('RAW KVMC'!E387="","",'RAW KVMC'!E387)</f>
        <v>80.25</v>
      </c>
      <c r="J390" s="48" t="n">
        <f aca="false">IF('RAW KVMC'!F387="","",'RAW KVMC'!F387)</f>
        <v>0</v>
      </c>
      <c r="K390" s="50" t="n">
        <f aca="false">IF('RAW KVMC'!G387="","",'RAW KVMC'!G387)</f>
        <v>435</v>
      </c>
      <c r="L390" s="50" t="n">
        <f aca="false">IF('RAW KVMC'!H387="","",'RAW KVMC'!H387)</f>
        <v>0</v>
      </c>
      <c r="M390" s="48" t="str">
        <f aca="false">IF('RAW KVMC'!I387="","",'RAW KVMC'!I387)</f>
        <v/>
      </c>
    </row>
    <row r="391" customFormat="false" ht="15" hidden="false" customHeight="false" outlineLevel="0" collapsed="false">
      <c r="A391" s="1" t="s">
        <v>1535</v>
      </c>
      <c r="B391" s="1" t="s">
        <v>154</v>
      </c>
      <c r="C391" s="1" t="s">
        <v>1145</v>
      </c>
      <c r="D391" s="1" t="n">
        <v>388</v>
      </c>
      <c r="E391" s="48" t="str">
        <f aca="false">IF('RAW KVMC'!A388="","",'RAW KVMC'!A388)</f>
        <v>Interpreter Services for Community Clinics</v>
      </c>
      <c r="F391" s="48" t="str">
        <f aca="false">IF('RAW KVMC'!B388="","",'RAW KVMC'!B388)</f>
        <v>Health Care Support Services</v>
      </c>
      <c r="G391" s="49" t="n">
        <f aca="false">IF('RAW KVMC'!C388="","",'RAW KVMC'!C388)</f>
        <v>46112</v>
      </c>
      <c r="H391" s="48" t="str">
        <f aca="false">IF('RAW KVMC'!D388="","",'RAW KVMC'!D388)</f>
        <v> Language Services</v>
      </c>
      <c r="I391" s="48" t="n">
        <f aca="false">IF('RAW KVMC'!E388="","",'RAW KVMC'!E388)</f>
        <v>55.5</v>
      </c>
      <c r="J391" s="48" t="n">
        <f aca="false">IF('RAW KVMC'!F388="","",'RAW KVMC'!F388)</f>
        <v>133</v>
      </c>
      <c r="K391" s="50" t="n">
        <f aca="false">IF('RAW KVMC'!G388="","",'RAW KVMC'!G388)</f>
        <v>0</v>
      </c>
      <c r="L391" s="50" t="n">
        <f aca="false">IF('RAW KVMC'!H388="","",'RAW KVMC'!H388)</f>
        <v>0</v>
      </c>
      <c r="M391" s="48" t="str">
        <f aca="false">IF('RAW KVMC'!I388="","",'RAW KVMC'!I388)</f>
        <v/>
      </c>
    </row>
    <row r="392" customFormat="false" ht="15" hidden="false" customHeight="false" outlineLevel="0" collapsed="false">
      <c r="A392" s="1" t="s">
        <v>1536</v>
      </c>
      <c r="B392" s="1" t="s">
        <v>154</v>
      </c>
      <c r="C392" s="1" t="s">
        <v>1145</v>
      </c>
      <c r="D392" s="1" t="n">
        <v>389</v>
      </c>
      <c r="E392" s="48" t="str">
        <f aca="false">IF('RAW KVMC'!A389="","",'RAW KVMC'!A389)</f>
        <v>Nursing Student Clinical Rotations</v>
      </c>
      <c r="F392" s="48" t="str">
        <f aca="false">IF('RAW KVMC'!B389="","",'RAW KVMC'!B389)</f>
        <v>Health Professions Education</v>
      </c>
      <c r="G392" s="49" t="n">
        <f aca="false">IF('RAW KVMC'!C389="","",'RAW KVMC'!C389)</f>
        <v>46112</v>
      </c>
      <c r="H392" s="48" t="str">
        <f aca="false">IF('RAW KVMC'!D389="","",'RAW KVMC'!D389)</f>
        <v>Clinical Nurse Educator</v>
      </c>
      <c r="I392" s="48" t="n">
        <f aca="false">IF('RAW KVMC'!E389="","",'RAW KVMC'!E389)</f>
        <v>115.25</v>
      </c>
      <c r="J392" s="48" t="n">
        <f aca="false">IF('RAW KVMC'!F389="","",'RAW KVMC'!F389)</f>
        <v>45</v>
      </c>
      <c r="K392" s="50" t="n">
        <f aca="false">IF('RAW KVMC'!G389="","",'RAW KVMC'!G389)</f>
        <v>1325</v>
      </c>
      <c r="L392" s="50" t="n">
        <f aca="false">IF('RAW KVMC'!H389="","",'RAW KVMC'!H389)</f>
        <v>0</v>
      </c>
      <c r="M392" s="48" t="str">
        <f aca="false">IF('RAW KVMC'!I389="","",'RAW KVMC'!I389)</f>
        <v/>
      </c>
    </row>
    <row r="393" customFormat="false" ht="15" hidden="false" customHeight="false" outlineLevel="0" collapsed="false">
      <c r="A393" s="1" t="s">
        <v>1537</v>
      </c>
      <c r="B393" s="1" t="s">
        <v>154</v>
      </c>
      <c r="C393" s="1" t="s">
        <v>1145</v>
      </c>
      <c r="D393" s="1" t="n">
        <v>390</v>
      </c>
      <c r="E393" s="48" t="str">
        <f aca="false">IF('RAW KVMC'!A390="","",'RAW KVMC'!A390)</f>
        <v>Nursing Student Clinical Rotations</v>
      </c>
      <c r="F393" s="48" t="str">
        <f aca="false">IF('RAW KVMC'!B390="","",'RAW KVMC'!B390)</f>
        <v>Health Professions Education</v>
      </c>
      <c r="G393" s="49" t="n">
        <f aca="false">IF('RAW KVMC'!C390="","",'RAW KVMC'!C390)</f>
        <v>46112</v>
      </c>
      <c r="H393" s="48" t="str">
        <f aca="false">IF('RAW KVMC'!D390="","",'RAW KVMC'!D390)</f>
        <v>RN III</v>
      </c>
      <c r="I393" s="48" t="n">
        <f aca="false">IF('RAW KVMC'!E390="","",'RAW KVMC'!E390)</f>
        <v>311.25</v>
      </c>
      <c r="J393" s="48" t="n">
        <f aca="false">IF('RAW KVMC'!F390="","",'RAW KVMC'!F390)</f>
        <v>0</v>
      </c>
      <c r="K393" s="50" t="n">
        <f aca="false">IF('RAW KVMC'!G390="","",'RAW KVMC'!G390)</f>
        <v>0</v>
      </c>
      <c r="L393" s="50" t="n">
        <f aca="false">IF('RAW KVMC'!H390="","",'RAW KVMC'!H390)</f>
        <v>0</v>
      </c>
      <c r="M393" s="48" t="str">
        <f aca="false">IF('RAW KVMC'!I390="","",'RAW KVMC'!I390)</f>
        <v/>
      </c>
    </row>
    <row r="394" customFormat="false" ht="15" hidden="false" customHeight="false" outlineLevel="0" collapsed="false">
      <c r="A394" s="1" t="s">
        <v>1538</v>
      </c>
      <c r="B394" s="1" t="s">
        <v>154</v>
      </c>
      <c r="C394" s="1" t="s">
        <v>1145</v>
      </c>
      <c r="D394" s="1" t="n">
        <v>391</v>
      </c>
      <c r="E394" s="48" t="str">
        <f aca="false">IF('RAW KVMC'!A391="","",'RAW KVMC'!A391)</f>
        <v>Family Medicine Residency Program</v>
      </c>
      <c r="F394" s="48" t="str">
        <f aca="false">IF('RAW KVMC'!B391="","",'RAW KVMC'!B391)</f>
        <v>Health Professions Education</v>
      </c>
      <c r="G394" s="49" t="n">
        <f aca="false">IF('RAW KVMC'!C391="","",'RAW KVMC'!C391)</f>
        <v>46112</v>
      </c>
      <c r="H394" s="48" t="str">
        <f aca="false">IF('RAW KVMC'!D391="","",'RAW KVMC'!D391)</f>
        <v>Dr.</v>
      </c>
      <c r="I394" s="48" t="n">
        <f aca="false">IF('RAW KVMC'!E391="","",'RAW KVMC'!E391)</f>
        <v>384.75</v>
      </c>
      <c r="J394" s="48" t="n">
        <f aca="false">IF('RAW KVMC'!F391="","",'RAW KVMC'!F391)</f>
        <v>0</v>
      </c>
      <c r="K394" s="50" t="n">
        <f aca="false">IF('RAW KVMC'!G391="","",'RAW KVMC'!G391)</f>
        <v>43920</v>
      </c>
      <c r="L394" s="50" t="n">
        <f aca="false">IF('RAW KVMC'!H391="","",'RAW KVMC'!H391)</f>
        <v>165325</v>
      </c>
      <c r="M394" s="48" t="str">
        <f aca="false">IF('RAW KVMC'!I391="","",'RAW KVMC'!I391)</f>
        <v/>
      </c>
    </row>
    <row r="395" customFormat="false" ht="15" hidden="false" customHeight="false" outlineLevel="0" collapsed="false">
      <c r="A395" s="1" t="s">
        <v>1539</v>
      </c>
      <c r="B395" s="1" t="s">
        <v>154</v>
      </c>
      <c r="C395" s="1" t="s">
        <v>1145</v>
      </c>
      <c r="D395" s="1" t="n">
        <v>392</v>
      </c>
      <c r="E395" s="48" t="str">
        <f aca="false">IF('RAW KVMC'!A392="","",'RAW KVMC'!A392)</f>
        <v>Family Medicine Residency Program</v>
      </c>
      <c r="F395" s="48" t="str">
        <f aca="false">IF('RAW KVMC'!B392="","",'RAW KVMC'!B392)</f>
        <v>Health Professions Education</v>
      </c>
      <c r="G395" s="49" t="n">
        <f aca="false">IF('RAW KVMC'!C392="","",'RAW KVMC'!C392)</f>
        <v>46112</v>
      </c>
      <c r="H395" s="48" t="str">
        <f aca="false">IF('RAW KVMC'!D392="","",'RAW KVMC'!D392)</f>
        <v>Outreach Coordinator</v>
      </c>
      <c r="I395" s="48" t="n">
        <f aca="false">IF('RAW KVMC'!E392="","",'RAW KVMC'!E392)</f>
        <v>174.25</v>
      </c>
      <c r="J395" s="48" t="n">
        <f aca="false">IF('RAW KVMC'!F392="","",'RAW KVMC'!F392)</f>
        <v>0</v>
      </c>
      <c r="K395" s="50" t="n">
        <f aca="false">IF('RAW KVMC'!G392="","",'RAW KVMC'!G392)</f>
        <v>0</v>
      </c>
      <c r="L395" s="50" t="n">
        <f aca="false">IF('RAW KVMC'!H392="","",'RAW KVMC'!H392)</f>
        <v>0</v>
      </c>
      <c r="M395" s="48" t="str">
        <f aca="false">IF('RAW KVMC'!I392="","",'RAW KVMC'!I392)</f>
        <v/>
      </c>
    </row>
    <row r="396" customFormat="false" ht="15" hidden="false" customHeight="false" outlineLevel="0" collapsed="false">
      <c r="A396" s="1" t="s">
        <v>1540</v>
      </c>
      <c r="B396" s="1" t="s">
        <v>154</v>
      </c>
      <c r="C396" s="1" t="s">
        <v>1145</v>
      </c>
      <c r="D396" s="1" t="n">
        <v>393</v>
      </c>
      <c r="E396" s="48" t="str">
        <f aca="false">IF('RAW KVMC'!A393="","",'RAW KVMC'!A393)</f>
        <v>Family Medicine Residency Program</v>
      </c>
      <c r="F396" s="48" t="str">
        <f aca="false">IF('RAW KVMC'!B393="","",'RAW KVMC'!B393)</f>
        <v>Health Professions Education</v>
      </c>
      <c r="G396" s="49" t="n">
        <f aca="false">IF('RAW KVMC'!C393="","",'RAW KVMC'!C393)</f>
        <v>46112</v>
      </c>
      <c r="H396" s="48" t="str">
        <f aca="false">IF('RAW KVMC'!D393="","",'RAW KVMC'!D393)</f>
        <v>PGY-1</v>
      </c>
      <c r="I396" s="48" t="n">
        <f aca="false">IF('RAW KVMC'!E393="","",'RAW KVMC'!E393)</f>
        <v>4146.75</v>
      </c>
      <c r="J396" s="48" t="n">
        <f aca="false">IF('RAW KVMC'!F393="","",'RAW KVMC'!F393)</f>
        <v>0</v>
      </c>
      <c r="K396" s="50" t="n">
        <f aca="false">IF('RAW KVMC'!G393="","",'RAW KVMC'!G393)</f>
        <v>0</v>
      </c>
      <c r="L396" s="50" t="n">
        <f aca="false">IF('RAW KVMC'!H393="","",'RAW KVMC'!H393)</f>
        <v>0</v>
      </c>
      <c r="M396" s="48" t="str">
        <f aca="false">IF('RAW KVMC'!I393="","",'RAW KVMC'!I393)</f>
        <v/>
      </c>
    </row>
    <row r="397" customFormat="false" ht="15" hidden="false" customHeight="false" outlineLevel="0" collapsed="false">
      <c r="A397" s="1" t="s">
        <v>1541</v>
      </c>
      <c r="B397" s="1" t="s">
        <v>154</v>
      </c>
      <c r="C397" s="1" t="s">
        <v>1145</v>
      </c>
      <c r="D397" s="1" t="n">
        <v>394</v>
      </c>
      <c r="E397" s="48" t="str">
        <f aca="false">IF('RAW KVMC'!A394="","",'RAW KVMC'!A394)</f>
        <v>Pharmacy Student Rotations</v>
      </c>
      <c r="F397" s="48" t="str">
        <f aca="false">IF('RAW KVMC'!B394="","",'RAW KVMC'!B394)</f>
        <v>Health Professions Education</v>
      </c>
      <c r="G397" s="49" t="n">
        <f aca="false">IF('RAW KVMC'!C394="","",'RAW KVMC'!C394)</f>
        <v>46112</v>
      </c>
      <c r="H397" s="48" t="str">
        <f aca="false">IF('RAW KVMC'!D394="","",'RAW KVMC'!D394)</f>
        <v>RPh</v>
      </c>
      <c r="I397" s="48" t="n">
        <f aca="false">IF('RAW KVMC'!E394="","",'RAW KVMC'!E394)</f>
        <v>63.75</v>
      </c>
      <c r="J397" s="48" t="n">
        <f aca="false">IF('RAW KVMC'!F394="","",'RAW KVMC'!F394)</f>
        <v>5</v>
      </c>
      <c r="K397" s="50" t="n">
        <f aca="false">IF('RAW KVMC'!G394="","",'RAW KVMC'!G394)</f>
        <v>145</v>
      </c>
      <c r="L397" s="50" t="n">
        <f aca="false">IF('RAW KVMC'!H394="","",'RAW KVMC'!H394)</f>
        <v>0</v>
      </c>
      <c r="M397" s="48" t="str">
        <f aca="false">IF('RAW KVMC'!I394="","",'RAW KVMC'!I394)</f>
        <v/>
      </c>
    </row>
    <row r="398" customFormat="false" ht="15" hidden="false" customHeight="false" outlineLevel="0" collapsed="false">
      <c r="A398" s="1" t="s">
        <v>1542</v>
      </c>
      <c r="B398" s="1" t="s">
        <v>154</v>
      </c>
      <c r="C398" s="1" t="s">
        <v>1145</v>
      </c>
      <c r="D398" s="1" t="n">
        <v>395</v>
      </c>
      <c r="E398" s="48" t="str">
        <f aca="false">IF('RAW KVMC'!A395="","",'RAW KVMC'!A395)</f>
        <v>Community Hypertension Control Study</v>
      </c>
      <c r="F398" s="48" t="str">
        <f aca="false">IF('RAW KVMC'!B395="","",'RAW KVMC'!B395)</f>
        <v>Research</v>
      </c>
      <c r="G398" s="49" t="n">
        <f aca="false">IF('RAW KVMC'!C395="","",'RAW KVMC'!C395)</f>
        <v>46112</v>
      </c>
      <c r="H398" s="48" t="str">
        <f aca="false">IF('RAW KVMC'!D395="","",'RAW KVMC'!D395)</f>
        <v>Sr Data Analyst</v>
      </c>
      <c r="I398" s="48" t="n">
        <f aca="false">IF('RAW KVMC'!E395="","",'RAW KVMC'!E395)</f>
        <v>41.75</v>
      </c>
      <c r="J398" s="48" t="n">
        <f aca="false">IF('RAW KVMC'!F395="","",'RAW KVMC'!F395)</f>
        <v>0</v>
      </c>
      <c r="K398" s="50" t="n">
        <f aca="false">IF('RAW KVMC'!G395="","",'RAW KVMC'!G395)</f>
        <v>0</v>
      </c>
      <c r="L398" s="50" t="n">
        <f aca="false">IF('RAW KVMC'!H395="","",'RAW KVMC'!H395)</f>
        <v>0</v>
      </c>
      <c r="M398" s="48" t="str">
        <f aca="false">IF('RAW KVMC'!I395="","",'RAW KVMC'!I395)</f>
        <v/>
      </c>
    </row>
    <row r="399" customFormat="false" ht="15" hidden="false" customHeight="false" outlineLevel="0" collapsed="false">
      <c r="A399" s="1" t="s">
        <v>1543</v>
      </c>
      <c r="B399" s="1" t="s">
        <v>154</v>
      </c>
      <c r="C399" s="1" t="s">
        <v>1145</v>
      </c>
      <c r="D399" s="1" t="n">
        <v>396</v>
      </c>
      <c r="E399" s="48" t="str">
        <f aca="false">IF('RAW KVMC'!A396="","",'RAW KVMC'!A396)</f>
        <v>Community Hypertension Control Study</v>
      </c>
      <c r="F399" s="48" t="str">
        <f aca="false">IF('RAW KVMC'!B396="","",'RAW KVMC'!B396)</f>
        <v>Research</v>
      </c>
      <c r="G399" s="49" t="n">
        <f aca="false">IF('RAW KVMC'!C396="","",'RAW KVMC'!C396)</f>
        <v>46112</v>
      </c>
      <c r="H399" s="48" t="str">
        <f aca="false">IF('RAW KVMC'!D396="","",'RAW KVMC'!D396)</f>
        <v>Dr.</v>
      </c>
      <c r="I399" s="48" t="n">
        <f aca="false">IF('RAW KVMC'!E396="","",'RAW KVMC'!E396)</f>
        <v>21</v>
      </c>
      <c r="J399" s="48" t="n">
        <f aca="false">IF('RAW KVMC'!F396="","",'RAW KVMC'!F396)</f>
        <v>0</v>
      </c>
      <c r="K399" s="50" t="n">
        <f aca="false">IF('RAW KVMC'!G396="","",'RAW KVMC'!G396)</f>
        <v>0</v>
      </c>
      <c r="L399" s="50" t="n">
        <f aca="false">IF('RAW KVMC'!H396="","",'RAW KVMC'!H396)</f>
        <v>0</v>
      </c>
      <c r="M399" s="48" t="str">
        <f aca="false">IF('RAW KVMC'!I396="","",'RAW KVMC'!I396)</f>
        <v/>
      </c>
    </row>
    <row r="400" customFormat="false" ht="15" hidden="false" customHeight="false" outlineLevel="0" collapsed="false">
      <c r="A400" s="1" t="s">
        <v>1544</v>
      </c>
      <c r="B400" s="1" t="s">
        <v>154</v>
      </c>
      <c r="C400" s="1" t="s">
        <v>1145</v>
      </c>
      <c r="D400" s="1" t="n">
        <v>397</v>
      </c>
      <c r="E400" s="48" t="str">
        <f aca="false">IF('RAW KVMC'!A397="","",'RAW KVMC'!A397)</f>
        <v>Community Hypertension Control Study</v>
      </c>
      <c r="F400" s="48" t="str">
        <f aca="false">IF('RAW KVMC'!B397="","",'RAW KVMC'!B397)</f>
        <v>Research</v>
      </c>
      <c r="G400" s="49" t="n">
        <f aca="false">IF('RAW KVMC'!C397="","",'RAW KVMC'!C397)</f>
        <v>46112</v>
      </c>
      <c r="H400" s="48" t="str">
        <f aca="false">IF('RAW KVMC'!D397="","",'RAW KVMC'!D397)</f>
        <v>Research Coordinator</v>
      </c>
      <c r="I400" s="48" t="n">
        <f aca="false">IF('RAW KVMC'!E397="","",'RAW KVMC'!E397)</f>
        <v>159.5</v>
      </c>
      <c r="J400" s="48" t="n">
        <f aca="false">IF('RAW KVMC'!F397="","",'RAW KVMC'!F397)</f>
        <v>68</v>
      </c>
      <c r="K400" s="50" t="n">
        <f aca="false">IF('RAW KVMC'!G397="","",'RAW KVMC'!G397)</f>
        <v>7990</v>
      </c>
      <c r="L400" s="50" t="n">
        <f aca="false">IF('RAW KVMC'!H397="","",'RAW KVMC'!H397)</f>
        <v>12195</v>
      </c>
      <c r="M400" s="48" t="str">
        <f aca="false">IF('RAW KVMC'!I397="","",'RAW KVMC'!I397)</f>
        <v/>
      </c>
    </row>
    <row r="401" customFormat="false" ht="15" hidden="false" customHeight="false" outlineLevel="0" collapsed="false">
      <c r="A401" s="1" t="s">
        <v>1545</v>
      </c>
      <c r="B401" s="1" t="s">
        <v>154</v>
      </c>
      <c r="C401" s="1" t="s">
        <v>1145</v>
      </c>
      <c r="D401" s="1" t="n">
        <v>398</v>
      </c>
      <c r="E401" s="48" t="str">
        <f aca="false">IF('RAW KVMC'!A398="","",'RAW KVMC'!A398)</f>
        <v>Small Business Health Partnership</v>
      </c>
      <c r="F401" s="48" t="str">
        <f aca="false">IF('RAW KVMC'!B398="","",'RAW KVMC'!B398)</f>
        <v>Community Building - Economic Dev</v>
      </c>
      <c r="G401" s="49" t="n">
        <f aca="false">IF('RAW KVMC'!C398="","",'RAW KVMC'!C398)</f>
        <v>46113</v>
      </c>
      <c r="H401" s="48" t="str">
        <f aca="false">IF('RAW KVMC'!D398="","",'RAW KVMC'!D398)</f>
        <v>Director</v>
      </c>
      <c r="I401" s="48" t="n">
        <f aca="false">IF('RAW KVMC'!E398="","",'RAW KVMC'!E398)</f>
        <v>4</v>
      </c>
      <c r="J401" s="48" t="n">
        <f aca="false">IF('RAW KVMC'!F398="","",'RAW KVMC'!F398)</f>
        <v>0</v>
      </c>
      <c r="K401" s="50" t="n">
        <f aca="false">IF('RAW KVMC'!G398="","",'RAW KVMC'!G398)</f>
        <v>1725</v>
      </c>
      <c r="L401" s="50" t="n">
        <f aca="false">IF('RAW KVMC'!H398="","",'RAW KVMC'!H398)</f>
        <v>0</v>
      </c>
      <c r="M401" s="48" t="str">
        <f aca="false">IF('RAW KVMC'!I398="","",'RAW KVMC'!I398)</f>
        <v/>
      </c>
    </row>
    <row r="402" customFormat="false" ht="15" hidden="false" customHeight="false" outlineLevel="0" collapsed="false">
      <c r="A402" s="1" t="s">
        <v>1546</v>
      </c>
      <c r="B402" s="1" t="s">
        <v>154</v>
      </c>
      <c r="C402" s="1" t="s">
        <v>1145</v>
      </c>
      <c r="D402" s="1" t="n">
        <v>399</v>
      </c>
      <c r="E402" s="48" t="str">
        <f aca="false">IF('RAW KVMC'!A399="","",'RAW KVMC'!A399)</f>
        <v>Small Business Health Partnership</v>
      </c>
      <c r="F402" s="48" t="str">
        <f aca="false">IF('RAW KVMC'!B399="","",'RAW KVMC'!B399)</f>
        <v>Community Building - Economic Dev</v>
      </c>
      <c r="G402" s="49" t="n">
        <f aca="false">IF('RAW KVMC'!C399="","",'RAW KVMC'!C399)</f>
        <v>46113</v>
      </c>
      <c r="H402" s="48" t="str">
        <f aca="false">IF('RAW KVMC'!D399="","",'RAW KVMC'!D399)</f>
        <v>Event Coordinator</v>
      </c>
      <c r="I402" s="48" t="n">
        <f aca="false">IF('RAW KVMC'!E399="","",'RAW KVMC'!E399)</f>
        <v>4.5</v>
      </c>
      <c r="J402" s="48" t="n">
        <f aca="false">IF('RAW KVMC'!F399="","",'RAW KVMC'!F399)</f>
        <v>0</v>
      </c>
      <c r="K402" s="50" t="n">
        <f aca="false">IF('RAW KVMC'!G399="","",'RAW KVMC'!G399)</f>
        <v>0</v>
      </c>
      <c r="L402" s="50" t="n">
        <f aca="false">IF('RAW KVMC'!H399="","",'RAW KVMC'!H399)</f>
        <v>0</v>
      </c>
      <c r="M402" s="48" t="str">
        <f aca="false">IF('RAW KVMC'!I399="","",'RAW KVMC'!I399)</f>
        <v/>
      </c>
    </row>
    <row r="403" customFormat="false" ht="15" hidden="false" customHeight="false" outlineLevel="0" collapsed="false">
      <c r="A403" s="1" t="s">
        <v>1547</v>
      </c>
      <c r="B403" s="1" t="s">
        <v>154</v>
      </c>
      <c r="C403" s="1" t="s">
        <v>1145</v>
      </c>
      <c r="D403" s="1" t="n">
        <v>400</v>
      </c>
      <c r="E403" s="48" t="str">
        <f aca="false">IF('RAW KVMC'!A400="","",'RAW KVMC'!A400)</f>
        <v>Tobacco Cessation Classes</v>
      </c>
      <c r="F403" s="48" t="str">
        <f aca="false">IF('RAW KVMC'!B400="","",'RAW KVMC'!B400)</f>
        <v>Community Health Education</v>
      </c>
      <c r="G403" s="49" t="n">
        <f aca="false">IF('RAW KVMC'!C400="","",'RAW KVMC'!C400)</f>
        <v>46114</v>
      </c>
      <c r="H403" s="48" t="str">
        <f aca="false">IF('RAW KVMC'!D400="","",'RAW KVMC'!D400)</f>
        <v>Respiratory Therapist</v>
      </c>
      <c r="I403" s="48" t="n">
        <f aca="false">IF('RAW KVMC'!E400="","",'RAW KVMC'!E400)</f>
        <v>2</v>
      </c>
      <c r="J403" s="48" t="n">
        <f aca="false">IF('RAW KVMC'!F400="","",'RAW KVMC'!F400)</f>
        <v>9</v>
      </c>
      <c r="K403" s="50" t="n">
        <f aca="false">IF('RAW KVMC'!G400="","",'RAW KVMC'!G400)</f>
        <v>235</v>
      </c>
      <c r="L403" s="50" t="n">
        <f aca="false">IF('RAW KVMC'!H400="","",'RAW KVMC'!H400)</f>
        <v>0</v>
      </c>
      <c r="M403" s="48" t="str">
        <f aca="false">IF('RAW KVMC'!I400="","",'RAW KVMC'!I400)</f>
        <v/>
      </c>
    </row>
    <row r="404" customFormat="false" ht="15" hidden="false" customHeight="false" outlineLevel="0" collapsed="false">
      <c r="A404" s="1" t="s">
        <v>1548</v>
      </c>
      <c r="B404" s="1" t="s">
        <v>154</v>
      </c>
      <c r="C404" s="1" t="s">
        <v>1145</v>
      </c>
      <c r="D404" s="1" t="n">
        <v>401</v>
      </c>
      <c r="E404" s="48" t="str">
        <f aca="false">IF('RAW KVMC'!A401="","",'RAW KVMC'!A401)</f>
        <v>Naloxone Training and Distribution</v>
      </c>
      <c r="F404" s="48" t="str">
        <f aca="false">IF('RAW KVMC'!B401="","",'RAW KVMC'!B401)</f>
        <v>Community Health Education</v>
      </c>
      <c r="G404" s="49" t="n">
        <f aca="false">IF('RAW KVMC'!C401="","",'RAW KVMC'!C401)</f>
        <v>46116</v>
      </c>
      <c r="H404" s="48" t="str">
        <f aca="false">IF('RAW KVMC'!D401="","",'RAW KVMC'!D401)</f>
        <v>Health Ed</v>
      </c>
      <c r="I404" s="48" t="n">
        <f aca="false">IF('RAW KVMC'!E401="","",'RAW KVMC'!E401)</f>
        <v>2.5</v>
      </c>
      <c r="J404" s="48" t="n">
        <f aca="false">IF('RAW KVMC'!F401="","",'RAW KVMC'!F401)</f>
        <v>0</v>
      </c>
      <c r="K404" s="50" t="n">
        <f aca="false">IF('RAW KVMC'!G401="","",'RAW KVMC'!G401)</f>
        <v>0</v>
      </c>
      <c r="L404" s="50" t="n">
        <f aca="false">IF('RAW KVMC'!H401="","",'RAW KVMC'!H401)</f>
        <v>0</v>
      </c>
      <c r="M404" s="48" t="str">
        <f aca="false">IF('RAW KVMC'!I401="","",'RAW KVMC'!I401)</f>
        <v/>
      </c>
    </row>
    <row r="405" customFormat="false" ht="15" hidden="false" customHeight="false" outlineLevel="0" collapsed="false">
      <c r="A405" s="1" t="s">
        <v>1549</v>
      </c>
      <c r="B405" s="1" t="s">
        <v>154</v>
      </c>
      <c r="C405" s="1" t="s">
        <v>1145</v>
      </c>
      <c r="D405" s="1" t="n">
        <v>402</v>
      </c>
      <c r="E405" s="48" t="str">
        <f aca="false">IF('RAW KVMC'!A402="","",'RAW KVMC'!A402)</f>
        <v>Naloxone Training and Distribution</v>
      </c>
      <c r="F405" s="48" t="str">
        <f aca="false">IF('RAW KVMC'!B402="","",'RAW KVMC'!B402)</f>
        <v>Community Health Education</v>
      </c>
      <c r="G405" s="49" t="n">
        <f aca="false">IF('RAW KVMC'!C402="","",'RAW KVMC'!C402)</f>
        <v>46116</v>
      </c>
      <c r="H405" s="48" t="str">
        <f aca="false">IF('RAW KVMC'!D402="","",'RAW KVMC'!D402)</f>
        <v>Pharm.D.</v>
      </c>
      <c r="I405" s="48" t="n">
        <f aca="false">IF('RAW KVMC'!E402="","",'RAW KVMC'!E402)</f>
        <v>2.25</v>
      </c>
      <c r="J405" s="48" t="n">
        <f aca="false">IF('RAW KVMC'!F402="","",'RAW KVMC'!F402)</f>
        <v>35</v>
      </c>
      <c r="K405" s="50" t="n">
        <f aca="false">IF('RAW KVMC'!G402="","",'RAW KVMC'!G402)</f>
        <v>1325</v>
      </c>
      <c r="L405" s="50" t="n">
        <f aca="false">IF('RAW KVMC'!H402="","",'RAW KVMC'!H402)</f>
        <v>995</v>
      </c>
      <c r="M405" s="48" t="str">
        <f aca="false">IF('RAW KVMC'!I402="","",'RAW KVMC'!I402)</f>
        <v/>
      </c>
    </row>
    <row r="406" customFormat="false" ht="15" hidden="false" customHeight="false" outlineLevel="0" collapsed="false">
      <c r="A406" s="1" t="s">
        <v>1550</v>
      </c>
      <c r="B406" s="1" t="s">
        <v>154</v>
      </c>
      <c r="C406" s="1" t="s">
        <v>1145</v>
      </c>
      <c r="D406" s="1" t="n">
        <v>403</v>
      </c>
      <c r="E406" s="48" t="str">
        <f aca="false">IF('RAW KVMC'!A403="","",'RAW KVMC'!A403)</f>
        <v>School-Based Health Center Support Grant</v>
      </c>
      <c r="F406" s="48" t="str">
        <f aca="false">IF('RAW KVMC'!B403="","",'RAW KVMC'!B403)</f>
        <v>Cash &amp; In-Kind Donations</v>
      </c>
      <c r="G406" s="49" t="n">
        <f aca="false">IF('RAW KVMC'!C403="","",'RAW KVMC'!C403)</f>
        <v>46117</v>
      </c>
      <c r="H406" s="48" t="str">
        <f aca="false">IF('RAW KVMC'!D403="","",'RAW KVMC'!D403)</f>
        <v>N/A</v>
      </c>
      <c r="I406" s="48" t="n">
        <f aca="false">IF('RAW KVMC'!E403="","",'RAW KVMC'!E403)</f>
        <v>0</v>
      </c>
      <c r="J406" s="48" t="n">
        <f aca="false">IF('RAW KVMC'!F403="","",'RAW KVMC'!F403)</f>
        <v>0</v>
      </c>
      <c r="K406" s="50" t="n">
        <f aca="false">IF('RAW KVMC'!G403="","",'RAW KVMC'!G403)</f>
        <v>67520</v>
      </c>
      <c r="L406" s="50" t="n">
        <f aca="false">IF('RAW KVMC'!H403="","",'RAW KVMC'!H403)</f>
        <v>0</v>
      </c>
      <c r="M406" s="48" t="str">
        <f aca="false">IF('RAW KVMC'!I403="","",'RAW KVMC'!I403)</f>
        <v/>
      </c>
    </row>
    <row r="407" customFormat="false" ht="15" hidden="false" customHeight="false" outlineLevel="0" collapsed="false">
      <c r="A407" s="1" t="s">
        <v>1551</v>
      </c>
      <c r="B407" s="1" t="s">
        <v>154</v>
      </c>
      <c r="C407" s="1" t="s">
        <v>1145</v>
      </c>
      <c r="D407" s="1" t="n">
        <v>404</v>
      </c>
      <c r="E407" s="48" t="str">
        <f aca="false">IF('RAW KVMC'!A404="","",'RAW KVMC'!A404)</f>
        <v>Mental Health First Aid Training</v>
      </c>
      <c r="F407" s="48" t="str">
        <f aca="false">IF('RAW KVMC'!B404="","",'RAW KVMC'!B404)</f>
        <v>Community Health Education</v>
      </c>
      <c r="G407" s="49" t="n">
        <f aca="false">IF('RAW KVMC'!C404="","",'RAW KVMC'!C404)</f>
        <v>46126</v>
      </c>
      <c r="H407" s="48" t="str">
        <f aca="false">IF('RAW KVMC'!D404="","",'RAW KVMC'!D404)</f>
        <v>CHES</v>
      </c>
      <c r="I407" s="48" t="n">
        <f aca="false">IF('RAW KVMC'!E404="","",'RAW KVMC'!E404)</f>
        <v>8</v>
      </c>
      <c r="J407" s="48" t="n">
        <f aca="false">IF('RAW KVMC'!F404="","",'RAW KVMC'!F404)</f>
        <v>0</v>
      </c>
      <c r="K407" s="50" t="n">
        <f aca="false">IF('RAW KVMC'!G404="","",'RAW KVMC'!G404)</f>
        <v>0</v>
      </c>
      <c r="L407" s="50" t="n">
        <f aca="false">IF('RAW KVMC'!H404="","",'RAW KVMC'!H404)</f>
        <v>0</v>
      </c>
      <c r="M407" s="48" t="str">
        <f aca="false">IF('RAW KVMC'!I404="","",'RAW KVMC'!I404)</f>
        <v/>
      </c>
    </row>
    <row r="408" customFormat="false" ht="15" hidden="false" customHeight="false" outlineLevel="0" collapsed="false">
      <c r="A408" s="1" t="s">
        <v>1552</v>
      </c>
      <c r="B408" s="1" t="s">
        <v>154</v>
      </c>
      <c r="C408" s="1" t="s">
        <v>1145</v>
      </c>
      <c r="D408" s="1" t="n">
        <v>405</v>
      </c>
      <c r="E408" s="48" t="str">
        <f aca="false">IF('RAW KVMC'!A405="","",'RAW KVMC'!A405)</f>
        <v>Mental Health First Aid Training</v>
      </c>
      <c r="F408" s="48" t="str">
        <f aca="false">IF('RAW KVMC'!B405="","",'RAW KVMC'!B405)</f>
        <v>Community Health Education</v>
      </c>
      <c r="G408" s="49" t="n">
        <f aca="false">IF('RAW KVMC'!C405="","",'RAW KVMC'!C405)</f>
        <v>46126</v>
      </c>
      <c r="H408" s="48" t="str">
        <f aca="false">IF('RAW KVMC'!D405="","",'RAW KVMC'!D405)</f>
        <v>LMSW</v>
      </c>
      <c r="I408" s="48" t="n">
        <f aca="false">IF('RAW KVMC'!E405="","",'RAW KVMC'!E405)</f>
        <v>8</v>
      </c>
      <c r="J408" s="48" t="n">
        <f aca="false">IF('RAW KVMC'!F405="","",'RAW KVMC'!F405)</f>
        <v>27</v>
      </c>
      <c r="K408" s="50" t="n">
        <f aca="false">IF('RAW KVMC'!G405="","",'RAW KVMC'!G405)</f>
        <v>325</v>
      </c>
      <c r="L408" s="50" t="n">
        <f aca="false">IF('RAW KVMC'!H405="","",'RAW KVMC'!H405)</f>
        <v>0</v>
      </c>
      <c r="M408" s="48" t="str">
        <f aca="false">IF('RAW KVMC'!I405="","",'RAW KVMC'!I405)</f>
        <v/>
      </c>
    </row>
    <row r="409" customFormat="false" ht="15" hidden="false" customHeight="false" outlineLevel="0" collapsed="false">
      <c r="A409" s="1" t="s">
        <v>1553</v>
      </c>
      <c r="B409" s="1" t="s">
        <v>154</v>
      </c>
      <c r="C409" s="1" t="s">
        <v>1145</v>
      </c>
      <c r="D409" s="1" t="n">
        <v>406</v>
      </c>
      <c r="E409" s="48" t="str">
        <f aca="false">IF('RAW KVMC'!A406="","",'RAW KVMC'!A406)</f>
        <v>Grief Support Group</v>
      </c>
      <c r="F409" s="48" t="str">
        <f aca="false">IF('RAW KVMC'!B406="","",'RAW KVMC'!B406)</f>
        <v>Health Care Support Services</v>
      </c>
      <c r="G409" s="49" t="n">
        <f aca="false">IF('RAW KVMC'!C406="","",'RAW KVMC'!C406)</f>
        <v>46127</v>
      </c>
      <c r="H409" s="48" t="str">
        <f aca="false">IF('RAW KVMC'!D406="","",'RAW KVMC'!D406)</f>
        <v> Spiritual Care</v>
      </c>
      <c r="I409" s="48" t="n">
        <f aca="false">IF('RAW KVMC'!E406="","",'RAW KVMC'!E406)</f>
        <v>2.25</v>
      </c>
      <c r="J409" s="48" t="n">
        <f aca="false">IF('RAW KVMC'!F406="","",'RAW KVMC'!F406)</f>
        <v>11</v>
      </c>
      <c r="K409" s="50" t="n">
        <f aca="false">IF('RAW KVMC'!G406="","",'RAW KVMC'!G406)</f>
        <v>20</v>
      </c>
      <c r="L409" s="50" t="n">
        <f aca="false">IF('RAW KVMC'!H406="","",'RAW KVMC'!H406)</f>
        <v>0</v>
      </c>
      <c r="M409" s="48" t="str">
        <f aca="false">IF('RAW KVMC'!I406="","",'RAW KVMC'!I406)</f>
        <v/>
      </c>
    </row>
    <row r="410" customFormat="false" ht="15" hidden="false" customHeight="false" outlineLevel="0" collapsed="false">
      <c r="A410" s="1" t="s">
        <v>1554</v>
      </c>
      <c r="B410" s="1" t="s">
        <v>154</v>
      </c>
      <c r="C410" s="1" t="s">
        <v>1145</v>
      </c>
      <c r="D410" s="1" t="n">
        <v>407</v>
      </c>
      <c r="E410" s="48" t="str">
        <f aca="false">IF('RAW KVMC'!A407="","",'RAW KVMC'!A407)</f>
        <v>Grief Support Group</v>
      </c>
      <c r="F410" s="48" t="str">
        <f aca="false">IF('RAW KVMC'!B407="","",'RAW KVMC'!B407)</f>
        <v>Health Care Support Services</v>
      </c>
      <c r="G410" s="49" t="n">
        <f aca="false">IF('RAW KVMC'!C407="","",'RAW KVMC'!C407)</f>
        <v>46127</v>
      </c>
      <c r="H410" s="48" t="str">
        <f aca="false">IF('RAW KVMC'!D407="","",'RAW KVMC'!D407)</f>
        <v>LMSW</v>
      </c>
      <c r="I410" s="48" t="n">
        <f aca="false">IF('RAW KVMC'!E407="","",'RAW KVMC'!E407)</f>
        <v>1.75</v>
      </c>
      <c r="J410" s="48" t="n">
        <f aca="false">IF('RAW KVMC'!F407="","",'RAW KVMC'!F407)</f>
        <v>0</v>
      </c>
      <c r="K410" s="50" t="n">
        <f aca="false">IF('RAW KVMC'!G407="","",'RAW KVMC'!G407)</f>
        <v>0</v>
      </c>
      <c r="L410" s="50" t="n">
        <f aca="false">IF('RAW KVMC'!H407="","",'RAW KVMC'!H407)</f>
        <v>0</v>
      </c>
      <c r="M410" s="48" t="str">
        <f aca="false">IF('RAW KVMC'!I407="","",'RAW KVMC'!I407)</f>
        <v/>
      </c>
    </row>
    <row r="411" customFormat="false" ht="15" hidden="false" customHeight="false" outlineLevel="0" collapsed="false">
      <c r="A411" s="1" t="s">
        <v>1555</v>
      </c>
      <c r="B411" s="1" t="s">
        <v>154</v>
      </c>
      <c r="C411" s="1" t="s">
        <v>1145</v>
      </c>
      <c r="D411" s="1" t="n">
        <v>408</v>
      </c>
      <c r="E411" s="48" t="str">
        <f aca="false">IF('RAW KVMC'!A408="","",'RAW KVMC'!A408)</f>
        <v>Community Blood Pressure Checks</v>
      </c>
      <c r="F411" s="48" t="str">
        <f aca="false">IF('RAW KVMC'!B408="","",'RAW KVMC'!B408)</f>
        <v>Community-Based Clinical Services</v>
      </c>
      <c r="G411" s="49" t="n">
        <f aca="false">IF('RAW KVMC'!C408="","",'RAW KVMC'!C408)</f>
        <v>46130</v>
      </c>
      <c r="H411" s="48" t="str">
        <f aca="false">IF('RAW KVMC'!D408="","",'RAW KVMC'!D408)</f>
        <v>RN - Outreach</v>
      </c>
      <c r="I411" s="48" t="n">
        <f aca="false">IF('RAW KVMC'!E408="","",'RAW KVMC'!E408)</f>
        <v>3.75</v>
      </c>
      <c r="J411" s="48" t="n">
        <f aca="false">IF('RAW KVMC'!F408="","",'RAW KVMC'!F408)</f>
        <v>47</v>
      </c>
      <c r="K411" s="50" t="n">
        <f aca="false">IF('RAW KVMC'!G408="","",'RAW KVMC'!G408)</f>
        <v>50</v>
      </c>
      <c r="L411" s="50" t="n">
        <f aca="false">IF('RAW KVMC'!H408="","",'RAW KVMC'!H408)</f>
        <v>0</v>
      </c>
      <c r="M411" s="48" t="str">
        <f aca="false">IF('RAW KVMC'!I408="","",'RAW KVMC'!I408)</f>
        <v/>
      </c>
    </row>
    <row r="412" customFormat="false" ht="15" hidden="false" customHeight="false" outlineLevel="0" collapsed="false">
      <c r="A412" s="1" t="s">
        <v>1556</v>
      </c>
      <c r="B412" s="1" t="s">
        <v>154</v>
      </c>
      <c r="C412" s="1" t="s">
        <v>1145</v>
      </c>
      <c r="D412" s="1" t="n">
        <v>409</v>
      </c>
      <c r="E412" s="48" t="str">
        <f aca="false">IF('RAW KVMC'!A409="","",'RAW KVMC'!A409)</f>
        <v>Regional Health Coalition</v>
      </c>
      <c r="F412" s="48" t="str">
        <f aca="false">IF('RAW KVMC'!B409="","",'RAW KVMC'!B409)</f>
        <v>Community Building - Coalition</v>
      </c>
      <c r="G412" s="49" t="n">
        <f aca="false">IF('RAW KVMC'!C409="","",'RAW KVMC'!C409)</f>
        <v>46130</v>
      </c>
      <c r="H412" s="48" t="str">
        <f aca="false">IF('RAW KVMC'!D409="","",'RAW KVMC'!D409)</f>
        <v>Community Benefit Manager</v>
      </c>
      <c r="I412" s="48" t="n">
        <f aca="false">IF('RAW KVMC'!E409="","",'RAW KVMC'!E409)</f>
        <v>2.5</v>
      </c>
      <c r="J412" s="48" t="n">
        <f aca="false">IF('RAW KVMC'!F409="","",'RAW KVMC'!F409)</f>
        <v>0</v>
      </c>
      <c r="K412" s="50" t="n">
        <f aca="false">IF('RAW KVMC'!G409="","",'RAW KVMC'!G409)</f>
        <v>0</v>
      </c>
      <c r="L412" s="50" t="n">
        <f aca="false">IF('RAW KVMC'!H409="","",'RAW KVMC'!H409)</f>
        <v>0</v>
      </c>
      <c r="M412" s="48" t="str">
        <f aca="false">IF('RAW KVMC'!I409="","",'RAW KVMC'!I409)</f>
        <v/>
      </c>
    </row>
    <row r="413" customFormat="false" ht="15" hidden="false" customHeight="false" outlineLevel="0" collapsed="false">
      <c r="A413" s="1" t="s">
        <v>1557</v>
      </c>
      <c r="B413" s="1" t="s">
        <v>154</v>
      </c>
      <c r="C413" s="1" t="s">
        <v>1145</v>
      </c>
      <c r="D413" s="1" t="n">
        <v>410</v>
      </c>
      <c r="E413" s="48" t="str">
        <f aca="false">IF('RAW KVMC'!A410="","",'RAW KVMC'!A410)</f>
        <v>Regional Health Coalition</v>
      </c>
      <c r="F413" s="48" t="str">
        <f aca="false">IF('RAW KVMC'!B410="","",'RAW KVMC'!B410)</f>
        <v>Community Building - Coalition</v>
      </c>
      <c r="G413" s="49" t="n">
        <f aca="false">IF('RAW KVMC'!C410="","",'RAW KVMC'!C410)</f>
        <v>46130</v>
      </c>
      <c r="H413" s="48" t="str">
        <f aca="false">IF('RAW KVMC'!D410="","",'RAW KVMC'!D410)</f>
        <v>Director, Mission</v>
      </c>
      <c r="I413" s="48" t="n">
        <f aca="false">IF('RAW KVMC'!E410="","",'RAW KVMC'!E410)</f>
        <v>2.75</v>
      </c>
      <c r="J413" s="48" t="n">
        <f aca="false">IF('RAW KVMC'!F410="","",'RAW KVMC'!F410)</f>
        <v>0</v>
      </c>
      <c r="K413" s="50" t="n">
        <f aca="false">IF('RAW KVMC'!G410="","",'RAW KVMC'!G410)</f>
        <v>55</v>
      </c>
      <c r="L413" s="50" t="n">
        <f aca="false">IF('RAW KVMC'!H410="","",'RAW KVMC'!H410)</f>
        <v>0</v>
      </c>
      <c r="M413" s="48" t="str">
        <f aca="false">IF('RAW KVMC'!I410="","",'RAW KVMC'!I410)</f>
        <v/>
      </c>
    </row>
    <row r="414" customFormat="false" ht="15" hidden="false" customHeight="false" outlineLevel="0" collapsed="false">
      <c r="A414" s="1" t="s">
        <v>1558</v>
      </c>
      <c r="B414" s="1" t="s">
        <v>154</v>
      </c>
      <c r="C414" s="1" t="s">
        <v>1145</v>
      </c>
      <c r="D414" s="1" t="n">
        <v>411</v>
      </c>
      <c r="E414" s="48" t="str">
        <f aca="false">IF('RAW KVMC'!A411="","",'RAW KVMC'!A411)</f>
        <v>Childbirth and Newborn Care Classes</v>
      </c>
      <c r="F414" s="48" t="str">
        <f aca="false">IF('RAW KVMC'!B411="","",'RAW KVMC'!B411)</f>
        <v>Community Health Education</v>
      </c>
      <c r="G414" s="49" t="n">
        <f aca="false">IF('RAW KVMC'!C411="","",'RAW KVMC'!C411)</f>
        <v>46132</v>
      </c>
      <c r="H414" s="48" t="str">
        <f aca="false">IF('RAW KVMC'!D411="","",'RAW KVMC'!D411)</f>
        <v> Clinical Nurse Educator</v>
      </c>
      <c r="I414" s="48" t="n">
        <f aca="false">IF('RAW KVMC'!E411="","",'RAW KVMC'!E411)</f>
        <v>3</v>
      </c>
      <c r="J414" s="48" t="n">
        <f aca="false">IF('RAW KVMC'!F411="","",'RAW KVMC'!F411)</f>
        <v>15</v>
      </c>
      <c r="K414" s="50" t="n">
        <f aca="false">IF('RAW KVMC'!G411="","",'RAW KVMC'!G411)</f>
        <v>160</v>
      </c>
      <c r="L414" s="50" t="n">
        <f aca="false">IF('RAW KVMC'!H411="","",'RAW KVMC'!H411)</f>
        <v>0</v>
      </c>
      <c r="M414" s="48" t="str">
        <f aca="false">IF('RAW KVMC'!I411="","",'RAW KVMC'!I411)</f>
        <v/>
      </c>
    </row>
    <row r="415" customFormat="false" ht="15" hidden="false" customHeight="false" outlineLevel="0" collapsed="false">
      <c r="A415" s="1" t="s">
        <v>1559</v>
      </c>
      <c r="B415" s="1" t="s">
        <v>154</v>
      </c>
      <c r="C415" s="1" t="s">
        <v>1145</v>
      </c>
      <c r="D415" s="1" t="n">
        <v>412</v>
      </c>
      <c r="E415" s="48" t="str">
        <f aca="false">IF('RAW KVMC'!A412="","",'RAW KVMC'!A412)</f>
        <v>Mental Health First Aid Training</v>
      </c>
      <c r="F415" s="48" t="str">
        <f aca="false">IF('RAW KVMC'!B412="","",'RAW KVMC'!B412)</f>
        <v>Community Health Education</v>
      </c>
      <c r="G415" s="49" t="n">
        <f aca="false">IF('RAW KVMC'!C412="","",'RAW KVMC'!C412)</f>
        <v>46136</v>
      </c>
      <c r="H415" s="48" t="str">
        <f aca="false">IF('RAW KVMC'!D412="","",'RAW KVMC'!D412)</f>
        <v>Hlth Educator</v>
      </c>
      <c r="I415" s="48" t="n">
        <f aca="false">IF('RAW KVMC'!E412="","",'RAW KVMC'!E412)</f>
        <v>8</v>
      </c>
      <c r="J415" s="48" t="n">
        <f aca="false">IF('RAW KVMC'!F412="","",'RAW KVMC'!F412)</f>
        <v>0</v>
      </c>
      <c r="K415" s="50" t="n">
        <f aca="false">IF('RAW KVMC'!G412="","",'RAW KVMC'!G412)</f>
        <v>0</v>
      </c>
      <c r="L415" s="50" t="n">
        <f aca="false">IF('RAW KVMC'!H412="","",'RAW KVMC'!H412)</f>
        <v>0</v>
      </c>
      <c r="M415" s="48" t="str">
        <f aca="false">IF('RAW KVMC'!I412="","",'RAW KVMC'!I412)</f>
        <v/>
      </c>
    </row>
    <row r="416" customFormat="false" ht="15" hidden="false" customHeight="false" outlineLevel="0" collapsed="false">
      <c r="A416" s="1" t="s">
        <v>1560</v>
      </c>
      <c r="B416" s="1" t="s">
        <v>154</v>
      </c>
      <c r="C416" s="1" t="s">
        <v>1145</v>
      </c>
      <c r="D416" s="1" t="n">
        <v>413</v>
      </c>
      <c r="E416" s="48" t="str">
        <f aca="false">IF('RAW KVMC'!A413="","",'RAW KVMC'!A413)</f>
        <v>Mental Health First Aid Training</v>
      </c>
      <c r="F416" s="48" t="str">
        <f aca="false">IF('RAW KVMC'!B413="","",'RAW KVMC'!B413)</f>
        <v>Community Health Education</v>
      </c>
      <c r="G416" s="49" t="n">
        <f aca="false">IF('RAW KVMC'!C413="","",'RAW KVMC'!C413)</f>
        <v>46136</v>
      </c>
      <c r="H416" s="48" t="str">
        <f aca="false">IF('RAW KVMC'!D413="","",'RAW KVMC'!D413)</f>
        <v>LMSW</v>
      </c>
      <c r="I416" s="48" t="n">
        <f aca="false">IF('RAW KVMC'!E413="","",'RAW KVMC'!E413)</f>
        <v>8</v>
      </c>
      <c r="J416" s="48" t="n">
        <f aca="false">IF('RAW KVMC'!F413="","",'RAW KVMC'!F413)</f>
        <v>24</v>
      </c>
      <c r="K416" s="50" t="n">
        <f aca="false">IF('RAW KVMC'!G413="","",'RAW KVMC'!G413)</f>
        <v>370</v>
      </c>
      <c r="L416" s="50" t="n">
        <f aca="false">IF('RAW KVMC'!H413="","",'RAW KVMC'!H413)</f>
        <v>0</v>
      </c>
      <c r="M416" s="48" t="str">
        <f aca="false">IF('RAW KVMC'!I413="","",'RAW KVMC'!I413)</f>
        <v/>
      </c>
    </row>
    <row r="417" customFormat="false" ht="15" hidden="false" customHeight="false" outlineLevel="0" collapsed="false">
      <c r="A417" s="1" t="s">
        <v>1561</v>
      </c>
      <c r="B417" s="1" t="s">
        <v>154</v>
      </c>
      <c r="C417" s="1" t="s">
        <v>1145</v>
      </c>
      <c r="D417" s="1" t="n">
        <v>414</v>
      </c>
      <c r="E417" s="48" t="str">
        <f aca="false">IF('RAW KVMC'!A414="","",'RAW KVMC'!A414)</f>
        <v>Mobile Health Screening Unit</v>
      </c>
      <c r="F417" s="48" t="str">
        <f aca="false">IF('RAW KVMC'!B414="","",'RAW KVMC'!B414)</f>
        <v>Community-Based Clinical Services</v>
      </c>
      <c r="G417" s="49" t="n">
        <f aca="false">IF('RAW KVMC'!C414="","",'RAW KVMC'!C414)</f>
        <v>46142</v>
      </c>
      <c r="H417" s="48" t="str">
        <f aca="false">IF('RAW KVMC'!D414="","",'RAW KVMC'!D414)</f>
        <v>Comm. Health Worker</v>
      </c>
      <c r="I417" s="48" t="n">
        <f aca="false">IF('RAW KVMC'!E414="","",'RAW KVMC'!E414)</f>
        <v>65.75</v>
      </c>
      <c r="J417" s="48" t="n">
        <f aca="false">IF('RAW KVMC'!F414="","",'RAW KVMC'!F414)</f>
        <v>0</v>
      </c>
      <c r="K417" s="50" t="n">
        <f aca="false">IF('RAW KVMC'!G414="","",'RAW KVMC'!G414)</f>
        <v>0</v>
      </c>
      <c r="L417" s="50" t="n">
        <f aca="false">IF('RAW KVMC'!H414="","",'RAW KVMC'!H414)</f>
        <v>0</v>
      </c>
      <c r="M417" s="48" t="str">
        <f aca="false">IF('RAW KVMC'!I414="","",'RAW KVMC'!I414)</f>
        <v/>
      </c>
    </row>
    <row r="418" customFormat="false" ht="15" hidden="false" customHeight="false" outlineLevel="0" collapsed="false">
      <c r="A418" s="1" t="s">
        <v>1562</v>
      </c>
      <c r="B418" s="1" t="s">
        <v>154</v>
      </c>
      <c r="C418" s="1" t="s">
        <v>1145</v>
      </c>
      <c r="D418" s="1" t="n">
        <v>415</v>
      </c>
      <c r="E418" s="48" t="str">
        <f aca="false">IF('RAW KVMC'!A415="","",'RAW KVMC'!A415)</f>
        <v>Mobile Health Screening Unit</v>
      </c>
      <c r="F418" s="48" t="str">
        <f aca="false">IF('RAW KVMC'!B415="","",'RAW KVMC'!B415)</f>
        <v>Community-Based Clinical Services</v>
      </c>
      <c r="G418" s="49" t="n">
        <f aca="false">IF('RAW KVMC'!C415="","",'RAW KVMC'!C415)</f>
        <v>46142</v>
      </c>
      <c r="H418" s="48" t="str">
        <f aca="false">IF('RAW KVMC'!D415="","",'RAW KVMC'!D415)</f>
        <v>Med Asst </v>
      </c>
      <c r="I418" s="48" t="n">
        <f aca="false">IF('RAW KVMC'!E415="","",'RAW KVMC'!E415)</f>
        <v>127.75</v>
      </c>
      <c r="J418" s="48" t="n">
        <f aca="false">IF('RAW KVMC'!F415="","",'RAW KVMC'!F415)</f>
        <v>0</v>
      </c>
      <c r="K418" s="50" t="n">
        <f aca="false">IF('RAW KVMC'!G415="","",'RAW KVMC'!G415)</f>
        <v>0</v>
      </c>
      <c r="L418" s="50" t="n">
        <f aca="false">IF('RAW KVMC'!H415="","",'RAW KVMC'!H415)</f>
        <v>0</v>
      </c>
      <c r="M418" s="48" t="str">
        <f aca="false">IF('RAW KVMC'!I415="","",'RAW KVMC'!I415)</f>
        <v/>
      </c>
    </row>
    <row r="419" customFormat="false" ht="15" hidden="false" customHeight="false" outlineLevel="0" collapsed="false">
      <c r="A419" s="1" t="s">
        <v>1563</v>
      </c>
      <c r="B419" s="1" t="s">
        <v>154</v>
      </c>
      <c r="C419" s="1" t="s">
        <v>1145</v>
      </c>
      <c r="D419" s="1" t="n">
        <v>416</v>
      </c>
      <c r="E419" s="48" t="str">
        <f aca="false">IF('RAW KVMC'!A416="","",'RAW KVMC'!A416)</f>
        <v>Mobile Health Screening Unit</v>
      </c>
      <c r="F419" s="48" t="str">
        <f aca="false">IF('RAW KVMC'!B416="","",'RAW KVMC'!B416)</f>
        <v>Community-Based Clinical Services</v>
      </c>
      <c r="G419" s="49" t="n">
        <f aca="false">IF('RAW KVMC'!C416="","",'RAW KVMC'!C416)</f>
        <v>46142</v>
      </c>
      <c r="H419" s="48" t="str">
        <f aca="false">IF('RAW KVMC'!D416="","",'RAW KVMC'!D416)</f>
        <v>Registered Nurse</v>
      </c>
      <c r="I419" s="48" t="n">
        <f aca="false">IF('RAW KVMC'!E416="","",'RAW KVMC'!E416)</f>
        <v>111.5</v>
      </c>
      <c r="J419" s="48" t="n">
        <f aca="false">IF('RAW KVMC'!F416="","",'RAW KVMC'!F416)</f>
        <v>374</v>
      </c>
      <c r="K419" s="50" t="n">
        <f aca="false">IF('RAW KVMC'!G416="","",'RAW KVMC'!G416)</f>
        <v>11015</v>
      </c>
      <c r="L419" s="50" t="n">
        <f aca="false">IF('RAW KVMC'!H416="","",'RAW KVMC'!H416)</f>
        <v>0</v>
      </c>
      <c r="M419" s="48" t="str">
        <f aca="false">IF('RAW KVMC'!I416="","",'RAW KVMC'!I416)</f>
        <v/>
      </c>
    </row>
    <row r="420" customFormat="false" ht="15" hidden="false" customHeight="false" outlineLevel="0" collapsed="false">
      <c r="A420" s="1" t="s">
        <v>1564</v>
      </c>
      <c r="B420" s="1" t="s">
        <v>154</v>
      </c>
      <c r="C420" s="1" t="s">
        <v>1145</v>
      </c>
      <c r="D420" s="1" t="n">
        <v>417</v>
      </c>
      <c r="E420" s="48" t="str">
        <f aca="false">IF('RAW KVMC'!A417="","",'RAW KVMC'!A417)</f>
        <v>Tobacco Cessation Classes</v>
      </c>
      <c r="F420" s="48" t="str">
        <f aca="false">IF('RAW KVMC'!B417="","",'RAW KVMC'!B417)</f>
        <v>Community Health Education</v>
      </c>
      <c r="G420" s="49" t="n">
        <f aca="false">IF('RAW KVMC'!C417="","",'RAW KVMC'!C417)</f>
        <v>46142</v>
      </c>
      <c r="H420" s="48" t="str">
        <f aca="false">IF('RAW KVMC'!D417="","",'RAW KVMC'!D417)</f>
        <v>RRT</v>
      </c>
      <c r="I420" s="48" t="n">
        <f aca="false">IF('RAW KVMC'!E417="","",'RAW KVMC'!E417)</f>
        <v>2</v>
      </c>
      <c r="J420" s="48" t="n">
        <f aca="false">IF('RAW KVMC'!F417="","",'RAW KVMC'!F417)</f>
        <v>13</v>
      </c>
      <c r="K420" s="50" t="n">
        <f aca="false">IF('RAW KVMC'!G417="","",'RAW KVMC'!G417)</f>
        <v>145</v>
      </c>
      <c r="L420" s="50" t="n">
        <f aca="false">IF('RAW KVMC'!H417="","",'RAW KVMC'!H417)</f>
        <v>0</v>
      </c>
      <c r="M420" s="48" t="str">
        <f aca="false">IF('RAW KVMC'!I417="","",'RAW KVMC'!I417)</f>
        <v/>
      </c>
    </row>
    <row r="421" customFormat="false" ht="15" hidden="false" customHeight="false" outlineLevel="0" collapsed="false">
      <c r="A421" s="1" t="s">
        <v>1565</v>
      </c>
      <c r="B421" s="1" t="s">
        <v>154</v>
      </c>
      <c r="C421" s="1" t="s">
        <v>1145</v>
      </c>
      <c r="D421" s="1" t="n">
        <v>418</v>
      </c>
      <c r="E421" s="48" t="str">
        <f aca="false">IF('RAW KVMC'!A418="","",'RAW KVMC'!A418)</f>
        <v>Free Clinic Provider Staffing</v>
      </c>
      <c r="F421" s="48" t="str">
        <f aca="false">IF('RAW KVMC'!B418="","",'RAW KVMC'!B418)</f>
        <v>Community-Based Clinical Services</v>
      </c>
      <c r="G421" s="49" t="n">
        <f aca="false">IF('RAW KVMC'!C418="","",'RAW KVMC'!C418)</f>
        <v>46142</v>
      </c>
      <c r="H421" s="48" t="str">
        <f aca="false">IF('RAW KVMC'!D418="","",'RAW KVMC'!D418)</f>
        <v>FNP</v>
      </c>
      <c r="I421" s="48" t="n">
        <f aca="false">IF('RAW KVMC'!E418="","",'RAW KVMC'!E418)</f>
        <v>46.5</v>
      </c>
      <c r="J421" s="48" t="n">
        <f aca="false">IF('RAW KVMC'!F418="","",'RAW KVMC'!F418)</f>
        <v>275</v>
      </c>
      <c r="K421" s="50" t="n">
        <f aca="false">IF('RAW KVMC'!G418="","",'RAW KVMC'!G418)</f>
        <v>5295</v>
      </c>
      <c r="L421" s="50" t="n">
        <f aca="false">IF('RAW KVMC'!H418="","",'RAW KVMC'!H418)</f>
        <v>0</v>
      </c>
      <c r="M421" s="48" t="str">
        <f aca="false">IF('RAW KVMC'!I418="","",'RAW KVMC'!I418)</f>
        <v/>
      </c>
    </row>
    <row r="422" customFormat="false" ht="15" hidden="false" customHeight="false" outlineLevel="0" collapsed="false">
      <c r="A422" s="1" t="s">
        <v>1566</v>
      </c>
      <c r="B422" s="1" t="s">
        <v>154</v>
      </c>
      <c r="C422" s="1" t="s">
        <v>1145</v>
      </c>
      <c r="D422" s="1" t="n">
        <v>419</v>
      </c>
      <c r="E422" s="48" t="str">
        <f aca="false">IF('RAW KVMC'!A419="","",'RAW KVMC'!A419)</f>
        <v>Free Clinic Provider Staffing</v>
      </c>
      <c r="F422" s="48" t="str">
        <f aca="false">IF('RAW KVMC'!B419="","",'RAW KVMC'!B419)</f>
        <v>Community-Based Clinical Services</v>
      </c>
      <c r="G422" s="49" t="n">
        <f aca="false">IF('RAW KVMC'!C419="","",'RAW KVMC'!C419)</f>
        <v>46142</v>
      </c>
      <c r="H422" s="48" t="str">
        <f aca="false">IF('RAW KVMC'!D419="","",'RAW KVMC'!D419)</f>
        <v>Pharm.D.</v>
      </c>
      <c r="I422" s="48" t="n">
        <f aca="false">IF('RAW KVMC'!E419="","",'RAW KVMC'!E419)</f>
        <v>20</v>
      </c>
      <c r="J422" s="48" t="n">
        <f aca="false">IF('RAW KVMC'!F419="","",'RAW KVMC'!F419)</f>
        <v>0</v>
      </c>
      <c r="K422" s="50" t="n">
        <f aca="false">IF('RAW KVMC'!G419="","",'RAW KVMC'!G419)</f>
        <v>0</v>
      </c>
      <c r="L422" s="50" t="n">
        <f aca="false">IF('RAW KVMC'!H419="","",'RAW KVMC'!H419)</f>
        <v>0</v>
      </c>
      <c r="M422" s="48" t="str">
        <f aca="false">IF('RAW KVMC'!I419="","",'RAW KVMC'!I419)</f>
        <v/>
      </c>
    </row>
    <row r="423" customFormat="false" ht="15" hidden="false" customHeight="false" outlineLevel="0" collapsed="false">
      <c r="A423" s="1" t="s">
        <v>1567</v>
      </c>
      <c r="B423" s="1" t="s">
        <v>154</v>
      </c>
      <c r="C423" s="1" t="s">
        <v>1145</v>
      </c>
      <c r="D423" s="1" t="n">
        <v>420</v>
      </c>
      <c r="E423" s="48" t="str">
        <f aca="false">IF('RAW KVMC'!A420="","",'RAW KVMC'!A420)</f>
        <v>Free Clinic Provider Staffing</v>
      </c>
      <c r="F423" s="48" t="str">
        <f aca="false">IF('RAW KVMC'!B420="","",'RAW KVMC'!B420)</f>
        <v>Community-Based Clinical Services</v>
      </c>
      <c r="G423" s="49" t="n">
        <f aca="false">IF('RAW KVMC'!C420="","",'RAW KVMC'!C420)</f>
        <v>46142</v>
      </c>
      <c r="H423" s="48" t="str">
        <f aca="false">IF('RAW KVMC'!D420="","",'RAW KVMC'!D420)</f>
        <v>Registered Nurse</v>
      </c>
      <c r="I423" s="48" t="n">
        <f aca="false">IF('RAW KVMC'!E420="","",'RAW KVMC'!E420)</f>
        <v>48</v>
      </c>
      <c r="J423" s="48" t="n">
        <f aca="false">IF('RAW KVMC'!F420="","",'RAW KVMC'!F420)</f>
        <v>0</v>
      </c>
      <c r="K423" s="50" t="n">
        <f aca="false">IF('RAW KVMC'!G420="","",'RAW KVMC'!G420)</f>
        <v>0</v>
      </c>
      <c r="L423" s="50" t="n">
        <f aca="false">IF('RAW KVMC'!H420="","",'RAW KVMC'!H420)</f>
        <v>0</v>
      </c>
      <c r="M423" s="48" t="str">
        <f aca="false">IF('RAW KVMC'!I420="","",'RAW KVMC'!I420)</f>
        <v/>
      </c>
    </row>
    <row r="424" customFormat="false" ht="15" hidden="false" customHeight="false" outlineLevel="0" collapsed="false">
      <c r="A424" s="1" t="s">
        <v>1568</v>
      </c>
      <c r="B424" s="1" t="s">
        <v>154</v>
      </c>
      <c r="C424" s="1" t="s">
        <v>1145</v>
      </c>
      <c r="D424" s="1" t="n">
        <v>421</v>
      </c>
      <c r="E424" s="48" t="str">
        <f aca="false">IF('RAW KVMC'!A421="","",'RAW KVMC'!A421)</f>
        <v>Community Health Worker Outreach</v>
      </c>
      <c r="F424" s="48" t="str">
        <f aca="false">IF('RAW KVMC'!B421="","",'RAW KVMC'!B421)</f>
        <v>Health Care Support Services</v>
      </c>
      <c r="G424" s="49" t="n">
        <f aca="false">IF('RAW KVMC'!C421="","",'RAW KVMC'!C421)</f>
        <v>46142</v>
      </c>
      <c r="H424" s="48" t="str">
        <f aca="false">IF('RAW KVMC'!D421="","",'RAW KVMC'!D421)</f>
        <v>CHW</v>
      </c>
      <c r="I424" s="48" t="n">
        <f aca="false">IF('RAW KVMC'!E421="","",'RAW KVMC'!E421)</f>
        <v>419.25</v>
      </c>
      <c r="J424" s="48" t="n">
        <f aca="false">IF('RAW KVMC'!F421="","",'RAW KVMC'!F421)</f>
        <v>359</v>
      </c>
      <c r="K424" s="50" t="n">
        <f aca="false">IF('RAW KVMC'!G421="","",'RAW KVMC'!G421)</f>
        <v>2610</v>
      </c>
      <c r="L424" s="50" t="n">
        <f aca="false">IF('RAW KVMC'!H421="","",'RAW KVMC'!H421)</f>
        <v>0</v>
      </c>
      <c r="M424" s="48" t="str">
        <f aca="false">IF('RAW KVMC'!I421="","",'RAW KVMC'!I421)</f>
        <v/>
      </c>
    </row>
    <row r="425" customFormat="false" ht="15" hidden="false" customHeight="false" outlineLevel="0" collapsed="false">
      <c r="A425" s="1" t="s">
        <v>1569</v>
      </c>
      <c r="B425" s="1" t="s">
        <v>154</v>
      </c>
      <c r="C425" s="1" t="s">
        <v>1145</v>
      </c>
      <c r="D425" s="1" t="n">
        <v>422</v>
      </c>
      <c r="E425" s="48" t="str">
        <f aca="false">IF('RAW KVMC'!A422="","",'RAW KVMC'!A422)</f>
        <v>Community Health Worker Outreach</v>
      </c>
      <c r="F425" s="48" t="str">
        <f aca="false">IF('RAW KVMC'!B422="","",'RAW KVMC'!B422)</f>
        <v>Health Care Support Services</v>
      </c>
      <c r="G425" s="49" t="n">
        <f aca="false">IF('RAW KVMC'!C422="","",'RAW KVMC'!C422)</f>
        <v>46142</v>
      </c>
      <c r="H425" s="48" t="str">
        <f aca="false">IF('RAW KVMC'!D422="","",'RAW KVMC'!D422)</f>
        <v>Financial Navigator</v>
      </c>
      <c r="I425" s="48" t="n">
        <f aca="false">IF('RAW KVMC'!E422="","",'RAW KVMC'!E422)</f>
        <v>203.25</v>
      </c>
      <c r="J425" s="48" t="n">
        <f aca="false">IF('RAW KVMC'!F422="","",'RAW KVMC'!F422)</f>
        <v>0</v>
      </c>
      <c r="K425" s="50" t="n">
        <f aca="false">IF('RAW KVMC'!G422="","",'RAW KVMC'!G422)</f>
        <v>0</v>
      </c>
      <c r="L425" s="50" t="n">
        <f aca="false">IF('RAW KVMC'!H422="","",'RAW KVMC'!H422)</f>
        <v>0</v>
      </c>
      <c r="M425" s="48" t="str">
        <f aca="false">IF('RAW KVMC'!I422="","",'RAW KVMC'!I422)</f>
        <v/>
      </c>
    </row>
    <row r="426" customFormat="false" ht="15" hidden="false" customHeight="false" outlineLevel="0" collapsed="false">
      <c r="A426" s="1" t="s">
        <v>1570</v>
      </c>
      <c r="B426" s="1" t="s">
        <v>154</v>
      </c>
      <c r="C426" s="1" t="s">
        <v>1145</v>
      </c>
      <c r="D426" s="1" t="n">
        <v>423</v>
      </c>
      <c r="E426" s="48" t="str">
        <f aca="false">IF('RAW KVMC'!A423="","",'RAW KVMC'!A423)</f>
        <v>Medication Assistance Program</v>
      </c>
      <c r="F426" s="48" t="str">
        <f aca="false">IF('RAW KVMC'!B423="","",'RAW KVMC'!B423)</f>
        <v>Health Care Support Services</v>
      </c>
      <c r="G426" s="49" t="n">
        <f aca="false">IF('RAW KVMC'!C423="","",'RAW KVMC'!C423)</f>
        <v>46142</v>
      </c>
      <c r="H426" s="48" t="str">
        <f aca="false">IF('RAW KVMC'!D423="","",'RAW KVMC'!D423)</f>
        <v> Navigator</v>
      </c>
      <c r="I426" s="48" t="n">
        <f aca="false">IF('RAW KVMC'!E423="","",'RAW KVMC'!E423)</f>
        <v>111.5</v>
      </c>
      <c r="J426" s="48" t="n">
        <f aca="false">IF('RAW KVMC'!F423="","",'RAW KVMC'!F423)</f>
        <v>0</v>
      </c>
      <c r="K426" s="50" t="n">
        <f aca="false">IF('RAW KVMC'!G423="","",'RAW KVMC'!G423)</f>
        <v>0</v>
      </c>
      <c r="L426" s="50" t="n">
        <f aca="false">IF('RAW KVMC'!H423="","",'RAW KVMC'!H423)</f>
        <v>0</v>
      </c>
      <c r="M426" s="48" t="str">
        <f aca="false">IF('RAW KVMC'!I423="","",'RAW KVMC'!I423)</f>
        <v/>
      </c>
    </row>
    <row r="427" customFormat="false" ht="15" hidden="false" customHeight="false" outlineLevel="0" collapsed="false">
      <c r="A427" s="1" t="s">
        <v>1571</v>
      </c>
      <c r="B427" s="1" t="s">
        <v>154</v>
      </c>
      <c r="C427" s="1" t="s">
        <v>1145</v>
      </c>
      <c r="D427" s="1" t="n">
        <v>424</v>
      </c>
      <c r="E427" s="48" t="str">
        <f aca="false">IF('RAW KVMC'!A424="","",'RAW KVMC'!A424)</f>
        <v>Medication Assistance Program</v>
      </c>
      <c r="F427" s="48" t="str">
        <f aca="false">IF('RAW KVMC'!B424="","",'RAW KVMC'!B424)</f>
        <v>Health Care Support Services</v>
      </c>
      <c r="G427" s="49" t="n">
        <f aca="false">IF('RAW KVMC'!C424="","",'RAW KVMC'!C424)</f>
        <v>46142</v>
      </c>
      <c r="H427" s="48" t="str">
        <f aca="false">IF('RAW KVMC'!D424="","",'RAW KVMC'!D424)</f>
        <v>Clinical Pharmacist</v>
      </c>
      <c r="I427" s="48" t="n">
        <f aca="false">IF('RAW KVMC'!E424="","",'RAW KVMC'!E424)</f>
        <v>28.25</v>
      </c>
      <c r="J427" s="48" t="n">
        <f aca="false">IF('RAW KVMC'!F424="","",'RAW KVMC'!F424)</f>
        <v>163</v>
      </c>
      <c r="K427" s="50" t="n">
        <f aca="false">IF('RAW KVMC'!G424="","",'RAW KVMC'!G424)</f>
        <v>30985</v>
      </c>
      <c r="L427" s="50" t="n">
        <f aca="false">IF('RAW KVMC'!H424="","",'RAW KVMC'!H424)</f>
        <v>0</v>
      </c>
      <c r="M427" s="48" t="str">
        <f aca="false">IF('RAW KVMC'!I424="","",'RAW KVMC'!I424)</f>
        <v/>
      </c>
    </row>
    <row r="428" customFormat="false" ht="15" hidden="false" customHeight="false" outlineLevel="0" collapsed="false">
      <c r="A428" s="1" t="s">
        <v>1572</v>
      </c>
      <c r="B428" s="1" t="s">
        <v>154</v>
      </c>
      <c r="C428" s="1" t="s">
        <v>1145</v>
      </c>
      <c r="D428" s="1" t="n">
        <v>425</v>
      </c>
      <c r="E428" s="48" t="str">
        <f aca="false">IF('RAW KVMC'!A425="","",'RAW KVMC'!A425)</f>
        <v>Community Health Needs Assessment</v>
      </c>
      <c r="F428" s="48" t="str">
        <f aca="false">IF('RAW KVMC'!B425="","",'RAW KVMC'!B425)</f>
        <v>CB Operations</v>
      </c>
      <c r="G428" s="49" t="n">
        <f aca="false">IF('RAW KVMC'!C425="","",'RAW KVMC'!C425)</f>
        <v>46142</v>
      </c>
      <c r="H428" s="48" t="str">
        <f aca="false">IF('RAW KVMC'!D425="","",'RAW KVMC'!D425)</f>
        <v>Community Benefit Mgr</v>
      </c>
      <c r="I428" s="48" t="n">
        <f aca="false">IF('RAW KVMC'!E425="","",'RAW KVMC'!E425)</f>
        <v>91.25</v>
      </c>
      <c r="J428" s="48" t="n">
        <f aca="false">IF('RAW KVMC'!F425="","",'RAW KVMC'!F425)</f>
        <v>0</v>
      </c>
      <c r="K428" s="50" t="n">
        <f aca="false">IF('RAW KVMC'!G425="","",'RAW KVMC'!G425)</f>
        <v>3705</v>
      </c>
      <c r="L428" s="50" t="n">
        <f aca="false">IF('RAW KVMC'!H425="","",'RAW KVMC'!H425)</f>
        <v>0</v>
      </c>
      <c r="M428" s="48" t="str">
        <f aca="false">IF('RAW KVMC'!I425="","",'RAW KVMC'!I425)</f>
        <v/>
      </c>
    </row>
    <row r="429" customFormat="false" ht="15" hidden="false" customHeight="false" outlineLevel="0" collapsed="false">
      <c r="A429" s="1" t="s">
        <v>1573</v>
      </c>
      <c r="B429" s="1" t="s">
        <v>154</v>
      </c>
      <c r="C429" s="1" t="s">
        <v>1145</v>
      </c>
      <c r="D429" s="1" t="n">
        <v>426</v>
      </c>
      <c r="E429" s="48" t="str">
        <f aca="false">IF('RAW KVMC'!A426="","",'RAW KVMC'!A426)</f>
        <v>Community Health Needs Assessment</v>
      </c>
      <c r="F429" s="48" t="str">
        <f aca="false">IF('RAW KVMC'!B426="","",'RAW KVMC'!B426)</f>
        <v>CB Operations</v>
      </c>
      <c r="G429" s="49" t="n">
        <f aca="false">IF('RAW KVMC'!C426="","",'RAW KVMC'!C426)</f>
        <v>46142</v>
      </c>
      <c r="H429" s="48" t="str">
        <f aca="false">IF('RAW KVMC'!D426="","",'RAW KVMC'!D426)</f>
        <v>Data Analyst </v>
      </c>
      <c r="I429" s="48" t="n">
        <f aca="false">IF('RAW KVMC'!E426="","",'RAW KVMC'!E426)</f>
        <v>87.5</v>
      </c>
      <c r="J429" s="48" t="n">
        <f aca="false">IF('RAW KVMC'!F426="","",'RAW KVMC'!F426)</f>
        <v>0</v>
      </c>
      <c r="K429" s="50" t="n">
        <f aca="false">IF('RAW KVMC'!G426="","",'RAW KVMC'!G426)</f>
        <v>0</v>
      </c>
      <c r="L429" s="50" t="n">
        <f aca="false">IF('RAW KVMC'!H426="","",'RAW KVMC'!H426)</f>
        <v>0</v>
      </c>
      <c r="M429" s="48" t="str">
        <f aca="false">IF('RAW KVMC'!I426="","",'RAW KVMC'!I426)</f>
        <v/>
      </c>
    </row>
    <row r="430" customFormat="false" ht="15" hidden="false" customHeight="false" outlineLevel="0" collapsed="false">
      <c r="A430" s="1" t="s">
        <v>1574</v>
      </c>
      <c r="B430" s="1" t="s">
        <v>154</v>
      </c>
      <c r="C430" s="1" t="s">
        <v>1145</v>
      </c>
      <c r="D430" s="1" t="n">
        <v>427</v>
      </c>
      <c r="E430" s="48" t="str">
        <f aca="false">IF('RAW KVMC'!A427="","",'RAW KVMC'!A427)</f>
        <v>Community Benefit Program Administration</v>
      </c>
      <c r="F430" s="48" t="str">
        <f aca="false">IF('RAW KVMC'!B427="","",'RAW KVMC'!B427)</f>
        <v>CB Operations</v>
      </c>
      <c r="G430" s="49" t="n">
        <f aca="false">IF('RAW KVMC'!C427="","",'RAW KVMC'!C427)</f>
        <v>46142</v>
      </c>
      <c r="H430" s="48" t="str">
        <f aca="false">IF('RAW KVMC'!D427="","",'RAW KVMC'!D427)</f>
        <v>Unit Secretary</v>
      </c>
      <c r="I430" s="48" t="n">
        <f aca="false">IF('RAW KVMC'!E427="","",'RAW KVMC'!E427)</f>
        <v>72.75</v>
      </c>
      <c r="J430" s="48" t="n">
        <f aca="false">IF('RAW KVMC'!F427="","",'RAW KVMC'!F427)</f>
        <v>0</v>
      </c>
      <c r="K430" s="50" t="n">
        <f aca="false">IF('RAW KVMC'!G427="","",'RAW KVMC'!G427)</f>
        <v>0</v>
      </c>
      <c r="L430" s="50" t="n">
        <f aca="false">IF('RAW KVMC'!H427="","",'RAW KVMC'!H427)</f>
        <v>0</v>
      </c>
      <c r="M430" s="48" t="str">
        <f aca="false">IF('RAW KVMC'!I427="","",'RAW KVMC'!I427)</f>
        <v/>
      </c>
    </row>
    <row r="431" customFormat="false" ht="15" hidden="false" customHeight="false" outlineLevel="0" collapsed="false">
      <c r="A431" s="1" t="s">
        <v>1575</v>
      </c>
      <c r="B431" s="1" t="s">
        <v>154</v>
      </c>
      <c r="C431" s="1" t="s">
        <v>1145</v>
      </c>
      <c r="D431" s="1" t="n">
        <v>428</v>
      </c>
      <c r="E431" s="48" t="str">
        <f aca="false">IF('RAW KVMC'!A428="","",'RAW KVMC'!A428)</f>
        <v>Community Benefit Program Administration</v>
      </c>
      <c r="F431" s="48" t="str">
        <f aca="false">IF('RAW KVMC'!B428="","",'RAW KVMC'!B428)</f>
        <v>CB Operations</v>
      </c>
      <c r="G431" s="49" t="n">
        <f aca="false">IF('RAW KVMC'!C428="","",'RAW KVMC'!C428)</f>
        <v>46142</v>
      </c>
      <c r="H431" s="48" t="str">
        <f aca="false">IF('RAW KVMC'!D428="","",'RAW KVMC'!D428)</f>
        <v>Mgr, Community Benefit</v>
      </c>
      <c r="I431" s="48" t="n">
        <f aca="false">IF('RAW KVMC'!E428="","",'RAW KVMC'!E428)</f>
        <v>68</v>
      </c>
      <c r="J431" s="48" t="n">
        <f aca="false">IF('RAW KVMC'!F428="","",'RAW KVMC'!F428)</f>
        <v>0</v>
      </c>
      <c r="K431" s="50" t="n">
        <f aca="false">IF('RAW KVMC'!G428="","",'RAW KVMC'!G428)</f>
        <v>905</v>
      </c>
      <c r="L431" s="50" t="n">
        <f aca="false">IF('RAW KVMC'!H428="","",'RAW KVMC'!H428)</f>
        <v>0</v>
      </c>
      <c r="M431" s="48" t="str">
        <f aca="false">IF('RAW KVMC'!I428="","",'RAW KVMC'!I428)</f>
        <v/>
      </c>
    </row>
    <row r="432" customFormat="false" ht="15" hidden="false" customHeight="false" outlineLevel="0" collapsed="false">
      <c r="A432" s="1" t="s">
        <v>1576</v>
      </c>
      <c r="B432" s="1" t="s">
        <v>154</v>
      </c>
      <c r="C432" s="1" t="s">
        <v>1145</v>
      </c>
      <c r="D432" s="1" t="n">
        <v>429</v>
      </c>
      <c r="E432" s="48" t="str">
        <f aca="false">IF('RAW KVMC'!A429="","",'RAW KVMC'!A429)</f>
        <v>Interpreter Services for Community Clinics</v>
      </c>
      <c r="F432" s="48" t="str">
        <f aca="false">IF('RAW KVMC'!B429="","",'RAW KVMC'!B429)</f>
        <v>Health Care Support Services</v>
      </c>
      <c r="G432" s="49" t="n">
        <f aca="false">IF('RAW KVMC'!C429="","",'RAW KVMC'!C429)</f>
        <v>46142</v>
      </c>
      <c r="H432" s="48" t="str">
        <f aca="false">IF('RAW KVMC'!D429="","",'RAW KVMC'!D429)</f>
        <v>Spanish Interpreter</v>
      </c>
      <c r="I432" s="48" t="n">
        <f aca="false">IF('RAW KVMC'!E429="","",'RAW KVMC'!E429)</f>
        <v>55.25</v>
      </c>
      <c r="J432" s="48" t="n">
        <f aca="false">IF('RAW KVMC'!F429="","",'RAW KVMC'!F429)</f>
        <v>142</v>
      </c>
      <c r="K432" s="50" t="n">
        <f aca="false">IF('RAW KVMC'!G429="","",'RAW KVMC'!G429)</f>
        <v>0</v>
      </c>
      <c r="L432" s="50" t="n">
        <f aca="false">IF('RAW KVMC'!H429="","",'RAW KVMC'!H429)</f>
        <v>0</v>
      </c>
      <c r="M432" s="48" t="str">
        <f aca="false">IF('RAW KVMC'!I429="","",'RAW KVMC'!I429)</f>
        <v/>
      </c>
    </row>
    <row r="433" customFormat="false" ht="15" hidden="false" customHeight="false" outlineLevel="0" collapsed="false">
      <c r="A433" s="1" t="s">
        <v>1577</v>
      </c>
      <c r="B433" s="1" t="s">
        <v>154</v>
      </c>
      <c r="C433" s="1" t="s">
        <v>1145</v>
      </c>
      <c r="D433" s="1" t="n">
        <v>430</v>
      </c>
      <c r="E433" s="48" t="str">
        <f aca="false">IF('RAW KVMC'!A430="","",'RAW KVMC'!A430)</f>
        <v>Nursing Student Clinical Rotations</v>
      </c>
      <c r="F433" s="48" t="str">
        <f aca="false">IF('RAW KVMC'!B430="","",'RAW KVMC'!B430)</f>
        <v>Health Professions Education</v>
      </c>
      <c r="G433" s="49" t="n">
        <f aca="false">IF('RAW KVMC'!C430="","",'RAW KVMC'!C430)</f>
        <v>46142</v>
      </c>
      <c r="H433" s="48" t="str">
        <f aca="false">IF('RAW KVMC'!D430="","",'RAW KVMC'!D430)</f>
        <v>Clinical Nurse Educator</v>
      </c>
      <c r="I433" s="48" t="n">
        <f aca="false">IF('RAW KVMC'!E430="","",'RAW KVMC'!E430)</f>
        <v>152.5</v>
      </c>
      <c r="J433" s="48" t="n">
        <f aca="false">IF('RAW KVMC'!F430="","",'RAW KVMC'!F430)</f>
        <v>28</v>
      </c>
      <c r="K433" s="50" t="n">
        <f aca="false">IF('RAW KVMC'!G430="","",'RAW KVMC'!G430)</f>
        <v>650</v>
      </c>
      <c r="L433" s="50" t="n">
        <f aca="false">IF('RAW KVMC'!H430="","",'RAW KVMC'!H430)</f>
        <v>0</v>
      </c>
      <c r="M433" s="48" t="str">
        <f aca="false">IF('RAW KVMC'!I430="","",'RAW KVMC'!I430)</f>
        <v/>
      </c>
    </row>
    <row r="434" customFormat="false" ht="15" hidden="false" customHeight="false" outlineLevel="0" collapsed="false">
      <c r="A434" s="1" t="s">
        <v>1578</v>
      </c>
      <c r="B434" s="1" t="s">
        <v>154</v>
      </c>
      <c r="C434" s="1" t="s">
        <v>1145</v>
      </c>
      <c r="D434" s="1" t="n">
        <v>431</v>
      </c>
      <c r="E434" s="48" t="str">
        <f aca="false">IF('RAW KVMC'!A431="","",'RAW KVMC'!A431)</f>
        <v>Nursing Student Clinical Rotations</v>
      </c>
      <c r="F434" s="48" t="str">
        <f aca="false">IF('RAW KVMC'!B431="","",'RAW KVMC'!B431)</f>
        <v>Health Professions Education</v>
      </c>
      <c r="G434" s="49" t="n">
        <f aca="false">IF('RAW KVMC'!C431="","",'RAW KVMC'!C431)</f>
        <v>46142</v>
      </c>
      <c r="H434" s="48" t="str">
        <f aca="false">IF('RAW KVMC'!D431="","",'RAW KVMC'!D431)</f>
        <v>Clinical RN</v>
      </c>
      <c r="I434" s="48" t="n">
        <f aca="false">IF('RAW KVMC'!E431="","",'RAW KVMC'!E431)</f>
        <v>241.5</v>
      </c>
      <c r="J434" s="48" t="n">
        <f aca="false">IF('RAW KVMC'!F431="","",'RAW KVMC'!F431)</f>
        <v>0</v>
      </c>
      <c r="K434" s="50" t="n">
        <f aca="false">IF('RAW KVMC'!G431="","",'RAW KVMC'!G431)</f>
        <v>0</v>
      </c>
      <c r="L434" s="50" t="n">
        <f aca="false">IF('RAW KVMC'!H431="","",'RAW KVMC'!H431)</f>
        <v>0</v>
      </c>
      <c r="M434" s="48" t="str">
        <f aca="false">IF('RAW KVMC'!I431="","",'RAW KVMC'!I431)</f>
        <v/>
      </c>
    </row>
    <row r="435" customFormat="false" ht="15" hidden="false" customHeight="false" outlineLevel="0" collapsed="false">
      <c r="A435" s="1" t="s">
        <v>1579</v>
      </c>
      <c r="B435" s="1" t="s">
        <v>154</v>
      </c>
      <c r="C435" s="1" t="s">
        <v>1145</v>
      </c>
      <c r="D435" s="1" t="n">
        <v>432</v>
      </c>
      <c r="E435" s="48" t="str">
        <f aca="false">IF('RAW KVMC'!A432="","",'RAW KVMC'!A432)</f>
        <v>Family Medicine Residency Program</v>
      </c>
      <c r="F435" s="48" t="str">
        <f aca="false">IF('RAW KVMC'!B432="","",'RAW KVMC'!B432)</f>
        <v>Health Professions Education</v>
      </c>
      <c r="G435" s="49" t="n">
        <f aca="false">IF('RAW KVMC'!C432="","",'RAW KVMC'!C432)</f>
        <v>46142</v>
      </c>
      <c r="H435" s="48" t="str">
        <f aca="false">IF('RAW KVMC'!D432="","",'RAW KVMC'!D432)</f>
        <v>M.D.</v>
      </c>
      <c r="I435" s="48" t="n">
        <f aca="false">IF('RAW KVMC'!E432="","",'RAW KVMC'!E432)</f>
        <v>416</v>
      </c>
      <c r="J435" s="48" t="n">
        <f aca="false">IF('RAW KVMC'!F432="","",'RAW KVMC'!F432)</f>
        <v>0</v>
      </c>
      <c r="K435" s="50" t="n">
        <f aca="false">IF('RAW KVMC'!G432="","",'RAW KVMC'!G432)</f>
        <v>34860</v>
      </c>
      <c r="L435" s="50" t="n">
        <f aca="false">IF('RAW KVMC'!H432="","",'RAW KVMC'!H432)</f>
        <v>161830</v>
      </c>
      <c r="M435" s="48" t="str">
        <f aca="false">IF('RAW KVMC'!I432="","",'RAW KVMC'!I432)</f>
        <v/>
      </c>
    </row>
    <row r="436" customFormat="false" ht="15" hidden="false" customHeight="false" outlineLevel="0" collapsed="false">
      <c r="A436" s="1" t="s">
        <v>1580</v>
      </c>
      <c r="B436" s="1" t="s">
        <v>154</v>
      </c>
      <c r="C436" s="1" t="s">
        <v>1145</v>
      </c>
      <c r="D436" s="1" t="n">
        <v>433</v>
      </c>
      <c r="E436" s="48" t="str">
        <f aca="false">IF('RAW KVMC'!A433="","",'RAW KVMC'!A433)</f>
        <v>Family Medicine Residency Program</v>
      </c>
      <c r="F436" s="48" t="str">
        <f aca="false">IF('RAW KVMC'!B433="","",'RAW KVMC'!B433)</f>
        <v>Health Professions Education</v>
      </c>
      <c r="G436" s="49" t="n">
        <f aca="false">IF('RAW KVMC'!C433="","",'RAW KVMC'!C433)</f>
        <v>46142</v>
      </c>
      <c r="H436" s="48" t="str">
        <f aca="false">IF('RAW KVMC'!D433="","",'RAW KVMC'!D433)</f>
        <v>Prog Coord</v>
      </c>
      <c r="I436" s="48" t="n">
        <f aca="false">IF('RAW KVMC'!E433="","",'RAW KVMC'!E433)</f>
        <v>174</v>
      </c>
      <c r="J436" s="48" t="n">
        <f aca="false">IF('RAW KVMC'!F433="","",'RAW KVMC'!F433)</f>
        <v>0</v>
      </c>
      <c r="K436" s="50" t="n">
        <f aca="false">IF('RAW KVMC'!G433="","",'RAW KVMC'!G433)</f>
        <v>0</v>
      </c>
      <c r="L436" s="50" t="n">
        <f aca="false">IF('RAW KVMC'!H433="","",'RAW KVMC'!H433)</f>
        <v>0</v>
      </c>
      <c r="M436" s="48" t="str">
        <f aca="false">IF('RAW KVMC'!I433="","",'RAW KVMC'!I433)</f>
        <v/>
      </c>
    </row>
    <row r="437" customFormat="false" ht="15" hidden="false" customHeight="false" outlineLevel="0" collapsed="false">
      <c r="A437" s="1" t="s">
        <v>1581</v>
      </c>
      <c r="B437" s="1" t="s">
        <v>154</v>
      </c>
      <c r="C437" s="1" t="s">
        <v>1145</v>
      </c>
      <c r="D437" s="1" t="n">
        <v>434</v>
      </c>
      <c r="E437" s="48" t="str">
        <f aca="false">IF('RAW KVMC'!A434="","",'RAW KVMC'!A434)</f>
        <v>Family Medicine Residency Program</v>
      </c>
      <c r="F437" s="48" t="str">
        <f aca="false">IF('RAW KVMC'!B434="","",'RAW KVMC'!B434)</f>
        <v>Health Professions Education</v>
      </c>
      <c r="G437" s="49" t="n">
        <f aca="false">IF('RAW KVMC'!C434="","",'RAW KVMC'!C434)</f>
        <v>46142</v>
      </c>
      <c r="H437" s="48" t="str">
        <f aca="false">IF('RAW KVMC'!D434="","",'RAW KVMC'!D434)</f>
        <v>RES. PHYSICIAN</v>
      </c>
      <c r="I437" s="48" t="n">
        <f aca="false">IF('RAW KVMC'!E434="","",'RAW KVMC'!E434)</f>
        <v>4069</v>
      </c>
      <c r="J437" s="48" t="n">
        <f aca="false">IF('RAW KVMC'!F434="","",'RAW KVMC'!F434)</f>
        <v>0</v>
      </c>
      <c r="K437" s="50" t="n">
        <f aca="false">IF('RAW KVMC'!G434="","",'RAW KVMC'!G434)</f>
        <v>0</v>
      </c>
      <c r="L437" s="50" t="n">
        <f aca="false">IF('RAW KVMC'!H434="","",'RAW KVMC'!H434)</f>
        <v>0</v>
      </c>
      <c r="M437" s="48" t="str">
        <f aca="false">IF('RAW KVMC'!I434="","",'RAW KVMC'!I434)</f>
        <v/>
      </c>
    </row>
    <row r="438" customFormat="false" ht="15" hidden="false" customHeight="false" outlineLevel="0" collapsed="false">
      <c r="A438" s="1" t="s">
        <v>1582</v>
      </c>
      <c r="B438" s="1" t="s">
        <v>154</v>
      </c>
      <c r="C438" s="1" t="s">
        <v>1145</v>
      </c>
      <c r="D438" s="1" t="n">
        <v>435</v>
      </c>
      <c r="E438" s="48" t="str">
        <f aca="false">IF('RAW KVMC'!A435="","",'RAW KVMC'!A435)</f>
        <v>Pharmacy Student Rotations</v>
      </c>
      <c r="F438" s="48" t="str">
        <f aca="false">IF('RAW KVMC'!B435="","",'RAW KVMC'!B435)</f>
        <v>Health Professions Education</v>
      </c>
      <c r="G438" s="49" t="n">
        <f aca="false">IF('RAW KVMC'!C435="","",'RAW KVMC'!C435)</f>
        <v>46142</v>
      </c>
      <c r="H438" s="48" t="str">
        <f aca="false">IF('RAW KVMC'!D435="","",'RAW KVMC'!D435)</f>
        <v>Clinical Pharmacist</v>
      </c>
      <c r="I438" s="48" t="n">
        <f aca="false">IF('RAW KVMC'!E435="","",'RAW KVMC'!E435)</f>
        <v>73</v>
      </c>
      <c r="J438" s="48" t="n">
        <f aca="false">IF('RAW KVMC'!F435="","",'RAW KVMC'!F435)</f>
        <v>4</v>
      </c>
      <c r="K438" s="50" t="n">
        <f aca="false">IF('RAW KVMC'!G435="","",'RAW KVMC'!G435)</f>
        <v>35</v>
      </c>
      <c r="L438" s="50" t="n">
        <f aca="false">IF('RAW KVMC'!H435="","",'RAW KVMC'!H435)</f>
        <v>0</v>
      </c>
      <c r="M438" s="48" t="str">
        <f aca="false">IF('RAW KVMC'!I435="","",'RAW KVMC'!I435)</f>
        <v/>
      </c>
    </row>
    <row r="439" customFormat="false" ht="15" hidden="false" customHeight="false" outlineLevel="0" collapsed="false">
      <c r="A439" s="1" t="s">
        <v>1583</v>
      </c>
      <c r="B439" s="1" t="s">
        <v>154</v>
      </c>
      <c r="C439" s="1" t="s">
        <v>1145</v>
      </c>
      <c r="D439" s="1" t="n">
        <v>436</v>
      </c>
      <c r="E439" s="48" t="str">
        <f aca="false">IF('RAW KVMC'!A436="","",'RAW KVMC'!A436)</f>
        <v>Community Hypertension Control Study</v>
      </c>
      <c r="F439" s="48" t="str">
        <f aca="false">IF('RAW KVMC'!B436="","",'RAW KVMC'!B436)</f>
        <v>Research</v>
      </c>
      <c r="G439" s="49" t="n">
        <f aca="false">IF('RAW KVMC'!C436="","",'RAW KVMC'!C436)</f>
        <v>46142</v>
      </c>
      <c r="H439" s="48" t="str">
        <f aca="false">IF('RAW KVMC'!D436="","",'RAW KVMC'!D436)</f>
        <v>Data Analyst</v>
      </c>
      <c r="I439" s="48" t="n">
        <f aca="false">IF('RAW KVMC'!E436="","",'RAW KVMC'!E436)</f>
        <v>58.75</v>
      </c>
      <c r="J439" s="48" t="n">
        <f aca="false">IF('RAW KVMC'!F436="","",'RAW KVMC'!F436)</f>
        <v>0</v>
      </c>
      <c r="K439" s="50" t="n">
        <f aca="false">IF('RAW KVMC'!G436="","",'RAW KVMC'!G436)</f>
        <v>0</v>
      </c>
      <c r="L439" s="50" t="n">
        <f aca="false">IF('RAW KVMC'!H436="","",'RAW KVMC'!H436)</f>
        <v>0</v>
      </c>
      <c r="M439" s="48" t="str">
        <f aca="false">IF('RAW KVMC'!I436="","",'RAW KVMC'!I436)</f>
        <v/>
      </c>
    </row>
    <row r="440" customFormat="false" ht="15" hidden="false" customHeight="false" outlineLevel="0" collapsed="false">
      <c r="A440" s="1" t="s">
        <v>1584</v>
      </c>
      <c r="B440" s="1" t="s">
        <v>154</v>
      </c>
      <c r="C440" s="1" t="s">
        <v>1145</v>
      </c>
      <c r="D440" s="1" t="n">
        <v>437</v>
      </c>
      <c r="E440" s="48" t="str">
        <f aca="false">IF('RAW KVMC'!A437="","",'RAW KVMC'!A437)</f>
        <v>Community Hypertension Control Study</v>
      </c>
      <c r="F440" s="48" t="str">
        <f aca="false">IF('RAW KVMC'!B437="","",'RAW KVMC'!B437)</f>
        <v>Research</v>
      </c>
      <c r="G440" s="49" t="n">
        <f aca="false">IF('RAW KVMC'!C437="","",'RAW KVMC'!C437)</f>
        <v>46142</v>
      </c>
      <c r="H440" s="48" t="str">
        <f aca="false">IF('RAW KVMC'!D437="","",'RAW KVMC'!D437)</f>
        <v>Attending Physician</v>
      </c>
      <c r="I440" s="48" t="n">
        <f aca="false">IF('RAW KVMC'!E437="","",'RAW KVMC'!E437)</f>
        <v>24.25</v>
      </c>
      <c r="J440" s="48" t="n">
        <f aca="false">IF('RAW KVMC'!F437="","",'RAW KVMC'!F437)</f>
        <v>0</v>
      </c>
      <c r="K440" s="50" t="n">
        <f aca="false">IF('RAW KVMC'!G437="","",'RAW KVMC'!G437)</f>
        <v>0</v>
      </c>
      <c r="L440" s="50" t="n">
        <f aca="false">IF('RAW KVMC'!H437="","",'RAW KVMC'!H437)</f>
        <v>0</v>
      </c>
      <c r="M440" s="48" t="str">
        <f aca="false">IF('RAW KVMC'!I437="","",'RAW KVMC'!I437)</f>
        <v/>
      </c>
    </row>
    <row r="441" customFormat="false" ht="15" hidden="false" customHeight="false" outlineLevel="0" collapsed="false">
      <c r="A441" s="1" t="s">
        <v>1585</v>
      </c>
      <c r="B441" s="1" t="s">
        <v>154</v>
      </c>
      <c r="C441" s="1" t="s">
        <v>1145</v>
      </c>
      <c r="D441" s="1" t="n">
        <v>438</v>
      </c>
      <c r="E441" s="48" t="str">
        <f aca="false">IF('RAW KVMC'!A438="","",'RAW KVMC'!A438)</f>
        <v>Community Hypertension Control Study</v>
      </c>
      <c r="F441" s="48" t="str">
        <f aca="false">IF('RAW KVMC'!B438="","",'RAW KVMC'!B438)</f>
        <v>Research</v>
      </c>
      <c r="G441" s="49" t="n">
        <f aca="false">IF('RAW KVMC'!C438="","",'RAW KVMC'!C438)</f>
        <v>46142</v>
      </c>
      <c r="H441" s="48" t="str">
        <f aca="false">IF('RAW KVMC'!D438="","",'RAW KVMC'!D438)</f>
        <v>Research Coordinator</v>
      </c>
      <c r="I441" s="48" t="n">
        <f aca="false">IF('RAW KVMC'!E438="","",'RAW KVMC'!E438)</f>
        <v>167.25</v>
      </c>
      <c r="J441" s="48" t="n">
        <f aca="false">IF('RAW KVMC'!F438="","",'RAW KVMC'!F438)</f>
        <v>52</v>
      </c>
      <c r="K441" s="50" t="n">
        <f aca="false">IF('RAW KVMC'!G438="","",'RAW KVMC'!G438)</f>
        <v>7510</v>
      </c>
      <c r="L441" s="50" t="n">
        <f aca="false">IF('RAW KVMC'!H438="","",'RAW KVMC'!H438)</f>
        <v>11945</v>
      </c>
      <c r="M441" s="48" t="str">
        <f aca="false">IF('RAW KVMC'!I438="","",'RAW KVMC'!I438)</f>
        <v/>
      </c>
    </row>
    <row r="442" customFormat="false" ht="15" hidden="false" customHeight="false" outlineLevel="0" collapsed="false">
      <c r="A442" s="1" t="s">
        <v>1586</v>
      </c>
      <c r="B442" s="1" t="s">
        <v>154</v>
      </c>
      <c r="C442" s="1" t="s">
        <v>1145</v>
      </c>
      <c r="D442" s="1" t="n">
        <v>439</v>
      </c>
      <c r="E442" s="48" t="str">
        <f aca="false">IF('RAW KVMC'!A439="","",'RAW KVMC'!A439)</f>
        <v>Childbirth and Newborn Care Classes</v>
      </c>
      <c r="F442" s="48" t="str">
        <f aca="false">IF('RAW KVMC'!B439="","",'RAW KVMC'!B439)</f>
        <v>Community Health Education</v>
      </c>
      <c r="G442" s="49" t="n">
        <f aca="false">IF('RAW KVMC'!C439="","",'RAW KVMC'!C439)</f>
        <v>46144</v>
      </c>
      <c r="H442" s="48" t="str">
        <f aca="false">IF('RAW KVMC'!D439="","",'RAW KVMC'!D439)</f>
        <v>PRECEPTOR RN</v>
      </c>
      <c r="I442" s="48" t="n">
        <f aca="false">IF('RAW KVMC'!E439="","",'RAW KVMC'!E439)</f>
        <v>3.25</v>
      </c>
      <c r="J442" s="48" t="n">
        <f aca="false">IF('RAW KVMC'!F439="","",'RAW KVMC'!F439)</f>
        <v>19</v>
      </c>
      <c r="K442" s="50" t="n">
        <f aca="false">IF('RAW KVMC'!G439="","",'RAW KVMC'!G439)</f>
        <v>135</v>
      </c>
      <c r="L442" s="50" t="n">
        <f aca="false">IF('RAW KVMC'!H439="","",'RAW KVMC'!H439)</f>
        <v>0</v>
      </c>
      <c r="M442" s="48" t="str">
        <f aca="false">IF('RAW KVMC'!I439="","",'RAW KVMC'!I439)</f>
        <v/>
      </c>
    </row>
    <row r="443" customFormat="false" ht="15" hidden="false" customHeight="false" outlineLevel="0" collapsed="false">
      <c r="A443" s="1" t="s">
        <v>1587</v>
      </c>
      <c r="B443" s="1" t="s">
        <v>154</v>
      </c>
      <c r="C443" s="1" t="s">
        <v>1145</v>
      </c>
      <c r="D443" s="1" t="n">
        <v>440</v>
      </c>
      <c r="E443" s="48" t="str">
        <f aca="false">IF('RAW KVMC'!A440="","",'RAW KVMC'!A440)</f>
        <v>Community Blood Pressure Checks</v>
      </c>
      <c r="F443" s="48" t="str">
        <f aca="false">IF('RAW KVMC'!B440="","",'RAW KVMC'!B440)</f>
        <v>Community-Based Clinical Services</v>
      </c>
      <c r="G443" s="49" t="n">
        <f aca="false">IF('RAW KVMC'!C440="","",'RAW KVMC'!C440)</f>
        <v>46146</v>
      </c>
      <c r="H443" s="48" t="str">
        <f aca="false">IF('RAW KVMC'!D440="","",'RAW KVMC'!D440)</f>
        <v>Registered Nurse</v>
      </c>
      <c r="I443" s="48" t="n">
        <f aca="false">IF('RAW KVMC'!E440="","",'RAW KVMC'!E440)</f>
        <v>3.75</v>
      </c>
      <c r="J443" s="48" t="n">
        <f aca="false">IF('RAW KVMC'!F440="","",'RAW KVMC'!F440)</f>
        <v>56</v>
      </c>
      <c r="K443" s="50" t="n">
        <f aca="false">IF('RAW KVMC'!G440="","",'RAW KVMC'!G440)</f>
        <v>110</v>
      </c>
      <c r="L443" s="50" t="n">
        <f aca="false">IF('RAW KVMC'!H440="","",'RAW KVMC'!H440)</f>
        <v>0</v>
      </c>
      <c r="M443" s="48" t="str">
        <f aca="false">IF('RAW KVMC'!I440="","",'RAW KVMC'!I440)</f>
        <v/>
      </c>
    </row>
    <row r="444" customFormat="false" ht="15" hidden="false" customHeight="false" outlineLevel="0" collapsed="false">
      <c r="A444" s="1" t="s">
        <v>1588</v>
      </c>
      <c r="B444" s="1" t="s">
        <v>154</v>
      </c>
      <c r="C444" s="1" t="s">
        <v>1145</v>
      </c>
      <c r="D444" s="1" t="n">
        <v>441</v>
      </c>
      <c r="E444" s="48" t="str">
        <f aca="false">IF('RAW KVMC'!A441="","",'RAW KVMC'!A441)</f>
        <v>Grief Support Group</v>
      </c>
      <c r="F444" s="48" t="str">
        <f aca="false">IF('RAW KVMC'!B441="","",'RAW KVMC'!B441)</f>
        <v>Health Care Support Services</v>
      </c>
      <c r="G444" s="49" t="n">
        <f aca="false">IF('RAW KVMC'!C441="","",'RAW KVMC'!C441)</f>
        <v>46149</v>
      </c>
      <c r="H444" s="48" t="str">
        <f aca="false">IF('RAW KVMC'!D441="","",'RAW KVMC'!D441)</f>
        <v>Chaplain</v>
      </c>
      <c r="I444" s="48" t="n">
        <f aca="false">IF('RAW KVMC'!E441="","",'RAW KVMC'!E441)</f>
        <v>2.25</v>
      </c>
      <c r="J444" s="48" t="n">
        <f aca="false">IF('RAW KVMC'!F441="","",'RAW KVMC'!F441)</f>
        <v>7</v>
      </c>
      <c r="K444" s="50" t="n">
        <f aca="false">IF('RAW KVMC'!G441="","",'RAW KVMC'!G441)</f>
        <v>60</v>
      </c>
      <c r="L444" s="50" t="n">
        <f aca="false">IF('RAW KVMC'!H441="","",'RAW KVMC'!H441)</f>
        <v>0</v>
      </c>
      <c r="M444" s="48" t="str">
        <f aca="false">IF('RAW KVMC'!I441="","",'RAW KVMC'!I441)</f>
        <v/>
      </c>
    </row>
    <row r="445" customFormat="false" ht="15" hidden="false" customHeight="false" outlineLevel="0" collapsed="false">
      <c r="A445" s="1" t="s">
        <v>1589</v>
      </c>
      <c r="B445" s="1" t="s">
        <v>154</v>
      </c>
      <c r="C445" s="1" t="s">
        <v>1145</v>
      </c>
      <c r="D445" s="1" t="n">
        <v>442</v>
      </c>
      <c r="E445" s="48" t="str">
        <f aca="false">IF('RAW KVMC'!A442="","",'RAW KVMC'!A442)</f>
        <v>Grief Support Group</v>
      </c>
      <c r="F445" s="48" t="str">
        <f aca="false">IF('RAW KVMC'!B442="","",'RAW KVMC'!B442)</f>
        <v>Health Care Support Services</v>
      </c>
      <c r="G445" s="49" t="n">
        <f aca="false">IF('RAW KVMC'!C442="","",'RAW KVMC'!C442)</f>
        <v>46149</v>
      </c>
      <c r="H445" s="48" t="str">
        <f aca="false">IF('RAW KVMC'!D442="","",'RAW KVMC'!D442)</f>
        <v>Clinical Social Worker</v>
      </c>
      <c r="I445" s="48" t="n">
        <f aca="false">IF('RAW KVMC'!E442="","",'RAW KVMC'!E442)</f>
        <v>1.75</v>
      </c>
      <c r="J445" s="48" t="n">
        <f aca="false">IF('RAW KVMC'!F442="","",'RAW KVMC'!F442)</f>
        <v>0</v>
      </c>
      <c r="K445" s="50" t="n">
        <f aca="false">IF('RAW KVMC'!G442="","",'RAW KVMC'!G442)</f>
        <v>0</v>
      </c>
      <c r="L445" s="50" t="n">
        <f aca="false">IF('RAW KVMC'!H442="","",'RAW KVMC'!H442)</f>
        <v>0</v>
      </c>
      <c r="M445" s="48" t="str">
        <f aca="false">IF('RAW KVMC'!I442="","",'RAW KVMC'!I442)</f>
        <v/>
      </c>
    </row>
    <row r="446" customFormat="false" ht="15" hidden="false" customHeight="false" outlineLevel="0" collapsed="false">
      <c r="A446" s="1" t="s">
        <v>1590</v>
      </c>
      <c r="B446" s="1" t="s">
        <v>154</v>
      </c>
      <c r="C446" s="1" t="s">
        <v>1145</v>
      </c>
      <c r="D446" s="1" t="n">
        <v>443</v>
      </c>
      <c r="E446" s="48" t="str">
        <f aca="false">IF('RAW KVMC'!A443="","",'RAW KVMC'!A443)</f>
        <v>Diabetes Prevention Classes</v>
      </c>
      <c r="F446" s="48" t="str">
        <f aca="false">IF('RAW KVMC'!B443="","",'RAW KVMC'!B443)</f>
        <v>Community Health Education</v>
      </c>
      <c r="G446" s="49" t="n">
        <f aca="false">IF('RAW KVMC'!C443="","",'RAW KVMC'!C443)</f>
        <v>46150</v>
      </c>
      <c r="H446" s="48" t="str">
        <f aca="false">IF('RAW KVMC'!D443="","",'RAW KVMC'!D443)</f>
        <v>CHES</v>
      </c>
      <c r="I446" s="48" t="n">
        <f aca="false">IF('RAW KVMC'!E443="","",'RAW KVMC'!E443)</f>
        <v>2.25</v>
      </c>
      <c r="J446" s="48" t="n">
        <f aca="false">IF('RAW KVMC'!F443="","",'RAW KVMC'!F443)</f>
        <v>12</v>
      </c>
      <c r="K446" s="50" t="n">
        <f aca="false">IF('RAW KVMC'!G443="","",'RAW KVMC'!G443)</f>
        <v>65</v>
      </c>
      <c r="L446" s="50" t="n">
        <f aca="false">IF('RAW KVMC'!H443="","",'RAW KVMC'!H443)</f>
        <v>0</v>
      </c>
      <c r="M446" s="48" t="str">
        <f aca="false">IF('RAW KVMC'!I443="","",'RAW KVMC'!I443)</f>
        <v/>
      </c>
    </row>
    <row r="447" customFormat="false" ht="15" hidden="false" customHeight="false" outlineLevel="0" collapsed="false">
      <c r="A447" s="1" t="s">
        <v>1591</v>
      </c>
      <c r="B447" s="1" t="s">
        <v>154</v>
      </c>
      <c r="C447" s="1" t="s">
        <v>1145</v>
      </c>
      <c r="D447" s="1" t="n">
        <v>444</v>
      </c>
      <c r="E447" s="48" t="str">
        <f aca="false">IF('RAW KVMC'!A444="","",'RAW KVMC'!A444)</f>
        <v>Diabetes Prevention Classes</v>
      </c>
      <c r="F447" s="48" t="str">
        <f aca="false">IF('RAW KVMC'!B444="","",'RAW KVMC'!B444)</f>
        <v>Community Health Education</v>
      </c>
      <c r="G447" s="49" t="n">
        <f aca="false">IF('RAW KVMC'!C444="","",'RAW KVMC'!C444)</f>
        <v>46150</v>
      </c>
      <c r="H447" s="48" t="str">
        <f aca="false">IF('RAW KVMC'!D444="","",'RAW KVMC'!D444)</f>
        <v>RD</v>
      </c>
      <c r="I447" s="48" t="n">
        <f aca="false">IF('RAW KVMC'!E444="","",'RAW KVMC'!E444)</f>
        <v>1.75</v>
      </c>
      <c r="J447" s="48" t="n">
        <f aca="false">IF('RAW KVMC'!F444="","",'RAW KVMC'!F444)</f>
        <v>0</v>
      </c>
      <c r="K447" s="50" t="n">
        <f aca="false">IF('RAW KVMC'!G444="","",'RAW KVMC'!G444)</f>
        <v>0</v>
      </c>
      <c r="L447" s="50" t="n">
        <f aca="false">IF('RAW KVMC'!H444="","",'RAW KVMC'!H444)</f>
        <v>0</v>
      </c>
      <c r="M447" s="48" t="str">
        <f aca="false">IF('RAW KVMC'!I444="","",'RAW KVMC'!I444)</f>
        <v/>
      </c>
    </row>
    <row r="448" customFormat="false" ht="15" hidden="false" customHeight="false" outlineLevel="0" collapsed="false">
      <c r="A448" s="1" t="s">
        <v>1592</v>
      </c>
      <c r="B448" s="1" t="s">
        <v>154</v>
      </c>
      <c r="C448" s="1" t="s">
        <v>1145</v>
      </c>
      <c r="D448" s="1" t="n">
        <v>445</v>
      </c>
      <c r="E448" s="48" t="str">
        <f aca="false">IF('RAW KVMC'!A445="","",'RAW KVMC'!A445)</f>
        <v>In-Kind Medical Supply Donations</v>
      </c>
      <c r="F448" s="48" t="str">
        <f aca="false">IF('RAW KVMC'!B445="","",'RAW KVMC'!B445)</f>
        <v>Cash &amp; In-Kind Donations</v>
      </c>
      <c r="G448" s="49" t="n">
        <f aca="false">IF('RAW KVMC'!C445="","",'RAW KVMC'!C445)</f>
        <v>46150</v>
      </c>
      <c r="H448" s="48" t="str">
        <f aca="false">IF('RAW KVMC'!D445="","",'RAW KVMC'!D445)</f>
        <v>No staff</v>
      </c>
      <c r="I448" s="48" t="n">
        <f aca="false">IF('RAW KVMC'!E445="","",'RAW KVMC'!E445)</f>
        <v>0</v>
      </c>
      <c r="J448" s="48" t="n">
        <f aca="false">IF('RAW KVMC'!F445="","",'RAW KVMC'!F445)</f>
        <v>0</v>
      </c>
      <c r="K448" s="50" t="n">
        <f aca="false">IF('RAW KVMC'!G445="","",'RAW KVMC'!G445)</f>
        <v>9225</v>
      </c>
      <c r="L448" s="50" t="n">
        <f aca="false">IF('RAW KVMC'!H445="","",'RAW KVMC'!H445)</f>
        <v>0</v>
      </c>
      <c r="M448" s="48" t="str">
        <f aca="false">IF('RAW KVMC'!I445="","",'RAW KVMC'!I445)</f>
        <v/>
      </c>
    </row>
    <row r="449" customFormat="false" ht="15" hidden="false" customHeight="false" outlineLevel="0" collapsed="false">
      <c r="A449" s="1" t="s">
        <v>1593</v>
      </c>
      <c r="B449" s="1" t="s">
        <v>154</v>
      </c>
      <c r="C449" s="1" t="s">
        <v>1145</v>
      </c>
      <c r="D449" s="1" t="n">
        <v>446</v>
      </c>
      <c r="E449" s="48" t="str">
        <f aca="false">IF('RAW KVMC'!A446="","",'RAW KVMC'!A446)</f>
        <v>Tobacco Cessation Classes</v>
      </c>
      <c r="F449" s="48" t="str">
        <f aca="false">IF('RAW KVMC'!B446="","",'RAW KVMC'!B446)</f>
        <v>Community Health Education</v>
      </c>
      <c r="G449" s="49" t="n">
        <f aca="false">IF('RAW KVMC'!C446="","",'RAW KVMC'!C446)</f>
        <v>46154</v>
      </c>
      <c r="H449" s="48" t="str">
        <f aca="false">IF('RAW KVMC'!D446="","",'RAW KVMC'!D446)</f>
        <v>DPT</v>
      </c>
      <c r="I449" s="48" t="n">
        <f aca="false">IF('RAW KVMC'!E446="","",'RAW KVMC'!E446)</f>
        <v>2</v>
      </c>
      <c r="J449" s="48" t="n">
        <f aca="false">IF('RAW KVMC'!F446="","",'RAW KVMC'!F446)</f>
        <v>17</v>
      </c>
      <c r="K449" s="50" t="n">
        <f aca="false">IF('RAW KVMC'!G446="","",'RAW KVMC'!G446)</f>
        <v>140</v>
      </c>
      <c r="L449" s="50" t="n">
        <f aca="false">IF('RAW KVMC'!H446="","",'RAW KVMC'!H446)</f>
        <v>0</v>
      </c>
      <c r="M449" s="48" t="str">
        <f aca="false">IF('RAW KVMC'!I446="","",'RAW KVMC'!I446)</f>
        <v/>
      </c>
    </row>
    <row r="450" customFormat="false" ht="15" hidden="false" customHeight="false" outlineLevel="0" collapsed="false">
      <c r="A450" s="1" t="s">
        <v>1594</v>
      </c>
      <c r="B450" s="1" t="s">
        <v>154</v>
      </c>
      <c r="C450" s="1" t="s">
        <v>1145</v>
      </c>
      <c r="D450" s="1" t="n">
        <v>447</v>
      </c>
      <c r="E450" s="48" t="str">
        <f aca="false">IF('RAW KVMC'!A447="","",'RAW KVMC'!A447)</f>
        <v>Grief Support Group</v>
      </c>
      <c r="F450" s="48" t="str">
        <f aca="false">IF('RAW KVMC'!B447="","",'RAW KVMC'!B447)</f>
        <v>Health Care Support Services</v>
      </c>
      <c r="G450" s="49" t="n">
        <f aca="false">IF('RAW KVMC'!C447="","",'RAW KVMC'!C447)</f>
        <v>46160</v>
      </c>
      <c r="H450" s="48" t="str">
        <f aca="false">IF('RAW KVMC'!D447="","",'RAW KVMC'!D447)</f>
        <v>Chaplain</v>
      </c>
      <c r="I450" s="48" t="n">
        <f aca="false">IF('RAW KVMC'!E447="","",'RAW KVMC'!E447)</f>
        <v>2</v>
      </c>
      <c r="J450" s="48" t="n">
        <f aca="false">IF('RAW KVMC'!F447="","",'RAW KVMC'!F447)</f>
        <v>18</v>
      </c>
      <c r="K450" s="50" t="n">
        <f aca="false">IF('RAW KVMC'!G447="","",'RAW KVMC'!G447)</f>
        <v>30</v>
      </c>
      <c r="L450" s="50" t="n">
        <f aca="false">IF('RAW KVMC'!H447="","",'RAW KVMC'!H447)</f>
        <v>0</v>
      </c>
      <c r="M450" s="48" t="str">
        <f aca="false">IF('RAW KVMC'!I447="","",'RAW KVMC'!I447)</f>
        <v/>
      </c>
    </row>
    <row r="451" customFormat="false" ht="15" hidden="false" customHeight="false" outlineLevel="0" collapsed="false">
      <c r="A451" s="1" t="s">
        <v>1595</v>
      </c>
      <c r="B451" s="1" t="s">
        <v>154</v>
      </c>
      <c r="C451" s="1" t="s">
        <v>1145</v>
      </c>
      <c r="D451" s="1" t="n">
        <v>448</v>
      </c>
      <c r="E451" s="48" t="str">
        <f aca="false">IF('RAW KVMC'!A448="","",'RAW KVMC'!A448)</f>
        <v>Grief Support Group</v>
      </c>
      <c r="F451" s="48" t="str">
        <f aca="false">IF('RAW KVMC'!B448="","",'RAW KVMC'!B448)</f>
        <v>Health Care Support Services</v>
      </c>
      <c r="G451" s="49" t="n">
        <f aca="false">IF('RAW KVMC'!C448="","",'RAW KVMC'!C448)</f>
        <v>46160</v>
      </c>
      <c r="H451" s="48" t="str">
        <f aca="false">IF('RAW KVMC'!D448="","",'RAW KVMC'!D448)</f>
        <v>Social Worker</v>
      </c>
      <c r="I451" s="48" t="n">
        <f aca="false">IF('RAW KVMC'!E448="","",'RAW KVMC'!E448)</f>
        <v>1.75</v>
      </c>
      <c r="J451" s="48" t="n">
        <f aca="false">IF('RAW KVMC'!F448="","",'RAW KVMC'!F448)</f>
        <v>0</v>
      </c>
      <c r="K451" s="50" t="n">
        <f aca="false">IF('RAW KVMC'!G448="","",'RAW KVMC'!G448)</f>
        <v>0</v>
      </c>
      <c r="L451" s="50" t="n">
        <f aca="false">IF('RAW KVMC'!H448="","",'RAW KVMC'!H448)</f>
        <v>0</v>
      </c>
      <c r="M451" s="48" t="str">
        <f aca="false">IF('RAW KVMC'!I448="","",'RAW KVMC'!I448)</f>
        <v/>
      </c>
    </row>
    <row r="452" customFormat="false" ht="15" hidden="false" customHeight="false" outlineLevel="0" collapsed="false">
      <c r="A452" s="1" t="s">
        <v>1596</v>
      </c>
      <c r="B452" s="1" t="s">
        <v>154</v>
      </c>
      <c r="C452" s="1" t="s">
        <v>1145</v>
      </c>
      <c r="D452" s="1" t="n">
        <v>449</v>
      </c>
      <c r="E452" s="48" t="str">
        <f aca="false">IF('RAW KVMC'!A449="","",'RAW KVMC'!A449)</f>
        <v>Youth Health Careers Pathway</v>
      </c>
      <c r="F452" s="48" t="str">
        <f aca="false">IF('RAW KVMC'!B449="","",'RAW KVMC'!B449)</f>
        <v>Community Building - Workforce</v>
      </c>
      <c r="G452" s="49" t="n">
        <f aca="false">IF('RAW KVMC'!C449="","",'RAW KVMC'!C449)</f>
        <v>46160</v>
      </c>
      <c r="H452" s="48" t="str">
        <f aca="false">IF('RAW KVMC'!D449="","",'RAW KVMC'!D449)</f>
        <v>Clinical Nurse Educator </v>
      </c>
      <c r="I452" s="48" t="n">
        <f aca="false">IF('RAW KVMC'!E449="","",'RAW KVMC'!E449)</f>
        <v>3.25</v>
      </c>
      <c r="J452" s="48" t="n">
        <f aca="false">IF('RAW KVMC'!F449="","",'RAW KVMC'!F449)</f>
        <v>0</v>
      </c>
      <c r="K452" s="50" t="n">
        <f aca="false">IF('RAW KVMC'!G449="","",'RAW KVMC'!G449)</f>
        <v>0</v>
      </c>
      <c r="L452" s="50" t="n">
        <f aca="false">IF('RAW KVMC'!H449="","",'RAW KVMC'!H449)</f>
        <v>0</v>
      </c>
      <c r="M452" s="48" t="str">
        <f aca="false">IF('RAW KVMC'!I449="","",'RAW KVMC'!I449)</f>
        <v/>
      </c>
    </row>
    <row r="453" customFormat="false" ht="15" hidden="false" customHeight="false" outlineLevel="0" collapsed="false">
      <c r="A453" s="1" t="s">
        <v>1597</v>
      </c>
      <c r="B453" s="1" t="s">
        <v>154</v>
      </c>
      <c r="C453" s="1" t="s">
        <v>1145</v>
      </c>
      <c r="D453" s="1" t="n">
        <v>450</v>
      </c>
      <c r="E453" s="48" t="str">
        <f aca="false">IF('RAW KVMC'!A450="","",'RAW KVMC'!A450)</f>
        <v>Youth Health Careers Pathway</v>
      </c>
      <c r="F453" s="48" t="str">
        <f aca="false">IF('RAW KVMC'!B450="","",'RAW KVMC'!B450)</f>
        <v>Community Building - Workforce</v>
      </c>
      <c r="G453" s="49" t="n">
        <f aca="false">IF('RAW KVMC'!C450="","",'RAW KVMC'!C450)</f>
        <v>46160</v>
      </c>
      <c r="H453" s="48" t="str">
        <f aca="false">IF('RAW KVMC'!D450="","",'RAW KVMC'!D450)</f>
        <v>Program Coordinator</v>
      </c>
      <c r="I453" s="48" t="n">
        <f aca="false">IF('RAW KVMC'!E450="","",'RAW KVMC'!E450)</f>
        <v>7.25</v>
      </c>
      <c r="J453" s="48" t="n">
        <f aca="false">IF('RAW KVMC'!F450="","",'RAW KVMC'!F450)</f>
        <v>25</v>
      </c>
      <c r="K453" s="50" t="n">
        <f aca="false">IF('RAW KVMC'!G450="","",'RAW KVMC'!G450)</f>
        <v>1705</v>
      </c>
      <c r="L453" s="50" t="n">
        <f aca="false">IF('RAW KVMC'!H450="","",'RAW KVMC'!H450)</f>
        <v>0</v>
      </c>
      <c r="M453" s="48" t="str">
        <f aca="false">IF('RAW KVMC'!I450="","",'RAW KVMC'!I450)</f>
        <v/>
      </c>
    </row>
    <row r="454" customFormat="false" ht="15" hidden="false" customHeight="false" outlineLevel="0" collapsed="false">
      <c r="A454" s="1" t="s">
        <v>1598</v>
      </c>
      <c r="B454" s="1" t="s">
        <v>154</v>
      </c>
      <c r="C454" s="1" t="s">
        <v>1145</v>
      </c>
      <c r="D454" s="1" t="n">
        <v>451</v>
      </c>
      <c r="E454" s="48" t="str">
        <f aca="false">IF('RAW KVMC'!A451="","",'RAW KVMC'!A451)</f>
        <v>Diabetes Prevention Classes</v>
      </c>
      <c r="F454" s="48" t="str">
        <f aca="false">IF('RAW KVMC'!B451="","",'RAW KVMC'!B451)</f>
        <v>Community Health Education</v>
      </c>
      <c r="G454" s="49" t="n">
        <f aca="false">IF('RAW KVMC'!C451="","",'RAW KVMC'!C451)</f>
        <v>46163</v>
      </c>
      <c r="H454" s="48" t="str">
        <f aca="false">IF('RAW KVMC'!D451="","",'RAW KVMC'!D451)</f>
        <v>Health Educator</v>
      </c>
      <c r="I454" s="48" t="n">
        <f aca="false">IF('RAW KVMC'!E451="","",'RAW KVMC'!E451)</f>
        <v>2.25</v>
      </c>
      <c r="J454" s="48" t="n">
        <f aca="false">IF('RAW KVMC'!F451="","",'RAW KVMC'!F451)</f>
        <v>17</v>
      </c>
      <c r="K454" s="50" t="n">
        <f aca="false">IF('RAW KVMC'!G451="","",'RAW KVMC'!G451)</f>
        <v>140</v>
      </c>
      <c r="L454" s="50" t="n">
        <f aca="false">IF('RAW KVMC'!H451="","",'RAW KVMC'!H451)</f>
        <v>0</v>
      </c>
      <c r="M454" s="48" t="str">
        <f aca="false">IF('RAW KVMC'!I451="","",'RAW KVMC'!I451)</f>
        <v/>
      </c>
    </row>
    <row r="455" customFormat="false" ht="15" hidden="false" customHeight="false" outlineLevel="0" collapsed="false">
      <c r="A455" s="1" t="s">
        <v>1599</v>
      </c>
      <c r="B455" s="1" t="s">
        <v>154</v>
      </c>
      <c r="C455" s="1" t="s">
        <v>1145</v>
      </c>
      <c r="D455" s="1" t="n">
        <v>452</v>
      </c>
      <c r="E455" s="48" t="str">
        <f aca="false">IF('RAW KVMC'!A452="","",'RAW KVMC'!A452)</f>
        <v>Diabetes Prevention Classes</v>
      </c>
      <c r="F455" s="48" t="str">
        <f aca="false">IF('RAW KVMC'!B452="","",'RAW KVMC'!B452)</f>
        <v>Community Health Education</v>
      </c>
      <c r="G455" s="49" t="n">
        <f aca="false">IF('RAW KVMC'!C452="","",'RAW KVMC'!C452)</f>
        <v>46163</v>
      </c>
      <c r="H455" s="48" t="str">
        <f aca="false">IF('RAW KVMC'!D452="","",'RAW KVMC'!D452)</f>
        <v>Dietitian</v>
      </c>
      <c r="I455" s="48" t="n">
        <f aca="false">IF('RAW KVMC'!E452="","",'RAW KVMC'!E452)</f>
        <v>2</v>
      </c>
      <c r="J455" s="48" t="n">
        <f aca="false">IF('RAW KVMC'!F452="","",'RAW KVMC'!F452)</f>
        <v>0</v>
      </c>
      <c r="K455" s="50" t="n">
        <f aca="false">IF('RAW KVMC'!G452="","",'RAW KVMC'!G452)</f>
        <v>0</v>
      </c>
      <c r="L455" s="50" t="n">
        <f aca="false">IF('RAW KVMC'!H452="","",'RAW KVMC'!H452)</f>
        <v>0</v>
      </c>
      <c r="M455" s="48" t="str">
        <f aca="false">IF('RAW KVMC'!I452="","",'RAW KVMC'!I452)</f>
        <v/>
      </c>
    </row>
    <row r="456" customFormat="false" ht="15" hidden="false" customHeight="false" outlineLevel="0" collapsed="false">
      <c r="A456" s="1" t="s">
        <v>1600</v>
      </c>
      <c r="B456" s="1" t="s">
        <v>154</v>
      </c>
      <c r="C456" s="1" t="s">
        <v>1145</v>
      </c>
      <c r="D456" s="1" t="n">
        <v>453</v>
      </c>
      <c r="E456" s="48" t="str">
        <f aca="false">IF('RAW KVMC'!A453="","",'RAW KVMC'!A453)</f>
        <v>Tobacco Cessation Classes</v>
      </c>
      <c r="F456" s="48" t="str">
        <f aca="false">IF('RAW KVMC'!B453="","",'RAW KVMC'!B453)</f>
        <v>Community Health Education</v>
      </c>
      <c r="G456" s="49" t="n">
        <f aca="false">IF('RAW KVMC'!C453="","",'RAW KVMC'!C453)</f>
        <v>46164</v>
      </c>
      <c r="H456" s="48" t="str">
        <f aca="false">IF('RAW KVMC'!D453="","",'RAW KVMC'!D453)</f>
        <v>Phys Therapist</v>
      </c>
      <c r="I456" s="48" t="n">
        <f aca="false">IF('RAW KVMC'!E453="","",'RAW KVMC'!E453)</f>
        <v>2</v>
      </c>
      <c r="J456" s="48" t="n">
        <f aca="false">IF('RAW KVMC'!F453="","",'RAW KVMC'!F453)</f>
        <v>7</v>
      </c>
      <c r="K456" s="50" t="n">
        <f aca="false">IF('RAW KVMC'!G453="","",'RAW KVMC'!G453)</f>
        <v>120</v>
      </c>
      <c r="L456" s="50" t="n">
        <f aca="false">IF('RAW KVMC'!H453="","",'RAW KVMC'!H453)</f>
        <v>0</v>
      </c>
      <c r="M456" s="48" t="str">
        <f aca="false">IF('RAW KVMC'!I453="","",'RAW KVMC'!I453)</f>
        <v/>
      </c>
    </row>
    <row r="457" customFormat="false" ht="15" hidden="false" customHeight="false" outlineLevel="0" collapsed="false">
      <c r="A457" s="1" t="s">
        <v>1601</v>
      </c>
      <c r="B457" s="1" t="s">
        <v>154</v>
      </c>
      <c r="C457" s="1" t="s">
        <v>1145</v>
      </c>
      <c r="D457" s="1" t="n">
        <v>454</v>
      </c>
      <c r="E457" s="48" t="str">
        <f aca="false">IF('RAW KVMC'!A454="","",'RAW KVMC'!A454)</f>
        <v>Childbirth and Newborn Care Classes</v>
      </c>
      <c r="F457" s="48" t="str">
        <f aca="false">IF('RAW KVMC'!B454="","",'RAW KVMC'!B454)</f>
        <v>Community Health Education</v>
      </c>
      <c r="G457" s="49" t="n">
        <f aca="false">IF('RAW KVMC'!C454="","",'RAW KVMC'!C454)</f>
        <v>46168</v>
      </c>
      <c r="H457" s="48" t="str">
        <f aca="false">IF('RAW KVMC'!D454="","",'RAW KVMC'!D454)</f>
        <v>Preceptor RN</v>
      </c>
      <c r="I457" s="48" t="n">
        <f aca="false">IF('RAW KVMC'!E454="","",'RAW KVMC'!E454)</f>
        <v>3.25</v>
      </c>
      <c r="J457" s="48" t="n">
        <f aca="false">IF('RAW KVMC'!F454="","",'RAW KVMC'!F454)</f>
        <v>21</v>
      </c>
      <c r="K457" s="50" t="n">
        <f aca="false">IF('RAW KVMC'!G454="","",'RAW KVMC'!G454)</f>
        <v>190</v>
      </c>
      <c r="L457" s="50" t="n">
        <f aca="false">IF('RAW KVMC'!H454="","",'RAW KVMC'!H454)</f>
        <v>420</v>
      </c>
      <c r="M457" s="48" t="str">
        <f aca="false">IF('RAW KVMC'!I454="","",'RAW KVMC'!I454)</f>
        <v/>
      </c>
    </row>
    <row r="458" customFormat="false" ht="15" hidden="false" customHeight="false" outlineLevel="0" collapsed="false">
      <c r="A458" s="1" t="s">
        <v>1602</v>
      </c>
      <c r="B458" s="1" t="s">
        <v>154</v>
      </c>
      <c r="C458" s="1" t="s">
        <v>1145</v>
      </c>
      <c r="D458" s="1" t="n">
        <v>455</v>
      </c>
      <c r="E458" s="48" t="str">
        <f aca="false">IF('RAW KVMC'!A455="","",'RAW KVMC'!A455)</f>
        <v>Mental Health First Aid Training</v>
      </c>
      <c r="F458" s="48" t="str">
        <f aca="false">IF('RAW KVMC'!B455="","",'RAW KVMC'!B455)</f>
        <v>Community Health Education</v>
      </c>
      <c r="G458" s="49" t="n">
        <f aca="false">IF('RAW KVMC'!C455="","",'RAW KVMC'!C455)</f>
        <v>46168</v>
      </c>
      <c r="H458" s="48" t="str">
        <f aca="false">IF('RAW KVMC'!D455="","",'RAW KVMC'!D455)</f>
        <v>Health Education Specialist</v>
      </c>
      <c r="I458" s="48" t="n">
        <f aca="false">IF('RAW KVMC'!E455="","",'RAW KVMC'!E455)</f>
        <v>8</v>
      </c>
      <c r="J458" s="48" t="n">
        <f aca="false">IF('RAW KVMC'!F455="","",'RAW KVMC'!F455)</f>
        <v>0</v>
      </c>
      <c r="K458" s="50" t="n">
        <f aca="false">IF('RAW KVMC'!G455="","",'RAW KVMC'!G455)</f>
        <v>0</v>
      </c>
      <c r="L458" s="50" t="n">
        <f aca="false">IF('RAW KVMC'!H455="","",'RAW KVMC'!H455)</f>
        <v>0</v>
      </c>
      <c r="M458" s="48" t="str">
        <f aca="false">IF('RAW KVMC'!I455="","",'RAW KVMC'!I455)</f>
        <v/>
      </c>
    </row>
    <row r="459" customFormat="false" ht="15" hidden="false" customHeight="false" outlineLevel="0" collapsed="false">
      <c r="A459" s="1" t="s">
        <v>1603</v>
      </c>
      <c r="B459" s="1" t="s">
        <v>154</v>
      </c>
      <c r="C459" s="1" t="s">
        <v>1145</v>
      </c>
      <c r="D459" s="1" t="n">
        <v>456</v>
      </c>
      <c r="E459" s="48" t="str">
        <f aca="false">IF('RAW KVMC'!A456="","",'RAW KVMC'!A456)</f>
        <v>Mental Health First Aid Training</v>
      </c>
      <c r="F459" s="48" t="str">
        <f aca="false">IF('RAW KVMC'!B456="","",'RAW KVMC'!B456)</f>
        <v>Community Health Education</v>
      </c>
      <c r="G459" s="49" t="n">
        <f aca="false">IF('RAW KVMC'!C456="","",'RAW KVMC'!C456)</f>
        <v>46168</v>
      </c>
      <c r="H459" s="48" t="str">
        <f aca="false">IF('RAW KVMC'!D456="","",'RAW KVMC'!D456)</f>
        <v>LMSW</v>
      </c>
      <c r="I459" s="48" t="n">
        <f aca="false">IF('RAW KVMC'!E456="","",'RAW KVMC'!E456)</f>
        <v>8</v>
      </c>
      <c r="J459" s="48" t="n">
        <f aca="false">IF('RAW KVMC'!F456="","",'RAW KVMC'!F456)</f>
        <v>18</v>
      </c>
      <c r="K459" s="50" t="n">
        <f aca="false">IF('RAW KVMC'!G456="","",'RAW KVMC'!G456)</f>
        <v>480</v>
      </c>
      <c r="L459" s="50" t="n">
        <f aca="false">IF('RAW KVMC'!H456="","",'RAW KVMC'!H456)</f>
        <v>0</v>
      </c>
      <c r="M459" s="48" t="str">
        <f aca="false">IF('RAW KVMC'!I456="","",'RAW KVMC'!I456)</f>
        <v/>
      </c>
    </row>
    <row r="460" customFormat="false" ht="15" hidden="false" customHeight="false" outlineLevel="0" collapsed="false">
      <c r="A460" s="1" t="s">
        <v>1604</v>
      </c>
      <c r="B460" s="1" t="s">
        <v>154</v>
      </c>
      <c r="C460" s="1" t="s">
        <v>1145</v>
      </c>
      <c r="D460" s="1" t="n">
        <v>457</v>
      </c>
      <c r="E460" s="48" t="str">
        <f aca="false">IF('RAW KVMC'!A457="","",'RAW KVMC'!A457)</f>
        <v>Grief Support Group</v>
      </c>
      <c r="F460" s="48" t="str">
        <f aca="false">IF('RAW KVMC'!B457="","",'RAW KVMC'!B457)</f>
        <v>Health Care Support Services</v>
      </c>
      <c r="G460" s="49" t="n">
        <f aca="false">IF('RAW KVMC'!C457="","",'RAW KVMC'!C457)</f>
        <v>46168</v>
      </c>
      <c r="H460" s="48" t="str">
        <f aca="false">IF('RAW KVMC'!D457="","",'RAW KVMC'!D457)</f>
        <v>Chaplain Resident</v>
      </c>
      <c r="I460" s="48" t="n">
        <f aca="false">IF('RAW KVMC'!E457="","",'RAW KVMC'!E457)</f>
        <v>2</v>
      </c>
      <c r="J460" s="48" t="n">
        <f aca="false">IF('RAW KVMC'!F457="","",'RAW KVMC'!F457)</f>
        <v>10</v>
      </c>
      <c r="K460" s="50" t="n">
        <f aca="false">IF('RAW KVMC'!G457="","",'RAW KVMC'!G457)</f>
        <v>45</v>
      </c>
      <c r="L460" s="50" t="n">
        <f aca="false">IF('RAW KVMC'!H457="","",'RAW KVMC'!H457)</f>
        <v>0</v>
      </c>
      <c r="M460" s="48" t="str">
        <f aca="false">IF('RAW KVMC'!I457="","",'RAW KVMC'!I457)</f>
        <v/>
      </c>
    </row>
    <row r="461" customFormat="false" ht="15" hidden="false" customHeight="false" outlineLevel="0" collapsed="false">
      <c r="A461" s="1" t="s">
        <v>1605</v>
      </c>
      <c r="B461" s="1" t="s">
        <v>154</v>
      </c>
      <c r="C461" s="1" t="s">
        <v>1145</v>
      </c>
      <c r="D461" s="1" t="n">
        <v>458</v>
      </c>
      <c r="E461" s="48" t="str">
        <f aca="false">IF('RAW KVMC'!A458="","",'RAW KVMC'!A458)</f>
        <v>Grief Support Group</v>
      </c>
      <c r="F461" s="48" t="str">
        <f aca="false">IF('RAW KVMC'!B458="","",'RAW KVMC'!B458)</f>
        <v>Health Care Support Services</v>
      </c>
      <c r="G461" s="49" t="n">
        <f aca="false">IF('RAW KVMC'!C458="","",'RAW KVMC'!C458)</f>
        <v>46168</v>
      </c>
      <c r="H461" s="48" t="str">
        <f aca="false">IF('RAW KVMC'!D458="","",'RAW KVMC'!D458)</f>
        <v>MSW</v>
      </c>
      <c r="I461" s="48" t="n">
        <f aca="false">IF('RAW KVMC'!E458="","",'RAW KVMC'!E458)</f>
        <v>1.5</v>
      </c>
      <c r="J461" s="48" t="n">
        <f aca="false">IF('RAW KVMC'!F458="","",'RAW KVMC'!F458)</f>
        <v>0</v>
      </c>
      <c r="K461" s="50" t="n">
        <f aca="false">IF('RAW KVMC'!G458="","",'RAW KVMC'!G458)</f>
        <v>0</v>
      </c>
      <c r="L461" s="50" t="n">
        <f aca="false">IF('RAW KVMC'!H458="","",'RAW KVMC'!H458)</f>
        <v>0</v>
      </c>
      <c r="M461" s="48" t="str">
        <f aca="false">IF('RAW KVMC'!I458="","",'RAW KVMC'!I458)</f>
        <v/>
      </c>
    </row>
    <row r="462" customFormat="false" ht="15" hidden="false" customHeight="false" outlineLevel="0" collapsed="false">
      <c r="A462" s="1" t="s">
        <v>1606</v>
      </c>
      <c r="B462" s="1" t="s">
        <v>154</v>
      </c>
      <c r="C462" s="1" t="s">
        <v>1145</v>
      </c>
      <c r="D462" s="1" t="n">
        <v>459</v>
      </c>
      <c r="E462" s="48" t="str">
        <f aca="false">IF('RAW KVMC'!A459="","",'RAW KVMC'!A459)</f>
        <v>Tobacco Cessation Classes</v>
      </c>
      <c r="F462" s="48" t="str">
        <f aca="false">IF('RAW KVMC'!B459="","",'RAW KVMC'!B459)</f>
        <v>Community Health Education</v>
      </c>
      <c r="G462" s="49" t="n">
        <f aca="false">IF('RAW KVMC'!C459="","",'RAW KVMC'!C459)</f>
        <v>46169</v>
      </c>
      <c r="H462" s="48" t="str">
        <f aca="false">IF('RAW KVMC'!D459="","",'RAW KVMC'!D459)</f>
        <v>RRT </v>
      </c>
      <c r="I462" s="48" t="n">
        <f aca="false">IF('RAW KVMC'!E459="","",'RAW KVMC'!E459)</f>
        <v>2</v>
      </c>
      <c r="J462" s="48" t="n">
        <f aca="false">IF('RAW KVMC'!F459="","",'RAW KVMC'!F459)</f>
        <v>11</v>
      </c>
      <c r="K462" s="50" t="n">
        <f aca="false">IF('RAW KVMC'!G459="","",'RAW KVMC'!G459)</f>
        <v>260</v>
      </c>
      <c r="L462" s="50" t="n">
        <f aca="false">IF('RAW KVMC'!H459="","",'RAW KVMC'!H459)</f>
        <v>0</v>
      </c>
      <c r="M462" s="48" t="str">
        <f aca="false">IF('RAW KVMC'!I459="","",'RAW KVMC'!I459)</f>
        <v/>
      </c>
    </row>
    <row r="463" customFormat="false" ht="15" hidden="false" customHeight="false" outlineLevel="0" collapsed="false">
      <c r="A463" s="1" t="s">
        <v>1607</v>
      </c>
      <c r="B463" s="1" t="s">
        <v>154</v>
      </c>
      <c r="C463" s="1" t="s">
        <v>1145</v>
      </c>
      <c r="D463" s="1" t="n">
        <v>460</v>
      </c>
      <c r="E463" s="48" t="str">
        <f aca="false">IF('RAW KVMC'!A460="","",'RAW KVMC'!A460)</f>
        <v>Grief Support Group</v>
      </c>
      <c r="F463" s="48" t="str">
        <f aca="false">IF('RAW KVMC'!B460="","",'RAW KVMC'!B460)</f>
        <v>Health Care Support Services</v>
      </c>
      <c r="G463" s="49" t="n">
        <f aca="false">IF('RAW KVMC'!C460="","",'RAW KVMC'!C460)</f>
        <v>46172</v>
      </c>
      <c r="H463" s="48" t="str">
        <f aca="false">IF('RAW KVMC'!D460="","",'RAW KVMC'!D460)</f>
        <v>Spiritual Care</v>
      </c>
      <c r="I463" s="48" t="n">
        <f aca="false">IF('RAW KVMC'!E460="","",'RAW KVMC'!E460)</f>
        <v>2</v>
      </c>
      <c r="J463" s="48" t="n">
        <f aca="false">IF('RAW KVMC'!F460="","",'RAW KVMC'!F460)</f>
        <v>10</v>
      </c>
      <c r="K463" s="50" t="n">
        <f aca="false">IF('RAW KVMC'!G460="","",'RAW KVMC'!G460)</f>
        <v>20</v>
      </c>
      <c r="L463" s="50" t="n">
        <f aca="false">IF('RAW KVMC'!H460="","",'RAW KVMC'!H460)</f>
        <v>0</v>
      </c>
      <c r="M463" s="48" t="str">
        <f aca="false">IF('RAW KVMC'!I460="","",'RAW KVMC'!I460)</f>
        <v/>
      </c>
    </row>
    <row r="464" customFormat="false" ht="15" hidden="false" customHeight="false" outlineLevel="0" collapsed="false">
      <c r="A464" s="1" t="s">
        <v>1608</v>
      </c>
      <c r="B464" s="1" t="s">
        <v>154</v>
      </c>
      <c r="C464" s="1" t="s">
        <v>1145</v>
      </c>
      <c r="D464" s="1" t="n">
        <v>461</v>
      </c>
      <c r="E464" s="48" t="str">
        <f aca="false">IF('RAW KVMC'!A461="","",'RAW KVMC'!A461)</f>
        <v>Grief Support Group</v>
      </c>
      <c r="F464" s="48" t="str">
        <f aca="false">IF('RAW KVMC'!B461="","",'RAW KVMC'!B461)</f>
        <v>Health Care Support Services</v>
      </c>
      <c r="G464" s="49" t="n">
        <f aca="false">IF('RAW KVMC'!C461="","",'RAW KVMC'!C461)</f>
        <v>46172</v>
      </c>
      <c r="H464" s="48" t="str">
        <f aca="false">IF('RAW KVMC'!D461="","",'RAW KVMC'!D461)</f>
        <v>Social Worker</v>
      </c>
      <c r="I464" s="48" t="n">
        <f aca="false">IF('RAW KVMC'!E461="","",'RAW KVMC'!E461)</f>
        <v>1.75</v>
      </c>
      <c r="J464" s="48" t="n">
        <f aca="false">IF('RAW KVMC'!F461="","",'RAW KVMC'!F461)</f>
        <v>0</v>
      </c>
      <c r="K464" s="50" t="n">
        <f aca="false">IF('RAW KVMC'!G461="","",'RAW KVMC'!G461)</f>
        <v>0</v>
      </c>
      <c r="L464" s="50" t="n">
        <f aca="false">IF('RAW KVMC'!H461="","",'RAW KVMC'!H461)</f>
        <v>0</v>
      </c>
      <c r="M464" s="48" t="str">
        <f aca="false">IF('RAW KVMC'!I461="","",'RAW KVMC'!I461)</f>
        <v/>
      </c>
    </row>
    <row r="465" customFormat="false" ht="15" hidden="false" customHeight="false" outlineLevel="0" collapsed="false">
      <c r="A465" s="1" t="s">
        <v>1609</v>
      </c>
      <c r="B465" s="1" t="s">
        <v>154</v>
      </c>
      <c r="C465" s="1" t="s">
        <v>1145</v>
      </c>
      <c r="D465" s="1" t="n">
        <v>462</v>
      </c>
      <c r="E465" s="48" t="str">
        <f aca="false">IF('RAW KVMC'!A462="","",'RAW KVMC'!A462)</f>
        <v>Small Business Health Partnership</v>
      </c>
      <c r="F465" s="48" t="str">
        <f aca="false">IF('RAW KVMC'!B462="","",'RAW KVMC'!B462)</f>
        <v>Community Building - Economic Dev</v>
      </c>
      <c r="G465" s="49" t="n">
        <f aca="false">IF('RAW KVMC'!C462="","",'RAW KVMC'!C462)</f>
        <v>46172</v>
      </c>
      <c r="H465" s="48" t="str">
        <f aca="false">IF('RAW KVMC'!D462="","",'RAW KVMC'!D462)</f>
        <v>Sr Director</v>
      </c>
      <c r="I465" s="48" t="n">
        <f aca="false">IF('RAW KVMC'!E462="","",'RAW KVMC'!E462)</f>
        <v>3.75</v>
      </c>
      <c r="J465" s="48" t="n">
        <f aca="false">IF('RAW KVMC'!F462="","",'RAW KVMC'!F462)</f>
        <v>0</v>
      </c>
      <c r="K465" s="50" t="n">
        <f aca="false">IF('RAW KVMC'!G462="","",'RAW KVMC'!G462)</f>
        <v>4305</v>
      </c>
      <c r="L465" s="50" t="n">
        <f aca="false">IF('RAW KVMC'!H462="","",'RAW KVMC'!H462)</f>
        <v>0</v>
      </c>
      <c r="M465" s="48" t="str">
        <f aca="false">IF('RAW KVMC'!I462="","",'RAW KVMC'!I462)</f>
        <v/>
      </c>
    </row>
    <row r="466" customFormat="false" ht="15" hidden="false" customHeight="false" outlineLevel="0" collapsed="false">
      <c r="A466" s="1" t="s">
        <v>1610</v>
      </c>
      <c r="B466" s="1" t="s">
        <v>154</v>
      </c>
      <c r="C466" s="1" t="s">
        <v>1145</v>
      </c>
      <c r="D466" s="1" t="n">
        <v>463</v>
      </c>
      <c r="E466" s="48" t="str">
        <f aca="false">IF('RAW KVMC'!A463="","",'RAW KVMC'!A463)</f>
        <v>Small Business Health Partnership</v>
      </c>
      <c r="F466" s="48" t="str">
        <f aca="false">IF('RAW KVMC'!B463="","",'RAW KVMC'!B463)</f>
        <v>Community Building - Economic Dev</v>
      </c>
      <c r="G466" s="49" t="n">
        <f aca="false">IF('RAW KVMC'!C463="","",'RAW KVMC'!C463)</f>
        <v>46172</v>
      </c>
      <c r="H466" s="48" t="str">
        <f aca="false">IF('RAW KVMC'!D463="","",'RAW KVMC'!D463)</f>
        <v>Residency Coordinator</v>
      </c>
      <c r="I466" s="48" t="n">
        <f aca="false">IF('RAW KVMC'!E463="","",'RAW KVMC'!E463)</f>
        <v>4.75</v>
      </c>
      <c r="J466" s="48" t="n">
        <f aca="false">IF('RAW KVMC'!F463="","",'RAW KVMC'!F463)</f>
        <v>0</v>
      </c>
      <c r="K466" s="50" t="n">
        <f aca="false">IF('RAW KVMC'!G463="","",'RAW KVMC'!G463)</f>
        <v>0</v>
      </c>
      <c r="L466" s="50" t="n">
        <f aca="false">IF('RAW KVMC'!H463="","",'RAW KVMC'!H463)</f>
        <v>0</v>
      </c>
      <c r="M466" s="48" t="str">
        <f aca="false">IF('RAW KVMC'!I463="","",'RAW KVMC'!I463)</f>
        <v/>
      </c>
    </row>
    <row r="467" customFormat="false" ht="15" hidden="false" customHeight="false" outlineLevel="0" collapsed="false">
      <c r="A467" s="1" t="s">
        <v>1611</v>
      </c>
      <c r="B467" s="1" t="s">
        <v>154</v>
      </c>
      <c r="C467" s="1" t="s">
        <v>1145</v>
      </c>
      <c r="D467" s="1" t="n">
        <v>464</v>
      </c>
      <c r="E467" s="48" t="str">
        <f aca="false">IF('RAW KVMC'!A464="","",'RAW KVMC'!A464)</f>
        <v>Mobile Health Screening Unit</v>
      </c>
      <c r="F467" s="48" t="str">
        <f aca="false">IF('RAW KVMC'!B464="","",'RAW KVMC'!B464)</f>
        <v>Community-Based Clinical Services</v>
      </c>
      <c r="G467" s="49" t="n">
        <f aca="false">IF('RAW KVMC'!C464="","",'RAW KVMC'!C464)</f>
        <v>46173</v>
      </c>
      <c r="H467" s="48" t="str">
        <f aca="false">IF('RAW KVMC'!D464="","",'RAW KVMC'!D464)</f>
        <v>C.H.W.</v>
      </c>
      <c r="I467" s="48" t="n">
        <f aca="false">IF('RAW KVMC'!E464="","",'RAW KVMC'!E464)</f>
        <v>82.25</v>
      </c>
      <c r="J467" s="48" t="n">
        <f aca="false">IF('RAW KVMC'!F464="","",'RAW KVMC'!F464)</f>
        <v>0</v>
      </c>
      <c r="K467" s="50" t="n">
        <f aca="false">IF('RAW KVMC'!G464="","",'RAW KVMC'!G464)</f>
        <v>0</v>
      </c>
      <c r="L467" s="50" t="n">
        <f aca="false">IF('RAW KVMC'!H464="","",'RAW KVMC'!H464)</f>
        <v>0</v>
      </c>
      <c r="M467" s="48" t="str">
        <f aca="false">IF('RAW KVMC'!I464="","",'RAW KVMC'!I464)</f>
        <v/>
      </c>
    </row>
    <row r="468" customFormat="false" ht="15" hidden="false" customHeight="false" outlineLevel="0" collapsed="false">
      <c r="A468" s="1" t="s">
        <v>1612</v>
      </c>
      <c r="B468" s="1" t="s">
        <v>154</v>
      </c>
      <c r="C468" s="1" t="s">
        <v>1145</v>
      </c>
      <c r="D468" s="1" t="n">
        <v>465</v>
      </c>
      <c r="E468" s="48" t="str">
        <f aca="false">IF('RAW KVMC'!A465="","",'RAW KVMC'!A465)</f>
        <v>Mobile Health Screening Unit</v>
      </c>
      <c r="F468" s="48" t="str">
        <f aca="false">IF('RAW KVMC'!B465="","",'RAW KVMC'!B465)</f>
        <v>Community-Based Clinical Services</v>
      </c>
      <c r="G468" s="49" t="n">
        <f aca="false">IF('RAW KVMC'!C465="","",'RAW KVMC'!C465)</f>
        <v>46173</v>
      </c>
      <c r="H468" s="48" t="str">
        <f aca="false">IF('RAW KVMC'!D465="","",'RAW KVMC'!D465)</f>
        <v>MED ASST</v>
      </c>
      <c r="I468" s="48" t="n">
        <f aca="false">IF('RAW KVMC'!E465="","",'RAW KVMC'!E465)</f>
        <v>99.5</v>
      </c>
      <c r="J468" s="48" t="n">
        <f aca="false">IF('RAW KVMC'!F465="","",'RAW KVMC'!F465)</f>
        <v>0</v>
      </c>
      <c r="K468" s="50" t="n">
        <f aca="false">IF('RAW KVMC'!G465="","",'RAW KVMC'!G465)</f>
        <v>0</v>
      </c>
      <c r="L468" s="50" t="n">
        <f aca="false">IF('RAW KVMC'!H465="","",'RAW KVMC'!H465)</f>
        <v>0</v>
      </c>
      <c r="M468" s="48" t="str">
        <f aca="false">IF('RAW KVMC'!I465="","",'RAW KVMC'!I465)</f>
        <v/>
      </c>
    </row>
    <row r="469" customFormat="false" ht="15" hidden="false" customHeight="false" outlineLevel="0" collapsed="false">
      <c r="A469" s="1" t="s">
        <v>1613</v>
      </c>
      <c r="B469" s="1" t="s">
        <v>154</v>
      </c>
      <c r="C469" s="1" t="s">
        <v>1145</v>
      </c>
      <c r="D469" s="1" t="n">
        <v>466</v>
      </c>
      <c r="E469" s="48" t="str">
        <f aca="false">IF('RAW KVMC'!A466="","",'RAW KVMC'!A466)</f>
        <v>Mobile Health Screening Unit</v>
      </c>
      <c r="F469" s="48" t="str">
        <f aca="false">IF('RAW KVMC'!B466="","",'RAW KVMC'!B466)</f>
        <v>Community-Based Clinical Services</v>
      </c>
      <c r="G469" s="49" t="n">
        <f aca="false">IF('RAW KVMC'!C466="","",'RAW KVMC'!C466)</f>
        <v>46173</v>
      </c>
      <c r="H469" s="48" t="str">
        <f aca="false">IF('RAW KVMC'!D466="","",'RAW KVMC'!D466)</f>
        <v>Registered Nurse</v>
      </c>
      <c r="I469" s="48" t="n">
        <f aca="false">IF('RAW KVMC'!E466="","",'RAW KVMC'!E466)</f>
        <v>120</v>
      </c>
      <c r="J469" s="48" t="n">
        <f aca="false">IF('RAW KVMC'!F466="","",'RAW KVMC'!F466)</f>
        <v>198</v>
      </c>
      <c r="K469" s="50" t="n">
        <f aca="false">IF('RAW KVMC'!G466="","",'RAW KVMC'!G466)</f>
        <v>6865</v>
      </c>
      <c r="L469" s="50" t="n">
        <f aca="false">IF('RAW KVMC'!H466="","",'RAW KVMC'!H466)</f>
        <v>0</v>
      </c>
      <c r="M469" s="48" t="str">
        <f aca="false">IF('RAW KVMC'!I466="","",'RAW KVMC'!I466)</f>
        <v/>
      </c>
    </row>
    <row r="470" customFormat="false" ht="15" hidden="false" customHeight="false" outlineLevel="0" collapsed="false">
      <c r="A470" s="1" t="s">
        <v>1614</v>
      </c>
      <c r="B470" s="1" t="s">
        <v>154</v>
      </c>
      <c r="C470" s="1" t="s">
        <v>1145</v>
      </c>
      <c r="D470" s="1" t="n">
        <v>467</v>
      </c>
      <c r="E470" s="48" t="str">
        <f aca="false">IF('RAW KVMC'!A467="","",'RAW KVMC'!A467)</f>
        <v>Free Clinic Provider Staffing</v>
      </c>
      <c r="F470" s="48" t="str">
        <f aca="false">IF('RAW KVMC'!B467="","",'RAW KVMC'!B467)</f>
        <v>Community-Based Clinical Services</v>
      </c>
      <c r="G470" s="49" t="n">
        <f aca="false">IF('RAW KVMC'!C467="","",'RAW KVMC'!C467)</f>
        <v>46173</v>
      </c>
      <c r="H470" s="48" t="str">
        <f aca="false">IF('RAW KVMC'!D467="","",'RAW KVMC'!D467)</f>
        <v>Family NP</v>
      </c>
      <c r="I470" s="48" t="n">
        <f aca="false">IF('RAW KVMC'!E467="","",'RAW KVMC'!E467)</f>
        <v>51.5</v>
      </c>
      <c r="J470" s="48" t="n">
        <f aca="false">IF('RAW KVMC'!F467="","",'RAW KVMC'!F467)</f>
        <v>371</v>
      </c>
      <c r="K470" s="50" t="n">
        <f aca="false">IF('RAW KVMC'!G467="","",'RAW KVMC'!G467)</f>
        <v>4925</v>
      </c>
      <c r="L470" s="50" t="n">
        <f aca="false">IF('RAW KVMC'!H467="","",'RAW KVMC'!H467)</f>
        <v>0</v>
      </c>
      <c r="M470" s="48" t="str">
        <f aca="false">IF('RAW KVMC'!I467="","",'RAW KVMC'!I467)</f>
        <v/>
      </c>
    </row>
    <row r="471" customFormat="false" ht="15" hidden="false" customHeight="false" outlineLevel="0" collapsed="false">
      <c r="A471" s="1" t="s">
        <v>1615</v>
      </c>
      <c r="B471" s="1" t="s">
        <v>154</v>
      </c>
      <c r="C471" s="1" t="s">
        <v>1145</v>
      </c>
      <c r="D471" s="1" t="n">
        <v>468</v>
      </c>
      <c r="E471" s="48" t="str">
        <f aca="false">IF('RAW KVMC'!A468="","",'RAW KVMC'!A468)</f>
        <v>Free Clinic Provider Staffing</v>
      </c>
      <c r="F471" s="48" t="str">
        <f aca="false">IF('RAW KVMC'!B468="","",'RAW KVMC'!B468)</f>
        <v>Community-Based Clinical Services</v>
      </c>
      <c r="G471" s="49" t="n">
        <f aca="false">IF('RAW KVMC'!C468="","",'RAW KVMC'!C468)</f>
        <v>46173</v>
      </c>
      <c r="H471" s="48" t="str">
        <f aca="false">IF('RAW KVMC'!D468="","",'RAW KVMC'!D468)</f>
        <v>Pharm.D.</v>
      </c>
      <c r="I471" s="48" t="n">
        <f aca="false">IF('RAW KVMC'!E468="","",'RAW KVMC'!E468)</f>
        <v>18.25</v>
      </c>
      <c r="J471" s="48" t="n">
        <f aca="false">IF('RAW KVMC'!F468="","",'RAW KVMC'!F468)</f>
        <v>0</v>
      </c>
      <c r="K471" s="50" t="n">
        <f aca="false">IF('RAW KVMC'!G468="","",'RAW KVMC'!G468)</f>
        <v>0</v>
      </c>
      <c r="L471" s="50" t="n">
        <f aca="false">IF('RAW KVMC'!H468="","",'RAW KVMC'!H468)</f>
        <v>0</v>
      </c>
      <c r="M471" s="48" t="str">
        <f aca="false">IF('RAW KVMC'!I468="","",'RAW KVMC'!I468)</f>
        <v/>
      </c>
    </row>
    <row r="472" customFormat="false" ht="15" hidden="false" customHeight="false" outlineLevel="0" collapsed="false">
      <c r="A472" s="1" t="s">
        <v>1616</v>
      </c>
      <c r="B472" s="1" t="s">
        <v>154</v>
      </c>
      <c r="C472" s="1" t="s">
        <v>1145</v>
      </c>
      <c r="D472" s="1" t="n">
        <v>469</v>
      </c>
      <c r="E472" s="48" t="str">
        <f aca="false">IF('RAW KVMC'!A469="","",'RAW KVMC'!A469)</f>
        <v>Free Clinic Provider Staffing</v>
      </c>
      <c r="F472" s="48" t="str">
        <f aca="false">IF('RAW KVMC'!B469="","",'RAW KVMC'!B469)</f>
        <v>Community-Based Clinical Services</v>
      </c>
      <c r="G472" s="49" t="n">
        <f aca="false">IF('RAW KVMC'!C469="","",'RAW KVMC'!C469)</f>
        <v>46173</v>
      </c>
      <c r="H472" s="48" t="str">
        <f aca="false">IF('RAW KVMC'!D469="","",'RAW KVMC'!D469)</f>
        <v>Reg Nurse</v>
      </c>
      <c r="I472" s="48" t="n">
        <f aca="false">IF('RAW KVMC'!E469="","",'RAW KVMC'!E469)</f>
        <v>58.5</v>
      </c>
      <c r="J472" s="48" t="n">
        <f aca="false">IF('RAW KVMC'!F469="","",'RAW KVMC'!F469)</f>
        <v>0</v>
      </c>
      <c r="K472" s="50" t="n">
        <f aca="false">IF('RAW KVMC'!G469="","",'RAW KVMC'!G469)</f>
        <v>0</v>
      </c>
      <c r="L472" s="50" t="n">
        <f aca="false">IF('RAW KVMC'!H469="","",'RAW KVMC'!H469)</f>
        <v>0</v>
      </c>
      <c r="M472" s="48" t="str">
        <f aca="false">IF('RAW KVMC'!I469="","",'RAW KVMC'!I469)</f>
        <v/>
      </c>
    </row>
    <row r="473" customFormat="false" ht="15" hidden="false" customHeight="false" outlineLevel="0" collapsed="false">
      <c r="A473" s="1" t="s">
        <v>1617</v>
      </c>
      <c r="B473" s="1" t="s">
        <v>154</v>
      </c>
      <c r="C473" s="1" t="s">
        <v>1145</v>
      </c>
      <c r="D473" s="1" t="n">
        <v>470</v>
      </c>
      <c r="E473" s="48" t="str">
        <f aca="false">IF('RAW KVMC'!A470="","",'RAW KVMC'!A470)</f>
        <v>Community Health Worker Outreach</v>
      </c>
      <c r="F473" s="48" t="str">
        <f aca="false">IF('RAW KVMC'!B470="","",'RAW KVMC'!B470)</f>
        <v>Health Care Support Services</v>
      </c>
      <c r="G473" s="49" t="n">
        <f aca="false">IF('RAW KVMC'!C470="","",'RAW KVMC'!C470)</f>
        <v>46173</v>
      </c>
      <c r="H473" s="48" t="str">
        <f aca="false">IF('RAW KVMC'!D470="","",'RAW KVMC'!D470)</f>
        <v>Comm. Health Worker</v>
      </c>
      <c r="I473" s="48" t="n">
        <f aca="false">IF('RAW KVMC'!E470="","",'RAW KVMC'!E470)</f>
        <v>428.25</v>
      </c>
      <c r="J473" s="48" t="n">
        <f aca="false">IF('RAW KVMC'!F470="","",'RAW KVMC'!F470)</f>
        <v>607</v>
      </c>
      <c r="K473" s="50" t="n">
        <f aca="false">IF('RAW KVMC'!G470="","",'RAW KVMC'!G470)</f>
        <v>1155</v>
      </c>
      <c r="L473" s="50" t="n">
        <f aca="false">IF('RAW KVMC'!H470="","",'RAW KVMC'!H470)</f>
        <v>0</v>
      </c>
      <c r="M473" s="48" t="str">
        <f aca="false">IF('RAW KVMC'!I470="","",'RAW KVMC'!I470)</f>
        <v/>
      </c>
    </row>
    <row r="474" customFormat="false" ht="15" hidden="false" customHeight="false" outlineLevel="0" collapsed="false">
      <c r="A474" s="1" t="s">
        <v>1618</v>
      </c>
      <c r="B474" s="1" t="s">
        <v>154</v>
      </c>
      <c r="C474" s="1" t="s">
        <v>1145</v>
      </c>
      <c r="D474" s="1" t="n">
        <v>471</v>
      </c>
      <c r="E474" s="48" t="str">
        <f aca="false">IF('RAW KVMC'!A471="","",'RAW KVMC'!A471)</f>
        <v>Community Health Worker Outreach</v>
      </c>
      <c r="F474" s="48" t="str">
        <f aca="false">IF('RAW KVMC'!B471="","",'RAW KVMC'!B471)</f>
        <v>Health Care Support Services</v>
      </c>
      <c r="G474" s="49" t="n">
        <f aca="false">IF('RAW KVMC'!C471="","",'RAW KVMC'!C471)</f>
        <v>46173</v>
      </c>
      <c r="H474" s="48" t="str">
        <f aca="false">IF('RAW KVMC'!D471="","",'RAW KVMC'!D471)</f>
        <v>Patient Navigator </v>
      </c>
      <c r="I474" s="48" t="n">
        <f aca="false">IF('RAW KVMC'!E471="","",'RAW KVMC'!E471)</f>
        <v>181.25</v>
      </c>
      <c r="J474" s="48" t="n">
        <f aca="false">IF('RAW KVMC'!F471="","",'RAW KVMC'!F471)</f>
        <v>0</v>
      </c>
      <c r="K474" s="50" t="n">
        <f aca="false">IF('RAW KVMC'!G471="","",'RAW KVMC'!G471)</f>
        <v>0</v>
      </c>
      <c r="L474" s="50" t="n">
        <f aca="false">IF('RAW KVMC'!H471="","",'RAW KVMC'!H471)</f>
        <v>0</v>
      </c>
      <c r="M474" s="48" t="str">
        <f aca="false">IF('RAW KVMC'!I471="","",'RAW KVMC'!I471)</f>
        <v/>
      </c>
    </row>
    <row r="475" customFormat="false" ht="15" hidden="false" customHeight="false" outlineLevel="0" collapsed="false">
      <c r="A475" s="1" t="s">
        <v>1619</v>
      </c>
      <c r="B475" s="1" t="s">
        <v>154</v>
      </c>
      <c r="C475" s="1" t="s">
        <v>1145</v>
      </c>
      <c r="D475" s="1" t="n">
        <v>472</v>
      </c>
      <c r="E475" s="48" t="str">
        <f aca="false">IF('RAW KVMC'!A472="","",'RAW KVMC'!A472)</f>
        <v>Medication Assistance Program</v>
      </c>
      <c r="F475" s="48" t="str">
        <f aca="false">IF('RAW KVMC'!B472="","",'RAW KVMC'!B472)</f>
        <v>Health Care Support Services</v>
      </c>
      <c r="G475" s="49" t="n">
        <f aca="false">IF('RAW KVMC'!C472="","",'RAW KVMC'!C472)</f>
        <v>46173</v>
      </c>
      <c r="H475" s="48" t="str">
        <f aca="false">IF('RAW KVMC'!D472="","",'RAW KVMC'!D472)</f>
        <v>Financial Navigator</v>
      </c>
      <c r="I475" s="48" t="n">
        <f aca="false">IF('RAW KVMC'!E472="","",'RAW KVMC'!E472)</f>
        <v>78.75</v>
      </c>
      <c r="J475" s="48" t="n">
        <f aca="false">IF('RAW KVMC'!F472="","",'RAW KVMC'!F472)</f>
        <v>0</v>
      </c>
      <c r="K475" s="50" t="n">
        <f aca="false">IF('RAW KVMC'!G472="","",'RAW KVMC'!G472)</f>
        <v>0</v>
      </c>
      <c r="L475" s="50" t="n">
        <f aca="false">IF('RAW KVMC'!H472="","",'RAW KVMC'!H472)</f>
        <v>0</v>
      </c>
      <c r="M475" s="48" t="str">
        <f aca="false">IF('RAW KVMC'!I472="","",'RAW KVMC'!I472)</f>
        <v/>
      </c>
    </row>
    <row r="476" customFormat="false" ht="15" hidden="false" customHeight="false" outlineLevel="0" collapsed="false">
      <c r="A476" s="1" t="s">
        <v>1620</v>
      </c>
      <c r="B476" s="1" t="s">
        <v>154</v>
      </c>
      <c r="C476" s="1" t="s">
        <v>1145</v>
      </c>
      <c r="D476" s="1" t="n">
        <v>473</v>
      </c>
      <c r="E476" s="48" t="str">
        <f aca="false">IF('RAW KVMC'!A473="","",'RAW KVMC'!A473)</f>
        <v>Medication Assistance Program</v>
      </c>
      <c r="F476" s="48" t="str">
        <f aca="false">IF('RAW KVMC'!B473="","",'RAW KVMC'!B473)</f>
        <v>Health Care Support Services</v>
      </c>
      <c r="G476" s="49" t="n">
        <f aca="false">IF('RAW KVMC'!C473="","",'RAW KVMC'!C473)</f>
        <v>46173</v>
      </c>
      <c r="H476" s="48" t="str">
        <f aca="false">IF('RAW KVMC'!D473="","",'RAW KVMC'!D473)</f>
        <v>Staff Pharmacist</v>
      </c>
      <c r="I476" s="48" t="n">
        <f aca="false">IF('RAW KVMC'!E473="","",'RAW KVMC'!E473)</f>
        <v>22.25</v>
      </c>
      <c r="J476" s="48" t="n">
        <f aca="false">IF('RAW KVMC'!F473="","",'RAW KVMC'!F473)</f>
        <v>180</v>
      </c>
      <c r="K476" s="50" t="n">
        <f aca="false">IF('RAW KVMC'!G473="","",'RAW KVMC'!G473)</f>
        <v>23795</v>
      </c>
      <c r="L476" s="50" t="n">
        <f aca="false">IF('RAW KVMC'!H473="","",'RAW KVMC'!H473)</f>
        <v>0</v>
      </c>
      <c r="M476" s="48" t="str">
        <f aca="false">IF('RAW KVMC'!I473="","",'RAW KVMC'!I473)</f>
        <v/>
      </c>
    </row>
    <row r="477" customFormat="false" ht="15" hidden="false" customHeight="false" outlineLevel="0" collapsed="false">
      <c r="A477" s="1" t="s">
        <v>1621</v>
      </c>
      <c r="B477" s="1" t="s">
        <v>154</v>
      </c>
      <c r="C477" s="1" t="s">
        <v>1145</v>
      </c>
      <c r="D477" s="1" t="n">
        <v>474</v>
      </c>
      <c r="E477" s="48" t="str">
        <f aca="false">IF('RAW KVMC'!A474="","",'RAW KVMC'!A474)</f>
        <v>Community Health Needs Assessment</v>
      </c>
      <c r="F477" s="48" t="str">
        <f aca="false">IF('RAW KVMC'!B474="","",'RAW KVMC'!B474)</f>
        <v>CB Operations</v>
      </c>
      <c r="G477" s="49" t="n">
        <f aca="false">IF('RAW KVMC'!C474="","",'RAW KVMC'!C474)</f>
        <v>46173</v>
      </c>
      <c r="H477" s="48" t="str">
        <f aca="false">IF('RAW KVMC'!D474="","",'RAW KVMC'!D474)</f>
        <v>Community Benefit Manager</v>
      </c>
      <c r="I477" s="48" t="n">
        <f aca="false">IF('RAW KVMC'!E474="","",'RAW KVMC'!E474)</f>
        <v>25.75</v>
      </c>
      <c r="J477" s="48" t="n">
        <f aca="false">IF('RAW KVMC'!F474="","",'RAW KVMC'!F474)</f>
        <v>0</v>
      </c>
      <c r="K477" s="50" t="n">
        <f aca="false">IF('RAW KVMC'!G474="","",'RAW KVMC'!G474)</f>
        <v>3215</v>
      </c>
      <c r="L477" s="50" t="n">
        <f aca="false">IF('RAW KVMC'!H474="","",'RAW KVMC'!H474)</f>
        <v>0</v>
      </c>
      <c r="M477" s="48" t="str">
        <f aca="false">IF('RAW KVMC'!I474="","",'RAW KVMC'!I474)</f>
        <v/>
      </c>
    </row>
    <row r="478" customFormat="false" ht="15" hidden="false" customHeight="false" outlineLevel="0" collapsed="false">
      <c r="A478" s="1" t="s">
        <v>1622</v>
      </c>
      <c r="B478" s="1" t="s">
        <v>154</v>
      </c>
      <c r="C478" s="1" t="s">
        <v>1145</v>
      </c>
      <c r="D478" s="1" t="n">
        <v>475</v>
      </c>
      <c r="E478" s="48" t="str">
        <f aca="false">IF('RAW KVMC'!A475="","",'RAW KVMC'!A475)</f>
        <v>Community Health Needs Assessment</v>
      </c>
      <c r="F478" s="48" t="str">
        <f aca="false">IF('RAW KVMC'!B475="","",'RAW KVMC'!B475)</f>
        <v>CB Operations</v>
      </c>
      <c r="G478" s="49" t="n">
        <f aca="false">IF('RAW KVMC'!C475="","",'RAW KVMC'!C475)</f>
        <v>46173</v>
      </c>
      <c r="H478" s="48" t="str">
        <f aca="false">IF('RAW KVMC'!D475="","",'RAW KVMC'!D475)</f>
        <v>BI Analyst</v>
      </c>
      <c r="I478" s="48" t="n">
        <f aca="false">IF('RAW KVMC'!E475="","",'RAW KVMC'!E475)</f>
        <v>23</v>
      </c>
      <c r="J478" s="48" t="n">
        <f aca="false">IF('RAW KVMC'!F475="","",'RAW KVMC'!F475)</f>
        <v>0</v>
      </c>
      <c r="K478" s="50" t="n">
        <f aca="false">IF('RAW KVMC'!G475="","",'RAW KVMC'!G475)</f>
        <v>0</v>
      </c>
      <c r="L478" s="50" t="n">
        <f aca="false">IF('RAW KVMC'!H475="","",'RAW KVMC'!H475)</f>
        <v>0</v>
      </c>
      <c r="M478" s="48" t="str">
        <f aca="false">IF('RAW KVMC'!I475="","",'RAW KVMC'!I475)</f>
        <v/>
      </c>
    </row>
    <row r="479" customFormat="false" ht="15" hidden="false" customHeight="false" outlineLevel="0" collapsed="false">
      <c r="A479" s="1" t="s">
        <v>1623</v>
      </c>
      <c r="B479" s="1" t="s">
        <v>154</v>
      </c>
      <c r="C479" s="1" t="s">
        <v>1145</v>
      </c>
      <c r="D479" s="1" t="n">
        <v>476</v>
      </c>
      <c r="E479" s="48" t="str">
        <f aca="false">IF('RAW KVMC'!A476="","",'RAW KVMC'!A476)</f>
        <v>Community Benefit Program Administration</v>
      </c>
      <c r="F479" s="48" t="str">
        <f aca="false">IF('RAW KVMC'!B476="","",'RAW KVMC'!B476)</f>
        <v>CB Operations</v>
      </c>
      <c r="G479" s="49" t="n">
        <f aca="false">IF('RAW KVMC'!C476="","",'RAW KVMC'!C476)</f>
        <v>46173</v>
      </c>
      <c r="H479" s="48" t="str">
        <f aca="false">IF('RAW KVMC'!D476="","",'RAW KVMC'!D476)</f>
        <v>Office Coordinator</v>
      </c>
      <c r="I479" s="48" t="n">
        <f aca="false">IF('RAW KVMC'!E476="","",'RAW KVMC'!E476)</f>
        <v>71.75</v>
      </c>
      <c r="J479" s="48" t="n">
        <f aca="false">IF('RAW KVMC'!F476="","",'RAW KVMC'!F476)</f>
        <v>0</v>
      </c>
      <c r="K479" s="50" t="n">
        <f aca="false">IF('RAW KVMC'!G476="","",'RAW KVMC'!G476)</f>
        <v>0</v>
      </c>
      <c r="L479" s="50" t="n">
        <f aca="false">IF('RAW KVMC'!H476="","",'RAW KVMC'!H476)</f>
        <v>0</v>
      </c>
      <c r="M479" s="48" t="str">
        <f aca="false">IF('RAW KVMC'!I476="","",'RAW KVMC'!I476)</f>
        <v/>
      </c>
    </row>
    <row r="480" customFormat="false" ht="15" hidden="false" customHeight="false" outlineLevel="0" collapsed="false">
      <c r="A480" s="1" t="s">
        <v>1624</v>
      </c>
      <c r="B480" s="1" t="s">
        <v>154</v>
      </c>
      <c r="C480" s="1" t="s">
        <v>1145</v>
      </c>
      <c r="D480" s="1" t="n">
        <v>477</v>
      </c>
      <c r="E480" s="48" t="str">
        <f aca="false">IF('RAW KVMC'!A477="","",'RAW KVMC'!A477)</f>
        <v>Community Benefit Program Administration</v>
      </c>
      <c r="F480" s="48" t="str">
        <f aca="false">IF('RAW KVMC'!B477="","",'RAW KVMC'!B477)</f>
        <v>CB Operations</v>
      </c>
      <c r="G480" s="49" t="n">
        <f aca="false">IF('RAW KVMC'!C477="","",'RAW KVMC'!C477)</f>
        <v>46173</v>
      </c>
      <c r="H480" s="48" t="str">
        <f aca="false">IF('RAW KVMC'!D477="","",'RAW KVMC'!D477)</f>
        <v>Community Benefit Manager</v>
      </c>
      <c r="I480" s="48" t="n">
        <f aca="false">IF('RAW KVMC'!E477="","",'RAW KVMC'!E477)</f>
        <v>95</v>
      </c>
      <c r="J480" s="48" t="n">
        <f aca="false">IF('RAW KVMC'!F477="","",'RAW KVMC'!F477)</f>
        <v>0</v>
      </c>
      <c r="K480" s="50" t="n">
        <f aca="false">IF('RAW KVMC'!G477="","",'RAW KVMC'!G477)</f>
        <v>870</v>
      </c>
      <c r="L480" s="50" t="n">
        <f aca="false">IF('RAW KVMC'!H477="","",'RAW KVMC'!H477)</f>
        <v>0</v>
      </c>
      <c r="M480" s="48" t="str">
        <f aca="false">IF('RAW KVMC'!I477="","",'RAW KVMC'!I477)</f>
        <v/>
      </c>
    </row>
    <row r="481" customFormat="false" ht="15" hidden="false" customHeight="false" outlineLevel="0" collapsed="false">
      <c r="A481" s="1" t="s">
        <v>1625</v>
      </c>
      <c r="B481" s="1" t="s">
        <v>154</v>
      </c>
      <c r="C481" s="1" t="s">
        <v>1145</v>
      </c>
      <c r="D481" s="1" t="n">
        <v>478</v>
      </c>
      <c r="E481" s="48" t="str">
        <f aca="false">IF('RAW KVMC'!A478="","",'RAW KVMC'!A478)</f>
        <v>Interpreter Services for Community Clinics</v>
      </c>
      <c r="F481" s="48" t="str">
        <f aca="false">IF('RAW KVMC'!B478="","",'RAW KVMC'!B478)</f>
        <v>Health Care Support Services</v>
      </c>
      <c r="G481" s="49" t="n">
        <f aca="false">IF('RAW KVMC'!C478="","",'RAW KVMC'!C478)</f>
        <v>46173</v>
      </c>
      <c r="H481" s="48" t="str">
        <f aca="false">IF('RAW KVMC'!D478="","",'RAW KVMC'!D478)</f>
        <v>interpreter</v>
      </c>
      <c r="I481" s="48" t="n">
        <f aca="false">IF('RAW KVMC'!E478="","",'RAW KVMC'!E478)</f>
        <v>59.75</v>
      </c>
      <c r="J481" s="48" t="n">
        <f aca="false">IF('RAW KVMC'!F478="","",'RAW KVMC'!F478)</f>
        <v>181</v>
      </c>
      <c r="K481" s="50" t="n">
        <f aca="false">IF('RAW KVMC'!G478="","",'RAW KVMC'!G478)</f>
        <v>0</v>
      </c>
      <c r="L481" s="50" t="n">
        <f aca="false">IF('RAW KVMC'!H478="","",'RAW KVMC'!H478)</f>
        <v>0</v>
      </c>
      <c r="M481" s="48" t="str">
        <f aca="false">IF('RAW KVMC'!I478="","",'RAW KVMC'!I478)</f>
        <v/>
      </c>
    </row>
    <row r="482" customFormat="false" ht="15" hidden="false" customHeight="false" outlineLevel="0" collapsed="false">
      <c r="A482" s="1" t="s">
        <v>1626</v>
      </c>
      <c r="B482" s="1" t="s">
        <v>154</v>
      </c>
      <c r="C482" s="1" t="s">
        <v>1145</v>
      </c>
      <c r="D482" s="1" t="n">
        <v>479</v>
      </c>
      <c r="E482" s="48" t="str">
        <f aca="false">IF('RAW KVMC'!A479="","",'RAW KVMC'!A479)</f>
        <v>Nursing Student Clinical Rotations</v>
      </c>
      <c r="F482" s="48" t="str">
        <f aca="false">IF('RAW KVMC'!B479="","",'RAW KVMC'!B479)</f>
        <v>Health Professions Education</v>
      </c>
      <c r="G482" s="49" t="n">
        <f aca="false">IF('RAW KVMC'!C479="","",'RAW KVMC'!C479)</f>
        <v>46173</v>
      </c>
      <c r="H482" s="48" t="str">
        <f aca="false">IF('RAW KVMC'!D479="","",'RAW KVMC'!D479)</f>
        <v>Clin Educator</v>
      </c>
      <c r="I482" s="48" t="n">
        <f aca="false">IF('RAW KVMC'!E479="","",'RAW KVMC'!E479)</f>
        <v>166.5</v>
      </c>
      <c r="J482" s="48" t="n">
        <f aca="false">IF('RAW KVMC'!F479="","",'RAW KVMC'!F479)</f>
        <v>36</v>
      </c>
      <c r="K482" s="50" t="n">
        <f aca="false">IF('RAW KVMC'!G479="","",'RAW KVMC'!G479)</f>
        <v>995</v>
      </c>
      <c r="L482" s="50" t="n">
        <f aca="false">IF('RAW KVMC'!H479="","",'RAW KVMC'!H479)</f>
        <v>0</v>
      </c>
      <c r="M482" s="48" t="str">
        <f aca="false">IF('RAW KVMC'!I479="","",'RAW KVMC'!I479)</f>
        <v/>
      </c>
    </row>
    <row r="483" customFormat="false" ht="15" hidden="false" customHeight="false" outlineLevel="0" collapsed="false">
      <c r="A483" s="1" t="s">
        <v>1627</v>
      </c>
      <c r="B483" s="1" t="s">
        <v>154</v>
      </c>
      <c r="C483" s="1" t="s">
        <v>1145</v>
      </c>
      <c r="D483" s="1" t="n">
        <v>480</v>
      </c>
      <c r="E483" s="48" t="str">
        <f aca="false">IF('RAW KVMC'!A480="","",'RAW KVMC'!A480)</f>
        <v>Nursing Student Clinical Rotations</v>
      </c>
      <c r="F483" s="48" t="str">
        <f aca="false">IF('RAW KVMC'!B480="","",'RAW KVMC'!B480)</f>
        <v>Health Professions Education</v>
      </c>
      <c r="G483" s="49" t="n">
        <f aca="false">IF('RAW KVMC'!C480="","",'RAW KVMC'!C480)</f>
        <v>46173</v>
      </c>
      <c r="H483" s="48" t="str">
        <f aca="false">IF('RAW KVMC'!D480="","",'RAW KVMC'!D480)</f>
        <v>Registered Nurse</v>
      </c>
      <c r="I483" s="48" t="n">
        <f aca="false">IF('RAW KVMC'!E480="","",'RAW KVMC'!E480)</f>
        <v>256.25</v>
      </c>
      <c r="J483" s="48" t="n">
        <f aca="false">IF('RAW KVMC'!F480="","",'RAW KVMC'!F480)</f>
        <v>0</v>
      </c>
      <c r="K483" s="50" t="n">
        <f aca="false">IF('RAW KVMC'!G480="","",'RAW KVMC'!G480)</f>
        <v>0</v>
      </c>
      <c r="L483" s="50" t="n">
        <f aca="false">IF('RAW KVMC'!H480="","",'RAW KVMC'!H480)</f>
        <v>0</v>
      </c>
      <c r="M483" s="48" t="str">
        <f aca="false">IF('RAW KVMC'!I480="","",'RAW KVMC'!I480)</f>
        <v/>
      </c>
    </row>
    <row r="484" customFormat="false" ht="15" hidden="false" customHeight="false" outlineLevel="0" collapsed="false">
      <c r="A484" s="1" t="s">
        <v>1628</v>
      </c>
      <c r="B484" s="1" t="s">
        <v>154</v>
      </c>
      <c r="C484" s="1" t="s">
        <v>1145</v>
      </c>
      <c r="D484" s="1" t="n">
        <v>481</v>
      </c>
      <c r="E484" s="48" t="str">
        <f aca="false">IF('RAW KVMC'!A481="","",'RAW KVMC'!A481)</f>
        <v>Family Medicine Residency Program</v>
      </c>
      <c r="F484" s="48" t="str">
        <f aca="false">IF('RAW KVMC'!B481="","",'RAW KVMC'!B481)</f>
        <v>Health Professions Education</v>
      </c>
      <c r="G484" s="49" t="n">
        <f aca="false">IF('RAW KVMC'!C481="","",'RAW KVMC'!C481)</f>
        <v>46173</v>
      </c>
      <c r="H484" s="48" t="str">
        <f aca="false">IF('RAW KVMC'!D481="","",'RAW KVMC'!D481)</f>
        <v>PHYSICIAN</v>
      </c>
      <c r="I484" s="48" t="n">
        <f aca="false">IF('RAW KVMC'!E481="","",'RAW KVMC'!E481)</f>
        <v>392.25</v>
      </c>
      <c r="J484" s="48" t="n">
        <f aca="false">IF('RAW KVMC'!F481="","",'RAW KVMC'!F481)</f>
        <v>0</v>
      </c>
      <c r="K484" s="50" t="n">
        <f aca="false">IF('RAW KVMC'!G481="","",'RAW KVMC'!G481)</f>
        <v>37810</v>
      </c>
      <c r="L484" s="50" t="n">
        <f aca="false">IF('RAW KVMC'!H481="","",'RAW KVMC'!H481)</f>
        <v>172980</v>
      </c>
      <c r="M484" s="48" t="str">
        <f aca="false">IF('RAW KVMC'!I481="","",'RAW KVMC'!I481)</f>
        <v/>
      </c>
    </row>
    <row r="485" customFormat="false" ht="15" hidden="false" customHeight="false" outlineLevel="0" collapsed="false">
      <c r="A485" s="1" t="s">
        <v>1629</v>
      </c>
      <c r="B485" s="1" t="s">
        <v>154</v>
      </c>
      <c r="C485" s="1" t="s">
        <v>1145</v>
      </c>
      <c r="D485" s="1" t="n">
        <v>482</v>
      </c>
      <c r="E485" s="48" t="str">
        <f aca="false">IF('RAW KVMC'!A482="","",'RAW KVMC'!A482)</f>
        <v>Family Medicine Residency Program</v>
      </c>
      <c r="F485" s="48" t="str">
        <f aca="false">IF('RAW KVMC'!B482="","",'RAW KVMC'!B482)</f>
        <v>Health Professions Education</v>
      </c>
      <c r="G485" s="49" t="n">
        <f aca="false">IF('RAW KVMC'!C482="","",'RAW KVMC'!C482)</f>
        <v>46173</v>
      </c>
      <c r="H485" s="48" t="str">
        <f aca="false">IF('RAW KVMC'!D482="","",'RAW KVMC'!D482)</f>
        <v>Program Coordinator</v>
      </c>
      <c r="I485" s="48" t="n">
        <f aca="false">IF('RAW KVMC'!E482="","",'RAW KVMC'!E482)</f>
        <v>165</v>
      </c>
      <c r="J485" s="48" t="n">
        <f aca="false">IF('RAW KVMC'!F482="","",'RAW KVMC'!F482)</f>
        <v>0</v>
      </c>
      <c r="K485" s="50" t="n">
        <f aca="false">IF('RAW KVMC'!G482="","",'RAW KVMC'!G482)</f>
        <v>0</v>
      </c>
      <c r="L485" s="50" t="n">
        <f aca="false">IF('RAW KVMC'!H482="","",'RAW KVMC'!H482)</f>
        <v>0</v>
      </c>
      <c r="M485" s="48" t="str">
        <f aca="false">IF('RAW KVMC'!I482="","",'RAW KVMC'!I482)</f>
        <v/>
      </c>
    </row>
    <row r="486" customFormat="false" ht="15" hidden="false" customHeight="false" outlineLevel="0" collapsed="false">
      <c r="A486" s="1" t="s">
        <v>1630</v>
      </c>
      <c r="B486" s="1" t="s">
        <v>154</v>
      </c>
      <c r="C486" s="1" t="s">
        <v>1145</v>
      </c>
      <c r="D486" s="1" t="n">
        <v>483</v>
      </c>
      <c r="E486" s="48" t="str">
        <f aca="false">IF('RAW KVMC'!A483="","",'RAW KVMC'!A483)</f>
        <v>Family Medicine Residency Program</v>
      </c>
      <c r="F486" s="48" t="str">
        <f aca="false">IF('RAW KVMC'!B483="","",'RAW KVMC'!B483)</f>
        <v>Health Professions Education</v>
      </c>
      <c r="G486" s="49" t="n">
        <f aca="false">IF('RAW KVMC'!C483="","",'RAW KVMC'!C483)</f>
        <v>46173</v>
      </c>
      <c r="H486" s="48" t="str">
        <f aca="false">IF('RAW KVMC'!D483="","",'RAW KVMC'!D483)</f>
        <v>Resident Physician</v>
      </c>
      <c r="I486" s="48" t="n">
        <f aca="false">IF('RAW KVMC'!E483="","",'RAW KVMC'!E483)</f>
        <v>4135.75</v>
      </c>
      <c r="J486" s="48" t="n">
        <f aca="false">IF('RAW KVMC'!F483="","",'RAW KVMC'!F483)</f>
        <v>0</v>
      </c>
      <c r="K486" s="50" t="n">
        <f aca="false">IF('RAW KVMC'!G483="","",'RAW KVMC'!G483)</f>
        <v>0</v>
      </c>
      <c r="L486" s="50" t="n">
        <f aca="false">IF('RAW KVMC'!H483="","",'RAW KVMC'!H483)</f>
        <v>0</v>
      </c>
      <c r="M486" s="48" t="str">
        <f aca="false">IF('RAW KVMC'!I483="","",'RAW KVMC'!I483)</f>
        <v/>
      </c>
    </row>
    <row r="487" customFormat="false" ht="15" hidden="false" customHeight="false" outlineLevel="0" collapsed="false">
      <c r="A487" s="1" t="s">
        <v>1631</v>
      </c>
      <c r="B487" s="1" t="s">
        <v>154</v>
      </c>
      <c r="C487" s="1" t="s">
        <v>1145</v>
      </c>
      <c r="D487" s="1" t="n">
        <v>484</v>
      </c>
      <c r="E487" s="48" t="str">
        <f aca="false">IF('RAW KVMC'!A484="","",'RAW KVMC'!A484)</f>
        <v>Pharmacy Student Rotations</v>
      </c>
      <c r="F487" s="48" t="str">
        <f aca="false">IF('RAW KVMC'!B484="","",'RAW KVMC'!B484)</f>
        <v>Health Professions Education</v>
      </c>
      <c r="G487" s="49" t="n">
        <f aca="false">IF('RAW KVMC'!C484="","",'RAW KVMC'!C484)</f>
        <v>46173</v>
      </c>
      <c r="H487" s="48" t="str">
        <f aca="false">IF('RAW KVMC'!D484="","",'RAW KVMC'!D484)</f>
        <v>Pharmacist</v>
      </c>
      <c r="I487" s="48" t="n">
        <f aca="false">IF('RAW KVMC'!E484="","",'RAW KVMC'!E484)</f>
        <v>56.5</v>
      </c>
      <c r="J487" s="48" t="n">
        <f aca="false">IF('RAW KVMC'!F484="","",'RAW KVMC'!F484)</f>
        <v>5</v>
      </c>
      <c r="K487" s="50" t="n">
        <f aca="false">IF('RAW KVMC'!G484="","",'RAW KVMC'!G484)</f>
        <v>150</v>
      </c>
      <c r="L487" s="50" t="n">
        <f aca="false">IF('RAW KVMC'!H484="","",'RAW KVMC'!H484)</f>
        <v>0</v>
      </c>
      <c r="M487" s="48" t="str">
        <f aca="false">IF('RAW KVMC'!I484="","",'RAW KVMC'!I484)</f>
        <v/>
      </c>
    </row>
    <row r="488" customFormat="false" ht="15" hidden="false" customHeight="false" outlineLevel="0" collapsed="false">
      <c r="A488" s="1" t="s">
        <v>1632</v>
      </c>
      <c r="B488" s="1" t="s">
        <v>154</v>
      </c>
      <c r="C488" s="1" t="s">
        <v>1145</v>
      </c>
      <c r="D488" s="1" t="n">
        <v>485</v>
      </c>
      <c r="E488" s="48" t="str">
        <f aca="false">IF('RAW KVMC'!A485="","",'RAW KVMC'!A485)</f>
        <v>Community Hypertension Control Study</v>
      </c>
      <c r="F488" s="48" t="str">
        <f aca="false">IF('RAW KVMC'!B485="","",'RAW KVMC'!B485)</f>
        <v>Research</v>
      </c>
      <c r="G488" s="49" t="n">
        <f aca="false">IF('RAW KVMC'!C485="","",'RAW KVMC'!C485)</f>
        <v>46173</v>
      </c>
      <c r="H488" s="48" t="str">
        <f aca="false">IF('RAW KVMC'!D485="","",'RAW KVMC'!D485)</f>
        <v>BI Analyst</v>
      </c>
      <c r="I488" s="48" t="n">
        <f aca="false">IF('RAW KVMC'!E485="","",'RAW KVMC'!E485)</f>
        <v>53.75</v>
      </c>
      <c r="J488" s="48" t="n">
        <f aca="false">IF('RAW KVMC'!F485="","",'RAW KVMC'!F485)</f>
        <v>0</v>
      </c>
      <c r="K488" s="50" t="n">
        <f aca="false">IF('RAW KVMC'!G485="","",'RAW KVMC'!G485)</f>
        <v>0</v>
      </c>
      <c r="L488" s="50" t="n">
        <f aca="false">IF('RAW KVMC'!H485="","",'RAW KVMC'!H485)</f>
        <v>0</v>
      </c>
      <c r="M488" s="48" t="str">
        <f aca="false">IF('RAW KVMC'!I485="","",'RAW KVMC'!I485)</f>
        <v/>
      </c>
    </row>
    <row r="489" customFormat="false" ht="15" hidden="false" customHeight="false" outlineLevel="0" collapsed="false">
      <c r="A489" s="1" t="s">
        <v>1633</v>
      </c>
      <c r="B489" s="1" t="s">
        <v>154</v>
      </c>
      <c r="C489" s="1" t="s">
        <v>1145</v>
      </c>
      <c r="D489" s="1" t="n">
        <v>486</v>
      </c>
      <c r="E489" s="48" t="str">
        <f aca="false">IF('RAW KVMC'!A486="","",'RAW KVMC'!A486)</f>
        <v>Community Hypertension Control Study</v>
      </c>
      <c r="F489" s="48" t="str">
        <f aca="false">IF('RAW KVMC'!B486="","",'RAW KVMC'!B486)</f>
        <v>Research</v>
      </c>
      <c r="G489" s="49" t="n">
        <f aca="false">IF('RAW KVMC'!C486="","",'RAW KVMC'!C486)</f>
        <v>46173</v>
      </c>
      <c r="H489" s="48" t="str">
        <f aca="false">IF('RAW KVMC'!D486="","",'RAW KVMC'!D486)</f>
        <v>Dr.</v>
      </c>
      <c r="I489" s="48" t="n">
        <f aca="false">IF('RAW KVMC'!E486="","",'RAW KVMC'!E486)</f>
        <v>24.5</v>
      </c>
      <c r="J489" s="48" t="n">
        <f aca="false">IF('RAW KVMC'!F486="","",'RAW KVMC'!F486)</f>
        <v>0</v>
      </c>
      <c r="K489" s="50" t="n">
        <f aca="false">IF('RAW KVMC'!G486="","",'RAW KVMC'!G486)</f>
        <v>0</v>
      </c>
      <c r="L489" s="50" t="n">
        <f aca="false">IF('RAW KVMC'!H486="","",'RAW KVMC'!H486)</f>
        <v>0</v>
      </c>
      <c r="M489" s="48" t="str">
        <f aca="false">IF('RAW KVMC'!I486="","",'RAW KVMC'!I486)</f>
        <v/>
      </c>
    </row>
    <row r="490" customFormat="false" ht="15" hidden="false" customHeight="false" outlineLevel="0" collapsed="false">
      <c r="A490" s="1" t="s">
        <v>1634</v>
      </c>
      <c r="B490" s="1" t="s">
        <v>154</v>
      </c>
      <c r="C490" s="1" t="s">
        <v>1145</v>
      </c>
      <c r="D490" s="1" t="n">
        <v>487</v>
      </c>
      <c r="E490" s="48" t="str">
        <f aca="false">IF('RAW KVMC'!A487="","",'RAW KVMC'!A487)</f>
        <v>Community Hypertension Control Study</v>
      </c>
      <c r="F490" s="48" t="str">
        <f aca="false">IF('RAW KVMC'!B487="","",'RAW KVMC'!B487)</f>
        <v>Research</v>
      </c>
      <c r="G490" s="49" t="n">
        <f aca="false">IF('RAW KVMC'!C487="","",'RAW KVMC'!C487)</f>
        <v>46173</v>
      </c>
      <c r="H490" s="48" t="str">
        <f aca="false">IF('RAW KVMC'!D487="","",'RAW KVMC'!D487)</f>
        <v>Research Nurse</v>
      </c>
      <c r="I490" s="48" t="n">
        <f aca="false">IF('RAW KVMC'!E487="","",'RAW KVMC'!E487)</f>
        <v>153.5</v>
      </c>
      <c r="J490" s="48" t="n">
        <f aca="false">IF('RAW KVMC'!F487="","",'RAW KVMC'!F487)</f>
        <v>92</v>
      </c>
      <c r="K490" s="50" t="n">
        <f aca="false">IF('RAW KVMC'!G487="","",'RAW KVMC'!G487)</f>
        <v>9735</v>
      </c>
      <c r="L490" s="50" t="n">
        <f aca="false">IF('RAW KVMC'!H487="","",'RAW KVMC'!H487)</f>
        <v>11540</v>
      </c>
      <c r="M490" s="48" t="str">
        <f aca="false">IF('RAW KVMC'!I487="","",'RAW KVMC'!I487)</f>
        <v/>
      </c>
    </row>
    <row r="491" customFormat="false" ht="15" hidden="false" customHeight="false" outlineLevel="0" collapsed="false">
      <c r="A491" s="1" t="s">
        <v>1635</v>
      </c>
      <c r="B491" s="1" t="s">
        <v>154</v>
      </c>
      <c r="C491" s="1" t="s">
        <v>1145</v>
      </c>
      <c r="D491" s="1" t="n">
        <v>488</v>
      </c>
      <c r="E491" s="48" t="str">
        <f aca="false">IF('RAW KVMC'!A488="","",'RAW KVMC'!A488)</f>
        <v>Diabetes Prevention Classes</v>
      </c>
      <c r="F491" s="48" t="str">
        <f aca="false">IF('RAW KVMC'!B488="","",'RAW KVMC'!B488)</f>
        <v>Community Health Education</v>
      </c>
      <c r="G491" s="49" t="n">
        <f aca="false">IF('RAW KVMC'!C488="","",'RAW KVMC'!C488)</f>
        <v>46176</v>
      </c>
      <c r="H491" s="48" t="str">
        <f aca="false">IF('RAW KVMC'!D488="","",'RAW KVMC'!D488)</f>
        <v>HEALTH EDUCATOR</v>
      </c>
      <c r="I491" s="48" t="n">
        <f aca="false">IF('RAW KVMC'!E488="","",'RAW KVMC'!E488)</f>
        <v>2.5</v>
      </c>
      <c r="J491" s="48" t="n">
        <f aca="false">IF('RAW KVMC'!F488="","",'RAW KVMC'!F488)</f>
        <v>14</v>
      </c>
      <c r="K491" s="50" t="n">
        <f aca="false">IF('RAW KVMC'!G488="","",'RAW KVMC'!G488)</f>
        <v>110</v>
      </c>
      <c r="L491" s="50" t="n">
        <f aca="false">IF('RAW KVMC'!H488="","",'RAW KVMC'!H488)</f>
        <v>0</v>
      </c>
      <c r="M491" s="48" t="str">
        <f aca="false">IF('RAW KVMC'!I488="","",'RAW KVMC'!I488)</f>
        <v/>
      </c>
    </row>
    <row r="492" customFormat="false" ht="15" hidden="false" customHeight="false" outlineLevel="0" collapsed="false">
      <c r="A492" s="1" t="s">
        <v>1636</v>
      </c>
      <c r="B492" s="1" t="s">
        <v>154</v>
      </c>
      <c r="C492" s="1" t="s">
        <v>1145</v>
      </c>
      <c r="D492" s="1" t="n">
        <v>489</v>
      </c>
      <c r="E492" s="48" t="str">
        <f aca="false">IF('RAW KVMC'!A489="","",'RAW KVMC'!A489)</f>
        <v>Diabetes Prevention Classes</v>
      </c>
      <c r="F492" s="48" t="str">
        <f aca="false">IF('RAW KVMC'!B489="","",'RAW KVMC'!B489)</f>
        <v>Community Health Education</v>
      </c>
      <c r="G492" s="49" t="n">
        <f aca="false">IF('RAW KVMC'!C489="","",'RAW KVMC'!C489)</f>
        <v>46176</v>
      </c>
      <c r="H492" s="48" t="str">
        <f aca="false">IF('RAW KVMC'!D489="","",'RAW KVMC'!D489)</f>
        <v>RD</v>
      </c>
      <c r="I492" s="48" t="n">
        <f aca="false">IF('RAW KVMC'!E489="","",'RAW KVMC'!E489)</f>
        <v>1.5</v>
      </c>
      <c r="J492" s="48" t="n">
        <f aca="false">IF('RAW KVMC'!F489="","",'RAW KVMC'!F489)</f>
        <v>0</v>
      </c>
      <c r="K492" s="50" t="n">
        <f aca="false">IF('RAW KVMC'!G489="","",'RAW KVMC'!G489)</f>
        <v>0</v>
      </c>
      <c r="L492" s="50" t="n">
        <f aca="false">IF('RAW KVMC'!H489="","",'RAW KVMC'!H489)</f>
        <v>0</v>
      </c>
      <c r="M492" s="48" t="str">
        <f aca="false">IF('RAW KVMC'!I489="","",'RAW KVMC'!I489)</f>
        <v/>
      </c>
    </row>
    <row r="493" customFormat="false" ht="15" hidden="false" customHeight="false" outlineLevel="0" collapsed="false">
      <c r="A493" s="1" t="s">
        <v>1637</v>
      </c>
      <c r="B493" s="1" t="s">
        <v>154</v>
      </c>
      <c r="C493" s="1" t="s">
        <v>1145</v>
      </c>
      <c r="D493" s="1" t="n">
        <v>490</v>
      </c>
      <c r="E493" s="48" t="str">
        <f aca="false">IF('RAW KVMC'!A490="","",'RAW KVMC'!A490)</f>
        <v>Community Blood Pressure Checks</v>
      </c>
      <c r="F493" s="48" t="str">
        <f aca="false">IF('RAW KVMC'!B490="","",'RAW KVMC'!B490)</f>
        <v>Community-Based Clinical Services</v>
      </c>
      <c r="G493" s="49" t="n">
        <f aca="false">IF('RAW KVMC'!C490="","",'RAW KVMC'!C490)</f>
        <v>46176</v>
      </c>
      <c r="H493" s="48" t="str">
        <f aca="false">IF('RAW KVMC'!D490="","",'RAW KVMC'!D490)</f>
        <v>REG NURSE </v>
      </c>
      <c r="I493" s="48" t="n">
        <f aca="false">IF('RAW KVMC'!E490="","",'RAW KVMC'!E490)</f>
        <v>3.5</v>
      </c>
      <c r="J493" s="48" t="n">
        <f aca="false">IF('RAW KVMC'!F490="","",'RAW KVMC'!F490)</f>
        <v>64</v>
      </c>
      <c r="K493" s="50" t="n">
        <f aca="false">IF('RAW KVMC'!G490="","",'RAW KVMC'!G490)</f>
        <v>120</v>
      </c>
      <c r="L493" s="50" t="n">
        <f aca="false">IF('RAW KVMC'!H490="","",'RAW KVMC'!H490)</f>
        <v>0</v>
      </c>
      <c r="M493" s="48" t="str">
        <f aca="false">IF('RAW KVMC'!I490="","",'RAW KVMC'!I490)</f>
        <v/>
      </c>
    </row>
    <row r="494" customFormat="false" ht="15" hidden="false" customHeight="false" outlineLevel="0" collapsed="false">
      <c r="A494" s="1" t="s">
        <v>1638</v>
      </c>
      <c r="B494" s="1" t="s">
        <v>154</v>
      </c>
      <c r="C494" s="1" t="s">
        <v>1145</v>
      </c>
      <c r="D494" s="1" t="n">
        <v>491</v>
      </c>
      <c r="E494" s="48" t="str">
        <f aca="false">IF('RAW KVMC'!A491="","",'RAW KVMC'!A491)</f>
        <v>Tobacco Cessation Classes</v>
      </c>
      <c r="F494" s="48" t="str">
        <f aca="false">IF('RAW KVMC'!B491="","",'RAW KVMC'!B491)</f>
        <v>Community Health Education</v>
      </c>
      <c r="G494" s="49" t="n">
        <f aca="false">IF('RAW KVMC'!C491="","",'RAW KVMC'!C491)</f>
        <v>46177</v>
      </c>
      <c r="H494" s="48" t="str">
        <f aca="false">IF('RAW KVMC'!D491="","",'RAW KVMC'!D491)</f>
        <v>Physical Therapy</v>
      </c>
      <c r="I494" s="48" t="n">
        <f aca="false">IF('RAW KVMC'!E491="","",'RAW KVMC'!E491)</f>
        <v>2</v>
      </c>
      <c r="J494" s="48" t="n">
        <f aca="false">IF('RAW KVMC'!F491="","",'RAW KVMC'!F491)</f>
        <v>13</v>
      </c>
      <c r="K494" s="50" t="n">
        <f aca="false">IF('RAW KVMC'!G491="","",'RAW KVMC'!G491)</f>
        <v>135</v>
      </c>
      <c r="L494" s="50" t="n">
        <f aca="false">IF('RAW KVMC'!H491="","",'RAW KVMC'!H491)</f>
        <v>0</v>
      </c>
      <c r="M494" s="48" t="str">
        <f aca="false">IF('RAW KVMC'!I491="","",'RAW KVMC'!I491)</f>
        <v/>
      </c>
    </row>
    <row r="495" customFormat="false" ht="15" hidden="false" customHeight="false" outlineLevel="0" collapsed="false">
      <c r="A495" s="1" t="s">
        <v>1639</v>
      </c>
      <c r="B495" s="1" t="s">
        <v>154</v>
      </c>
      <c r="C495" s="1" t="s">
        <v>1145</v>
      </c>
      <c r="D495" s="1" t="n">
        <v>492</v>
      </c>
      <c r="E495" s="48" t="str">
        <f aca="false">IF('RAW KVMC'!A492="","",'RAW KVMC'!A492)</f>
        <v>Diabetes Prevention Classes</v>
      </c>
      <c r="F495" s="48" t="str">
        <f aca="false">IF('RAW KVMC'!B492="","",'RAW KVMC'!B492)</f>
        <v>Community Health Education</v>
      </c>
      <c r="G495" s="49" t="n">
        <f aca="false">IF('RAW KVMC'!C492="","",'RAW KVMC'!C492)</f>
        <v>46179</v>
      </c>
      <c r="H495" s="48" t="str">
        <f aca="false">IF('RAW KVMC'!D492="","",'RAW KVMC'!D492)</f>
        <v> Health Educator </v>
      </c>
      <c r="I495" s="48" t="n">
        <f aca="false">IF('RAW KVMC'!E492="","",'RAW KVMC'!E492)</f>
        <v>3</v>
      </c>
      <c r="J495" s="48" t="n">
        <f aca="false">IF('RAW KVMC'!F492="","",'RAW KVMC'!F492)</f>
        <v>16</v>
      </c>
      <c r="K495" s="50" t="n">
        <f aca="false">IF('RAW KVMC'!G492="","",'RAW KVMC'!G492)</f>
        <v>130</v>
      </c>
      <c r="L495" s="50" t="n">
        <f aca="false">IF('RAW KVMC'!H492="","",'RAW KVMC'!H492)</f>
        <v>0</v>
      </c>
      <c r="M495" s="48" t="str">
        <f aca="false">IF('RAW KVMC'!I492="","",'RAW KVMC'!I492)</f>
        <v/>
      </c>
    </row>
    <row r="496" customFormat="false" ht="15" hidden="false" customHeight="false" outlineLevel="0" collapsed="false">
      <c r="A496" s="1" t="s">
        <v>1640</v>
      </c>
      <c r="B496" s="1" t="s">
        <v>154</v>
      </c>
      <c r="C496" s="1" t="s">
        <v>1145</v>
      </c>
      <c r="D496" s="1" t="n">
        <v>493</v>
      </c>
      <c r="E496" s="48" t="str">
        <f aca="false">IF('RAW KVMC'!A493="","",'RAW KVMC'!A493)</f>
        <v>Diabetes Prevention Classes</v>
      </c>
      <c r="F496" s="48" t="str">
        <f aca="false">IF('RAW KVMC'!B493="","",'RAW KVMC'!B493)</f>
        <v>Community Health Education</v>
      </c>
      <c r="G496" s="49" t="n">
        <f aca="false">IF('RAW KVMC'!C493="","",'RAW KVMC'!C493)</f>
        <v>46179</v>
      </c>
      <c r="H496" s="48" t="str">
        <f aca="false">IF('RAW KVMC'!D493="","",'RAW KVMC'!D493)</f>
        <v>Nutritionist</v>
      </c>
      <c r="I496" s="48" t="n">
        <f aca="false">IF('RAW KVMC'!E493="","",'RAW KVMC'!E493)</f>
        <v>2</v>
      </c>
      <c r="J496" s="48" t="n">
        <f aca="false">IF('RAW KVMC'!F493="","",'RAW KVMC'!F493)</f>
        <v>0</v>
      </c>
      <c r="K496" s="50" t="n">
        <f aca="false">IF('RAW KVMC'!G493="","",'RAW KVMC'!G493)</f>
        <v>0</v>
      </c>
      <c r="L496" s="50" t="n">
        <f aca="false">IF('RAW KVMC'!H493="","",'RAW KVMC'!H493)</f>
        <v>0</v>
      </c>
      <c r="M496" s="48" t="str">
        <f aca="false">IF('RAW KVMC'!I493="","",'RAW KVMC'!I493)</f>
        <v/>
      </c>
    </row>
    <row r="497" customFormat="false" ht="15" hidden="false" customHeight="false" outlineLevel="0" collapsed="false">
      <c r="A497" s="1" t="s">
        <v>1641</v>
      </c>
      <c r="B497" s="1" t="s">
        <v>154</v>
      </c>
      <c r="C497" s="1" t="s">
        <v>1145</v>
      </c>
      <c r="D497" s="1" t="n">
        <v>494</v>
      </c>
      <c r="E497" s="48" t="str">
        <f aca="false">IF('RAW KVMC'!A494="","",'RAW KVMC'!A494)</f>
        <v>Childbirth and Newborn Care Classes</v>
      </c>
      <c r="F497" s="48" t="str">
        <f aca="false">IF('RAW KVMC'!B494="","",'RAW KVMC'!B494)</f>
        <v>Community Health Education</v>
      </c>
      <c r="G497" s="49" t="n">
        <f aca="false">IF('RAW KVMC'!C494="","",'RAW KVMC'!C494)</f>
        <v>46179</v>
      </c>
      <c r="H497" s="48" t="str">
        <f aca="false">IF('RAW KVMC'!D494="","",'RAW KVMC'!D494)</f>
        <v>Clinical Nurse Educator</v>
      </c>
      <c r="I497" s="48" t="n">
        <f aca="false">IF('RAW KVMC'!E494="","",'RAW KVMC'!E494)</f>
        <v>3.25</v>
      </c>
      <c r="J497" s="48" t="n">
        <f aca="false">IF('RAW KVMC'!F494="","",'RAW KVMC'!F494)</f>
        <v>25</v>
      </c>
      <c r="K497" s="50" t="n">
        <f aca="false">IF('RAW KVMC'!G494="","",'RAW KVMC'!G494)</f>
        <v>120</v>
      </c>
      <c r="L497" s="50" t="n">
        <f aca="false">IF('RAW KVMC'!H494="","",'RAW KVMC'!H494)</f>
        <v>500</v>
      </c>
      <c r="M497" s="48" t="str">
        <f aca="false">IF('RAW KVMC'!I494="","",'RAW KVMC'!I494)</f>
        <v/>
      </c>
    </row>
    <row r="498" customFormat="false" ht="15" hidden="false" customHeight="false" outlineLevel="0" collapsed="false">
      <c r="A498" s="1" t="s">
        <v>1642</v>
      </c>
      <c r="B498" s="1" t="s">
        <v>154</v>
      </c>
      <c r="C498" s="1" t="s">
        <v>1145</v>
      </c>
      <c r="D498" s="1" t="n">
        <v>495</v>
      </c>
      <c r="E498" s="48" t="str">
        <f aca="false">IF('RAW KVMC'!A495="","",'RAW KVMC'!A495)</f>
        <v>Regional Health Coalition</v>
      </c>
      <c r="F498" s="48" t="str">
        <f aca="false">IF('RAW KVMC'!B495="","",'RAW KVMC'!B495)</f>
        <v>Community Building - Coalition</v>
      </c>
      <c r="G498" s="49" t="n">
        <f aca="false">IF('RAW KVMC'!C495="","",'RAW KVMC'!C495)</f>
        <v>46190</v>
      </c>
      <c r="H498" s="48" t="str">
        <f aca="false">IF('RAW KVMC'!D495="","",'RAW KVMC'!D495)</f>
        <v>Community Benefit Mgr</v>
      </c>
      <c r="I498" s="48" t="n">
        <f aca="false">IF('RAW KVMC'!E495="","",'RAW KVMC'!E495)</f>
        <v>2.25</v>
      </c>
      <c r="J498" s="48" t="n">
        <f aca="false">IF('RAW KVMC'!F495="","",'RAW KVMC'!F495)</f>
        <v>0</v>
      </c>
      <c r="K498" s="50" t="n">
        <f aca="false">IF('RAW KVMC'!G495="","",'RAW KVMC'!G495)</f>
        <v>0</v>
      </c>
      <c r="L498" s="50" t="n">
        <f aca="false">IF('RAW KVMC'!H495="","",'RAW KVMC'!H495)</f>
        <v>0</v>
      </c>
      <c r="M498" s="48" t="str">
        <f aca="false">IF('RAW KVMC'!I495="","",'RAW KVMC'!I495)</f>
        <v/>
      </c>
    </row>
    <row r="499" customFormat="false" ht="15" hidden="false" customHeight="false" outlineLevel="0" collapsed="false">
      <c r="A499" s="1" t="s">
        <v>1643</v>
      </c>
      <c r="B499" s="1" t="s">
        <v>154</v>
      </c>
      <c r="C499" s="1" t="s">
        <v>1145</v>
      </c>
      <c r="D499" s="1" t="n">
        <v>496</v>
      </c>
      <c r="E499" s="48" t="str">
        <f aca="false">IF('RAW KVMC'!A496="","",'RAW KVMC'!A496)</f>
        <v>Regional Health Coalition</v>
      </c>
      <c r="F499" s="48" t="str">
        <f aca="false">IF('RAW KVMC'!B496="","",'RAW KVMC'!B496)</f>
        <v>Community Building - Coalition</v>
      </c>
      <c r="G499" s="49" t="n">
        <f aca="false">IF('RAW KVMC'!C496="","",'RAW KVMC'!C496)</f>
        <v>46190</v>
      </c>
      <c r="H499" s="48" t="str">
        <f aca="false">IF('RAW KVMC'!D496="","",'RAW KVMC'!D496)</f>
        <v>Director</v>
      </c>
      <c r="I499" s="48" t="n">
        <f aca="false">IF('RAW KVMC'!E496="","",'RAW KVMC'!E496)</f>
        <v>3</v>
      </c>
      <c r="J499" s="48" t="n">
        <f aca="false">IF('RAW KVMC'!F496="","",'RAW KVMC'!F496)</f>
        <v>0</v>
      </c>
      <c r="K499" s="50" t="n">
        <f aca="false">IF('RAW KVMC'!G496="","",'RAW KVMC'!G496)</f>
        <v>115</v>
      </c>
      <c r="L499" s="50" t="n">
        <f aca="false">IF('RAW KVMC'!H496="","",'RAW KVMC'!H496)</f>
        <v>0</v>
      </c>
      <c r="M499" s="48" t="str">
        <f aca="false">IF('RAW KVMC'!I496="","",'RAW KVMC'!I496)</f>
        <v/>
      </c>
    </row>
    <row r="500" customFormat="false" ht="15" hidden="false" customHeight="false" outlineLevel="0" collapsed="false">
      <c r="A500" s="1" t="s">
        <v>1644</v>
      </c>
      <c r="B500" s="1" t="s">
        <v>154</v>
      </c>
      <c r="C500" s="1" t="s">
        <v>1145</v>
      </c>
      <c r="D500" s="1" t="n">
        <v>497</v>
      </c>
      <c r="E500" s="48" t="str">
        <f aca="false">IF('RAW KVMC'!A497="","",'RAW KVMC'!A497)</f>
        <v>Regional Health Coalition</v>
      </c>
      <c r="F500" s="48" t="str">
        <f aca="false">IF('RAW KVMC'!B497="","",'RAW KVMC'!B497)</f>
        <v>Community Building - Coalition</v>
      </c>
      <c r="G500" s="49" t="n">
        <f aca="false">IF('RAW KVMC'!C497="","",'RAW KVMC'!C497)</f>
        <v>46193</v>
      </c>
      <c r="H500" s="48" t="str">
        <f aca="false">IF('RAW KVMC'!D497="","",'RAW KVMC'!D497)</f>
        <v>Community Benefit Manager</v>
      </c>
      <c r="I500" s="48" t="n">
        <f aca="false">IF('RAW KVMC'!E497="","",'RAW KVMC'!E497)</f>
        <v>2.75</v>
      </c>
      <c r="J500" s="48" t="n">
        <f aca="false">IF('RAW KVMC'!F497="","",'RAW KVMC'!F497)</f>
        <v>0</v>
      </c>
      <c r="K500" s="50" t="n">
        <f aca="false">IF('RAW KVMC'!G497="","",'RAW KVMC'!G497)</f>
        <v>0</v>
      </c>
      <c r="L500" s="50" t="n">
        <f aca="false">IF('RAW KVMC'!H497="","",'RAW KVMC'!H497)</f>
        <v>0</v>
      </c>
      <c r="M500" s="48" t="str">
        <f aca="false">IF('RAW KVMC'!I497="","",'RAW KVMC'!I497)</f>
        <v/>
      </c>
    </row>
    <row r="501" customFormat="false" ht="15" hidden="false" customHeight="false" outlineLevel="0" collapsed="false">
      <c r="A501" s="1" t="s">
        <v>1645</v>
      </c>
      <c r="B501" s="1" t="s">
        <v>154</v>
      </c>
      <c r="C501" s="1" t="s">
        <v>1145</v>
      </c>
      <c r="D501" s="1" t="n">
        <v>498</v>
      </c>
      <c r="E501" s="48" t="str">
        <f aca="false">IF('RAW KVMC'!A498="","",'RAW KVMC'!A498)</f>
        <v>Regional Health Coalition</v>
      </c>
      <c r="F501" s="48" t="str">
        <f aca="false">IF('RAW KVMC'!B498="","",'RAW KVMC'!B498)</f>
        <v>Community Building - Coalition</v>
      </c>
      <c r="G501" s="49" t="n">
        <f aca="false">IF('RAW KVMC'!C498="","",'RAW KVMC'!C498)</f>
        <v>46193</v>
      </c>
      <c r="H501" s="48" t="str">
        <f aca="false">IF('RAW KVMC'!D498="","",'RAW KVMC'!D498)</f>
        <v>VP</v>
      </c>
      <c r="I501" s="48" t="n">
        <f aca="false">IF('RAW KVMC'!E498="","",'RAW KVMC'!E498)</f>
        <v>2</v>
      </c>
      <c r="J501" s="48" t="n">
        <f aca="false">IF('RAW KVMC'!F498="","",'RAW KVMC'!F498)</f>
        <v>0</v>
      </c>
      <c r="K501" s="50" t="n">
        <f aca="false">IF('RAW KVMC'!G498="","",'RAW KVMC'!G498)</f>
        <v>75</v>
      </c>
      <c r="L501" s="50" t="n">
        <f aca="false">IF('RAW KVMC'!H498="","",'RAW KVMC'!H498)</f>
        <v>0</v>
      </c>
      <c r="M501" s="48" t="str">
        <f aca="false">IF('RAW KVMC'!I498="","",'RAW KVMC'!I498)</f>
        <v/>
      </c>
    </row>
    <row r="502" customFormat="false" ht="15" hidden="false" customHeight="false" outlineLevel="0" collapsed="false">
      <c r="A502" s="1" t="s">
        <v>1646</v>
      </c>
      <c r="B502" s="1" t="s">
        <v>154</v>
      </c>
      <c r="C502" s="1" t="s">
        <v>1145</v>
      </c>
      <c r="D502" s="1" t="n">
        <v>499</v>
      </c>
      <c r="E502" s="48" t="str">
        <f aca="false">IF('RAW KVMC'!A499="","",'RAW KVMC'!A499)</f>
        <v>Grief Support Group</v>
      </c>
      <c r="F502" s="48" t="str">
        <f aca="false">IF('RAW KVMC'!B499="","",'RAW KVMC'!B499)</f>
        <v>Health Care Support Services</v>
      </c>
      <c r="G502" s="49" t="n">
        <f aca="false">IF('RAW KVMC'!C499="","",'RAW KVMC'!C499)</f>
        <v>46195</v>
      </c>
      <c r="H502" s="48" t="str">
        <f aca="false">IF('RAW KVMC'!D499="","",'RAW KVMC'!D499)</f>
        <v>Spiritual Care</v>
      </c>
      <c r="I502" s="48" t="n">
        <f aca="false">IF('RAW KVMC'!E499="","",'RAW KVMC'!E499)</f>
        <v>2.25</v>
      </c>
      <c r="J502" s="48" t="n">
        <f aca="false">IF('RAW KVMC'!F499="","",'RAW KVMC'!F499)</f>
        <v>10</v>
      </c>
      <c r="K502" s="50" t="n">
        <f aca="false">IF('RAW KVMC'!G499="","",'RAW KVMC'!G499)</f>
        <v>40</v>
      </c>
      <c r="L502" s="50" t="n">
        <f aca="false">IF('RAW KVMC'!H499="","",'RAW KVMC'!H499)</f>
        <v>0</v>
      </c>
      <c r="M502" s="48" t="str">
        <f aca="false">IF('RAW KVMC'!I499="","",'RAW KVMC'!I499)</f>
        <v/>
      </c>
    </row>
    <row r="503" customFormat="false" ht="15" hidden="false" customHeight="false" outlineLevel="0" collapsed="false">
      <c r="A503" s="1" t="s">
        <v>1647</v>
      </c>
      <c r="B503" s="1" t="s">
        <v>154</v>
      </c>
      <c r="C503" s="1" t="s">
        <v>1145</v>
      </c>
      <c r="D503" s="1" t="n">
        <v>500</v>
      </c>
      <c r="E503" s="48" t="str">
        <f aca="false">IF('RAW KVMC'!A500="","",'RAW KVMC'!A500)</f>
        <v>Grief Support Group</v>
      </c>
      <c r="F503" s="48" t="str">
        <f aca="false">IF('RAW KVMC'!B500="","",'RAW KVMC'!B500)</f>
        <v>Health Care Support Services</v>
      </c>
      <c r="G503" s="49" t="n">
        <f aca="false">IF('RAW KVMC'!C500="","",'RAW KVMC'!C500)</f>
        <v>46195</v>
      </c>
      <c r="H503" s="48" t="str">
        <f aca="false">IF('RAW KVMC'!D500="","",'RAW KVMC'!D500)</f>
        <v>LCSW</v>
      </c>
      <c r="I503" s="48" t="n">
        <f aca="false">IF('RAW KVMC'!E500="","",'RAW KVMC'!E500)</f>
        <v>1.75</v>
      </c>
      <c r="J503" s="48" t="n">
        <f aca="false">IF('RAW KVMC'!F500="","",'RAW KVMC'!F500)</f>
        <v>0</v>
      </c>
      <c r="K503" s="50" t="n">
        <f aca="false">IF('RAW KVMC'!G500="","",'RAW KVMC'!G500)</f>
        <v>0</v>
      </c>
      <c r="L503" s="50" t="n">
        <f aca="false">IF('RAW KVMC'!H500="","",'RAW KVMC'!H500)</f>
        <v>0</v>
      </c>
      <c r="M503" s="48" t="str">
        <f aca="false">IF('RAW KVMC'!I500="","",'RAW KVMC'!I500)</f>
        <v/>
      </c>
    </row>
    <row r="504" customFormat="false" ht="15" hidden="false" customHeight="false" outlineLevel="0" collapsed="false">
      <c r="A504" s="1" t="s">
        <v>1648</v>
      </c>
      <c r="B504" s="1" t="s">
        <v>154</v>
      </c>
      <c r="C504" s="1" t="s">
        <v>1145</v>
      </c>
      <c r="D504" s="1" t="n">
        <v>501</v>
      </c>
      <c r="E504" s="48" t="str">
        <f aca="false">IF('RAW KVMC'!A501="","",'RAW KVMC'!A501)</f>
        <v>Childbirth and Newborn Care Classes</v>
      </c>
      <c r="F504" s="48" t="str">
        <f aca="false">IF('RAW KVMC'!B501="","",'RAW KVMC'!B501)</f>
        <v>Community Health Education</v>
      </c>
      <c r="G504" s="49" t="n">
        <f aca="false">IF('RAW KVMC'!C501="","",'RAW KVMC'!C501)</f>
        <v>46197</v>
      </c>
      <c r="H504" s="48" t="str">
        <f aca="false">IF('RAW KVMC'!D501="","",'RAW KVMC'!D501)</f>
        <v>Preceptor RN</v>
      </c>
      <c r="I504" s="48" t="n">
        <f aca="false">IF('RAW KVMC'!E501="","",'RAW KVMC'!E501)</f>
        <v>3.25</v>
      </c>
      <c r="J504" s="48" t="n">
        <f aca="false">IF('RAW KVMC'!F501="","",'RAW KVMC'!F501)</f>
        <v>17</v>
      </c>
      <c r="K504" s="50" t="n">
        <f aca="false">IF('RAW KVMC'!G501="","",'RAW KVMC'!G501)</f>
        <v>125</v>
      </c>
      <c r="L504" s="50" t="n">
        <f aca="false">IF('RAW KVMC'!H501="","",'RAW KVMC'!H501)</f>
        <v>340</v>
      </c>
      <c r="M504" s="48" t="str">
        <f aca="false">IF('RAW KVMC'!I501="","",'RAW KVMC'!I501)</f>
        <v/>
      </c>
    </row>
    <row r="505" customFormat="false" ht="15" hidden="false" customHeight="false" outlineLevel="0" collapsed="false">
      <c r="A505" s="1" t="s">
        <v>1649</v>
      </c>
      <c r="B505" s="1" t="s">
        <v>154</v>
      </c>
      <c r="C505" s="1" t="s">
        <v>1145</v>
      </c>
      <c r="D505" s="1" t="n">
        <v>502</v>
      </c>
      <c r="E505" s="48" t="str">
        <f aca="false">IF('RAW KVMC'!A502="","",'RAW KVMC'!A502)</f>
        <v>Tobacco Cessation Classes</v>
      </c>
      <c r="F505" s="48" t="str">
        <f aca="false">IF('RAW KVMC'!B502="","",'RAW KVMC'!B502)</f>
        <v>Community Health Education</v>
      </c>
      <c r="G505" s="49" t="n">
        <f aca="false">IF('RAW KVMC'!C502="","",'RAW KVMC'!C502)</f>
        <v>46200</v>
      </c>
      <c r="H505" s="48" t="str">
        <f aca="false">IF('RAW KVMC'!D502="","",'RAW KVMC'!D502)</f>
        <v>DPT</v>
      </c>
      <c r="I505" s="48" t="n">
        <f aca="false">IF('RAW KVMC'!E502="","",'RAW KVMC'!E502)</f>
        <v>2</v>
      </c>
      <c r="J505" s="48" t="n">
        <f aca="false">IF('RAW KVMC'!F502="","",'RAW KVMC'!F502)</f>
        <v>15</v>
      </c>
      <c r="K505" s="50" t="n">
        <f aca="false">IF('RAW KVMC'!G502="","",'RAW KVMC'!G502)</f>
        <v>165</v>
      </c>
      <c r="L505" s="50" t="n">
        <f aca="false">IF('RAW KVMC'!H502="","",'RAW KVMC'!H502)</f>
        <v>0</v>
      </c>
      <c r="M505" s="48" t="str">
        <f aca="false">IF('RAW KVMC'!I502="","",'RAW KVMC'!I502)</f>
        <v/>
      </c>
    </row>
    <row r="506" customFormat="false" ht="15" hidden="false" customHeight="false" outlineLevel="0" collapsed="false">
      <c r="A506" s="1" t="s">
        <v>1650</v>
      </c>
      <c r="B506" s="1" t="s">
        <v>154</v>
      </c>
      <c r="C506" s="1" t="s">
        <v>1145</v>
      </c>
      <c r="D506" s="1" t="n">
        <v>503</v>
      </c>
      <c r="E506" s="48" t="str">
        <f aca="false">IF('RAW KVMC'!A503="","",'RAW KVMC'!A503)</f>
        <v>Naloxone Training and Distribution</v>
      </c>
      <c r="F506" s="48" t="str">
        <f aca="false">IF('RAW KVMC'!B503="","",'RAW KVMC'!B503)</f>
        <v>Community Health Education</v>
      </c>
      <c r="G506" s="49" t="n">
        <f aca="false">IF('RAW KVMC'!C503="","",'RAW KVMC'!C503)</f>
        <v>46200</v>
      </c>
      <c r="H506" s="48" t="str">
        <f aca="false">IF('RAW KVMC'!D503="","",'RAW KVMC'!D503)</f>
        <v>Health Educator</v>
      </c>
      <c r="I506" s="48" t="n">
        <f aca="false">IF('RAW KVMC'!E503="","",'RAW KVMC'!E503)</f>
        <v>2.25</v>
      </c>
      <c r="J506" s="48" t="n">
        <f aca="false">IF('RAW KVMC'!F503="","",'RAW KVMC'!F503)</f>
        <v>0</v>
      </c>
      <c r="K506" s="50" t="n">
        <f aca="false">IF('RAW KVMC'!G503="","",'RAW KVMC'!G503)</f>
        <v>0</v>
      </c>
      <c r="L506" s="50" t="n">
        <f aca="false">IF('RAW KVMC'!H503="","",'RAW KVMC'!H503)</f>
        <v>0</v>
      </c>
      <c r="M506" s="48" t="str">
        <f aca="false">IF('RAW KVMC'!I503="","",'RAW KVMC'!I503)</f>
        <v/>
      </c>
    </row>
    <row r="507" customFormat="false" ht="15" hidden="false" customHeight="false" outlineLevel="0" collapsed="false">
      <c r="A507" s="1" t="s">
        <v>1651</v>
      </c>
      <c r="B507" s="1" t="s">
        <v>154</v>
      </c>
      <c r="C507" s="1" t="s">
        <v>1145</v>
      </c>
      <c r="D507" s="1" t="n">
        <v>504</v>
      </c>
      <c r="E507" s="48" t="str">
        <f aca="false">IF('RAW KVMC'!A504="","",'RAW KVMC'!A504)</f>
        <v>Naloxone Training and Distribution</v>
      </c>
      <c r="F507" s="48" t="str">
        <f aca="false">IF('RAW KVMC'!B504="","",'RAW KVMC'!B504)</f>
        <v>Community Health Education</v>
      </c>
      <c r="G507" s="49" t="n">
        <f aca="false">IF('RAW KVMC'!C504="","",'RAW KVMC'!C504)</f>
        <v>46200</v>
      </c>
      <c r="H507" s="48" t="str">
        <f aca="false">IF('RAW KVMC'!D504="","",'RAW KVMC'!D504)</f>
        <v>Pharm.D.</v>
      </c>
      <c r="I507" s="48" t="n">
        <f aca="false">IF('RAW KVMC'!E504="","",'RAW KVMC'!E504)</f>
        <v>2.5</v>
      </c>
      <c r="J507" s="48" t="n">
        <f aca="false">IF('RAW KVMC'!F504="","",'RAW KVMC'!F504)</f>
        <v>43</v>
      </c>
      <c r="K507" s="50" t="n">
        <f aca="false">IF('RAW KVMC'!G504="","",'RAW KVMC'!G504)</f>
        <v>1720</v>
      </c>
      <c r="L507" s="50" t="n">
        <f aca="false">IF('RAW KVMC'!H504="","",'RAW KVMC'!H504)</f>
        <v>1550</v>
      </c>
      <c r="M507" s="48" t="str">
        <f aca="false">IF('RAW KVMC'!I504="","",'RAW KVMC'!I504)</f>
        <v/>
      </c>
    </row>
    <row r="508" customFormat="false" ht="15" hidden="false" customHeight="false" outlineLevel="0" collapsed="false">
      <c r="A508" s="1" t="s">
        <v>1652</v>
      </c>
      <c r="B508" s="1" t="s">
        <v>154</v>
      </c>
      <c r="C508" s="1" t="s">
        <v>1145</v>
      </c>
      <c r="D508" s="1" t="n">
        <v>505</v>
      </c>
      <c r="E508" s="48" t="str">
        <f aca="false">IF('RAW KVMC'!A505="","",'RAW KVMC'!A505)</f>
        <v>Naloxone Training and Distribution</v>
      </c>
      <c r="F508" s="48" t="str">
        <f aca="false">IF('RAW KVMC'!B505="","",'RAW KVMC'!B505)</f>
        <v>Community Health Education</v>
      </c>
      <c r="G508" s="49" t="n">
        <f aca="false">IF('RAW KVMC'!C505="","",'RAW KVMC'!C505)</f>
        <v>46202</v>
      </c>
      <c r="H508" s="48" t="str">
        <f aca="false">IF('RAW KVMC'!D505="","",'RAW KVMC'!D505)</f>
        <v>CHES</v>
      </c>
      <c r="I508" s="48" t="n">
        <f aca="false">IF('RAW KVMC'!E505="","",'RAW KVMC'!E505)</f>
        <v>3</v>
      </c>
      <c r="J508" s="48" t="n">
        <f aca="false">IF('RAW KVMC'!F505="","",'RAW KVMC'!F505)</f>
        <v>0</v>
      </c>
      <c r="K508" s="50" t="n">
        <f aca="false">IF('RAW KVMC'!G505="","",'RAW KVMC'!G505)</f>
        <v>0</v>
      </c>
      <c r="L508" s="50" t="n">
        <f aca="false">IF('RAW KVMC'!H505="","",'RAW KVMC'!H505)</f>
        <v>0</v>
      </c>
      <c r="M508" s="48" t="str">
        <f aca="false">IF('RAW KVMC'!I505="","",'RAW KVMC'!I505)</f>
        <v/>
      </c>
    </row>
    <row r="509" customFormat="false" ht="15" hidden="false" customHeight="false" outlineLevel="0" collapsed="false">
      <c r="A509" s="1" t="s">
        <v>1653</v>
      </c>
      <c r="B509" s="1" t="s">
        <v>154</v>
      </c>
      <c r="C509" s="1" t="s">
        <v>1145</v>
      </c>
      <c r="D509" s="1" t="n">
        <v>506</v>
      </c>
      <c r="E509" s="48" t="str">
        <f aca="false">IF('RAW KVMC'!A506="","",'RAW KVMC'!A506)</f>
        <v>Naloxone Training and Distribution</v>
      </c>
      <c r="F509" s="48" t="str">
        <f aca="false">IF('RAW KVMC'!B506="","",'RAW KVMC'!B506)</f>
        <v>Community Health Education</v>
      </c>
      <c r="G509" s="49" t="n">
        <f aca="false">IF('RAW KVMC'!C506="","",'RAW KVMC'!C506)</f>
        <v>46202</v>
      </c>
      <c r="H509" s="48" t="str">
        <f aca="false">IF('RAW KVMC'!D506="","",'RAW KVMC'!D506)</f>
        <v>pharmacist</v>
      </c>
      <c r="I509" s="48" t="n">
        <f aca="false">IF('RAW KVMC'!E506="","",'RAW KVMC'!E506)</f>
        <v>2.5</v>
      </c>
      <c r="J509" s="48" t="n">
        <f aca="false">IF('RAW KVMC'!F506="","",'RAW KVMC'!F506)</f>
        <v>49</v>
      </c>
      <c r="K509" s="50" t="n">
        <f aca="false">IF('RAW KVMC'!G506="","",'RAW KVMC'!G506)</f>
        <v>2310</v>
      </c>
      <c r="L509" s="50" t="n">
        <f aca="false">IF('RAW KVMC'!H506="","",'RAW KVMC'!H506)</f>
        <v>695</v>
      </c>
      <c r="M509" s="48" t="str">
        <f aca="false">IF('RAW KVMC'!I506="","",'RAW KVMC'!I506)</f>
        <v/>
      </c>
    </row>
    <row r="510" customFormat="false" ht="15" hidden="false" customHeight="false" outlineLevel="0" collapsed="false">
      <c r="A510" s="1" t="s">
        <v>1654</v>
      </c>
      <c r="B510" s="1" t="s">
        <v>154</v>
      </c>
      <c r="C510" s="1" t="s">
        <v>1145</v>
      </c>
      <c r="D510" s="1" t="n">
        <v>507</v>
      </c>
      <c r="E510" s="48" t="str">
        <f aca="false">IF('RAW KVMC'!A507="","",'RAW KVMC'!A507)</f>
        <v>Mobile Health Screening Unit</v>
      </c>
      <c r="F510" s="48" t="str">
        <f aca="false">IF('RAW KVMC'!B507="","",'RAW KVMC'!B507)</f>
        <v>Community-Based Clinical Services</v>
      </c>
      <c r="G510" s="49" t="n">
        <f aca="false">IF('RAW KVMC'!C507="","",'RAW KVMC'!C507)</f>
        <v>46203</v>
      </c>
      <c r="H510" s="48" t="str">
        <f aca="false">IF('RAW KVMC'!D507="","",'RAW KVMC'!D507)</f>
        <v>Comm Health Worker</v>
      </c>
      <c r="I510" s="48" t="n">
        <f aca="false">IF('RAW KVMC'!E507="","",'RAW KVMC'!E507)</f>
        <v>103.75</v>
      </c>
      <c r="J510" s="48" t="n">
        <f aca="false">IF('RAW KVMC'!F507="","",'RAW KVMC'!F507)</f>
        <v>0</v>
      </c>
      <c r="K510" s="50" t="n">
        <f aca="false">IF('RAW KVMC'!G507="","",'RAW KVMC'!G507)</f>
        <v>0</v>
      </c>
      <c r="L510" s="50" t="n">
        <f aca="false">IF('RAW KVMC'!H507="","",'RAW KVMC'!H507)</f>
        <v>0</v>
      </c>
      <c r="M510" s="48" t="str">
        <f aca="false">IF('RAW KVMC'!I507="","",'RAW KVMC'!I507)</f>
        <v/>
      </c>
    </row>
    <row r="511" customFormat="false" ht="15" hidden="false" customHeight="false" outlineLevel="0" collapsed="false">
      <c r="A511" s="1" t="s">
        <v>1655</v>
      </c>
      <c r="B511" s="1" t="s">
        <v>154</v>
      </c>
      <c r="C511" s="1" t="s">
        <v>1145</v>
      </c>
      <c r="D511" s="1" t="n">
        <v>508</v>
      </c>
      <c r="E511" s="48" t="str">
        <f aca="false">IF('RAW KVMC'!A508="","",'RAW KVMC'!A508)</f>
        <v>Mobile Health Screening Unit</v>
      </c>
      <c r="F511" s="48" t="str">
        <f aca="false">IF('RAW KVMC'!B508="","",'RAW KVMC'!B508)</f>
        <v>Community-Based Clinical Services</v>
      </c>
      <c r="G511" s="49" t="n">
        <f aca="false">IF('RAW KVMC'!C508="","",'RAW KVMC'!C508)</f>
        <v>46203</v>
      </c>
      <c r="H511" s="48" t="str">
        <f aca="false">IF('RAW KVMC'!D508="","",'RAW KVMC'!D508)</f>
        <v>MA</v>
      </c>
      <c r="I511" s="48" t="n">
        <f aca="false">IF('RAW KVMC'!E508="","",'RAW KVMC'!E508)</f>
        <v>113.25</v>
      </c>
      <c r="J511" s="48" t="n">
        <f aca="false">IF('RAW KVMC'!F508="","",'RAW KVMC'!F508)</f>
        <v>0</v>
      </c>
      <c r="K511" s="50" t="n">
        <f aca="false">IF('RAW KVMC'!G508="","",'RAW KVMC'!G508)</f>
        <v>0</v>
      </c>
      <c r="L511" s="50" t="n">
        <f aca="false">IF('RAW KVMC'!H508="","",'RAW KVMC'!H508)</f>
        <v>0</v>
      </c>
      <c r="M511" s="48" t="str">
        <f aca="false">IF('RAW KVMC'!I508="","",'RAW KVMC'!I508)</f>
        <v/>
      </c>
    </row>
    <row r="512" customFormat="false" ht="15" hidden="false" customHeight="false" outlineLevel="0" collapsed="false">
      <c r="A512" s="1" t="s">
        <v>1656</v>
      </c>
      <c r="B512" s="1" t="s">
        <v>154</v>
      </c>
      <c r="C512" s="1" t="s">
        <v>1145</v>
      </c>
      <c r="D512" s="1" t="n">
        <v>509</v>
      </c>
      <c r="E512" s="48" t="str">
        <f aca="false">IF('RAW KVMC'!A509="","",'RAW KVMC'!A509)</f>
        <v>Mobile Health Screening Unit</v>
      </c>
      <c r="F512" s="48" t="str">
        <f aca="false">IF('RAW KVMC'!B509="","",'RAW KVMC'!B509)</f>
        <v>Community-Based Clinical Services</v>
      </c>
      <c r="G512" s="49" t="n">
        <f aca="false">IF('RAW KVMC'!C509="","",'RAW KVMC'!C509)</f>
        <v>46203</v>
      </c>
      <c r="H512" s="48" t="str">
        <f aca="false">IF('RAW KVMC'!D509="","",'RAW KVMC'!D509)</f>
        <v>R.N.</v>
      </c>
      <c r="I512" s="48" t="n">
        <f aca="false">IF('RAW KVMC'!E509="","",'RAW KVMC'!E509)</f>
        <v>109</v>
      </c>
      <c r="J512" s="48" t="n">
        <f aca="false">IF('RAW KVMC'!F509="","",'RAW KVMC'!F509)</f>
        <v>334</v>
      </c>
      <c r="K512" s="50" t="n">
        <f aca="false">IF('RAW KVMC'!G509="","",'RAW KVMC'!G509)</f>
        <v>8935</v>
      </c>
      <c r="L512" s="50" t="n">
        <f aca="false">IF('RAW KVMC'!H509="","",'RAW KVMC'!H509)</f>
        <v>0</v>
      </c>
      <c r="M512" s="48" t="str">
        <f aca="false">IF('RAW KVMC'!I509="","",'RAW KVMC'!I509)</f>
        <v/>
      </c>
    </row>
    <row r="513" customFormat="false" ht="15" hidden="false" customHeight="false" outlineLevel="0" collapsed="false">
      <c r="A513" s="1" t="s">
        <v>1657</v>
      </c>
      <c r="B513" s="1" t="s">
        <v>154</v>
      </c>
      <c r="C513" s="1" t="s">
        <v>1145</v>
      </c>
      <c r="D513" s="1" t="n">
        <v>510</v>
      </c>
      <c r="E513" s="48" t="str">
        <f aca="false">IF('RAW KVMC'!A510="","",'RAW KVMC'!A510)</f>
        <v>Free Clinic Provider Staffing</v>
      </c>
      <c r="F513" s="48" t="str">
        <f aca="false">IF('RAW KVMC'!B510="","",'RAW KVMC'!B510)</f>
        <v>Community-Based Clinical Services</v>
      </c>
      <c r="G513" s="49" t="n">
        <f aca="false">IF('RAW KVMC'!C510="","",'RAW KVMC'!C510)</f>
        <v>46203</v>
      </c>
      <c r="H513" s="48" t="str">
        <f aca="false">IF('RAW KVMC'!D510="","",'RAW KVMC'!D510)</f>
        <v>APRN</v>
      </c>
      <c r="I513" s="48" t="n">
        <f aca="false">IF('RAW KVMC'!E510="","",'RAW KVMC'!E510)</f>
        <v>40</v>
      </c>
      <c r="J513" s="48" t="n">
        <f aca="false">IF('RAW KVMC'!F510="","",'RAW KVMC'!F510)</f>
        <v>377</v>
      </c>
      <c r="K513" s="50" t="n">
        <f aca="false">IF('RAW KVMC'!G510="","",'RAW KVMC'!G510)</f>
        <v>4610</v>
      </c>
      <c r="L513" s="50" t="n">
        <f aca="false">IF('RAW KVMC'!H510="","",'RAW KVMC'!H510)</f>
        <v>0</v>
      </c>
      <c r="M513" s="48" t="str">
        <f aca="false">IF('RAW KVMC'!I510="","",'RAW KVMC'!I510)</f>
        <v/>
      </c>
    </row>
    <row r="514" customFormat="false" ht="15" hidden="false" customHeight="false" outlineLevel="0" collapsed="false">
      <c r="A514" s="1" t="s">
        <v>1658</v>
      </c>
      <c r="B514" s="1" t="s">
        <v>154</v>
      </c>
      <c r="C514" s="1" t="s">
        <v>1145</v>
      </c>
      <c r="D514" s="1" t="n">
        <v>511</v>
      </c>
      <c r="E514" s="48" t="str">
        <f aca="false">IF('RAW KVMC'!A511="","",'RAW KVMC'!A511)</f>
        <v>Free Clinic Provider Staffing</v>
      </c>
      <c r="F514" s="48" t="str">
        <f aca="false">IF('RAW KVMC'!B511="","",'RAW KVMC'!B511)</f>
        <v>Community-Based Clinical Services</v>
      </c>
      <c r="G514" s="49" t="n">
        <f aca="false">IF('RAW KVMC'!C511="","",'RAW KVMC'!C511)</f>
        <v>46203</v>
      </c>
      <c r="H514" s="48" t="str">
        <f aca="false">IF('RAW KVMC'!D511="","",'RAW KVMC'!D511)</f>
        <v>Pharmacist</v>
      </c>
      <c r="I514" s="48" t="n">
        <f aca="false">IF('RAW KVMC'!E511="","",'RAW KVMC'!E511)</f>
        <v>16</v>
      </c>
      <c r="J514" s="48" t="n">
        <f aca="false">IF('RAW KVMC'!F511="","",'RAW KVMC'!F511)</f>
        <v>0</v>
      </c>
      <c r="K514" s="50" t="n">
        <f aca="false">IF('RAW KVMC'!G511="","",'RAW KVMC'!G511)</f>
        <v>0</v>
      </c>
      <c r="L514" s="50" t="n">
        <f aca="false">IF('RAW KVMC'!H511="","",'RAW KVMC'!H511)</f>
        <v>0</v>
      </c>
      <c r="M514" s="48" t="str">
        <f aca="false">IF('RAW KVMC'!I511="","",'RAW KVMC'!I511)</f>
        <v/>
      </c>
    </row>
    <row r="515" customFormat="false" ht="15" hidden="false" customHeight="false" outlineLevel="0" collapsed="false">
      <c r="A515" s="1" t="s">
        <v>1659</v>
      </c>
      <c r="B515" s="1" t="s">
        <v>154</v>
      </c>
      <c r="C515" s="1" t="s">
        <v>1145</v>
      </c>
      <c r="D515" s="1" t="n">
        <v>512</v>
      </c>
      <c r="E515" s="48" t="str">
        <f aca="false">IF('RAW KVMC'!A512="","",'RAW KVMC'!A512)</f>
        <v>Free Clinic Provider Staffing</v>
      </c>
      <c r="F515" s="48" t="str">
        <f aca="false">IF('RAW KVMC'!B512="","",'RAW KVMC'!B512)</f>
        <v>Community-Based Clinical Services</v>
      </c>
      <c r="G515" s="49" t="n">
        <f aca="false">IF('RAW KVMC'!C512="","",'RAW KVMC'!C512)</f>
        <v>46203</v>
      </c>
      <c r="H515" s="48" t="str">
        <f aca="false">IF('RAW KVMC'!D512="","",'RAW KVMC'!D512)</f>
        <v>Reg Nurse</v>
      </c>
      <c r="I515" s="48" t="n">
        <f aca="false">IF('RAW KVMC'!E512="","",'RAW KVMC'!E512)</f>
        <v>40</v>
      </c>
      <c r="J515" s="48" t="n">
        <f aca="false">IF('RAW KVMC'!F512="","",'RAW KVMC'!F512)</f>
        <v>0</v>
      </c>
      <c r="K515" s="50" t="n">
        <f aca="false">IF('RAW KVMC'!G512="","",'RAW KVMC'!G512)</f>
        <v>0</v>
      </c>
      <c r="L515" s="50" t="n">
        <f aca="false">IF('RAW KVMC'!H512="","",'RAW KVMC'!H512)</f>
        <v>0</v>
      </c>
      <c r="M515" s="48" t="str">
        <f aca="false">IF('RAW KVMC'!I512="","",'RAW KVMC'!I512)</f>
        <v/>
      </c>
    </row>
    <row r="516" customFormat="false" ht="15" hidden="false" customHeight="false" outlineLevel="0" collapsed="false">
      <c r="A516" s="1" t="s">
        <v>1660</v>
      </c>
      <c r="B516" s="1" t="s">
        <v>154</v>
      </c>
      <c r="C516" s="1" t="s">
        <v>1145</v>
      </c>
      <c r="D516" s="1" t="n">
        <v>513</v>
      </c>
      <c r="E516" s="48" t="str">
        <f aca="false">IF('RAW KVMC'!A513="","",'RAW KVMC'!A513)</f>
        <v>Community Health Worker Outreach</v>
      </c>
      <c r="F516" s="48" t="str">
        <f aca="false">IF('RAW KVMC'!B513="","",'RAW KVMC'!B513)</f>
        <v>Health Care Support Services</v>
      </c>
      <c r="G516" s="49" t="n">
        <f aca="false">IF('RAW KVMC'!C513="","",'RAW KVMC'!C513)</f>
        <v>46203</v>
      </c>
      <c r="H516" s="48" t="str">
        <f aca="false">IF('RAW KVMC'!D513="","",'RAW KVMC'!D513)</f>
        <v>Outreach Worker</v>
      </c>
      <c r="I516" s="48" t="n">
        <f aca="false">IF('RAW KVMC'!E513="","",'RAW KVMC'!E513)</f>
        <v>435</v>
      </c>
      <c r="J516" s="48" t="n">
        <f aca="false">IF('RAW KVMC'!F513="","",'RAW KVMC'!F513)</f>
        <v>571</v>
      </c>
      <c r="K516" s="50" t="n">
        <f aca="false">IF('RAW KVMC'!G513="","",'RAW KVMC'!G513)</f>
        <v>1480</v>
      </c>
      <c r="L516" s="50" t="n">
        <f aca="false">IF('RAW KVMC'!H513="","",'RAW KVMC'!H513)</f>
        <v>0</v>
      </c>
      <c r="M516" s="48" t="str">
        <f aca="false">IF('RAW KVMC'!I513="","",'RAW KVMC'!I513)</f>
        <v/>
      </c>
    </row>
    <row r="517" customFormat="false" ht="15" hidden="false" customHeight="false" outlineLevel="0" collapsed="false">
      <c r="A517" s="1" t="s">
        <v>1661</v>
      </c>
      <c r="B517" s="1" t="s">
        <v>154</v>
      </c>
      <c r="C517" s="1" t="s">
        <v>1145</v>
      </c>
      <c r="D517" s="1" t="n">
        <v>514</v>
      </c>
      <c r="E517" s="48" t="str">
        <f aca="false">IF('RAW KVMC'!A514="","",'RAW KVMC'!A514)</f>
        <v>Community Health Worker Outreach</v>
      </c>
      <c r="F517" s="48" t="str">
        <f aca="false">IF('RAW KVMC'!B514="","",'RAW KVMC'!B514)</f>
        <v>Health Care Support Services</v>
      </c>
      <c r="G517" s="49" t="n">
        <f aca="false">IF('RAW KVMC'!C514="","",'RAW KVMC'!C514)</f>
        <v>46203</v>
      </c>
      <c r="H517" s="48" t="str">
        <f aca="false">IF('RAW KVMC'!D514="","",'RAW KVMC'!D514)</f>
        <v>Pt Navigator</v>
      </c>
      <c r="I517" s="48" t="n">
        <f aca="false">IF('RAW KVMC'!E514="","",'RAW KVMC'!E514)</f>
        <v>175.25</v>
      </c>
      <c r="J517" s="48" t="n">
        <f aca="false">IF('RAW KVMC'!F514="","",'RAW KVMC'!F514)</f>
        <v>0</v>
      </c>
      <c r="K517" s="50" t="n">
        <f aca="false">IF('RAW KVMC'!G514="","",'RAW KVMC'!G514)</f>
        <v>0</v>
      </c>
      <c r="L517" s="50" t="n">
        <f aca="false">IF('RAW KVMC'!H514="","",'RAW KVMC'!H514)</f>
        <v>0</v>
      </c>
      <c r="M517" s="48" t="str">
        <f aca="false">IF('RAW KVMC'!I514="","",'RAW KVMC'!I514)</f>
        <v/>
      </c>
    </row>
    <row r="518" customFormat="false" ht="15" hidden="false" customHeight="false" outlineLevel="0" collapsed="false">
      <c r="A518" s="1" t="s">
        <v>1662</v>
      </c>
      <c r="B518" s="1" t="s">
        <v>154</v>
      </c>
      <c r="C518" s="1" t="s">
        <v>1145</v>
      </c>
      <c r="D518" s="1" t="n">
        <v>515</v>
      </c>
      <c r="E518" s="48" t="str">
        <f aca="false">IF('RAW KVMC'!A515="","",'RAW KVMC'!A515)</f>
        <v>Medication Assistance Program</v>
      </c>
      <c r="F518" s="48" t="str">
        <f aca="false">IF('RAW KVMC'!B515="","",'RAW KVMC'!B515)</f>
        <v>Health Care Support Services</v>
      </c>
      <c r="G518" s="49" t="n">
        <f aca="false">IF('RAW KVMC'!C515="","",'RAW KVMC'!C515)</f>
        <v>46203</v>
      </c>
      <c r="H518" s="48" t="str">
        <f aca="false">IF('RAW KVMC'!D515="","",'RAW KVMC'!D515)</f>
        <v>Patient Navigator</v>
      </c>
      <c r="I518" s="48" t="n">
        <f aca="false">IF('RAW KVMC'!E515="","",'RAW KVMC'!E515)</f>
        <v>79</v>
      </c>
      <c r="J518" s="48" t="n">
        <f aca="false">IF('RAW KVMC'!F515="","",'RAW KVMC'!F515)</f>
        <v>0</v>
      </c>
      <c r="K518" s="50" t="n">
        <f aca="false">IF('RAW KVMC'!G515="","",'RAW KVMC'!G515)</f>
        <v>0</v>
      </c>
      <c r="L518" s="50" t="n">
        <f aca="false">IF('RAW KVMC'!H515="","",'RAW KVMC'!H515)</f>
        <v>0</v>
      </c>
      <c r="M518" s="48" t="str">
        <f aca="false">IF('RAW KVMC'!I515="","",'RAW KVMC'!I515)</f>
        <v/>
      </c>
    </row>
    <row r="519" customFormat="false" ht="15" hidden="false" customHeight="false" outlineLevel="0" collapsed="false">
      <c r="A519" s="1" t="s">
        <v>1663</v>
      </c>
      <c r="B519" s="1" t="s">
        <v>154</v>
      </c>
      <c r="C519" s="1" t="s">
        <v>1145</v>
      </c>
      <c r="D519" s="1" t="n">
        <v>516</v>
      </c>
      <c r="E519" s="48" t="str">
        <f aca="false">IF('RAW KVMC'!A516="","",'RAW KVMC'!A516)</f>
        <v>Medication Assistance Program</v>
      </c>
      <c r="F519" s="48" t="str">
        <f aca="false">IF('RAW KVMC'!B516="","",'RAW KVMC'!B516)</f>
        <v>Health Care Support Services</v>
      </c>
      <c r="G519" s="49" t="n">
        <f aca="false">IF('RAW KVMC'!C516="","",'RAW KVMC'!C516)</f>
        <v>46203</v>
      </c>
      <c r="H519" s="48" t="str">
        <f aca="false">IF('RAW KVMC'!D516="","",'RAW KVMC'!D516)</f>
        <v>Pharm.D.</v>
      </c>
      <c r="I519" s="48" t="n">
        <f aca="false">IF('RAW KVMC'!E516="","",'RAW KVMC'!E516)</f>
        <v>27.25</v>
      </c>
      <c r="J519" s="48" t="n">
        <f aca="false">IF('RAW KVMC'!F516="","",'RAW KVMC'!F516)</f>
        <v>110</v>
      </c>
      <c r="K519" s="50" t="n">
        <f aca="false">IF('RAW KVMC'!G516="","",'RAW KVMC'!G516)</f>
        <v>30345</v>
      </c>
      <c r="L519" s="50" t="n">
        <f aca="false">IF('RAW KVMC'!H516="","",'RAW KVMC'!H516)</f>
        <v>0</v>
      </c>
      <c r="M519" s="48" t="str">
        <f aca="false">IF('RAW KVMC'!I516="","",'RAW KVMC'!I516)</f>
        <v/>
      </c>
    </row>
    <row r="520" customFormat="false" ht="15" hidden="false" customHeight="false" outlineLevel="0" collapsed="false">
      <c r="A520" s="1" t="s">
        <v>1664</v>
      </c>
      <c r="B520" s="1" t="s">
        <v>154</v>
      </c>
      <c r="C520" s="1" t="s">
        <v>1145</v>
      </c>
      <c r="D520" s="1" t="n">
        <v>517</v>
      </c>
      <c r="E520" s="48" t="str">
        <f aca="false">IF('RAW KVMC'!A517="","",'RAW KVMC'!A517)</f>
        <v>Community Health Needs Assessment</v>
      </c>
      <c r="F520" s="48" t="str">
        <f aca="false">IF('RAW KVMC'!B517="","",'RAW KVMC'!B517)</f>
        <v>CB Operations</v>
      </c>
      <c r="G520" s="49" t="n">
        <f aca="false">IF('RAW KVMC'!C517="","",'RAW KVMC'!C517)</f>
        <v>46203</v>
      </c>
      <c r="H520" s="48" t="str">
        <f aca="false">IF('RAW KVMC'!D517="","",'RAW KVMC'!D517)</f>
        <v>Mgr, Community Benefit</v>
      </c>
      <c r="I520" s="48" t="n">
        <f aca="false">IF('RAW KVMC'!E517="","",'RAW KVMC'!E517)</f>
        <v>30.5</v>
      </c>
      <c r="J520" s="48" t="n">
        <f aca="false">IF('RAW KVMC'!F517="","",'RAW KVMC'!F517)</f>
        <v>0</v>
      </c>
      <c r="K520" s="50" t="n">
        <f aca="false">IF('RAW KVMC'!G517="","",'RAW KVMC'!G517)</f>
        <v>2545</v>
      </c>
      <c r="L520" s="50" t="n">
        <f aca="false">IF('RAW KVMC'!H517="","",'RAW KVMC'!H517)</f>
        <v>0</v>
      </c>
      <c r="M520" s="48" t="str">
        <f aca="false">IF('RAW KVMC'!I517="","",'RAW KVMC'!I517)</f>
        <v/>
      </c>
    </row>
    <row r="521" customFormat="false" ht="15" hidden="false" customHeight="false" outlineLevel="0" collapsed="false">
      <c r="A521" s="1" t="s">
        <v>1665</v>
      </c>
      <c r="B521" s="1" t="s">
        <v>154</v>
      </c>
      <c r="C521" s="1" t="s">
        <v>1145</v>
      </c>
      <c r="D521" s="1" t="n">
        <v>518</v>
      </c>
      <c r="E521" s="48" t="str">
        <f aca="false">IF('RAW KVMC'!A518="","",'RAW KVMC'!A518)</f>
        <v>Community Health Needs Assessment</v>
      </c>
      <c r="F521" s="48" t="str">
        <f aca="false">IF('RAW KVMC'!B518="","",'RAW KVMC'!B518)</f>
        <v>CB Operations</v>
      </c>
      <c r="G521" s="49" t="n">
        <f aca="false">IF('RAW KVMC'!C518="","",'RAW KVMC'!C518)</f>
        <v>46203</v>
      </c>
      <c r="H521" s="48" t="str">
        <f aca="false">IF('RAW KVMC'!D518="","",'RAW KVMC'!D518)</f>
        <v>Data Analyst</v>
      </c>
      <c r="I521" s="48" t="n">
        <f aca="false">IF('RAW KVMC'!E518="","",'RAW KVMC'!E518)</f>
        <v>21.5</v>
      </c>
      <c r="J521" s="48" t="n">
        <f aca="false">IF('RAW KVMC'!F518="","",'RAW KVMC'!F518)</f>
        <v>0</v>
      </c>
      <c r="K521" s="50" t="n">
        <f aca="false">IF('RAW KVMC'!G518="","",'RAW KVMC'!G518)</f>
        <v>0</v>
      </c>
      <c r="L521" s="50" t="n">
        <f aca="false">IF('RAW KVMC'!H518="","",'RAW KVMC'!H518)</f>
        <v>0</v>
      </c>
      <c r="M521" s="48" t="str">
        <f aca="false">IF('RAW KVMC'!I518="","",'RAW KVMC'!I518)</f>
        <v/>
      </c>
    </row>
    <row r="522" customFormat="false" ht="15" hidden="false" customHeight="false" outlineLevel="0" collapsed="false">
      <c r="A522" s="1" t="s">
        <v>1666</v>
      </c>
      <c r="B522" s="1" t="s">
        <v>154</v>
      </c>
      <c r="C522" s="1" t="s">
        <v>1145</v>
      </c>
      <c r="D522" s="1" t="n">
        <v>519</v>
      </c>
      <c r="E522" s="48" t="str">
        <f aca="false">IF('RAW KVMC'!A519="","",'RAW KVMC'!A519)</f>
        <v>Community Benefit Program Administration</v>
      </c>
      <c r="F522" s="48" t="str">
        <f aca="false">IF('RAW KVMC'!B519="","",'RAW KVMC'!B519)</f>
        <v>CB Operations</v>
      </c>
      <c r="G522" s="49" t="n">
        <f aca="false">IF('RAW KVMC'!C519="","",'RAW KVMC'!C519)</f>
        <v>46203</v>
      </c>
      <c r="H522" s="48" t="str">
        <f aca="false">IF('RAW KVMC'!D519="","",'RAW KVMC'!D519)</f>
        <v>admin. assistant</v>
      </c>
      <c r="I522" s="48" t="n">
        <f aca="false">IF('RAW KVMC'!E519="","",'RAW KVMC'!E519)</f>
        <v>55.25</v>
      </c>
      <c r="J522" s="48" t="n">
        <f aca="false">IF('RAW KVMC'!F519="","",'RAW KVMC'!F519)</f>
        <v>0</v>
      </c>
      <c r="K522" s="50" t="n">
        <f aca="false">IF('RAW KVMC'!G519="","",'RAW KVMC'!G519)</f>
        <v>0</v>
      </c>
      <c r="L522" s="50" t="n">
        <f aca="false">IF('RAW KVMC'!H519="","",'RAW KVMC'!H519)</f>
        <v>0</v>
      </c>
      <c r="M522" s="48" t="str">
        <f aca="false">IF('RAW KVMC'!I519="","",'RAW KVMC'!I519)</f>
        <v/>
      </c>
    </row>
    <row r="523" customFormat="false" ht="15" hidden="false" customHeight="false" outlineLevel="0" collapsed="false">
      <c r="A523" s="1" t="s">
        <v>1667</v>
      </c>
      <c r="B523" s="1" t="s">
        <v>154</v>
      </c>
      <c r="C523" s="1" t="s">
        <v>1145</v>
      </c>
      <c r="D523" s="1" t="n">
        <v>520</v>
      </c>
      <c r="E523" s="48" t="str">
        <f aca="false">IF('RAW KVMC'!A520="","",'RAW KVMC'!A520)</f>
        <v>Community Benefit Program Administration</v>
      </c>
      <c r="F523" s="48" t="str">
        <f aca="false">IF('RAW KVMC'!B520="","",'RAW KVMC'!B520)</f>
        <v>CB Operations</v>
      </c>
      <c r="G523" s="49" t="n">
        <f aca="false">IF('RAW KVMC'!C520="","",'RAW KVMC'!C520)</f>
        <v>46203</v>
      </c>
      <c r="H523" s="48" t="str">
        <f aca="false">IF('RAW KVMC'!D520="","",'RAW KVMC'!D520)</f>
        <v>Community Benefit Mgr</v>
      </c>
      <c r="I523" s="48" t="n">
        <f aca="false">IF('RAW KVMC'!E520="","",'RAW KVMC'!E520)</f>
        <v>81.75</v>
      </c>
      <c r="J523" s="48" t="n">
        <f aca="false">IF('RAW KVMC'!F520="","",'RAW KVMC'!F520)</f>
        <v>0</v>
      </c>
      <c r="K523" s="50" t="n">
        <f aca="false">IF('RAW KVMC'!G520="","",'RAW KVMC'!G520)</f>
        <v>470</v>
      </c>
      <c r="L523" s="50" t="n">
        <f aca="false">IF('RAW KVMC'!H520="","",'RAW KVMC'!H520)</f>
        <v>0</v>
      </c>
      <c r="M523" s="48" t="str">
        <f aca="false">IF('RAW KVMC'!I520="","",'RAW KVMC'!I520)</f>
        <v/>
      </c>
    </row>
    <row r="524" customFormat="false" ht="15" hidden="false" customHeight="false" outlineLevel="0" collapsed="false">
      <c r="A524" s="1" t="s">
        <v>1668</v>
      </c>
      <c r="B524" s="1" t="s">
        <v>154</v>
      </c>
      <c r="C524" s="1" t="s">
        <v>1145</v>
      </c>
      <c r="D524" s="1" t="n">
        <v>521</v>
      </c>
      <c r="E524" s="48" t="str">
        <f aca="false">IF('RAW KVMC'!A521="","",'RAW KVMC'!A521)</f>
        <v>Interpreter Services for Community Clinics</v>
      </c>
      <c r="F524" s="48" t="str">
        <f aca="false">IF('RAW KVMC'!B521="","",'RAW KVMC'!B521)</f>
        <v>Health Care Support Services</v>
      </c>
      <c r="G524" s="49" t="n">
        <f aca="false">IF('RAW KVMC'!C521="","",'RAW KVMC'!C521)</f>
        <v>46203</v>
      </c>
      <c r="H524" s="48" t="str">
        <f aca="false">IF('RAW KVMC'!D521="","",'RAW KVMC'!D521)</f>
        <v>Interpreter</v>
      </c>
      <c r="I524" s="48" t="n">
        <f aca="false">IF('RAW KVMC'!E521="","",'RAW KVMC'!E521)</f>
        <v>72</v>
      </c>
      <c r="J524" s="48" t="n">
        <f aca="false">IF('RAW KVMC'!F521="","",'RAW KVMC'!F521)</f>
        <v>123</v>
      </c>
      <c r="K524" s="50" t="n">
        <f aca="false">IF('RAW KVMC'!G521="","",'RAW KVMC'!G521)</f>
        <v>0</v>
      </c>
      <c r="L524" s="50" t="n">
        <f aca="false">IF('RAW KVMC'!H521="","",'RAW KVMC'!H521)</f>
        <v>0</v>
      </c>
      <c r="M524" s="48" t="str">
        <f aca="false">IF('RAW KVMC'!I521="","",'RAW KVMC'!I521)</f>
        <v/>
      </c>
    </row>
    <row r="525" customFormat="false" ht="15" hidden="false" customHeight="false" outlineLevel="0" collapsed="false">
      <c r="A525" s="1" t="s">
        <v>1669</v>
      </c>
      <c r="B525" s="1" t="s">
        <v>154</v>
      </c>
      <c r="C525" s="1" t="s">
        <v>1145</v>
      </c>
      <c r="D525" s="1" t="n">
        <v>522</v>
      </c>
      <c r="E525" s="48" t="str">
        <f aca="false">IF('RAW KVMC'!A522="","",'RAW KVMC'!A522)</f>
        <v>Nursing Student Clinical Rotations</v>
      </c>
      <c r="F525" s="48" t="str">
        <f aca="false">IF('RAW KVMC'!B522="","",'RAW KVMC'!B522)</f>
        <v>Health Professions Education</v>
      </c>
      <c r="G525" s="49" t="n">
        <f aca="false">IF('RAW KVMC'!C522="","",'RAW KVMC'!C522)</f>
        <v>46203</v>
      </c>
      <c r="H525" s="48" t="str">
        <f aca="false">IF('RAW KVMC'!D522="","",'RAW KVMC'!D522)</f>
        <v>Preceptor RN</v>
      </c>
      <c r="I525" s="48" t="n">
        <f aca="false">IF('RAW KVMC'!E522="","",'RAW KVMC'!E522)</f>
        <v>47.5</v>
      </c>
      <c r="J525" s="48" t="n">
        <f aca="false">IF('RAW KVMC'!F522="","",'RAW KVMC'!F522)</f>
        <v>15</v>
      </c>
      <c r="K525" s="50" t="n">
        <f aca="false">IF('RAW KVMC'!G522="","",'RAW KVMC'!G522)</f>
        <v>585</v>
      </c>
      <c r="L525" s="50" t="n">
        <f aca="false">IF('RAW KVMC'!H522="","",'RAW KVMC'!H522)</f>
        <v>0</v>
      </c>
      <c r="M525" s="48" t="str">
        <f aca="false">IF('RAW KVMC'!I522="","",'RAW KVMC'!I522)</f>
        <v/>
      </c>
    </row>
    <row r="526" customFormat="false" ht="15" hidden="false" customHeight="false" outlineLevel="0" collapsed="false">
      <c r="A526" s="1" t="s">
        <v>1670</v>
      </c>
      <c r="B526" s="1" t="s">
        <v>154</v>
      </c>
      <c r="C526" s="1" t="s">
        <v>1145</v>
      </c>
      <c r="D526" s="1" t="n">
        <v>523</v>
      </c>
      <c r="E526" s="48" t="str">
        <f aca="false">IF('RAW KVMC'!A523="","",'RAW KVMC'!A523)</f>
        <v>Nursing Student Clinical Rotations</v>
      </c>
      <c r="F526" s="48" t="str">
        <f aca="false">IF('RAW KVMC'!B523="","",'RAW KVMC'!B523)</f>
        <v>Health Professions Education</v>
      </c>
      <c r="G526" s="49" t="n">
        <f aca="false">IF('RAW KVMC'!C523="","",'RAW KVMC'!C523)</f>
        <v>46203</v>
      </c>
      <c r="H526" s="48" t="str">
        <f aca="false">IF('RAW KVMC'!D523="","",'RAW KVMC'!D523)</f>
        <v>Reg Nurse</v>
      </c>
      <c r="I526" s="48" t="n">
        <f aca="false">IF('RAW KVMC'!E523="","",'RAW KVMC'!E523)</f>
        <v>121</v>
      </c>
      <c r="J526" s="48" t="n">
        <f aca="false">IF('RAW KVMC'!F523="","",'RAW KVMC'!F523)</f>
        <v>0</v>
      </c>
      <c r="K526" s="50" t="n">
        <f aca="false">IF('RAW KVMC'!G523="","",'RAW KVMC'!G523)</f>
        <v>0</v>
      </c>
      <c r="L526" s="50" t="n">
        <f aca="false">IF('RAW KVMC'!H523="","",'RAW KVMC'!H523)</f>
        <v>0</v>
      </c>
      <c r="M526" s="48" t="str">
        <f aca="false">IF('RAW KVMC'!I523="","",'RAW KVMC'!I523)</f>
        <v/>
      </c>
    </row>
    <row r="527" customFormat="false" ht="15" hidden="false" customHeight="false" outlineLevel="0" collapsed="false">
      <c r="A527" s="1" t="s">
        <v>1671</v>
      </c>
      <c r="B527" s="1" t="s">
        <v>154</v>
      </c>
      <c r="C527" s="1" t="s">
        <v>1145</v>
      </c>
      <c r="D527" s="1" t="n">
        <v>524</v>
      </c>
      <c r="E527" s="48" t="str">
        <f aca="false">IF('RAW KVMC'!A524="","",'RAW KVMC'!A524)</f>
        <v>Family Medicine Residency Program</v>
      </c>
      <c r="F527" s="48" t="str">
        <f aca="false">IF('RAW KVMC'!B524="","",'RAW KVMC'!B524)</f>
        <v>Health Professions Education</v>
      </c>
      <c r="G527" s="49" t="n">
        <f aca="false">IF('RAW KVMC'!C524="","",'RAW KVMC'!C524)</f>
        <v>46203</v>
      </c>
      <c r="H527" s="48" t="str">
        <f aca="false">IF('RAW KVMC'!D524="","",'RAW KVMC'!D524)</f>
        <v>Dr.</v>
      </c>
      <c r="I527" s="48" t="n">
        <f aca="false">IF('RAW KVMC'!E524="","",'RAW KVMC'!E524)</f>
        <v>394.25</v>
      </c>
      <c r="J527" s="48" t="n">
        <f aca="false">IF('RAW KVMC'!F524="","",'RAW KVMC'!F524)</f>
        <v>0</v>
      </c>
      <c r="K527" s="50" t="n">
        <f aca="false">IF('RAW KVMC'!G524="","",'RAW KVMC'!G524)</f>
        <v>34380</v>
      </c>
      <c r="L527" s="50" t="n">
        <f aca="false">IF('RAW KVMC'!H524="","",'RAW KVMC'!H524)</f>
        <v>156615</v>
      </c>
      <c r="M527" s="48" t="str">
        <f aca="false">IF('RAW KVMC'!I524="","",'RAW KVMC'!I524)</f>
        <v/>
      </c>
    </row>
    <row r="528" customFormat="false" ht="15" hidden="false" customHeight="false" outlineLevel="0" collapsed="false">
      <c r="A528" s="1" t="s">
        <v>1672</v>
      </c>
      <c r="B528" s="1" t="s">
        <v>154</v>
      </c>
      <c r="C528" s="1" t="s">
        <v>1145</v>
      </c>
      <c r="D528" s="1" t="n">
        <v>525</v>
      </c>
      <c r="E528" s="48" t="str">
        <f aca="false">IF('RAW KVMC'!A525="","",'RAW KVMC'!A525)</f>
        <v>Family Medicine Residency Program</v>
      </c>
      <c r="F528" s="48" t="str">
        <f aca="false">IF('RAW KVMC'!B525="","",'RAW KVMC'!B525)</f>
        <v>Health Professions Education</v>
      </c>
      <c r="G528" s="49" t="n">
        <f aca="false">IF('RAW KVMC'!C525="","",'RAW KVMC'!C525)</f>
        <v>46203</v>
      </c>
      <c r="H528" s="48" t="str">
        <f aca="false">IF('RAW KVMC'!D525="","",'RAW KVMC'!D525)</f>
        <v>Program Coordinator</v>
      </c>
      <c r="I528" s="48" t="n">
        <f aca="false">IF('RAW KVMC'!E525="","",'RAW KVMC'!E525)</f>
        <v>171.75</v>
      </c>
      <c r="J528" s="48" t="n">
        <f aca="false">IF('RAW KVMC'!F525="","",'RAW KVMC'!F525)</f>
        <v>0</v>
      </c>
      <c r="K528" s="50" t="n">
        <f aca="false">IF('RAW KVMC'!G525="","",'RAW KVMC'!G525)</f>
        <v>0</v>
      </c>
      <c r="L528" s="50" t="n">
        <f aca="false">IF('RAW KVMC'!H525="","",'RAW KVMC'!H525)</f>
        <v>0</v>
      </c>
      <c r="M528" s="48" t="str">
        <f aca="false">IF('RAW KVMC'!I525="","",'RAW KVMC'!I525)</f>
        <v/>
      </c>
    </row>
    <row r="529" customFormat="false" ht="15" hidden="false" customHeight="false" outlineLevel="0" collapsed="false">
      <c r="A529" s="1" t="s">
        <v>1673</v>
      </c>
      <c r="B529" s="1" t="s">
        <v>154</v>
      </c>
      <c r="C529" s="1" t="s">
        <v>1145</v>
      </c>
      <c r="D529" s="1" t="n">
        <v>526</v>
      </c>
      <c r="E529" s="48" t="str">
        <f aca="false">IF('RAW KVMC'!A526="","",'RAW KVMC'!A526)</f>
        <v>Family Medicine Residency Program</v>
      </c>
      <c r="F529" s="48" t="str">
        <f aca="false">IF('RAW KVMC'!B526="","",'RAW KVMC'!B526)</f>
        <v>Health Professions Education</v>
      </c>
      <c r="G529" s="49" t="n">
        <f aca="false">IF('RAW KVMC'!C526="","",'RAW KVMC'!C526)</f>
        <v>46203</v>
      </c>
      <c r="H529" s="48" t="str">
        <f aca="false">IF('RAW KVMC'!D526="","",'RAW KVMC'!D526)</f>
        <v>RESIDENT PHYSICIAN</v>
      </c>
      <c r="I529" s="48" t="n">
        <f aca="false">IF('RAW KVMC'!E526="","",'RAW KVMC'!E526)</f>
        <v>3947.25</v>
      </c>
      <c r="J529" s="48" t="n">
        <f aca="false">IF('RAW KVMC'!F526="","",'RAW KVMC'!F526)</f>
        <v>0</v>
      </c>
      <c r="K529" s="50" t="n">
        <f aca="false">IF('RAW KVMC'!G526="","",'RAW KVMC'!G526)</f>
        <v>0</v>
      </c>
      <c r="L529" s="50" t="n">
        <f aca="false">IF('RAW KVMC'!H526="","",'RAW KVMC'!H526)</f>
        <v>0</v>
      </c>
      <c r="M529" s="48" t="str">
        <f aca="false">IF('RAW KVMC'!I526="","",'RAW KVMC'!I526)</f>
        <v/>
      </c>
    </row>
    <row r="530" customFormat="false" ht="15" hidden="false" customHeight="false" outlineLevel="0" collapsed="false">
      <c r="A530" s="1" t="s">
        <v>1674</v>
      </c>
      <c r="B530" s="1" t="s">
        <v>154</v>
      </c>
      <c r="C530" s="1" t="s">
        <v>1145</v>
      </c>
      <c r="D530" s="1" t="n">
        <v>527</v>
      </c>
      <c r="E530" s="48" t="str">
        <f aca="false">IF('RAW KVMC'!A527="","",'RAW KVMC'!A527)</f>
        <v>Pharmacy Student Rotations</v>
      </c>
      <c r="F530" s="48" t="str">
        <f aca="false">IF('RAW KVMC'!B527="","",'RAW KVMC'!B527)</f>
        <v>Health Professions Education</v>
      </c>
      <c r="G530" s="49" t="n">
        <f aca="false">IF('RAW KVMC'!C527="","",'RAW KVMC'!C527)</f>
        <v>46203</v>
      </c>
      <c r="H530" s="48" t="str">
        <f aca="false">IF('RAW KVMC'!D527="","",'RAW KVMC'!D527)</f>
        <v>Pharmacist</v>
      </c>
      <c r="I530" s="48" t="n">
        <f aca="false">IF('RAW KVMC'!E527="","",'RAW KVMC'!E527)</f>
        <v>52.5</v>
      </c>
      <c r="J530" s="48" t="n">
        <f aca="false">IF('RAW KVMC'!F527="","",'RAW KVMC'!F527)</f>
        <v>5</v>
      </c>
      <c r="K530" s="50" t="n">
        <f aca="false">IF('RAW KVMC'!G527="","",'RAW KVMC'!G527)</f>
        <v>30</v>
      </c>
      <c r="L530" s="50" t="n">
        <f aca="false">IF('RAW KVMC'!H527="","",'RAW KVMC'!H527)</f>
        <v>0</v>
      </c>
      <c r="M530" s="48" t="str">
        <f aca="false">IF('RAW KVMC'!I527="","",'RAW KVMC'!I527)</f>
        <v/>
      </c>
    </row>
    <row r="531" customFormat="false" ht="15" hidden="false" customHeight="false" outlineLevel="0" collapsed="false">
      <c r="A531" s="1" t="s">
        <v>1675</v>
      </c>
      <c r="B531" s="1" t="s">
        <v>154</v>
      </c>
      <c r="C531" s="1" t="s">
        <v>1145</v>
      </c>
      <c r="D531" s="1" t="n">
        <v>528</v>
      </c>
      <c r="E531" s="48" t="str">
        <f aca="false">IF('RAW KVMC'!A528="","",'RAW KVMC'!A528)</f>
        <v>Community Hypertension Control Study</v>
      </c>
      <c r="F531" s="48" t="str">
        <f aca="false">IF('RAW KVMC'!B528="","",'RAW KVMC'!B528)</f>
        <v>Research</v>
      </c>
      <c r="G531" s="49" t="n">
        <f aca="false">IF('RAW KVMC'!C528="","",'RAW KVMC'!C528)</f>
        <v>46203</v>
      </c>
      <c r="H531" s="48" t="str">
        <f aca="false">IF('RAW KVMC'!D528="","",'RAW KVMC'!D528)</f>
        <v>Data Analyst</v>
      </c>
      <c r="I531" s="48" t="n">
        <f aca="false">IF('RAW KVMC'!E528="","",'RAW KVMC'!E528)</f>
        <v>58</v>
      </c>
      <c r="J531" s="48" t="n">
        <f aca="false">IF('RAW KVMC'!F528="","",'RAW KVMC'!F528)</f>
        <v>0</v>
      </c>
      <c r="K531" s="50" t="n">
        <f aca="false">IF('RAW KVMC'!G528="","",'RAW KVMC'!G528)</f>
        <v>0</v>
      </c>
      <c r="L531" s="50" t="n">
        <f aca="false">IF('RAW KVMC'!H528="","",'RAW KVMC'!H528)</f>
        <v>0</v>
      </c>
      <c r="M531" s="48" t="str">
        <f aca="false">IF('RAW KVMC'!I528="","",'RAW KVMC'!I528)</f>
        <v/>
      </c>
    </row>
    <row r="532" customFormat="false" ht="15" hidden="false" customHeight="false" outlineLevel="0" collapsed="false">
      <c r="A532" s="1" t="s">
        <v>1676</v>
      </c>
      <c r="B532" s="1" t="s">
        <v>154</v>
      </c>
      <c r="C532" s="1" t="s">
        <v>1145</v>
      </c>
      <c r="D532" s="1" t="n">
        <v>529</v>
      </c>
      <c r="E532" s="48" t="str">
        <f aca="false">IF('RAW KVMC'!A529="","",'RAW KVMC'!A529)</f>
        <v>Community Hypertension Control Study</v>
      </c>
      <c r="F532" s="48" t="str">
        <f aca="false">IF('RAW KVMC'!B529="","",'RAW KVMC'!B529)</f>
        <v>Research</v>
      </c>
      <c r="G532" s="49" t="n">
        <f aca="false">IF('RAW KVMC'!C529="","",'RAW KVMC'!C529)</f>
        <v>46203</v>
      </c>
      <c r="H532" s="48" t="str">
        <f aca="false">IF('RAW KVMC'!D529="","",'RAW KVMC'!D529)</f>
        <v>Physician</v>
      </c>
      <c r="I532" s="48" t="n">
        <f aca="false">IF('RAW KVMC'!E529="","",'RAW KVMC'!E529)</f>
        <v>20.75</v>
      </c>
      <c r="J532" s="48" t="n">
        <f aca="false">IF('RAW KVMC'!F529="","",'RAW KVMC'!F529)</f>
        <v>0</v>
      </c>
      <c r="K532" s="50" t="n">
        <f aca="false">IF('RAW KVMC'!G529="","",'RAW KVMC'!G529)</f>
        <v>0</v>
      </c>
      <c r="L532" s="50" t="n">
        <f aca="false">IF('RAW KVMC'!H529="","",'RAW KVMC'!H529)</f>
        <v>0</v>
      </c>
      <c r="M532" s="48" t="str">
        <f aca="false">IF('RAW KVMC'!I529="","",'RAW KVMC'!I529)</f>
        <v/>
      </c>
    </row>
    <row r="533" customFormat="false" ht="15" hidden="false" customHeight="false" outlineLevel="0" collapsed="false">
      <c r="A533" s="1" t="s">
        <v>1677</v>
      </c>
      <c r="B533" s="1" t="s">
        <v>154</v>
      </c>
      <c r="C533" s="1" t="s">
        <v>1145</v>
      </c>
      <c r="D533" s="1" t="n">
        <v>530</v>
      </c>
      <c r="E533" s="48" t="str">
        <f aca="false">IF('RAW KVMC'!A530="","",'RAW KVMC'!A530)</f>
        <v>Community Hypertension Control Study</v>
      </c>
      <c r="F533" s="48" t="str">
        <f aca="false">IF('RAW KVMC'!B530="","",'RAW KVMC'!B530)</f>
        <v>Research</v>
      </c>
      <c r="G533" s="49" t="n">
        <f aca="false">IF('RAW KVMC'!C530="","",'RAW KVMC'!C530)</f>
        <v>46203</v>
      </c>
      <c r="H533" s="48" t="str">
        <f aca="false">IF('RAW KVMC'!D530="","",'RAW KVMC'!D530)</f>
        <v>CRC</v>
      </c>
      <c r="I533" s="48" t="n">
        <f aca="false">IF('RAW KVMC'!E530="","",'RAW KVMC'!E530)</f>
        <v>199</v>
      </c>
      <c r="J533" s="48" t="n">
        <f aca="false">IF('RAW KVMC'!F530="","",'RAW KVMC'!F530)</f>
        <v>58</v>
      </c>
      <c r="K533" s="50" t="n">
        <f aca="false">IF('RAW KVMC'!G530="","",'RAW KVMC'!G530)</f>
        <v>8350</v>
      </c>
      <c r="L533" s="50" t="n">
        <f aca="false">IF('RAW KVMC'!H530="","",'RAW KVMC'!H530)</f>
        <v>9440</v>
      </c>
      <c r="M533" s="48" t="str">
        <f aca="false">IF('RAW KVMC'!I530="","",'RAW KVMC'!I530)</f>
        <v/>
      </c>
    </row>
    <row r="534" customFormat="false" ht="15" hidden="false" customHeight="false" outlineLevel="0" collapsed="false">
      <c r="A534" s="1" t="s">
        <v>1678</v>
      </c>
      <c r="B534" s="1" t="s">
        <v>155</v>
      </c>
      <c r="C534" s="1" t="s">
        <v>1147</v>
      </c>
      <c r="D534" s="1" t="n">
        <v>5</v>
      </c>
      <c r="E534" s="48" t="str">
        <f aca="false">IF('RAW ASH'!B5="","",'RAW ASH'!B5)</f>
        <v>DPP Classes</v>
      </c>
      <c r="F534" s="48" t="str">
        <f aca="false">IF('RAW ASH'!C5="","",'RAW ASH'!C5)</f>
        <v>Comm Hlth Ed</v>
      </c>
      <c r="G534" s="49" t="str">
        <f aca="false">IF('RAW ASH'!A5="","",'RAW ASH'!A5)</f>
        <v>07/05/2025</v>
      </c>
      <c r="H534" s="48" t="str">
        <f aca="false">IF('RAW ASH'!D5="","",'RAW ASH'!D5)</f>
        <v>Health Ed</v>
      </c>
      <c r="I534" s="48" t="n">
        <f aca="false">IF('RAW ASH'!E5="","",'RAW ASH'!E5)</f>
        <v>2</v>
      </c>
      <c r="J534" s="48" t="n">
        <f aca="false">IF('RAW ASH'!F5="","",'RAW ASH'!F5)</f>
        <v>10</v>
      </c>
      <c r="K534" s="50" t="n">
        <f aca="false">IF('RAW ASH'!G5="","",'RAW ASH'!G5)</f>
        <v>95</v>
      </c>
      <c r="L534" s="50" t="str">
        <f aca="false">IF('RAW ASH'!H5="","",'RAW ASH'!H5)</f>
        <v/>
      </c>
      <c r="M534" s="48" t="str">
        <f aca="false">IF('RAW ASH'!I5="","",'RAW ASH'!I5)</f>
        <v/>
      </c>
    </row>
    <row r="535" customFormat="false" ht="15" hidden="false" customHeight="false" outlineLevel="0" collapsed="false">
      <c r="A535" s="1" t="s">
        <v>1679</v>
      </c>
      <c r="B535" s="1" t="s">
        <v>155</v>
      </c>
      <c r="C535" s="1" t="s">
        <v>1147</v>
      </c>
      <c r="D535" s="1" t="n">
        <v>6</v>
      </c>
      <c r="E535" s="48" t="str">
        <f aca="false">IF('RAW ASH'!B6="","",'RAW ASH'!B6)</f>
        <v>DPP Classes</v>
      </c>
      <c r="F535" s="48" t="str">
        <f aca="false">IF('RAW ASH'!C6="","",'RAW ASH'!C6)</f>
        <v>Comm Hlth Ed</v>
      </c>
      <c r="G535" s="49" t="str">
        <f aca="false">IF('RAW ASH'!A6="","",'RAW ASH'!A6)</f>
        <v>07/05/2025</v>
      </c>
      <c r="H535" s="48" t="str">
        <f aca="false">IF('RAW ASH'!D6="","",'RAW ASH'!D6)</f>
        <v>RD</v>
      </c>
      <c r="I535" s="48" t="n">
        <f aca="false">IF('RAW ASH'!E6="","",'RAW ASH'!E6)</f>
        <v>1.75</v>
      </c>
      <c r="J535" s="48" t="str">
        <f aca="false">IF('RAW ASH'!F6="","",'RAW ASH'!F6)</f>
        <v/>
      </c>
      <c r="K535" s="50" t="str">
        <f aca="false">IF('RAW ASH'!G6="","",'RAW ASH'!G6)</f>
        <v/>
      </c>
      <c r="L535" s="50" t="str">
        <f aca="false">IF('RAW ASH'!H6="","",'RAW ASH'!H6)</f>
        <v/>
      </c>
      <c r="M535" s="48" t="str">
        <f aca="false">IF('RAW ASH'!I6="","",'RAW ASH'!I6)</f>
        <v/>
      </c>
    </row>
    <row r="536" customFormat="false" ht="15" hidden="false" customHeight="false" outlineLevel="0" collapsed="false">
      <c r="A536" s="1" t="s">
        <v>1680</v>
      </c>
      <c r="B536" s="1" t="s">
        <v>155</v>
      </c>
      <c r="C536" s="1" t="s">
        <v>1147</v>
      </c>
      <c r="D536" s="1" t="n">
        <v>7</v>
      </c>
      <c r="E536" s="48" t="str">
        <f aca="false">IF('RAW ASH'!B7="","",'RAW ASH'!B7)</f>
        <v>DPP Classes</v>
      </c>
      <c r="F536" s="48" t="str">
        <f aca="false">IF('RAW ASH'!C7="","",'RAW ASH'!C7)</f>
        <v>Comm Hlth Ed</v>
      </c>
      <c r="G536" s="49" t="str">
        <f aca="false">IF('RAW ASH'!A7="","",'RAW ASH'!A7)</f>
        <v>07/08/2025</v>
      </c>
      <c r="H536" s="48" t="str">
        <f aca="false">IF('RAW ASH'!D7="","",'RAW ASH'!D7)</f>
        <v>Community Educator</v>
      </c>
      <c r="I536" s="48" t="n">
        <f aca="false">IF('RAW ASH'!E7="","",'RAW ASH'!E7)</f>
        <v>20</v>
      </c>
      <c r="J536" s="48" t="n">
        <f aca="false">IF('RAW ASH'!F7="","",'RAW ASH'!F7)</f>
        <v>14</v>
      </c>
      <c r="K536" s="50" t="n">
        <f aca="false">IF('RAW ASH'!G7="","",'RAW ASH'!G7)</f>
        <v>70</v>
      </c>
      <c r="L536" s="50" t="str">
        <f aca="false">IF('RAW ASH'!H7="","",'RAW ASH'!H7)</f>
        <v/>
      </c>
      <c r="M536" s="48" t="str">
        <f aca="false">IF('RAW ASH'!I7="","",'RAW ASH'!I7)</f>
        <v/>
      </c>
    </row>
    <row r="537" customFormat="false" ht="15" hidden="false" customHeight="false" outlineLevel="0" collapsed="false">
      <c r="A537" s="1" t="s">
        <v>1681</v>
      </c>
      <c r="B537" s="1" t="s">
        <v>155</v>
      </c>
      <c r="C537" s="1" t="s">
        <v>1147</v>
      </c>
      <c r="D537" s="1" t="n">
        <v>8</v>
      </c>
      <c r="E537" s="48" t="str">
        <f aca="false">IF('RAW ASH'!B8="","",'RAW ASH'!B8)</f>
        <v>DPP Classes</v>
      </c>
      <c r="F537" s="48" t="str">
        <f aca="false">IF('RAW ASH'!C8="","",'RAW ASH'!C8)</f>
        <v>Comm Hlth Ed</v>
      </c>
      <c r="G537" s="49" t="str">
        <f aca="false">IF('RAW ASH'!A8="","",'RAW ASH'!A8)</f>
        <v>07/08/2025</v>
      </c>
      <c r="H537" s="48" t="str">
        <f aca="false">IF('RAW ASH'!D8="","",'RAW ASH'!D8)</f>
        <v>Clinical Dietitian</v>
      </c>
      <c r="I537" s="48" t="n">
        <f aca="false">IF('RAW ASH'!E8="","",'RAW ASH'!E8)</f>
        <v>1.75</v>
      </c>
      <c r="J537" s="48" t="str">
        <f aca="false">IF('RAW ASH'!F8="","",'RAW ASH'!F8)</f>
        <v/>
      </c>
      <c r="K537" s="50" t="str">
        <f aca="false">IF('RAW ASH'!G8="","",'RAW ASH'!G8)</f>
        <v/>
      </c>
      <c r="L537" s="50" t="str">
        <f aca="false">IF('RAW ASH'!H8="","",'RAW ASH'!H8)</f>
        <v/>
      </c>
      <c r="M537" s="48" t="str">
        <f aca="false">IF('RAW ASH'!I8="","",'RAW ASH'!I8)</f>
        <v/>
      </c>
    </row>
    <row r="538" customFormat="false" ht="15" hidden="false" customHeight="false" outlineLevel="0" collapsed="false">
      <c r="A538" s="1" t="s">
        <v>1682</v>
      </c>
      <c r="B538" s="1" t="s">
        <v>155</v>
      </c>
      <c r="C538" s="1" t="s">
        <v>1147</v>
      </c>
      <c r="D538" s="1" t="n">
        <v>9</v>
      </c>
      <c r="E538" s="48" t="str">
        <f aca="false">IF('RAW ASH'!B9="","",'RAW ASH'!B9)</f>
        <v>DPP Classes</v>
      </c>
      <c r="F538" s="48" t="str">
        <f aca="false">IF('RAW ASH'!C9="","",'RAW ASH'!C9)</f>
        <v>Comm Hlth Ed</v>
      </c>
      <c r="G538" s="49" t="str">
        <f aca="false">IF('RAW ASH'!A9="","",'RAW ASH'!A9)</f>
        <v>07/10/2025</v>
      </c>
      <c r="H538" s="48" t="str">
        <f aca="false">IF('RAW ASH'!D9="","",'RAW ASH'!D9)</f>
        <v>Hlth Educator</v>
      </c>
      <c r="I538" s="48" t="n">
        <f aca="false">IF('RAW ASH'!E9="","",'RAW ASH'!E9)</f>
        <v>2</v>
      </c>
      <c r="J538" s="48" t="n">
        <f aca="false">IF('RAW ASH'!F9="","",'RAW ASH'!F9)</f>
        <v>13</v>
      </c>
      <c r="K538" s="50" t="n">
        <f aca="false">IF('RAW ASH'!G9="","",'RAW ASH'!G9)</f>
        <v>160</v>
      </c>
      <c r="L538" s="50" t="str">
        <f aca="false">IF('RAW ASH'!H9="","",'RAW ASH'!H9)</f>
        <v/>
      </c>
      <c r="M538" s="48" t="str">
        <f aca="false">IF('RAW ASH'!I9="","",'RAW ASH'!I9)</f>
        <v/>
      </c>
    </row>
    <row r="539" customFormat="false" ht="15" hidden="false" customHeight="false" outlineLevel="0" collapsed="false">
      <c r="A539" s="1" t="s">
        <v>1683</v>
      </c>
      <c r="B539" s="1" t="s">
        <v>155</v>
      </c>
      <c r="C539" s="1" t="s">
        <v>1147</v>
      </c>
      <c r="D539" s="1" t="n">
        <v>10</v>
      </c>
      <c r="E539" s="48" t="str">
        <f aca="false">IF('RAW ASH'!B10="","",'RAW ASH'!B10)</f>
        <v>DPP Classes</v>
      </c>
      <c r="F539" s="48" t="str">
        <f aca="false">IF('RAW ASH'!C10="","",'RAW ASH'!C10)</f>
        <v>Comm Hlth Ed</v>
      </c>
      <c r="G539" s="49" t="str">
        <f aca="false">IF('RAW ASH'!A10="","",'RAW ASH'!A10)</f>
        <v>07/10/2025</v>
      </c>
      <c r="H539" s="48" t="str">
        <f aca="false">IF('RAW ASH'!D10="","",'RAW ASH'!D10)</f>
        <v>Dietitian</v>
      </c>
      <c r="I539" s="48" t="n">
        <f aca="false">IF('RAW ASH'!E10="","",'RAW ASH'!E10)</f>
        <v>1.5</v>
      </c>
      <c r="J539" s="48" t="str">
        <f aca="false">IF('RAW ASH'!F10="","",'RAW ASH'!F10)</f>
        <v/>
      </c>
      <c r="K539" s="50" t="str">
        <f aca="false">IF('RAW ASH'!G10="","",'RAW ASH'!G10)</f>
        <v/>
      </c>
      <c r="L539" s="50" t="str">
        <f aca="false">IF('RAW ASH'!H10="","",'RAW ASH'!H10)</f>
        <v/>
      </c>
      <c r="M539" s="48" t="str">
        <f aca="false">IF('RAW ASH'!I10="","",'RAW ASH'!I10)</f>
        <v/>
      </c>
    </row>
    <row r="540" customFormat="false" ht="15" hidden="false" customHeight="false" outlineLevel="0" collapsed="false">
      <c r="A540" s="1" t="s">
        <v>1684</v>
      </c>
      <c r="B540" s="1" t="s">
        <v>155</v>
      </c>
      <c r="C540" s="1" t="s">
        <v>1147</v>
      </c>
      <c r="D540" s="1" t="n">
        <v>11</v>
      </c>
      <c r="E540" s="48" t="str">
        <f aca="false">IF('RAW ASH'!B11="","",'RAW ASH'!B11)</f>
        <v>BP Checks</v>
      </c>
      <c r="F540" s="48" t="str">
        <f aca="false">IF('RAW ASH'!C11="","",'RAW ASH'!C11)</f>
        <v>Clinical Svcs</v>
      </c>
      <c r="G540" s="49" t="str">
        <f aca="false">IF('RAW ASH'!A11="","",'RAW ASH'!A11)</f>
        <v>07/12/2025</v>
      </c>
      <c r="H540" s="48" t="str">
        <f aca="false">IF('RAW ASH'!D11="","",'RAW ASH'!D11)</f>
        <v>RN</v>
      </c>
      <c r="I540" s="48" t="n">
        <f aca="false">IF('RAW ASH'!E11="","",'RAW ASH'!E11)</f>
        <v>3.75</v>
      </c>
      <c r="J540" s="48" t="n">
        <f aca="false">IF('RAW ASH'!F11="","",'RAW ASH'!F11)</f>
        <v>41</v>
      </c>
      <c r="K540" s="50" t="n">
        <f aca="false">IF('RAW ASH'!G11="","",'RAW ASH'!G11)</f>
        <v>105</v>
      </c>
      <c r="L540" s="50" t="str">
        <f aca="false">IF('RAW ASH'!H11="","",'RAW ASH'!H11)</f>
        <v/>
      </c>
      <c r="M540" s="48" t="str">
        <f aca="false">IF('RAW ASH'!I11="","",'RAW ASH'!I11)</f>
        <v/>
      </c>
    </row>
    <row r="541" customFormat="false" ht="15" hidden="false" customHeight="false" outlineLevel="0" collapsed="false">
      <c r="A541" s="1" t="s">
        <v>1685</v>
      </c>
      <c r="B541" s="1" t="s">
        <v>155</v>
      </c>
      <c r="C541" s="1" t="s">
        <v>1147</v>
      </c>
      <c r="D541" s="1" t="n">
        <v>12</v>
      </c>
      <c r="E541" s="48" t="str">
        <f aca="false">IF('RAW ASH'!B12="","",'RAW ASH'!B12)</f>
        <v>Fall Prevention</v>
      </c>
      <c r="F541" s="48" t="str">
        <f aca="false">IF('RAW ASH'!C12="","",'RAW ASH'!C12)</f>
        <v>Comm Hlth Ed</v>
      </c>
      <c r="G541" s="49" t="str">
        <f aca="false">IF('RAW ASH'!A12="","",'RAW ASH'!A12)</f>
        <v>07/19/2025</v>
      </c>
      <c r="H541" s="48" t="str">
        <f aca="false">IF('RAW ASH'!D12="","",'RAW ASH'!D12)</f>
        <v>Physical Therapist</v>
      </c>
      <c r="I541" s="48" t="n">
        <f aca="false">IF('RAW ASH'!E12="","",'RAW ASH'!E12)</f>
        <v>2</v>
      </c>
      <c r="J541" s="48" t="n">
        <f aca="false">IF('RAW ASH'!F12="","",'RAW ASH'!F12)</f>
        <v>16</v>
      </c>
      <c r="K541" s="50" t="n">
        <f aca="false">IF('RAW ASH'!G12="","",'RAW ASH'!G12)</f>
        <v>65</v>
      </c>
      <c r="L541" s="50" t="str">
        <f aca="false">IF('RAW ASH'!H12="","",'RAW ASH'!H12)</f>
        <v/>
      </c>
      <c r="M541" s="48" t="str">
        <f aca="false">IF('RAW ASH'!I12="","",'RAW ASH'!I12)</f>
        <v/>
      </c>
    </row>
    <row r="542" customFormat="false" ht="15" hidden="false" customHeight="false" outlineLevel="0" collapsed="false">
      <c r="A542" s="1" t="s">
        <v>1686</v>
      </c>
      <c r="B542" s="1" t="s">
        <v>155</v>
      </c>
      <c r="C542" s="1" t="s">
        <v>1147</v>
      </c>
      <c r="D542" s="1" t="n">
        <v>13</v>
      </c>
      <c r="E542" s="48" t="str">
        <f aca="false">IF('RAW ASH'!B13="","",'RAW ASH'!B13)</f>
        <v>Mobile Screening Unit</v>
      </c>
      <c r="F542" s="48" t="str">
        <f aca="false">IF('RAW ASH'!C13="","",'RAW ASH'!C13)</f>
        <v>Clinical Svcs</v>
      </c>
      <c r="G542" s="49" t="str">
        <f aca="false">IF('RAW ASH'!A13="","",'RAW ASH'!A13)</f>
        <v>07/31/2025</v>
      </c>
      <c r="H542" s="48" t="str">
        <f aca="false">IF('RAW ASH'!D13="","",'RAW ASH'!D13)</f>
        <v>CHW</v>
      </c>
      <c r="I542" s="48" t="str">
        <f aca="false">IF('RAW ASH'!E13="","",'RAW ASH'!E13)</f>
        <v>87.75 hrs</v>
      </c>
      <c r="J542" s="48" t="str">
        <f aca="false">IF('RAW ASH'!F13="","",'RAW ASH'!F13)</f>
        <v/>
      </c>
      <c r="K542" s="50" t="str">
        <f aca="false">IF('RAW ASH'!G13="","",'RAW ASH'!G13)</f>
        <v/>
      </c>
      <c r="L542" s="50" t="str">
        <f aca="false">IF('RAW ASH'!H13="","",'RAW ASH'!H13)</f>
        <v/>
      </c>
      <c r="M542" s="48" t="str">
        <f aca="false">IF('RAW ASH'!I13="","",'RAW ASH'!I13)</f>
        <v/>
      </c>
    </row>
    <row r="543" customFormat="false" ht="15" hidden="false" customHeight="false" outlineLevel="0" collapsed="false">
      <c r="A543" s="1" t="s">
        <v>1687</v>
      </c>
      <c r="B543" s="1" t="s">
        <v>155</v>
      </c>
      <c r="C543" s="1" t="s">
        <v>1147</v>
      </c>
      <c r="D543" s="1" t="n">
        <v>14</v>
      </c>
      <c r="E543" s="48" t="str">
        <f aca="false">IF('RAW ASH'!B14="","",'RAW ASH'!B14)</f>
        <v>Mobile Screening Unit</v>
      </c>
      <c r="F543" s="48" t="str">
        <f aca="false">IF('RAW ASH'!C14="","",'RAW ASH'!C14)</f>
        <v>Clinical Svcs</v>
      </c>
      <c r="G543" s="49" t="str">
        <f aca="false">IF('RAW ASH'!A14="","",'RAW ASH'!A14)</f>
        <v>07/31/2025</v>
      </c>
      <c r="H543" s="48" t="str">
        <f aca="false">IF('RAW ASH'!D14="","",'RAW ASH'!D14)</f>
        <v>CHW</v>
      </c>
      <c r="I543" s="48" t="str">
        <f aca="false">IF('RAW ASH'!E14="","",'RAW ASH'!E14)</f>
        <v>87.75 hrs</v>
      </c>
      <c r="J543" s="48" t="str">
        <f aca="false">IF('RAW ASH'!F14="","",'RAW ASH'!F14)</f>
        <v/>
      </c>
      <c r="K543" s="50" t="str">
        <f aca="false">IF('RAW ASH'!G14="","",'RAW ASH'!G14)</f>
        <v/>
      </c>
      <c r="L543" s="50" t="str">
        <f aca="false">IF('RAW ASH'!H14="","",'RAW ASH'!H14)</f>
        <v/>
      </c>
      <c r="M543" s="48" t="str">
        <f aca="false">IF('RAW ASH'!I14="","",'RAW ASH'!I14)</f>
        <v/>
      </c>
    </row>
    <row r="544" customFormat="false" ht="15" hidden="false" customHeight="false" outlineLevel="0" collapsed="false">
      <c r="A544" s="1" t="s">
        <v>1688</v>
      </c>
      <c r="B544" s="1" t="s">
        <v>155</v>
      </c>
      <c r="C544" s="1" t="s">
        <v>1147</v>
      </c>
      <c r="D544" s="1" t="n">
        <v>15</v>
      </c>
      <c r="E544" s="48" t="str">
        <f aca="false">IF('RAW ASH'!B15="","",'RAW ASH'!B15)</f>
        <v>Mobile Screening Unit</v>
      </c>
      <c r="F544" s="48" t="str">
        <f aca="false">IF('RAW ASH'!C15="","",'RAW ASH'!C15)</f>
        <v>Clinical Svcs</v>
      </c>
      <c r="G544" s="49" t="str">
        <f aca="false">IF('RAW ASH'!A15="","",'RAW ASH'!A15)</f>
        <v>07/31/2025</v>
      </c>
      <c r="H544" s="48" t="str">
        <f aca="false">IF('RAW ASH'!D15="","",'RAW ASH'!D15)</f>
        <v> Med Asst</v>
      </c>
      <c r="I544" s="48" t="str">
        <f aca="false">IF('RAW ASH'!E15="","",'RAW ASH'!E15)</f>
        <v>105.5 hrs</v>
      </c>
      <c r="J544" s="48" t="str">
        <f aca="false">IF('RAW ASH'!F15="","",'RAW ASH'!F15)</f>
        <v/>
      </c>
      <c r="K544" s="50" t="str">
        <f aca="false">IF('RAW ASH'!G15="","",'RAW ASH'!G15)</f>
        <v/>
      </c>
      <c r="L544" s="50" t="str">
        <f aca="false">IF('RAW ASH'!H15="","",'RAW ASH'!H15)</f>
        <v/>
      </c>
      <c r="M544" s="48" t="str">
        <f aca="false">IF('RAW ASH'!I15="","",'RAW ASH'!I15)</f>
        <v/>
      </c>
    </row>
    <row r="545" customFormat="false" ht="15" hidden="false" customHeight="false" outlineLevel="0" collapsed="false">
      <c r="A545" s="1" t="s">
        <v>1689</v>
      </c>
      <c r="B545" s="1" t="s">
        <v>155</v>
      </c>
      <c r="C545" s="1" t="s">
        <v>1147</v>
      </c>
      <c r="D545" s="1" t="n">
        <v>16</v>
      </c>
      <c r="E545" s="48" t="str">
        <f aca="false">IF('RAW ASH'!B16="","",'RAW ASH'!B16)</f>
        <v>Mobile Screening Unit</v>
      </c>
      <c r="F545" s="48" t="str">
        <f aca="false">IF('RAW ASH'!C16="","",'RAW ASH'!C16)</f>
        <v>Clinical Svcs</v>
      </c>
      <c r="G545" s="49" t="str">
        <f aca="false">IF('RAW ASH'!A16="","",'RAW ASH'!A16)</f>
        <v>07/31/2025</v>
      </c>
      <c r="H545" s="48" t="str">
        <f aca="false">IF('RAW ASH'!D16="","",'RAW ASH'!D16)</f>
        <v> Med Asst</v>
      </c>
      <c r="I545" s="48" t="str">
        <f aca="false">IF('RAW ASH'!E16="","",'RAW ASH'!E16)</f>
        <v>105.5 hrs</v>
      </c>
      <c r="J545" s="48" t="str">
        <f aca="false">IF('RAW ASH'!F16="","",'RAW ASH'!F16)</f>
        <v/>
      </c>
      <c r="K545" s="50" t="str">
        <f aca="false">IF('RAW ASH'!G16="","",'RAW ASH'!G16)</f>
        <v/>
      </c>
      <c r="L545" s="50" t="str">
        <f aca="false">IF('RAW ASH'!H16="","",'RAW ASH'!H16)</f>
        <v/>
      </c>
      <c r="M545" s="48" t="str">
        <f aca="false">IF('RAW ASH'!I16="","",'RAW ASH'!I16)</f>
        <v/>
      </c>
    </row>
    <row r="546" customFormat="false" ht="15" hidden="false" customHeight="false" outlineLevel="0" collapsed="false">
      <c r="A546" s="1" t="s">
        <v>1690</v>
      </c>
      <c r="B546" s="1" t="s">
        <v>155</v>
      </c>
      <c r="C546" s="1" t="s">
        <v>1147</v>
      </c>
      <c r="D546" s="1" t="n">
        <v>17</v>
      </c>
      <c r="E546" s="48" t="str">
        <f aca="false">IF('RAW ASH'!B17="","",'RAW ASH'!B17)</f>
        <v>Mobile Screening Unit</v>
      </c>
      <c r="F546" s="48" t="str">
        <f aca="false">IF('RAW ASH'!C17="","",'RAW ASH'!C17)</f>
        <v>Clinical Svcs</v>
      </c>
      <c r="G546" s="49" t="str">
        <f aca="false">IF('RAW ASH'!A17="","",'RAW ASH'!A17)</f>
        <v>07/31/2025</v>
      </c>
      <c r="H546" s="48" t="str">
        <f aca="false">IF('RAW ASH'!D17="","",'RAW ASH'!D17)</f>
        <v>RN</v>
      </c>
      <c r="I546" s="48" t="n">
        <f aca="false">IF('RAW ASH'!E17="","",'RAW ASH'!E17)</f>
        <v>109.25</v>
      </c>
      <c r="J546" s="48" t="n">
        <f aca="false">IF('RAW ASH'!F17="","",'RAW ASH'!F17)</f>
        <v>303</v>
      </c>
      <c r="K546" s="50" t="n">
        <f aca="false">IF('RAW ASH'!G17="","",'RAW ASH'!G17)</f>
        <v>9610</v>
      </c>
      <c r="L546" s="50" t="str">
        <f aca="false">IF('RAW ASH'!H17="","",'RAW ASH'!H17)</f>
        <v/>
      </c>
      <c r="M546" s="48" t="str">
        <f aca="false">IF('RAW ASH'!I17="","",'RAW ASH'!I17)</f>
        <v/>
      </c>
    </row>
    <row r="547" customFormat="false" ht="15" hidden="false" customHeight="false" outlineLevel="0" collapsed="false">
      <c r="A547" s="1" t="s">
        <v>1691</v>
      </c>
      <c r="B547" s="1" t="s">
        <v>155</v>
      </c>
      <c r="C547" s="1" t="s">
        <v>1147</v>
      </c>
      <c r="D547" s="1" t="n">
        <v>18</v>
      </c>
      <c r="E547" s="48" t="str">
        <f aca="false">IF('RAW ASH'!B18="","",'RAW ASH'!B18)</f>
        <v>Mobile Screening Unit</v>
      </c>
      <c r="F547" s="48" t="str">
        <f aca="false">IF('RAW ASH'!C18="","",'RAW ASH'!C18)</f>
        <v>Clinical Svcs</v>
      </c>
      <c r="G547" s="49" t="str">
        <f aca="false">IF('RAW ASH'!A18="","",'RAW ASH'!A18)</f>
        <v>07/31/2025</v>
      </c>
      <c r="H547" s="48" t="str">
        <f aca="false">IF('RAW ASH'!D18="","",'RAW ASH'!D18)</f>
        <v>RN</v>
      </c>
      <c r="I547" s="48" t="n">
        <f aca="false">IF('RAW ASH'!E18="","",'RAW ASH'!E18)</f>
        <v>109.25</v>
      </c>
      <c r="J547" s="48" t="n">
        <f aca="false">IF('RAW ASH'!F18="","",'RAW ASH'!F18)</f>
        <v>303</v>
      </c>
      <c r="K547" s="50" t="n">
        <f aca="false">IF('RAW ASH'!G18="","",'RAW ASH'!G18)</f>
        <v>9610</v>
      </c>
      <c r="L547" s="50" t="str">
        <f aca="false">IF('RAW ASH'!H18="","",'RAW ASH'!H18)</f>
        <v/>
      </c>
      <c r="M547" s="48" t="str">
        <f aca="false">IF('RAW ASH'!I18="","",'RAW ASH'!I18)</f>
        <v/>
      </c>
    </row>
    <row r="548" customFormat="false" ht="15" hidden="false" customHeight="false" outlineLevel="0" collapsed="false">
      <c r="A548" s="1" t="s">
        <v>1692</v>
      </c>
      <c r="B548" s="1" t="s">
        <v>155</v>
      </c>
      <c r="C548" s="1" t="s">
        <v>1147</v>
      </c>
      <c r="D548" s="1" t="n">
        <v>19</v>
      </c>
      <c r="E548" s="48" t="str">
        <f aca="false">IF('RAW ASH'!B19="","",'RAW ASH'!B19)</f>
        <v>Grief Support</v>
      </c>
      <c r="F548" s="48" t="str">
        <f aca="false">IF('RAW ASH'!C19="","",'RAW ASH'!C19)</f>
        <v>Support Svcs</v>
      </c>
      <c r="G548" s="49" t="str">
        <f aca="false">IF('RAW ASH'!A19="","",'RAW ASH'!A19)</f>
        <v>07/31/2025</v>
      </c>
      <c r="H548" s="48" t="str">
        <f aca="false">IF('RAW ASH'!D19="","",'RAW ASH'!D19)</f>
        <v>Pastoral Care</v>
      </c>
      <c r="I548" s="48" t="n">
        <f aca="false">IF('RAW ASH'!E19="","",'RAW ASH'!E19)</f>
        <v>2.25</v>
      </c>
      <c r="J548" s="48" t="n">
        <f aca="false">IF('RAW ASH'!F19="","",'RAW ASH'!F19)</f>
        <v>8</v>
      </c>
      <c r="K548" s="50" t="n">
        <f aca="false">IF('RAW ASH'!G19="","",'RAW ASH'!G19)</f>
        <v>35</v>
      </c>
      <c r="L548" s="50" t="str">
        <f aca="false">IF('RAW ASH'!H19="","",'RAW ASH'!H19)</f>
        <v/>
      </c>
      <c r="M548" s="48" t="str">
        <f aca="false">IF('RAW ASH'!I19="","",'RAW ASH'!I19)</f>
        <v/>
      </c>
    </row>
    <row r="549" customFormat="false" ht="15" hidden="false" customHeight="false" outlineLevel="0" collapsed="false">
      <c r="A549" s="1" t="s">
        <v>1693</v>
      </c>
      <c r="B549" s="1" t="s">
        <v>155</v>
      </c>
      <c r="C549" s="1" t="s">
        <v>1147</v>
      </c>
      <c r="D549" s="1" t="n">
        <v>20</v>
      </c>
      <c r="E549" s="48" t="str">
        <f aca="false">IF('RAW ASH'!B20="","",'RAW ASH'!B20)</f>
        <v>Grief Support</v>
      </c>
      <c r="F549" s="48" t="str">
        <f aca="false">IF('RAW ASH'!C20="","",'RAW ASH'!C20)</f>
        <v>Support Svcs</v>
      </c>
      <c r="G549" s="49" t="str">
        <f aca="false">IF('RAW ASH'!A20="","",'RAW ASH'!A20)</f>
        <v>07/31/2025</v>
      </c>
      <c r="H549" s="48" t="str">
        <f aca="false">IF('RAW ASH'!D20="","",'RAW ASH'!D20)</f>
        <v>Social Work</v>
      </c>
      <c r="I549" s="48" t="str">
        <f aca="false">IF('RAW ASH'!E20="","",'RAW ASH'!E20)</f>
        <v>1.75 hrs</v>
      </c>
      <c r="J549" s="48" t="str">
        <f aca="false">IF('RAW ASH'!F20="","",'RAW ASH'!F20)</f>
        <v/>
      </c>
      <c r="K549" s="50" t="str">
        <f aca="false">IF('RAW ASH'!G20="","",'RAW ASH'!G20)</f>
        <v/>
      </c>
      <c r="L549" s="50" t="str">
        <f aca="false">IF('RAW ASH'!H20="","",'RAW ASH'!H20)</f>
        <v/>
      </c>
      <c r="M549" s="48" t="str">
        <f aca="false">IF('RAW ASH'!I20="","",'RAW ASH'!I20)</f>
        <v/>
      </c>
    </row>
    <row r="550" customFormat="false" ht="15" hidden="false" customHeight="false" outlineLevel="0" collapsed="false">
      <c r="A550" s="1" t="s">
        <v>1694</v>
      </c>
      <c r="B550" s="1" t="s">
        <v>155</v>
      </c>
      <c r="C550" s="1" t="s">
        <v>1147</v>
      </c>
      <c r="D550" s="1" t="n">
        <v>21</v>
      </c>
      <c r="E550" s="48" t="str">
        <f aca="false">IF('RAW ASH'!B21="","",'RAW ASH'!B21)</f>
        <v>CHW Outreach</v>
      </c>
      <c r="F550" s="48" t="str">
        <f aca="false">IF('RAW ASH'!C21="","",'RAW ASH'!C21)</f>
        <v>Support Svcs</v>
      </c>
      <c r="G550" s="49" t="str">
        <f aca="false">IF('RAW ASH'!A21="","",'RAW ASH'!A21)</f>
        <v>07/31/2025</v>
      </c>
      <c r="H550" s="48" t="str">
        <f aca="false">IF('RAW ASH'!D21="","",'RAW ASH'!D21)</f>
        <v>CHW </v>
      </c>
      <c r="I550" s="48" t="n">
        <f aca="false">IF('RAW ASH'!E21="","",'RAW ASH'!E21)</f>
        <v>338.5</v>
      </c>
      <c r="J550" s="48" t="n">
        <f aca="false">IF('RAW ASH'!F21="","",'RAW ASH'!F21)</f>
        <v>446</v>
      </c>
      <c r="K550" s="50" t="n">
        <f aca="false">IF('RAW ASH'!G21="","",'RAW ASH'!G21)</f>
        <v>1470</v>
      </c>
      <c r="L550" s="50" t="str">
        <f aca="false">IF('RAW ASH'!H21="","",'RAW ASH'!H21)</f>
        <v/>
      </c>
      <c r="M550" s="48" t="str">
        <f aca="false">IF('RAW ASH'!I21="","",'RAW ASH'!I21)</f>
        <v/>
      </c>
    </row>
    <row r="551" customFormat="false" ht="15" hidden="false" customHeight="false" outlineLevel="0" collapsed="false">
      <c r="A551" s="1" t="s">
        <v>1695</v>
      </c>
      <c r="B551" s="1" t="s">
        <v>155</v>
      </c>
      <c r="C551" s="1" t="s">
        <v>1147</v>
      </c>
      <c r="D551" s="1" t="n">
        <v>22</v>
      </c>
      <c r="E551" s="48" t="str">
        <f aca="false">IF('RAW ASH'!B22="","",'RAW ASH'!B22)</f>
        <v>CHW Outreach</v>
      </c>
      <c r="F551" s="48" t="str">
        <f aca="false">IF('RAW ASH'!C22="","",'RAW ASH'!C22)</f>
        <v>Support Svcs</v>
      </c>
      <c r="G551" s="49" t="str">
        <f aca="false">IF('RAW ASH'!A22="","",'RAW ASH'!A22)</f>
        <v>07/31/2025</v>
      </c>
      <c r="H551" s="48" t="str">
        <f aca="false">IF('RAW ASH'!D22="","",'RAW ASH'!D22)</f>
        <v>Navigator</v>
      </c>
      <c r="I551" s="48" t="n">
        <f aca="false">IF('RAW ASH'!E22="","",'RAW ASH'!E22)</f>
        <v>150</v>
      </c>
      <c r="J551" s="48" t="str">
        <f aca="false">IF('RAW ASH'!F22="","",'RAW ASH'!F22)</f>
        <v/>
      </c>
      <c r="K551" s="50" t="str">
        <f aca="false">IF('RAW ASH'!G22="","",'RAW ASH'!G22)</f>
        <v/>
      </c>
      <c r="L551" s="50" t="str">
        <f aca="false">IF('RAW ASH'!H22="","",'RAW ASH'!H22)</f>
        <v/>
      </c>
      <c r="M551" s="48" t="str">
        <f aca="false">IF('RAW ASH'!I22="","",'RAW ASH'!I22)</f>
        <v/>
      </c>
    </row>
    <row r="552" customFormat="false" ht="15" hidden="false" customHeight="false" outlineLevel="0" collapsed="false">
      <c r="A552" s="1" t="s">
        <v>1696</v>
      </c>
      <c r="B552" s="1" t="s">
        <v>155</v>
      </c>
      <c r="C552" s="1" t="s">
        <v>1147</v>
      </c>
      <c r="D552" s="1" t="n">
        <v>23</v>
      </c>
      <c r="E552" s="48" t="str">
        <f aca="false">IF('RAW ASH'!B23="","",'RAW ASH'!B23)</f>
        <v>Produce Rx</v>
      </c>
      <c r="F552" s="48" t="str">
        <f aca="false">IF('RAW ASH'!C23="","",'RAW ASH'!C23)</f>
        <v>Support Svcs</v>
      </c>
      <c r="G552" s="49" t="str">
        <f aca="false">IF('RAW ASH'!A23="","",'RAW ASH'!A23)</f>
        <v>07/31/2025</v>
      </c>
      <c r="H552" s="48" t="str">
        <f aca="false">IF('RAW ASH'!D23="","",'RAW ASH'!D23)</f>
        <v>CHW</v>
      </c>
      <c r="I552" s="48" t="n">
        <f aca="false">IF('RAW ASH'!E23="","",'RAW ASH'!E23)</f>
        <v>43.75</v>
      </c>
      <c r="J552" s="48" t="str">
        <f aca="false">IF('RAW ASH'!F23="","",'RAW ASH'!F23)</f>
        <v/>
      </c>
      <c r="K552" s="50" t="str">
        <f aca="false">IF('RAW ASH'!G23="","",'RAW ASH'!G23)</f>
        <v/>
      </c>
      <c r="L552" s="50" t="str">
        <f aca="false">IF('RAW ASH'!H23="","",'RAW ASH'!H23)</f>
        <v/>
      </c>
      <c r="M552" s="48" t="str">
        <f aca="false">IF('RAW ASH'!I23="","",'RAW ASH'!I23)</f>
        <v/>
      </c>
    </row>
    <row r="553" customFormat="false" ht="15" hidden="false" customHeight="false" outlineLevel="0" collapsed="false">
      <c r="A553" s="1" t="s">
        <v>1697</v>
      </c>
      <c r="B553" s="1" t="s">
        <v>155</v>
      </c>
      <c r="C553" s="1" t="s">
        <v>1147</v>
      </c>
      <c r="D553" s="1" t="n">
        <v>24</v>
      </c>
      <c r="E553" s="48" t="str">
        <f aca="false">IF('RAW ASH'!B24="","",'RAW ASH'!B24)</f>
        <v>Produce Rx</v>
      </c>
      <c r="F553" s="48" t="str">
        <f aca="false">IF('RAW ASH'!C24="","",'RAW ASH'!C24)</f>
        <v>Support Svcs</v>
      </c>
      <c r="G553" s="49" t="str">
        <f aca="false">IF('RAW ASH'!A24="","",'RAW ASH'!A24)</f>
        <v>07/31/2025</v>
      </c>
      <c r="H553" s="48" t="str">
        <f aca="false">IF('RAW ASH'!D24="","",'RAW ASH'!D24)</f>
        <v>RDN</v>
      </c>
      <c r="I553" s="48" t="n">
        <f aca="false">IF('RAW ASH'!E24="","",'RAW ASH'!E24)</f>
        <v>25</v>
      </c>
      <c r="J553" s="48" t="n">
        <f aca="false">IF('RAW ASH'!F24="","",'RAW ASH'!F24)</f>
        <v>108</v>
      </c>
      <c r="K553" s="50" t="n">
        <f aca="false">IF('RAW ASH'!G24="","",'RAW ASH'!G24)</f>
        <v>12555</v>
      </c>
      <c r="L553" s="50" t="n">
        <f aca="false">IF('RAW ASH'!H24="","",'RAW ASH'!H24)</f>
        <v>3710</v>
      </c>
      <c r="M553" s="48" t="str">
        <f aca="false">IF('RAW ASH'!I24="","",'RAW ASH'!I24)</f>
        <v/>
      </c>
    </row>
    <row r="554" customFormat="false" ht="15" hidden="false" customHeight="false" outlineLevel="0" collapsed="false">
      <c r="A554" s="1" t="s">
        <v>1698</v>
      </c>
      <c r="B554" s="1" t="s">
        <v>155</v>
      </c>
      <c r="C554" s="1" t="s">
        <v>1147</v>
      </c>
      <c r="D554" s="1" t="n">
        <v>25</v>
      </c>
      <c r="E554" s="48" t="str">
        <f aca="false">IF('RAW ASH'!B25="","",'RAW ASH'!B25)</f>
        <v>CB Program Admin</v>
      </c>
      <c r="F554" s="48" t="str">
        <f aca="false">IF('RAW ASH'!C25="","",'RAW ASH'!C25)</f>
        <v>CB Admin</v>
      </c>
      <c r="G554" s="49" t="str">
        <f aca="false">IF('RAW ASH'!A25="","",'RAW ASH'!A25)</f>
        <v>07/31/2025</v>
      </c>
      <c r="H554" s="48" t="str">
        <f aca="false">IF('RAW ASH'!D25="","",'RAW ASH'!D25)</f>
        <v>Admin Asst</v>
      </c>
      <c r="I554" s="48" t="n">
        <f aca="false">IF('RAW ASH'!E25="","",'RAW ASH'!E25)</f>
        <v>57.25</v>
      </c>
      <c r="J554" s="48" t="str">
        <f aca="false">IF('RAW ASH'!F25="","",'RAW ASH'!F25)</f>
        <v/>
      </c>
      <c r="K554" s="50" t="str">
        <f aca="false">IF('RAW ASH'!G25="","",'RAW ASH'!G25)</f>
        <v/>
      </c>
      <c r="L554" s="50" t="str">
        <f aca="false">IF('RAW ASH'!H25="","",'RAW ASH'!H25)</f>
        <v/>
      </c>
      <c r="M554" s="48" t="str">
        <f aca="false">IF('RAW ASH'!I25="","",'RAW ASH'!I25)</f>
        <v/>
      </c>
    </row>
    <row r="555" customFormat="false" ht="15" hidden="false" customHeight="false" outlineLevel="0" collapsed="false">
      <c r="A555" s="1" t="s">
        <v>1699</v>
      </c>
      <c r="B555" s="1" t="s">
        <v>155</v>
      </c>
      <c r="C555" s="1" t="s">
        <v>1147</v>
      </c>
      <c r="D555" s="1" t="n">
        <v>26</v>
      </c>
      <c r="E555" s="48" t="str">
        <f aca="false">IF('RAW ASH'!B26="","",'RAW ASH'!B26)</f>
        <v>CB Program Admin</v>
      </c>
      <c r="F555" s="48" t="str">
        <f aca="false">IF('RAW ASH'!C26="","",'RAW ASH'!C26)</f>
        <v>CB Admin</v>
      </c>
      <c r="G555" s="49" t="str">
        <f aca="false">IF('RAW ASH'!A26="","",'RAW ASH'!A26)</f>
        <v>07/31/2025</v>
      </c>
      <c r="H555" s="48" t="str">
        <f aca="false">IF('RAW ASH'!D26="","",'RAW ASH'!D26)</f>
        <v>Mgr, Community Benefit</v>
      </c>
      <c r="I555" s="48" t="n">
        <f aca="false">IF('RAW ASH'!E26="","",'RAW ASH'!E26)</f>
        <v>64</v>
      </c>
      <c r="J555" s="48" t="str">
        <f aca="false">IF('RAW ASH'!F26="","",'RAW ASH'!F26)</f>
        <v/>
      </c>
      <c r="K555" s="50" t="n">
        <f aca="false">IF('RAW ASH'!G26="","",'RAW ASH'!G26)</f>
        <v>690</v>
      </c>
      <c r="L555" s="50" t="str">
        <f aca="false">IF('RAW ASH'!H26="","",'RAW ASH'!H26)</f>
        <v/>
      </c>
      <c r="M555" s="48" t="str">
        <f aca="false">IF('RAW ASH'!I26="","",'RAW ASH'!I26)</f>
        <v/>
      </c>
    </row>
    <row r="556" customFormat="false" ht="15" hidden="false" customHeight="false" outlineLevel="0" collapsed="false">
      <c r="A556" s="1" t="s">
        <v>1700</v>
      </c>
      <c r="B556" s="1" t="s">
        <v>155</v>
      </c>
      <c r="C556" s="1" t="s">
        <v>1147</v>
      </c>
      <c r="D556" s="1" t="n">
        <v>27</v>
      </c>
      <c r="E556" s="48" t="str">
        <f aca="false">IF('RAW ASH'!B27="","",'RAW ASH'!B27)</f>
        <v>Nursing Clinicals</v>
      </c>
      <c r="F556" s="48" t="str">
        <f aca="false">IF('RAW ASH'!C27="","",'RAW ASH'!C27)</f>
        <v>HPE</v>
      </c>
      <c r="G556" s="49" t="str">
        <f aca="false">IF('RAW ASH'!A27="","",'RAW ASH'!A27)</f>
        <v>07/31/2025</v>
      </c>
      <c r="H556" s="48" t="str">
        <f aca="false">IF('RAW ASH'!D27="","",'RAW ASH'!D27)</f>
        <v> Preceptor RN </v>
      </c>
      <c r="I556" s="48" t="n">
        <f aca="false">IF('RAW ASH'!E27="","",'RAW ASH'!E27)</f>
        <v>55</v>
      </c>
      <c r="J556" s="48" t="n">
        <f aca="false">IF('RAW ASH'!F27="","",'RAW ASH'!F27)</f>
        <v>11</v>
      </c>
      <c r="K556" s="50" t="n">
        <f aca="false">IF('RAW ASH'!G27="","",'RAW ASH'!G27)</f>
        <v>475</v>
      </c>
      <c r="L556" s="50" t="str">
        <f aca="false">IF('RAW ASH'!H27="","",'RAW ASH'!H27)</f>
        <v/>
      </c>
      <c r="M556" s="48" t="str">
        <f aca="false">IF('RAW ASH'!I27="","",'RAW ASH'!I27)</f>
        <v/>
      </c>
    </row>
    <row r="557" customFormat="false" ht="15" hidden="false" customHeight="false" outlineLevel="0" collapsed="false">
      <c r="A557" s="1" t="s">
        <v>1701</v>
      </c>
      <c r="B557" s="1" t="s">
        <v>155</v>
      </c>
      <c r="C557" s="1" t="s">
        <v>1147</v>
      </c>
      <c r="D557" s="1" t="n">
        <v>28</v>
      </c>
      <c r="E557" s="48" t="str">
        <f aca="false">IF('RAW ASH'!B28="","",'RAW ASH'!B28)</f>
        <v>Nursing Clinicals</v>
      </c>
      <c r="F557" s="48" t="str">
        <f aca="false">IF('RAW ASH'!C28="","",'RAW ASH'!C28)</f>
        <v>HPE</v>
      </c>
      <c r="G557" s="49" t="str">
        <f aca="false">IF('RAW ASH'!A28="","",'RAW ASH'!A28)</f>
        <v>07/31/2025</v>
      </c>
      <c r="H557" s="48" t="str">
        <f aca="false">IF('RAW ASH'!D28="","",'RAW ASH'!D28)</f>
        <v>RN - Outreach </v>
      </c>
      <c r="I557" s="48" t="n">
        <f aca="false">IF('RAW ASH'!E28="","",'RAW ASH'!E28)</f>
        <v>81.25</v>
      </c>
      <c r="J557" s="48" t="str">
        <f aca="false">IF('RAW ASH'!F28="","",'RAW ASH'!F28)</f>
        <v/>
      </c>
      <c r="K557" s="50" t="str">
        <f aca="false">IF('RAW ASH'!G28="","",'RAW ASH'!G28)</f>
        <v/>
      </c>
      <c r="L557" s="50" t="str">
        <f aca="false">IF('RAW ASH'!H28="","",'RAW ASH'!H28)</f>
        <v/>
      </c>
      <c r="M557" s="48" t="str">
        <f aca="false">IF('RAW ASH'!I28="","",'RAW ASH'!I28)</f>
        <v/>
      </c>
    </row>
    <row r="558" customFormat="false" ht="15" hidden="false" customHeight="false" outlineLevel="0" collapsed="false">
      <c r="A558" s="1" t="s">
        <v>1702</v>
      </c>
      <c r="B558" s="1" t="s">
        <v>155</v>
      </c>
      <c r="C558" s="1" t="s">
        <v>1147</v>
      </c>
      <c r="D558" s="1" t="n">
        <v>29</v>
      </c>
      <c r="E558" s="48" t="str">
        <f aca="false">IF('RAW ASH'!B29="","",'RAW ASH'!B29)</f>
        <v>Paramedic Students</v>
      </c>
      <c r="F558" s="48" t="str">
        <f aca="false">IF('RAW ASH'!C29="","",'RAW ASH'!C29)</f>
        <v>HPE</v>
      </c>
      <c r="G558" s="49" t="str">
        <f aca="false">IF('RAW ASH'!A29="","",'RAW ASH'!A29)</f>
        <v>07/31/2025</v>
      </c>
      <c r="H558" s="48" t="str">
        <f aca="false">IF('RAW ASH'!D29="","",'RAW ASH'!D29)</f>
        <v>Flight Paramedic</v>
      </c>
      <c r="I558" s="48" t="n">
        <f aca="false">IF('RAW ASH'!E29="","",'RAW ASH'!E29)</f>
        <v>63</v>
      </c>
      <c r="J558" s="48" t="n">
        <f aca="false">IF('RAW ASH'!F29="","",'RAW ASH'!F29)</f>
        <v>3</v>
      </c>
      <c r="K558" s="50" t="n">
        <f aca="false">IF('RAW ASH'!G29="","",'RAW ASH'!G29)</f>
        <v>25</v>
      </c>
      <c r="L558" s="50" t="str">
        <f aca="false">IF('RAW ASH'!H29="","",'RAW ASH'!H29)</f>
        <v/>
      </c>
      <c r="M558" s="48" t="str">
        <f aca="false">IF('RAW ASH'!I29="","",'RAW ASH'!I29)</f>
        <v/>
      </c>
    </row>
    <row r="559" customFormat="false" ht="15" hidden="false" customHeight="false" outlineLevel="0" collapsed="false">
      <c r="A559" s="1" t="s">
        <v>1703</v>
      </c>
      <c r="B559" s="1" t="s">
        <v>155</v>
      </c>
      <c r="C559" s="1" t="s">
        <v>1147</v>
      </c>
      <c r="D559" s="1" t="n">
        <v>30</v>
      </c>
      <c r="E559" s="48" t="str">
        <f aca="false">IF('RAW ASH'!B30="","",'RAW ASH'!B30)</f>
        <v>DPP Classes</v>
      </c>
      <c r="F559" s="48" t="str">
        <f aca="false">IF('RAW ASH'!C30="","",'RAW ASH'!C30)</f>
        <v>Comm Hlth Ed</v>
      </c>
      <c r="G559" s="49" t="str">
        <f aca="false">IF('RAW ASH'!A30="","",'RAW ASH'!A30)</f>
        <v>08/06/2025</v>
      </c>
      <c r="H559" s="48" t="str">
        <f aca="false">IF('RAW ASH'!D30="","",'RAW ASH'!D30)</f>
        <v>Health Education Specialist</v>
      </c>
      <c r="I559" s="48" t="n">
        <f aca="false">IF('RAW ASH'!E30="","",'RAW ASH'!E30)</f>
        <v>2.5</v>
      </c>
      <c r="J559" s="48" t="n">
        <f aca="false">IF('RAW ASH'!F30="","",'RAW ASH'!F30)</f>
        <v>10</v>
      </c>
      <c r="K559" s="50" t="n">
        <f aca="false">IF('RAW ASH'!G30="","",'RAW ASH'!G30)</f>
        <v>120</v>
      </c>
      <c r="L559" s="50" t="str">
        <f aca="false">IF('RAW ASH'!H30="","",'RAW ASH'!H30)</f>
        <v/>
      </c>
      <c r="M559" s="48" t="str">
        <f aca="false">IF('RAW ASH'!I30="","",'RAW ASH'!I30)</f>
        <v/>
      </c>
    </row>
    <row r="560" customFormat="false" ht="15" hidden="false" customHeight="false" outlineLevel="0" collapsed="false">
      <c r="A560" s="1" t="s">
        <v>1704</v>
      </c>
      <c r="B560" s="1" t="s">
        <v>155</v>
      </c>
      <c r="C560" s="1" t="s">
        <v>1147</v>
      </c>
      <c r="D560" s="1" t="n">
        <v>31</v>
      </c>
      <c r="E560" s="48" t="str">
        <f aca="false">IF('RAW ASH'!B31="","",'RAW ASH'!B31)</f>
        <v>DPP Classes</v>
      </c>
      <c r="F560" s="48" t="str">
        <f aca="false">IF('RAW ASH'!C31="","",'RAW ASH'!C31)</f>
        <v>Comm Hlth Ed</v>
      </c>
      <c r="G560" s="49" t="str">
        <f aca="false">IF('RAW ASH'!A31="","",'RAW ASH'!A31)</f>
        <v>08/06/2025</v>
      </c>
      <c r="H560" s="48" t="str">
        <f aca="false">IF('RAW ASH'!D31="","",'RAW ASH'!D31)</f>
        <v>RD</v>
      </c>
      <c r="I560" s="48" t="n">
        <f aca="false">IF('RAW ASH'!E31="","",'RAW ASH'!E31)</f>
        <v>2</v>
      </c>
      <c r="J560" s="48" t="str">
        <f aca="false">IF('RAW ASH'!F31="","",'RAW ASH'!F31)</f>
        <v/>
      </c>
      <c r="K560" s="50" t="str">
        <f aca="false">IF('RAW ASH'!G31="","",'RAW ASH'!G31)</f>
        <v/>
      </c>
      <c r="L560" s="50" t="str">
        <f aca="false">IF('RAW ASH'!H31="","",'RAW ASH'!H31)</f>
        <v/>
      </c>
      <c r="M560" s="48" t="str">
        <f aca="false">IF('RAW ASH'!I31="","",'RAW ASH'!I31)</f>
        <v/>
      </c>
    </row>
    <row r="561" customFormat="false" ht="15" hidden="false" customHeight="false" outlineLevel="0" collapsed="false">
      <c r="A561" s="1" t="s">
        <v>1705</v>
      </c>
      <c r="B561" s="1" t="s">
        <v>155</v>
      </c>
      <c r="C561" s="1" t="s">
        <v>1147</v>
      </c>
      <c r="D561" s="1" t="n">
        <v>32</v>
      </c>
      <c r="E561" s="48" t="str">
        <f aca="false">IF('RAW ASH'!B32="","",'RAW ASH'!B32)</f>
        <v>Leadership Academy</v>
      </c>
      <c r="F561" s="48" t="str">
        <f aca="false">IF('RAW ASH'!C32="","",'RAW ASH'!C32)</f>
        <v>CB-Leadership Dev</v>
      </c>
      <c r="G561" s="49" t="str">
        <f aca="false">IF('RAW ASH'!A32="","",'RAW ASH'!A32)</f>
        <v>08/12/2025</v>
      </c>
      <c r="H561" s="48" t="str">
        <f aca="false">IF('RAW ASH'!D32="","",'RAW ASH'!D32)</f>
        <v>Hlth Educator</v>
      </c>
      <c r="I561" s="48" t="n">
        <f aca="false">IF('RAW ASH'!E32="","",'RAW ASH'!E32)</f>
        <v>3.75</v>
      </c>
      <c r="J561" s="48" t="str">
        <f aca="false">IF('RAW ASH'!F32="","",'RAW ASH'!F32)</f>
        <v/>
      </c>
      <c r="K561" s="50" t="str">
        <f aca="false">IF('RAW ASH'!G32="","",'RAW ASH'!G32)</f>
        <v/>
      </c>
      <c r="L561" s="50" t="str">
        <f aca="false">IF('RAW ASH'!H32="","",'RAW ASH'!H32)</f>
        <v/>
      </c>
      <c r="M561" s="48" t="str">
        <f aca="false">IF('RAW ASH'!I32="","",'RAW ASH'!I32)</f>
        <v/>
      </c>
    </row>
    <row r="562" customFormat="false" ht="15" hidden="false" customHeight="false" outlineLevel="0" collapsed="false">
      <c r="A562" s="1" t="s">
        <v>1706</v>
      </c>
      <c r="B562" s="1" t="s">
        <v>155</v>
      </c>
      <c r="C562" s="1" t="s">
        <v>1147</v>
      </c>
      <c r="D562" s="1" t="n">
        <v>33</v>
      </c>
      <c r="E562" s="48" t="str">
        <f aca="false">IF('RAW ASH'!B33="","",'RAW ASH'!B33)</f>
        <v>Leadership Academy</v>
      </c>
      <c r="F562" s="48" t="str">
        <f aca="false">IF('RAW ASH'!C33="","",'RAW ASH'!C33)</f>
        <v>CB-Leadership Dev</v>
      </c>
      <c r="G562" s="49" t="str">
        <f aca="false">IF('RAW ASH'!A33="","",'RAW ASH'!A33)</f>
        <v>08/12/2025</v>
      </c>
      <c r="H562" s="48" t="str">
        <f aca="false">IF('RAW ASH'!D33="","",'RAW ASH'!D33)</f>
        <v>Residency Coordinator</v>
      </c>
      <c r="I562" s="48" t="n">
        <f aca="false">IF('RAW ASH'!E33="","",'RAW ASH'!E33)</f>
        <v>5</v>
      </c>
      <c r="J562" s="48" t="n">
        <f aca="false">IF('RAW ASH'!F33="","",'RAW ASH'!F33)</f>
        <v>18</v>
      </c>
      <c r="K562" s="50" t="n">
        <f aca="false">IF('RAW ASH'!G33="","",'RAW ASH'!G33)</f>
        <v>475</v>
      </c>
      <c r="L562" s="50" t="str">
        <f aca="false">IF('RAW ASH'!H33="","",'RAW ASH'!H33)</f>
        <v/>
      </c>
      <c r="M562" s="48" t="str">
        <f aca="false">IF('RAW ASH'!I33="","",'RAW ASH'!I33)</f>
        <v/>
      </c>
    </row>
    <row r="563" customFormat="false" ht="15" hidden="false" customHeight="false" outlineLevel="0" collapsed="false">
      <c r="A563" s="1" t="s">
        <v>1707</v>
      </c>
      <c r="B563" s="1" t="s">
        <v>155</v>
      </c>
      <c r="C563" s="1" t="s">
        <v>1147</v>
      </c>
      <c r="D563" s="1" t="n">
        <v>34</v>
      </c>
      <c r="E563" s="48" t="str">
        <f aca="false">IF('RAW ASH'!B34="","",'RAW ASH'!B34)</f>
        <v>BP Checks</v>
      </c>
      <c r="F563" s="48" t="str">
        <f aca="false">IF('RAW ASH'!C34="","",'RAW ASH'!C34)</f>
        <v>Clinical Svcs</v>
      </c>
      <c r="G563" s="49" t="str">
        <f aca="false">IF('RAW ASH'!A34="","",'RAW ASH'!A34)</f>
        <v>08/23/2025</v>
      </c>
      <c r="H563" s="48" t="str">
        <f aca="false">IF('RAW ASH'!D34="","",'RAW ASH'!D34)</f>
        <v>R.N.</v>
      </c>
      <c r="I563" s="48" t="n">
        <f aca="false">IF('RAW ASH'!E34="","",'RAW ASH'!E34)</f>
        <v>4</v>
      </c>
      <c r="J563" s="48" t="n">
        <f aca="false">IF('RAW ASH'!F34="","",'RAW ASH'!F34)</f>
        <v>50</v>
      </c>
      <c r="K563" s="50" t="n">
        <f aca="false">IF('RAW ASH'!G34="","",'RAW ASH'!G34)</f>
        <v>115</v>
      </c>
      <c r="L563" s="50" t="str">
        <f aca="false">IF('RAW ASH'!H34="","",'RAW ASH'!H34)</f>
        <v/>
      </c>
      <c r="M563" s="48" t="str">
        <f aca="false">IF('RAW ASH'!I34="","",'RAW ASH'!I34)</f>
        <v/>
      </c>
    </row>
    <row r="564" customFormat="false" ht="15" hidden="false" customHeight="false" outlineLevel="0" collapsed="false">
      <c r="A564" s="1" t="s">
        <v>1708</v>
      </c>
      <c r="B564" s="1" t="s">
        <v>155</v>
      </c>
      <c r="C564" s="1" t="s">
        <v>1147</v>
      </c>
      <c r="D564" s="1" t="n">
        <v>35</v>
      </c>
      <c r="E564" s="48" t="str">
        <f aca="false">IF('RAW ASH'!B35="","",'RAW ASH'!B35)</f>
        <v>MH First Aid</v>
      </c>
      <c r="F564" s="48" t="str">
        <f aca="false">IF('RAW ASH'!C35="","",'RAW ASH'!C35)</f>
        <v>Comm Hlth Ed</v>
      </c>
      <c r="G564" s="49" t="str">
        <f aca="false">IF('RAW ASH'!A35="","",'RAW ASH'!A35)</f>
        <v>08/23/2025</v>
      </c>
      <c r="H564" s="48" t="str">
        <f aca="false">IF('RAW ASH'!D35="","",'RAW ASH'!D35)</f>
        <v>Community Educator</v>
      </c>
      <c r="I564" s="48" t="n">
        <f aca="false">IF('RAW ASH'!E35="","",'RAW ASH'!E35)</f>
        <v>8</v>
      </c>
      <c r="J564" s="48" t="str">
        <f aca="false">IF('RAW ASH'!F35="","",'RAW ASH'!F35)</f>
        <v/>
      </c>
      <c r="K564" s="50" t="str">
        <f aca="false">IF('RAW ASH'!G35="","",'RAW ASH'!G35)</f>
        <v/>
      </c>
      <c r="L564" s="50" t="str">
        <f aca="false">IF('RAW ASH'!H35="","",'RAW ASH'!H35)</f>
        <v/>
      </c>
      <c r="M564" s="48" t="str">
        <f aca="false">IF('RAW ASH'!I35="","",'RAW ASH'!I35)</f>
        <v/>
      </c>
    </row>
    <row r="565" customFormat="false" ht="15" hidden="false" customHeight="false" outlineLevel="0" collapsed="false">
      <c r="A565" s="1" t="s">
        <v>1709</v>
      </c>
      <c r="B565" s="1" t="s">
        <v>155</v>
      </c>
      <c r="C565" s="1" t="s">
        <v>1147</v>
      </c>
      <c r="D565" s="1" t="n">
        <v>36</v>
      </c>
      <c r="E565" s="48" t="str">
        <f aca="false">IF('RAW ASH'!B36="","",'RAW ASH'!B36)</f>
        <v>MH First Aid</v>
      </c>
      <c r="F565" s="48" t="str">
        <f aca="false">IF('RAW ASH'!C36="","",'RAW ASH'!C36)</f>
        <v>Comm Hlth Ed</v>
      </c>
      <c r="G565" s="49" t="str">
        <f aca="false">IF('RAW ASH'!A36="","",'RAW ASH'!A36)</f>
        <v>08/23/2025</v>
      </c>
      <c r="H565" s="48" t="str">
        <f aca="false">IF('RAW ASH'!D36="","",'RAW ASH'!D36)</f>
        <v>LCSW</v>
      </c>
      <c r="I565" s="48" t="n">
        <f aca="false">IF('RAW ASH'!E36="","",'RAW ASH'!E36)</f>
        <v>8</v>
      </c>
      <c r="J565" s="48" t="n">
        <f aca="false">IF('RAW ASH'!F36="","",'RAW ASH'!F36)</f>
        <v>33</v>
      </c>
      <c r="K565" s="50" t="n">
        <f aca="false">IF('RAW ASH'!G36="","",'RAW ASH'!G36)</f>
        <v>435</v>
      </c>
      <c r="L565" s="50" t="str">
        <f aca="false">IF('RAW ASH'!H36="","",'RAW ASH'!H36)</f>
        <v/>
      </c>
      <c r="M565" s="48" t="str">
        <f aca="false">IF('RAW ASH'!I36="","",'RAW ASH'!I36)</f>
        <v/>
      </c>
    </row>
    <row r="566" customFormat="false" ht="15" hidden="false" customHeight="false" outlineLevel="0" collapsed="false">
      <c r="A566" s="1" t="s">
        <v>1710</v>
      </c>
      <c r="B566" s="1" t="s">
        <v>155</v>
      </c>
      <c r="C566" s="1" t="s">
        <v>1147</v>
      </c>
      <c r="D566" s="1" t="n">
        <v>37</v>
      </c>
      <c r="E566" s="48" t="str">
        <f aca="false">IF('RAW ASH'!B37="","",'RAW ASH'!B37)</f>
        <v>In-Kind Supplies</v>
      </c>
      <c r="F566" s="48" t="str">
        <f aca="false">IF('RAW ASH'!C37="","",'RAW ASH'!C37)</f>
        <v>Contributions</v>
      </c>
      <c r="G566" s="49" t="str">
        <f aca="false">IF('RAW ASH'!A37="","",'RAW ASH'!A37)</f>
        <v>08/30/2025</v>
      </c>
      <c r="H566" s="48" t="str">
        <f aca="false">IF('RAW ASH'!D37="","",'RAW ASH'!D37)</f>
        <v>none</v>
      </c>
      <c r="I566" s="48" t="str">
        <f aca="false">IF('RAW ASH'!E37="","",'RAW ASH'!E37)</f>
        <v/>
      </c>
      <c r="J566" s="48" t="str">
        <f aca="false">IF('RAW ASH'!F37="","",'RAW ASH'!F37)</f>
        <v/>
      </c>
      <c r="K566" s="50" t="n">
        <f aca="false">IF('RAW ASH'!G37="","",'RAW ASH'!G37)</f>
        <v>7440</v>
      </c>
      <c r="L566" s="50" t="str">
        <f aca="false">IF('RAW ASH'!H37="","",'RAW ASH'!H37)</f>
        <v/>
      </c>
      <c r="M566" s="48" t="str">
        <f aca="false">IF('RAW ASH'!I37="","",'RAW ASH'!I37)</f>
        <v/>
      </c>
    </row>
    <row r="567" customFormat="false" ht="15" hidden="false" customHeight="false" outlineLevel="0" collapsed="false">
      <c r="A567" s="1" t="s">
        <v>1711</v>
      </c>
      <c r="B567" s="1" t="s">
        <v>155</v>
      </c>
      <c r="C567" s="1" t="s">
        <v>1147</v>
      </c>
      <c r="D567" s="1" t="n">
        <v>38</v>
      </c>
      <c r="E567" s="48" t="str">
        <f aca="false">IF('RAW ASH'!B38="","",'RAW ASH'!B38)</f>
        <v>Mobile Screening Unit</v>
      </c>
      <c r="F567" s="48" t="str">
        <f aca="false">IF('RAW ASH'!C38="","",'RAW ASH'!C38)</f>
        <v>Clinical Svcs</v>
      </c>
      <c r="G567" s="49" t="str">
        <f aca="false">IF('RAW ASH'!A38="","",'RAW ASH'!A38)</f>
        <v>08/31/2025</v>
      </c>
      <c r="H567" s="48" t="str">
        <f aca="false">IF('RAW ASH'!D38="","",'RAW ASH'!D38)</f>
        <v>CHW</v>
      </c>
      <c r="I567" s="48" t="n">
        <f aca="false">IF('RAW ASH'!E38="","",'RAW ASH'!E38)</f>
        <v>66.75</v>
      </c>
      <c r="J567" s="48" t="str">
        <f aca="false">IF('RAW ASH'!F38="","",'RAW ASH'!F38)</f>
        <v/>
      </c>
      <c r="K567" s="50" t="str">
        <f aca="false">IF('RAW ASH'!G38="","",'RAW ASH'!G38)</f>
        <v/>
      </c>
      <c r="L567" s="50" t="str">
        <f aca="false">IF('RAW ASH'!H38="","",'RAW ASH'!H38)</f>
        <v/>
      </c>
      <c r="M567" s="48" t="str">
        <f aca="false">IF('RAW ASH'!I38="","",'RAW ASH'!I38)</f>
        <v/>
      </c>
    </row>
    <row r="568" customFormat="false" ht="15" hidden="false" customHeight="false" outlineLevel="0" collapsed="false">
      <c r="A568" s="1" t="s">
        <v>1712</v>
      </c>
      <c r="B568" s="1" t="s">
        <v>155</v>
      </c>
      <c r="C568" s="1" t="s">
        <v>1147</v>
      </c>
      <c r="D568" s="1" t="n">
        <v>39</v>
      </c>
      <c r="E568" s="48" t="str">
        <f aca="false">IF('RAW ASH'!B39="","",'RAW ASH'!B39)</f>
        <v>Mobile Screening Unit</v>
      </c>
      <c r="F568" s="48" t="str">
        <f aca="false">IF('RAW ASH'!C39="","",'RAW ASH'!C39)</f>
        <v>Clinical Svcs</v>
      </c>
      <c r="G568" s="49" t="str">
        <f aca="false">IF('RAW ASH'!A39="","",'RAW ASH'!A39)</f>
        <v>08/31/2025</v>
      </c>
      <c r="H568" s="48" t="str">
        <f aca="false">IF('RAW ASH'!D39="","",'RAW ASH'!D39)</f>
        <v>Medical Assistant</v>
      </c>
      <c r="I568" s="48" t="n">
        <f aca="false">IF('RAW ASH'!E39="","",'RAW ASH'!E39)</f>
        <v>100.5</v>
      </c>
      <c r="J568" s="48" t="str">
        <f aca="false">IF('RAW ASH'!F39="","",'RAW ASH'!F39)</f>
        <v/>
      </c>
      <c r="K568" s="50" t="str">
        <f aca="false">IF('RAW ASH'!G39="","",'RAW ASH'!G39)</f>
        <v/>
      </c>
      <c r="L568" s="50" t="str">
        <f aca="false">IF('RAW ASH'!H39="","",'RAW ASH'!H39)</f>
        <v/>
      </c>
      <c r="M568" s="48" t="str">
        <f aca="false">IF('RAW ASH'!I39="","",'RAW ASH'!I39)</f>
        <v/>
      </c>
    </row>
    <row r="569" customFormat="false" ht="15" hidden="false" customHeight="false" outlineLevel="0" collapsed="false">
      <c r="A569" s="1" t="s">
        <v>1713</v>
      </c>
      <c r="B569" s="1" t="s">
        <v>155</v>
      </c>
      <c r="C569" s="1" t="s">
        <v>1147</v>
      </c>
      <c r="D569" s="1" t="n">
        <v>40</v>
      </c>
      <c r="E569" s="48" t="str">
        <f aca="false">IF('RAW ASH'!B40="","",'RAW ASH'!B40)</f>
        <v>Mobile Screening Unit</v>
      </c>
      <c r="F569" s="48" t="str">
        <f aca="false">IF('RAW ASH'!C40="","",'RAW ASH'!C40)</f>
        <v>Clinical Svcs</v>
      </c>
      <c r="G569" s="49" t="str">
        <f aca="false">IF('RAW ASH'!A40="","",'RAW ASH'!A40)</f>
        <v>08/31/2025</v>
      </c>
      <c r="H569" s="48" t="str">
        <f aca="false">IF('RAW ASH'!D40="","",'RAW ASH'!D40)</f>
        <v>RN II</v>
      </c>
      <c r="I569" s="48" t="n">
        <f aca="false">IF('RAW ASH'!E40="","",'RAW ASH'!E40)</f>
        <v>104.25</v>
      </c>
      <c r="J569" s="48" t="n">
        <f aca="false">IF('RAW ASH'!F40="","",'RAW ASH'!F40)</f>
        <v>345</v>
      </c>
      <c r="K569" s="50" t="n">
        <f aca="false">IF('RAW ASH'!G40="","",'RAW ASH'!G40)</f>
        <v>6920</v>
      </c>
      <c r="L569" s="50" t="str">
        <f aca="false">IF('RAW ASH'!H40="","",'RAW ASH'!H40)</f>
        <v/>
      </c>
      <c r="M569" s="48" t="str">
        <f aca="false">IF('RAW ASH'!I40="","",'RAW ASH'!I40)</f>
        <v/>
      </c>
    </row>
    <row r="570" customFormat="false" ht="15" hidden="false" customHeight="false" outlineLevel="0" collapsed="false">
      <c r="A570" s="1" t="s">
        <v>1714</v>
      </c>
      <c r="B570" s="1" t="s">
        <v>155</v>
      </c>
      <c r="C570" s="1" t="s">
        <v>1147</v>
      </c>
      <c r="D570" s="1" t="n">
        <v>41</v>
      </c>
      <c r="E570" s="48" t="str">
        <f aca="false">IF('RAW ASH'!B41="","",'RAW ASH'!B41)</f>
        <v>CHW Outreach</v>
      </c>
      <c r="F570" s="48" t="str">
        <f aca="false">IF('RAW ASH'!C41="","",'RAW ASH'!C41)</f>
        <v>Support Svcs</v>
      </c>
      <c r="G570" s="49" t="str">
        <f aca="false">IF('RAW ASH'!A41="","",'RAW ASH'!A41)</f>
        <v>08/31/2025</v>
      </c>
      <c r="H570" s="48" t="str">
        <f aca="false">IF('RAW ASH'!D41="","",'RAW ASH'!D41)</f>
        <v>Promotora</v>
      </c>
      <c r="I570" s="48" t="n">
        <f aca="false">IF('RAW ASH'!E41="","",'RAW ASH'!E41)</f>
        <v>376.5</v>
      </c>
      <c r="J570" s="48" t="n">
        <f aca="false">IF('RAW ASH'!F41="","",'RAW ASH'!F41)</f>
        <v>387</v>
      </c>
      <c r="K570" s="50" t="n">
        <f aca="false">IF('RAW ASH'!G41="","",'RAW ASH'!G41)</f>
        <v>1425</v>
      </c>
      <c r="L570" s="50" t="str">
        <f aca="false">IF('RAW ASH'!H41="","",'RAW ASH'!H41)</f>
        <v/>
      </c>
      <c r="M570" s="48" t="str">
        <f aca="false">IF('RAW ASH'!I41="","",'RAW ASH'!I41)</f>
        <v/>
      </c>
    </row>
    <row r="571" customFormat="false" ht="15" hidden="false" customHeight="false" outlineLevel="0" collapsed="false">
      <c r="A571" s="1" t="s">
        <v>1715</v>
      </c>
      <c r="B571" s="1" t="s">
        <v>155</v>
      </c>
      <c r="C571" s="1" t="s">
        <v>1147</v>
      </c>
      <c r="D571" s="1" t="n">
        <v>42</v>
      </c>
      <c r="E571" s="48" t="str">
        <f aca="false">IF('RAW ASH'!B42="","",'RAW ASH'!B42)</f>
        <v>CHW Outreach</v>
      </c>
      <c r="F571" s="48" t="str">
        <f aca="false">IF('RAW ASH'!C42="","",'RAW ASH'!C42)</f>
        <v>Support Svcs</v>
      </c>
      <c r="G571" s="49" t="str">
        <f aca="false">IF('RAW ASH'!A42="","",'RAW ASH'!A42)</f>
        <v>08/31/2025</v>
      </c>
      <c r="H571" s="48" t="str">
        <f aca="false">IF('RAW ASH'!D42="","",'RAW ASH'!D42)</f>
        <v>Navigator</v>
      </c>
      <c r="I571" s="48" t="n">
        <f aca="false">IF('RAW ASH'!E42="","",'RAW ASH'!E42)</f>
        <v>170</v>
      </c>
      <c r="J571" s="48" t="str">
        <f aca="false">IF('RAW ASH'!F42="","",'RAW ASH'!F42)</f>
        <v/>
      </c>
      <c r="K571" s="50" t="str">
        <f aca="false">IF('RAW ASH'!G42="","",'RAW ASH'!G42)</f>
        <v/>
      </c>
      <c r="L571" s="50" t="str">
        <f aca="false">IF('RAW ASH'!H42="","",'RAW ASH'!H42)</f>
        <v/>
      </c>
      <c r="M571" s="48" t="str">
        <f aca="false">IF('RAW ASH'!I42="","",'RAW ASH'!I42)</f>
        <v/>
      </c>
    </row>
    <row r="572" customFormat="false" ht="15" hidden="false" customHeight="false" outlineLevel="0" collapsed="false">
      <c r="A572" s="1" t="s">
        <v>1716</v>
      </c>
      <c r="B572" s="1" t="s">
        <v>155</v>
      </c>
      <c r="C572" s="1" t="s">
        <v>1147</v>
      </c>
      <c r="D572" s="1" t="n">
        <v>43</v>
      </c>
      <c r="E572" s="48" t="str">
        <f aca="false">IF('RAW ASH'!B43="","",'RAW ASH'!B43)</f>
        <v>Produce Rx</v>
      </c>
      <c r="F572" s="48" t="str">
        <f aca="false">IF('RAW ASH'!C43="","",'RAW ASH'!C43)</f>
        <v>Support Svcs</v>
      </c>
      <c r="G572" s="49" t="str">
        <f aca="false">IF('RAW ASH'!A43="","",'RAW ASH'!A43)</f>
        <v>08/31/2025</v>
      </c>
      <c r="H572" s="48" t="str">
        <f aca="false">IF('RAW ASH'!D43="","",'RAW ASH'!D43)</f>
        <v>CHW</v>
      </c>
      <c r="I572" s="48" t="n">
        <f aca="false">IF('RAW ASH'!E43="","",'RAW ASH'!E43)</f>
        <v>40.25</v>
      </c>
      <c r="J572" s="48" t="str">
        <f aca="false">IF('RAW ASH'!F43="","",'RAW ASH'!F43)</f>
        <v/>
      </c>
      <c r="K572" s="50" t="str">
        <f aca="false">IF('RAW ASH'!G43="","",'RAW ASH'!G43)</f>
        <v/>
      </c>
      <c r="L572" s="50" t="str">
        <f aca="false">IF('RAW ASH'!H43="","",'RAW ASH'!H43)</f>
        <v/>
      </c>
      <c r="M572" s="48" t="str">
        <f aca="false">IF('RAW ASH'!I43="","",'RAW ASH'!I43)</f>
        <v/>
      </c>
    </row>
    <row r="573" customFormat="false" ht="15" hidden="false" customHeight="false" outlineLevel="0" collapsed="false">
      <c r="A573" s="1" t="s">
        <v>1717</v>
      </c>
      <c r="B573" s="1" t="s">
        <v>155</v>
      </c>
      <c r="C573" s="1" t="s">
        <v>1147</v>
      </c>
      <c r="D573" s="1" t="n">
        <v>44</v>
      </c>
      <c r="E573" s="48" t="str">
        <f aca="false">IF('RAW ASH'!B44="","",'RAW ASH'!B44)</f>
        <v>Produce Rx</v>
      </c>
      <c r="F573" s="48" t="str">
        <f aca="false">IF('RAW ASH'!C44="","",'RAW ASH'!C44)</f>
        <v>Support Svcs</v>
      </c>
      <c r="G573" s="49" t="str">
        <f aca="false">IF('RAW ASH'!A44="","",'RAW ASH'!A44)</f>
        <v>08/31/2025</v>
      </c>
      <c r="H573" s="48" t="str">
        <f aca="false">IF('RAW ASH'!D44="","",'RAW ASH'!D44)</f>
        <v>Clinical Dietitian</v>
      </c>
      <c r="I573" s="48" t="str">
        <f aca="false">IF('RAW ASH'!E44="","",'RAW ASH'!E44)</f>
        <v>24.75 hrs</v>
      </c>
      <c r="J573" s="48" t="n">
        <f aca="false">IF('RAW ASH'!F44="","",'RAW ASH'!F44)</f>
        <v>156</v>
      </c>
      <c r="K573" s="50" t="n">
        <f aca="false">IF('RAW ASH'!G44="","",'RAW ASH'!G44)</f>
        <v>11955</v>
      </c>
      <c r="L573" s="50" t="n">
        <f aca="false">IF('RAW ASH'!H44="","",'RAW ASH'!H44)</f>
        <v>4030</v>
      </c>
      <c r="M573" s="48" t="str">
        <f aca="false">IF('RAW ASH'!I44="","",'RAW ASH'!I44)</f>
        <v/>
      </c>
    </row>
    <row r="574" customFormat="false" ht="15" hidden="false" customHeight="false" outlineLevel="0" collapsed="false">
      <c r="A574" s="1" t="s">
        <v>1718</v>
      </c>
      <c r="B574" s="1" t="s">
        <v>155</v>
      </c>
      <c r="C574" s="1" t="s">
        <v>1147</v>
      </c>
      <c r="D574" s="1" t="n">
        <v>45</v>
      </c>
      <c r="E574" s="48" t="str">
        <f aca="false">IF('RAW ASH'!B45="","",'RAW ASH'!B45)</f>
        <v>CB Program Admin</v>
      </c>
      <c r="F574" s="48" t="str">
        <f aca="false">IF('RAW ASH'!C45="","",'RAW ASH'!C45)</f>
        <v>CB Admin</v>
      </c>
      <c r="G574" s="49" t="str">
        <f aca="false">IF('RAW ASH'!A45="","",'RAW ASH'!A45)</f>
        <v>08/31/2025</v>
      </c>
      <c r="H574" s="48" t="str">
        <f aca="false">IF('RAW ASH'!D45="","",'RAW ASH'!D45)</f>
        <v>Admin Asst</v>
      </c>
      <c r="I574" s="48" t="str">
        <f aca="false">IF('RAW ASH'!E45="","",'RAW ASH'!E45)</f>
        <v>41.25 hrs</v>
      </c>
      <c r="J574" s="48" t="str">
        <f aca="false">IF('RAW ASH'!F45="","",'RAW ASH'!F45)</f>
        <v/>
      </c>
      <c r="K574" s="50" t="str">
        <f aca="false">IF('RAW ASH'!G45="","",'RAW ASH'!G45)</f>
        <v/>
      </c>
      <c r="L574" s="50" t="str">
        <f aca="false">IF('RAW ASH'!H45="","",'RAW ASH'!H45)</f>
        <v/>
      </c>
      <c r="M574" s="48" t="str">
        <f aca="false">IF('RAW ASH'!I45="","",'RAW ASH'!I45)</f>
        <v/>
      </c>
    </row>
    <row r="575" customFormat="false" ht="15" hidden="false" customHeight="false" outlineLevel="0" collapsed="false">
      <c r="A575" s="1" t="s">
        <v>1719</v>
      </c>
      <c r="B575" s="1" t="s">
        <v>155</v>
      </c>
      <c r="C575" s="1" t="s">
        <v>1147</v>
      </c>
      <c r="D575" s="1" t="n">
        <v>46</v>
      </c>
      <c r="E575" s="48" t="str">
        <f aca="false">IF('RAW ASH'!B46="","",'RAW ASH'!B46)</f>
        <v>CB Program Admin</v>
      </c>
      <c r="F575" s="48" t="str">
        <f aca="false">IF('RAW ASH'!C46="","",'RAW ASH'!C46)</f>
        <v>CB Admin</v>
      </c>
      <c r="G575" s="49" t="str">
        <f aca="false">IF('RAW ASH'!A46="","",'RAW ASH'!A46)</f>
        <v>08/31/2025</v>
      </c>
      <c r="H575" s="48" t="str">
        <f aca="false">IF('RAW ASH'!D46="","",'RAW ASH'!D46)</f>
        <v>Community Benefit Mgr</v>
      </c>
      <c r="I575" s="48" t="n">
        <f aca="false">IF('RAW ASH'!E46="","",'RAW ASH'!E46)</f>
        <v>54.5</v>
      </c>
      <c r="J575" s="48" t="str">
        <f aca="false">IF('RAW ASH'!F46="","",'RAW ASH'!F46)</f>
        <v/>
      </c>
      <c r="K575" s="50" t="n">
        <f aca="false">IF('RAW ASH'!G46="","",'RAW ASH'!G46)</f>
        <v>885</v>
      </c>
      <c r="L575" s="50" t="str">
        <f aca="false">IF('RAW ASH'!H46="","",'RAW ASH'!H46)</f>
        <v/>
      </c>
      <c r="M575" s="48" t="str">
        <f aca="false">IF('RAW ASH'!I46="","",'RAW ASH'!I46)</f>
        <v/>
      </c>
    </row>
    <row r="576" customFormat="false" ht="15" hidden="false" customHeight="false" outlineLevel="0" collapsed="false">
      <c r="A576" s="1" t="s">
        <v>1720</v>
      </c>
      <c r="B576" s="1" t="s">
        <v>155</v>
      </c>
      <c r="C576" s="1" t="s">
        <v>1147</v>
      </c>
      <c r="D576" s="1" t="n">
        <v>47</v>
      </c>
      <c r="E576" s="48" t="str">
        <f aca="false">IF('RAW ASH'!B47="","",'RAW ASH'!B47)</f>
        <v>Nursing Clinicals</v>
      </c>
      <c r="F576" s="48" t="str">
        <f aca="false">IF('RAW ASH'!C47="","",'RAW ASH'!C47)</f>
        <v>HPE</v>
      </c>
      <c r="G576" s="49" t="str">
        <f aca="false">IF('RAW ASH'!A47="","",'RAW ASH'!A47)</f>
        <v>08/31/2025</v>
      </c>
      <c r="H576" s="48" t="str">
        <f aca="false">IF('RAW ASH'!D47="","",'RAW ASH'!D47)</f>
        <v>Educator, Nursing</v>
      </c>
      <c r="I576" s="48" t="n">
        <f aca="false">IF('RAW ASH'!E47="","",'RAW ASH'!E47)</f>
        <v>147.75</v>
      </c>
      <c r="J576" s="48" t="n">
        <f aca="false">IF('RAW ASH'!F47="","",'RAW ASH'!F47)</f>
        <v>27</v>
      </c>
      <c r="K576" s="50" t="n">
        <f aca="false">IF('RAW ASH'!G47="","",'RAW ASH'!G47)</f>
        <v>315</v>
      </c>
      <c r="L576" s="50" t="str">
        <f aca="false">IF('RAW ASH'!H47="","",'RAW ASH'!H47)</f>
        <v/>
      </c>
      <c r="M576" s="48" t="str">
        <f aca="false">IF('RAW ASH'!I47="","",'RAW ASH'!I47)</f>
        <v/>
      </c>
    </row>
    <row r="577" customFormat="false" ht="15" hidden="false" customHeight="false" outlineLevel="0" collapsed="false">
      <c r="A577" s="1" t="s">
        <v>1721</v>
      </c>
      <c r="B577" s="1" t="s">
        <v>155</v>
      </c>
      <c r="C577" s="1" t="s">
        <v>1147</v>
      </c>
      <c r="D577" s="1" t="n">
        <v>48</v>
      </c>
      <c r="E577" s="48" t="str">
        <f aca="false">IF('RAW ASH'!B48="","",'RAW ASH'!B48)</f>
        <v>Nursing Clinicals</v>
      </c>
      <c r="F577" s="48" t="str">
        <f aca="false">IF('RAW ASH'!C48="","",'RAW ASH'!C48)</f>
        <v>HPE</v>
      </c>
      <c r="G577" s="49" t="str">
        <f aca="false">IF('RAW ASH'!A48="","",'RAW ASH'!A48)</f>
        <v>08/31/2025</v>
      </c>
      <c r="H577" s="48" t="str">
        <f aca="false">IF('RAW ASH'!D48="","",'RAW ASH'!D48)</f>
        <v>Staff RN </v>
      </c>
      <c r="I577" s="48" t="n">
        <f aca="false">IF('RAW ASH'!E48="","",'RAW ASH'!E48)</f>
        <v>195.75</v>
      </c>
      <c r="J577" s="48" t="str">
        <f aca="false">IF('RAW ASH'!F48="","",'RAW ASH'!F48)</f>
        <v/>
      </c>
      <c r="K577" s="50" t="str">
        <f aca="false">IF('RAW ASH'!G48="","",'RAW ASH'!G48)</f>
        <v/>
      </c>
      <c r="L577" s="50" t="str">
        <f aca="false">IF('RAW ASH'!H48="","",'RAW ASH'!H48)</f>
        <v/>
      </c>
      <c r="M577" s="48" t="str">
        <f aca="false">IF('RAW ASH'!I48="","",'RAW ASH'!I48)</f>
        <v/>
      </c>
    </row>
    <row r="578" customFormat="false" ht="15" hidden="false" customHeight="false" outlineLevel="0" collapsed="false">
      <c r="A578" s="1" t="s">
        <v>1722</v>
      </c>
      <c r="B578" s="1" t="s">
        <v>155</v>
      </c>
      <c r="C578" s="1" t="s">
        <v>1147</v>
      </c>
      <c r="D578" s="1" t="n">
        <v>49</v>
      </c>
      <c r="E578" s="48" t="str">
        <f aca="false">IF('RAW ASH'!B49="","",'RAW ASH'!B49)</f>
        <v>Paramedic Students</v>
      </c>
      <c r="F578" s="48" t="str">
        <f aca="false">IF('RAW ASH'!C49="","",'RAW ASH'!C49)</f>
        <v>HPE</v>
      </c>
      <c r="G578" s="49" t="str">
        <f aca="false">IF('RAW ASH'!A49="","",'RAW ASH'!A49)</f>
        <v>08/31/2025</v>
      </c>
      <c r="H578" s="48" t="str">
        <f aca="false">IF('RAW ASH'!D49="","",'RAW ASH'!D49)</f>
        <v>Paramedic</v>
      </c>
      <c r="I578" s="48" t="n">
        <f aca="false">IF('RAW ASH'!E49="","",'RAW ASH'!E49)</f>
        <v>56</v>
      </c>
      <c r="J578" s="48" t="n">
        <f aca="false">IF('RAW ASH'!F49="","",'RAW ASH'!F49)</f>
        <v>6</v>
      </c>
      <c r="K578" s="50" t="n">
        <f aca="false">IF('RAW ASH'!G49="","",'RAW ASH'!G49)</f>
        <v>10</v>
      </c>
      <c r="L578" s="50" t="str">
        <f aca="false">IF('RAW ASH'!H49="","",'RAW ASH'!H49)</f>
        <v/>
      </c>
      <c r="M578" s="48" t="str">
        <f aca="false">IF('RAW ASH'!I49="","",'RAW ASH'!I49)</f>
        <v/>
      </c>
    </row>
    <row r="579" customFormat="false" ht="15" hidden="false" customHeight="false" outlineLevel="0" collapsed="false">
      <c r="A579" s="1" t="s">
        <v>1723</v>
      </c>
      <c r="B579" s="1" t="s">
        <v>155</v>
      </c>
      <c r="C579" s="1" t="s">
        <v>1147</v>
      </c>
      <c r="D579" s="1" t="n">
        <v>50</v>
      </c>
      <c r="E579" s="48" t="str">
        <f aca="false">IF('RAW ASH'!B50="","",'RAW ASH'!B50)</f>
        <v>Housing Partnership</v>
      </c>
      <c r="F579" s="48" t="str">
        <f aca="false">IF('RAW ASH'!C50="","",'RAW ASH'!C50)</f>
        <v>CB-Housing</v>
      </c>
      <c r="G579" s="49" t="str">
        <f aca="false">IF('RAW ASH'!A50="","",'RAW ASH'!A50)</f>
        <v>09/03/2025</v>
      </c>
      <c r="H579" s="48" t="str">
        <f aca="false">IF('RAW ASH'!D50="","",'RAW ASH'!D50)</f>
        <v>Director, Mission</v>
      </c>
      <c r="I579" s="48" t="n">
        <f aca="false">IF('RAW ASH'!E50="","",'RAW ASH'!E50)</f>
        <v>5</v>
      </c>
      <c r="J579" s="48" t="str">
        <f aca="false">IF('RAW ASH'!F50="","",'RAW ASH'!F50)</f>
        <v/>
      </c>
      <c r="K579" s="50" t="n">
        <f aca="false">IF('RAW ASH'!G50="","",'RAW ASH'!G50)</f>
        <v>74640</v>
      </c>
      <c r="L579" s="50" t="str">
        <f aca="false">IF('RAW ASH'!H50="","",'RAW ASH'!H50)</f>
        <v/>
      </c>
      <c r="M579" s="48" t="str">
        <f aca="false">IF('RAW ASH'!I50="","",'RAW ASH'!I50)</f>
        <v/>
      </c>
    </row>
    <row r="580" customFormat="false" ht="15" hidden="false" customHeight="false" outlineLevel="0" collapsed="false">
      <c r="A580" s="1" t="s">
        <v>1724</v>
      </c>
      <c r="B580" s="1" t="s">
        <v>155</v>
      </c>
      <c r="C580" s="1" t="s">
        <v>1147</v>
      </c>
      <c r="D580" s="1" t="n">
        <v>51</v>
      </c>
      <c r="E580" s="48" t="str">
        <f aca="false">IF('RAW ASH'!B51="","",'RAW ASH'!B51)</f>
        <v>Housing Partnership</v>
      </c>
      <c r="F580" s="48" t="str">
        <f aca="false">IF('RAW ASH'!C51="","",'RAW ASH'!C51)</f>
        <v>CB-Housing</v>
      </c>
      <c r="G580" s="49" t="str">
        <f aca="false">IF('RAW ASH'!A51="","",'RAW ASH'!A51)</f>
        <v>09/03/2025</v>
      </c>
      <c r="H580" s="48" t="str">
        <f aca="false">IF('RAW ASH'!D51="","",'RAW ASH'!D51)</f>
        <v>Residency Coordinator</v>
      </c>
      <c r="I580" s="48" t="n">
        <f aca="false">IF('RAW ASH'!E51="","",'RAW ASH'!E51)</f>
        <v>9.25</v>
      </c>
      <c r="J580" s="48" t="str">
        <f aca="false">IF('RAW ASH'!F51="","",'RAW ASH'!F51)</f>
        <v/>
      </c>
      <c r="K580" s="50" t="str">
        <f aca="false">IF('RAW ASH'!G51="","",'RAW ASH'!G51)</f>
        <v/>
      </c>
      <c r="L580" s="50" t="str">
        <f aca="false">IF('RAW ASH'!H51="","",'RAW ASH'!H51)</f>
        <v/>
      </c>
      <c r="M580" s="48" t="str">
        <f aca="false">IF('RAW ASH'!I51="","",'RAW ASH'!I51)</f>
        <v/>
      </c>
    </row>
    <row r="581" customFormat="false" ht="15" hidden="false" customHeight="false" outlineLevel="0" collapsed="false">
      <c r="A581" s="1" t="s">
        <v>1725</v>
      </c>
      <c r="B581" s="1" t="s">
        <v>155</v>
      </c>
      <c r="C581" s="1" t="s">
        <v>1147</v>
      </c>
      <c r="D581" s="1" t="n">
        <v>52</v>
      </c>
      <c r="E581" s="48" t="str">
        <f aca="false">IF('RAW ASH'!B52="","",'RAW ASH'!B52)</f>
        <v>Grief Support</v>
      </c>
      <c r="F581" s="48" t="str">
        <f aca="false">IF('RAW ASH'!C52="","",'RAW ASH'!C52)</f>
        <v>Support Svcs</v>
      </c>
      <c r="G581" s="49" t="str">
        <f aca="false">IF('RAW ASH'!A52="","",'RAW ASH'!A52)</f>
        <v>09/06/2025</v>
      </c>
      <c r="H581" s="48" t="str">
        <f aca="false">IF('RAW ASH'!D52="","",'RAW ASH'!D52)</f>
        <v>STAFF CHAPLAIN</v>
      </c>
      <c r="I581" s="48" t="n">
        <f aca="false">IF('RAW ASH'!E52="","",'RAW ASH'!E52)</f>
        <v>2.25</v>
      </c>
      <c r="J581" s="48" t="n">
        <f aca="false">IF('RAW ASH'!F52="","",'RAW ASH'!F52)</f>
        <v>9</v>
      </c>
      <c r="K581" s="50" t="n">
        <f aca="false">IF('RAW ASH'!G52="","",'RAW ASH'!G52)</f>
        <v>45</v>
      </c>
      <c r="L581" s="50" t="str">
        <f aca="false">IF('RAW ASH'!H52="","",'RAW ASH'!H52)</f>
        <v/>
      </c>
      <c r="M581" s="48" t="str">
        <f aca="false">IF('RAW ASH'!I52="","",'RAW ASH'!I52)</f>
        <v/>
      </c>
    </row>
    <row r="582" customFormat="false" ht="15" hidden="false" customHeight="false" outlineLevel="0" collapsed="false">
      <c r="A582" s="1" t="s">
        <v>1726</v>
      </c>
      <c r="B582" s="1" t="s">
        <v>155</v>
      </c>
      <c r="C582" s="1" t="s">
        <v>1147</v>
      </c>
      <c r="D582" s="1" t="n">
        <v>53</v>
      </c>
      <c r="E582" s="48" t="str">
        <f aca="false">IF('RAW ASH'!B53="","",'RAW ASH'!B53)</f>
        <v>Grief Support</v>
      </c>
      <c r="F582" s="48" t="str">
        <f aca="false">IF('RAW ASH'!C53="","",'RAW ASH'!C53)</f>
        <v>Support Svcs</v>
      </c>
      <c r="G582" s="49" t="str">
        <f aca="false">IF('RAW ASH'!A53="","",'RAW ASH'!A53)</f>
        <v>09/06/2025</v>
      </c>
      <c r="H582" s="48" t="str">
        <f aca="false">IF('RAW ASH'!D53="","",'RAW ASH'!D53)</f>
        <v>LCSW</v>
      </c>
      <c r="I582" s="48" t="n">
        <f aca="false">IF('RAW ASH'!E53="","",'RAW ASH'!E53)</f>
        <v>1.5</v>
      </c>
      <c r="J582" s="48" t="str">
        <f aca="false">IF('RAW ASH'!F53="","",'RAW ASH'!F53)</f>
        <v/>
      </c>
      <c r="K582" s="50" t="str">
        <f aca="false">IF('RAW ASH'!G53="","",'RAW ASH'!G53)</f>
        <v/>
      </c>
      <c r="L582" s="50" t="str">
        <f aca="false">IF('RAW ASH'!H53="","",'RAW ASH'!H53)</f>
        <v/>
      </c>
      <c r="M582" s="48" t="str">
        <f aca="false">IF('RAW ASH'!I53="","",'RAW ASH'!I53)</f>
        <v/>
      </c>
    </row>
    <row r="583" customFormat="false" ht="15" hidden="false" customHeight="false" outlineLevel="0" collapsed="false">
      <c r="A583" s="1" t="s">
        <v>1727</v>
      </c>
      <c r="B583" s="1" t="s">
        <v>155</v>
      </c>
      <c r="C583" s="1" t="s">
        <v>1147</v>
      </c>
      <c r="D583" s="1" t="n">
        <v>54</v>
      </c>
      <c r="E583" s="48" t="str">
        <f aca="false">IF('RAW ASH'!B54="","",'RAW ASH'!B54)</f>
        <v>Regional Health Coalition Mtg</v>
      </c>
      <c r="F583" s="48" t="str">
        <f aca="false">IF('RAW ASH'!C54="","",'RAW ASH'!C54)</f>
        <v>CB-Coalition Bldg</v>
      </c>
      <c r="G583" s="49" t="str">
        <f aca="false">IF('RAW ASH'!A54="","",'RAW ASH'!A54)</f>
        <v>09/06/2025</v>
      </c>
      <c r="H583" s="48" t="str">
        <f aca="false">IF('RAW ASH'!D54="","",'RAW ASH'!D54)</f>
        <v>Community Benefit Mgr</v>
      </c>
      <c r="I583" s="48" t="n">
        <f aca="false">IF('RAW ASH'!E54="","",'RAW ASH'!E54)</f>
        <v>2</v>
      </c>
      <c r="J583" s="48" t="str">
        <f aca="false">IF('RAW ASH'!F54="","",'RAW ASH'!F54)</f>
        <v/>
      </c>
      <c r="K583" s="50" t="str">
        <f aca="false">IF('RAW ASH'!G54="","",'RAW ASH'!G54)</f>
        <v/>
      </c>
      <c r="L583" s="50" t="str">
        <f aca="false">IF('RAW ASH'!H54="","",'RAW ASH'!H54)</f>
        <v/>
      </c>
      <c r="M583" s="48" t="str">
        <f aca="false">IF('RAW ASH'!I54="","",'RAW ASH'!I54)</f>
        <v/>
      </c>
    </row>
    <row r="584" customFormat="false" ht="15" hidden="false" customHeight="false" outlineLevel="0" collapsed="false">
      <c r="A584" s="1" t="s">
        <v>1728</v>
      </c>
      <c r="B584" s="1" t="s">
        <v>155</v>
      </c>
      <c r="C584" s="1" t="s">
        <v>1147</v>
      </c>
      <c r="D584" s="1" t="n">
        <v>55</v>
      </c>
      <c r="E584" s="48" t="str">
        <f aca="false">IF('RAW ASH'!B55="","",'RAW ASH'!B55)</f>
        <v>Regional Health Coalition Mtg</v>
      </c>
      <c r="F584" s="48" t="str">
        <f aca="false">IF('RAW ASH'!C55="","",'RAW ASH'!C55)</f>
        <v>CB-Coalition Bldg</v>
      </c>
      <c r="G584" s="49" t="str">
        <f aca="false">IF('RAW ASH'!A55="","",'RAW ASH'!A55)</f>
        <v>09/06/2025</v>
      </c>
      <c r="H584" s="48" t="str">
        <f aca="false">IF('RAW ASH'!D55="","",'RAW ASH'!D55)</f>
        <v>Dir.</v>
      </c>
      <c r="I584" s="48" t="n">
        <f aca="false">IF('RAW ASH'!E55="","",'RAW ASH'!E55)</f>
        <v>2.5</v>
      </c>
      <c r="J584" s="48" t="str">
        <f aca="false">IF('RAW ASH'!F55="","",'RAW ASH'!F55)</f>
        <v/>
      </c>
      <c r="K584" s="50" t="n">
        <f aca="false">IF('RAW ASH'!G55="","",'RAW ASH'!G55)</f>
        <v>5</v>
      </c>
      <c r="L584" s="50" t="str">
        <f aca="false">IF('RAW ASH'!H55="","",'RAW ASH'!H55)</f>
        <v/>
      </c>
      <c r="M584" s="48" t="str">
        <f aca="false">IF('RAW ASH'!I55="","",'RAW ASH'!I55)</f>
        <v/>
      </c>
    </row>
    <row r="585" customFormat="false" ht="15" hidden="false" customHeight="false" outlineLevel="0" collapsed="false">
      <c r="A585" s="1" t="s">
        <v>1729</v>
      </c>
      <c r="B585" s="1" t="s">
        <v>155</v>
      </c>
      <c r="C585" s="1" t="s">
        <v>1147</v>
      </c>
      <c r="D585" s="1" t="n">
        <v>56</v>
      </c>
      <c r="E585" s="48" t="str">
        <f aca="false">IF('RAW ASH'!B56="","",'RAW ASH'!B56)</f>
        <v>Grief Support</v>
      </c>
      <c r="F585" s="48" t="str">
        <f aca="false">IF('RAW ASH'!C56="","",'RAW ASH'!C56)</f>
        <v>Support Svcs</v>
      </c>
      <c r="G585" s="49" t="str">
        <f aca="false">IF('RAW ASH'!A56="","",'RAW ASH'!A56)</f>
        <v>09/13/2025</v>
      </c>
      <c r="H585" s="48" t="str">
        <f aca="false">IF('RAW ASH'!D56="","",'RAW ASH'!D56)</f>
        <v>Staff Chaplain</v>
      </c>
      <c r="I585" s="48" t="n">
        <f aca="false">IF('RAW ASH'!E56="","",'RAW ASH'!E56)</f>
        <v>2.25</v>
      </c>
      <c r="J585" s="48" t="n">
        <f aca="false">IF('RAW ASH'!F56="","",'RAW ASH'!F56)</f>
        <v>15</v>
      </c>
      <c r="K585" s="50" t="n">
        <f aca="false">IF('RAW ASH'!G56="","",'RAW ASH'!G56)</f>
        <v>60</v>
      </c>
      <c r="L585" s="50" t="str">
        <f aca="false">IF('RAW ASH'!H56="","",'RAW ASH'!H56)</f>
        <v/>
      </c>
      <c r="M585" s="48" t="str">
        <f aca="false">IF('RAW ASH'!I56="","",'RAW ASH'!I56)</f>
        <v/>
      </c>
    </row>
    <row r="586" customFormat="false" ht="15" hidden="false" customHeight="false" outlineLevel="0" collapsed="false">
      <c r="A586" s="1" t="s">
        <v>1730</v>
      </c>
      <c r="B586" s="1" t="s">
        <v>155</v>
      </c>
      <c r="C586" s="1" t="s">
        <v>1147</v>
      </c>
      <c r="D586" s="1" t="n">
        <v>57</v>
      </c>
      <c r="E586" s="48" t="str">
        <f aca="false">IF('RAW ASH'!B57="","",'RAW ASH'!B57)</f>
        <v>Grief Support</v>
      </c>
      <c r="F586" s="48" t="str">
        <f aca="false">IF('RAW ASH'!C57="","",'RAW ASH'!C57)</f>
        <v>Support Svcs</v>
      </c>
      <c r="G586" s="49" t="str">
        <f aca="false">IF('RAW ASH'!A57="","",'RAW ASH'!A57)</f>
        <v>09/13/2025</v>
      </c>
      <c r="H586" s="48" t="str">
        <f aca="false">IF('RAW ASH'!D57="","",'RAW ASH'!D57)</f>
        <v>Social Worker</v>
      </c>
      <c r="I586" s="48" t="str">
        <f aca="false">IF('RAW ASH'!E57="","",'RAW ASH'!E57)</f>
        <v>1.75 hrs</v>
      </c>
      <c r="J586" s="48" t="str">
        <f aca="false">IF('RAW ASH'!F57="","",'RAW ASH'!F57)</f>
        <v/>
      </c>
      <c r="K586" s="50" t="str">
        <f aca="false">IF('RAW ASH'!G57="","",'RAW ASH'!G57)</f>
        <v/>
      </c>
      <c r="L586" s="50" t="str">
        <f aca="false">IF('RAW ASH'!H57="","",'RAW ASH'!H57)</f>
        <v/>
      </c>
      <c r="M586" s="48" t="str">
        <f aca="false">IF('RAW ASH'!I57="","",'RAW ASH'!I57)</f>
        <v/>
      </c>
    </row>
    <row r="587" customFormat="false" ht="15" hidden="false" customHeight="false" outlineLevel="0" collapsed="false">
      <c r="A587" s="1" t="s">
        <v>1731</v>
      </c>
      <c r="B587" s="1" t="s">
        <v>155</v>
      </c>
      <c r="C587" s="1" t="s">
        <v>1147</v>
      </c>
      <c r="D587" s="1" t="n">
        <v>58</v>
      </c>
      <c r="E587" s="48" t="str">
        <f aca="false">IF('RAW ASH'!B58="","",'RAW ASH'!B58)</f>
        <v>Grief Support</v>
      </c>
      <c r="F587" s="48" t="str">
        <f aca="false">IF('RAW ASH'!C58="","",'RAW ASH'!C58)</f>
        <v>Support Svcs</v>
      </c>
      <c r="G587" s="49" t="str">
        <f aca="false">IF('RAW ASH'!A58="","",'RAW ASH'!A58)</f>
        <v>09/18/2025</v>
      </c>
      <c r="H587" s="48" t="str">
        <f aca="false">IF('RAW ASH'!D58="","",'RAW ASH'!D58)</f>
        <v>Spiritual Care</v>
      </c>
      <c r="I587" s="48" t="n">
        <f aca="false">IF('RAW ASH'!E58="","",'RAW ASH'!E58)</f>
        <v>2.5</v>
      </c>
      <c r="J587" s="48" t="n">
        <f aca="false">IF('RAW ASH'!F58="","",'RAW ASH'!F58)</f>
        <v>15</v>
      </c>
      <c r="K587" s="50" t="n">
        <f aca="false">IF('RAW ASH'!G58="","",'RAW ASH'!G58)</f>
        <v>45</v>
      </c>
      <c r="L587" s="50" t="str">
        <f aca="false">IF('RAW ASH'!H58="","",'RAW ASH'!H58)</f>
        <v/>
      </c>
      <c r="M587" s="48" t="str">
        <f aca="false">IF('RAW ASH'!I58="","",'RAW ASH'!I58)</f>
        <v/>
      </c>
    </row>
    <row r="588" customFormat="false" ht="15" hidden="false" customHeight="false" outlineLevel="0" collapsed="false">
      <c r="A588" s="1" t="s">
        <v>1732</v>
      </c>
      <c r="B588" s="1" t="s">
        <v>155</v>
      </c>
      <c r="C588" s="1" t="s">
        <v>1147</v>
      </c>
      <c r="D588" s="1" t="n">
        <v>59</v>
      </c>
      <c r="E588" s="48" t="str">
        <f aca="false">IF('RAW ASH'!B59="","",'RAW ASH'!B59)</f>
        <v>Grief Support</v>
      </c>
      <c r="F588" s="48" t="str">
        <f aca="false">IF('RAW ASH'!C59="","",'RAW ASH'!C59)</f>
        <v>Support Svcs</v>
      </c>
      <c r="G588" s="49" t="str">
        <f aca="false">IF('RAW ASH'!A59="","",'RAW ASH'!A59)</f>
        <v>09/18/2025</v>
      </c>
      <c r="H588" s="48" t="str">
        <f aca="false">IF('RAW ASH'!D59="","",'RAW ASH'!D59)</f>
        <v>LCSW</v>
      </c>
      <c r="I588" s="48" t="n">
        <f aca="false">IF('RAW ASH'!E59="","",'RAW ASH'!E59)</f>
        <v>1.75</v>
      </c>
      <c r="J588" s="48" t="str">
        <f aca="false">IF('RAW ASH'!F59="","",'RAW ASH'!F59)</f>
        <v/>
      </c>
      <c r="K588" s="50" t="str">
        <f aca="false">IF('RAW ASH'!G59="","",'RAW ASH'!G59)</f>
        <v/>
      </c>
      <c r="L588" s="50" t="str">
        <f aca="false">IF('RAW ASH'!H59="","",'RAW ASH'!H59)</f>
        <v/>
      </c>
      <c r="M588" s="48" t="str">
        <f aca="false">IF('RAW ASH'!I59="","",'RAW ASH'!I59)</f>
        <v/>
      </c>
    </row>
    <row r="589" customFormat="false" ht="15" hidden="false" customHeight="false" outlineLevel="0" collapsed="false">
      <c r="A589" s="1" t="s">
        <v>1733</v>
      </c>
      <c r="B589" s="1" t="s">
        <v>155</v>
      </c>
      <c r="C589" s="1" t="s">
        <v>1147</v>
      </c>
      <c r="D589" s="1" t="n">
        <v>60</v>
      </c>
      <c r="E589" s="48" t="str">
        <f aca="false">IF('RAW ASH'!B60="","",'RAW ASH'!B60)</f>
        <v>Fall Prevention</v>
      </c>
      <c r="F589" s="48" t="str">
        <f aca="false">IF('RAW ASH'!C60="","",'RAW ASH'!C60)</f>
        <v>Comm Hlth Ed</v>
      </c>
      <c r="G589" s="49" t="str">
        <f aca="false">IF('RAW ASH'!A60="","",'RAW ASH'!A60)</f>
        <v>09/25/2025</v>
      </c>
      <c r="H589" s="48" t="str">
        <f aca="false">IF('RAW ASH'!D60="","",'RAW ASH'!D60)</f>
        <v>DPT</v>
      </c>
      <c r="I589" s="48" t="n">
        <f aca="false">IF('RAW ASH'!E60="","",'RAW ASH'!E60)</f>
        <v>2</v>
      </c>
      <c r="J589" s="48" t="n">
        <f aca="false">IF('RAW ASH'!F60="","",'RAW ASH'!F60)</f>
        <v>17</v>
      </c>
      <c r="K589" s="50" t="n">
        <f aca="false">IF('RAW ASH'!G60="","",'RAW ASH'!G60)</f>
        <v>45</v>
      </c>
      <c r="L589" s="50" t="str">
        <f aca="false">IF('RAW ASH'!H60="","",'RAW ASH'!H60)</f>
        <v/>
      </c>
      <c r="M589" s="48" t="str">
        <f aca="false">IF('RAW ASH'!I60="","",'RAW ASH'!I60)</f>
        <v/>
      </c>
    </row>
    <row r="590" customFormat="false" ht="15" hidden="false" customHeight="false" outlineLevel="0" collapsed="false">
      <c r="A590" s="1" t="s">
        <v>1734</v>
      </c>
      <c r="B590" s="1" t="s">
        <v>155</v>
      </c>
      <c r="C590" s="1" t="s">
        <v>1147</v>
      </c>
      <c r="D590" s="1" t="n">
        <v>61</v>
      </c>
      <c r="E590" s="48" t="str">
        <f aca="false">IF('RAW ASH'!B61="","",'RAW ASH'!B61)</f>
        <v>Regional Health Coalition Mtg</v>
      </c>
      <c r="F590" s="48" t="str">
        <f aca="false">IF('RAW ASH'!C61="","",'RAW ASH'!C61)</f>
        <v>CB-Coalition Bldg</v>
      </c>
      <c r="G590" s="49" t="str">
        <f aca="false">IF('RAW ASH'!A61="","",'RAW ASH'!A61)</f>
        <v>09/29/2025</v>
      </c>
      <c r="H590" s="48" t="str">
        <f aca="false">IF('RAW ASH'!D61="","",'RAW ASH'!D61)</f>
        <v>Community Benefit Mgr </v>
      </c>
      <c r="I590" s="48" t="str">
        <f aca="false">IF('RAW ASH'!E61="","",'RAW ASH'!E61)</f>
        <v>2 hrs</v>
      </c>
      <c r="J590" s="48" t="str">
        <f aca="false">IF('RAW ASH'!F61="","",'RAW ASH'!F61)</f>
        <v/>
      </c>
      <c r="K590" s="50" t="str">
        <f aca="false">IF('RAW ASH'!G61="","",'RAW ASH'!G61)</f>
        <v/>
      </c>
      <c r="L590" s="50" t="str">
        <f aca="false">IF('RAW ASH'!H61="","",'RAW ASH'!H61)</f>
        <v/>
      </c>
      <c r="M590" s="48" t="str">
        <f aca="false">IF('RAW ASH'!I61="","",'RAW ASH'!I61)</f>
        <v/>
      </c>
    </row>
    <row r="591" customFormat="false" ht="15" hidden="false" customHeight="false" outlineLevel="0" collapsed="false">
      <c r="A591" s="1" t="s">
        <v>1735</v>
      </c>
      <c r="B591" s="1" t="s">
        <v>155</v>
      </c>
      <c r="C591" s="1" t="s">
        <v>1147</v>
      </c>
      <c r="D591" s="1" t="n">
        <v>62</v>
      </c>
      <c r="E591" s="48" t="str">
        <f aca="false">IF('RAW ASH'!B62="","",'RAW ASH'!B62)</f>
        <v>Regional Health Coalition Mtg</v>
      </c>
      <c r="F591" s="48" t="str">
        <f aca="false">IF('RAW ASH'!C62="","",'RAW ASH'!C62)</f>
        <v>CB-Coalition Bldg</v>
      </c>
      <c r="G591" s="49" t="str">
        <f aca="false">IF('RAW ASH'!A62="","",'RAW ASH'!A62)</f>
        <v>09/29/2025</v>
      </c>
      <c r="H591" s="48" t="str">
        <f aca="false">IF('RAW ASH'!D62="","",'RAW ASH'!D62)</f>
        <v>Director, Mission</v>
      </c>
      <c r="I591" s="48" t="n">
        <f aca="false">IF('RAW ASH'!E62="","",'RAW ASH'!E62)</f>
        <v>2.5</v>
      </c>
      <c r="J591" s="48" t="str">
        <f aca="false">IF('RAW ASH'!F62="","",'RAW ASH'!F62)</f>
        <v/>
      </c>
      <c r="K591" s="50" t="n">
        <f aca="false">IF('RAW ASH'!G62="","",'RAW ASH'!G62)</f>
        <v>95</v>
      </c>
      <c r="L591" s="50" t="str">
        <f aca="false">IF('RAW ASH'!H62="","",'RAW ASH'!H62)</f>
        <v/>
      </c>
      <c r="M591" s="48" t="str">
        <f aca="false">IF('RAW ASH'!I62="","",'RAW ASH'!I62)</f>
        <v/>
      </c>
    </row>
    <row r="592" customFormat="false" ht="15" hidden="false" customHeight="false" outlineLevel="0" collapsed="false">
      <c r="A592" s="1" t="s">
        <v>1736</v>
      </c>
      <c r="B592" s="1" t="s">
        <v>155</v>
      </c>
      <c r="C592" s="1" t="s">
        <v>1147</v>
      </c>
      <c r="D592" s="1" t="n">
        <v>63</v>
      </c>
      <c r="E592" s="48" t="str">
        <f aca="false">IF('RAW ASH'!B63="","",'RAW ASH'!B63)</f>
        <v>Mobile Screening Unit</v>
      </c>
      <c r="F592" s="48" t="str">
        <f aca="false">IF('RAW ASH'!C63="","",'RAW ASH'!C63)</f>
        <v>Clinical Svcs</v>
      </c>
      <c r="G592" s="49" t="str">
        <f aca="false">IF('RAW ASH'!A63="","",'RAW ASH'!A63)</f>
        <v>09/30/2025</v>
      </c>
      <c r="H592" s="48" t="str">
        <f aca="false">IF('RAW ASH'!D63="","",'RAW ASH'!D63)</f>
        <v>CHW II</v>
      </c>
      <c r="I592" s="48" t="n">
        <f aca="false">IF('RAW ASH'!E63="","",'RAW ASH'!E63)</f>
        <v>90.5</v>
      </c>
      <c r="J592" s="48" t="str">
        <f aca="false">IF('RAW ASH'!F63="","",'RAW ASH'!F63)</f>
        <v/>
      </c>
      <c r="K592" s="50" t="str">
        <f aca="false">IF('RAW ASH'!G63="","",'RAW ASH'!G63)</f>
        <v/>
      </c>
      <c r="L592" s="50" t="str">
        <f aca="false">IF('RAW ASH'!H63="","",'RAW ASH'!H63)</f>
        <v/>
      </c>
      <c r="M592" s="48" t="str">
        <f aca="false">IF('RAW ASH'!I63="","",'RAW ASH'!I63)</f>
        <v/>
      </c>
    </row>
    <row r="593" customFormat="false" ht="15" hidden="false" customHeight="false" outlineLevel="0" collapsed="false">
      <c r="A593" s="1" t="s">
        <v>1737</v>
      </c>
      <c r="B593" s="1" t="s">
        <v>155</v>
      </c>
      <c r="C593" s="1" t="s">
        <v>1147</v>
      </c>
      <c r="D593" s="1" t="n">
        <v>64</v>
      </c>
      <c r="E593" s="48" t="str">
        <f aca="false">IF('RAW ASH'!B64="","",'RAW ASH'!B64)</f>
        <v>Mobile Screening Unit</v>
      </c>
      <c r="F593" s="48" t="str">
        <f aca="false">IF('RAW ASH'!C64="","",'RAW ASH'!C64)</f>
        <v>Clinical Svcs</v>
      </c>
      <c r="G593" s="49" t="str">
        <f aca="false">IF('RAW ASH'!A64="","",'RAW ASH'!A64)</f>
        <v>09/30/2025</v>
      </c>
      <c r="H593" s="48" t="str">
        <f aca="false">IF('RAW ASH'!D64="","",'RAW ASH'!D64)</f>
        <v>CMA</v>
      </c>
      <c r="I593" s="48" t="n">
        <f aca="false">IF('RAW ASH'!E64="","",'RAW ASH'!E64)</f>
        <v>116.5</v>
      </c>
      <c r="J593" s="48" t="str">
        <f aca="false">IF('RAW ASH'!F64="","",'RAW ASH'!F64)</f>
        <v/>
      </c>
      <c r="K593" s="50" t="str">
        <f aca="false">IF('RAW ASH'!G64="","",'RAW ASH'!G64)</f>
        <v/>
      </c>
      <c r="L593" s="50" t="str">
        <f aca="false">IF('RAW ASH'!H64="","",'RAW ASH'!H64)</f>
        <v/>
      </c>
      <c r="M593" s="48" t="str">
        <f aca="false">IF('RAW ASH'!I64="","",'RAW ASH'!I64)</f>
        <v/>
      </c>
    </row>
    <row r="594" customFormat="false" ht="15" hidden="false" customHeight="false" outlineLevel="0" collapsed="false">
      <c r="A594" s="1" t="s">
        <v>1738</v>
      </c>
      <c r="B594" s="1" t="s">
        <v>155</v>
      </c>
      <c r="C594" s="1" t="s">
        <v>1147</v>
      </c>
      <c r="D594" s="1" t="n">
        <v>65</v>
      </c>
      <c r="E594" s="48" t="str">
        <f aca="false">IF('RAW ASH'!B65="","",'RAW ASH'!B65)</f>
        <v>Mobile Screening Unit</v>
      </c>
      <c r="F594" s="48" t="str">
        <f aca="false">IF('RAW ASH'!C65="","",'RAW ASH'!C65)</f>
        <v>Clinical Svcs</v>
      </c>
      <c r="G594" s="49" t="str">
        <f aca="false">IF('RAW ASH'!A65="","",'RAW ASH'!A65)</f>
        <v>09/30/2025</v>
      </c>
      <c r="H594" s="48" t="str">
        <f aca="false">IF('RAW ASH'!D65="","",'RAW ASH'!D65)</f>
        <v>R.N.</v>
      </c>
      <c r="I594" s="48" t="n">
        <f aca="false">IF('RAW ASH'!E65="","",'RAW ASH'!E65)</f>
        <v>100</v>
      </c>
      <c r="J594" s="48" t="n">
        <f aca="false">IF('RAW ASH'!F65="","",'RAW ASH'!F65)</f>
        <v>321</v>
      </c>
      <c r="K594" s="50" t="n">
        <f aca="false">IF('RAW ASH'!G65="","",'RAW ASH'!G65)</f>
        <v>10760</v>
      </c>
      <c r="L594" s="50" t="str">
        <f aca="false">IF('RAW ASH'!H65="","",'RAW ASH'!H65)</f>
        <v/>
      </c>
      <c r="M594" s="48" t="str">
        <f aca="false">IF('RAW ASH'!I65="","",'RAW ASH'!I65)</f>
        <v/>
      </c>
    </row>
    <row r="595" customFormat="false" ht="15" hidden="false" customHeight="false" outlineLevel="0" collapsed="false">
      <c r="A595" s="1" t="s">
        <v>1739</v>
      </c>
      <c r="B595" s="1" t="s">
        <v>155</v>
      </c>
      <c r="C595" s="1" t="s">
        <v>1147</v>
      </c>
      <c r="D595" s="1" t="n">
        <v>66</v>
      </c>
      <c r="E595" s="48" t="str">
        <f aca="false">IF('RAW ASH'!B66="","",'RAW ASH'!B66)</f>
        <v>CHW Outreach</v>
      </c>
      <c r="F595" s="48" t="str">
        <f aca="false">IF('RAW ASH'!C66="","",'RAW ASH'!C66)</f>
        <v>Support Svcs</v>
      </c>
      <c r="G595" s="49" t="str">
        <f aca="false">IF('RAW ASH'!A66="","",'RAW ASH'!A66)</f>
        <v>09/30/2025</v>
      </c>
      <c r="H595" s="48" t="str">
        <f aca="false">IF('RAW ASH'!D66="","",'RAW ASH'!D66)</f>
        <v>CHW II</v>
      </c>
      <c r="I595" s="48" t="n">
        <f aca="false">IF('RAW ASH'!E66="","",'RAW ASH'!E66)</f>
        <v>396.5</v>
      </c>
      <c r="J595" s="48" t="n">
        <f aca="false">IF('RAW ASH'!F66="","",'RAW ASH'!F66)</f>
        <v>358</v>
      </c>
      <c r="K595" s="50" t="n">
        <f aca="false">IF('RAW ASH'!G66="","",'RAW ASH'!G66)</f>
        <v>1925</v>
      </c>
      <c r="L595" s="50" t="n">
        <f aca="false">IF('RAW ASH'!H66="","",'RAW ASH'!H66)</f>
        <v>7500</v>
      </c>
      <c r="M595" s="48" t="str">
        <f aca="false">IF('RAW ASH'!I66="","",'RAW ASH'!I66)</f>
        <v/>
      </c>
    </row>
    <row r="596" customFormat="false" ht="15" hidden="false" customHeight="false" outlineLevel="0" collapsed="false">
      <c r="A596" s="1" t="s">
        <v>1740</v>
      </c>
      <c r="B596" s="1" t="s">
        <v>155</v>
      </c>
      <c r="C596" s="1" t="s">
        <v>1147</v>
      </c>
      <c r="D596" s="1" t="n">
        <v>67</v>
      </c>
      <c r="E596" s="48" t="str">
        <f aca="false">IF('RAW ASH'!B67="","",'RAW ASH'!B67)</f>
        <v>CHW Outreach</v>
      </c>
      <c r="F596" s="48" t="str">
        <f aca="false">IF('RAW ASH'!C67="","",'RAW ASH'!C67)</f>
        <v>Support Svcs</v>
      </c>
      <c r="G596" s="49" t="str">
        <f aca="false">IF('RAW ASH'!A67="","",'RAW ASH'!A67)</f>
        <v>09/30/2025</v>
      </c>
      <c r="H596" s="48" t="str">
        <f aca="false">IF('RAW ASH'!D67="","",'RAW ASH'!D67)</f>
        <v>CARE NAVIGATOR</v>
      </c>
      <c r="I596" s="48" t="n">
        <f aca="false">IF('RAW ASH'!E67="","",'RAW ASH'!E67)</f>
        <v>136</v>
      </c>
      <c r="J596" s="48" t="str">
        <f aca="false">IF('RAW ASH'!F67="","",'RAW ASH'!F67)</f>
        <v/>
      </c>
      <c r="K596" s="50" t="str">
        <f aca="false">IF('RAW ASH'!G67="","",'RAW ASH'!G67)</f>
        <v/>
      </c>
      <c r="L596" s="50" t="str">
        <f aca="false">IF('RAW ASH'!H67="","",'RAW ASH'!H67)</f>
        <v/>
      </c>
      <c r="M596" s="48" t="str">
        <f aca="false">IF('RAW ASH'!I67="","",'RAW ASH'!I67)</f>
        <v/>
      </c>
    </row>
    <row r="597" customFormat="false" ht="15" hidden="false" customHeight="false" outlineLevel="0" collapsed="false">
      <c r="A597" s="1" t="s">
        <v>1741</v>
      </c>
      <c r="B597" s="1" t="s">
        <v>155</v>
      </c>
      <c r="C597" s="1" t="s">
        <v>1147</v>
      </c>
      <c r="D597" s="1" t="n">
        <v>68</v>
      </c>
      <c r="E597" s="48" t="str">
        <f aca="false">IF('RAW ASH'!B68="","",'RAW ASH'!B68)</f>
        <v>Produce Rx</v>
      </c>
      <c r="F597" s="48" t="str">
        <f aca="false">IF('RAW ASH'!C68="","",'RAW ASH'!C68)</f>
        <v>Support Svcs</v>
      </c>
      <c r="G597" s="49" t="str">
        <f aca="false">IF('RAW ASH'!A68="","",'RAW ASH'!A68)</f>
        <v>09/30/2025</v>
      </c>
      <c r="H597" s="48" t="str">
        <f aca="false">IF('RAW ASH'!D68="","",'RAW ASH'!D68)</f>
        <v>Community Health Worker</v>
      </c>
      <c r="I597" s="48" t="n">
        <f aca="false">IF('RAW ASH'!E68="","",'RAW ASH'!E68)</f>
        <v>59.5</v>
      </c>
      <c r="J597" s="48" t="str">
        <f aca="false">IF('RAW ASH'!F68="","",'RAW ASH'!F68)</f>
        <v/>
      </c>
      <c r="K597" s="50" t="str">
        <f aca="false">IF('RAW ASH'!G68="","",'RAW ASH'!G68)</f>
        <v/>
      </c>
      <c r="L597" s="50" t="str">
        <f aca="false">IF('RAW ASH'!H68="","",'RAW ASH'!H68)</f>
        <v/>
      </c>
      <c r="M597" s="48" t="str">
        <f aca="false">IF('RAW ASH'!I68="","",'RAW ASH'!I68)</f>
        <v/>
      </c>
    </row>
    <row r="598" customFormat="false" ht="15" hidden="false" customHeight="false" outlineLevel="0" collapsed="false">
      <c r="A598" s="1" t="s">
        <v>1742</v>
      </c>
      <c r="B598" s="1" t="s">
        <v>155</v>
      </c>
      <c r="C598" s="1" t="s">
        <v>1147</v>
      </c>
      <c r="D598" s="1" t="n">
        <v>69</v>
      </c>
      <c r="E598" s="48" t="str">
        <f aca="false">IF('RAW ASH'!B69="","",'RAW ASH'!B69)</f>
        <v>Produce Rx</v>
      </c>
      <c r="F598" s="48" t="str">
        <f aca="false">IF('RAW ASH'!C69="","",'RAW ASH'!C69)</f>
        <v>Support Svcs</v>
      </c>
      <c r="G598" s="49" t="str">
        <f aca="false">IF('RAW ASH'!A69="","",'RAW ASH'!A69)</f>
        <v>09/30/2025</v>
      </c>
      <c r="H598" s="48" t="str">
        <f aca="false">IF('RAW ASH'!D69="","",'RAW ASH'!D69)</f>
        <v>Nutritionist</v>
      </c>
      <c r="I598" s="48" t="n">
        <f aca="false">IF('RAW ASH'!E69="","",'RAW ASH'!E69)</f>
        <v>26.75</v>
      </c>
      <c r="J598" s="48" t="n">
        <f aca="false">IF('RAW ASH'!F69="","",'RAW ASH'!F69)</f>
        <v>136</v>
      </c>
      <c r="K598" s="50" t="n">
        <f aca="false">IF('RAW ASH'!G69="","",'RAW ASH'!G69)</f>
        <v>12215</v>
      </c>
      <c r="L598" s="50" t="n">
        <f aca="false">IF('RAW ASH'!H69="","",'RAW ASH'!H69)</f>
        <v>3410</v>
      </c>
      <c r="M598" s="48" t="str">
        <f aca="false">IF('RAW ASH'!I69="","",'RAW ASH'!I69)</f>
        <v/>
      </c>
    </row>
    <row r="599" customFormat="false" ht="15" hidden="false" customHeight="false" outlineLevel="0" collapsed="false">
      <c r="A599" s="1" t="s">
        <v>1743</v>
      </c>
      <c r="B599" s="1" t="s">
        <v>155</v>
      </c>
      <c r="C599" s="1" t="s">
        <v>1147</v>
      </c>
      <c r="D599" s="1" t="n">
        <v>70</v>
      </c>
      <c r="E599" s="48" t="str">
        <f aca="false">IF('RAW ASH'!B70="","",'RAW ASH'!B70)</f>
        <v>CB Program Admin</v>
      </c>
      <c r="F599" s="48" t="str">
        <f aca="false">IF('RAW ASH'!C70="","",'RAW ASH'!C70)</f>
        <v>CB Admin</v>
      </c>
      <c r="G599" s="49" t="str">
        <f aca="false">IF('RAW ASH'!A70="","",'RAW ASH'!A70)</f>
        <v>09/30/2025</v>
      </c>
      <c r="H599" s="48" t="str">
        <f aca="false">IF('RAW ASH'!D70="","",'RAW ASH'!D70)</f>
        <v>Administrative Assistant</v>
      </c>
      <c r="I599" s="48" t="n">
        <f aca="false">IF('RAW ASH'!E70="","",'RAW ASH'!E70)</f>
        <v>44</v>
      </c>
      <c r="J599" s="48" t="str">
        <f aca="false">IF('RAW ASH'!F70="","",'RAW ASH'!F70)</f>
        <v/>
      </c>
      <c r="K599" s="50" t="str">
        <f aca="false">IF('RAW ASH'!G70="","",'RAW ASH'!G70)</f>
        <v/>
      </c>
      <c r="L599" s="50" t="str">
        <f aca="false">IF('RAW ASH'!H70="","",'RAW ASH'!H70)</f>
        <v/>
      </c>
      <c r="M599" s="48" t="str">
        <f aca="false">IF('RAW ASH'!I70="","",'RAW ASH'!I70)</f>
        <v/>
      </c>
    </row>
    <row r="600" customFormat="false" ht="15" hidden="false" customHeight="false" outlineLevel="0" collapsed="false">
      <c r="A600" s="1" t="s">
        <v>1744</v>
      </c>
      <c r="B600" s="1" t="s">
        <v>155</v>
      </c>
      <c r="C600" s="1" t="s">
        <v>1147</v>
      </c>
      <c r="D600" s="1" t="n">
        <v>71</v>
      </c>
      <c r="E600" s="48" t="str">
        <f aca="false">IF('RAW ASH'!B71="","",'RAW ASH'!B71)</f>
        <v>CB Program Admin</v>
      </c>
      <c r="F600" s="48" t="str">
        <f aca="false">IF('RAW ASH'!C71="","",'RAW ASH'!C71)</f>
        <v>CB Admin</v>
      </c>
      <c r="G600" s="49" t="str">
        <f aca="false">IF('RAW ASH'!A71="","",'RAW ASH'!A71)</f>
        <v>09/30/2025</v>
      </c>
      <c r="H600" s="48" t="str">
        <f aca="false">IF('RAW ASH'!D71="","",'RAW ASH'!D71)</f>
        <v>CB Manager</v>
      </c>
      <c r="I600" s="48" t="n">
        <f aca="false">IF('RAW ASH'!E71="","",'RAW ASH'!E71)</f>
        <v>68</v>
      </c>
      <c r="J600" s="48" t="str">
        <f aca="false">IF('RAW ASH'!F71="","",'RAW ASH'!F71)</f>
        <v/>
      </c>
      <c r="K600" s="50" t="n">
        <f aca="false">IF('RAW ASH'!G71="","",'RAW ASH'!G71)</f>
        <v>690</v>
      </c>
      <c r="L600" s="50" t="str">
        <f aca="false">IF('RAW ASH'!H71="","",'RAW ASH'!H71)</f>
        <v/>
      </c>
      <c r="M600" s="48" t="str">
        <f aca="false">IF('RAW ASH'!I71="","",'RAW ASH'!I71)</f>
        <v/>
      </c>
    </row>
    <row r="601" customFormat="false" ht="15" hidden="false" customHeight="false" outlineLevel="0" collapsed="false">
      <c r="A601" s="1" t="s">
        <v>1745</v>
      </c>
      <c r="B601" s="1" t="s">
        <v>155</v>
      </c>
      <c r="C601" s="1" t="s">
        <v>1147</v>
      </c>
      <c r="D601" s="1" t="n">
        <v>72</v>
      </c>
      <c r="E601" s="48" t="str">
        <f aca="false">IF('RAW ASH'!B72="","",'RAW ASH'!B72)</f>
        <v>Nursing Clinicals</v>
      </c>
      <c r="F601" s="48" t="str">
        <f aca="false">IF('RAW ASH'!C72="","",'RAW ASH'!C72)</f>
        <v>HPE</v>
      </c>
      <c r="G601" s="49" t="str">
        <f aca="false">IF('RAW ASH'!A72="","",'RAW ASH'!A72)</f>
        <v>09/30/2025</v>
      </c>
      <c r="H601" s="48" t="str">
        <f aca="false">IF('RAW ASH'!D72="","",'RAW ASH'!D72)</f>
        <v>Nurse Educator</v>
      </c>
      <c r="I601" s="48" t="n">
        <f aca="false">IF('RAW ASH'!E72="","",'RAW ASH'!E72)</f>
        <v>120</v>
      </c>
      <c r="J601" s="48" t="n">
        <f aca="false">IF('RAW ASH'!F72="","",'RAW ASH'!F72)</f>
        <v>30</v>
      </c>
      <c r="K601" s="50" t="n">
        <f aca="false">IF('RAW ASH'!G72="","",'RAW ASH'!G72)</f>
        <v>400</v>
      </c>
      <c r="L601" s="50" t="str">
        <f aca="false">IF('RAW ASH'!H72="","",'RAW ASH'!H72)</f>
        <v/>
      </c>
      <c r="M601" s="48" t="str">
        <f aca="false">IF('RAW ASH'!I72="","",'RAW ASH'!I72)</f>
        <v/>
      </c>
    </row>
    <row r="602" customFormat="false" ht="15" hidden="false" customHeight="false" outlineLevel="0" collapsed="false">
      <c r="A602" s="1" t="s">
        <v>1746</v>
      </c>
      <c r="B602" s="1" t="s">
        <v>155</v>
      </c>
      <c r="C602" s="1" t="s">
        <v>1147</v>
      </c>
      <c r="D602" s="1" t="n">
        <v>73</v>
      </c>
      <c r="E602" s="48" t="str">
        <f aca="false">IF('RAW ASH'!B73="","",'RAW ASH'!B73)</f>
        <v>Nursing Clinicals</v>
      </c>
      <c r="F602" s="48" t="str">
        <f aca="false">IF('RAW ASH'!C73="","",'RAW ASH'!C73)</f>
        <v>HPE</v>
      </c>
      <c r="G602" s="49" t="str">
        <f aca="false">IF('RAW ASH'!A73="","",'RAW ASH'!A73)</f>
        <v>09/30/2025</v>
      </c>
      <c r="H602" s="48" t="str">
        <f aca="false">IF('RAW ASH'!D73="","",'RAW ASH'!D73)</f>
        <v>R.N.</v>
      </c>
      <c r="I602" s="48" t="n">
        <f aca="false">IF('RAW ASH'!E73="","",'RAW ASH'!E73)</f>
        <v>245.5</v>
      </c>
      <c r="J602" s="48" t="str">
        <f aca="false">IF('RAW ASH'!F73="","",'RAW ASH'!F73)</f>
        <v/>
      </c>
      <c r="K602" s="50" t="str">
        <f aca="false">IF('RAW ASH'!G73="","",'RAW ASH'!G73)</f>
        <v/>
      </c>
      <c r="L602" s="50" t="str">
        <f aca="false">IF('RAW ASH'!H73="","",'RAW ASH'!H73)</f>
        <v/>
      </c>
      <c r="M602" s="48" t="str">
        <f aca="false">IF('RAW ASH'!I73="","",'RAW ASH'!I73)</f>
        <v/>
      </c>
    </row>
    <row r="603" customFormat="false" ht="15" hidden="false" customHeight="false" outlineLevel="0" collapsed="false">
      <c r="A603" s="1" t="s">
        <v>1747</v>
      </c>
      <c r="B603" s="1" t="s">
        <v>155</v>
      </c>
      <c r="C603" s="1" t="s">
        <v>1147</v>
      </c>
      <c r="D603" s="1" t="n">
        <v>74</v>
      </c>
      <c r="E603" s="48" t="str">
        <f aca="false">IF('RAW ASH'!B74="","",'RAW ASH'!B74)</f>
        <v>Paramedic Students</v>
      </c>
      <c r="F603" s="48" t="str">
        <f aca="false">IF('RAW ASH'!C74="","",'RAW ASH'!C74)</f>
        <v>HPE</v>
      </c>
      <c r="G603" s="49" t="str">
        <f aca="false">IF('RAW ASH'!A74="","",'RAW ASH'!A74)</f>
        <v>09/30/2025</v>
      </c>
      <c r="H603" s="48" t="str">
        <f aca="false">IF('RAW ASH'!D74="","",'RAW ASH'!D74)</f>
        <v>EMT-P</v>
      </c>
      <c r="I603" s="48" t="n">
        <f aca="false">IF('RAW ASH'!E74="","",'RAW ASH'!E74)</f>
        <v>64</v>
      </c>
      <c r="J603" s="48" t="n">
        <f aca="false">IF('RAW ASH'!F74="","",'RAW ASH'!F74)</f>
        <v>6</v>
      </c>
      <c r="K603" s="50" t="n">
        <f aca="false">IF('RAW ASH'!G74="","",'RAW ASH'!G74)</f>
        <v>45</v>
      </c>
      <c r="L603" s="50" t="str">
        <f aca="false">IF('RAW ASH'!H74="","",'RAW ASH'!H74)</f>
        <v/>
      </c>
      <c r="M603" s="48" t="str">
        <f aca="false">IF('RAW ASH'!I74="","",'RAW ASH'!I74)</f>
        <v/>
      </c>
    </row>
    <row r="604" customFormat="false" ht="15" hidden="false" customHeight="false" outlineLevel="0" collapsed="false">
      <c r="A604" s="1" t="s">
        <v>1748</v>
      </c>
      <c r="B604" s="1" t="s">
        <v>155</v>
      </c>
      <c r="C604" s="1" t="s">
        <v>1147</v>
      </c>
      <c r="D604" s="1" t="n">
        <v>75</v>
      </c>
      <c r="E604" s="48" t="str">
        <f aca="false">IF('RAW ASH'!B75="","",'RAW ASH'!B75)</f>
        <v>BP Checks</v>
      </c>
      <c r="F604" s="48" t="str">
        <f aca="false">IF('RAW ASH'!C75="","",'RAW ASH'!C75)</f>
        <v>Clinical Svcs</v>
      </c>
      <c r="G604" s="49" t="str">
        <f aca="false">IF('RAW ASH'!A75="","",'RAW ASH'!A75)</f>
        <v>10/08/2025</v>
      </c>
      <c r="H604" s="48" t="str">
        <f aca="false">IF('RAW ASH'!D75="","",'RAW ASH'!D75)</f>
        <v>R.N.</v>
      </c>
      <c r="I604" s="48" t="n">
        <f aca="false">IF('RAW ASH'!E75="","",'RAW ASH'!E75)</f>
        <v>4.25</v>
      </c>
      <c r="J604" s="48" t="n">
        <f aca="false">IF('RAW ASH'!F75="","",'RAW ASH'!F75)</f>
        <v>29</v>
      </c>
      <c r="K604" s="50" t="n">
        <f aca="false">IF('RAW ASH'!G75="","",'RAW ASH'!G75)</f>
        <v>70</v>
      </c>
      <c r="L604" s="50" t="str">
        <f aca="false">IF('RAW ASH'!H75="","",'RAW ASH'!H75)</f>
        <v/>
      </c>
      <c r="M604" s="48" t="str">
        <f aca="false">IF('RAW ASH'!I75="","",'RAW ASH'!I75)</f>
        <v/>
      </c>
    </row>
    <row r="605" customFormat="false" ht="15" hidden="false" customHeight="false" outlineLevel="0" collapsed="false">
      <c r="A605" s="1" t="s">
        <v>1749</v>
      </c>
      <c r="B605" s="1" t="s">
        <v>155</v>
      </c>
      <c r="C605" s="1" t="s">
        <v>1147</v>
      </c>
      <c r="D605" s="1" t="n">
        <v>76</v>
      </c>
      <c r="E605" s="48" t="str">
        <f aca="false">IF('RAW ASH'!B76="","",'RAW ASH'!B76)</f>
        <v>MH First Aid</v>
      </c>
      <c r="F605" s="48" t="str">
        <f aca="false">IF('RAW ASH'!C76="","",'RAW ASH'!C76)</f>
        <v>Comm Hlth Ed</v>
      </c>
      <c r="G605" s="49" t="str">
        <f aca="false">IF('RAW ASH'!A76="","",'RAW ASH'!A76)</f>
        <v>10/10/2025</v>
      </c>
      <c r="H605" s="48" t="str">
        <f aca="false">IF('RAW ASH'!D76="","",'RAW ASH'!D76)</f>
        <v>Health Education Specialist</v>
      </c>
      <c r="I605" s="48" t="n">
        <f aca="false">IF('RAW ASH'!E76="","",'RAW ASH'!E76)</f>
        <v>8</v>
      </c>
      <c r="J605" s="48" t="str">
        <f aca="false">IF('RAW ASH'!F76="","",'RAW ASH'!F76)</f>
        <v/>
      </c>
      <c r="K605" s="50" t="str">
        <f aca="false">IF('RAW ASH'!G76="","",'RAW ASH'!G76)</f>
        <v/>
      </c>
      <c r="L605" s="50" t="str">
        <f aca="false">IF('RAW ASH'!H76="","",'RAW ASH'!H76)</f>
        <v/>
      </c>
      <c r="M605" s="48" t="str">
        <f aca="false">IF('RAW ASH'!I76="","",'RAW ASH'!I76)</f>
        <v/>
      </c>
    </row>
    <row r="606" customFormat="false" ht="15" hidden="false" customHeight="false" outlineLevel="0" collapsed="false">
      <c r="A606" s="1" t="s">
        <v>1750</v>
      </c>
      <c r="B606" s="1" t="s">
        <v>155</v>
      </c>
      <c r="C606" s="1" t="s">
        <v>1147</v>
      </c>
      <c r="D606" s="1" t="n">
        <v>77</v>
      </c>
      <c r="E606" s="48" t="str">
        <f aca="false">IF('RAW ASH'!B77="","",'RAW ASH'!B77)</f>
        <v>MH First Aid</v>
      </c>
      <c r="F606" s="48" t="str">
        <f aca="false">IF('RAW ASH'!C77="","",'RAW ASH'!C77)</f>
        <v>Comm Hlth Ed</v>
      </c>
      <c r="G606" s="49" t="str">
        <f aca="false">IF('RAW ASH'!A77="","",'RAW ASH'!A77)</f>
        <v>10/10/2025</v>
      </c>
      <c r="H606" s="48" t="str">
        <f aca="false">IF('RAW ASH'!D77="","",'RAW ASH'!D77)</f>
        <v>Social Worker</v>
      </c>
      <c r="I606" s="48" t="n">
        <f aca="false">IF('RAW ASH'!E77="","",'RAW ASH'!E77)</f>
        <v>8</v>
      </c>
      <c r="J606" s="48" t="n">
        <f aca="false">IF('RAW ASH'!F77="","",'RAW ASH'!F77)</f>
        <v>21</v>
      </c>
      <c r="K606" s="50" t="n">
        <f aca="false">IF('RAW ASH'!G77="","",'RAW ASH'!G77)</f>
        <v>340</v>
      </c>
      <c r="L606" s="50" t="str">
        <f aca="false">IF('RAW ASH'!H77="","",'RAW ASH'!H77)</f>
        <v/>
      </c>
      <c r="M606" s="48" t="str">
        <f aca="false">IF('RAW ASH'!I77="","",'RAW ASH'!I77)</f>
        <v/>
      </c>
    </row>
    <row r="607" customFormat="false" ht="15" hidden="false" customHeight="false" outlineLevel="0" collapsed="false">
      <c r="A607" s="1" t="s">
        <v>1751</v>
      </c>
      <c r="B607" s="1" t="s">
        <v>155</v>
      </c>
      <c r="C607" s="1" t="s">
        <v>1147</v>
      </c>
      <c r="D607" s="1" t="n">
        <v>78</v>
      </c>
      <c r="E607" s="48" t="str">
        <f aca="false">IF('RAW ASH'!B78="","",'RAW ASH'!B78)</f>
        <v>Fall Prevention</v>
      </c>
      <c r="F607" s="48" t="str">
        <f aca="false">IF('RAW ASH'!C78="","",'RAW ASH'!C78)</f>
        <v>Comm Hlth Ed</v>
      </c>
      <c r="G607" s="49" t="str">
        <f aca="false">IF('RAW ASH'!A78="","",'RAW ASH'!A78)</f>
        <v>10/13/2025</v>
      </c>
      <c r="H607" s="48" t="str">
        <f aca="false">IF('RAW ASH'!D78="","",'RAW ASH'!D78)</f>
        <v>RRT</v>
      </c>
      <c r="I607" s="48" t="n">
        <f aca="false">IF('RAW ASH'!E78="","",'RAW ASH'!E78)</f>
        <v>2</v>
      </c>
      <c r="J607" s="48" t="n">
        <f aca="false">IF('RAW ASH'!F78="","",'RAW ASH'!F78)</f>
        <v>15</v>
      </c>
      <c r="K607" s="50" t="n">
        <f aca="false">IF('RAW ASH'!G78="","",'RAW ASH'!G78)</f>
        <v>45</v>
      </c>
      <c r="L607" s="50" t="str">
        <f aca="false">IF('RAW ASH'!H78="","",'RAW ASH'!H78)</f>
        <v/>
      </c>
      <c r="M607" s="48" t="str">
        <f aca="false">IF('RAW ASH'!I78="","",'RAW ASH'!I78)</f>
        <v/>
      </c>
    </row>
    <row r="608" customFormat="false" ht="15" hidden="false" customHeight="false" outlineLevel="0" collapsed="false">
      <c r="A608" s="1" t="s">
        <v>1752</v>
      </c>
      <c r="B608" s="1" t="s">
        <v>155</v>
      </c>
      <c r="C608" s="1" t="s">
        <v>1147</v>
      </c>
      <c r="D608" s="1" t="n">
        <v>79</v>
      </c>
      <c r="E608" s="48" t="str">
        <f aca="false">IF('RAW ASH'!B79="","",'RAW ASH'!B79)</f>
        <v>Leadership Academy</v>
      </c>
      <c r="F608" s="48" t="str">
        <f aca="false">IF('RAW ASH'!C79="","",'RAW ASH'!C79)</f>
        <v>CB-Leadership Dev</v>
      </c>
      <c r="G608" s="49" t="str">
        <f aca="false">IF('RAW ASH'!A79="","",'RAW ASH'!A79)</f>
        <v>10/20/2025</v>
      </c>
      <c r="H608" s="48" t="str">
        <f aca="false">IF('RAW ASH'!D79="","",'RAW ASH'!D79)</f>
        <v>Health Education Specialist</v>
      </c>
      <c r="I608" s="48" t="n">
        <f aca="false">IF('RAW ASH'!E79="","",'RAW ASH'!E79)</f>
        <v>3.75</v>
      </c>
      <c r="J608" s="48" t="str">
        <f aca="false">IF('RAW ASH'!F79="","",'RAW ASH'!F79)</f>
        <v/>
      </c>
      <c r="K608" s="50" t="str">
        <f aca="false">IF('RAW ASH'!G79="","",'RAW ASH'!G79)</f>
        <v/>
      </c>
      <c r="L608" s="50" t="str">
        <f aca="false">IF('RAW ASH'!H79="","",'RAW ASH'!H79)</f>
        <v/>
      </c>
      <c r="M608" s="48" t="str">
        <f aca="false">IF('RAW ASH'!I79="","",'RAW ASH'!I79)</f>
        <v/>
      </c>
    </row>
    <row r="609" customFormat="false" ht="15" hidden="false" customHeight="false" outlineLevel="0" collapsed="false">
      <c r="A609" s="1" t="s">
        <v>1753</v>
      </c>
      <c r="B609" s="1" t="s">
        <v>155</v>
      </c>
      <c r="C609" s="1" t="s">
        <v>1147</v>
      </c>
      <c r="D609" s="1" t="n">
        <v>80</v>
      </c>
      <c r="E609" s="48" t="str">
        <f aca="false">IF('RAW ASH'!B80="","",'RAW ASH'!B80)</f>
        <v>Leadership Academy</v>
      </c>
      <c r="F609" s="48" t="str">
        <f aca="false">IF('RAW ASH'!C80="","",'RAW ASH'!C80)</f>
        <v>CB-Leadership Dev</v>
      </c>
      <c r="G609" s="49" t="str">
        <f aca="false">IF('RAW ASH'!A80="","",'RAW ASH'!A80)</f>
        <v>10/20/2025</v>
      </c>
      <c r="H609" s="48" t="str">
        <f aca="false">IF('RAW ASH'!D80="","",'RAW ASH'!D80)</f>
        <v>Program Coordinator</v>
      </c>
      <c r="I609" s="48" t="n">
        <f aca="false">IF('RAW ASH'!E80="","",'RAW ASH'!E80)</f>
        <v>5</v>
      </c>
      <c r="J609" s="48" t="n">
        <f aca="false">IF('RAW ASH'!F80="","",'RAW ASH'!F80)</f>
        <v>19</v>
      </c>
      <c r="K609" s="50" t="n">
        <f aca="false">IF('RAW ASH'!G80="","",'RAW ASH'!G80)</f>
        <v>705</v>
      </c>
      <c r="L609" s="50" t="str">
        <f aca="false">IF('RAW ASH'!H80="","",'RAW ASH'!H80)</f>
        <v/>
      </c>
      <c r="M609" s="48" t="str">
        <f aca="false">IF('RAW ASH'!I80="","",'RAW ASH'!I80)</f>
        <v/>
      </c>
    </row>
    <row r="610" customFormat="false" ht="15" hidden="false" customHeight="false" outlineLevel="0" collapsed="false">
      <c r="A610" s="1" t="s">
        <v>1754</v>
      </c>
      <c r="B610" s="1" t="s">
        <v>155</v>
      </c>
      <c r="C610" s="1" t="s">
        <v>1147</v>
      </c>
      <c r="D610" s="1" t="n">
        <v>81</v>
      </c>
      <c r="E610" s="48" t="str">
        <f aca="false">IF('RAW ASH'!B81="","",'RAW ASH'!B81)</f>
        <v>Grief Support</v>
      </c>
      <c r="F610" s="48" t="str">
        <f aca="false">IF('RAW ASH'!C81="","",'RAW ASH'!C81)</f>
        <v>Support Svcs</v>
      </c>
      <c r="G610" s="49" t="str">
        <f aca="false">IF('RAW ASH'!A81="","",'RAW ASH'!A81)</f>
        <v>10/27/2025</v>
      </c>
      <c r="H610" s="48" t="str">
        <f aca="false">IF('RAW ASH'!D81="","",'RAW ASH'!D81)</f>
        <v>Pastoral Care</v>
      </c>
      <c r="I610" s="48" t="n">
        <f aca="false">IF('RAW ASH'!E81="","",'RAW ASH'!E81)</f>
        <v>2.5</v>
      </c>
      <c r="J610" s="48" t="n">
        <f aca="false">IF('RAW ASH'!F81="","",'RAW ASH'!F81)</f>
        <v>8</v>
      </c>
      <c r="K610" s="50" t="n">
        <f aca="false">IF('RAW ASH'!G81="","",'RAW ASH'!G81)</f>
        <v>25</v>
      </c>
      <c r="L610" s="50" t="str">
        <f aca="false">IF('RAW ASH'!H81="","",'RAW ASH'!H81)</f>
        <v/>
      </c>
      <c r="M610" s="48" t="str">
        <f aca="false">IF('RAW ASH'!I81="","",'RAW ASH'!I81)</f>
        <v/>
      </c>
    </row>
    <row r="611" customFormat="false" ht="15" hidden="false" customHeight="false" outlineLevel="0" collapsed="false">
      <c r="A611" s="1" t="s">
        <v>1755</v>
      </c>
      <c r="B611" s="1" t="s">
        <v>155</v>
      </c>
      <c r="C611" s="1" t="s">
        <v>1147</v>
      </c>
      <c r="D611" s="1" t="n">
        <v>82</v>
      </c>
      <c r="E611" s="48" t="str">
        <f aca="false">IF('RAW ASH'!B82="","",'RAW ASH'!B82)</f>
        <v>Grief Support</v>
      </c>
      <c r="F611" s="48" t="str">
        <f aca="false">IF('RAW ASH'!C82="","",'RAW ASH'!C82)</f>
        <v>Support Svcs</v>
      </c>
      <c r="G611" s="49" t="str">
        <f aca="false">IF('RAW ASH'!A82="","",'RAW ASH'!A82)</f>
        <v>10/27/2025</v>
      </c>
      <c r="H611" s="48" t="str">
        <f aca="false">IF('RAW ASH'!D82="","",'RAW ASH'!D82)</f>
        <v>LCSW</v>
      </c>
      <c r="I611" s="48" t="n">
        <f aca="false">IF('RAW ASH'!E82="","",'RAW ASH'!E82)</f>
        <v>1.5</v>
      </c>
      <c r="J611" s="48" t="str">
        <f aca="false">IF('RAW ASH'!F82="","",'RAW ASH'!F82)</f>
        <v/>
      </c>
      <c r="K611" s="50" t="str">
        <f aca="false">IF('RAW ASH'!G82="","",'RAW ASH'!G82)</f>
        <v/>
      </c>
      <c r="L611" s="50" t="str">
        <f aca="false">IF('RAW ASH'!H82="","",'RAW ASH'!H82)</f>
        <v/>
      </c>
      <c r="M611" s="48" t="str">
        <f aca="false">IF('RAW ASH'!I82="","",'RAW ASH'!I82)</f>
        <v/>
      </c>
    </row>
    <row r="612" customFormat="false" ht="15" hidden="false" customHeight="false" outlineLevel="0" collapsed="false">
      <c r="A612" s="1" t="s">
        <v>1756</v>
      </c>
      <c r="B612" s="1" t="s">
        <v>155</v>
      </c>
      <c r="C612" s="1" t="s">
        <v>1147</v>
      </c>
      <c r="D612" s="1" t="n">
        <v>83</v>
      </c>
      <c r="E612" s="48" t="str">
        <f aca="false">IF('RAW ASH'!B83="","",'RAW ASH'!B83)</f>
        <v>Mobile Screening Unit</v>
      </c>
      <c r="F612" s="48" t="str">
        <f aca="false">IF('RAW ASH'!C83="","",'RAW ASH'!C83)</f>
        <v>Clinical Svcs</v>
      </c>
      <c r="G612" s="49" t="str">
        <f aca="false">IF('RAW ASH'!A83="","",'RAW ASH'!A83)</f>
        <v>10/31/2025</v>
      </c>
      <c r="H612" s="48" t="str">
        <f aca="false">IF('RAW ASH'!D83="","",'RAW ASH'!D83)</f>
        <v>CHW II</v>
      </c>
      <c r="I612" s="48" t="n">
        <f aca="false">IF('RAW ASH'!E83="","",'RAW ASH'!E83)</f>
        <v>60.25</v>
      </c>
      <c r="J612" s="48" t="str">
        <f aca="false">IF('RAW ASH'!F83="","",'RAW ASH'!F83)</f>
        <v/>
      </c>
      <c r="K612" s="50" t="str">
        <f aca="false">IF('RAW ASH'!G83="","",'RAW ASH'!G83)</f>
        <v/>
      </c>
      <c r="L612" s="50" t="str">
        <f aca="false">IF('RAW ASH'!H83="","",'RAW ASH'!H83)</f>
        <v/>
      </c>
      <c r="M612" s="48" t="str">
        <f aca="false">IF('RAW ASH'!I83="","",'RAW ASH'!I83)</f>
        <v/>
      </c>
    </row>
    <row r="613" customFormat="false" ht="15" hidden="false" customHeight="false" outlineLevel="0" collapsed="false">
      <c r="A613" s="1" t="s">
        <v>1757</v>
      </c>
      <c r="B613" s="1" t="s">
        <v>155</v>
      </c>
      <c r="C613" s="1" t="s">
        <v>1147</v>
      </c>
      <c r="D613" s="1" t="n">
        <v>84</v>
      </c>
      <c r="E613" s="48" t="str">
        <f aca="false">IF('RAW ASH'!B84="","",'RAW ASH'!B84)</f>
        <v>Mobile Screening Unit</v>
      </c>
      <c r="F613" s="48" t="str">
        <f aca="false">IF('RAW ASH'!C84="","",'RAW ASH'!C84)</f>
        <v>Clinical Svcs</v>
      </c>
      <c r="G613" s="49" t="str">
        <f aca="false">IF('RAW ASH'!A84="","",'RAW ASH'!A84)</f>
        <v>10/31/2025</v>
      </c>
      <c r="H613" s="48" t="str">
        <f aca="false">IF('RAW ASH'!D84="","",'RAW ASH'!D84)</f>
        <v>MA</v>
      </c>
      <c r="I613" s="48" t="n">
        <f aca="false">IF('RAW ASH'!E84="","",'RAW ASH'!E84)</f>
        <v>106</v>
      </c>
      <c r="J613" s="48" t="str">
        <f aca="false">IF('RAW ASH'!F84="","",'RAW ASH'!F84)</f>
        <v/>
      </c>
      <c r="K613" s="50" t="str">
        <f aca="false">IF('RAW ASH'!G84="","",'RAW ASH'!G84)</f>
        <v/>
      </c>
      <c r="L613" s="50" t="str">
        <f aca="false">IF('RAW ASH'!H84="","",'RAW ASH'!H84)</f>
        <v/>
      </c>
      <c r="M613" s="48" t="str">
        <f aca="false">IF('RAW ASH'!I84="","",'RAW ASH'!I84)</f>
        <v/>
      </c>
    </row>
    <row r="614" customFormat="false" ht="15" hidden="false" customHeight="false" outlineLevel="0" collapsed="false">
      <c r="A614" s="1" t="s">
        <v>1758</v>
      </c>
      <c r="B614" s="1" t="s">
        <v>155</v>
      </c>
      <c r="C614" s="1" t="s">
        <v>1147</v>
      </c>
      <c r="D614" s="1" t="n">
        <v>85</v>
      </c>
      <c r="E614" s="48" t="str">
        <f aca="false">IF('RAW ASH'!B85="","",'RAW ASH'!B85)</f>
        <v>Mobile Screening Unit</v>
      </c>
      <c r="F614" s="48" t="str">
        <f aca="false">IF('RAW ASH'!C85="","",'RAW ASH'!C85)</f>
        <v>Clinical Svcs</v>
      </c>
      <c r="G614" s="49" t="str">
        <f aca="false">IF('RAW ASH'!A85="","",'RAW ASH'!A85)</f>
        <v>10/31/2025</v>
      </c>
      <c r="H614" s="48" t="str">
        <f aca="false">IF('RAW ASH'!D85="","",'RAW ASH'!D85)</f>
        <v>Staff RN</v>
      </c>
      <c r="I614" s="48" t="n">
        <f aca="false">IF('RAW ASH'!E85="","",'RAW ASH'!E85)</f>
        <v>83</v>
      </c>
      <c r="J614" s="48" t="n">
        <f aca="false">IF('RAW ASH'!F85="","",'RAW ASH'!F85)</f>
        <v>292</v>
      </c>
      <c r="K614" s="50" t="n">
        <f aca="false">IF('RAW ASH'!G85="","",'RAW ASH'!G85)</f>
        <v>9745</v>
      </c>
      <c r="L614" s="50" t="str">
        <f aca="false">IF('RAW ASH'!H85="","",'RAW ASH'!H85)</f>
        <v/>
      </c>
      <c r="M614" s="48" t="str">
        <f aca="false">IF('RAW ASH'!I85="","",'RAW ASH'!I85)</f>
        <v/>
      </c>
    </row>
    <row r="615" customFormat="false" ht="15" hidden="false" customHeight="false" outlineLevel="0" collapsed="false">
      <c r="A615" s="1" t="s">
        <v>1759</v>
      </c>
      <c r="B615" s="1" t="s">
        <v>155</v>
      </c>
      <c r="C615" s="1" t="s">
        <v>1147</v>
      </c>
      <c r="D615" s="1" t="n">
        <v>86</v>
      </c>
      <c r="E615" s="48" t="str">
        <f aca="false">IF('RAW ASH'!B86="","",'RAW ASH'!B86)</f>
        <v>CHW Outreach</v>
      </c>
      <c r="F615" s="48" t="str">
        <f aca="false">IF('RAW ASH'!C86="","",'RAW ASH'!C86)</f>
        <v>Support Svcs</v>
      </c>
      <c r="G615" s="49" t="str">
        <f aca="false">IF('RAW ASH'!A86="","",'RAW ASH'!A86)</f>
        <v>10/31/2025</v>
      </c>
      <c r="H615" s="48" t="str">
        <f aca="false">IF('RAW ASH'!D86="","",'RAW ASH'!D86)</f>
        <v>CHW</v>
      </c>
      <c r="I615" s="48" t="n">
        <f aca="false">IF('RAW ASH'!E86="","",'RAW ASH'!E86)</f>
        <v>339.75</v>
      </c>
      <c r="J615" s="48" t="n">
        <f aca="false">IF('RAW ASH'!F86="","",'RAW ASH'!F86)</f>
        <v>365</v>
      </c>
      <c r="K615" s="50" t="n">
        <f aca="false">IF('RAW ASH'!G86="","",'RAW ASH'!G86)</f>
        <v>1490</v>
      </c>
      <c r="L615" s="50" t="str">
        <f aca="false">IF('RAW ASH'!H86="","",'RAW ASH'!H86)</f>
        <v/>
      </c>
      <c r="M615" s="48" t="str">
        <f aca="false">IF('RAW ASH'!I86="","",'RAW ASH'!I86)</f>
        <v/>
      </c>
    </row>
    <row r="616" customFormat="false" ht="15" hidden="false" customHeight="false" outlineLevel="0" collapsed="false">
      <c r="A616" s="1" t="s">
        <v>1760</v>
      </c>
      <c r="B616" s="1" t="s">
        <v>155</v>
      </c>
      <c r="C616" s="1" t="s">
        <v>1147</v>
      </c>
      <c r="D616" s="1" t="n">
        <v>87</v>
      </c>
      <c r="E616" s="48" t="str">
        <f aca="false">IF('RAW ASH'!B87="","",'RAW ASH'!B87)</f>
        <v>CHW Outreach</v>
      </c>
      <c r="F616" s="48" t="str">
        <f aca="false">IF('RAW ASH'!C87="","",'RAW ASH'!C87)</f>
        <v>Support Svcs</v>
      </c>
      <c r="G616" s="49" t="str">
        <f aca="false">IF('RAW ASH'!A87="","",'RAW ASH'!A87)</f>
        <v>10/31/2025</v>
      </c>
      <c r="H616" s="48" t="str">
        <f aca="false">IF('RAW ASH'!D87="","",'RAW ASH'!D87)</f>
        <v>Financial Navigator</v>
      </c>
      <c r="I616" s="48" t="n">
        <f aca="false">IF('RAW ASH'!E87="","",'RAW ASH'!E87)</f>
        <v>180.25</v>
      </c>
      <c r="J616" s="48" t="str">
        <f aca="false">IF('RAW ASH'!F87="","",'RAW ASH'!F87)</f>
        <v/>
      </c>
      <c r="K616" s="50" t="str">
        <f aca="false">IF('RAW ASH'!G87="","",'RAW ASH'!G87)</f>
        <v/>
      </c>
      <c r="L616" s="50" t="str">
        <f aca="false">IF('RAW ASH'!H87="","",'RAW ASH'!H87)</f>
        <v/>
      </c>
      <c r="M616" s="48" t="str">
        <f aca="false">IF('RAW ASH'!I87="","",'RAW ASH'!I87)</f>
        <v/>
      </c>
    </row>
    <row r="617" customFormat="false" ht="15" hidden="false" customHeight="false" outlineLevel="0" collapsed="false">
      <c r="A617" s="1" t="s">
        <v>1761</v>
      </c>
      <c r="B617" s="1" t="s">
        <v>155</v>
      </c>
      <c r="C617" s="1" t="s">
        <v>1147</v>
      </c>
      <c r="D617" s="1" t="n">
        <v>88</v>
      </c>
      <c r="E617" s="48" t="str">
        <f aca="false">IF('RAW ASH'!B88="","",'RAW ASH'!B88)</f>
        <v>Produce Rx</v>
      </c>
      <c r="F617" s="48" t="str">
        <f aca="false">IF('RAW ASH'!C88="","",'RAW ASH'!C88)</f>
        <v>Support Svcs</v>
      </c>
      <c r="G617" s="49" t="str">
        <f aca="false">IF('RAW ASH'!A88="","",'RAW ASH'!A88)</f>
        <v>10/31/2025</v>
      </c>
      <c r="H617" s="48" t="str">
        <f aca="false">IF('RAW ASH'!D88="","",'RAW ASH'!D88)</f>
        <v>Comm Health Worker</v>
      </c>
      <c r="I617" s="48" t="n">
        <f aca="false">IF('RAW ASH'!E88="","",'RAW ASH'!E88)</f>
        <v>66.5</v>
      </c>
      <c r="J617" s="48" t="str">
        <f aca="false">IF('RAW ASH'!F88="","",'RAW ASH'!F88)</f>
        <v/>
      </c>
      <c r="K617" s="50" t="str">
        <f aca="false">IF('RAW ASH'!G88="","",'RAW ASH'!G88)</f>
        <v/>
      </c>
      <c r="L617" s="50" t="str">
        <f aca="false">IF('RAW ASH'!H88="","",'RAW ASH'!H88)</f>
        <v/>
      </c>
      <c r="M617" s="48" t="str">
        <f aca="false">IF('RAW ASH'!I88="","",'RAW ASH'!I88)</f>
        <v/>
      </c>
    </row>
    <row r="618" customFormat="false" ht="15" hidden="false" customHeight="false" outlineLevel="0" collapsed="false">
      <c r="A618" s="1" t="s">
        <v>1762</v>
      </c>
      <c r="B618" s="1" t="s">
        <v>155</v>
      </c>
      <c r="C618" s="1" t="s">
        <v>1147</v>
      </c>
      <c r="D618" s="1" t="n">
        <v>89</v>
      </c>
      <c r="E618" s="48" t="str">
        <f aca="false">IF('RAW ASH'!B89="","",'RAW ASH'!B89)</f>
        <v>Produce Rx</v>
      </c>
      <c r="F618" s="48" t="str">
        <f aca="false">IF('RAW ASH'!C89="","",'RAW ASH'!C89)</f>
        <v>Support Svcs</v>
      </c>
      <c r="G618" s="49" t="str">
        <f aca="false">IF('RAW ASH'!A89="","",'RAW ASH'!A89)</f>
        <v>10/31/2025</v>
      </c>
      <c r="H618" s="48" t="str">
        <f aca="false">IF('RAW ASH'!D89="","",'RAW ASH'!D89)</f>
        <v>RDN </v>
      </c>
      <c r="I618" s="48" t="n">
        <f aca="false">IF('RAW ASH'!E89="","",'RAW ASH'!E89)</f>
        <v>32.25</v>
      </c>
      <c r="J618" s="48" t="n">
        <f aca="false">IF('RAW ASH'!F89="","",'RAW ASH'!F89)</f>
        <v>122</v>
      </c>
      <c r="K618" s="50" t="n">
        <f aca="false">IF('RAW ASH'!G89="","",'RAW ASH'!G89)</f>
        <v>14080</v>
      </c>
      <c r="L618" s="50" t="n">
        <f aca="false">IF('RAW ASH'!H89="","",'RAW ASH'!H89)</f>
        <v>3685</v>
      </c>
      <c r="M618" s="48" t="str">
        <f aca="false">IF('RAW ASH'!I89="","",'RAW ASH'!I89)</f>
        <v/>
      </c>
    </row>
    <row r="619" customFormat="false" ht="15" hidden="false" customHeight="false" outlineLevel="0" collapsed="false">
      <c r="A619" s="1" t="s">
        <v>1763</v>
      </c>
      <c r="B619" s="1" t="s">
        <v>155</v>
      </c>
      <c r="C619" s="1" t="s">
        <v>1147</v>
      </c>
      <c r="D619" s="1" t="n">
        <v>90</v>
      </c>
      <c r="E619" s="48" t="str">
        <f aca="false">IF('RAW ASH'!B90="","",'RAW ASH'!B90)</f>
        <v>CB Program Admin</v>
      </c>
      <c r="F619" s="48" t="str">
        <f aca="false">IF('RAW ASH'!C90="","",'RAW ASH'!C90)</f>
        <v>CB Admin</v>
      </c>
      <c r="G619" s="49" t="str">
        <f aca="false">IF('RAW ASH'!A90="","",'RAW ASH'!A90)</f>
        <v>10/31/2025</v>
      </c>
      <c r="H619" s="48" t="str">
        <f aca="false">IF('RAW ASH'!D90="","",'RAW ASH'!D90)</f>
        <v>admin asst</v>
      </c>
      <c r="I619" s="48" t="n">
        <f aca="false">IF('RAW ASH'!E90="","",'RAW ASH'!E90)</f>
        <v>51.5</v>
      </c>
      <c r="J619" s="48" t="str">
        <f aca="false">IF('RAW ASH'!F90="","",'RAW ASH'!F90)</f>
        <v/>
      </c>
      <c r="K619" s="50" t="str">
        <f aca="false">IF('RAW ASH'!G90="","",'RAW ASH'!G90)</f>
        <v/>
      </c>
      <c r="L619" s="50" t="str">
        <f aca="false">IF('RAW ASH'!H90="","",'RAW ASH'!H90)</f>
        <v/>
      </c>
      <c r="M619" s="48" t="str">
        <f aca="false">IF('RAW ASH'!I90="","",'RAW ASH'!I90)</f>
        <v/>
      </c>
    </row>
    <row r="620" customFormat="false" ht="15" hidden="false" customHeight="false" outlineLevel="0" collapsed="false">
      <c r="A620" s="1" t="s">
        <v>1764</v>
      </c>
      <c r="B620" s="1" t="s">
        <v>155</v>
      </c>
      <c r="C620" s="1" t="s">
        <v>1147</v>
      </c>
      <c r="D620" s="1" t="n">
        <v>91</v>
      </c>
      <c r="E620" s="48" t="str">
        <f aca="false">IF('RAW ASH'!B91="","",'RAW ASH'!B91)</f>
        <v>CB Program Admin</v>
      </c>
      <c r="F620" s="48" t="str">
        <f aca="false">IF('RAW ASH'!C91="","",'RAW ASH'!C91)</f>
        <v>CB Admin</v>
      </c>
      <c r="G620" s="49" t="str">
        <f aca="false">IF('RAW ASH'!A91="","",'RAW ASH'!A91)</f>
        <v>10/31/2025</v>
      </c>
      <c r="H620" s="48" t="str">
        <f aca="false">IF('RAW ASH'!D91="","",'RAW ASH'!D91)</f>
        <v>Mgr, Community Benefit</v>
      </c>
      <c r="I620" s="48" t="str">
        <f aca="false">IF('RAW ASH'!E91="","",'RAW ASH'!E91)</f>
        <v/>
      </c>
      <c r="J620" s="48" t="str">
        <f aca="false">IF('RAW ASH'!F91="","",'RAW ASH'!F91)</f>
        <v/>
      </c>
      <c r="K620" s="50" t="n">
        <f aca="false">IF('RAW ASH'!G91="","",'RAW ASH'!G91)</f>
        <v>215</v>
      </c>
      <c r="L620" s="50" t="str">
        <f aca="false">IF('RAW ASH'!H91="","",'RAW ASH'!H91)</f>
        <v/>
      </c>
      <c r="M620" s="48" t="str">
        <f aca="false">IF('RAW ASH'!I91="","",'RAW ASH'!I91)</f>
        <v/>
      </c>
    </row>
    <row r="621" customFormat="false" ht="15" hidden="false" customHeight="false" outlineLevel="0" collapsed="false">
      <c r="A621" s="1" t="s">
        <v>1765</v>
      </c>
      <c r="B621" s="1" t="s">
        <v>155</v>
      </c>
      <c r="C621" s="1" t="s">
        <v>1147</v>
      </c>
      <c r="D621" s="1" t="n">
        <v>92</v>
      </c>
      <c r="E621" s="48" t="str">
        <f aca="false">IF('RAW ASH'!B92="","",'RAW ASH'!B92)</f>
        <v>Nursing Clinicals</v>
      </c>
      <c r="F621" s="48" t="str">
        <f aca="false">IF('RAW ASH'!C92="","",'RAW ASH'!C92)</f>
        <v>HPE</v>
      </c>
      <c r="G621" s="49" t="str">
        <f aca="false">IF('RAW ASH'!A92="","",'RAW ASH'!A92)</f>
        <v>10/31/2025</v>
      </c>
      <c r="H621" s="48" t="str">
        <f aca="false">IF('RAW ASH'!D92="","",'RAW ASH'!D92)</f>
        <v>Educator, Nursing</v>
      </c>
      <c r="I621" s="48" t="n">
        <f aca="false">IF('RAW ASH'!E92="","",'RAW ASH'!E92)</f>
        <v>111.25</v>
      </c>
      <c r="J621" s="48" t="n">
        <f aca="false">IF('RAW ASH'!F92="","",'RAW ASH'!F92)</f>
        <v>29</v>
      </c>
      <c r="K621" s="50" t="n">
        <f aca="false">IF('RAW ASH'!G92="","",'RAW ASH'!G92)</f>
        <v>715</v>
      </c>
      <c r="L621" s="50" t="str">
        <f aca="false">IF('RAW ASH'!H92="","",'RAW ASH'!H92)</f>
        <v/>
      </c>
      <c r="M621" s="48" t="str">
        <f aca="false">IF('RAW ASH'!I92="","",'RAW ASH'!I92)</f>
        <v/>
      </c>
    </row>
    <row r="622" customFormat="false" ht="15" hidden="false" customHeight="false" outlineLevel="0" collapsed="false">
      <c r="A622" s="1" t="s">
        <v>1766</v>
      </c>
      <c r="B622" s="1" t="s">
        <v>155</v>
      </c>
      <c r="C622" s="1" t="s">
        <v>1147</v>
      </c>
      <c r="D622" s="1" t="n">
        <v>93</v>
      </c>
      <c r="E622" s="48" t="str">
        <f aca="false">IF('RAW ASH'!B93="","",'RAW ASH'!B93)</f>
        <v>Nursing Clinicals</v>
      </c>
      <c r="F622" s="48" t="str">
        <f aca="false">IF('RAW ASH'!C93="","",'RAW ASH'!C93)</f>
        <v>HPE</v>
      </c>
      <c r="G622" s="49" t="str">
        <f aca="false">IF('RAW ASH'!A93="","",'RAW ASH'!A93)</f>
        <v>10/31/2025</v>
      </c>
      <c r="H622" s="48" t="str">
        <f aca="false">IF('RAW ASH'!D93="","",'RAW ASH'!D93)</f>
        <v>Staff RN</v>
      </c>
      <c r="I622" s="48" t="n">
        <f aca="false">IF('RAW ASH'!E93="","",'RAW ASH'!E93)</f>
        <v>203.75</v>
      </c>
      <c r="J622" s="48" t="str">
        <f aca="false">IF('RAW ASH'!F93="","",'RAW ASH'!F93)</f>
        <v/>
      </c>
      <c r="K622" s="50" t="str">
        <f aca="false">IF('RAW ASH'!G93="","",'RAW ASH'!G93)</f>
        <v/>
      </c>
      <c r="L622" s="50" t="str">
        <f aca="false">IF('RAW ASH'!H93="","",'RAW ASH'!H93)</f>
        <v/>
      </c>
      <c r="M622" s="48" t="str">
        <f aca="false">IF('RAW ASH'!I93="","",'RAW ASH'!I93)</f>
        <v/>
      </c>
    </row>
    <row r="623" customFormat="false" ht="15" hidden="false" customHeight="false" outlineLevel="0" collapsed="false">
      <c r="A623" s="1" t="s">
        <v>1767</v>
      </c>
      <c r="B623" s="1" t="s">
        <v>155</v>
      </c>
      <c r="C623" s="1" t="s">
        <v>1147</v>
      </c>
      <c r="D623" s="1" t="n">
        <v>94</v>
      </c>
      <c r="E623" s="48" t="str">
        <f aca="false">IF('RAW ASH'!B94="","",'RAW ASH'!B94)</f>
        <v>Paramedic Students</v>
      </c>
      <c r="F623" s="48" t="str">
        <f aca="false">IF('RAW ASH'!C94="","",'RAW ASH'!C94)</f>
        <v>HPE</v>
      </c>
      <c r="G623" s="49" t="str">
        <f aca="false">IF('RAW ASH'!A94="","",'RAW ASH'!A94)</f>
        <v>10/31/2025</v>
      </c>
      <c r="H623" s="48" t="str">
        <f aca="false">IF('RAW ASH'!D94="","",'RAW ASH'!D94)</f>
        <v>EMT</v>
      </c>
      <c r="I623" s="48" t="n">
        <f aca="false">IF('RAW ASH'!E94="","",'RAW ASH'!E94)</f>
        <v>70.25</v>
      </c>
      <c r="J623" s="48" t="n">
        <f aca="false">IF('RAW ASH'!F94="","",'RAW ASH'!F94)</f>
        <v>4</v>
      </c>
      <c r="K623" s="50" t="n">
        <f aca="false">IF('RAW ASH'!G94="","",'RAW ASH'!G94)</f>
        <v>5</v>
      </c>
      <c r="L623" s="50" t="str">
        <f aca="false">IF('RAW ASH'!H94="","",'RAW ASH'!H94)</f>
        <v/>
      </c>
      <c r="M623" s="48" t="str">
        <f aca="false">IF('RAW ASH'!I94="","",'RAW ASH'!I94)</f>
        <v/>
      </c>
    </row>
    <row r="624" customFormat="false" ht="15" hidden="false" customHeight="false" outlineLevel="0" collapsed="false">
      <c r="A624" s="1" t="s">
        <v>1768</v>
      </c>
      <c r="B624" s="1" t="s">
        <v>155</v>
      </c>
      <c r="C624" s="1" t="s">
        <v>1147</v>
      </c>
      <c r="D624" s="1" t="n">
        <v>95</v>
      </c>
      <c r="E624" s="48" t="str">
        <f aca="false">IF('RAW ASH'!B95="","",'RAW ASH'!B95)</f>
        <v>DPP Classes</v>
      </c>
      <c r="F624" s="48" t="str">
        <f aca="false">IF('RAW ASH'!C95="","",'RAW ASH'!C95)</f>
        <v>Comm Hlth Ed</v>
      </c>
      <c r="G624" s="49" t="str">
        <f aca="false">IF('RAW ASH'!A95="","",'RAW ASH'!A95)</f>
        <v>11/17/2025</v>
      </c>
      <c r="H624" s="48" t="str">
        <f aca="false">IF('RAW ASH'!D95="","",'RAW ASH'!D95)</f>
        <v> Hlth Educator</v>
      </c>
      <c r="I624" s="48" t="n">
        <f aca="false">IF('RAW ASH'!E95="","",'RAW ASH'!E95)</f>
        <v>3</v>
      </c>
      <c r="J624" s="48" t="n">
        <f aca="false">IF('RAW ASH'!F95="","",'RAW ASH'!F95)</f>
        <v>19</v>
      </c>
      <c r="K624" s="50" t="n">
        <f aca="false">IF('RAW ASH'!G95="","",'RAW ASH'!G95)</f>
        <v>70</v>
      </c>
      <c r="L624" s="50" t="str">
        <f aca="false">IF('RAW ASH'!H95="","",'RAW ASH'!H95)</f>
        <v/>
      </c>
      <c r="M624" s="48" t="str">
        <f aca="false">IF('RAW ASH'!I95="","",'RAW ASH'!I95)</f>
        <v/>
      </c>
    </row>
    <row r="625" customFormat="false" ht="15" hidden="false" customHeight="false" outlineLevel="0" collapsed="false">
      <c r="A625" s="1" t="s">
        <v>1769</v>
      </c>
      <c r="B625" s="1" t="s">
        <v>155</v>
      </c>
      <c r="C625" s="1" t="s">
        <v>1147</v>
      </c>
      <c r="D625" s="1" t="n">
        <v>96</v>
      </c>
      <c r="E625" s="48" t="str">
        <f aca="false">IF('RAW ASH'!B96="","",'RAW ASH'!B96)</f>
        <v>DPP Classes</v>
      </c>
      <c r="F625" s="48" t="str">
        <f aca="false">IF('RAW ASH'!C96="","",'RAW ASH'!C96)</f>
        <v>Comm Hlth Ed</v>
      </c>
      <c r="G625" s="49" t="str">
        <f aca="false">IF('RAW ASH'!A96="","",'RAW ASH'!A96)</f>
        <v>11/17/2025</v>
      </c>
      <c r="H625" s="48" t="str">
        <f aca="false">IF('RAW ASH'!D96="","",'RAW ASH'!D96)</f>
        <v>Dietitian</v>
      </c>
      <c r="I625" s="48" t="n">
        <f aca="false">IF('RAW ASH'!E96="","",'RAW ASH'!E96)</f>
        <v>1.75</v>
      </c>
      <c r="J625" s="48" t="str">
        <f aca="false">IF('RAW ASH'!F96="","",'RAW ASH'!F96)</f>
        <v/>
      </c>
      <c r="K625" s="50" t="str">
        <f aca="false">IF('RAW ASH'!G96="","",'RAW ASH'!G96)</f>
        <v/>
      </c>
      <c r="L625" s="50" t="str">
        <f aca="false">IF('RAW ASH'!H96="","",'RAW ASH'!H96)</f>
        <v/>
      </c>
      <c r="M625" s="48" t="str">
        <f aca="false">IF('RAW ASH'!I96="","",'RAW ASH'!I96)</f>
        <v/>
      </c>
    </row>
    <row r="626" customFormat="false" ht="15" hidden="false" customHeight="false" outlineLevel="0" collapsed="false">
      <c r="A626" s="1" t="s">
        <v>1770</v>
      </c>
      <c r="B626" s="1" t="s">
        <v>155</v>
      </c>
      <c r="C626" s="1" t="s">
        <v>1147</v>
      </c>
      <c r="D626" s="1" t="n">
        <v>97</v>
      </c>
      <c r="E626" s="48" t="str">
        <f aca="false">IF('RAW ASH'!B97="","",'RAW ASH'!B97)</f>
        <v>DPP Classes</v>
      </c>
      <c r="F626" s="48" t="str">
        <f aca="false">IF('RAW ASH'!C97="","",'RAW ASH'!C97)</f>
        <v>Comm Hlth Ed</v>
      </c>
      <c r="G626" s="49" t="str">
        <f aca="false">IF('RAW ASH'!A97="","",'RAW ASH'!A97)</f>
        <v>11/26/2025</v>
      </c>
      <c r="H626" s="48" t="str">
        <f aca="false">IF('RAW ASH'!D97="","",'RAW ASH'!D97)</f>
        <v>Health Ed</v>
      </c>
      <c r="I626" s="48" t="n">
        <f aca="false">IF('RAW ASH'!E97="","",'RAW ASH'!E97)</f>
        <v>3</v>
      </c>
      <c r="J626" s="48" t="n">
        <f aca="false">IF('RAW ASH'!F97="","",'RAW ASH'!F97)</f>
        <v>15</v>
      </c>
      <c r="K626" s="50" t="n">
        <f aca="false">IF('RAW ASH'!G97="","",'RAW ASH'!G97)</f>
        <v>95</v>
      </c>
      <c r="L626" s="50" t="str">
        <f aca="false">IF('RAW ASH'!H97="","",'RAW ASH'!H97)</f>
        <v/>
      </c>
      <c r="M626" s="48" t="str">
        <f aca="false">IF('RAW ASH'!I97="","",'RAW ASH'!I97)</f>
        <v/>
      </c>
    </row>
    <row r="627" customFormat="false" ht="15" hidden="false" customHeight="false" outlineLevel="0" collapsed="false">
      <c r="A627" s="1" t="s">
        <v>1771</v>
      </c>
      <c r="B627" s="1" t="s">
        <v>155</v>
      </c>
      <c r="C627" s="1" t="s">
        <v>1147</v>
      </c>
      <c r="D627" s="1" t="n">
        <v>98</v>
      </c>
      <c r="E627" s="48" t="str">
        <f aca="false">IF('RAW ASH'!B98="","",'RAW ASH'!B98)</f>
        <v>DPP Classes</v>
      </c>
      <c r="F627" s="48" t="str">
        <f aca="false">IF('RAW ASH'!C98="","",'RAW ASH'!C98)</f>
        <v>Comm Hlth Ed</v>
      </c>
      <c r="G627" s="49" t="str">
        <f aca="false">IF('RAW ASH'!A98="","",'RAW ASH'!A98)</f>
        <v>11/26/2025</v>
      </c>
      <c r="H627" s="48" t="str">
        <f aca="false">IF('RAW ASH'!D98="","",'RAW ASH'!D98)</f>
        <v>Dietitian</v>
      </c>
      <c r="I627" s="48" t="n">
        <f aca="false">IF('RAW ASH'!E98="","",'RAW ASH'!E98)</f>
        <v>2</v>
      </c>
      <c r="J627" s="48" t="str">
        <f aca="false">IF('RAW ASH'!F98="","",'RAW ASH'!F98)</f>
        <v/>
      </c>
      <c r="K627" s="50" t="str">
        <f aca="false">IF('RAW ASH'!G98="","",'RAW ASH'!G98)</f>
        <v/>
      </c>
      <c r="L627" s="50" t="str">
        <f aca="false">IF('RAW ASH'!H98="","",'RAW ASH'!H98)</f>
        <v/>
      </c>
      <c r="M627" s="48" t="str">
        <f aca="false">IF('RAW ASH'!I98="","",'RAW ASH'!I98)</f>
        <v/>
      </c>
    </row>
    <row r="628" customFormat="false" ht="15" hidden="false" customHeight="false" outlineLevel="0" collapsed="false">
      <c r="A628" s="1" t="s">
        <v>1772</v>
      </c>
      <c r="B628" s="1" t="s">
        <v>155</v>
      </c>
      <c r="C628" s="1" t="s">
        <v>1147</v>
      </c>
      <c r="D628" s="1" t="n">
        <v>99</v>
      </c>
      <c r="E628" s="48" t="str">
        <f aca="false">IF('RAW ASH'!B99="","",'RAW ASH'!B99)</f>
        <v>Car Seat Checks</v>
      </c>
      <c r="F628" s="48" t="str">
        <f aca="false">IF('RAW ASH'!C99="","",'RAW ASH'!C99)</f>
        <v>Comm Hlth Ed</v>
      </c>
      <c r="G628" s="49" t="str">
        <f aca="false">IF('RAW ASH'!A99="","",'RAW ASH'!A99)</f>
        <v>11/27/2025</v>
      </c>
      <c r="H628" s="48" t="str">
        <f aca="false">IF('RAW ASH'!D99="","",'RAW ASH'!D99)</f>
        <v>EMT</v>
      </c>
      <c r="I628" s="48" t="n">
        <f aca="false">IF('RAW ASH'!E99="","",'RAW ASH'!E99)</f>
        <v>3.75</v>
      </c>
      <c r="J628" s="48" t="n">
        <f aca="false">IF('RAW ASH'!F99="","",'RAW ASH'!F99)</f>
        <v>14</v>
      </c>
      <c r="K628" s="50" t="n">
        <f aca="false">IF('RAW ASH'!G99="","",'RAW ASH'!G99)</f>
        <v>705</v>
      </c>
      <c r="L628" s="50" t="n">
        <f aca="false">IF('RAW ASH'!H99="","",'RAW ASH'!H99)</f>
        <v>85</v>
      </c>
      <c r="M628" s="48" t="str">
        <f aca="false">IF('RAW ASH'!I99="","",'RAW ASH'!I99)</f>
        <v/>
      </c>
    </row>
    <row r="629" customFormat="false" ht="15" hidden="false" customHeight="false" outlineLevel="0" collapsed="false">
      <c r="A629" s="1" t="s">
        <v>1773</v>
      </c>
      <c r="B629" s="1" t="s">
        <v>155</v>
      </c>
      <c r="C629" s="1" t="s">
        <v>1147</v>
      </c>
      <c r="D629" s="1" t="n">
        <v>100</v>
      </c>
      <c r="E629" s="48" t="str">
        <f aca="false">IF('RAW ASH'!B100="","",'RAW ASH'!B100)</f>
        <v>Car Seat Checks</v>
      </c>
      <c r="F629" s="48" t="str">
        <f aca="false">IF('RAW ASH'!C100="","",'RAW ASH'!C100)</f>
        <v>Comm Hlth Ed</v>
      </c>
      <c r="G629" s="49" t="str">
        <f aca="false">IF('RAW ASH'!A100="","",'RAW ASH'!A100)</f>
        <v>11/27/2025</v>
      </c>
      <c r="H629" s="48" t="str">
        <f aca="false">IF('RAW ASH'!D100="","",'RAW ASH'!D100)</f>
        <v>Reg Nurse</v>
      </c>
      <c r="I629" s="48" t="n">
        <f aca="false">IF('RAW ASH'!E100="","",'RAW ASH'!E100)</f>
        <v>4</v>
      </c>
      <c r="J629" s="48" t="str">
        <f aca="false">IF('RAW ASH'!F100="","",'RAW ASH'!F100)</f>
        <v/>
      </c>
      <c r="K629" s="50" t="str">
        <f aca="false">IF('RAW ASH'!G100="","",'RAW ASH'!G100)</f>
        <v/>
      </c>
      <c r="L629" s="50" t="str">
        <f aca="false">IF('RAW ASH'!H100="","",'RAW ASH'!H100)</f>
        <v/>
      </c>
      <c r="M629" s="48" t="str">
        <f aca="false">IF('RAW ASH'!I100="","",'RAW ASH'!I100)</f>
        <v/>
      </c>
    </row>
    <row r="630" customFormat="false" ht="15" hidden="false" customHeight="false" outlineLevel="0" collapsed="false">
      <c r="A630" s="1" t="s">
        <v>1774</v>
      </c>
      <c r="B630" s="1" t="s">
        <v>155</v>
      </c>
      <c r="C630" s="1" t="s">
        <v>1147</v>
      </c>
      <c r="D630" s="1" t="n">
        <v>101</v>
      </c>
      <c r="E630" s="48" t="str">
        <f aca="false">IF('RAW ASH'!B101="","",'RAW ASH'!B101)</f>
        <v>Mobile Screening Unit</v>
      </c>
      <c r="F630" s="48" t="str">
        <f aca="false">IF('RAW ASH'!C101="","",'RAW ASH'!C101)</f>
        <v>Clinical Svcs</v>
      </c>
      <c r="G630" s="49" t="str">
        <f aca="false">IF('RAW ASH'!A101="","",'RAW ASH'!A101)</f>
        <v>11/30/2025</v>
      </c>
      <c r="H630" s="48" t="str">
        <f aca="false">IF('RAW ASH'!D101="","",'RAW ASH'!D101)</f>
        <v>Community Health Worker</v>
      </c>
      <c r="I630" s="48" t="n">
        <f aca="false">IF('RAW ASH'!E101="","",'RAW ASH'!E101)</f>
        <v>85.5</v>
      </c>
      <c r="J630" s="48" t="str">
        <f aca="false">IF('RAW ASH'!F101="","",'RAW ASH'!F101)</f>
        <v/>
      </c>
      <c r="K630" s="50" t="str">
        <f aca="false">IF('RAW ASH'!G101="","",'RAW ASH'!G101)</f>
        <v/>
      </c>
      <c r="L630" s="50" t="str">
        <f aca="false">IF('RAW ASH'!H101="","",'RAW ASH'!H101)</f>
        <v/>
      </c>
      <c r="M630" s="48" t="str">
        <f aca="false">IF('RAW ASH'!I101="","",'RAW ASH'!I101)</f>
        <v/>
      </c>
    </row>
    <row r="631" customFormat="false" ht="15" hidden="false" customHeight="false" outlineLevel="0" collapsed="false">
      <c r="A631" s="1" t="s">
        <v>1775</v>
      </c>
      <c r="B631" s="1" t="s">
        <v>155</v>
      </c>
      <c r="C631" s="1" t="s">
        <v>1147</v>
      </c>
      <c r="D631" s="1" t="n">
        <v>102</v>
      </c>
      <c r="E631" s="48" t="str">
        <f aca="false">IF('RAW ASH'!B102="","",'RAW ASH'!B102)</f>
        <v>Mobile Screening Unit</v>
      </c>
      <c r="F631" s="48" t="str">
        <f aca="false">IF('RAW ASH'!C102="","",'RAW ASH'!C102)</f>
        <v>Clinical Svcs</v>
      </c>
      <c r="G631" s="49" t="str">
        <f aca="false">IF('RAW ASH'!A102="","",'RAW ASH'!A102)</f>
        <v>11/30/2025</v>
      </c>
      <c r="H631" s="48" t="str">
        <f aca="false">IF('RAW ASH'!D102="","",'RAW ASH'!D102)</f>
        <v>Certified Medical Assistant</v>
      </c>
      <c r="I631" s="48" t="n">
        <f aca="false">IF('RAW ASH'!E102="","",'RAW ASH'!E102)</f>
        <v>95.25</v>
      </c>
      <c r="J631" s="48" t="str">
        <f aca="false">IF('RAW ASH'!F102="","",'RAW ASH'!F102)</f>
        <v/>
      </c>
      <c r="K631" s="50" t="str">
        <f aca="false">IF('RAW ASH'!G102="","",'RAW ASH'!G102)</f>
        <v/>
      </c>
      <c r="L631" s="50" t="str">
        <f aca="false">IF('RAW ASH'!H102="","",'RAW ASH'!H102)</f>
        <v/>
      </c>
      <c r="M631" s="48" t="str">
        <f aca="false">IF('RAW ASH'!I102="","",'RAW ASH'!I102)</f>
        <v/>
      </c>
    </row>
    <row r="632" customFormat="false" ht="15" hidden="false" customHeight="false" outlineLevel="0" collapsed="false">
      <c r="A632" s="1" t="s">
        <v>1776</v>
      </c>
      <c r="B632" s="1" t="s">
        <v>155</v>
      </c>
      <c r="C632" s="1" t="s">
        <v>1147</v>
      </c>
      <c r="D632" s="1" t="n">
        <v>103</v>
      </c>
      <c r="E632" s="48" t="str">
        <f aca="false">IF('RAW ASH'!B103="","",'RAW ASH'!B103)</f>
        <v>Mobile Screening Unit</v>
      </c>
      <c r="F632" s="48" t="str">
        <f aca="false">IF('RAW ASH'!C103="","",'RAW ASH'!C103)</f>
        <v>Clinical Svcs</v>
      </c>
      <c r="G632" s="49" t="str">
        <f aca="false">IF('RAW ASH'!A103="","",'RAW ASH'!A103)</f>
        <v>11/30/2025</v>
      </c>
      <c r="H632" s="48" t="str">
        <f aca="false">IF('RAW ASH'!D103="","",'RAW ASH'!D103)</f>
        <v>RN</v>
      </c>
      <c r="I632" s="48" t="n">
        <f aca="false">IF('RAW ASH'!E103="","",'RAW ASH'!E103)</f>
        <v>108.75</v>
      </c>
      <c r="J632" s="48" t="n">
        <f aca="false">IF('RAW ASH'!F103="","",'RAW ASH'!F103)</f>
        <v>145</v>
      </c>
      <c r="K632" s="50" t="n">
        <f aca="false">IF('RAW ASH'!G103="","",'RAW ASH'!G103)</f>
        <v>6465</v>
      </c>
      <c r="L632" s="50" t="str">
        <f aca="false">IF('RAW ASH'!H103="","",'RAW ASH'!H103)</f>
        <v/>
      </c>
      <c r="M632" s="48" t="str">
        <f aca="false">IF('RAW ASH'!I103="","",'RAW ASH'!I103)</f>
        <v/>
      </c>
    </row>
    <row r="633" customFormat="false" ht="15" hidden="false" customHeight="false" outlineLevel="0" collapsed="false">
      <c r="A633" s="1" t="s">
        <v>1777</v>
      </c>
      <c r="B633" s="1" t="s">
        <v>155</v>
      </c>
      <c r="C633" s="1" t="s">
        <v>1147</v>
      </c>
      <c r="D633" s="1" t="n">
        <v>104</v>
      </c>
      <c r="E633" s="48" t="str">
        <f aca="false">IF('RAW ASH'!B104="","",'RAW ASH'!B104)</f>
        <v>CHW Outreach</v>
      </c>
      <c r="F633" s="48" t="str">
        <f aca="false">IF('RAW ASH'!C104="","",'RAW ASH'!C104)</f>
        <v>Support Svcs</v>
      </c>
      <c r="G633" s="49" t="str">
        <f aca="false">IF('RAW ASH'!A104="","",'RAW ASH'!A104)</f>
        <v>11/30/2025</v>
      </c>
      <c r="H633" s="48" t="str">
        <f aca="false">IF('RAW ASH'!D104="","",'RAW ASH'!D104)</f>
        <v>CHW</v>
      </c>
      <c r="I633" s="48" t="n">
        <f aca="false">IF('RAW ASH'!E104="","",'RAW ASH'!E104)</f>
        <v>347.5</v>
      </c>
      <c r="J633" s="48" t="n">
        <f aca="false">IF('RAW ASH'!F104="","",'RAW ASH'!F104)</f>
        <v>408</v>
      </c>
      <c r="K633" s="50" t="n">
        <f aca="false">IF('RAW ASH'!G104="","",'RAW ASH'!G104)</f>
        <v>1530</v>
      </c>
      <c r="L633" s="50" t="str">
        <f aca="false">IF('RAW ASH'!H104="","",'RAW ASH'!H104)</f>
        <v/>
      </c>
      <c r="M633" s="48" t="str">
        <f aca="false">IF('RAW ASH'!I104="","",'RAW ASH'!I104)</f>
        <v/>
      </c>
    </row>
    <row r="634" customFormat="false" ht="15" hidden="false" customHeight="false" outlineLevel="0" collapsed="false">
      <c r="A634" s="1" t="s">
        <v>1778</v>
      </c>
      <c r="B634" s="1" t="s">
        <v>155</v>
      </c>
      <c r="C634" s="1" t="s">
        <v>1147</v>
      </c>
      <c r="D634" s="1" t="n">
        <v>105</v>
      </c>
      <c r="E634" s="48" t="str">
        <f aca="false">IF('RAW ASH'!B105="","",'RAW ASH'!B105)</f>
        <v>CHW Outreach</v>
      </c>
      <c r="F634" s="48" t="str">
        <f aca="false">IF('RAW ASH'!C105="","",'RAW ASH'!C105)</f>
        <v>Support Svcs</v>
      </c>
      <c r="G634" s="49" t="str">
        <f aca="false">IF('RAW ASH'!A105="","",'RAW ASH'!A105)</f>
        <v>11/30/2025</v>
      </c>
      <c r="H634" s="48" t="str">
        <f aca="false">IF('RAW ASH'!D105="","",'RAW ASH'!D105)</f>
        <v>Navigator</v>
      </c>
      <c r="I634" s="48" t="n">
        <f aca="false">IF('RAW ASH'!E105="","",'RAW ASH'!E105)</f>
        <v>152</v>
      </c>
      <c r="J634" s="48" t="str">
        <f aca="false">IF('RAW ASH'!F105="","",'RAW ASH'!F105)</f>
        <v/>
      </c>
      <c r="K634" s="50" t="str">
        <f aca="false">IF('RAW ASH'!G105="","",'RAW ASH'!G105)</f>
        <v/>
      </c>
      <c r="L634" s="50" t="str">
        <f aca="false">IF('RAW ASH'!H105="","",'RAW ASH'!H105)</f>
        <v/>
      </c>
      <c r="M634" s="48" t="str">
        <f aca="false">IF('RAW ASH'!I105="","",'RAW ASH'!I105)</f>
        <v/>
      </c>
    </row>
    <row r="635" customFormat="false" ht="15" hidden="false" customHeight="false" outlineLevel="0" collapsed="false">
      <c r="A635" s="1" t="s">
        <v>1779</v>
      </c>
      <c r="B635" s="1" t="s">
        <v>155</v>
      </c>
      <c r="C635" s="1" t="s">
        <v>1147</v>
      </c>
      <c r="D635" s="1" t="n">
        <v>106</v>
      </c>
      <c r="E635" s="48" t="str">
        <f aca="false">IF('RAW ASH'!B106="","",'RAW ASH'!B106)</f>
        <v>Produce Rx</v>
      </c>
      <c r="F635" s="48" t="str">
        <f aca="false">IF('RAW ASH'!C106="","",'RAW ASH'!C106)</f>
        <v>Support Svcs</v>
      </c>
      <c r="G635" s="49" t="str">
        <f aca="false">IF('RAW ASH'!A106="","",'RAW ASH'!A106)</f>
        <v>11/30/2025</v>
      </c>
      <c r="H635" s="48" t="str">
        <f aca="false">IF('RAW ASH'!D106="","",'RAW ASH'!D106)</f>
        <v>CHW II</v>
      </c>
      <c r="I635" s="48" t="n">
        <f aca="false">IF('RAW ASH'!E106="","",'RAW ASH'!E106)</f>
        <v>62.25</v>
      </c>
      <c r="J635" s="48" t="str">
        <f aca="false">IF('RAW ASH'!F106="","",'RAW ASH'!F106)</f>
        <v/>
      </c>
      <c r="K635" s="50" t="str">
        <f aca="false">IF('RAW ASH'!G106="","",'RAW ASH'!G106)</f>
        <v/>
      </c>
      <c r="L635" s="50" t="str">
        <f aca="false">IF('RAW ASH'!H106="","",'RAW ASH'!H106)</f>
        <v/>
      </c>
      <c r="M635" s="48" t="str">
        <f aca="false">IF('RAW ASH'!I106="","",'RAW ASH'!I106)</f>
        <v/>
      </c>
    </row>
    <row r="636" customFormat="false" ht="15" hidden="false" customHeight="false" outlineLevel="0" collapsed="false">
      <c r="A636" s="1" t="s">
        <v>1780</v>
      </c>
      <c r="B636" s="1" t="s">
        <v>155</v>
      </c>
      <c r="C636" s="1" t="s">
        <v>1147</v>
      </c>
      <c r="D636" s="1" t="n">
        <v>107</v>
      </c>
      <c r="E636" s="48" t="str">
        <f aca="false">IF('RAW ASH'!B107="","",'RAW ASH'!B107)</f>
        <v>Produce Rx</v>
      </c>
      <c r="F636" s="48" t="str">
        <f aca="false">IF('RAW ASH'!C107="","",'RAW ASH'!C107)</f>
        <v>Support Svcs</v>
      </c>
      <c r="G636" s="49" t="str">
        <f aca="false">IF('RAW ASH'!A107="","",'RAW ASH'!A107)</f>
        <v>11/30/2025</v>
      </c>
      <c r="H636" s="48" t="str">
        <f aca="false">IF('RAW ASH'!D107="","",'RAW ASH'!D107)</f>
        <v>Clinical Dietitian</v>
      </c>
      <c r="I636" s="48" t="n">
        <f aca="false">IF('RAW ASH'!E107="","",'RAW ASH'!E107)</f>
        <v>29.75</v>
      </c>
      <c r="J636" s="48" t="n">
        <f aca="false">IF('RAW ASH'!F107="","",'RAW ASH'!F107)</f>
        <v>102</v>
      </c>
      <c r="K636" s="50" t="n">
        <f aca="false">IF('RAW ASH'!G107="","",'RAW ASH'!G107)</f>
        <v>12470</v>
      </c>
      <c r="L636" s="50" t="n">
        <f aca="false">IF('RAW ASH'!H107="","",'RAW ASH'!H107)</f>
        <v>7775</v>
      </c>
      <c r="M636" s="48" t="str">
        <f aca="false">IF('RAW ASH'!I107="","",'RAW ASH'!I107)</f>
        <v/>
      </c>
    </row>
    <row r="637" customFormat="false" ht="15" hidden="false" customHeight="false" outlineLevel="0" collapsed="false">
      <c r="A637" s="1" t="s">
        <v>1781</v>
      </c>
      <c r="B637" s="1" t="s">
        <v>155</v>
      </c>
      <c r="C637" s="1" t="s">
        <v>1147</v>
      </c>
      <c r="D637" s="1" t="n">
        <v>108</v>
      </c>
      <c r="E637" s="48" t="str">
        <f aca="false">IF('RAW ASH'!B108="","",'RAW ASH'!B108)</f>
        <v>CB Program Admin</v>
      </c>
      <c r="F637" s="48" t="str">
        <f aca="false">IF('RAW ASH'!C108="","",'RAW ASH'!C108)</f>
        <v>CB Admin</v>
      </c>
      <c r="G637" s="49" t="str">
        <f aca="false">IF('RAW ASH'!A108="","",'RAW ASH'!A108)</f>
        <v>11/30/2025</v>
      </c>
      <c r="H637" s="48" t="str">
        <f aca="false">IF('RAW ASH'!D108="","",'RAW ASH'!D108)</f>
        <v>Unit Secretary</v>
      </c>
      <c r="I637" s="48" t="n">
        <f aca="false">IF('RAW ASH'!E108="","",'RAW ASH'!E108)</f>
        <v>57.75</v>
      </c>
      <c r="J637" s="48" t="str">
        <f aca="false">IF('RAW ASH'!F108="","",'RAW ASH'!F108)</f>
        <v/>
      </c>
      <c r="K637" s="50" t="str">
        <f aca="false">IF('RAW ASH'!G108="","",'RAW ASH'!G108)</f>
        <v/>
      </c>
      <c r="L637" s="50" t="str">
        <f aca="false">IF('RAW ASH'!H108="","",'RAW ASH'!H108)</f>
        <v/>
      </c>
      <c r="M637" s="48" t="str">
        <f aca="false">IF('RAW ASH'!I108="","",'RAW ASH'!I108)</f>
        <v/>
      </c>
    </row>
    <row r="638" customFormat="false" ht="15" hidden="false" customHeight="false" outlineLevel="0" collapsed="false">
      <c r="A638" s="1" t="s">
        <v>1782</v>
      </c>
      <c r="B638" s="1" t="s">
        <v>155</v>
      </c>
      <c r="C638" s="1" t="s">
        <v>1147</v>
      </c>
      <c r="D638" s="1" t="n">
        <v>109</v>
      </c>
      <c r="E638" s="48" t="str">
        <f aca="false">IF('RAW ASH'!B109="","",'RAW ASH'!B109)</f>
        <v>CB Program Admin</v>
      </c>
      <c r="F638" s="48" t="str">
        <f aca="false">IF('RAW ASH'!C109="","",'RAW ASH'!C109)</f>
        <v>CB Admin</v>
      </c>
      <c r="G638" s="49" t="str">
        <f aca="false">IF('RAW ASH'!A109="","",'RAW ASH'!A109)</f>
        <v>11/30/2025</v>
      </c>
      <c r="H638" s="48" t="str">
        <f aca="false">IF('RAW ASH'!D109="","",'RAW ASH'!D109)</f>
        <v>Community Benefit Mgr</v>
      </c>
      <c r="I638" s="48" t="n">
        <f aca="false">IF('RAW ASH'!E109="","",'RAW ASH'!E109)</f>
        <v>64.25</v>
      </c>
      <c r="J638" s="48" t="str">
        <f aca="false">IF('RAW ASH'!F109="","",'RAW ASH'!F109)</f>
        <v/>
      </c>
      <c r="K638" s="50" t="n">
        <f aca="false">IF('RAW ASH'!G109="","",'RAW ASH'!G109)</f>
        <v>680</v>
      </c>
      <c r="L638" s="50" t="str">
        <f aca="false">IF('RAW ASH'!H109="","",'RAW ASH'!H109)</f>
        <v/>
      </c>
      <c r="M638" s="48" t="str">
        <f aca="false">IF('RAW ASH'!I109="","",'RAW ASH'!I109)</f>
        <v/>
      </c>
    </row>
    <row r="639" customFormat="false" ht="15" hidden="false" customHeight="false" outlineLevel="0" collapsed="false">
      <c r="A639" s="1" t="s">
        <v>1783</v>
      </c>
      <c r="B639" s="1" t="s">
        <v>155</v>
      </c>
      <c r="C639" s="1" t="s">
        <v>1147</v>
      </c>
      <c r="D639" s="1" t="n">
        <v>110</v>
      </c>
      <c r="E639" s="48" t="str">
        <f aca="false">IF('RAW ASH'!B110="","",'RAW ASH'!B110)</f>
        <v>Nursing Clinicals</v>
      </c>
      <c r="F639" s="48" t="str">
        <f aca="false">IF('RAW ASH'!C110="","",'RAW ASH'!C110)</f>
        <v>HPE</v>
      </c>
      <c r="G639" s="49" t="str">
        <f aca="false">IF('RAW ASH'!A110="","",'RAW ASH'!A110)</f>
        <v>11/30/2025</v>
      </c>
      <c r="H639" s="48" t="str">
        <f aca="false">IF('RAW ASH'!D110="","",'RAW ASH'!D110)</f>
        <v>Nurse Educator</v>
      </c>
      <c r="I639" s="48" t="n">
        <f aca="false">IF('RAW ASH'!E110="","",'RAW ASH'!E110)</f>
        <v>130.25</v>
      </c>
      <c r="J639" s="48" t="n">
        <f aca="false">IF('RAW ASH'!F110="","",'RAW ASH'!F110)</f>
        <v>36</v>
      </c>
      <c r="K639" s="50" t="n">
        <f aca="false">IF('RAW ASH'!G110="","",'RAW ASH'!G110)</f>
        <v>590</v>
      </c>
      <c r="L639" s="50" t="str">
        <f aca="false">IF('RAW ASH'!H110="","",'RAW ASH'!H110)</f>
        <v/>
      </c>
      <c r="M639" s="48" t="str">
        <f aca="false">IF('RAW ASH'!I110="","",'RAW ASH'!I110)</f>
        <v/>
      </c>
    </row>
    <row r="640" customFormat="false" ht="15" hidden="false" customHeight="false" outlineLevel="0" collapsed="false">
      <c r="A640" s="1" t="s">
        <v>1784</v>
      </c>
      <c r="B640" s="1" t="s">
        <v>155</v>
      </c>
      <c r="C640" s="1" t="s">
        <v>1147</v>
      </c>
      <c r="D640" s="1" t="n">
        <v>111</v>
      </c>
      <c r="E640" s="48" t="str">
        <f aca="false">IF('RAW ASH'!B111="","",'RAW ASH'!B111)</f>
        <v>Nursing Clinicals</v>
      </c>
      <c r="F640" s="48" t="str">
        <f aca="false">IF('RAW ASH'!C111="","",'RAW ASH'!C111)</f>
        <v>HPE</v>
      </c>
      <c r="G640" s="49" t="str">
        <f aca="false">IF('RAW ASH'!A111="","",'RAW ASH'!A111)</f>
        <v>11/30/2025</v>
      </c>
      <c r="H640" s="48" t="str">
        <f aca="false">IF('RAW ASH'!D111="","",'RAW ASH'!D111)</f>
        <v>RN</v>
      </c>
      <c r="I640" s="48" t="n">
        <f aca="false">IF('RAW ASH'!E111="","",'RAW ASH'!E111)</f>
        <v>229.5</v>
      </c>
      <c r="J640" s="48" t="str">
        <f aca="false">IF('RAW ASH'!F111="","",'RAW ASH'!F111)</f>
        <v/>
      </c>
      <c r="K640" s="50" t="str">
        <f aca="false">IF('RAW ASH'!G111="","",'RAW ASH'!G111)</f>
        <v/>
      </c>
      <c r="L640" s="50" t="str">
        <f aca="false">IF('RAW ASH'!H111="","",'RAW ASH'!H111)</f>
        <v/>
      </c>
      <c r="M640" s="48" t="str">
        <f aca="false">IF('RAW ASH'!I111="","",'RAW ASH'!I111)</f>
        <v/>
      </c>
    </row>
    <row r="641" customFormat="false" ht="15" hidden="false" customHeight="false" outlineLevel="0" collapsed="false">
      <c r="A641" s="1" t="s">
        <v>1785</v>
      </c>
      <c r="B641" s="1" t="s">
        <v>155</v>
      </c>
      <c r="C641" s="1" t="s">
        <v>1147</v>
      </c>
      <c r="D641" s="1" t="n">
        <v>112</v>
      </c>
      <c r="E641" s="48" t="str">
        <f aca="false">IF('RAW ASH'!B112="","",'RAW ASH'!B112)</f>
        <v>Paramedic Students</v>
      </c>
      <c r="F641" s="48" t="str">
        <f aca="false">IF('RAW ASH'!C112="","",'RAW ASH'!C112)</f>
        <v>HPE</v>
      </c>
      <c r="G641" s="49" t="str">
        <f aca="false">IF('RAW ASH'!A112="","",'RAW ASH'!A112)</f>
        <v>11/30/2025</v>
      </c>
      <c r="H641" s="48" t="str">
        <f aca="false">IF('RAW ASH'!D112="","",'RAW ASH'!D112)</f>
        <v>EMT-P</v>
      </c>
      <c r="I641" s="48" t="n">
        <f aca="false">IF('RAW ASH'!E112="","",'RAW ASH'!E112)</f>
        <v>66.75</v>
      </c>
      <c r="J641" s="48" t="n">
        <f aca="false">IF('RAW ASH'!F112="","",'RAW ASH'!F112)</f>
        <v>4</v>
      </c>
      <c r="K641" s="50" t="n">
        <f aca="false">IF('RAW ASH'!G112="","",'RAW ASH'!G112)</f>
        <v>130</v>
      </c>
      <c r="L641" s="50" t="str">
        <f aca="false">IF('RAW ASH'!H112="","",'RAW ASH'!H112)</f>
        <v/>
      </c>
      <c r="M641" s="48" t="str">
        <f aca="false">IF('RAW ASH'!I112="","",'RAW ASH'!I112)</f>
        <v/>
      </c>
    </row>
    <row r="642" customFormat="false" ht="15" hidden="false" customHeight="false" outlineLevel="0" collapsed="false">
      <c r="A642" s="1" t="s">
        <v>1786</v>
      </c>
      <c r="B642" s="1" t="s">
        <v>155</v>
      </c>
      <c r="C642" s="1" t="s">
        <v>1147</v>
      </c>
      <c r="D642" s="1" t="n">
        <v>113</v>
      </c>
      <c r="E642" s="48" t="str">
        <f aca="false">IF('RAW ASH'!B113="","",'RAW ASH'!B113)</f>
        <v>MH First Aid</v>
      </c>
      <c r="F642" s="48" t="str">
        <f aca="false">IF('RAW ASH'!C113="","",'RAW ASH'!C113)</f>
        <v>Comm Hlth Ed</v>
      </c>
      <c r="G642" s="49" t="str">
        <f aca="false">IF('RAW ASH'!A113="","",'RAW ASH'!A113)</f>
        <v>12/06/2025</v>
      </c>
      <c r="H642" s="48" t="str">
        <f aca="false">IF('RAW ASH'!D113="","",'RAW ASH'!D113)</f>
        <v>Hlth Educator</v>
      </c>
      <c r="I642" s="48" t="n">
        <f aca="false">IF('RAW ASH'!E113="","",'RAW ASH'!E113)</f>
        <v>8</v>
      </c>
      <c r="J642" s="48" t="str">
        <f aca="false">IF('RAW ASH'!F113="","",'RAW ASH'!F113)</f>
        <v/>
      </c>
      <c r="K642" s="50" t="str">
        <f aca="false">IF('RAW ASH'!G113="","",'RAW ASH'!G113)</f>
        <v/>
      </c>
      <c r="L642" s="50" t="str">
        <f aca="false">IF('RAW ASH'!H113="","",'RAW ASH'!H113)</f>
        <v/>
      </c>
      <c r="M642" s="48" t="str">
        <f aca="false">IF('RAW ASH'!I113="","",'RAW ASH'!I113)</f>
        <v/>
      </c>
    </row>
    <row r="643" customFormat="false" ht="15" hidden="false" customHeight="false" outlineLevel="0" collapsed="false">
      <c r="A643" s="1" t="s">
        <v>1787</v>
      </c>
      <c r="B643" s="1" t="s">
        <v>155</v>
      </c>
      <c r="C643" s="1" t="s">
        <v>1147</v>
      </c>
      <c r="D643" s="1" t="n">
        <v>114</v>
      </c>
      <c r="E643" s="48" t="str">
        <f aca="false">IF('RAW ASH'!B114="","",'RAW ASH'!B114)</f>
        <v>MH First Aid</v>
      </c>
      <c r="F643" s="48" t="str">
        <f aca="false">IF('RAW ASH'!C114="","",'RAW ASH'!C114)</f>
        <v>Comm Hlth Ed</v>
      </c>
      <c r="G643" s="49" t="str">
        <f aca="false">IF('RAW ASH'!A114="","",'RAW ASH'!A114)</f>
        <v>12/06/2025</v>
      </c>
      <c r="H643" s="48" t="str">
        <f aca="false">IF('RAW ASH'!D114="","",'RAW ASH'!D114)</f>
        <v>Social Work</v>
      </c>
      <c r="I643" s="48" t="str">
        <f aca="false">IF('RAW ASH'!E114="","",'RAW ASH'!E114)</f>
        <v>8 hrs</v>
      </c>
      <c r="J643" s="48" t="n">
        <f aca="false">IF('RAW ASH'!F114="","",'RAW ASH'!F114)</f>
        <v>26</v>
      </c>
      <c r="K643" s="50" t="n">
        <f aca="false">IF('RAW ASH'!G114="","",'RAW ASH'!G114)</f>
        <v>250</v>
      </c>
      <c r="L643" s="50" t="str">
        <f aca="false">IF('RAW ASH'!H114="","",'RAW ASH'!H114)</f>
        <v/>
      </c>
      <c r="M643" s="48" t="str">
        <f aca="false">IF('RAW ASH'!I114="","",'RAW ASH'!I114)</f>
        <v/>
      </c>
    </row>
    <row r="644" customFormat="false" ht="15" hidden="false" customHeight="false" outlineLevel="0" collapsed="false">
      <c r="A644" s="1" t="s">
        <v>1788</v>
      </c>
      <c r="B644" s="1" t="s">
        <v>155</v>
      </c>
      <c r="C644" s="1" t="s">
        <v>1147</v>
      </c>
      <c r="D644" s="1" t="n">
        <v>115</v>
      </c>
      <c r="E644" s="48" t="str">
        <f aca="false">IF('RAW ASH'!B115="","",'RAW ASH'!B115)</f>
        <v>Leadership Academy</v>
      </c>
      <c r="F644" s="48" t="str">
        <f aca="false">IF('RAW ASH'!C115="","",'RAW ASH'!C115)</f>
        <v>CB-Leadership Dev</v>
      </c>
      <c r="G644" s="49" t="str">
        <f aca="false">IF('RAW ASH'!A115="","",'RAW ASH'!A115)</f>
        <v>12/06/2025</v>
      </c>
      <c r="H644" s="48" t="str">
        <f aca="false">IF('RAW ASH'!D115="","",'RAW ASH'!D115)</f>
        <v>Health Education Specialist</v>
      </c>
      <c r="I644" s="48" t="n">
        <f aca="false">IF('RAW ASH'!E115="","",'RAW ASH'!E115)</f>
        <v>3</v>
      </c>
      <c r="J644" s="48" t="str">
        <f aca="false">IF('RAW ASH'!F115="","",'RAW ASH'!F115)</f>
        <v/>
      </c>
      <c r="K644" s="50" t="str">
        <f aca="false">IF('RAW ASH'!G115="","",'RAW ASH'!G115)</f>
        <v/>
      </c>
      <c r="L644" s="50" t="str">
        <f aca="false">IF('RAW ASH'!H115="","",'RAW ASH'!H115)</f>
        <v/>
      </c>
      <c r="M644" s="48" t="str">
        <f aca="false">IF('RAW ASH'!I115="","",'RAW ASH'!I115)</f>
        <v/>
      </c>
    </row>
    <row r="645" customFormat="false" ht="15" hidden="false" customHeight="false" outlineLevel="0" collapsed="false">
      <c r="A645" s="1" t="s">
        <v>1789</v>
      </c>
      <c r="B645" s="1" t="s">
        <v>155</v>
      </c>
      <c r="C645" s="1" t="s">
        <v>1147</v>
      </c>
      <c r="D645" s="1" t="n">
        <v>116</v>
      </c>
      <c r="E645" s="48" t="str">
        <f aca="false">IF('RAW ASH'!B116="","",'RAW ASH'!B116)</f>
        <v>Leadership Academy</v>
      </c>
      <c r="F645" s="48" t="str">
        <f aca="false">IF('RAW ASH'!C116="","",'RAW ASH'!C116)</f>
        <v>CB-Leadership Dev</v>
      </c>
      <c r="G645" s="49" t="str">
        <f aca="false">IF('RAW ASH'!A116="","",'RAW ASH'!A116)</f>
        <v>12/06/2025</v>
      </c>
      <c r="H645" s="48" t="str">
        <f aca="false">IF('RAW ASH'!D116="","",'RAW ASH'!D116)</f>
        <v>Residency Coordinator</v>
      </c>
      <c r="I645" s="48" t="n">
        <f aca="false">IF('RAW ASH'!E116="","",'RAW ASH'!E116)</f>
        <v>5</v>
      </c>
      <c r="J645" s="48" t="n">
        <f aca="false">IF('RAW ASH'!F116="","",'RAW ASH'!F116)</f>
        <v>24</v>
      </c>
      <c r="K645" s="50" t="n">
        <f aca="false">IF('RAW ASH'!G116="","",'RAW ASH'!G116)</f>
        <v>410</v>
      </c>
      <c r="L645" s="50" t="str">
        <f aca="false">IF('RAW ASH'!H116="","",'RAW ASH'!H116)</f>
        <v/>
      </c>
      <c r="M645" s="48" t="str">
        <f aca="false">IF('RAW ASH'!I116="","",'RAW ASH'!I116)</f>
        <v/>
      </c>
    </row>
    <row r="646" customFormat="false" ht="15" hidden="false" customHeight="false" outlineLevel="0" collapsed="false">
      <c r="A646" s="1" t="s">
        <v>1790</v>
      </c>
      <c r="B646" s="1" t="s">
        <v>155</v>
      </c>
      <c r="C646" s="1" t="s">
        <v>1147</v>
      </c>
      <c r="D646" s="1" t="n">
        <v>117</v>
      </c>
      <c r="E646" s="48" t="str">
        <f aca="false">IF('RAW ASH'!B117="","",'RAW ASH'!B117)</f>
        <v>Fall Prevention</v>
      </c>
      <c r="F646" s="48" t="str">
        <f aca="false">IF('RAW ASH'!C117="","",'RAW ASH'!C117)</f>
        <v>Comm Hlth Ed</v>
      </c>
      <c r="G646" s="49" t="str">
        <f aca="false">IF('RAW ASH'!A117="","",'RAW ASH'!A117)</f>
        <v>12/09/2025</v>
      </c>
      <c r="H646" s="48" t="str">
        <f aca="false">IF('RAW ASH'!D117="","",'RAW ASH'!D117)</f>
        <v>PT</v>
      </c>
      <c r="I646" s="48" t="n">
        <f aca="false">IF('RAW ASH'!E117="","",'RAW ASH'!E117)</f>
        <v>2</v>
      </c>
      <c r="J646" s="48" t="n">
        <f aca="false">IF('RAW ASH'!F117="","",'RAW ASH'!F117)</f>
        <v>13</v>
      </c>
      <c r="K646" s="50" t="n">
        <f aca="false">IF('RAW ASH'!G117="","",'RAW ASH'!G117)</f>
        <v>65</v>
      </c>
      <c r="L646" s="50" t="str">
        <f aca="false">IF('RAW ASH'!H117="","",'RAW ASH'!H117)</f>
        <v/>
      </c>
      <c r="M646" s="48" t="str">
        <f aca="false">IF('RAW ASH'!I117="","",'RAW ASH'!I117)</f>
        <v/>
      </c>
    </row>
    <row r="647" customFormat="false" ht="15" hidden="false" customHeight="false" outlineLevel="0" collapsed="false">
      <c r="A647" s="1" t="s">
        <v>1791</v>
      </c>
      <c r="B647" s="1" t="s">
        <v>155</v>
      </c>
      <c r="C647" s="1" t="s">
        <v>1147</v>
      </c>
      <c r="D647" s="1" t="n">
        <v>118</v>
      </c>
      <c r="E647" s="48" t="str">
        <f aca="false">IF('RAW ASH'!B118="","",'RAW ASH'!B118)</f>
        <v>Regional Health Coalition Mtg</v>
      </c>
      <c r="F647" s="48" t="str">
        <f aca="false">IF('RAW ASH'!C118="","",'RAW ASH'!C118)</f>
        <v>CB-Coalition Bldg</v>
      </c>
      <c r="G647" s="49" t="str">
        <f aca="false">IF('RAW ASH'!A118="","",'RAW ASH'!A118)</f>
        <v>12/12/2025</v>
      </c>
      <c r="H647" s="48" t="str">
        <f aca="false">IF('RAW ASH'!D118="","",'RAW ASH'!D118)</f>
        <v>CB Manager</v>
      </c>
      <c r="I647" s="48" t="n">
        <f aca="false">IF('RAW ASH'!E118="","",'RAW ASH'!E118)</f>
        <v>3</v>
      </c>
      <c r="J647" s="48" t="str">
        <f aca="false">IF('RAW ASH'!F118="","",'RAW ASH'!F118)</f>
        <v/>
      </c>
      <c r="K647" s="50" t="str">
        <f aca="false">IF('RAW ASH'!G118="","",'RAW ASH'!G118)</f>
        <v/>
      </c>
      <c r="L647" s="50" t="str">
        <f aca="false">IF('RAW ASH'!H118="","",'RAW ASH'!H118)</f>
        <v/>
      </c>
      <c r="M647" s="48" t="str">
        <f aca="false">IF('RAW ASH'!I118="","",'RAW ASH'!I118)</f>
        <v/>
      </c>
    </row>
    <row r="648" customFormat="false" ht="15" hidden="false" customHeight="false" outlineLevel="0" collapsed="false">
      <c r="A648" s="1" t="s">
        <v>1792</v>
      </c>
      <c r="B648" s="1" t="s">
        <v>155</v>
      </c>
      <c r="C648" s="1" t="s">
        <v>1147</v>
      </c>
      <c r="D648" s="1" t="n">
        <v>119</v>
      </c>
      <c r="E648" s="48" t="str">
        <f aca="false">IF('RAW ASH'!B119="","",'RAW ASH'!B119)</f>
        <v>Regional Health Coalition Mtg</v>
      </c>
      <c r="F648" s="48" t="str">
        <f aca="false">IF('RAW ASH'!C119="","",'RAW ASH'!C119)</f>
        <v>CB-Coalition Bldg</v>
      </c>
      <c r="G648" s="49" t="str">
        <f aca="false">IF('RAW ASH'!A119="","",'RAW ASH'!A119)</f>
        <v>12/12/2025</v>
      </c>
      <c r="H648" s="48" t="str">
        <f aca="false">IF('RAW ASH'!D119="","",'RAW ASH'!D119)</f>
        <v>Dir.</v>
      </c>
      <c r="I648" s="48" t="n">
        <f aca="false">IF('RAW ASH'!E119="","",'RAW ASH'!E119)</f>
        <v>2.75</v>
      </c>
      <c r="J648" s="48" t="str">
        <f aca="false">IF('RAW ASH'!F119="","",'RAW ASH'!F119)</f>
        <v/>
      </c>
      <c r="K648" s="50" t="n">
        <f aca="false">IF('RAW ASH'!G119="","",'RAW ASH'!G119)</f>
        <v>110</v>
      </c>
      <c r="L648" s="50" t="str">
        <f aca="false">IF('RAW ASH'!H119="","",'RAW ASH'!H119)</f>
        <v/>
      </c>
      <c r="M648" s="48" t="str">
        <f aca="false">IF('RAW ASH'!I119="","",'RAW ASH'!I119)</f>
        <v/>
      </c>
    </row>
    <row r="649" customFormat="false" ht="15" hidden="false" customHeight="false" outlineLevel="0" collapsed="false">
      <c r="A649" s="1" t="s">
        <v>1793</v>
      </c>
      <c r="B649" s="1" t="s">
        <v>155</v>
      </c>
      <c r="C649" s="1" t="s">
        <v>1147</v>
      </c>
      <c r="D649" s="1" t="n">
        <v>120</v>
      </c>
      <c r="E649" s="48" t="str">
        <f aca="false">IF('RAW ASH'!B120="","",'RAW ASH'!B120)</f>
        <v>DPP Classes</v>
      </c>
      <c r="F649" s="48" t="str">
        <f aca="false">IF('RAW ASH'!C120="","",'RAW ASH'!C120)</f>
        <v>Comm Hlth Ed</v>
      </c>
      <c r="G649" s="49" t="str">
        <f aca="false">IF('RAW ASH'!A120="","",'RAW ASH'!A120)</f>
        <v>12/16/2025</v>
      </c>
      <c r="H649" s="48" t="str">
        <f aca="false">IF('RAW ASH'!D120="","",'RAW ASH'!D120)</f>
        <v>Hlth Educator</v>
      </c>
      <c r="I649" s="48" t="n">
        <f aca="false">IF('RAW ASH'!E120="","",'RAW ASH'!E120)</f>
        <v>2</v>
      </c>
      <c r="J649" s="48" t="n">
        <f aca="false">IF('RAW ASH'!F120="","",'RAW ASH'!F120)</f>
        <v>17</v>
      </c>
      <c r="K649" s="50" t="n">
        <f aca="false">IF('RAW ASH'!G120="","",'RAW ASH'!G120)</f>
        <v>120</v>
      </c>
      <c r="L649" s="50" t="str">
        <f aca="false">IF('RAW ASH'!H120="","",'RAW ASH'!H120)</f>
        <v/>
      </c>
      <c r="M649" s="48" t="str">
        <f aca="false">IF('RAW ASH'!I120="","",'RAW ASH'!I120)</f>
        <v/>
      </c>
    </row>
    <row r="650" customFormat="false" ht="15" hidden="false" customHeight="false" outlineLevel="0" collapsed="false">
      <c r="A650" s="1" t="s">
        <v>1794</v>
      </c>
      <c r="B650" s="1" t="s">
        <v>155</v>
      </c>
      <c r="C650" s="1" t="s">
        <v>1147</v>
      </c>
      <c r="D650" s="1" t="n">
        <v>121</v>
      </c>
      <c r="E650" s="48" t="str">
        <f aca="false">IF('RAW ASH'!B121="","",'RAW ASH'!B121)</f>
        <v>DPP Classes</v>
      </c>
      <c r="F650" s="48" t="str">
        <f aca="false">IF('RAW ASH'!C121="","",'RAW ASH'!C121)</f>
        <v>Comm Hlth Ed</v>
      </c>
      <c r="G650" s="49" t="str">
        <f aca="false">IF('RAW ASH'!A121="","",'RAW ASH'!A121)</f>
        <v>12/16/2025</v>
      </c>
      <c r="H650" s="48" t="str">
        <f aca="false">IF('RAW ASH'!D121="","",'RAW ASH'!D121)</f>
        <v>Clinical Dietitian</v>
      </c>
      <c r="I650" s="48" t="n">
        <f aca="false">IF('RAW ASH'!E121="","",'RAW ASH'!E121)</f>
        <v>2</v>
      </c>
      <c r="J650" s="48" t="str">
        <f aca="false">IF('RAW ASH'!F121="","",'RAW ASH'!F121)</f>
        <v/>
      </c>
      <c r="K650" s="50" t="str">
        <f aca="false">IF('RAW ASH'!G121="","",'RAW ASH'!G121)</f>
        <v/>
      </c>
      <c r="L650" s="50" t="str">
        <f aca="false">IF('RAW ASH'!H121="","",'RAW ASH'!H121)</f>
        <v/>
      </c>
      <c r="M650" s="48" t="str">
        <f aca="false">IF('RAW ASH'!I121="","",'RAW ASH'!I121)</f>
        <v/>
      </c>
    </row>
    <row r="651" customFormat="false" ht="15" hidden="false" customHeight="false" outlineLevel="0" collapsed="false">
      <c r="A651" s="1" t="s">
        <v>1795</v>
      </c>
      <c r="B651" s="1" t="s">
        <v>155</v>
      </c>
      <c r="C651" s="1" t="s">
        <v>1147</v>
      </c>
      <c r="D651" s="1" t="n">
        <v>122</v>
      </c>
      <c r="E651" s="48" t="str">
        <f aca="false">IF('RAW ASH'!B122="","",'RAW ASH'!B122)</f>
        <v>BP Checks</v>
      </c>
      <c r="F651" s="48" t="str">
        <f aca="false">IF('RAW ASH'!C122="","",'RAW ASH'!C122)</f>
        <v>Clinical Svcs</v>
      </c>
      <c r="G651" s="49" t="str">
        <f aca="false">IF('RAW ASH'!A122="","",'RAW ASH'!A122)</f>
        <v>12/18/2025</v>
      </c>
      <c r="H651" s="48" t="str">
        <f aca="false">IF('RAW ASH'!D122="","",'RAW ASH'!D122)</f>
        <v>RN</v>
      </c>
      <c r="I651" s="48" t="n">
        <f aca="false">IF('RAW ASH'!E122="","",'RAW ASH'!E122)</f>
        <v>3</v>
      </c>
      <c r="J651" s="48" t="n">
        <f aca="false">IF('RAW ASH'!F122="","",'RAW ASH'!F122)</f>
        <v>64</v>
      </c>
      <c r="K651" s="50" t="n">
        <f aca="false">IF('RAW ASH'!G122="","",'RAW ASH'!G122)</f>
        <v>105</v>
      </c>
      <c r="L651" s="50" t="str">
        <f aca="false">IF('RAW ASH'!H122="","",'RAW ASH'!H122)</f>
        <v/>
      </c>
      <c r="M651" s="48" t="str">
        <f aca="false">IF('RAW ASH'!I122="","",'RAW ASH'!I122)</f>
        <v/>
      </c>
    </row>
    <row r="652" customFormat="false" ht="15" hidden="false" customHeight="false" outlineLevel="0" collapsed="false">
      <c r="A652" s="1" t="s">
        <v>1796</v>
      </c>
      <c r="B652" s="1" t="s">
        <v>155</v>
      </c>
      <c r="C652" s="1" t="s">
        <v>1147</v>
      </c>
      <c r="D652" s="1" t="n">
        <v>123</v>
      </c>
      <c r="E652" s="48" t="str">
        <f aca="false">IF('RAW ASH'!B123="","",'RAW ASH'!B123)</f>
        <v>Food Bank Gift</v>
      </c>
      <c r="F652" s="48" t="str">
        <f aca="false">IF('RAW ASH'!C123="","",'RAW ASH'!C123)</f>
        <v>Contributions</v>
      </c>
      <c r="G652" s="49" t="str">
        <f aca="false">IF('RAW ASH'!A123="","",'RAW ASH'!A123)</f>
        <v>12/18/2025</v>
      </c>
      <c r="H652" s="48" t="str">
        <f aca="false">IF('RAW ASH'!D123="","",'RAW ASH'!D123)</f>
        <v>-</v>
      </c>
      <c r="I652" s="48" t="str">
        <f aca="false">IF('RAW ASH'!E123="","",'RAW ASH'!E123)</f>
        <v/>
      </c>
      <c r="J652" s="48" t="str">
        <f aca="false">IF('RAW ASH'!F123="","",'RAW ASH'!F123)</f>
        <v/>
      </c>
      <c r="K652" s="50" t="n">
        <f aca="false">IF('RAW ASH'!G123="","",'RAW ASH'!G123)</f>
        <v>80840</v>
      </c>
      <c r="L652" s="50" t="str">
        <f aca="false">IF('RAW ASH'!H123="","",'RAW ASH'!H123)</f>
        <v/>
      </c>
      <c r="M652" s="48" t="str">
        <f aca="false">IF('RAW ASH'!I123="","",'RAW ASH'!I123)</f>
        <v/>
      </c>
    </row>
    <row r="653" customFormat="false" ht="15" hidden="false" customHeight="false" outlineLevel="0" collapsed="false">
      <c r="A653" s="1" t="s">
        <v>1797</v>
      </c>
      <c r="B653" s="1" t="s">
        <v>155</v>
      </c>
      <c r="C653" s="1" t="s">
        <v>1147</v>
      </c>
      <c r="D653" s="1" t="n">
        <v>124</v>
      </c>
      <c r="E653" s="48" t="str">
        <f aca="false">IF('RAW ASH'!B124="","",'RAW ASH'!B124)</f>
        <v>Leadership Academy</v>
      </c>
      <c r="F653" s="48" t="str">
        <f aca="false">IF('RAW ASH'!C124="","",'RAW ASH'!C124)</f>
        <v>CB-Leadership Dev</v>
      </c>
      <c r="G653" s="49" t="str">
        <f aca="false">IF('RAW ASH'!A124="","",'RAW ASH'!A124)</f>
        <v>12/20/2025</v>
      </c>
      <c r="H653" s="48" t="str">
        <f aca="false">IF('RAW ASH'!D124="","",'RAW ASH'!D124)</f>
        <v>Wellness Educator</v>
      </c>
      <c r="I653" s="48" t="n">
        <f aca="false">IF('RAW ASH'!E124="","",'RAW ASH'!E124)</f>
        <v>3.25</v>
      </c>
      <c r="J653" s="48" t="str">
        <f aca="false">IF('RAW ASH'!F124="","",'RAW ASH'!F124)</f>
        <v/>
      </c>
      <c r="K653" s="50" t="str">
        <f aca="false">IF('RAW ASH'!G124="","",'RAW ASH'!G124)</f>
        <v/>
      </c>
      <c r="L653" s="50" t="str">
        <f aca="false">IF('RAW ASH'!H124="","",'RAW ASH'!H124)</f>
        <v/>
      </c>
      <c r="M653" s="48" t="str">
        <f aca="false">IF('RAW ASH'!I124="","",'RAW ASH'!I124)</f>
        <v/>
      </c>
    </row>
    <row r="654" customFormat="false" ht="15" hidden="false" customHeight="false" outlineLevel="0" collapsed="false">
      <c r="A654" s="1" t="s">
        <v>1798</v>
      </c>
      <c r="B654" s="1" t="s">
        <v>155</v>
      </c>
      <c r="C654" s="1" t="s">
        <v>1147</v>
      </c>
      <c r="D654" s="1" t="n">
        <v>125</v>
      </c>
      <c r="E654" s="48" t="str">
        <f aca="false">IF('RAW ASH'!B125="","",'RAW ASH'!B125)</f>
        <v>Leadership Academy</v>
      </c>
      <c r="F654" s="48" t="str">
        <f aca="false">IF('RAW ASH'!C125="","",'RAW ASH'!C125)</f>
        <v>CB-Leadership Dev</v>
      </c>
      <c r="G654" s="49" t="str">
        <f aca="false">IF('RAW ASH'!A125="","",'RAW ASH'!A125)</f>
        <v>12/20/2025</v>
      </c>
      <c r="H654" s="48" t="str">
        <f aca="false">IF('RAW ASH'!D125="","",'RAW ASH'!D125)</f>
        <v>Prog Coord</v>
      </c>
      <c r="I654" s="48" t="n">
        <f aca="false">IF('RAW ASH'!E125="","",'RAW ASH'!E125)</f>
        <v>4.5</v>
      </c>
      <c r="J654" s="48" t="n">
        <f aca="false">IF('RAW ASH'!F125="","",'RAW ASH'!F125)</f>
        <v>16</v>
      </c>
      <c r="K654" s="50" t="n">
        <f aca="false">IF('RAW ASH'!G125="","",'RAW ASH'!G125)</f>
        <v>750</v>
      </c>
      <c r="L654" s="50" t="str">
        <f aca="false">IF('RAW ASH'!H125="","",'RAW ASH'!H125)</f>
        <v/>
      </c>
      <c r="M654" s="48" t="str">
        <f aca="false">IF('RAW ASH'!I125="","",'RAW ASH'!I125)</f>
        <v/>
      </c>
    </row>
    <row r="655" customFormat="false" ht="15" hidden="false" customHeight="false" outlineLevel="0" collapsed="false">
      <c r="A655" s="1" t="s">
        <v>1799</v>
      </c>
      <c r="B655" s="1" t="s">
        <v>155</v>
      </c>
      <c r="C655" s="1" t="s">
        <v>1147</v>
      </c>
      <c r="D655" s="1" t="n">
        <v>126</v>
      </c>
      <c r="E655" s="48" t="str">
        <f aca="false">IF('RAW ASH'!B126="","",'RAW ASH'!B126)</f>
        <v>Mobile Screening Unit</v>
      </c>
      <c r="F655" s="48" t="str">
        <f aca="false">IF('RAW ASH'!C126="","",'RAW ASH'!C126)</f>
        <v>Clinical Svcs</v>
      </c>
      <c r="G655" s="49" t="str">
        <f aca="false">IF('RAW ASH'!A126="","",'RAW ASH'!A126)</f>
        <v>12/31/2025</v>
      </c>
      <c r="H655" s="48" t="str">
        <f aca="false">IF('RAW ASH'!D126="","",'RAW ASH'!D126)</f>
        <v>CHW</v>
      </c>
      <c r="I655" s="48" t="n">
        <f aca="false">IF('RAW ASH'!E126="","",'RAW ASH'!E126)</f>
        <v>64.25</v>
      </c>
      <c r="J655" s="48" t="str">
        <f aca="false">IF('RAW ASH'!F126="","",'RAW ASH'!F126)</f>
        <v/>
      </c>
      <c r="K655" s="50" t="str">
        <f aca="false">IF('RAW ASH'!G126="","",'RAW ASH'!G126)</f>
        <v/>
      </c>
      <c r="L655" s="50" t="str">
        <f aca="false">IF('RAW ASH'!H126="","",'RAW ASH'!H126)</f>
        <v/>
      </c>
      <c r="M655" s="48" t="str">
        <f aca="false">IF('RAW ASH'!I126="","",'RAW ASH'!I126)</f>
        <v/>
      </c>
    </row>
    <row r="656" customFormat="false" ht="15" hidden="false" customHeight="false" outlineLevel="0" collapsed="false">
      <c r="A656" s="1" t="s">
        <v>1800</v>
      </c>
      <c r="B656" s="1" t="s">
        <v>155</v>
      </c>
      <c r="C656" s="1" t="s">
        <v>1147</v>
      </c>
      <c r="D656" s="1" t="n">
        <v>127</v>
      </c>
      <c r="E656" s="48" t="str">
        <f aca="false">IF('RAW ASH'!B127="","",'RAW ASH'!B127)</f>
        <v>Mobile Screening Unit</v>
      </c>
      <c r="F656" s="48" t="str">
        <f aca="false">IF('RAW ASH'!C127="","",'RAW ASH'!C127)</f>
        <v>Clinical Svcs</v>
      </c>
      <c r="G656" s="49" t="str">
        <f aca="false">IF('RAW ASH'!A127="","",'RAW ASH'!A127)</f>
        <v>12/31/2025</v>
      </c>
      <c r="H656" s="48" t="str">
        <f aca="false">IF('RAW ASH'!D127="","",'RAW ASH'!D127)</f>
        <v>MA</v>
      </c>
      <c r="I656" s="48" t="n">
        <f aca="false">IF('RAW ASH'!E127="","",'RAW ASH'!E127)</f>
        <v>89.25</v>
      </c>
      <c r="J656" s="48" t="str">
        <f aca="false">IF('RAW ASH'!F127="","",'RAW ASH'!F127)</f>
        <v/>
      </c>
      <c r="K656" s="50" t="str">
        <f aca="false">IF('RAW ASH'!G127="","",'RAW ASH'!G127)</f>
        <v/>
      </c>
      <c r="L656" s="50" t="str">
        <f aca="false">IF('RAW ASH'!H127="","",'RAW ASH'!H127)</f>
        <v/>
      </c>
      <c r="M656" s="48" t="str">
        <f aca="false">IF('RAW ASH'!I127="","",'RAW ASH'!I127)</f>
        <v/>
      </c>
    </row>
    <row r="657" customFormat="false" ht="15" hidden="false" customHeight="false" outlineLevel="0" collapsed="false">
      <c r="A657" s="1" t="s">
        <v>1801</v>
      </c>
      <c r="B657" s="1" t="s">
        <v>155</v>
      </c>
      <c r="C657" s="1" t="s">
        <v>1147</v>
      </c>
      <c r="D657" s="1" t="n">
        <v>128</v>
      </c>
      <c r="E657" s="48" t="str">
        <f aca="false">IF('RAW ASH'!B128="","",'RAW ASH'!B128)</f>
        <v>Mobile Screening Unit</v>
      </c>
      <c r="F657" s="48" t="str">
        <f aca="false">IF('RAW ASH'!C128="","",'RAW ASH'!C128)</f>
        <v>Clinical Svcs</v>
      </c>
      <c r="G657" s="49" t="str">
        <f aca="false">IF('RAW ASH'!A128="","",'RAW ASH'!A128)</f>
        <v>12/31/2025</v>
      </c>
      <c r="H657" s="48" t="str">
        <f aca="false">IF('RAW ASH'!D128="","",'RAW ASH'!D128)</f>
        <v>RN - Outreach</v>
      </c>
      <c r="I657" s="48" t="n">
        <f aca="false">IF('RAW ASH'!E128="","",'RAW ASH'!E128)</f>
        <v>69</v>
      </c>
      <c r="J657" s="48" t="n">
        <f aca="false">IF('RAW ASH'!F128="","",'RAW ASH'!F128)</f>
        <v>252</v>
      </c>
      <c r="K657" s="50" t="n">
        <f aca="false">IF('RAW ASH'!G128="","",'RAW ASH'!G128)</f>
        <v>7465</v>
      </c>
      <c r="L657" s="50" t="str">
        <f aca="false">IF('RAW ASH'!H128="","",'RAW ASH'!H128)</f>
        <v/>
      </c>
      <c r="M657" s="48" t="str">
        <f aca="false">IF('RAW ASH'!I128="","",'RAW ASH'!I128)</f>
        <v/>
      </c>
    </row>
    <row r="658" customFormat="false" ht="15" hidden="false" customHeight="false" outlineLevel="0" collapsed="false">
      <c r="A658" s="1" t="s">
        <v>1802</v>
      </c>
      <c r="B658" s="1" t="s">
        <v>155</v>
      </c>
      <c r="C658" s="1" t="s">
        <v>1147</v>
      </c>
      <c r="D658" s="1" t="n">
        <v>129</v>
      </c>
      <c r="E658" s="48" t="str">
        <f aca="false">IF('RAW ASH'!B129="","",'RAW ASH'!B129)</f>
        <v>CHW Outreach</v>
      </c>
      <c r="F658" s="48" t="str">
        <f aca="false">IF('RAW ASH'!C129="","",'RAW ASH'!C129)</f>
        <v>Support Svcs</v>
      </c>
      <c r="G658" s="49" t="str">
        <f aca="false">IF('RAW ASH'!A129="","",'RAW ASH'!A129)</f>
        <v>12/31/2025</v>
      </c>
      <c r="H658" s="48" t="str">
        <f aca="false">IF('RAW ASH'!D129="","",'RAW ASH'!D129)</f>
        <v>CHW II</v>
      </c>
      <c r="I658" s="48" t="n">
        <f aca="false">IF('RAW ASH'!E129="","",'RAW ASH'!E129)</f>
        <v>306</v>
      </c>
      <c r="J658" s="48" t="n">
        <f aca="false">IF('RAW ASH'!F129="","",'RAW ASH'!F129)</f>
        <v>445</v>
      </c>
      <c r="K658" s="50" t="n">
        <f aca="false">IF('RAW ASH'!G129="","",'RAW ASH'!G129)</f>
        <v>1170</v>
      </c>
      <c r="L658" s="50" t="n">
        <f aca="false">IF('RAW ASH'!H129="","",'RAW ASH'!H129)</f>
        <v>7500</v>
      </c>
      <c r="M658" s="48" t="str">
        <f aca="false">IF('RAW ASH'!I129="","",'RAW ASH'!I129)</f>
        <v/>
      </c>
    </row>
    <row r="659" customFormat="false" ht="15" hidden="false" customHeight="false" outlineLevel="0" collapsed="false">
      <c r="A659" s="1" t="s">
        <v>1803</v>
      </c>
      <c r="B659" s="1" t="s">
        <v>155</v>
      </c>
      <c r="C659" s="1" t="s">
        <v>1147</v>
      </c>
      <c r="D659" s="1" t="n">
        <v>130</v>
      </c>
      <c r="E659" s="48" t="str">
        <f aca="false">IF('RAW ASH'!B130="","",'RAW ASH'!B130)</f>
        <v>CHW Outreach</v>
      </c>
      <c r="F659" s="48" t="str">
        <f aca="false">IF('RAW ASH'!C130="","",'RAW ASH'!C130)</f>
        <v>Support Svcs</v>
      </c>
      <c r="G659" s="49" t="str">
        <f aca="false">IF('RAW ASH'!A130="","",'RAW ASH'!A130)</f>
        <v>12/31/2025</v>
      </c>
      <c r="H659" s="48" t="str">
        <f aca="false">IF('RAW ASH'!D130="","",'RAW ASH'!D130)</f>
        <v>Nurse Navigator</v>
      </c>
      <c r="I659" s="48" t="n">
        <f aca="false">IF('RAW ASH'!E130="","",'RAW ASH'!E130)</f>
        <v>137</v>
      </c>
      <c r="J659" s="48" t="str">
        <f aca="false">IF('RAW ASH'!F130="","",'RAW ASH'!F130)</f>
        <v/>
      </c>
      <c r="K659" s="50" t="str">
        <f aca="false">IF('RAW ASH'!G130="","",'RAW ASH'!G130)</f>
        <v/>
      </c>
      <c r="L659" s="50" t="str">
        <f aca="false">IF('RAW ASH'!H130="","",'RAW ASH'!H130)</f>
        <v/>
      </c>
      <c r="M659" s="48" t="str">
        <f aca="false">IF('RAW ASH'!I130="","",'RAW ASH'!I130)</f>
        <v/>
      </c>
    </row>
    <row r="660" customFormat="false" ht="15" hidden="false" customHeight="false" outlineLevel="0" collapsed="false">
      <c r="A660" s="1" t="s">
        <v>1804</v>
      </c>
      <c r="B660" s="1" t="s">
        <v>155</v>
      </c>
      <c r="C660" s="1" t="s">
        <v>1147</v>
      </c>
      <c r="D660" s="1" t="n">
        <v>131</v>
      </c>
      <c r="E660" s="48" t="str">
        <f aca="false">IF('RAW ASH'!B131="","",'RAW ASH'!B131)</f>
        <v>Produce Rx</v>
      </c>
      <c r="F660" s="48" t="str">
        <f aca="false">IF('RAW ASH'!C131="","",'RAW ASH'!C131)</f>
        <v>Support Svcs</v>
      </c>
      <c r="G660" s="49" t="str">
        <f aca="false">IF('RAW ASH'!A131="","",'RAW ASH'!A131)</f>
        <v>12/31/2025</v>
      </c>
      <c r="H660" s="48" t="str">
        <f aca="false">IF('RAW ASH'!D131="","",'RAW ASH'!D131)</f>
        <v>Comm Health Worker</v>
      </c>
      <c r="I660" s="48" t="str">
        <f aca="false">IF('RAW ASH'!E131="","",'RAW ASH'!E131)</f>
        <v>60 hrs</v>
      </c>
      <c r="J660" s="48" t="str">
        <f aca="false">IF('RAW ASH'!F131="","",'RAW ASH'!F131)</f>
        <v/>
      </c>
      <c r="K660" s="50" t="str">
        <f aca="false">IF('RAW ASH'!G131="","",'RAW ASH'!G131)</f>
        <v/>
      </c>
      <c r="L660" s="50" t="str">
        <f aca="false">IF('RAW ASH'!H131="","",'RAW ASH'!H131)</f>
        <v/>
      </c>
      <c r="M660" s="48" t="str">
        <f aca="false">IF('RAW ASH'!I131="","",'RAW ASH'!I131)</f>
        <v/>
      </c>
    </row>
    <row r="661" customFormat="false" ht="15" hidden="false" customHeight="false" outlineLevel="0" collapsed="false">
      <c r="A661" s="1" t="s">
        <v>1805</v>
      </c>
      <c r="B661" s="1" t="s">
        <v>155</v>
      </c>
      <c r="C661" s="1" t="s">
        <v>1147</v>
      </c>
      <c r="D661" s="1" t="n">
        <v>132</v>
      </c>
      <c r="E661" s="48" t="str">
        <f aca="false">IF('RAW ASH'!B132="","",'RAW ASH'!B132)</f>
        <v>Produce Rx</v>
      </c>
      <c r="F661" s="48" t="str">
        <f aca="false">IF('RAW ASH'!C132="","",'RAW ASH'!C132)</f>
        <v>Support Svcs</v>
      </c>
      <c r="G661" s="49" t="str">
        <f aca="false">IF('RAW ASH'!A132="","",'RAW ASH'!A132)</f>
        <v>12/31/2025</v>
      </c>
      <c r="H661" s="48" t="str">
        <f aca="false">IF('RAW ASH'!D132="","",'RAW ASH'!D132)</f>
        <v>Nutritionist</v>
      </c>
      <c r="I661" s="48" t="n">
        <f aca="false">IF('RAW ASH'!E132="","",'RAW ASH'!E132)</f>
        <v>22</v>
      </c>
      <c r="J661" s="48" t="n">
        <f aca="false">IF('RAW ASH'!F132="","",'RAW ASH'!F132)</f>
        <v>125</v>
      </c>
      <c r="K661" s="50" t="n">
        <f aca="false">IF('RAW ASH'!G132="","",'RAW ASH'!G132)</f>
        <v>13125</v>
      </c>
      <c r="L661" s="50" t="n">
        <f aca="false">IF('RAW ASH'!H132="","",'RAW ASH'!H132)</f>
        <v>6410</v>
      </c>
      <c r="M661" s="48" t="str">
        <f aca="false">IF('RAW ASH'!I132="","",'RAW ASH'!I132)</f>
        <v/>
      </c>
    </row>
    <row r="662" customFormat="false" ht="15" hidden="false" customHeight="false" outlineLevel="0" collapsed="false">
      <c r="A662" s="1" t="s">
        <v>1806</v>
      </c>
      <c r="B662" s="1" t="s">
        <v>155</v>
      </c>
      <c r="C662" s="1" t="s">
        <v>1147</v>
      </c>
      <c r="D662" s="1" t="n">
        <v>133</v>
      </c>
      <c r="E662" s="48" t="str">
        <f aca="false">IF('RAW ASH'!B133="","",'RAW ASH'!B133)</f>
        <v>CB Program Admin</v>
      </c>
      <c r="F662" s="48" t="str">
        <f aca="false">IF('RAW ASH'!C133="","",'RAW ASH'!C133)</f>
        <v>CB Admin</v>
      </c>
      <c r="G662" s="49" t="str">
        <f aca="false">IF('RAW ASH'!A133="","",'RAW ASH'!A133)</f>
        <v>12/31/2025</v>
      </c>
      <c r="H662" s="48" t="str">
        <f aca="false">IF('RAW ASH'!D133="","",'RAW ASH'!D133)</f>
        <v>Unit Secretary</v>
      </c>
      <c r="I662" s="48" t="n">
        <f aca="false">IF('RAW ASH'!E133="","",'RAW ASH'!E133)</f>
        <v>41.5</v>
      </c>
      <c r="J662" s="48" t="str">
        <f aca="false">IF('RAW ASH'!F133="","",'RAW ASH'!F133)</f>
        <v/>
      </c>
      <c r="K662" s="50" t="str">
        <f aca="false">IF('RAW ASH'!G133="","",'RAW ASH'!G133)</f>
        <v/>
      </c>
      <c r="L662" s="50" t="str">
        <f aca="false">IF('RAW ASH'!H133="","",'RAW ASH'!H133)</f>
        <v/>
      </c>
      <c r="M662" s="48" t="str">
        <f aca="false">IF('RAW ASH'!I133="","",'RAW ASH'!I133)</f>
        <v/>
      </c>
    </row>
    <row r="663" customFormat="false" ht="15" hidden="false" customHeight="false" outlineLevel="0" collapsed="false">
      <c r="A663" s="1" t="s">
        <v>1807</v>
      </c>
      <c r="B663" s="1" t="s">
        <v>155</v>
      </c>
      <c r="C663" s="1" t="s">
        <v>1147</v>
      </c>
      <c r="D663" s="1" t="n">
        <v>134</v>
      </c>
      <c r="E663" s="48" t="str">
        <f aca="false">IF('RAW ASH'!B134="","",'RAW ASH'!B134)</f>
        <v>CB Program Admin</v>
      </c>
      <c r="F663" s="48" t="str">
        <f aca="false">IF('RAW ASH'!C134="","",'RAW ASH'!C134)</f>
        <v>CB Admin</v>
      </c>
      <c r="G663" s="49" t="str">
        <f aca="false">IF('RAW ASH'!A134="","",'RAW ASH'!A134)</f>
        <v>12/31/2025</v>
      </c>
      <c r="H663" s="48" t="str">
        <f aca="false">IF('RAW ASH'!D134="","",'RAW ASH'!D134)</f>
        <v>Mgr, Community Benefit</v>
      </c>
      <c r="I663" s="48" t="str">
        <f aca="false">IF('RAW ASH'!E134="","",'RAW ASH'!E134)</f>
        <v>58.25 hrs</v>
      </c>
      <c r="J663" s="48" t="str">
        <f aca="false">IF('RAW ASH'!F134="","",'RAW ASH'!F134)</f>
        <v/>
      </c>
      <c r="K663" s="50" t="n">
        <f aca="false">IF('RAW ASH'!G134="","",'RAW ASH'!G134)</f>
        <v>470</v>
      </c>
      <c r="L663" s="50" t="str">
        <f aca="false">IF('RAW ASH'!H134="","",'RAW ASH'!H134)</f>
        <v/>
      </c>
      <c r="M663" s="48" t="str">
        <f aca="false">IF('RAW ASH'!I134="","",'RAW ASH'!I134)</f>
        <v/>
      </c>
    </row>
    <row r="664" customFormat="false" ht="15" hidden="false" customHeight="false" outlineLevel="0" collapsed="false">
      <c r="A664" s="1" t="s">
        <v>1808</v>
      </c>
      <c r="B664" s="1" t="s">
        <v>155</v>
      </c>
      <c r="C664" s="1" t="s">
        <v>1147</v>
      </c>
      <c r="D664" s="1" t="n">
        <v>135</v>
      </c>
      <c r="E664" s="48" t="str">
        <f aca="false">IF('RAW ASH'!B135="","",'RAW ASH'!B135)</f>
        <v>Nursing Clinicals</v>
      </c>
      <c r="F664" s="48" t="str">
        <f aca="false">IF('RAW ASH'!C135="","",'RAW ASH'!C135)</f>
        <v>HPE</v>
      </c>
      <c r="G664" s="49" t="str">
        <f aca="false">IF('RAW ASH'!A135="","",'RAW ASH'!A135)</f>
        <v>12/31/2025</v>
      </c>
      <c r="H664" s="48" t="str">
        <f aca="false">IF('RAW ASH'!D135="","",'RAW ASH'!D135)</f>
        <v>RN Educator</v>
      </c>
      <c r="I664" s="48" t="str">
        <f aca="false">IF('RAW ASH'!E135="","",'RAW ASH'!E135)</f>
        <v>40.75 hrs</v>
      </c>
      <c r="J664" s="48" t="n">
        <f aca="false">IF('RAW ASH'!F135="","",'RAW ASH'!F135)</f>
        <v>11</v>
      </c>
      <c r="K664" s="50" t="n">
        <f aca="false">IF('RAW ASH'!G135="","",'RAW ASH'!G135)</f>
        <v>300</v>
      </c>
      <c r="L664" s="50" t="str">
        <f aca="false">IF('RAW ASH'!H135="","",'RAW ASH'!H135)</f>
        <v/>
      </c>
      <c r="M664" s="48" t="str">
        <f aca="false">IF('RAW ASH'!I135="","",'RAW ASH'!I135)</f>
        <v/>
      </c>
    </row>
    <row r="665" customFormat="false" ht="15" hidden="false" customHeight="false" outlineLevel="0" collapsed="false">
      <c r="A665" s="1" t="s">
        <v>1809</v>
      </c>
      <c r="B665" s="1" t="s">
        <v>155</v>
      </c>
      <c r="C665" s="1" t="s">
        <v>1147</v>
      </c>
      <c r="D665" s="1" t="n">
        <v>136</v>
      </c>
      <c r="E665" s="48" t="str">
        <f aca="false">IF('RAW ASH'!B136="","",'RAW ASH'!B136)</f>
        <v>Nursing Clinicals</v>
      </c>
      <c r="F665" s="48" t="str">
        <f aca="false">IF('RAW ASH'!C136="","",'RAW ASH'!C136)</f>
        <v>HPE</v>
      </c>
      <c r="G665" s="49" t="str">
        <f aca="false">IF('RAW ASH'!A136="","",'RAW ASH'!A136)</f>
        <v>12/31/2025</v>
      </c>
      <c r="H665" s="48" t="str">
        <f aca="false">IF('RAW ASH'!D136="","",'RAW ASH'!D136)</f>
        <v>Staff RN</v>
      </c>
      <c r="I665" s="48" t="n">
        <f aca="false">IF('RAW ASH'!E136="","",'RAW ASH'!E136)</f>
        <v>98.5</v>
      </c>
      <c r="J665" s="48" t="str">
        <f aca="false">IF('RAW ASH'!F136="","",'RAW ASH'!F136)</f>
        <v/>
      </c>
      <c r="K665" s="50" t="str">
        <f aca="false">IF('RAW ASH'!G136="","",'RAW ASH'!G136)</f>
        <v/>
      </c>
      <c r="L665" s="50" t="str">
        <f aca="false">IF('RAW ASH'!H136="","",'RAW ASH'!H136)</f>
        <v/>
      </c>
      <c r="M665" s="48" t="str">
        <f aca="false">IF('RAW ASH'!I136="","",'RAW ASH'!I136)</f>
        <v/>
      </c>
    </row>
    <row r="666" customFormat="false" ht="15" hidden="false" customHeight="false" outlineLevel="0" collapsed="false">
      <c r="A666" s="1" t="s">
        <v>1810</v>
      </c>
      <c r="B666" s="1" t="s">
        <v>155</v>
      </c>
      <c r="C666" s="1" t="s">
        <v>1147</v>
      </c>
      <c r="D666" s="1" t="n">
        <v>137</v>
      </c>
      <c r="E666" s="48" t="str">
        <f aca="false">IF('RAW ASH'!B137="","",'RAW ASH'!B137)</f>
        <v>Paramedic Students</v>
      </c>
      <c r="F666" s="48" t="str">
        <f aca="false">IF('RAW ASH'!C137="","",'RAW ASH'!C137)</f>
        <v>HPE</v>
      </c>
      <c r="G666" s="49" t="str">
        <f aca="false">IF('RAW ASH'!A137="","",'RAW ASH'!A137)</f>
        <v>12/31/2025</v>
      </c>
      <c r="H666" s="48" t="str">
        <f aca="false">IF('RAW ASH'!D137="","",'RAW ASH'!D137)</f>
        <v>Flight Paramedic</v>
      </c>
      <c r="I666" s="48" t="n">
        <f aca="false">IF('RAW ASH'!E137="","",'RAW ASH'!E137)</f>
        <v>60.25</v>
      </c>
      <c r="J666" s="48" t="n">
        <f aca="false">IF('RAW ASH'!F137="","",'RAW ASH'!F137)</f>
        <v>5</v>
      </c>
      <c r="K666" s="50" t="n">
        <f aca="false">IF('RAW ASH'!G137="","",'RAW ASH'!G137)</f>
        <v>85</v>
      </c>
      <c r="L666" s="50" t="str">
        <f aca="false">IF('RAW ASH'!H137="","",'RAW ASH'!H137)</f>
        <v/>
      </c>
      <c r="M666" s="48" t="str">
        <f aca="false">IF('RAW ASH'!I137="","",'RAW ASH'!I137)</f>
        <v/>
      </c>
    </row>
    <row r="667" customFormat="false" ht="15" hidden="false" customHeight="false" outlineLevel="0" collapsed="false">
      <c r="A667" s="1" t="s">
        <v>1811</v>
      </c>
      <c r="B667" s="1" t="s">
        <v>155</v>
      </c>
      <c r="C667" s="1" t="s">
        <v>1147</v>
      </c>
      <c r="D667" s="1" t="n">
        <v>138</v>
      </c>
      <c r="E667" s="48" t="str">
        <f aca="false">IF('RAW ASH'!B138="","",'RAW ASH'!B138)</f>
        <v>Fall Prevention</v>
      </c>
      <c r="F667" s="48" t="str">
        <f aca="false">IF('RAW ASH'!C138="","",'RAW ASH'!C138)</f>
        <v>Comm Hlth Ed</v>
      </c>
      <c r="G667" s="49" t="str">
        <f aca="false">IF('RAW ASH'!A138="","",'RAW ASH'!A138)</f>
        <v>01/05/2026</v>
      </c>
      <c r="H667" s="48" t="str">
        <f aca="false">IF('RAW ASH'!D138="","",'RAW ASH'!D138)</f>
        <v>RT</v>
      </c>
      <c r="I667" s="48" t="n">
        <f aca="false">IF('RAW ASH'!E138="","",'RAW ASH'!E138)</f>
        <v>2</v>
      </c>
      <c r="J667" s="48" t="n">
        <f aca="false">IF('RAW ASH'!F138="","",'RAW ASH'!F138)</f>
        <v>18</v>
      </c>
      <c r="K667" s="50" t="n">
        <f aca="false">IF('RAW ASH'!G138="","",'RAW ASH'!G138)</f>
        <v>45</v>
      </c>
      <c r="L667" s="50" t="str">
        <f aca="false">IF('RAW ASH'!H138="","",'RAW ASH'!H138)</f>
        <v/>
      </c>
      <c r="M667" s="48" t="str">
        <f aca="false">IF('RAW ASH'!I138="","",'RAW ASH'!I138)</f>
        <v/>
      </c>
    </row>
    <row r="668" customFormat="false" ht="15" hidden="false" customHeight="false" outlineLevel="0" collapsed="false">
      <c r="A668" s="1" t="s">
        <v>1812</v>
      </c>
      <c r="B668" s="1" t="s">
        <v>155</v>
      </c>
      <c r="C668" s="1" t="s">
        <v>1147</v>
      </c>
      <c r="D668" s="1" t="n">
        <v>139</v>
      </c>
      <c r="E668" s="48" t="str">
        <f aca="false">IF('RAW ASH'!B139="","",'RAW ASH'!B139)</f>
        <v>Regional Health Coalition Mtg</v>
      </c>
      <c r="F668" s="48" t="str">
        <f aca="false">IF('RAW ASH'!C139="","",'RAW ASH'!C139)</f>
        <v>CB-Coalition Bldg</v>
      </c>
      <c r="G668" s="49" t="str">
        <f aca="false">IF('RAW ASH'!A139="","",'RAW ASH'!A139)</f>
        <v>01/06/2026</v>
      </c>
      <c r="H668" s="48" t="str">
        <f aca="false">IF('RAW ASH'!D139="","",'RAW ASH'!D139)</f>
        <v>Mgr, Community Benefit</v>
      </c>
      <c r="I668" s="48" t="n">
        <f aca="false">IF('RAW ASH'!E139="","",'RAW ASH'!E139)</f>
        <v>2.75</v>
      </c>
      <c r="J668" s="48" t="str">
        <f aca="false">IF('RAW ASH'!F139="","",'RAW ASH'!F139)</f>
        <v/>
      </c>
      <c r="K668" s="50" t="str">
        <f aca="false">IF('RAW ASH'!G139="","",'RAW ASH'!G139)</f>
        <v/>
      </c>
      <c r="L668" s="50" t="str">
        <f aca="false">IF('RAW ASH'!H139="","",'RAW ASH'!H139)</f>
        <v/>
      </c>
      <c r="M668" s="48" t="str">
        <f aca="false">IF('RAW ASH'!I139="","",'RAW ASH'!I139)</f>
        <v/>
      </c>
    </row>
    <row r="669" customFormat="false" ht="15" hidden="false" customHeight="false" outlineLevel="0" collapsed="false">
      <c r="A669" s="1" t="s">
        <v>1813</v>
      </c>
      <c r="B669" s="1" t="s">
        <v>155</v>
      </c>
      <c r="C669" s="1" t="s">
        <v>1147</v>
      </c>
      <c r="D669" s="1" t="n">
        <v>140</v>
      </c>
      <c r="E669" s="48" t="str">
        <f aca="false">IF('RAW ASH'!B140="","",'RAW ASH'!B140)</f>
        <v>Regional Health Coalition Mtg</v>
      </c>
      <c r="F669" s="48" t="str">
        <f aca="false">IF('RAW ASH'!C140="","",'RAW ASH'!C140)</f>
        <v>CB-Coalition Bldg</v>
      </c>
      <c r="G669" s="49" t="str">
        <f aca="false">IF('RAW ASH'!A140="","",'RAW ASH'!A140)</f>
        <v>01/06/2026</v>
      </c>
      <c r="H669" s="48" t="str">
        <f aca="false">IF('RAW ASH'!D140="","",'RAW ASH'!D140)</f>
        <v>Director, Mission</v>
      </c>
      <c r="I669" s="48" t="n">
        <f aca="false">IF('RAW ASH'!E140="","",'RAW ASH'!E140)</f>
        <v>2.5</v>
      </c>
      <c r="J669" s="48" t="str">
        <f aca="false">IF('RAW ASH'!F140="","",'RAW ASH'!F140)</f>
        <v/>
      </c>
      <c r="K669" s="50" t="n">
        <f aca="false">IF('RAW ASH'!G140="","",'RAW ASH'!G140)</f>
        <v>70</v>
      </c>
      <c r="L669" s="50" t="str">
        <f aca="false">IF('RAW ASH'!H140="","",'RAW ASH'!H140)</f>
        <v/>
      </c>
      <c r="M669" s="48" t="str">
        <f aca="false">IF('RAW ASH'!I140="","",'RAW ASH'!I140)</f>
        <v/>
      </c>
    </row>
    <row r="670" customFormat="false" ht="15" hidden="false" customHeight="false" outlineLevel="0" collapsed="false">
      <c r="A670" s="1" t="s">
        <v>1814</v>
      </c>
      <c r="B670" s="1" t="s">
        <v>155</v>
      </c>
      <c r="C670" s="1" t="s">
        <v>1147</v>
      </c>
      <c r="D670" s="1" t="n">
        <v>141</v>
      </c>
      <c r="E670" s="48" t="str">
        <f aca="false">IF('RAW ASH'!B141="","",'RAW ASH'!B141)</f>
        <v>DPP Classes</v>
      </c>
      <c r="F670" s="48" t="str">
        <f aca="false">IF('RAW ASH'!C141="","",'RAW ASH'!C141)</f>
        <v>Comm Hlth Ed</v>
      </c>
      <c r="G670" s="49" t="str">
        <f aca="false">IF('RAW ASH'!A141="","",'RAW ASH'!A141)</f>
        <v>01/08/2026</v>
      </c>
      <c r="H670" s="48" t="str">
        <f aca="false">IF('RAW ASH'!D141="","",'RAW ASH'!D141)</f>
        <v>Health Education Specialist</v>
      </c>
      <c r="I670" s="48" t="n">
        <f aca="false">IF('RAW ASH'!E141="","",'RAW ASH'!E141)</f>
        <v>3</v>
      </c>
      <c r="J670" s="48" t="n">
        <f aca="false">IF('RAW ASH'!F141="","",'RAW ASH'!F141)</f>
        <v>11</v>
      </c>
      <c r="K670" s="50" t="n">
        <f aca="false">IF('RAW ASH'!G141="","",'RAW ASH'!G141)</f>
        <v>125</v>
      </c>
      <c r="L670" s="50" t="str">
        <f aca="false">IF('RAW ASH'!H141="","",'RAW ASH'!H141)</f>
        <v/>
      </c>
      <c r="M670" s="48" t="str">
        <f aca="false">IF('RAW ASH'!I141="","",'RAW ASH'!I141)</f>
        <v/>
      </c>
    </row>
    <row r="671" customFormat="false" ht="15" hidden="false" customHeight="false" outlineLevel="0" collapsed="false">
      <c r="A671" s="1" t="s">
        <v>1815</v>
      </c>
      <c r="B671" s="1" t="s">
        <v>155</v>
      </c>
      <c r="C671" s="1" t="s">
        <v>1147</v>
      </c>
      <c r="D671" s="1" t="n">
        <v>142</v>
      </c>
      <c r="E671" s="48" t="str">
        <f aca="false">IF('RAW ASH'!B142="","",'RAW ASH'!B142)</f>
        <v>DPP Classes</v>
      </c>
      <c r="F671" s="48" t="str">
        <f aca="false">IF('RAW ASH'!C142="","",'RAW ASH'!C142)</f>
        <v>Comm Hlth Ed</v>
      </c>
      <c r="G671" s="49" t="str">
        <f aca="false">IF('RAW ASH'!A142="","",'RAW ASH'!A142)</f>
        <v>01/08/2026</v>
      </c>
      <c r="H671" s="48" t="str">
        <f aca="false">IF('RAW ASH'!D142="","",'RAW ASH'!D142)</f>
        <v>Nutritionist</v>
      </c>
      <c r="I671" s="48" t="str">
        <f aca="false">IF('RAW ASH'!E142="","",'RAW ASH'!E142)</f>
        <v>1.75 hrs</v>
      </c>
      <c r="J671" s="48" t="str">
        <f aca="false">IF('RAW ASH'!F142="","",'RAW ASH'!F142)</f>
        <v/>
      </c>
      <c r="K671" s="50" t="str">
        <f aca="false">IF('RAW ASH'!G142="","",'RAW ASH'!G142)</f>
        <v/>
      </c>
      <c r="L671" s="50" t="str">
        <f aca="false">IF('RAW ASH'!H142="","",'RAW ASH'!H142)</f>
        <v/>
      </c>
      <c r="M671" s="48" t="str">
        <f aca="false">IF('RAW ASH'!I142="","",'RAW ASH'!I142)</f>
        <v/>
      </c>
    </row>
    <row r="672" customFormat="false" ht="15" hidden="false" customHeight="false" outlineLevel="0" collapsed="false">
      <c r="A672" s="1" t="s">
        <v>1816</v>
      </c>
      <c r="B672" s="1" t="s">
        <v>155</v>
      </c>
      <c r="C672" s="1" t="s">
        <v>1147</v>
      </c>
      <c r="D672" s="1" t="n">
        <v>143</v>
      </c>
      <c r="E672" s="48" t="str">
        <f aca="false">IF('RAW ASH'!B143="","",'RAW ASH'!B143)</f>
        <v>Grief Support</v>
      </c>
      <c r="F672" s="48" t="str">
        <f aca="false">IF('RAW ASH'!C143="","",'RAW ASH'!C143)</f>
        <v>Support Svcs</v>
      </c>
      <c r="G672" s="49" t="str">
        <f aca="false">IF('RAW ASH'!A143="","",'RAW ASH'!A143)</f>
        <v>01/08/2026</v>
      </c>
      <c r="H672" s="48" t="str">
        <f aca="false">IF('RAW ASH'!D143="","",'RAW ASH'!D143)</f>
        <v>Pastoral Care</v>
      </c>
      <c r="I672" s="48" t="n">
        <f aca="false">IF('RAW ASH'!E143="","",'RAW ASH'!E143)</f>
        <v>2</v>
      </c>
      <c r="J672" s="48" t="n">
        <f aca="false">IF('RAW ASH'!F143="","",'RAW ASH'!F143)</f>
        <v>14</v>
      </c>
      <c r="K672" s="50" t="n">
        <f aca="false">IF('RAW ASH'!G143="","",'RAW ASH'!G143)</f>
        <v>30</v>
      </c>
      <c r="L672" s="50" t="str">
        <f aca="false">IF('RAW ASH'!H143="","",'RAW ASH'!H143)</f>
        <v/>
      </c>
      <c r="M672" s="48" t="str">
        <f aca="false">IF('RAW ASH'!I143="","",'RAW ASH'!I143)</f>
        <v/>
      </c>
    </row>
    <row r="673" customFormat="false" ht="15" hidden="false" customHeight="false" outlineLevel="0" collapsed="false">
      <c r="A673" s="1" t="s">
        <v>1817</v>
      </c>
      <c r="B673" s="1" t="s">
        <v>155</v>
      </c>
      <c r="C673" s="1" t="s">
        <v>1147</v>
      </c>
      <c r="D673" s="1" t="n">
        <v>144</v>
      </c>
      <c r="E673" s="48" t="str">
        <f aca="false">IF('RAW ASH'!B144="","",'RAW ASH'!B144)</f>
        <v>Grief Support</v>
      </c>
      <c r="F673" s="48" t="str">
        <f aca="false">IF('RAW ASH'!C144="","",'RAW ASH'!C144)</f>
        <v>Support Svcs</v>
      </c>
      <c r="G673" s="49" t="str">
        <f aca="false">IF('RAW ASH'!A144="","",'RAW ASH'!A144)</f>
        <v>01/08/2026</v>
      </c>
      <c r="H673" s="48" t="str">
        <f aca="false">IF('RAW ASH'!D144="","",'RAW ASH'!D144)</f>
        <v>LCSW</v>
      </c>
      <c r="I673" s="48" t="n">
        <f aca="false">IF('RAW ASH'!E144="","",'RAW ASH'!E144)</f>
        <v>1.75</v>
      </c>
      <c r="J673" s="48" t="str">
        <f aca="false">IF('RAW ASH'!F144="","",'RAW ASH'!F144)</f>
        <v/>
      </c>
      <c r="K673" s="50" t="str">
        <f aca="false">IF('RAW ASH'!G144="","",'RAW ASH'!G144)</f>
        <v/>
      </c>
      <c r="L673" s="50" t="str">
        <f aca="false">IF('RAW ASH'!H144="","",'RAW ASH'!H144)</f>
        <v/>
      </c>
      <c r="M673" s="48" t="str">
        <f aca="false">IF('RAW ASH'!I144="","",'RAW ASH'!I144)</f>
        <v/>
      </c>
    </row>
    <row r="674" customFormat="false" ht="15" hidden="false" customHeight="false" outlineLevel="0" collapsed="false">
      <c r="A674" s="1" t="s">
        <v>1818</v>
      </c>
      <c r="B674" s="1" t="s">
        <v>155</v>
      </c>
      <c r="C674" s="1" t="s">
        <v>1147</v>
      </c>
      <c r="D674" s="1" t="n">
        <v>145</v>
      </c>
      <c r="E674" s="48" t="str">
        <f aca="false">IF('RAW ASH'!B145="","",'RAW ASH'!B145)</f>
        <v>In-Kind Supplies</v>
      </c>
      <c r="F674" s="48" t="str">
        <f aca="false">IF('RAW ASH'!C145="","",'RAW ASH'!C145)</f>
        <v>Contributions</v>
      </c>
      <c r="G674" s="49" t="str">
        <f aca="false">IF('RAW ASH'!A145="","",'RAW ASH'!A145)</f>
        <v>01/09/2026</v>
      </c>
      <c r="H674" s="48" t="str">
        <f aca="false">IF('RAW ASH'!D145="","",'RAW ASH'!D145)</f>
        <v>none</v>
      </c>
      <c r="I674" s="48" t="str">
        <f aca="false">IF('RAW ASH'!E145="","",'RAW ASH'!E145)</f>
        <v/>
      </c>
      <c r="J674" s="48" t="str">
        <f aca="false">IF('RAW ASH'!F145="","",'RAW ASH'!F145)</f>
        <v/>
      </c>
      <c r="K674" s="50" t="n">
        <f aca="false">IF('RAW ASH'!G145="","",'RAW ASH'!G145)</f>
        <v>7575</v>
      </c>
      <c r="L674" s="50" t="str">
        <f aca="false">IF('RAW ASH'!H145="","",'RAW ASH'!H145)</f>
        <v/>
      </c>
      <c r="M674" s="48" t="str">
        <f aca="false">IF('RAW ASH'!I145="","",'RAW ASH'!I145)</f>
        <v/>
      </c>
    </row>
    <row r="675" customFormat="false" ht="15" hidden="false" customHeight="false" outlineLevel="0" collapsed="false">
      <c r="A675" s="1" t="s">
        <v>1819</v>
      </c>
      <c r="B675" s="1" t="s">
        <v>155</v>
      </c>
      <c r="C675" s="1" t="s">
        <v>1147</v>
      </c>
      <c r="D675" s="1" t="n">
        <v>146</v>
      </c>
      <c r="E675" s="48" t="str">
        <f aca="false">IF('RAW ASH'!B146="","",'RAW ASH'!B146)</f>
        <v>Fall Prevention</v>
      </c>
      <c r="F675" s="48" t="str">
        <f aca="false">IF('RAW ASH'!C146="","",'RAW ASH'!C146)</f>
        <v>Comm Hlth Ed</v>
      </c>
      <c r="G675" s="49" t="str">
        <f aca="false">IF('RAW ASH'!A146="","",'RAW ASH'!A146)</f>
        <v>01/10/2026</v>
      </c>
      <c r="H675" s="48" t="str">
        <f aca="false">IF('RAW ASH'!D146="","",'RAW ASH'!D146)</f>
        <v> Physical Therapist</v>
      </c>
      <c r="I675" s="48" t="n">
        <f aca="false">IF('RAW ASH'!E146="","",'RAW ASH'!E146)</f>
        <v>2</v>
      </c>
      <c r="J675" s="48" t="n">
        <f aca="false">IF('RAW ASH'!F146="","",'RAW ASH'!F146)</f>
        <v>23</v>
      </c>
      <c r="K675" s="50" t="n">
        <f aca="false">IF('RAW ASH'!G146="","",'RAW ASH'!G146)</f>
        <v>100</v>
      </c>
      <c r="L675" s="50" t="str">
        <f aca="false">IF('RAW ASH'!H146="","",'RAW ASH'!H146)</f>
        <v/>
      </c>
      <c r="M675" s="48" t="str">
        <f aca="false">IF('RAW ASH'!I146="","",'RAW ASH'!I146)</f>
        <v/>
      </c>
    </row>
    <row r="676" customFormat="false" ht="15" hidden="false" customHeight="false" outlineLevel="0" collapsed="false">
      <c r="A676" s="1" t="s">
        <v>1820</v>
      </c>
      <c r="B676" s="1" t="s">
        <v>155</v>
      </c>
      <c r="C676" s="1" t="s">
        <v>1147</v>
      </c>
      <c r="D676" s="1" t="n">
        <v>147</v>
      </c>
      <c r="E676" s="48" t="str">
        <f aca="false">IF('RAW ASH'!B147="","",'RAW ASH'!B147)</f>
        <v>Leadership Academy</v>
      </c>
      <c r="F676" s="48" t="str">
        <f aca="false">IF('RAW ASH'!C147="","",'RAW ASH'!C147)</f>
        <v>CB-Leadership Dev</v>
      </c>
      <c r="G676" s="49" t="str">
        <f aca="false">IF('RAW ASH'!A147="","",'RAW ASH'!A147)</f>
        <v>01/24/2026</v>
      </c>
      <c r="H676" s="48" t="str">
        <f aca="false">IF('RAW ASH'!D147="","",'RAW ASH'!D147)</f>
        <v>Wellness Educator</v>
      </c>
      <c r="I676" s="48" t="n">
        <f aca="false">IF('RAW ASH'!E147="","",'RAW ASH'!E147)</f>
        <v>3.5</v>
      </c>
      <c r="J676" s="48" t="str">
        <f aca="false">IF('RAW ASH'!F147="","",'RAW ASH'!F147)</f>
        <v/>
      </c>
      <c r="K676" s="50" t="str">
        <f aca="false">IF('RAW ASH'!G147="","",'RAW ASH'!G147)</f>
        <v/>
      </c>
      <c r="L676" s="50" t="str">
        <f aca="false">IF('RAW ASH'!H147="","",'RAW ASH'!H147)</f>
        <v/>
      </c>
      <c r="M676" s="48" t="str">
        <f aca="false">IF('RAW ASH'!I147="","",'RAW ASH'!I147)</f>
        <v/>
      </c>
    </row>
    <row r="677" customFormat="false" ht="15" hidden="false" customHeight="false" outlineLevel="0" collapsed="false">
      <c r="A677" s="1" t="s">
        <v>1821</v>
      </c>
      <c r="B677" s="1" t="s">
        <v>155</v>
      </c>
      <c r="C677" s="1" t="s">
        <v>1147</v>
      </c>
      <c r="D677" s="1" t="n">
        <v>148</v>
      </c>
      <c r="E677" s="48" t="str">
        <f aca="false">IF('RAW ASH'!B148="","",'RAW ASH'!B148)</f>
        <v>Leadership Academy</v>
      </c>
      <c r="F677" s="48" t="str">
        <f aca="false">IF('RAW ASH'!C148="","",'RAW ASH'!C148)</f>
        <v>CB-Leadership Dev</v>
      </c>
      <c r="G677" s="49" t="str">
        <f aca="false">IF('RAW ASH'!A148="","",'RAW ASH'!A148)</f>
        <v>01/24/2026</v>
      </c>
      <c r="H677" s="48" t="str">
        <f aca="false">IF('RAW ASH'!D148="","",'RAW ASH'!D148)</f>
        <v>Residency Coordinator</v>
      </c>
      <c r="I677" s="48" t="n">
        <f aca="false">IF('RAW ASH'!E148="","",'RAW ASH'!E148)</f>
        <v>4.5</v>
      </c>
      <c r="J677" s="48" t="n">
        <f aca="false">IF('RAW ASH'!F148="","",'RAW ASH'!F148)</f>
        <v>25</v>
      </c>
      <c r="K677" s="50" t="n">
        <f aca="false">IF('RAW ASH'!G148="","",'RAW ASH'!G148)</f>
        <v>355</v>
      </c>
      <c r="L677" s="50" t="str">
        <f aca="false">IF('RAW ASH'!H148="","",'RAW ASH'!H148)</f>
        <v/>
      </c>
      <c r="M677" s="48" t="str">
        <f aca="false">IF('RAW ASH'!I148="","",'RAW ASH'!I148)</f>
        <v/>
      </c>
    </row>
    <row r="678" customFormat="false" ht="15" hidden="false" customHeight="false" outlineLevel="0" collapsed="false">
      <c r="A678" s="1" t="s">
        <v>1822</v>
      </c>
      <c r="B678" s="1" t="s">
        <v>155</v>
      </c>
      <c r="C678" s="1" t="s">
        <v>1147</v>
      </c>
      <c r="D678" s="1" t="n">
        <v>149</v>
      </c>
      <c r="E678" s="48" t="str">
        <f aca="false">IF('RAW ASH'!B149="","",'RAW ASH'!B149)</f>
        <v>Grief Support</v>
      </c>
      <c r="F678" s="48" t="str">
        <f aca="false">IF('RAW ASH'!C149="","",'RAW ASH'!C149)</f>
        <v>Support Svcs</v>
      </c>
      <c r="G678" s="49" t="str">
        <f aca="false">IF('RAW ASH'!A149="","",'RAW ASH'!A149)</f>
        <v>01/28/2026</v>
      </c>
      <c r="H678" s="48" t="str">
        <f aca="false">IF('RAW ASH'!D149="","",'RAW ASH'!D149)</f>
        <v>Spiritual Care</v>
      </c>
      <c r="I678" s="48" t="str">
        <f aca="false">IF('RAW ASH'!E149="","",'RAW ASH'!E149)</f>
        <v>2 hrs</v>
      </c>
      <c r="J678" s="48" t="n">
        <f aca="false">IF('RAW ASH'!F149="","",'RAW ASH'!F149)</f>
        <v>14</v>
      </c>
      <c r="K678" s="50" t="n">
        <f aca="false">IF('RAW ASH'!G149="","",'RAW ASH'!G149)</f>
        <v>45</v>
      </c>
      <c r="L678" s="50" t="str">
        <f aca="false">IF('RAW ASH'!H149="","",'RAW ASH'!H149)</f>
        <v/>
      </c>
      <c r="M678" s="48" t="str">
        <f aca="false">IF('RAW ASH'!I149="","",'RAW ASH'!I149)</f>
        <v/>
      </c>
    </row>
    <row r="679" customFormat="false" ht="15" hidden="false" customHeight="false" outlineLevel="0" collapsed="false">
      <c r="A679" s="1" t="s">
        <v>1823</v>
      </c>
      <c r="B679" s="1" t="s">
        <v>155</v>
      </c>
      <c r="C679" s="1" t="s">
        <v>1147</v>
      </c>
      <c r="D679" s="1" t="n">
        <v>150</v>
      </c>
      <c r="E679" s="48" t="str">
        <f aca="false">IF('RAW ASH'!B150="","",'RAW ASH'!B150)</f>
        <v>Grief Support</v>
      </c>
      <c r="F679" s="48" t="str">
        <f aca="false">IF('RAW ASH'!C150="","",'RAW ASH'!C150)</f>
        <v>Support Svcs</v>
      </c>
      <c r="G679" s="49" t="str">
        <f aca="false">IF('RAW ASH'!A150="","",'RAW ASH'!A150)</f>
        <v>01/28/2026</v>
      </c>
      <c r="H679" s="48" t="str">
        <f aca="false">IF('RAW ASH'!D150="","",'RAW ASH'!D150)</f>
        <v>LCSW</v>
      </c>
      <c r="I679" s="48" t="n">
        <f aca="false">IF('RAW ASH'!E150="","",'RAW ASH'!E150)</f>
        <v>1.75</v>
      </c>
      <c r="J679" s="48" t="str">
        <f aca="false">IF('RAW ASH'!F150="","",'RAW ASH'!F150)</f>
        <v/>
      </c>
      <c r="K679" s="50" t="str">
        <f aca="false">IF('RAW ASH'!G150="","",'RAW ASH'!G150)</f>
        <v/>
      </c>
      <c r="L679" s="50" t="str">
        <f aca="false">IF('RAW ASH'!H150="","",'RAW ASH'!H150)</f>
        <v/>
      </c>
      <c r="M679" s="48" t="str">
        <f aca="false">IF('RAW ASH'!I150="","",'RAW ASH'!I150)</f>
        <v/>
      </c>
    </row>
    <row r="680" customFormat="false" ht="15" hidden="false" customHeight="false" outlineLevel="0" collapsed="false">
      <c r="A680" s="1" t="s">
        <v>1824</v>
      </c>
      <c r="B680" s="1" t="s">
        <v>155</v>
      </c>
      <c r="C680" s="1" t="s">
        <v>1147</v>
      </c>
      <c r="D680" s="1" t="n">
        <v>151</v>
      </c>
      <c r="E680" s="48" t="str">
        <f aca="false">IF('RAW ASH'!B151="","",'RAW ASH'!B151)</f>
        <v>Car Seat Checks</v>
      </c>
      <c r="F680" s="48" t="str">
        <f aca="false">IF('RAW ASH'!C151="","",'RAW ASH'!C151)</f>
        <v>Comm Hlth Ed</v>
      </c>
      <c r="G680" s="49" t="str">
        <f aca="false">IF('RAW ASH'!A151="","",'RAW ASH'!A151)</f>
        <v>01/29/2026</v>
      </c>
      <c r="H680" s="48" t="str">
        <f aca="false">IF('RAW ASH'!D151="","",'RAW ASH'!D151)</f>
        <v>emt-p</v>
      </c>
      <c r="I680" s="48" t="str">
        <f aca="false">IF('RAW ASH'!E151="","",'RAW ASH'!E151)</f>
        <v>3.75 hrs</v>
      </c>
      <c r="J680" s="48" t="n">
        <f aca="false">IF('RAW ASH'!F151="","",'RAW ASH'!F151)</f>
        <v>16</v>
      </c>
      <c r="K680" s="50" t="n">
        <f aca="false">IF('RAW ASH'!G151="","",'RAW ASH'!G151)</f>
        <v>550</v>
      </c>
      <c r="L680" s="50" t="n">
        <f aca="false">IF('RAW ASH'!H151="","",'RAW ASH'!H151)</f>
        <v>275</v>
      </c>
      <c r="M680" s="48" t="str">
        <f aca="false">IF('RAW ASH'!I151="","",'RAW ASH'!I151)</f>
        <v/>
      </c>
    </row>
    <row r="681" customFormat="false" ht="15" hidden="false" customHeight="false" outlineLevel="0" collapsed="false">
      <c r="A681" s="1" t="s">
        <v>1825</v>
      </c>
      <c r="B681" s="1" t="s">
        <v>155</v>
      </c>
      <c r="C681" s="1" t="s">
        <v>1147</v>
      </c>
      <c r="D681" s="1" t="n">
        <v>152</v>
      </c>
      <c r="E681" s="48" t="str">
        <f aca="false">IF('RAW ASH'!B152="","",'RAW ASH'!B152)</f>
        <v>Car Seat Checks</v>
      </c>
      <c r="F681" s="48" t="str">
        <f aca="false">IF('RAW ASH'!C152="","",'RAW ASH'!C152)</f>
        <v>Comm Hlth Ed</v>
      </c>
      <c r="G681" s="49" t="str">
        <f aca="false">IF('RAW ASH'!A152="","",'RAW ASH'!A152)</f>
        <v>01/29/2026</v>
      </c>
      <c r="H681" s="48" t="str">
        <f aca="false">IF('RAW ASH'!D152="","",'RAW ASH'!D152)</f>
        <v>RN - Outreach </v>
      </c>
      <c r="I681" s="48" t="n">
        <f aca="false">IF('RAW ASH'!E152="","",'RAW ASH'!E152)</f>
        <v>3.75</v>
      </c>
      <c r="J681" s="48" t="str">
        <f aca="false">IF('RAW ASH'!F152="","",'RAW ASH'!F152)</f>
        <v/>
      </c>
      <c r="K681" s="50" t="str">
        <f aca="false">IF('RAW ASH'!G152="","",'RAW ASH'!G152)</f>
        <v/>
      </c>
      <c r="L681" s="50" t="str">
        <f aca="false">IF('RAW ASH'!H152="","",'RAW ASH'!H152)</f>
        <v/>
      </c>
      <c r="M681" s="48" t="str">
        <f aca="false">IF('RAW ASH'!I152="","",'RAW ASH'!I152)</f>
        <v/>
      </c>
    </row>
    <row r="682" customFormat="false" ht="15" hidden="false" customHeight="false" outlineLevel="0" collapsed="false">
      <c r="A682" s="1" t="s">
        <v>1826</v>
      </c>
      <c r="B682" s="1" t="s">
        <v>155</v>
      </c>
      <c r="C682" s="1" t="s">
        <v>1147</v>
      </c>
      <c r="D682" s="1" t="n">
        <v>153</v>
      </c>
      <c r="E682" s="48" t="str">
        <f aca="false">IF('RAW ASH'!B153="","",'RAW ASH'!B153)</f>
        <v>Mobile Screening Unit</v>
      </c>
      <c r="F682" s="48" t="str">
        <f aca="false">IF('RAW ASH'!C153="","",'RAW ASH'!C153)</f>
        <v>Clinical Svcs</v>
      </c>
      <c r="G682" s="49" t="str">
        <f aca="false">IF('RAW ASH'!A153="","",'RAW ASH'!A153)</f>
        <v>01/31/2026</v>
      </c>
      <c r="H682" s="48" t="str">
        <f aca="false">IF('RAW ASH'!D153="","",'RAW ASH'!D153)</f>
        <v>Community Health Worker</v>
      </c>
      <c r="I682" s="48" t="n">
        <f aca="false">IF('RAW ASH'!E153="","",'RAW ASH'!E153)</f>
        <v>78.25</v>
      </c>
      <c r="J682" s="48" t="str">
        <f aca="false">IF('RAW ASH'!F153="","",'RAW ASH'!F153)</f>
        <v/>
      </c>
      <c r="K682" s="50" t="str">
        <f aca="false">IF('RAW ASH'!G153="","",'RAW ASH'!G153)</f>
        <v/>
      </c>
      <c r="L682" s="50" t="str">
        <f aca="false">IF('RAW ASH'!H153="","",'RAW ASH'!H153)</f>
        <v/>
      </c>
      <c r="M682" s="48" t="str">
        <f aca="false">IF('RAW ASH'!I153="","",'RAW ASH'!I153)</f>
        <v/>
      </c>
    </row>
    <row r="683" customFormat="false" ht="15" hidden="false" customHeight="false" outlineLevel="0" collapsed="false">
      <c r="A683" s="1" t="s">
        <v>1827</v>
      </c>
      <c r="B683" s="1" t="s">
        <v>155</v>
      </c>
      <c r="C683" s="1" t="s">
        <v>1147</v>
      </c>
      <c r="D683" s="1" t="n">
        <v>154</v>
      </c>
      <c r="E683" s="48" t="str">
        <f aca="false">IF('RAW ASH'!B154="","",'RAW ASH'!B154)</f>
        <v>Mobile Screening Unit</v>
      </c>
      <c r="F683" s="48" t="str">
        <f aca="false">IF('RAW ASH'!C154="","",'RAW ASH'!C154)</f>
        <v>Clinical Svcs</v>
      </c>
      <c r="G683" s="49" t="str">
        <f aca="false">IF('RAW ASH'!A154="","",'RAW ASH'!A154)</f>
        <v>01/31/2026</v>
      </c>
      <c r="H683" s="48" t="str">
        <f aca="false">IF('RAW ASH'!D154="","",'RAW ASH'!D154)</f>
        <v>MA</v>
      </c>
      <c r="I683" s="48" t="n">
        <f aca="false">IF('RAW ASH'!E154="","",'RAW ASH'!E154)</f>
        <v>83.25</v>
      </c>
      <c r="J683" s="48" t="str">
        <f aca="false">IF('RAW ASH'!F154="","",'RAW ASH'!F154)</f>
        <v/>
      </c>
      <c r="K683" s="50" t="str">
        <f aca="false">IF('RAW ASH'!G154="","",'RAW ASH'!G154)</f>
        <v/>
      </c>
      <c r="L683" s="50" t="str">
        <f aca="false">IF('RAW ASH'!H154="","",'RAW ASH'!H154)</f>
        <v/>
      </c>
      <c r="M683" s="48" t="str">
        <f aca="false">IF('RAW ASH'!I154="","",'RAW ASH'!I154)</f>
        <v/>
      </c>
    </row>
    <row r="684" customFormat="false" ht="15" hidden="false" customHeight="false" outlineLevel="0" collapsed="false">
      <c r="A684" s="1" t="s">
        <v>1828</v>
      </c>
      <c r="B684" s="1" t="s">
        <v>155</v>
      </c>
      <c r="C684" s="1" t="s">
        <v>1147</v>
      </c>
      <c r="D684" s="1" t="n">
        <v>155</v>
      </c>
      <c r="E684" s="48" t="str">
        <f aca="false">IF('RAW ASH'!B155="","",'RAW ASH'!B155)</f>
        <v>Mobile Screening Unit</v>
      </c>
      <c r="F684" s="48" t="str">
        <f aca="false">IF('RAW ASH'!C155="","",'RAW ASH'!C155)</f>
        <v>Clinical Svcs</v>
      </c>
      <c r="G684" s="49" t="str">
        <f aca="false">IF('RAW ASH'!A155="","",'RAW ASH'!A155)</f>
        <v>01/31/2026</v>
      </c>
      <c r="H684" s="48" t="str">
        <f aca="false">IF('RAW ASH'!D155="","",'RAW ASH'!D155)</f>
        <v>Clinical RN </v>
      </c>
      <c r="I684" s="48" t="n">
        <f aca="false">IF('RAW ASH'!E155="","",'RAW ASH'!E155)</f>
        <v>74</v>
      </c>
      <c r="J684" s="48" t="n">
        <f aca="false">IF('RAW ASH'!F155="","",'RAW ASH'!F155)</f>
        <v>126</v>
      </c>
      <c r="K684" s="50" t="n">
        <f aca="false">IF('RAW ASH'!G155="","",'RAW ASH'!G155)</f>
        <v>4970</v>
      </c>
      <c r="L684" s="50" t="str">
        <f aca="false">IF('RAW ASH'!H155="","",'RAW ASH'!H155)</f>
        <v/>
      </c>
      <c r="M684" s="48" t="str">
        <f aca="false">IF('RAW ASH'!I155="","",'RAW ASH'!I155)</f>
        <v/>
      </c>
    </row>
    <row r="685" customFormat="false" ht="15" hidden="false" customHeight="false" outlineLevel="0" collapsed="false">
      <c r="A685" s="1" t="s">
        <v>1829</v>
      </c>
      <c r="B685" s="1" t="s">
        <v>155</v>
      </c>
      <c r="C685" s="1" t="s">
        <v>1147</v>
      </c>
      <c r="D685" s="1" t="n">
        <v>156</v>
      </c>
      <c r="E685" s="48" t="str">
        <f aca="false">IF('RAW ASH'!B156="","",'RAW ASH'!B156)</f>
        <v>CHW Outreach</v>
      </c>
      <c r="F685" s="48" t="str">
        <f aca="false">IF('RAW ASH'!C156="","",'RAW ASH'!C156)</f>
        <v>Support Svcs</v>
      </c>
      <c r="G685" s="49" t="str">
        <f aca="false">IF('RAW ASH'!A156="","",'RAW ASH'!A156)</f>
        <v>01/31/2026</v>
      </c>
      <c r="H685" s="48" t="str">
        <f aca="false">IF('RAW ASH'!D156="","",'RAW ASH'!D156)</f>
        <v>C.H.W.</v>
      </c>
      <c r="I685" s="48" t="n">
        <f aca="false">IF('RAW ASH'!E156="","",'RAW ASH'!E156)</f>
        <v>322</v>
      </c>
      <c r="J685" s="48" t="n">
        <f aca="false">IF('RAW ASH'!F156="","",'RAW ASH'!F156)</f>
        <v>377</v>
      </c>
      <c r="K685" s="50" t="n">
        <f aca="false">IF('RAW ASH'!G156="","",'RAW ASH'!G156)</f>
        <v>1710</v>
      </c>
      <c r="L685" s="50" t="str">
        <f aca="false">IF('RAW ASH'!H156="","",'RAW ASH'!H156)</f>
        <v/>
      </c>
      <c r="M685" s="48" t="str">
        <f aca="false">IF('RAW ASH'!I156="","",'RAW ASH'!I156)</f>
        <v/>
      </c>
    </row>
    <row r="686" customFormat="false" ht="15" hidden="false" customHeight="false" outlineLevel="0" collapsed="false">
      <c r="A686" s="1" t="s">
        <v>1830</v>
      </c>
      <c r="B686" s="1" t="s">
        <v>155</v>
      </c>
      <c r="C686" s="1" t="s">
        <v>1147</v>
      </c>
      <c r="D686" s="1" t="n">
        <v>157</v>
      </c>
      <c r="E686" s="48" t="str">
        <f aca="false">IF('RAW ASH'!B157="","",'RAW ASH'!B157)</f>
        <v>CHW Outreach</v>
      </c>
      <c r="F686" s="48" t="str">
        <f aca="false">IF('RAW ASH'!C157="","",'RAW ASH'!C157)</f>
        <v>Support Svcs</v>
      </c>
      <c r="G686" s="49" t="str">
        <f aca="false">IF('RAW ASH'!A157="","",'RAW ASH'!A157)</f>
        <v>01/31/2026</v>
      </c>
      <c r="H686" s="48" t="str">
        <f aca="false">IF('RAW ASH'!D157="","",'RAW ASH'!D157)</f>
        <v>Navigator</v>
      </c>
      <c r="I686" s="48" t="n">
        <f aca="false">IF('RAW ASH'!E157="","",'RAW ASH'!E157)</f>
        <v>146.25</v>
      </c>
      <c r="J686" s="48" t="str">
        <f aca="false">IF('RAW ASH'!F157="","",'RAW ASH'!F157)</f>
        <v/>
      </c>
      <c r="K686" s="50" t="str">
        <f aca="false">IF('RAW ASH'!G157="","",'RAW ASH'!G157)</f>
        <v/>
      </c>
      <c r="L686" s="50" t="str">
        <f aca="false">IF('RAW ASH'!H157="","",'RAW ASH'!H157)</f>
        <v/>
      </c>
      <c r="M686" s="48" t="str">
        <f aca="false">IF('RAW ASH'!I157="","",'RAW ASH'!I157)</f>
        <v/>
      </c>
    </row>
    <row r="687" customFormat="false" ht="15" hidden="false" customHeight="false" outlineLevel="0" collapsed="false">
      <c r="A687" s="1" t="s">
        <v>1831</v>
      </c>
      <c r="B687" s="1" t="s">
        <v>155</v>
      </c>
      <c r="C687" s="1" t="s">
        <v>1147</v>
      </c>
      <c r="D687" s="1" t="n">
        <v>158</v>
      </c>
      <c r="E687" s="48" t="str">
        <f aca="false">IF('RAW ASH'!B158="","",'RAW ASH'!B158)</f>
        <v>Produce Rx</v>
      </c>
      <c r="F687" s="48" t="str">
        <f aca="false">IF('RAW ASH'!C158="","",'RAW ASH'!C158)</f>
        <v>Support Svcs</v>
      </c>
      <c r="G687" s="49" t="str">
        <f aca="false">IF('RAW ASH'!A158="","",'RAW ASH'!A158)</f>
        <v>01/31/2026</v>
      </c>
      <c r="H687" s="48" t="str">
        <f aca="false">IF('RAW ASH'!D158="","",'RAW ASH'!D158)</f>
        <v>CHW</v>
      </c>
      <c r="I687" s="48" t="n">
        <f aca="false">IF('RAW ASH'!E158="","",'RAW ASH'!E158)</f>
        <v>43.75</v>
      </c>
      <c r="J687" s="48" t="str">
        <f aca="false">IF('RAW ASH'!F158="","",'RAW ASH'!F158)</f>
        <v/>
      </c>
      <c r="K687" s="50" t="str">
        <f aca="false">IF('RAW ASH'!G158="","",'RAW ASH'!G158)</f>
        <v/>
      </c>
      <c r="L687" s="50" t="str">
        <f aca="false">IF('RAW ASH'!H158="","",'RAW ASH'!H158)</f>
        <v/>
      </c>
      <c r="M687" s="48" t="str">
        <f aca="false">IF('RAW ASH'!I158="","",'RAW ASH'!I158)</f>
        <v/>
      </c>
    </row>
    <row r="688" customFormat="false" ht="15" hidden="false" customHeight="false" outlineLevel="0" collapsed="false">
      <c r="A688" s="1" t="s">
        <v>1832</v>
      </c>
      <c r="B688" s="1" t="s">
        <v>155</v>
      </c>
      <c r="C688" s="1" t="s">
        <v>1147</v>
      </c>
      <c r="D688" s="1" t="n">
        <v>159</v>
      </c>
      <c r="E688" s="48" t="str">
        <f aca="false">IF('RAW ASH'!B159="","",'RAW ASH'!B159)</f>
        <v>Produce Rx</v>
      </c>
      <c r="F688" s="48" t="str">
        <f aca="false">IF('RAW ASH'!C159="","",'RAW ASH'!C159)</f>
        <v>Support Svcs</v>
      </c>
      <c r="G688" s="49" t="str">
        <f aca="false">IF('RAW ASH'!A159="","",'RAW ASH'!A159)</f>
        <v>01/31/2026</v>
      </c>
      <c r="H688" s="48" t="str">
        <f aca="false">IF('RAW ASH'!D159="","",'RAW ASH'!D159)</f>
        <v>RDN</v>
      </c>
      <c r="I688" s="48" t="n">
        <f aca="false">IF('RAW ASH'!E159="","",'RAW ASH'!E159)</f>
        <v>27.25</v>
      </c>
      <c r="J688" s="48" t="n">
        <f aca="false">IF('RAW ASH'!F159="","",'RAW ASH'!F159)</f>
        <v>117</v>
      </c>
      <c r="K688" s="50" t="n">
        <f aca="false">IF('RAW ASH'!G159="","",'RAW ASH'!G159)</f>
        <v>14465</v>
      </c>
      <c r="L688" s="50" t="n">
        <f aca="false">IF('RAW ASH'!H159="","",'RAW ASH'!H159)</f>
        <v>3525</v>
      </c>
      <c r="M688" s="48" t="str">
        <f aca="false">IF('RAW ASH'!I159="","",'RAW ASH'!I159)</f>
        <v/>
      </c>
    </row>
    <row r="689" customFormat="false" ht="15" hidden="false" customHeight="false" outlineLevel="0" collapsed="false">
      <c r="A689" s="1" t="s">
        <v>1833</v>
      </c>
      <c r="B689" s="1" t="s">
        <v>155</v>
      </c>
      <c r="C689" s="1" t="s">
        <v>1147</v>
      </c>
      <c r="D689" s="1" t="n">
        <v>160</v>
      </c>
      <c r="E689" s="48" t="str">
        <f aca="false">IF('RAW ASH'!B160="","",'RAW ASH'!B160)</f>
        <v>CB Program Admin</v>
      </c>
      <c r="F689" s="48" t="str">
        <f aca="false">IF('RAW ASH'!C160="","",'RAW ASH'!C160)</f>
        <v>CB Admin</v>
      </c>
      <c r="G689" s="49" t="str">
        <f aca="false">IF('RAW ASH'!A160="","",'RAW ASH'!A160)</f>
        <v>01/31/2026</v>
      </c>
      <c r="H689" s="48" t="str">
        <f aca="false">IF('RAW ASH'!D160="","",'RAW ASH'!D160)</f>
        <v>ADMIN ASST</v>
      </c>
      <c r="I689" s="48" t="n">
        <f aca="false">IF('RAW ASH'!E160="","",'RAW ASH'!E160)</f>
        <v>35.5</v>
      </c>
      <c r="J689" s="48" t="str">
        <f aca="false">IF('RAW ASH'!F160="","",'RAW ASH'!F160)</f>
        <v/>
      </c>
      <c r="K689" s="50" t="str">
        <f aca="false">IF('RAW ASH'!G160="","",'RAW ASH'!G160)</f>
        <v/>
      </c>
      <c r="L689" s="50" t="str">
        <f aca="false">IF('RAW ASH'!H160="","",'RAW ASH'!H160)</f>
        <v/>
      </c>
      <c r="M689" s="48" t="str">
        <f aca="false">IF('RAW ASH'!I160="","",'RAW ASH'!I160)</f>
        <v/>
      </c>
    </row>
    <row r="690" customFormat="false" ht="15" hidden="false" customHeight="false" outlineLevel="0" collapsed="false">
      <c r="A690" s="1" t="s">
        <v>1834</v>
      </c>
      <c r="B690" s="1" t="s">
        <v>155</v>
      </c>
      <c r="C690" s="1" t="s">
        <v>1147</v>
      </c>
      <c r="D690" s="1" t="n">
        <v>161</v>
      </c>
      <c r="E690" s="48" t="str">
        <f aca="false">IF('RAW ASH'!B161="","",'RAW ASH'!B161)</f>
        <v>CB Program Admin</v>
      </c>
      <c r="F690" s="48" t="str">
        <f aca="false">IF('RAW ASH'!C161="","",'RAW ASH'!C161)</f>
        <v>CB Admin</v>
      </c>
      <c r="G690" s="49" t="str">
        <f aca="false">IF('RAW ASH'!A161="","",'RAW ASH'!A161)</f>
        <v>01/31/2026</v>
      </c>
      <c r="H690" s="48" t="str">
        <f aca="false">IF('RAW ASH'!D161="","",'RAW ASH'!D161)</f>
        <v>CB Manager</v>
      </c>
      <c r="I690" s="48" t="n">
        <f aca="false">IF('RAW ASH'!E161="","",'RAW ASH'!E161)</f>
        <v>61</v>
      </c>
      <c r="J690" s="48" t="str">
        <f aca="false">IF('RAW ASH'!F161="","",'RAW ASH'!F161)</f>
        <v/>
      </c>
      <c r="K690" s="50" t="n">
        <f aca="false">IF('RAW ASH'!G161="","",'RAW ASH'!G161)</f>
        <v>685</v>
      </c>
      <c r="L690" s="50" t="str">
        <f aca="false">IF('RAW ASH'!H161="","",'RAW ASH'!H161)</f>
        <v/>
      </c>
      <c r="M690" s="48" t="str">
        <f aca="false">IF('RAW ASH'!I161="","",'RAW ASH'!I161)</f>
        <v/>
      </c>
    </row>
    <row r="691" customFormat="false" ht="15" hidden="false" customHeight="false" outlineLevel="0" collapsed="false">
      <c r="A691" s="1" t="s">
        <v>1835</v>
      </c>
      <c r="B691" s="1" t="s">
        <v>155</v>
      </c>
      <c r="C691" s="1" t="s">
        <v>1147</v>
      </c>
      <c r="D691" s="1" t="n">
        <v>162</v>
      </c>
      <c r="E691" s="48" t="str">
        <f aca="false">IF('RAW ASH'!B162="","",'RAW ASH'!B162)</f>
        <v>Fall Prevention</v>
      </c>
      <c r="F691" s="48" t="str">
        <f aca="false">IF('RAW ASH'!C162="","",'RAW ASH'!C162)</f>
        <v>Comm Hlth Ed</v>
      </c>
      <c r="G691" s="49" t="str">
        <f aca="false">IF('RAW ASH'!A162="","",'RAW ASH'!A162)</f>
        <v>01/31/2026</v>
      </c>
      <c r="H691" s="48" t="str">
        <f aca="false">IF('RAW ASH'!D162="","",'RAW ASH'!D162)</f>
        <v>Resp Therapist</v>
      </c>
      <c r="I691" s="48" t="n">
        <f aca="false">IF('RAW ASH'!E162="","",'RAW ASH'!E162)</f>
        <v>2</v>
      </c>
      <c r="J691" s="48" t="n">
        <f aca="false">IF('RAW ASH'!F162="","",'RAW ASH'!F162)</f>
        <v>19</v>
      </c>
      <c r="K691" s="50" t="n">
        <f aca="false">IF('RAW ASH'!G162="","",'RAW ASH'!G162)</f>
        <v>85</v>
      </c>
      <c r="L691" s="50" t="str">
        <f aca="false">IF('RAW ASH'!H162="","",'RAW ASH'!H162)</f>
        <v/>
      </c>
      <c r="M691" s="48" t="str">
        <f aca="false">IF('RAW ASH'!I162="","",'RAW ASH'!I162)</f>
        <v/>
      </c>
    </row>
    <row r="692" customFormat="false" ht="15" hidden="false" customHeight="false" outlineLevel="0" collapsed="false">
      <c r="A692" s="1" t="s">
        <v>1836</v>
      </c>
      <c r="B692" s="1" t="s">
        <v>155</v>
      </c>
      <c r="C692" s="1" t="s">
        <v>1147</v>
      </c>
      <c r="D692" s="1" t="n">
        <v>163</v>
      </c>
      <c r="E692" s="48" t="str">
        <f aca="false">IF('RAW ASH'!B163="","",'RAW ASH'!B163)</f>
        <v>Nursing Clinicals</v>
      </c>
      <c r="F692" s="48" t="str">
        <f aca="false">IF('RAW ASH'!C163="","",'RAW ASH'!C163)</f>
        <v>HPE</v>
      </c>
      <c r="G692" s="49" t="str">
        <f aca="false">IF('RAW ASH'!A163="","",'RAW ASH'!A163)</f>
        <v>01/31/2026</v>
      </c>
      <c r="H692" s="48" t="str">
        <f aca="false">IF('RAW ASH'!D163="","",'RAW ASH'!D163)</f>
        <v>Nurse Educator</v>
      </c>
      <c r="I692" s="48" t="n">
        <f aca="false">IF('RAW ASH'!E163="","",'RAW ASH'!E163)</f>
        <v>93.75</v>
      </c>
      <c r="J692" s="48" t="n">
        <f aca="false">IF('RAW ASH'!F163="","",'RAW ASH'!F163)</f>
        <v>37</v>
      </c>
      <c r="K692" s="50" t="n">
        <f aca="false">IF('RAW ASH'!G163="","",'RAW ASH'!G163)</f>
        <v>900</v>
      </c>
      <c r="L692" s="50" t="str">
        <f aca="false">IF('RAW ASH'!H163="","",'RAW ASH'!H163)</f>
        <v/>
      </c>
      <c r="M692" s="48" t="str">
        <f aca="false">IF('RAW ASH'!I163="","",'RAW ASH'!I163)</f>
        <v/>
      </c>
    </row>
    <row r="693" customFormat="false" ht="15" hidden="false" customHeight="false" outlineLevel="0" collapsed="false">
      <c r="A693" s="1" t="s">
        <v>1837</v>
      </c>
      <c r="B693" s="1" t="s">
        <v>155</v>
      </c>
      <c r="C693" s="1" t="s">
        <v>1147</v>
      </c>
      <c r="D693" s="1" t="n">
        <v>164</v>
      </c>
      <c r="E693" s="48" t="str">
        <f aca="false">IF('RAW ASH'!B164="","",'RAW ASH'!B164)</f>
        <v>Nursing Clinicals</v>
      </c>
      <c r="F693" s="48" t="str">
        <f aca="false">IF('RAW ASH'!C164="","",'RAW ASH'!C164)</f>
        <v>HPE</v>
      </c>
      <c r="G693" s="49" t="str">
        <f aca="false">IF('RAW ASH'!A164="","",'RAW ASH'!A164)</f>
        <v>01/31/2026</v>
      </c>
      <c r="H693" s="48" t="str">
        <f aca="false">IF('RAW ASH'!D164="","",'RAW ASH'!D164)</f>
        <v>RN - Outreach</v>
      </c>
      <c r="I693" s="48" t="n">
        <f aca="false">IF('RAW ASH'!E164="","",'RAW ASH'!E164)</f>
        <v>227.25</v>
      </c>
      <c r="J693" s="48" t="str">
        <f aca="false">IF('RAW ASH'!F164="","",'RAW ASH'!F164)</f>
        <v/>
      </c>
      <c r="K693" s="50" t="str">
        <f aca="false">IF('RAW ASH'!G164="","",'RAW ASH'!G164)</f>
        <v/>
      </c>
      <c r="L693" s="50" t="str">
        <f aca="false">IF('RAW ASH'!H164="","",'RAW ASH'!H164)</f>
        <v/>
      </c>
      <c r="M693" s="48" t="str">
        <f aca="false">IF('RAW ASH'!I164="","",'RAW ASH'!I164)</f>
        <v/>
      </c>
    </row>
    <row r="694" customFormat="false" ht="15" hidden="false" customHeight="false" outlineLevel="0" collapsed="false">
      <c r="A694" s="1" t="s">
        <v>1838</v>
      </c>
      <c r="B694" s="1" t="s">
        <v>155</v>
      </c>
      <c r="C694" s="1" t="s">
        <v>1147</v>
      </c>
      <c r="D694" s="1" t="n">
        <v>165</v>
      </c>
      <c r="E694" s="48" t="str">
        <f aca="false">IF('RAW ASH'!B165="","",'RAW ASH'!B165)</f>
        <v>Paramedic Students</v>
      </c>
      <c r="F694" s="48" t="str">
        <f aca="false">IF('RAW ASH'!C165="","",'RAW ASH'!C165)</f>
        <v>HPE</v>
      </c>
      <c r="G694" s="49" t="str">
        <f aca="false">IF('RAW ASH'!A165="","",'RAW ASH'!A165)</f>
        <v>01/31/2026</v>
      </c>
      <c r="H694" s="48" t="str">
        <f aca="false">IF('RAW ASH'!D165="","",'RAW ASH'!D165)</f>
        <v>EMT-P</v>
      </c>
      <c r="I694" s="48" t="str">
        <f aca="false">IF('RAW ASH'!E165="","",'RAW ASH'!E165)</f>
        <v>77.5 hrs</v>
      </c>
      <c r="J694" s="48" t="n">
        <f aca="false">IF('RAW ASH'!F165="","",'RAW ASH'!F165)</f>
        <v>7</v>
      </c>
      <c r="K694" s="50" t="n">
        <f aca="false">IF('RAW ASH'!G165="","",'RAW ASH'!G165)</f>
        <v>15</v>
      </c>
      <c r="L694" s="50" t="str">
        <f aca="false">IF('RAW ASH'!H165="","",'RAW ASH'!H165)</f>
        <v/>
      </c>
      <c r="M694" s="48" t="str">
        <f aca="false">IF('RAW ASH'!I165="","",'RAW ASH'!I165)</f>
        <v/>
      </c>
    </row>
    <row r="695" customFormat="false" ht="15" hidden="false" customHeight="false" outlineLevel="0" collapsed="false">
      <c r="A695" s="1" t="s">
        <v>1839</v>
      </c>
      <c r="B695" s="1" t="s">
        <v>155</v>
      </c>
      <c r="C695" s="1" t="s">
        <v>1147</v>
      </c>
      <c r="D695" s="1" t="n">
        <v>166</v>
      </c>
      <c r="E695" s="48" t="str">
        <f aca="false">IF('RAW ASH'!B166="","",'RAW ASH'!B166)</f>
        <v>DPP Classes</v>
      </c>
      <c r="F695" s="48" t="str">
        <f aca="false">IF('RAW ASH'!C166="","",'RAW ASH'!C166)</f>
        <v>Comm Hlth Ed</v>
      </c>
      <c r="G695" s="49" t="str">
        <f aca="false">IF('RAW ASH'!A166="","",'RAW ASH'!A166)</f>
        <v>02/02/2026</v>
      </c>
      <c r="H695" s="48" t="str">
        <f aca="false">IF('RAW ASH'!D166="","",'RAW ASH'!D166)</f>
        <v>Health Education Specialist</v>
      </c>
      <c r="I695" s="48" t="n">
        <f aca="false">IF('RAW ASH'!E166="","",'RAW ASH'!E166)</f>
        <v>2.25</v>
      </c>
      <c r="J695" s="48" t="n">
        <f aca="false">IF('RAW ASH'!F166="","",'RAW ASH'!F166)</f>
        <v>20</v>
      </c>
      <c r="K695" s="50" t="n">
        <f aca="false">IF('RAW ASH'!G166="","",'RAW ASH'!G166)</f>
        <v>115</v>
      </c>
      <c r="L695" s="50" t="str">
        <f aca="false">IF('RAW ASH'!H166="","",'RAW ASH'!H166)</f>
        <v/>
      </c>
      <c r="M695" s="48" t="str">
        <f aca="false">IF('RAW ASH'!I166="","",'RAW ASH'!I166)</f>
        <v/>
      </c>
    </row>
    <row r="696" customFormat="false" ht="15" hidden="false" customHeight="false" outlineLevel="0" collapsed="false">
      <c r="A696" s="1" t="s">
        <v>1840</v>
      </c>
      <c r="B696" s="1" t="s">
        <v>155</v>
      </c>
      <c r="C696" s="1" t="s">
        <v>1147</v>
      </c>
      <c r="D696" s="1" t="n">
        <v>167</v>
      </c>
      <c r="E696" s="48" t="str">
        <f aca="false">IF('RAW ASH'!B167="","",'RAW ASH'!B167)</f>
        <v>DPP Classes</v>
      </c>
      <c r="F696" s="48" t="str">
        <f aca="false">IF('RAW ASH'!C167="","",'RAW ASH'!C167)</f>
        <v>Comm Hlth Ed</v>
      </c>
      <c r="G696" s="49" t="str">
        <f aca="false">IF('RAW ASH'!A167="","",'RAW ASH'!A167)</f>
        <v>02/02/2026</v>
      </c>
      <c r="H696" s="48" t="str">
        <f aca="false">IF('RAW ASH'!D167="","",'RAW ASH'!D167)</f>
        <v>RDN</v>
      </c>
      <c r="I696" s="48" t="n">
        <f aca="false">IF('RAW ASH'!E167="","",'RAW ASH'!E167)</f>
        <v>1.75</v>
      </c>
      <c r="J696" s="48" t="str">
        <f aca="false">IF('RAW ASH'!F167="","",'RAW ASH'!F167)</f>
        <v/>
      </c>
      <c r="K696" s="50" t="str">
        <f aca="false">IF('RAW ASH'!G167="","",'RAW ASH'!G167)</f>
        <v/>
      </c>
      <c r="L696" s="50" t="str">
        <f aca="false">IF('RAW ASH'!H167="","",'RAW ASH'!H167)</f>
        <v/>
      </c>
      <c r="M696" s="48" t="str">
        <f aca="false">IF('RAW ASH'!I167="","",'RAW ASH'!I167)</f>
        <v/>
      </c>
    </row>
    <row r="697" customFormat="false" ht="15" hidden="false" customHeight="false" outlineLevel="0" collapsed="false">
      <c r="A697" s="1" t="s">
        <v>1841</v>
      </c>
      <c r="B697" s="1" t="s">
        <v>155</v>
      </c>
      <c r="C697" s="1" t="s">
        <v>1147</v>
      </c>
      <c r="D697" s="1" t="n">
        <v>168</v>
      </c>
      <c r="E697" s="48" t="str">
        <f aca="false">IF('RAW ASH'!B168="","",'RAW ASH'!B168)</f>
        <v>Grief Support</v>
      </c>
      <c r="F697" s="48" t="str">
        <f aca="false">IF('RAW ASH'!C168="","",'RAW ASH'!C168)</f>
        <v>Support Svcs</v>
      </c>
      <c r="G697" s="49" t="str">
        <f aca="false">IF('RAW ASH'!A168="","",'RAW ASH'!A168)</f>
        <v>02/02/2026</v>
      </c>
      <c r="H697" s="48" t="str">
        <f aca="false">IF('RAW ASH'!D168="","",'RAW ASH'!D168)</f>
        <v>Pastoral Care</v>
      </c>
      <c r="I697" s="48" t="n">
        <f aca="false">IF('RAW ASH'!E168="","",'RAW ASH'!E168)</f>
        <v>2.5</v>
      </c>
      <c r="J697" s="48" t="n">
        <f aca="false">IF('RAW ASH'!F168="","",'RAW ASH'!F168)</f>
        <v>9</v>
      </c>
      <c r="K697" s="50" t="n">
        <f aca="false">IF('RAW ASH'!G168="","",'RAW ASH'!G168)</f>
        <v>30</v>
      </c>
      <c r="L697" s="50" t="str">
        <f aca="false">IF('RAW ASH'!H168="","",'RAW ASH'!H168)</f>
        <v/>
      </c>
      <c r="M697" s="48" t="str">
        <f aca="false">IF('RAW ASH'!I168="","",'RAW ASH'!I168)</f>
        <v/>
      </c>
    </row>
    <row r="698" customFormat="false" ht="15" hidden="false" customHeight="false" outlineLevel="0" collapsed="false">
      <c r="A698" s="1" t="s">
        <v>1842</v>
      </c>
      <c r="B698" s="1" t="s">
        <v>155</v>
      </c>
      <c r="C698" s="1" t="s">
        <v>1147</v>
      </c>
      <c r="D698" s="1" t="n">
        <v>169</v>
      </c>
      <c r="E698" s="48" t="str">
        <f aca="false">IF('RAW ASH'!B169="","",'RAW ASH'!B169)</f>
        <v>Grief Support</v>
      </c>
      <c r="F698" s="48" t="str">
        <f aca="false">IF('RAW ASH'!C169="","",'RAW ASH'!C169)</f>
        <v>Support Svcs</v>
      </c>
      <c r="G698" s="49" t="str">
        <f aca="false">IF('RAW ASH'!A169="","",'RAW ASH'!A169)</f>
        <v>02/02/2026</v>
      </c>
      <c r="H698" s="48" t="str">
        <f aca="false">IF('RAW ASH'!D169="","",'RAW ASH'!D169)</f>
        <v>Social Work</v>
      </c>
      <c r="I698" s="48" t="n">
        <f aca="false">IF('RAW ASH'!E169="","",'RAW ASH'!E169)</f>
        <v>1.75</v>
      </c>
      <c r="J698" s="48" t="str">
        <f aca="false">IF('RAW ASH'!F169="","",'RAW ASH'!F169)</f>
        <v/>
      </c>
      <c r="K698" s="50" t="str">
        <f aca="false">IF('RAW ASH'!G169="","",'RAW ASH'!G169)</f>
        <v/>
      </c>
      <c r="L698" s="50" t="str">
        <f aca="false">IF('RAW ASH'!H169="","",'RAW ASH'!H169)</f>
        <v/>
      </c>
      <c r="M698" s="48" t="str">
        <f aca="false">IF('RAW ASH'!I169="","",'RAW ASH'!I169)</f>
        <v/>
      </c>
    </row>
    <row r="699" customFormat="false" ht="15" hidden="false" customHeight="false" outlineLevel="0" collapsed="false">
      <c r="A699" s="1" t="s">
        <v>1843</v>
      </c>
      <c r="B699" s="1" t="s">
        <v>155</v>
      </c>
      <c r="C699" s="1" t="s">
        <v>1147</v>
      </c>
      <c r="D699" s="1" t="n">
        <v>170</v>
      </c>
      <c r="E699" s="48" t="str">
        <f aca="false">IF('RAW ASH'!B170="","",'RAW ASH'!B170)</f>
        <v>Regional Health Coalition Mtg</v>
      </c>
      <c r="F699" s="48" t="str">
        <f aca="false">IF('RAW ASH'!C170="","",'RAW ASH'!C170)</f>
        <v>CB-Coalition Bldg</v>
      </c>
      <c r="G699" s="49" t="str">
        <f aca="false">IF('RAW ASH'!A170="","",'RAW ASH'!A170)</f>
        <v>02/04/2026</v>
      </c>
      <c r="H699" s="48" t="str">
        <f aca="false">IF('RAW ASH'!D170="","",'RAW ASH'!D170)</f>
        <v>CB Manager</v>
      </c>
      <c r="I699" s="48" t="n">
        <f aca="false">IF('RAW ASH'!E170="","",'RAW ASH'!E170)</f>
        <v>2.5</v>
      </c>
      <c r="J699" s="48" t="str">
        <f aca="false">IF('RAW ASH'!F170="","",'RAW ASH'!F170)</f>
        <v/>
      </c>
      <c r="K699" s="50" t="str">
        <f aca="false">IF('RAW ASH'!G170="","",'RAW ASH'!G170)</f>
        <v/>
      </c>
      <c r="L699" s="50" t="str">
        <f aca="false">IF('RAW ASH'!H170="","",'RAW ASH'!H170)</f>
        <v/>
      </c>
      <c r="M699" s="48" t="str">
        <f aca="false">IF('RAW ASH'!I170="","",'RAW ASH'!I170)</f>
        <v/>
      </c>
    </row>
    <row r="700" customFormat="false" ht="15" hidden="false" customHeight="false" outlineLevel="0" collapsed="false">
      <c r="A700" s="1" t="s">
        <v>1844</v>
      </c>
      <c r="B700" s="1" t="s">
        <v>155</v>
      </c>
      <c r="C700" s="1" t="s">
        <v>1147</v>
      </c>
      <c r="D700" s="1" t="n">
        <v>171</v>
      </c>
      <c r="E700" s="48" t="str">
        <f aca="false">IF('RAW ASH'!B171="","",'RAW ASH'!B171)</f>
        <v>Regional Health Coalition Mtg</v>
      </c>
      <c r="F700" s="48" t="str">
        <f aca="false">IF('RAW ASH'!C171="","",'RAW ASH'!C171)</f>
        <v>CB-Coalition Bldg</v>
      </c>
      <c r="G700" s="49" t="str">
        <f aca="false">IF('RAW ASH'!A171="","",'RAW ASH'!A171)</f>
        <v>02/04/2026</v>
      </c>
      <c r="H700" s="48" t="str">
        <f aca="false">IF('RAW ASH'!D171="","",'RAW ASH'!D171)</f>
        <v>Director, Mission</v>
      </c>
      <c r="I700" s="48" t="n">
        <f aca="false">IF('RAW ASH'!E171="","",'RAW ASH'!E171)</f>
        <v>2.5</v>
      </c>
      <c r="J700" s="48" t="str">
        <f aca="false">IF('RAW ASH'!F171="","",'RAW ASH'!F171)</f>
        <v/>
      </c>
      <c r="K700" s="50" t="n">
        <f aca="false">IF('RAW ASH'!G171="","",'RAW ASH'!G171)</f>
        <v>50</v>
      </c>
      <c r="L700" s="50" t="str">
        <f aca="false">IF('RAW ASH'!H171="","",'RAW ASH'!H171)</f>
        <v/>
      </c>
      <c r="M700" s="48" t="str">
        <f aca="false">IF('RAW ASH'!I171="","",'RAW ASH'!I171)</f>
        <v/>
      </c>
    </row>
    <row r="701" customFormat="false" ht="15" hidden="false" customHeight="false" outlineLevel="0" collapsed="false">
      <c r="A701" s="1" t="s">
        <v>1845</v>
      </c>
      <c r="B701" s="1" t="s">
        <v>155</v>
      </c>
      <c r="C701" s="1" t="s">
        <v>1147</v>
      </c>
      <c r="D701" s="1" t="n">
        <v>172</v>
      </c>
      <c r="E701" s="48" t="str">
        <f aca="false">IF('RAW ASH'!B172="","",'RAW ASH'!B172)</f>
        <v>Leadership Academy</v>
      </c>
      <c r="F701" s="48" t="str">
        <f aca="false">IF('RAW ASH'!C172="","",'RAW ASH'!C172)</f>
        <v>CB-Leadership Dev</v>
      </c>
      <c r="G701" s="49" t="str">
        <f aca="false">IF('RAW ASH'!A172="","",'RAW ASH'!A172)</f>
        <v>02/04/2026</v>
      </c>
      <c r="H701" s="48" t="str">
        <f aca="false">IF('RAW ASH'!D172="","",'RAW ASH'!D172)</f>
        <v>Community Educator</v>
      </c>
      <c r="I701" s="48" t="n">
        <f aca="false">IF('RAW ASH'!E172="","",'RAW ASH'!E172)</f>
        <v>3.75</v>
      </c>
      <c r="J701" s="48" t="str">
        <f aca="false">IF('RAW ASH'!F172="","",'RAW ASH'!F172)</f>
        <v/>
      </c>
      <c r="K701" s="50" t="str">
        <f aca="false">IF('RAW ASH'!G172="","",'RAW ASH'!G172)</f>
        <v/>
      </c>
      <c r="L701" s="50" t="str">
        <f aca="false">IF('RAW ASH'!H172="","",'RAW ASH'!H172)</f>
        <v/>
      </c>
      <c r="M701" s="48" t="str">
        <f aca="false">IF('RAW ASH'!I172="","",'RAW ASH'!I172)</f>
        <v/>
      </c>
    </row>
    <row r="702" customFormat="false" ht="15" hidden="false" customHeight="false" outlineLevel="0" collapsed="false">
      <c r="A702" s="1" t="s">
        <v>1846</v>
      </c>
      <c r="B702" s="1" t="s">
        <v>155</v>
      </c>
      <c r="C702" s="1" t="s">
        <v>1147</v>
      </c>
      <c r="D702" s="1" t="n">
        <v>173</v>
      </c>
      <c r="E702" s="48" t="str">
        <f aca="false">IF('RAW ASH'!B173="","",'RAW ASH'!B173)</f>
        <v>Leadership Academy</v>
      </c>
      <c r="F702" s="48" t="str">
        <f aca="false">IF('RAW ASH'!C173="","",'RAW ASH'!C173)</f>
        <v>CB-Leadership Dev</v>
      </c>
      <c r="G702" s="49" t="str">
        <f aca="false">IF('RAW ASH'!A173="","",'RAW ASH'!A173)</f>
        <v>02/04/2026</v>
      </c>
      <c r="H702" s="48" t="str">
        <f aca="false">IF('RAW ASH'!D173="","",'RAW ASH'!D173)</f>
        <v>Prog Coord</v>
      </c>
      <c r="I702" s="48" t="n">
        <f aca="false">IF('RAW ASH'!E173="","",'RAW ASH'!E173)</f>
        <v>4.75</v>
      </c>
      <c r="J702" s="48" t="n">
        <f aca="false">IF('RAW ASH'!F173="","",'RAW ASH'!F173)</f>
        <v>19</v>
      </c>
      <c r="K702" s="50" t="n">
        <f aca="false">IF('RAW ASH'!G173="","",'RAW ASH'!G173)</f>
        <v>330</v>
      </c>
      <c r="L702" s="50" t="str">
        <f aca="false">IF('RAW ASH'!H173="","",'RAW ASH'!H173)</f>
        <v/>
      </c>
      <c r="M702" s="48" t="str">
        <f aca="false">IF('RAW ASH'!I173="","",'RAW ASH'!I173)</f>
        <v/>
      </c>
    </row>
    <row r="703" customFormat="false" ht="15" hidden="false" customHeight="false" outlineLevel="0" collapsed="false">
      <c r="A703" s="1" t="s">
        <v>1847</v>
      </c>
      <c r="B703" s="1" t="s">
        <v>155</v>
      </c>
      <c r="C703" s="1" t="s">
        <v>1147</v>
      </c>
      <c r="D703" s="1" t="n">
        <v>174</v>
      </c>
      <c r="E703" s="48" t="str">
        <f aca="false">IF('RAW ASH'!B174="","",'RAW ASH'!B174)</f>
        <v>Car Seat Checks</v>
      </c>
      <c r="F703" s="48" t="str">
        <f aca="false">IF('RAW ASH'!C174="","",'RAW ASH'!C174)</f>
        <v>Comm Hlth Ed</v>
      </c>
      <c r="G703" s="49" t="str">
        <f aca="false">IF('RAW ASH'!A174="","",'RAW ASH'!A174)</f>
        <v>02/11/2026</v>
      </c>
      <c r="H703" s="48" t="str">
        <f aca="false">IF('RAW ASH'!D174="","",'RAW ASH'!D174)</f>
        <v> Paramedic</v>
      </c>
      <c r="I703" s="48" t="n">
        <f aca="false">IF('RAW ASH'!E174="","",'RAW ASH'!E174)</f>
        <v>3</v>
      </c>
      <c r="J703" s="48" t="n">
        <f aca="false">IF('RAW ASH'!F174="","",'RAW ASH'!F174)</f>
        <v>33</v>
      </c>
      <c r="K703" s="50" t="n">
        <f aca="false">IF('RAW ASH'!G174="","",'RAW ASH'!G174)</f>
        <v>795</v>
      </c>
      <c r="L703" s="50" t="n">
        <f aca="false">IF('RAW ASH'!H174="","",'RAW ASH'!H174)</f>
        <v>565</v>
      </c>
      <c r="M703" s="48" t="str">
        <f aca="false">IF('RAW ASH'!I174="","",'RAW ASH'!I174)</f>
        <v/>
      </c>
    </row>
    <row r="704" customFormat="false" ht="15" hidden="false" customHeight="false" outlineLevel="0" collapsed="false">
      <c r="A704" s="1" t="s">
        <v>1848</v>
      </c>
      <c r="B704" s="1" t="s">
        <v>155</v>
      </c>
      <c r="C704" s="1" t="s">
        <v>1147</v>
      </c>
      <c r="D704" s="1" t="n">
        <v>175</v>
      </c>
      <c r="E704" s="48" t="str">
        <f aca="false">IF('RAW ASH'!B175="","",'RAW ASH'!B175)</f>
        <v>Car Seat Checks</v>
      </c>
      <c r="F704" s="48" t="str">
        <f aca="false">IF('RAW ASH'!C175="","",'RAW ASH'!C175)</f>
        <v>Comm Hlth Ed</v>
      </c>
      <c r="G704" s="49" t="str">
        <f aca="false">IF('RAW ASH'!A175="","",'RAW ASH'!A175)</f>
        <v>02/11/2026</v>
      </c>
      <c r="H704" s="48" t="str">
        <f aca="false">IF('RAW ASH'!D175="","",'RAW ASH'!D175)</f>
        <v>RN - Outreach</v>
      </c>
      <c r="I704" s="48" t="n">
        <f aca="false">IF('RAW ASH'!E175="","",'RAW ASH'!E175)</f>
        <v>3.25</v>
      </c>
      <c r="J704" s="48" t="str">
        <f aca="false">IF('RAW ASH'!F175="","",'RAW ASH'!F175)</f>
        <v/>
      </c>
      <c r="K704" s="50" t="str">
        <f aca="false">IF('RAW ASH'!G175="","",'RAW ASH'!G175)</f>
        <v/>
      </c>
      <c r="L704" s="50" t="str">
        <f aca="false">IF('RAW ASH'!H175="","",'RAW ASH'!H175)</f>
        <v/>
      </c>
      <c r="M704" s="48" t="str">
        <f aca="false">IF('RAW ASH'!I175="","",'RAW ASH'!I175)</f>
        <v/>
      </c>
    </row>
    <row r="705" customFormat="false" ht="15" hidden="false" customHeight="false" outlineLevel="0" collapsed="false">
      <c r="A705" s="1" t="s">
        <v>1849</v>
      </c>
      <c r="B705" s="1" t="s">
        <v>155</v>
      </c>
      <c r="C705" s="1" t="s">
        <v>1147</v>
      </c>
      <c r="D705" s="1" t="n">
        <v>176</v>
      </c>
      <c r="E705" s="48" t="str">
        <f aca="false">IF('RAW ASH'!B176="","",'RAW ASH'!B176)</f>
        <v>DPP Classes</v>
      </c>
      <c r="F705" s="48" t="str">
        <f aca="false">IF('RAW ASH'!C176="","",'RAW ASH'!C176)</f>
        <v>Comm Hlth Ed</v>
      </c>
      <c r="G705" s="49" t="str">
        <f aca="false">IF('RAW ASH'!A176="","",'RAW ASH'!A176)</f>
        <v>02/14/2026</v>
      </c>
      <c r="H705" s="48" t="str">
        <f aca="false">IF('RAW ASH'!D176="","",'RAW ASH'!D176)</f>
        <v>Health Ed </v>
      </c>
      <c r="I705" s="48" t="n">
        <f aca="false">IF('RAW ASH'!E176="","",'RAW ASH'!E176)</f>
        <v>2.25</v>
      </c>
      <c r="J705" s="48" t="n">
        <f aca="false">IF('RAW ASH'!F176="","",'RAW ASH'!F176)</f>
        <v>13</v>
      </c>
      <c r="K705" s="50" t="n">
        <f aca="false">IF('RAW ASH'!G176="","",'RAW ASH'!G176)</f>
        <v>160</v>
      </c>
      <c r="L705" s="50" t="str">
        <f aca="false">IF('RAW ASH'!H176="","",'RAW ASH'!H176)</f>
        <v/>
      </c>
      <c r="M705" s="48" t="str">
        <f aca="false">IF('RAW ASH'!I176="","",'RAW ASH'!I176)</f>
        <v/>
      </c>
    </row>
    <row r="706" customFormat="false" ht="15" hidden="false" customHeight="false" outlineLevel="0" collapsed="false">
      <c r="A706" s="1" t="s">
        <v>1850</v>
      </c>
      <c r="B706" s="1" t="s">
        <v>155</v>
      </c>
      <c r="C706" s="1" t="s">
        <v>1147</v>
      </c>
      <c r="D706" s="1" t="n">
        <v>177</v>
      </c>
      <c r="E706" s="48" t="str">
        <f aca="false">IF('RAW ASH'!B177="","",'RAW ASH'!B177)</f>
        <v>DPP Classes</v>
      </c>
      <c r="F706" s="48" t="str">
        <f aca="false">IF('RAW ASH'!C177="","",'RAW ASH'!C177)</f>
        <v>Comm Hlth Ed</v>
      </c>
      <c r="G706" s="49" t="str">
        <f aca="false">IF('RAW ASH'!A177="","",'RAW ASH'!A177)</f>
        <v>02/14/2026</v>
      </c>
      <c r="H706" s="48" t="str">
        <f aca="false">IF('RAW ASH'!D177="","",'RAW ASH'!D177)</f>
        <v>Nutritionist</v>
      </c>
      <c r="I706" s="48" t="n">
        <f aca="false">IF('RAW ASH'!E177="","",'RAW ASH'!E177)</f>
        <v>2</v>
      </c>
      <c r="J706" s="48" t="str">
        <f aca="false">IF('RAW ASH'!F177="","",'RAW ASH'!F177)</f>
        <v/>
      </c>
      <c r="K706" s="50" t="str">
        <f aca="false">IF('RAW ASH'!G177="","",'RAW ASH'!G177)</f>
        <v/>
      </c>
      <c r="L706" s="50" t="str">
        <f aca="false">IF('RAW ASH'!H177="","",'RAW ASH'!H177)</f>
        <v/>
      </c>
      <c r="M706" s="48" t="str">
        <f aca="false">IF('RAW ASH'!I177="","",'RAW ASH'!I177)</f>
        <v/>
      </c>
    </row>
    <row r="707" customFormat="false" ht="15" hidden="false" customHeight="false" outlineLevel="0" collapsed="false">
      <c r="A707" s="1" t="s">
        <v>1851</v>
      </c>
      <c r="B707" s="1" t="s">
        <v>155</v>
      </c>
      <c r="C707" s="1" t="s">
        <v>1147</v>
      </c>
      <c r="D707" s="1" t="n">
        <v>178</v>
      </c>
      <c r="E707" s="48" t="str">
        <f aca="false">IF('RAW ASH'!B178="","",'RAW ASH'!B178)</f>
        <v>BP Checks</v>
      </c>
      <c r="F707" s="48" t="str">
        <f aca="false">IF('RAW ASH'!C178="","",'RAW ASH'!C178)</f>
        <v>Clinical Svcs</v>
      </c>
      <c r="G707" s="49" t="str">
        <f aca="false">IF('RAW ASH'!A178="","",'RAW ASH'!A178)</f>
        <v>02/21/2026</v>
      </c>
      <c r="H707" s="48" t="str">
        <f aca="false">IF('RAW ASH'!D178="","",'RAW ASH'!D178)</f>
        <v>Clinical RN</v>
      </c>
      <c r="I707" s="48" t="n">
        <f aca="false">IF('RAW ASH'!E178="","",'RAW ASH'!E178)</f>
        <v>4</v>
      </c>
      <c r="J707" s="48" t="n">
        <f aca="false">IF('RAW ASH'!F178="","",'RAW ASH'!F178)</f>
        <v>64</v>
      </c>
      <c r="K707" s="50" t="n">
        <f aca="false">IF('RAW ASH'!G178="","",'RAW ASH'!G178)</f>
        <v>50</v>
      </c>
      <c r="L707" s="50" t="str">
        <f aca="false">IF('RAW ASH'!H178="","",'RAW ASH'!H178)</f>
        <v/>
      </c>
      <c r="M707" s="48" t="str">
        <f aca="false">IF('RAW ASH'!I178="","",'RAW ASH'!I178)</f>
        <v/>
      </c>
    </row>
    <row r="708" customFormat="false" ht="15" hidden="false" customHeight="false" outlineLevel="0" collapsed="false">
      <c r="A708" s="1" t="s">
        <v>1852</v>
      </c>
      <c r="B708" s="1" t="s">
        <v>155</v>
      </c>
      <c r="C708" s="1" t="s">
        <v>1147</v>
      </c>
      <c r="D708" s="1" t="n">
        <v>179</v>
      </c>
      <c r="E708" s="48" t="str">
        <f aca="false">IF('RAW ASH'!B179="","",'RAW ASH'!B179)</f>
        <v>Mobile Screening Unit</v>
      </c>
      <c r="F708" s="48" t="str">
        <f aca="false">IF('RAW ASH'!C179="","",'RAW ASH'!C179)</f>
        <v>Clinical Svcs</v>
      </c>
      <c r="G708" s="49" t="str">
        <f aca="false">IF('RAW ASH'!A179="","",'RAW ASH'!A179)</f>
        <v>02/28/2026</v>
      </c>
      <c r="H708" s="48" t="str">
        <f aca="false">IF('RAW ASH'!D179="","",'RAW ASH'!D179)</f>
        <v>CHW II</v>
      </c>
      <c r="I708" s="48" t="n">
        <f aca="false">IF('RAW ASH'!E179="","",'RAW ASH'!E179)</f>
        <v>77.5</v>
      </c>
      <c r="J708" s="48" t="str">
        <f aca="false">IF('RAW ASH'!F179="","",'RAW ASH'!F179)</f>
        <v/>
      </c>
      <c r="K708" s="50" t="str">
        <f aca="false">IF('RAW ASH'!G179="","",'RAW ASH'!G179)</f>
        <v/>
      </c>
      <c r="L708" s="50" t="str">
        <f aca="false">IF('RAW ASH'!H179="","",'RAW ASH'!H179)</f>
        <v/>
      </c>
      <c r="M708" s="48" t="str">
        <f aca="false">IF('RAW ASH'!I179="","",'RAW ASH'!I179)</f>
        <v/>
      </c>
    </row>
    <row r="709" customFormat="false" ht="15" hidden="false" customHeight="false" outlineLevel="0" collapsed="false">
      <c r="A709" s="1" t="s">
        <v>1853</v>
      </c>
      <c r="B709" s="1" t="s">
        <v>155</v>
      </c>
      <c r="C709" s="1" t="s">
        <v>1147</v>
      </c>
      <c r="D709" s="1" t="n">
        <v>180</v>
      </c>
      <c r="E709" s="48" t="str">
        <f aca="false">IF('RAW ASH'!B180="","",'RAW ASH'!B180)</f>
        <v>Mobile Screening Unit</v>
      </c>
      <c r="F709" s="48" t="str">
        <f aca="false">IF('RAW ASH'!C180="","",'RAW ASH'!C180)</f>
        <v>Clinical Svcs</v>
      </c>
      <c r="G709" s="49" t="str">
        <f aca="false">IF('RAW ASH'!A180="","",'RAW ASH'!A180)</f>
        <v>02/28/2026</v>
      </c>
      <c r="H709" s="48" t="str">
        <f aca="false">IF('RAW ASH'!D180="","",'RAW ASH'!D180)</f>
        <v>CMA</v>
      </c>
      <c r="I709" s="48" t="n">
        <f aca="false">IF('RAW ASH'!E180="","",'RAW ASH'!E180)</f>
        <v>92</v>
      </c>
      <c r="J709" s="48" t="str">
        <f aca="false">IF('RAW ASH'!F180="","",'RAW ASH'!F180)</f>
        <v/>
      </c>
      <c r="K709" s="50" t="str">
        <f aca="false">IF('RAW ASH'!G180="","",'RAW ASH'!G180)</f>
        <v/>
      </c>
      <c r="L709" s="50" t="str">
        <f aca="false">IF('RAW ASH'!H180="","",'RAW ASH'!H180)</f>
        <v/>
      </c>
      <c r="M709" s="48" t="str">
        <f aca="false">IF('RAW ASH'!I180="","",'RAW ASH'!I180)</f>
        <v/>
      </c>
    </row>
    <row r="710" customFormat="false" ht="15" hidden="false" customHeight="false" outlineLevel="0" collapsed="false">
      <c r="A710" s="1" t="s">
        <v>1854</v>
      </c>
      <c r="B710" s="1" t="s">
        <v>155</v>
      </c>
      <c r="C710" s="1" t="s">
        <v>1147</v>
      </c>
      <c r="D710" s="1" t="n">
        <v>181</v>
      </c>
      <c r="E710" s="48" t="str">
        <f aca="false">IF('RAW ASH'!B181="","",'RAW ASH'!B181)</f>
        <v>Mobile Screening Unit</v>
      </c>
      <c r="F710" s="48" t="str">
        <f aca="false">IF('RAW ASH'!C181="","",'RAW ASH'!C181)</f>
        <v>Clinical Svcs</v>
      </c>
      <c r="G710" s="49" t="str">
        <f aca="false">IF('RAW ASH'!A181="","",'RAW ASH'!A181)</f>
        <v>02/28/2026</v>
      </c>
      <c r="H710" s="48" t="str">
        <f aca="false">IF('RAW ASH'!D181="","",'RAW ASH'!D181)</f>
        <v>Clinical RN</v>
      </c>
      <c r="I710" s="48" t="n">
        <f aca="false">IF('RAW ASH'!E181="","",'RAW ASH'!E181)</f>
        <v>99.75</v>
      </c>
      <c r="J710" s="48" t="n">
        <f aca="false">IF('RAW ASH'!F181="","",'RAW ASH'!F181)</f>
        <v>142</v>
      </c>
      <c r="K710" s="50" t="n">
        <f aca="false">IF('RAW ASH'!G181="","",'RAW ASH'!G181)</f>
        <v>9455</v>
      </c>
      <c r="L710" s="50" t="str">
        <f aca="false">IF('RAW ASH'!H181="","",'RAW ASH'!H181)</f>
        <v/>
      </c>
      <c r="M710" s="48" t="str">
        <f aca="false">IF('RAW ASH'!I181="","",'RAW ASH'!I181)</f>
        <v/>
      </c>
    </row>
    <row r="711" customFormat="false" ht="15" hidden="false" customHeight="false" outlineLevel="0" collapsed="false">
      <c r="A711" s="1" t="s">
        <v>1855</v>
      </c>
      <c r="B711" s="1" t="s">
        <v>155</v>
      </c>
      <c r="C711" s="1" t="s">
        <v>1147</v>
      </c>
      <c r="D711" s="1" t="n">
        <v>182</v>
      </c>
      <c r="E711" s="48" t="str">
        <f aca="false">IF('RAW ASH'!B182="","",'RAW ASH'!B182)</f>
        <v>CHW Outreach</v>
      </c>
      <c r="F711" s="48" t="str">
        <f aca="false">IF('RAW ASH'!C182="","",'RAW ASH'!C182)</f>
        <v>Support Svcs</v>
      </c>
      <c r="G711" s="49" t="str">
        <f aca="false">IF('RAW ASH'!A182="","",'RAW ASH'!A182)</f>
        <v>02/28/2026</v>
      </c>
      <c r="H711" s="48" t="str">
        <f aca="false">IF('RAW ASH'!D182="","",'RAW ASH'!D182)</f>
        <v>CHW</v>
      </c>
      <c r="I711" s="48" t="n">
        <f aca="false">IF('RAW ASH'!E182="","",'RAW ASH'!E182)</f>
        <v>338.75</v>
      </c>
      <c r="J711" s="48" t="n">
        <f aca="false">IF('RAW ASH'!F182="","",'RAW ASH'!F182)</f>
        <v>457</v>
      </c>
      <c r="K711" s="50" t="n">
        <f aca="false">IF('RAW ASH'!G182="","",'RAW ASH'!G182)</f>
        <v>1300</v>
      </c>
      <c r="L711" s="50" t="str">
        <f aca="false">IF('RAW ASH'!H182="","",'RAW ASH'!H182)</f>
        <v/>
      </c>
      <c r="M711" s="48" t="str">
        <f aca="false">IF('RAW ASH'!I182="","",'RAW ASH'!I182)</f>
        <v/>
      </c>
    </row>
    <row r="712" customFormat="false" ht="15" hidden="false" customHeight="false" outlineLevel="0" collapsed="false">
      <c r="A712" s="1" t="s">
        <v>1856</v>
      </c>
      <c r="B712" s="1" t="s">
        <v>155</v>
      </c>
      <c r="C712" s="1" t="s">
        <v>1147</v>
      </c>
      <c r="D712" s="1" t="n">
        <v>183</v>
      </c>
      <c r="E712" s="48" t="str">
        <f aca="false">IF('RAW ASH'!B183="","",'RAW ASH'!B183)</f>
        <v>CHW Outreach</v>
      </c>
      <c r="F712" s="48" t="str">
        <f aca="false">IF('RAW ASH'!C183="","",'RAW ASH'!C183)</f>
        <v>Support Svcs</v>
      </c>
      <c r="G712" s="49" t="str">
        <f aca="false">IF('RAW ASH'!A183="","",'RAW ASH'!A183)</f>
        <v>02/28/2026</v>
      </c>
      <c r="H712" s="48" t="str">
        <f aca="false">IF('RAW ASH'!D183="","",'RAW ASH'!D183)</f>
        <v>Financial Navigator</v>
      </c>
      <c r="I712" s="48" t="n">
        <f aca="false">IF('RAW ASH'!E183="","",'RAW ASH'!E183)</f>
        <v>131.25</v>
      </c>
      <c r="J712" s="48" t="str">
        <f aca="false">IF('RAW ASH'!F183="","",'RAW ASH'!F183)</f>
        <v/>
      </c>
      <c r="K712" s="50" t="str">
        <f aca="false">IF('RAW ASH'!G183="","",'RAW ASH'!G183)</f>
        <v/>
      </c>
      <c r="L712" s="50" t="str">
        <f aca="false">IF('RAW ASH'!H183="","",'RAW ASH'!H183)</f>
        <v/>
      </c>
      <c r="M712" s="48" t="str">
        <f aca="false">IF('RAW ASH'!I183="","",'RAW ASH'!I183)</f>
        <v/>
      </c>
    </row>
    <row r="713" customFormat="false" ht="15" hidden="false" customHeight="false" outlineLevel="0" collapsed="false">
      <c r="A713" s="1" t="s">
        <v>1857</v>
      </c>
      <c r="B713" s="1" t="s">
        <v>155</v>
      </c>
      <c r="C713" s="1" t="s">
        <v>1147</v>
      </c>
      <c r="D713" s="1" t="n">
        <v>184</v>
      </c>
      <c r="E713" s="48" t="str">
        <f aca="false">IF('RAW ASH'!B184="","",'RAW ASH'!B184)</f>
        <v>Produce Rx</v>
      </c>
      <c r="F713" s="48" t="str">
        <f aca="false">IF('RAW ASH'!C184="","",'RAW ASH'!C184)</f>
        <v>Support Svcs</v>
      </c>
      <c r="G713" s="49" t="str">
        <f aca="false">IF('RAW ASH'!A184="","",'RAW ASH'!A184)</f>
        <v>02/28/2026</v>
      </c>
      <c r="H713" s="48" t="str">
        <f aca="false">IF('RAW ASH'!D184="","",'RAW ASH'!D184)</f>
        <v>chw ii</v>
      </c>
      <c r="I713" s="48" t="n">
        <f aca="false">IF('RAW ASH'!E184="","",'RAW ASH'!E184)</f>
        <v>62</v>
      </c>
      <c r="J713" s="48" t="str">
        <f aca="false">IF('RAW ASH'!F184="","",'RAW ASH'!F184)</f>
        <v/>
      </c>
      <c r="K713" s="50" t="str">
        <f aca="false">IF('RAW ASH'!G184="","",'RAW ASH'!G184)</f>
        <v/>
      </c>
      <c r="L713" s="50" t="str">
        <f aca="false">IF('RAW ASH'!H184="","",'RAW ASH'!H184)</f>
        <v/>
      </c>
      <c r="M713" s="48" t="str">
        <f aca="false">IF('RAW ASH'!I184="","",'RAW ASH'!I184)</f>
        <v/>
      </c>
    </row>
    <row r="714" customFormat="false" ht="15" hidden="false" customHeight="false" outlineLevel="0" collapsed="false">
      <c r="A714" s="1" t="s">
        <v>1858</v>
      </c>
      <c r="B714" s="1" t="s">
        <v>155</v>
      </c>
      <c r="C714" s="1" t="s">
        <v>1147</v>
      </c>
      <c r="D714" s="1" t="n">
        <v>185</v>
      </c>
      <c r="E714" s="48" t="str">
        <f aca="false">IF('RAW ASH'!B185="","",'RAW ASH'!B185)</f>
        <v>Produce Rx</v>
      </c>
      <c r="F714" s="48" t="str">
        <f aca="false">IF('RAW ASH'!C185="","",'RAW ASH'!C185)</f>
        <v>Support Svcs</v>
      </c>
      <c r="G714" s="49" t="str">
        <f aca="false">IF('RAW ASH'!A185="","",'RAW ASH'!A185)</f>
        <v>02/28/2026</v>
      </c>
      <c r="H714" s="48" t="str">
        <f aca="false">IF('RAW ASH'!D185="","",'RAW ASH'!D185)</f>
        <v>Registered Dietitian</v>
      </c>
      <c r="I714" s="48" t="n">
        <f aca="false">IF('RAW ASH'!E185="","",'RAW ASH'!E185)</f>
        <v>31.75</v>
      </c>
      <c r="J714" s="48" t="n">
        <f aca="false">IF('RAW ASH'!F185="","",'RAW ASH'!F185)</f>
        <v>168</v>
      </c>
      <c r="K714" s="50" t="n">
        <f aca="false">IF('RAW ASH'!G185="","",'RAW ASH'!G185)</f>
        <v>9905</v>
      </c>
      <c r="L714" s="50" t="n">
        <f aca="false">IF('RAW ASH'!H185="","",'RAW ASH'!H185)</f>
        <v>5170</v>
      </c>
      <c r="M714" s="48" t="str">
        <f aca="false">IF('RAW ASH'!I185="","",'RAW ASH'!I185)</f>
        <v/>
      </c>
    </row>
    <row r="715" customFormat="false" ht="15" hidden="false" customHeight="false" outlineLevel="0" collapsed="false">
      <c r="A715" s="1" t="s">
        <v>1859</v>
      </c>
      <c r="B715" s="1" t="s">
        <v>155</v>
      </c>
      <c r="C715" s="1" t="s">
        <v>1147</v>
      </c>
      <c r="D715" s="1" t="n">
        <v>186</v>
      </c>
      <c r="E715" s="48" t="str">
        <f aca="false">IF('RAW ASH'!B186="","",'RAW ASH'!B186)</f>
        <v>CHNA (system)</v>
      </c>
      <c r="F715" s="48" t="str">
        <f aca="false">IF('RAW ASH'!C186="","",'RAW ASH'!C186)</f>
        <v>CB Admin</v>
      </c>
      <c r="G715" s="49" t="str">
        <f aca="false">IF('RAW ASH'!A186="","",'RAW ASH'!A186)</f>
        <v>02/28/2026</v>
      </c>
      <c r="H715" s="48" t="str">
        <f aca="false">IF('RAW ASH'!D186="","",'RAW ASH'!D186)</f>
        <v>Community Benefit Mgr</v>
      </c>
      <c r="I715" s="48" t="n">
        <f aca="false">IF('RAW ASH'!E186="","",'RAW ASH'!E186)</f>
        <v>121.75</v>
      </c>
      <c r="J715" s="48" t="str">
        <f aca="false">IF('RAW ASH'!F186="","",'RAW ASH'!F186)</f>
        <v/>
      </c>
      <c r="K715" s="50" t="n">
        <f aca="false">IF('RAW ASH'!G186="","",'RAW ASH'!G186)</f>
        <v>3915</v>
      </c>
      <c r="L715" s="50" t="str">
        <f aca="false">IF('RAW ASH'!H186="","",'RAW ASH'!H186)</f>
        <v/>
      </c>
      <c r="M715" s="48" t="str">
        <f aca="false">IF('RAW ASH'!I186="","",'RAW ASH'!I186)</f>
        <v>System CHNA work (shared)</v>
      </c>
    </row>
    <row r="716" customFormat="false" ht="15" hidden="false" customHeight="false" outlineLevel="0" collapsed="false">
      <c r="A716" s="1" t="s">
        <v>1860</v>
      </c>
      <c r="B716" s="1" t="s">
        <v>155</v>
      </c>
      <c r="C716" s="1" t="s">
        <v>1147</v>
      </c>
      <c r="D716" s="1" t="n">
        <v>187</v>
      </c>
      <c r="E716" s="48" t="str">
        <f aca="false">IF('RAW ASH'!B187="","",'RAW ASH'!B187)</f>
        <v>CHNA (system)</v>
      </c>
      <c r="F716" s="48" t="str">
        <f aca="false">IF('RAW ASH'!C187="","",'RAW ASH'!C187)</f>
        <v>CB Admin</v>
      </c>
      <c r="G716" s="49" t="str">
        <f aca="false">IF('RAW ASH'!A187="","",'RAW ASH'!A187)</f>
        <v>02/28/2026</v>
      </c>
      <c r="H716" s="48" t="str">
        <f aca="false">IF('RAW ASH'!D187="","",'RAW ASH'!D187)</f>
        <v>Analyst </v>
      </c>
      <c r="I716" s="48" t="n">
        <f aca="false">IF('RAW ASH'!E187="","",'RAW ASH'!E187)</f>
        <v>71</v>
      </c>
      <c r="J716" s="48" t="str">
        <f aca="false">IF('RAW ASH'!F187="","",'RAW ASH'!F187)</f>
        <v/>
      </c>
      <c r="K716" s="50" t="str">
        <f aca="false">IF('RAW ASH'!G187="","",'RAW ASH'!G187)</f>
        <v/>
      </c>
      <c r="L716" s="50" t="str">
        <f aca="false">IF('RAW ASH'!H187="","",'RAW ASH'!H187)</f>
        <v/>
      </c>
      <c r="M716" s="48" t="str">
        <f aca="false">IF('RAW ASH'!I187="","",'RAW ASH'!I187)</f>
        <v>System CHNA work (shared)</v>
      </c>
    </row>
    <row r="717" customFormat="false" ht="15" hidden="false" customHeight="false" outlineLevel="0" collapsed="false">
      <c r="A717" s="1" t="s">
        <v>1861</v>
      </c>
      <c r="B717" s="1" t="s">
        <v>155</v>
      </c>
      <c r="C717" s="1" t="s">
        <v>1147</v>
      </c>
      <c r="D717" s="1" t="n">
        <v>188</v>
      </c>
      <c r="E717" s="48" t="str">
        <f aca="false">IF('RAW ASH'!B188="","",'RAW ASH'!B188)</f>
        <v>CB Program Admin</v>
      </c>
      <c r="F717" s="48" t="str">
        <f aca="false">IF('RAW ASH'!C188="","",'RAW ASH'!C188)</f>
        <v>CB Admin</v>
      </c>
      <c r="G717" s="49" t="str">
        <f aca="false">IF('RAW ASH'!A188="","",'RAW ASH'!A188)</f>
        <v>02/28/2026</v>
      </c>
      <c r="H717" s="48" t="str">
        <f aca="false">IF('RAW ASH'!D188="","",'RAW ASH'!D188)</f>
        <v>Admin Asst</v>
      </c>
      <c r="I717" s="48" t="n">
        <f aca="false">IF('RAW ASH'!E188="","",'RAW ASH'!E188)</f>
        <v>57</v>
      </c>
      <c r="J717" s="48" t="str">
        <f aca="false">IF('RAW ASH'!F188="","",'RAW ASH'!F188)</f>
        <v/>
      </c>
      <c r="K717" s="50" t="str">
        <f aca="false">IF('RAW ASH'!G188="","",'RAW ASH'!G188)</f>
        <v/>
      </c>
      <c r="L717" s="50" t="str">
        <f aca="false">IF('RAW ASH'!H188="","",'RAW ASH'!H188)</f>
        <v/>
      </c>
      <c r="M717" s="48" t="str">
        <f aca="false">IF('RAW ASH'!I188="","",'RAW ASH'!I188)</f>
        <v/>
      </c>
    </row>
    <row r="718" customFormat="false" ht="15" hidden="false" customHeight="false" outlineLevel="0" collapsed="false">
      <c r="A718" s="1" t="s">
        <v>1862</v>
      </c>
      <c r="B718" s="1" t="s">
        <v>155</v>
      </c>
      <c r="C718" s="1" t="s">
        <v>1147</v>
      </c>
      <c r="D718" s="1" t="n">
        <v>189</v>
      </c>
      <c r="E718" s="48" t="str">
        <f aca="false">IF('RAW ASH'!B189="","",'RAW ASH'!B189)</f>
        <v>CB Program Admin</v>
      </c>
      <c r="F718" s="48" t="str">
        <f aca="false">IF('RAW ASH'!C189="","",'RAW ASH'!C189)</f>
        <v>CB Admin</v>
      </c>
      <c r="G718" s="49" t="str">
        <f aca="false">IF('RAW ASH'!A189="","",'RAW ASH'!A189)</f>
        <v>02/28/2026</v>
      </c>
      <c r="H718" s="48" t="str">
        <f aca="false">IF('RAW ASH'!D189="","",'RAW ASH'!D189)</f>
        <v>Community Benefit Manager</v>
      </c>
      <c r="I718" s="48" t="n">
        <f aca="false">IF('RAW ASH'!E189="","",'RAW ASH'!E189)</f>
        <v>66.75</v>
      </c>
      <c r="J718" s="48" t="str">
        <f aca="false">IF('RAW ASH'!F189="","",'RAW ASH'!F189)</f>
        <v/>
      </c>
      <c r="K718" s="50" t="n">
        <f aca="false">IF('RAW ASH'!G189="","",'RAW ASH'!G189)</f>
        <v>485</v>
      </c>
      <c r="L718" s="50" t="str">
        <f aca="false">IF('RAW ASH'!H189="","",'RAW ASH'!H189)</f>
        <v/>
      </c>
      <c r="M718" s="48" t="str">
        <f aca="false">IF('RAW ASH'!I189="","",'RAW ASH'!I189)</f>
        <v/>
      </c>
    </row>
    <row r="719" customFormat="false" ht="15" hidden="false" customHeight="false" outlineLevel="0" collapsed="false">
      <c r="A719" s="1" t="s">
        <v>1863</v>
      </c>
      <c r="B719" s="1" t="s">
        <v>155</v>
      </c>
      <c r="C719" s="1" t="s">
        <v>1147</v>
      </c>
      <c r="D719" s="1" t="n">
        <v>190</v>
      </c>
      <c r="E719" s="48" t="str">
        <f aca="false">IF('RAW ASH'!B190="","",'RAW ASH'!B190)</f>
        <v>Fall Prevention</v>
      </c>
      <c r="F719" s="48" t="str">
        <f aca="false">IF('RAW ASH'!C190="","",'RAW ASH'!C190)</f>
        <v>Comm Hlth Ed</v>
      </c>
      <c r="G719" s="49" t="str">
        <f aca="false">IF('RAW ASH'!A190="","",'RAW ASH'!A190)</f>
        <v>02/28/2026</v>
      </c>
      <c r="H719" s="48" t="str">
        <f aca="false">IF('RAW ASH'!D190="","",'RAW ASH'!D190)</f>
        <v>Resp Therapist</v>
      </c>
      <c r="I719" s="48" t="n">
        <f aca="false">IF('RAW ASH'!E190="","",'RAW ASH'!E190)</f>
        <v>2</v>
      </c>
      <c r="J719" s="48" t="n">
        <f aca="false">IF('RAW ASH'!F190="","",'RAW ASH'!F190)</f>
        <v>14</v>
      </c>
      <c r="K719" s="50" t="n">
        <f aca="false">IF('RAW ASH'!G190="","",'RAW ASH'!G190)</f>
        <v>100</v>
      </c>
      <c r="L719" s="50" t="str">
        <f aca="false">IF('RAW ASH'!H190="","",'RAW ASH'!H190)</f>
        <v/>
      </c>
      <c r="M719" s="48" t="str">
        <f aca="false">IF('RAW ASH'!I190="","",'RAW ASH'!I190)</f>
        <v/>
      </c>
    </row>
    <row r="720" customFormat="false" ht="15" hidden="false" customHeight="false" outlineLevel="0" collapsed="false">
      <c r="A720" s="1" t="s">
        <v>1864</v>
      </c>
      <c r="B720" s="1" t="s">
        <v>155</v>
      </c>
      <c r="C720" s="1" t="s">
        <v>1147</v>
      </c>
      <c r="D720" s="1" t="n">
        <v>191</v>
      </c>
      <c r="E720" s="48" t="str">
        <f aca="false">IF('RAW ASH'!B191="","",'RAW ASH'!B191)</f>
        <v>Nursing Clinicals</v>
      </c>
      <c r="F720" s="48" t="str">
        <f aca="false">IF('RAW ASH'!C191="","",'RAW ASH'!C191)</f>
        <v>HPE</v>
      </c>
      <c r="G720" s="49" t="str">
        <f aca="false">IF('RAW ASH'!A191="","",'RAW ASH'!A191)</f>
        <v>02/28/2026</v>
      </c>
      <c r="H720" s="48" t="str">
        <f aca="false">IF('RAW ASH'!D191="","",'RAW ASH'!D191)</f>
        <v>Educator, Nursing</v>
      </c>
      <c r="I720" s="48" t="n">
        <f aca="false">IF('RAW ASH'!E191="","",'RAW ASH'!E191)</f>
        <v>131.75</v>
      </c>
      <c r="J720" s="48" t="n">
        <f aca="false">IF('RAW ASH'!F191="","",'RAW ASH'!F191)</f>
        <v>43</v>
      </c>
      <c r="K720" s="50" t="n">
        <f aca="false">IF('RAW ASH'!G191="","",'RAW ASH'!G191)</f>
        <v>995</v>
      </c>
      <c r="L720" s="50" t="str">
        <f aca="false">IF('RAW ASH'!H191="","",'RAW ASH'!H191)</f>
        <v/>
      </c>
      <c r="M720" s="48" t="str">
        <f aca="false">IF('RAW ASH'!I191="","",'RAW ASH'!I191)</f>
        <v/>
      </c>
    </row>
    <row r="721" customFormat="false" ht="15" hidden="false" customHeight="false" outlineLevel="0" collapsed="false">
      <c r="A721" s="1" t="s">
        <v>1865</v>
      </c>
      <c r="B721" s="1" t="s">
        <v>155</v>
      </c>
      <c r="C721" s="1" t="s">
        <v>1147</v>
      </c>
      <c r="D721" s="1" t="n">
        <v>192</v>
      </c>
      <c r="E721" s="48" t="str">
        <f aca="false">IF('RAW ASH'!B192="","",'RAW ASH'!B192)</f>
        <v>Nursing Clinicals</v>
      </c>
      <c r="F721" s="48" t="str">
        <f aca="false">IF('RAW ASH'!C192="","",'RAW ASH'!C192)</f>
        <v>HPE</v>
      </c>
      <c r="G721" s="49" t="str">
        <f aca="false">IF('RAW ASH'!A192="","",'RAW ASH'!A192)</f>
        <v>02/28/2026</v>
      </c>
      <c r="H721" s="48" t="str">
        <f aca="false">IF('RAW ASH'!D192="","",'RAW ASH'!D192)</f>
        <v>Clinical RN</v>
      </c>
      <c r="I721" s="48" t="n">
        <f aca="false">IF('RAW ASH'!E192="","",'RAW ASH'!E192)</f>
        <v>207.75</v>
      </c>
      <c r="J721" s="48" t="str">
        <f aca="false">IF('RAW ASH'!F192="","",'RAW ASH'!F192)</f>
        <v/>
      </c>
      <c r="K721" s="50" t="str">
        <f aca="false">IF('RAW ASH'!G192="","",'RAW ASH'!G192)</f>
        <v/>
      </c>
      <c r="L721" s="50" t="str">
        <f aca="false">IF('RAW ASH'!H192="","",'RAW ASH'!H192)</f>
        <v/>
      </c>
      <c r="M721" s="48" t="str">
        <f aca="false">IF('RAW ASH'!I192="","",'RAW ASH'!I192)</f>
        <v/>
      </c>
    </row>
    <row r="722" customFormat="false" ht="15" hidden="false" customHeight="false" outlineLevel="0" collapsed="false">
      <c r="A722" s="1" t="s">
        <v>1866</v>
      </c>
      <c r="B722" s="1" t="s">
        <v>155</v>
      </c>
      <c r="C722" s="1" t="s">
        <v>1147</v>
      </c>
      <c r="D722" s="1" t="n">
        <v>193</v>
      </c>
      <c r="E722" s="48" t="str">
        <f aca="false">IF('RAW ASH'!B193="","",'RAW ASH'!B193)</f>
        <v>Paramedic Students</v>
      </c>
      <c r="F722" s="48" t="str">
        <f aca="false">IF('RAW ASH'!C193="","",'RAW ASH'!C193)</f>
        <v>HPE</v>
      </c>
      <c r="G722" s="49" t="str">
        <f aca="false">IF('RAW ASH'!A193="","",'RAW ASH'!A193)</f>
        <v>02/28/2026</v>
      </c>
      <c r="H722" s="48" t="str">
        <f aca="false">IF('RAW ASH'!D193="","",'RAW ASH'!D193)</f>
        <v>EMT-P</v>
      </c>
      <c r="I722" s="48" t="n">
        <f aca="false">IF('RAW ASH'!E193="","",'RAW ASH'!E193)</f>
        <v>52</v>
      </c>
      <c r="J722" s="48" t="n">
        <f aca="false">IF('RAW ASH'!F193="","",'RAW ASH'!F193)</f>
        <v>6</v>
      </c>
      <c r="K722" s="50" t="n">
        <f aca="false">IF('RAW ASH'!G193="","",'RAW ASH'!G193)</f>
        <v>25</v>
      </c>
      <c r="L722" s="50" t="str">
        <f aca="false">IF('RAW ASH'!H193="","",'RAW ASH'!H193)</f>
        <v/>
      </c>
      <c r="M722" s="48" t="str">
        <f aca="false">IF('RAW ASH'!I193="","",'RAW ASH'!I193)</f>
        <v/>
      </c>
    </row>
    <row r="723" customFormat="false" ht="15" hidden="false" customHeight="false" outlineLevel="0" collapsed="false">
      <c r="A723" s="1" t="s">
        <v>1867</v>
      </c>
      <c r="B723" s="1" t="s">
        <v>155</v>
      </c>
      <c r="C723" s="1" t="s">
        <v>1147</v>
      </c>
      <c r="D723" s="1" t="n">
        <v>194</v>
      </c>
      <c r="E723" s="48" t="str">
        <f aca="false">IF('RAW ASH'!B194="","",'RAW ASH'!B194)</f>
        <v>Car Seat Checks</v>
      </c>
      <c r="F723" s="48" t="str">
        <f aca="false">IF('RAW ASH'!C194="","",'RAW ASH'!C194)</f>
        <v>Comm Hlth Ed</v>
      </c>
      <c r="G723" s="49" t="str">
        <f aca="false">IF('RAW ASH'!A194="","",'RAW ASH'!A194)</f>
        <v>03/07/2026</v>
      </c>
      <c r="H723" s="48" t="str">
        <f aca="false">IF('RAW ASH'!D194="","",'RAW ASH'!D194)</f>
        <v>Paramedic</v>
      </c>
      <c r="I723" s="48" t="n">
        <f aca="false">IF('RAW ASH'!E194="","",'RAW ASH'!E194)</f>
        <v>3.5</v>
      </c>
      <c r="J723" s="48" t="n">
        <f aca="false">IF('RAW ASH'!F194="","",'RAW ASH'!F194)</f>
        <v>20</v>
      </c>
      <c r="K723" s="50" t="n">
        <f aca="false">IF('RAW ASH'!G194="","",'RAW ASH'!G194)</f>
        <v>525</v>
      </c>
      <c r="L723" s="50" t="n">
        <f aca="false">IF('RAW ASH'!H194="","",'RAW ASH'!H194)</f>
        <v>420</v>
      </c>
      <c r="M723" s="48" t="str">
        <f aca="false">IF('RAW ASH'!I194="","",'RAW ASH'!I194)</f>
        <v/>
      </c>
    </row>
    <row r="724" customFormat="false" ht="15" hidden="false" customHeight="false" outlineLevel="0" collapsed="false">
      <c r="A724" s="1" t="s">
        <v>1868</v>
      </c>
      <c r="B724" s="1" t="s">
        <v>155</v>
      </c>
      <c r="C724" s="1" t="s">
        <v>1147</v>
      </c>
      <c r="D724" s="1" t="n">
        <v>195</v>
      </c>
      <c r="E724" s="48" t="str">
        <f aca="false">IF('RAW ASH'!B195="","",'RAW ASH'!B195)</f>
        <v>Car Seat Checks</v>
      </c>
      <c r="F724" s="48" t="str">
        <f aca="false">IF('RAW ASH'!C195="","",'RAW ASH'!C195)</f>
        <v>Comm Hlth Ed</v>
      </c>
      <c r="G724" s="49" t="str">
        <f aca="false">IF('RAW ASH'!A195="","",'RAW ASH'!A195)</f>
        <v>03/07/2026</v>
      </c>
      <c r="H724" s="48" t="str">
        <f aca="false">IF('RAW ASH'!D195="","",'RAW ASH'!D195)</f>
        <v> RN III</v>
      </c>
      <c r="I724" s="48" t="n">
        <f aca="false">IF('RAW ASH'!E195="","",'RAW ASH'!E195)</f>
        <v>3.5</v>
      </c>
      <c r="J724" s="48" t="str">
        <f aca="false">IF('RAW ASH'!F195="","",'RAW ASH'!F195)</f>
        <v/>
      </c>
      <c r="K724" s="50" t="str">
        <f aca="false">IF('RAW ASH'!G195="","",'RAW ASH'!G195)</f>
        <v/>
      </c>
      <c r="L724" s="50" t="str">
        <f aca="false">IF('RAW ASH'!H195="","",'RAW ASH'!H195)</f>
        <v/>
      </c>
      <c r="M724" s="48" t="str">
        <f aca="false">IF('RAW ASH'!I195="","",'RAW ASH'!I195)</f>
        <v/>
      </c>
    </row>
    <row r="725" customFormat="false" ht="15" hidden="false" customHeight="false" outlineLevel="0" collapsed="false">
      <c r="A725" s="1" t="s">
        <v>1869</v>
      </c>
      <c r="B725" s="1" t="s">
        <v>155</v>
      </c>
      <c r="C725" s="1" t="s">
        <v>1147</v>
      </c>
      <c r="D725" s="1" t="n">
        <v>196</v>
      </c>
      <c r="E725" s="48" t="str">
        <f aca="false">IF('RAW ASH'!B196="","",'RAW ASH'!B196)</f>
        <v>BP Checks</v>
      </c>
      <c r="F725" s="48" t="str">
        <f aca="false">IF('RAW ASH'!C196="","",'RAW ASH'!C196)</f>
        <v>Clinical Svcs</v>
      </c>
      <c r="G725" s="49" t="str">
        <f aca="false">IF('RAW ASH'!A196="","",'RAW ASH'!A196)</f>
        <v>03/09/2026</v>
      </c>
      <c r="H725" s="48" t="str">
        <f aca="false">IF('RAW ASH'!D196="","",'RAW ASH'!D196)</f>
        <v>RN III</v>
      </c>
      <c r="I725" s="48" t="n">
        <f aca="false">IF('RAW ASH'!E196="","",'RAW ASH'!E196)</f>
        <v>3.75</v>
      </c>
      <c r="J725" s="48" t="n">
        <f aca="false">IF('RAW ASH'!F196="","",'RAW ASH'!F196)</f>
        <v>56</v>
      </c>
      <c r="K725" s="50" t="n">
        <f aca="false">IF('RAW ASH'!G196="","",'RAW ASH'!G196)</f>
        <v>95</v>
      </c>
      <c r="L725" s="50" t="str">
        <f aca="false">IF('RAW ASH'!H196="","",'RAW ASH'!H196)</f>
        <v/>
      </c>
      <c r="M725" s="48" t="str">
        <f aca="false">IF('RAW ASH'!I196="","",'RAW ASH'!I196)</f>
        <v/>
      </c>
    </row>
    <row r="726" customFormat="false" ht="15" hidden="false" customHeight="false" outlineLevel="0" collapsed="false">
      <c r="A726" s="1" t="s">
        <v>1870</v>
      </c>
      <c r="B726" s="1" t="s">
        <v>155</v>
      </c>
      <c r="C726" s="1" t="s">
        <v>1147</v>
      </c>
      <c r="D726" s="1" t="n">
        <v>197</v>
      </c>
      <c r="E726" s="48" t="str">
        <f aca="false">IF('RAW ASH'!B197="","",'RAW ASH'!B197)</f>
        <v>Fall Prevention</v>
      </c>
      <c r="F726" s="48" t="str">
        <f aca="false">IF('RAW ASH'!C197="","",'RAW ASH'!C197)</f>
        <v>Comm Hlth Ed</v>
      </c>
      <c r="G726" s="49" t="str">
        <f aca="false">IF('RAW ASH'!A197="","",'RAW ASH'!A197)</f>
        <v>03/14/2026</v>
      </c>
      <c r="H726" s="48" t="str">
        <f aca="false">IF('RAW ASH'!D197="","",'RAW ASH'!D197)</f>
        <v>Respiratory Therapist</v>
      </c>
      <c r="I726" s="48" t="n">
        <f aca="false">IF('RAW ASH'!E197="","",'RAW ASH'!E197)</f>
        <v>2</v>
      </c>
      <c r="J726" s="48" t="n">
        <f aca="false">IF('RAW ASH'!F197="","",'RAW ASH'!F197)</f>
        <v>20</v>
      </c>
      <c r="K726" s="50" t="n">
        <f aca="false">IF('RAW ASH'!G197="","",'RAW ASH'!G197)</f>
        <v>90</v>
      </c>
      <c r="L726" s="50" t="str">
        <f aca="false">IF('RAW ASH'!H197="","",'RAW ASH'!H197)</f>
        <v/>
      </c>
      <c r="M726" s="48" t="str">
        <f aca="false">IF('RAW ASH'!I197="","",'RAW ASH'!I197)</f>
        <v/>
      </c>
    </row>
    <row r="727" customFormat="false" ht="15" hidden="false" customHeight="false" outlineLevel="0" collapsed="false">
      <c r="A727" s="1" t="s">
        <v>1871</v>
      </c>
      <c r="B727" s="1" t="s">
        <v>155</v>
      </c>
      <c r="C727" s="1" t="s">
        <v>1147</v>
      </c>
      <c r="D727" s="1" t="n">
        <v>198</v>
      </c>
      <c r="E727" s="48" t="str">
        <f aca="false">IF('RAW ASH'!B198="","",'RAW ASH'!B198)</f>
        <v>BP Checks</v>
      </c>
      <c r="F727" s="48" t="str">
        <f aca="false">IF('RAW ASH'!C198="","",'RAW ASH'!C198)</f>
        <v>Clinical Svcs</v>
      </c>
      <c r="G727" s="49" t="str">
        <f aca="false">IF('RAW ASH'!A198="","",'RAW ASH'!A198)</f>
        <v>03/18/2026</v>
      </c>
      <c r="H727" s="48" t="str">
        <f aca="false">IF('RAW ASH'!D198="","",'RAW ASH'!D198)</f>
        <v>RN - Outreach</v>
      </c>
      <c r="I727" s="48" t="n">
        <f aca="false">IF('RAW ASH'!E198="","",'RAW ASH'!E198)</f>
        <v>3.25</v>
      </c>
      <c r="J727" s="48" t="n">
        <f aca="false">IF('RAW ASH'!F198="","",'RAW ASH'!F198)</f>
        <v>74</v>
      </c>
      <c r="K727" s="50" t="n">
        <f aca="false">IF('RAW ASH'!G198="","",'RAW ASH'!G198)</f>
        <v>110</v>
      </c>
      <c r="L727" s="50" t="str">
        <f aca="false">IF('RAW ASH'!H198="","",'RAW ASH'!H198)</f>
        <v/>
      </c>
      <c r="M727" s="48" t="str">
        <f aca="false">IF('RAW ASH'!I198="","",'RAW ASH'!I198)</f>
        <v/>
      </c>
    </row>
    <row r="728" customFormat="false" ht="15" hidden="false" customHeight="false" outlineLevel="0" collapsed="false">
      <c r="A728" s="1" t="s">
        <v>1872</v>
      </c>
      <c r="B728" s="1" t="s">
        <v>155</v>
      </c>
      <c r="C728" s="1" t="s">
        <v>1147</v>
      </c>
      <c r="D728" s="1" t="n">
        <v>199</v>
      </c>
      <c r="E728" s="48" t="str">
        <f aca="false">IF('RAW ASH'!B199="","",'RAW ASH'!B199)</f>
        <v>Mobile Screening Unit</v>
      </c>
      <c r="F728" s="48" t="str">
        <f aca="false">IF('RAW ASH'!C199="","",'RAW ASH'!C199)</f>
        <v>Clinical Svcs</v>
      </c>
      <c r="G728" s="49" t="str">
        <f aca="false">IF('RAW ASH'!A199="","",'RAW ASH'!A199)</f>
        <v>03/31/2026</v>
      </c>
      <c r="H728" s="48" t="str">
        <f aca="false">IF('RAW ASH'!D199="","",'RAW ASH'!D199)</f>
        <v>Comm Health Worker</v>
      </c>
      <c r="I728" s="48" t="n">
        <f aca="false">IF('RAW ASH'!E199="","",'RAW ASH'!E199)</f>
        <v>78.25</v>
      </c>
      <c r="J728" s="48" t="str">
        <f aca="false">IF('RAW ASH'!F199="","",'RAW ASH'!F199)</f>
        <v/>
      </c>
      <c r="K728" s="50" t="str">
        <f aca="false">IF('RAW ASH'!G199="","",'RAW ASH'!G199)</f>
        <v/>
      </c>
      <c r="L728" s="50" t="str">
        <f aca="false">IF('RAW ASH'!H199="","",'RAW ASH'!H199)</f>
        <v/>
      </c>
      <c r="M728" s="48" t="str">
        <f aca="false">IF('RAW ASH'!I199="","",'RAW ASH'!I199)</f>
        <v/>
      </c>
    </row>
    <row r="729" customFormat="false" ht="15" hidden="false" customHeight="false" outlineLevel="0" collapsed="false">
      <c r="A729" s="1" t="s">
        <v>1873</v>
      </c>
      <c r="B729" s="1" t="s">
        <v>155</v>
      </c>
      <c r="C729" s="1" t="s">
        <v>1147</v>
      </c>
      <c r="D729" s="1" t="n">
        <v>200</v>
      </c>
      <c r="E729" s="48" t="str">
        <f aca="false">IF('RAW ASH'!B200="","",'RAW ASH'!B200)</f>
        <v>Mobile Screening Unit</v>
      </c>
      <c r="F729" s="48" t="str">
        <f aca="false">IF('RAW ASH'!C200="","",'RAW ASH'!C200)</f>
        <v>Clinical Svcs</v>
      </c>
      <c r="G729" s="49" t="str">
        <f aca="false">IF('RAW ASH'!A200="","",'RAW ASH'!A200)</f>
        <v>03/31/2026</v>
      </c>
      <c r="H729" s="48" t="str">
        <f aca="false">IF('RAW ASH'!D200="","",'RAW ASH'!D200)</f>
        <v>Medical Assistant</v>
      </c>
      <c r="I729" s="48" t="n">
        <f aca="false">IF('RAW ASH'!E200="","",'RAW ASH'!E200)</f>
        <v>76.5</v>
      </c>
      <c r="J729" s="48" t="str">
        <f aca="false">IF('RAW ASH'!F200="","",'RAW ASH'!F200)</f>
        <v/>
      </c>
      <c r="K729" s="50" t="str">
        <f aca="false">IF('RAW ASH'!G200="","",'RAW ASH'!G200)</f>
        <v/>
      </c>
      <c r="L729" s="50" t="str">
        <f aca="false">IF('RAW ASH'!H200="","",'RAW ASH'!H200)</f>
        <v/>
      </c>
      <c r="M729" s="48" t="str">
        <f aca="false">IF('RAW ASH'!I200="","",'RAW ASH'!I200)</f>
        <v/>
      </c>
    </row>
    <row r="730" customFormat="false" ht="15" hidden="false" customHeight="false" outlineLevel="0" collapsed="false">
      <c r="A730" s="1" t="s">
        <v>1874</v>
      </c>
      <c r="B730" s="1" t="s">
        <v>155</v>
      </c>
      <c r="C730" s="1" t="s">
        <v>1147</v>
      </c>
      <c r="D730" s="1" t="n">
        <v>201</v>
      </c>
      <c r="E730" s="48" t="str">
        <f aca="false">IF('RAW ASH'!B201="","",'RAW ASH'!B201)</f>
        <v>Mobile Screening Unit</v>
      </c>
      <c r="F730" s="48" t="str">
        <f aca="false">IF('RAW ASH'!C201="","",'RAW ASH'!C201)</f>
        <v>Clinical Svcs</v>
      </c>
      <c r="G730" s="49" t="str">
        <f aca="false">IF('RAW ASH'!A201="","",'RAW ASH'!A201)</f>
        <v>03/31/2026</v>
      </c>
      <c r="H730" s="48" t="str">
        <f aca="false">IF('RAW ASH'!D201="","",'RAW ASH'!D201)</f>
        <v>Reg Nurse</v>
      </c>
      <c r="I730" s="48" t="n">
        <f aca="false">IF('RAW ASH'!E201="","",'RAW ASH'!E201)</f>
        <v>73</v>
      </c>
      <c r="J730" s="48" t="n">
        <f aca="false">IF('RAW ASH'!F201="","",'RAW ASH'!F201)</f>
        <v>163</v>
      </c>
      <c r="K730" s="50" t="n">
        <f aca="false">IF('RAW ASH'!G201="","",'RAW ASH'!G201)</f>
        <v>5875</v>
      </c>
      <c r="L730" s="50" t="str">
        <f aca="false">IF('RAW ASH'!H201="","",'RAW ASH'!H201)</f>
        <v/>
      </c>
      <c r="M730" s="48" t="str">
        <f aca="false">IF('RAW ASH'!I201="","",'RAW ASH'!I201)</f>
        <v/>
      </c>
    </row>
    <row r="731" customFormat="false" ht="15" hidden="false" customHeight="false" outlineLevel="0" collapsed="false">
      <c r="A731" s="1" t="s">
        <v>1875</v>
      </c>
      <c r="B731" s="1" t="s">
        <v>155</v>
      </c>
      <c r="C731" s="1" t="s">
        <v>1147</v>
      </c>
      <c r="D731" s="1" t="n">
        <v>202</v>
      </c>
      <c r="E731" s="48" t="str">
        <f aca="false">IF('RAW ASH'!B202="","",'RAW ASH'!B202)</f>
        <v>CHW Outreach</v>
      </c>
      <c r="F731" s="48" t="str">
        <f aca="false">IF('RAW ASH'!C202="","",'RAW ASH'!C202)</f>
        <v>Support Svcs</v>
      </c>
      <c r="G731" s="49" t="str">
        <f aca="false">IF('RAW ASH'!A202="","",'RAW ASH'!A202)</f>
        <v>03/31/2026</v>
      </c>
      <c r="H731" s="48" t="str">
        <f aca="false">IF('RAW ASH'!D202="","",'RAW ASH'!D202)</f>
        <v>Community Health Worker</v>
      </c>
      <c r="I731" s="48" t="n">
        <f aca="false">IF('RAW ASH'!E202="","",'RAW ASH'!E202)</f>
        <v>321</v>
      </c>
      <c r="J731" s="48" t="n">
        <f aca="false">IF('RAW ASH'!F202="","",'RAW ASH'!F202)</f>
        <v>468</v>
      </c>
      <c r="K731" s="50" t="n">
        <f aca="false">IF('RAW ASH'!G202="","",'RAW ASH'!G202)</f>
        <v>1615</v>
      </c>
      <c r="L731" s="50" t="n">
        <f aca="false">IF('RAW ASH'!H202="","",'RAW ASH'!H202)</f>
        <v>7500</v>
      </c>
      <c r="M731" s="48" t="str">
        <f aca="false">IF('RAW ASH'!I202="","",'RAW ASH'!I202)</f>
        <v/>
      </c>
    </row>
    <row r="732" customFormat="false" ht="15" hidden="false" customHeight="false" outlineLevel="0" collapsed="false">
      <c r="A732" s="1" t="s">
        <v>1876</v>
      </c>
      <c r="B732" s="1" t="s">
        <v>155</v>
      </c>
      <c r="C732" s="1" t="s">
        <v>1147</v>
      </c>
      <c r="D732" s="1" t="n">
        <v>203</v>
      </c>
      <c r="E732" s="48" t="str">
        <f aca="false">IF('RAW ASH'!B203="","",'RAW ASH'!B203)</f>
        <v>CHW Outreach</v>
      </c>
      <c r="F732" s="48" t="str">
        <f aca="false">IF('RAW ASH'!C203="","",'RAW ASH'!C203)</f>
        <v>Support Svcs</v>
      </c>
      <c r="G732" s="49" t="str">
        <f aca="false">IF('RAW ASH'!A203="","",'RAW ASH'!A203)</f>
        <v>03/31/2026</v>
      </c>
      <c r="H732" s="48" t="str">
        <f aca="false">IF('RAW ASH'!D203="","",'RAW ASH'!D203)</f>
        <v>Care Navigator</v>
      </c>
      <c r="I732" s="48" t="str">
        <f aca="false">IF('RAW ASH'!E203="","",'RAW ASH'!E203)</f>
        <v/>
      </c>
      <c r="J732" s="48" t="str">
        <f aca="false">IF('RAW ASH'!F203="","",'RAW ASH'!F203)</f>
        <v/>
      </c>
      <c r="K732" s="50" t="str">
        <f aca="false">IF('RAW ASH'!G203="","",'RAW ASH'!G203)</f>
        <v/>
      </c>
      <c r="L732" s="50" t="str">
        <f aca="false">IF('RAW ASH'!H203="","",'RAW ASH'!H203)</f>
        <v/>
      </c>
      <c r="M732" s="48" t="str">
        <f aca="false">IF('RAW ASH'!I203="","",'RAW ASH'!I203)</f>
        <v/>
      </c>
    </row>
    <row r="733" customFormat="false" ht="15" hidden="false" customHeight="false" outlineLevel="0" collapsed="false">
      <c r="A733" s="1" t="s">
        <v>1877</v>
      </c>
      <c r="B733" s="1" t="s">
        <v>155</v>
      </c>
      <c r="C733" s="1" t="s">
        <v>1147</v>
      </c>
      <c r="D733" s="1" t="n">
        <v>204</v>
      </c>
      <c r="E733" s="48" t="str">
        <f aca="false">IF('RAW ASH'!B204="","",'RAW ASH'!B204)</f>
        <v>Produce Rx</v>
      </c>
      <c r="F733" s="48" t="str">
        <f aca="false">IF('RAW ASH'!C204="","",'RAW ASH'!C204)</f>
        <v>Support Svcs</v>
      </c>
      <c r="G733" s="49" t="str">
        <f aca="false">IF('RAW ASH'!A204="","",'RAW ASH'!A204)</f>
        <v>03/31/2026</v>
      </c>
      <c r="H733" s="48" t="str">
        <f aca="false">IF('RAW ASH'!D204="","",'RAW ASH'!D204)</f>
        <v>C.H.W.</v>
      </c>
      <c r="I733" s="48" t="n">
        <f aca="false">IF('RAW ASH'!E204="","",'RAW ASH'!E204)</f>
        <v>42.5</v>
      </c>
      <c r="J733" s="48" t="str">
        <f aca="false">IF('RAW ASH'!F204="","",'RAW ASH'!F204)</f>
        <v/>
      </c>
      <c r="K733" s="50" t="str">
        <f aca="false">IF('RAW ASH'!G204="","",'RAW ASH'!G204)</f>
        <v/>
      </c>
      <c r="L733" s="50" t="str">
        <f aca="false">IF('RAW ASH'!H204="","",'RAW ASH'!H204)</f>
        <v/>
      </c>
      <c r="M733" s="48" t="str">
        <f aca="false">IF('RAW ASH'!I204="","",'RAW ASH'!I204)</f>
        <v/>
      </c>
    </row>
    <row r="734" customFormat="false" ht="15" hidden="false" customHeight="false" outlineLevel="0" collapsed="false">
      <c r="A734" s="1" t="s">
        <v>1878</v>
      </c>
      <c r="B734" s="1" t="s">
        <v>155</v>
      </c>
      <c r="C734" s="1" t="s">
        <v>1147</v>
      </c>
      <c r="D734" s="1" t="n">
        <v>205</v>
      </c>
      <c r="E734" s="48" t="str">
        <f aca="false">IF('RAW ASH'!B205="","",'RAW ASH'!B205)</f>
        <v>Produce Rx</v>
      </c>
      <c r="F734" s="48" t="str">
        <f aca="false">IF('RAW ASH'!C205="","",'RAW ASH'!C205)</f>
        <v>Support Svcs</v>
      </c>
      <c r="G734" s="49" t="str">
        <f aca="false">IF('RAW ASH'!A205="","",'RAW ASH'!A205)</f>
        <v>03/31/2026</v>
      </c>
      <c r="H734" s="48" t="str">
        <f aca="false">IF('RAW ASH'!D205="","",'RAW ASH'!D205)</f>
        <v>RD</v>
      </c>
      <c r="I734" s="48" t="n">
        <f aca="false">IF('RAW ASH'!E205="","",'RAW ASH'!E205)</f>
        <v>21.75</v>
      </c>
      <c r="J734" s="48" t="n">
        <f aca="false">IF('RAW ASH'!F205="","",'RAW ASH'!F205)</f>
        <v>185</v>
      </c>
      <c r="K734" s="50" t="n">
        <f aca="false">IF('RAW ASH'!G205="","",'RAW ASH'!G205)</f>
        <v>12935</v>
      </c>
      <c r="L734" s="50" t="n">
        <f aca="false">IF('RAW ASH'!H205="","",'RAW ASH'!H205)</f>
        <v>6760</v>
      </c>
      <c r="M734" s="48" t="str">
        <f aca="false">IF('RAW ASH'!I205="","",'RAW ASH'!I205)</f>
        <v/>
      </c>
    </row>
    <row r="735" customFormat="false" ht="15" hidden="false" customHeight="false" outlineLevel="0" collapsed="false">
      <c r="A735" s="1" t="s">
        <v>1879</v>
      </c>
      <c r="B735" s="1" t="s">
        <v>155</v>
      </c>
      <c r="C735" s="1" t="s">
        <v>1147</v>
      </c>
      <c r="D735" s="1" t="n">
        <v>206</v>
      </c>
      <c r="E735" s="48" t="str">
        <f aca="false">IF('RAW ASH'!B206="","",'RAW ASH'!B206)</f>
        <v>CHNA (system)</v>
      </c>
      <c r="F735" s="48" t="str">
        <f aca="false">IF('RAW ASH'!C206="","",'RAW ASH'!C206)</f>
        <v>CB Admin</v>
      </c>
      <c r="G735" s="49" t="str">
        <f aca="false">IF('RAW ASH'!A206="","",'RAW ASH'!A206)</f>
        <v>03/31/2026</v>
      </c>
      <c r="H735" s="48" t="str">
        <f aca="false">IF('RAW ASH'!D206="","",'RAW ASH'!D206)</f>
        <v>Community Health Manager</v>
      </c>
      <c r="I735" s="48" t="n">
        <f aca="false">IF('RAW ASH'!E206="","",'RAW ASH'!E206)</f>
        <v>90.75</v>
      </c>
      <c r="J735" s="48" t="str">
        <f aca="false">IF('RAW ASH'!F206="","",'RAW ASH'!F206)</f>
        <v/>
      </c>
      <c r="K735" s="50" t="n">
        <f aca="false">IF('RAW ASH'!G206="","",'RAW ASH'!G206)</f>
        <v>10320</v>
      </c>
      <c r="L735" s="50" t="str">
        <f aca="false">IF('RAW ASH'!H206="","",'RAW ASH'!H206)</f>
        <v/>
      </c>
      <c r="M735" s="48" t="str">
        <f aca="false">IF('RAW ASH'!I206="","",'RAW ASH'!I206)</f>
        <v>System CHNA work (shared)</v>
      </c>
    </row>
    <row r="736" customFormat="false" ht="15" hidden="false" customHeight="false" outlineLevel="0" collapsed="false">
      <c r="A736" s="1" t="s">
        <v>1880</v>
      </c>
      <c r="B736" s="1" t="s">
        <v>155</v>
      </c>
      <c r="C736" s="1" t="s">
        <v>1147</v>
      </c>
      <c r="D736" s="1" t="n">
        <v>207</v>
      </c>
      <c r="E736" s="48" t="str">
        <f aca="false">IF('RAW ASH'!B207="","",'RAW ASH'!B207)</f>
        <v>CHNA (system)</v>
      </c>
      <c r="F736" s="48" t="str">
        <f aca="false">IF('RAW ASH'!C207="","",'RAW ASH'!C207)</f>
        <v>CB Admin</v>
      </c>
      <c r="G736" s="49" t="str">
        <f aca="false">IF('RAW ASH'!A207="","",'RAW ASH'!A207)</f>
        <v>03/31/2026</v>
      </c>
      <c r="H736" s="48" t="str">
        <f aca="false">IF('RAW ASH'!D207="","",'RAW ASH'!D207)</f>
        <v>Analyst</v>
      </c>
      <c r="I736" s="48" t="n">
        <f aca="false">IF('RAW ASH'!E207="","",'RAW ASH'!E207)</f>
        <v>99.25</v>
      </c>
      <c r="J736" s="48" t="str">
        <f aca="false">IF('RAW ASH'!F207="","",'RAW ASH'!F207)</f>
        <v/>
      </c>
      <c r="K736" s="50" t="str">
        <f aca="false">IF('RAW ASH'!G207="","",'RAW ASH'!G207)</f>
        <v/>
      </c>
      <c r="L736" s="50" t="str">
        <f aca="false">IF('RAW ASH'!H207="","",'RAW ASH'!H207)</f>
        <v/>
      </c>
      <c r="M736" s="48" t="str">
        <f aca="false">IF('RAW ASH'!I207="","",'RAW ASH'!I207)</f>
        <v>System CHNA work (shared)</v>
      </c>
    </row>
    <row r="737" customFormat="false" ht="15" hidden="false" customHeight="false" outlineLevel="0" collapsed="false">
      <c r="A737" s="1" t="s">
        <v>1881</v>
      </c>
      <c r="B737" s="1" t="s">
        <v>155</v>
      </c>
      <c r="C737" s="1" t="s">
        <v>1147</v>
      </c>
      <c r="D737" s="1" t="n">
        <v>208</v>
      </c>
      <c r="E737" s="48" t="str">
        <f aca="false">IF('RAW ASH'!B208="","",'RAW ASH'!B208)</f>
        <v>CB Program Admin</v>
      </c>
      <c r="F737" s="48" t="str">
        <f aca="false">IF('RAW ASH'!C208="","",'RAW ASH'!C208)</f>
        <v>CB Admin</v>
      </c>
      <c r="G737" s="49" t="str">
        <f aca="false">IF('RAW ASH'!A208="","",'RAW ASH'!A208)</f>
        <v>03/31/2026</v>
      </c>
      <c r="H737" s="48" t="str">
        <f aca="false">IF('RAW ASH'!D208="","",'RAW ASH'!D208)</f>
        <v>Admin Asst</v>
      </c>
      <c r="I737" s="48" t="n">
        <f aca="false">IF('RAW ASH'!E208="","",'RAW ASH'!E208)</f>
        <v>48.25</v>
      </c>
      <c r="J737" s="48" t="str">
        <f aca="false">IF('RAW ASH'!F208="","",'RAW ASH'!F208)</f>
        <v/>
      </c>
      <c r="K737" s="50" t="str">
        <f aca="false">IF('RAW ASH'!G208="","",'RAW ASH'!G208)</f>
        <v/>
      </c>
      <c r="L737" s="50" t="str">
        <f aca="false">IF('RAW ASH'!H208="","",'RAW ASH'!H208)</f>
        <v/>
      </c>
      <c r="M737" s="48" t="str">
        <f aca="false">IF('RAW ASH'!I208="","",'RAW ASH'!I208)</f>
        <v/>
      </c>
    </row>
    <row r="738" customFormat="false" ht="15" hidden="false" customHeight="false" outlineLevel="0" collapsed="false">
      <c r="A738" s="1" t="s">
        <v>1882</v>
      </c>
      <c r="B738" s="1" t="s">
        <v>155</v>
      </c>
      <c r="C738" s="1" t="s">
        <v>1147</v>
      </c>
      <c r="D738" s="1" t="n">
        <v>209</v>
      </c>
      <c r="E738" s="48" t="str">
        <f aca="false">IF('RAW ASH'!B209="","",'RAW ASH'!B209)</f>
        <v>CB Program Admin</v>
      </c>
      <c r="F738" s="48" t="str">
        <f aca="false">IF('RAW ASH'!C209="","",'RAW ASH'!C209)</f>
        <v>CB Admin</v>
      </c>
      <c r="G738" s="49" t="str">
        <f aca="false">IF('RAW ASH'!A209="","",'RAW ASH'!A209)</f>
        <v>03/31/2026</v>
      </c>
      <c r="H738" s="48" t="str">
        <f aca="false">IF('RAW ASH'!D209="","",'RAW ASH'!D209)</f>
        <v>CB Manager</v>
      </c>
      <c r="I738" s="48" t="n">
        <f aca="false">IF('RAW ASH'!E209="","",'RAW ASH'!E209)</f>
        <v>75.5</v>
      </c>
      <c r="J738" s="48" t="str">
        <f aca="false">IF('RAW ASH'!F209="","",'RAW ASH'!F209)</f>
        <v/>
      </c>
      <c r="K738" s="50" t="n">
        <f aca="false">IF('RAW ASH'!G209="","",'RAW ASH'!G209)</f>
        <v>625</v>
      </c>
      <c r="L738" s="50" t="str">
        <f aca="false">IF('RAW ASH'!H209="","",'RAW ASH'!H209)</f>
        <v/>
      </c>
      <c r="M738" s="48" t="str">
        <f aca="false">IF('RAW ASH'!I209="","",'RAW ASH'!I209)</f>
        <v/>
      </c>
    </row>
    <row r="739" customFormat="false" ht="15" hidden="false" customHeight="false" outlineLevel="0" collapsed="false">
      <c r="A739" s="1" t="s">
        <v>1883</v>
      </c>
      <c r="B739" s="1" t="s">
        <v>155</v>
      </c>
      <c r="C739" s="1" t="s">
        <v>1147</v>
      </c>
      <c r="D739" s="1" t="n">
        <v>210</v>
      </c>
      <c r="E739" s="48" t="str">
        <f aca="false">IF('RAW ASH'!B210="","",'RAW ASH'!B210)</f>
        <v>Nursing Clinicals</v>
      </c>
      <c r="F739" s="48" t="str">
        <f aca="false">IF('RAW ASH'!C210="","",'RAW ASH'!C210)</f>
        <v>HPE</v>
      </c>
      <c r="G739" s="49" t="str">
        <f aca="false">IF('RAW ASH'!A210="","",'RAW ASH'!A210)</f>
        <v>03/31/2026</v>
      </c>
      <c r="H739" s="48" t="str">
        <f aca="false">IF('RAW ASH'!D210="","",'RAW ASH'!D210)</f>
        <v>Clinical Nurse Educator</v>
      </c>
      <c r="I739" s="48" t="n">
        <f aca="false">IF('RAW ASH'!E210="","",'RAW ASH'!E210)</f>
        <v>105</v>
      </c>
      <c r="J739" s="48" t="n">
        <f aca="false">IF('RAW ASH'!F210="","",'RAW ASH'!F210)</f>
        <v>27</v>
      </c>
      <c r="K739" s="50" t="n">
        <f aca="false">IF('RAW ASH'!G210="","",'RAW ASH'!G210)</f>
        <v>1130</v>
      </c>
      <c r="L739" s="50" t="str">
        <f aca="false">IF('RAW ASH'!H210="","",'RAW ASH'!H210)</f>
        <v/>
      </c>
      <c r="M739" s="48" t="str">
        <f aca="false">IF('RAW ASH'!I210="","",'RAW ASH'!I210)</f>
        <v/>
      </c>
    </row>
    <row r="740" customFormat="false" ht="15" hidden="false" customHeight="false" outlineLevel="0" collapsed="false">
      <c r="A740" s="1" t="s">
        <v>1884</v>
      </c>
      <c r="B740" s="1" t="s">
        <v>155</v>
      </c>
      <c r="C740" s="1" t="s">
        <v>1147</v>
      </c>
      <c r="D740" s="1" t="n">
        <v>211</v>
      </c>
      <c r="E740" s="48" t="str">
        <f aca="false">IF('RAW ASH'!B211="","",'RAW ASH'!B211)</f>
        <v>Nursing Clinicals</v>
      </c>
      <c r="F740" s="48" t="str">
        <f aca="false">IF('RAW ASH'!C211="","",'RAW ASH'!C211)</f>
        <v>HPE</v>
      </c>
      <c r="G740" s="49" t="str">
        <f aca="false">IF('RAW ASH'!A211="","",'RAW ASH'!A211)</f>
        <v>03/31/2026</v>
      </c>
      <c r="H740" s="48" t="str">
        <f aca="false">IF('RAW ASH'!D211="","",'RAW ASH'!D211)</f>
        <v>Charge RN</v>
      </c>
      <c r="I740" s="48" t="n">
        <f aca="false">IF('RAW ASH'!E211="","",'RAW ASH'!E211)</f>
        <v>186.75</v>
      </c>
      <c r="J740" s="48" t="str">
        <f aca="false">IF('RAW ASH'!F211="","",'RAW ASH'!F211)</f>
        <v/>
      </c>
      <c r="K740" s="50" t="str">
        <f aca="false">IF('RAW ASH'!G211="","",'RAW ASH'!G211)</f>
        <v/>
      </c>
      <c r="L740" s="50" t="str">
        <f aca="false">IF('RAW ASH'!H211="","",'RAW ASH'!H211)</f>
        <v/>
      </c>
      <c r="M740" s="48" t="str">
        <f aca="false">IF('RAW ASH'!I211="","",'RAW ASH'!I211)</f>
        <v/>
      </c>
    </row>
    <row r="741" customFormat="false" ht="15" hidden="false" customHeight="false" outlineLevel="0" collapsed="false">
      <c r="A741" s="1" t="s">
        <v>1885</v>
      </c>
      <c r="B741" s="1" t="s">
        <v>155</v>
      </c>
      <c r="C741" s="1" t="s">
        <v>1147</v>
      </c>
      <c r="D741" s="1" t="n">
        <v>212</v>
      </c>
      <c r="E741" s="48" t="str">
        <f aca="false">IF('RAW ASH'!B212="","",'RAW ASH'!B212)</f>
        <v>Paramedic Students</v>
      </c>
      <c r="F741" s="48" t="str">
        <f aca="false">IF('RAW ASH'!C212="","",'RAW ASH'!C212)</f>
        <v>HPE</v>
      </c>
      <c r="G741" s="49" t="str">
        <f aca="false">IF('RAW ASH'!A212="","",'RAW ASH'!A212)</f>
        <v>03/31/2026</v>
      </c>
      <c r="H741" s="48" t="str">
        <f aca="false">IF('RAW ASH'!D212="","",'RAW ASH'!D212)</f>
        <v>Flight Paramedic</v>
      </c>
      <c r="I741" s="48" t="n">
        <f aca="false">IF('RAW ASH'!E212="","",'RAW ASH'!E212)</f>
        <v>77.5</v>
      </c>
      <c r="J741" s="48" t="n">
        <f aca="false">IF('RAW ASH'!F212="","",'RAW ASH'!F212)</f>
        <v>4</v>
      </c>
      <c r="K741" s="50" t="n">
        <f aca="false">IF('RAW ASH'!G212="","",'RAW ASH'!G212)</f>
        <v>100</v>
      </c>
      <c r="L741" s="50" t="str">
        <f aca="false">IF('RAW ASH'!H212="","",'RAW ASH'!H212)</f>
        <v/>
      </c>
      <c r="M741" s="48" t="str">
        <f aca="false">IF('RAW ASH'!I212="","",'RAW ASH'!I212)</f>
        <v/>
      </c>
    </row>
    <row r="742" customFormat="false" ht="15" hidden="false" customHeight="false" outlineLevel="0" collapsed="false">
      <c r="A742" s="1" t="s">
        <v>1886</v>
      </c>
      <c r="B742" s="1" t="s">
        <v>155</v>
      </c>
      <c r="C742" s="1" t="s">
        <v>1147</v>
      </c>
      <c r="D742" s="1" t="n">
        <v>213</v>
      </c>
      <c r="E742" s="48" t="str">
        <f aca="false">IF('RAW ASH'!B213="","",'RAW ASH'!B213)</f>
        <v>Grief Support</v>
      </c>
      <c r="F742" s="48" t="str">
        <f aca="false">IF('RAW ASH'!C213="","",'RAW ASH'!C213)</f>
        <v>Support Svcs</v>
      </c>
      <c r="G742" s="49" t="str">
        <f aca="false">IF('RAW ASH'!A213="","",'RAW ASH'!A213)</f>
        <v>04/06/2026</v>
      </c>
      <c r="H742" s="48" t="str">
        <f aca="false">IF('RAW ASH'!D213="","",'RAW ASH'!D213)</f>
        <v> Pastoral Care</v>
      </c>
      <c r="I742" s="48" t="n">
        <f aca="false">IF('RAW ASH'!E213="","",'RAW ASH'!E213)</f>
        <v>2.5</v>
      </c>
      <c r="J742" s="48" t="n">
        <f aca="false">IF('RAW ASH'!F213="","",'RAW ASH'!F213)</f>
        <v>14</v>
      </c>
      <c r="K742" s="50" t="n">
        <f aca="false">IF('RAW ASH'!G213="","",'RAW ASH'!G213)</f>
        <v>20</v>
      </c>
      <c r="L742" s="50" t="str">
        <f aca="false">IF('RAW ASH'!H213="","",'RAW ASH'!H213)</f>
        <v/>
      </c>
      <c r="M742" s="48" t="str">
        <f aca="false">IF('RAW ASH'!I213="","",'RAW ASH'!I213)</f>
        <v/>
      </c>
    </row>
    <row r="743" customFormat="false" ht="15" hidden="false" customHeight="false" outlineLevel="0" collapsed="false">
      <c r="A743" s="1" t="s">
        <v>1887</v>
      </c>
      <c r="B743" s="1" t="s">
        <v>155</v>
      </c>
      <c r="C743" s="1" t="s">
        <v>1147</v>
      </c>
      <c r="D743" s="1" t="n">
        <v>214</v>
      </c>
      <c r="E743" s="48" t="str">
        <f aca="false">IF('RAW ASH'!B214="","",'RAW ASH'!B214)</f>
        <v>Grief Support</v>
      </c>
      <c r="F743" s="48" t="str">
        <f aca="false">IF('RAW ASH'!C214="","",'RAW ASH'!C214)</f>
        <v>Support Svcs</v>
      </c>
      <c r="G743" s="49" t="str">
        <f aca="false">IF('RAW ASH'!A214="","",'RAW ASH'!A214)</f>
        <v>04/06/2026</v>
      </c>
      <c r="H743" s="48" t="str">
        <f aca="false">IF('RAW ASH'!D214="","",'RAW ASH'!D214)</f>
        <v>Clinical Social Worker</v>
      </c>
      <c r="I743" s="48" t="str">
        <f aca="false">IF('RAW ASH'!E214="","",'RAW ASH'!E214)</f>
        <v>1.5 hrs</v>
      </c>
      <c r="J743" s="48" t="str">
        <f aca="false">IF('RAW ASH'!F214="","",'RAW ASH'!F214)</f>
        <v/>
      </c>
      <c r="K743" s="50" t="str">
        <f aca="false">IF('RAW ASH'!G214="","",'RAW ASH'!G214)</f>
        <v/>
      </c>
      <c r="L743" s="50" t="str">
        <f aca="false">IF('RAW ASH'!H214="","",'RAW ASH'!H214)</f>
        <v/>
      </c>
      <c r="M743" s="48" t="str">
        <f aca="false">IF('RAW ASH'!I214="","",'RAW ASH'!I214)</f>
        <v/>
      </c>
    </row>
    <row r="744" customFormat="false" ht="15" hidden="false" customHeight="false" outlineLevel="0" collapsed="false">
      <c r="A744" s="1" t="s">
        <v>1888</v>
      </c>
      <c r="B744" s="1" t="s">
        <v>155</v>
      </c>
      <c r="C744" s="1" t="s">
        <v>1147</v>
      </c>
      <c r="D744" s="1" t="n">
        <v>215</v>
      </c>
      <c r="E744" s="48" t="str">
        <f aca="false">IF('RAW ASH'!B215="","",'RAW ASH'!B215)</f>
        <v>Fall Prevention</v>
      </c>
      <c r="F744" s="48" t="str">
        <f aca="false">IF('RAW ASH'!C215="","",'RAW ASH'!C215)</f>
        <v>Comm Hlth Ed</v>
      </c>
      <c r="G744" s="49" t="str">
        <f aca="false">IF('RAW ASH'!A215="","",'RAW ASH'!A215)</f>
        <v>04/11/2026</v>
      </c>
      <c r="H744" s="48" t="str">
        <f aca="false">IF('RAW ASH'!D215="","",'RAW ASH'!D215)</f>
        <v>DPT</v>
      </c>
      <c r="I744" s="48" t="n">
        <f aca="false">IF('RAW ASH'!E215="","",'RAW ASH'!E215)</f>
        <v>2</v>
      </c>
      <c r="J744" s="48" t="n">
        <f aca="false">IF('RAW ASH'!F215="","",'RAW ASH'!F215)</f>
        <v>19</v>
      </c>
      <c r="K744" s="50" t="n">
        <f aca="false">IF('RAW ASH'!G215="","",'RAW ASH'!G215)</f>
        <v>40</v>
      </c>
      <c r="L744" s="50" t="str">
        <f aca="false">IF('RAW ASH'!H215="","",'RAW ASH'!H215)</f>
        <v/>
      </c>
      <c r="M744" s="48" t="str">
        <f aca="false">IF('RAW ASH'!I215="","",'RAW ASH'!I215)</f>
        <v/>
      </c>
    </row>
    <row r="745" customFormat="false" ht="15" hidden="false" customHeight="false" outlineLevel="0" collapsed="false">
      <c r="A745" s="1" t="s">
        <v>1889</v>
      </c>
      <c r="B745" s="1" t="s">
        <v>155</v>
      </c>
      <c r="C745" s="1" t="s">
        <v>1147</v>
      </c>
      <c r="D745" s="1" t="n">
        <v>216</v>
      </c>
      <c r="E745" s="48" t="str">
        <f aca="false">IF('RAW ASH'!B216="","",'RAW ASH'!B216)</f>
        <v>Grief Support</v>
      </c>
      <c r="F745" s="48" t="str">
        <f aca="false">IF('RAW ASH'!C216="","",'RAW ASH'!C216)</f>
        <v>Support Svcs</v>
      </c>
      <c r="G745" s="49" t="str">
        <f aca="false">IF('RAW ASH'!A216="","",'RAW ASH'!A216)</f>
        <v>04/16/2026</v>
      </c>
      <c r="H745" s="48" t="str">
        <f aca="false">IF('RAW ASH'!D216="","",'RAW ASH'!D216)</f>
        <v>Spiritual Care</v>
      </c>
      <c r="I745" s="48" t="str">
        <f aca="false">IF('RAW ASH'!E216="","",'RAW ASH'!E216)</f>
        <v>2.5 hrs</v>
      </c>
      <c r="J745" s="48" t="n">
        <f aca="false">IF('RAW ASH'!F216="","",'RAW ASH'!F216)</f>
        <v>12</v>
      </c>
      <c r="K745" s="50" t="n">
        <f aca="false">IF('RAW ASH'!G216="","",'RAW ASH'!G216)</f>
        <v>55</v>
      </c>
      <c r="L745" s="50" t="str">
        <f aca="false">IF('RAW ASH'!H216="","",'RAW ASH'!H216)</f>
        <v/>
      </c>
      <c r="M745" s="48" t="str">
        <f aca="false">IF('RAW ASH'!I216="","",'RAW ASH'!I216)</f>
        <v/>
      </c>
    </row>
    <row r="746" customFormat="false" ht="15" hidden="false" customHeight="false" outlineLevel="0" collapsed="false">
      <c r="A746" s="1" t="s">
        <v>1890</v>
      </c>
      <c r="B746" s="1" t="s">
        <v>155</v>
      </c>
      <c r="C746" s="1" t="s">
        <v>1147</v>
      </c>
      <c r="D746" s="1" t="n">
        <v>217</v>
      </c>
      <c r="E746" s="48" t="str">
        <f aca="false">IF('RAW ASH'!B217="","",'RAW ASH'!B217)</f>
        <v>Grief Support</v>
      </c>
      <c r="F746" s="48" t="str">
        <f aca="false">IF('RAW ASH'!C217="","",'RAW ASH'!C217)</f>
        <v>Support Svcs</v>
      </c>
      <c r="G746" s="49" t="str">
        <f aca="false">IF('RAW ASH'!A217="","",'RAW ASH'!A217)</f>
        <v>04/16/2026</v>
      </c>
      <c r="H746" s="48" t="str">
        <f aca="false">IF('RAW ASH'!D217="","",'RAW ASH'!D217)</f>
        <v>LMSW</v>
      </c>
      <c r="I746" s="48" t="n">
        <f aca="false">IF('RAW ASH'!E217="","",'RAW ASH'!E217)</f>
        <v>1.75</v>
      </c>
      <c r="J746" s="48" t="str">
        <f aca="false">IF('RAW ASH'!F217="","",'RAW ASH'!F217)</f>
        <v/>
      </c>
      <c r="K746" s="50" t="str">
        <f aca="false">IF('RAW ASH'!G217="","",'RAW ASH'!G217)</f>
        <v/>
      </c>
      <c r="L746" s="50" t="str">
        <f aca="false">IF('RAW ASH'!H217="","",'RAW ASH'!H217)</f>
        <v/>
      </c>
      <c r="M746" s="48" t="str">
        <f aca="false">IF('RAW ASH'!I217="","",'RAW ASH'!I217)</f>
        <v/>
      </c>
    </row>
    <row r="747" customFormat="false" ht="15" hidden="false" customHeight="false" outlineLevel="0" collapsed="false">
      <c r="A747" s="1" t="s">
        <v>1891</v>
      </c>
      <c r="B747" s="1" t="s">
        <v>155</v>
      </c>
      <c r="C747" s="1" t="s">
        <v>1147</v>
      </c>
      <c r="D747" s="1" t="n">
        <v>218</v>
      </c>
      <c r="E747" s="48" t="str">
        <f aca="false">IF('RAW ASH'!B218="","",'RAW ASH'!B218)</f>
        <v>Regional Health Coalition Mtg</v>
      </c>
      <c r="F747" s="48" t="str">
        <f aca="false">IF('RAW ASH'!C218="","",'RAW ASH'!C218)</f>
        <v>CB-Coalition Bldg</v>
      </c>
      <c r="G747" s="49" t="str">
        <f aca="false">IF('RAW ASH'!A218="","",'RAW ASH'!A218)</f>
        <v>04/17/2026</v>
      </c>
      <c r="H747" s="48" t="str">
        <f aca="false">IF('RAW ASH'!D218="","",'RAW ASH'!D218)</f>
        <v>Community Health Manager</v>
      </c>
      <c r="I747" s="48" t="n">
        <f aca="false">IF('RAW ASH'!E218="","",'RAW ASH'!E218)</f>
        <v>2</v>
      </c>
      <c r="J747" s="48" t="str">
        <f aca="false">IF('RAW ASH'!F218="","",'RAW ASH'!F218)</f>
        <v/>
      </c>
      <c r="K747" s="50" t="str">
        <f aca="false">IF('RAW ASH'!G218="","",'RAW ASH'!G218)</f>
        <v/>
      </c>
      <c r="L747" s="50" t="str">
        <f aca="false">IF('RAW ASH'!H218="","",'RAW ASH'!H218)</f>
        <v/>
      </c>
      <c r="M747" s="48" t="str">
        <f aca="false">IF('RAW ASH'!I218="","",'RAW ASH'!I218)</f>
        <v/>
      </c>
    </row>
    <row r="748" customFormat="false" ht="15" hidden="false" customHeight="false" outlineLevel="0" collapsed="false">
      <c r="A748" s="1" t="s">
        <v>1892</v>
      </c>
      <c r="B748" s="1" t="s">
        <v>155</v>
      </c>
      <c r="C748" s="1" t="s">
        <v>1147</v>
      </c>
      <c r="D748" s="1" t="n">
        <v>219</v>
      </c>
      <c r="E748" s="48" t="str">
        <f aca="false">IF('RAW ASH'!B219="","",'RAW ASH'!B219)</f>
        <v>Regional Health Coalition Mtg</v>
      </c>
      <c r="F748" s="48" t="str">
        <f aca="false">IF('RAW ASH'!C219="","",'RAW ASH'!C219)</f>
        <v>CB-Coalition Bldg</v>
      </c>
      <c r="G748" s="49" t="str">
        <f aca="false">IF('RAW ASH'!A219="","",'RAW ASH'!A219)</f>
        <v>04/17/2026</v>
      </c>
      <c r="H748" s="48" t="str">
        <f aca="false">IF('RAW ASH'!D219="","",'RAW ASH'!D219)</f>
        <v>Assoc. Director</v>
      </c>
      <c r="I748" s="48" t="n">
        <f aca="false">IF('RAW ASH'!E219="","",'RAW ASH'!E219)</f>
        <v>2.25</v>
      </c>
      <c r="J748" s="48" t="str">
        <f aca="false">IF('RAW ASH'!F219="","",'RAW ASH'!F219)</f>
        <v/>
      </c>
      <c r="K748" s="50" t="n">
        <f aca="false">IF('RAW ASH'!G219="","",'RAW ASH'!G219)</f>
        <v>15</v>
      </c>
      <c r="L748" s="50" t="str">
        <f aca="false">IF('RAW ASH'!H219="","",'RAW ASH'!H219)</f>
        <v/>
      </c>
      <c r="M748" s="48" t="str">
        <f aca="false">IF('RAW ASH'!I219="","",'RAW ASH'!I219)</f>
        <v/>
      </c>
    </row>
    <row r="749" customFormat="false" ht="15" hidden="false" customHeight="false" outlineLevel="0" collapsed="false">
      <c r="A749" s="1" t="s">
        <v>1893</v>
      </c>
      <c r="B749" s="1" t="s">
        <v>155</v>
      </c>
      <c r="C749" s="1" t="s">
        <v>1147</v>
      </c>
      <c r="D749" s="1" t="n">
        <v>220</v>
      </c>
      <c r="E749" s="48" t="str">
        <f aca="false">IF('RAW ASH'!B220="","",'RAW ASH'!B220)</f>
        <v>In-Kind Supplies</v>
      </c>
      <c r="F749" s="48" t="str">
        <f aca="false">IF('RAW ASH'!C220="","",'RAW ASH'!C220)</f>
        <v>Contributions</v>
      </c>
      <c r="G749" s="49" t="str">
        <f aca="false">IF('RAW ASH'!A220="","",'RAW ASH'!A220)</f>
        <v>04/20/2026</v>
      </c>
      <c r="H749" s="48" t="str">
        <f aca="false">IF('RAW ASH'!D220="","",'RAW ASH'!D220)</f>
        <v>N/A</v>
      </c>
      <c r="I749" s="48" t="str">
        <f aca="false">IF('RAW ASH'!E220="","",'RAW ASH'!E220)</f>
        <v/>
      </c>
      <c r="J749" s="48" t="str">
        <f aca="false">IF('RAW ASH'!F220="","",'RAW ASH'!F220)</f>
        <v/>
      </c>
      <c r="K749" s="50" t="n">
        <f aca="false">IF('RAW ASH'!G220="","",'RAW ASH'!G220)</f>
        <v>7505</v>
      </c>
      <c r="L749" s="50" t="str">
        <f aca="false">IF('RAW ASH'!H220="","",'RAW ASH'!H220)</f>
        <v/>
      </c>
      <c r="M749" s="48" t="str">
        <f aca="false">IF('RAW ASH'!I220="","",'RAW ASH'!I220)</f>
        <v/>
      </c>
    </row>
    <row r="750" customFormat="false" ht="15" hidden="false" customHeight="false" outlineLevel="0" collapsed="false">
      <c r="A750" s="1" t="s">
        <v>1894</v>
      </c>
      <c r="B750" s="1" t="s">
        <v>155</v>
      </c>
      <c r="C750" s="1" t="s">
        <v>1147</v>
      </c>
      <c r="D750" s="1" t="n">
        <v>221</v>
      </c>
      <c r="E750" s="48" t="str">
        <f aca="false">IF('RAW ASH'!B221="","",'RAW ASH'!B221)</f>
        <v>Mobile Screening Unit</v>
      </c>
      <c r="F750" s="48" t="str">
        <f aca="false">IF('RAW ASH'!C221="","",'RAW ASH'!C221)</f>
        <v>Clinical Svcs</v>
      </c>
      <c r="G750" s="49" t="str">
        <f aca="false">IF('RAW ASH'!A221="","",'RAW ASH'!A221)</f>
        <v>04/30/2026</v>
      </c>
      <c r="H750" s="48" t="str">
        <f aca="false">IF('RAW ASH'!D221="","",'RAW ASH'!D221)</f>
        <v>CHW II</v>
      </c>
      <c r="I750" s="48" t="n">
        <f aca="false">IF('RAW ASH'!E221="","",'RAW ASH'!E221)</f>
        <v>80.75</v>
      </c>
      <c r="J750" s="48" t="str">
        <f aca="false">IF('RAW ASH'!F221="","",'RAW ASH'!F221)</f>
        <v/>
      </c>
      <c r="K750" s="50" t="str">
        <f aca="false">IF('RAW ASH'!G221="","",'RAW ASH'!G221)</f>
        <v/>
      </c>
      <c r="L750" s="50" t="str">
        <f aca="false">IF('RAW ASH'!H221="","",'RAW ASH'!H221)</f>
        <v/>
      </c>
      <c r="M750" s="48" t="str">
        <f aca="false">IF('RAW ASH'!I221="","",'RAW ASH'!I221)</f>
        <v/>
      </c>
    </row>
    <row r="751" customFormat="false" ht="15" hidden="false" customHeight="false" outlineLevel="0" collapsed="false">
      <c r="A751" s="1" t="s">
        <v>1895</v>
      </c>
      <c r="B751" s="1" t="s">
        <v>155</v>
      </c>
      <c r="C751" s="1" t="s">
        <v>1147</v>
      </c>
      <c r="D751" s="1" t="n">
        <v>222</v>
      </c>
      <c r="E751" s="48" t="str">
        <f aca="false">IF('RAW ASH'!B222="","",'RAW ASH'!B222)</f>
        <v>Mobile Screening Unit</v>
      </c>
      <c r="F751" s="48" t="str">
        <f aca="false">IF('RAW ASH'!C222="","",'RAW ASH'!C222)</f>
        <v>Clinical Svcs</v>
      </c>
      <c r="G751" s="49" t="str">
        <f aca="false">IF('RAW ASH'!A222="","",'RAW ASH'!A222)</f>
        <v>04/30/2026</v>
      </c>
      <c r="H751" s="48" t="str">
        <f aca="false">IF('RAW ASH'!D222="","",'RAW ASH'!D222)</f>
        <v>Certified Medical Assistant</v>
      </c>
      <c r="I751" s="48" t="n">
        <f aca="false">IF('RAW ASH'!E222="","",'RAW ASH'!E222)</f>
        <v>80.25</v>
      </c>
      <c r="J751" s="48" t="str">
        <f aca="false">IF('RAW ASH'!F222="","",'RAW ASH'!F222)</f>
        <v/>
      </c>
      <c r="K751" s="50" t="str">
        <f aca="false">IF('RAW ASH'!G222="","",'RAW ASH'!G222)</f>
        <v/>
      </c>
      <c r="L751" s="50" t="str">
        <f aca="false">IF('RAW ASH'!H222="","",'RAW ASH'!H222)</f>
        <v/>
      </c>
      <c r="M751" s="48" t="str">
        <f aca="false">IF('RAW ASH'!I222="","",'RAW ASH'!I222)</f>
        <v/>
      </c>
    </row>
    <row r="752" customFormat="false" ht="15" hidden="false" customHeight="false" outlineLevel="0" collapsed="false">
      <c r="A752" s="1" t="s">
        <v>1896</v>
      </c>
      <c r="B752" s="1" t="s">
        <v>155</v>
      </c>
      <c r="C752" s="1" t="s">
        <v>1147</v>
      </c>
      <c r="D752" s="1" t="n">
        <v>223</v>
      </c>
      <c r="E752" s="48" t="str">
        <f aca="false">IF('RAW ASH'!B223="","",'RAW ASH'!B223)</f>
        <v>Mobile Screening Unit</v>
      </c>
      <c r="F752" s="48" t="str">
        <f aca="false">IF('RAW ASH'!C223="","",'RAW ASH'!C223)</f>
        <v>Clinical Svcs</v>
      </c>
      <c r="G752" s="49" t="str">
        <f aca="false">IF('RAW ASH'!A223="","",'RAW ASH'!A223)</f>
        <v>04/30/2026</v>
      </c>
      <c r="H752" s="48" t="str">
        <f aca="false">IF('RAW ASH'!D223="","",'RAW ASH'!D223)</f>
        <v>RN</v>
      </c>
      <c r="I752" s="48" t="n">
        <f aca="false">IF('RAW ASH'!E223="","",'RAW ASH'!E223)</f>
        <v>90</v>
      </c>
      <c r="J752" s="48" t="n">
        <f aca="false">IF('RAW ASH'!F223="","",'RAW ASH'!F223)</f>
        <v>305</v>
      </c>
      <c r="K752" s="50" t="n">
        <f aca="false">IF('RAW ASH'!G223="","",'RAW ASH'!G223)</f>
        <v>9160</v>
      </c>
      <c r="L752" s="50" t="str">
        <f aca="false">IF('RAW ASH'!H223="","",'RAW ASH'!H223)</f>
        <v/>
      </c>
      <c r="M752" s="48" t="str">
        <f aca="false">IF('RAW ASH'!I223="","",'RAW ASH'!I223)</f>
        <v/>
      </c>
    </row>
    <row r="753" customFormat="false" ht="15" hidden="false" customHeight="false" outlineLevel="0" collapsed="false">
      <c r="A753" s="1" t="s">
        <v>1897</v>
      </c>
      <c r="B753" s="1" t="s">
        <v>155</v>
      </c>
      <c r="C753" s="1" t="s">
        <v>1147</v>
      </c>
      <c r="D753" s="1" t="n">
        <v>224</v>
      </c>
      <c r="E753" s="48" t="str">
        <f aca="false">IF('RAW ASH'!B224="","",'RAW ASH'!B224)</f>
        <v>Car Seat Checks</v>
      </c>
      <c r="F753" s="48" t="str">
        <f aca="false">IF('RAW ASH'!C224="","",'RAW ASH'!C224)</f>
        <v>Comm Hlth Ed</v>
      </c>
      <c r="G753" s="49" t="str">
        <f aca="false">IF('RAW ASH'!A224="","",'RAW ASH'!A224)</f>
        <v>04/30/2026</v>
      </c>
      <c r="H753" s="48" t="str">
        <f aca="false">IF('RAW ASH'!D224="","",'RAW ASH'!D224)</f>
        <v>Flight Paramedic</v>
      </c>
      <c r="I753" s="48" t="n">
        <f aca="false">IF('RAW ASH'!E224="","",'RAW ASH'!E224)</f>
        <v>4</v>
      </c>
      <c r="J753" s="48" t="n">
        <f aca="false">IF('RAW ASH'!F224="","",'RAW ASH'!F224)</f>
        <v>20</v>
      </c>
      <c r="K753" s="50" t="n">
        <f aca="false">IF('RAW ASH'!G224="","",'RAW ASH'!G224)</f>
        <v>300</v>
      </c>
      <c r="L753" s="50" t="n">
        <f aca="false">IF('RAW ASH'!H224="","",'RAW ASH'!H224)</f>
        <v>560</v>
      </c>
      <c r="M753" s="48" t="str">
        <f aca="false">IF('RAW ASH'!I224="","",'RAW ASH'!I224)</f>
        <v/>
      </c>
    </row>
    <row r="754" customFormat="false" ht="15" hidden="false" customHeight="false" outlineLevel="0" collapsed="false">
      <c r="A754" s="1" t="s">
        <v>1898</v>
      </c>
      <c r="B754" s="1" t="s">
        <v>155</v>
      </c>
      <c r="C754" s="1" t="s">
        <v>1147</v>
      </c>
      <c r="D754" s="1" t="n">
        <v>225</v>
      </c>
      <c r="E754" s="48" t="str">
        <f aca="false">IF('RAW ASH'!B225="","",'RAW ASH'!B225)</f>
        <v>Car Seat Checks</v>
      </c>
      <c r="F754" s="48" t="str">
        <f aca="false">IF('RAW ASH'!C225="","",'RAW ASH'!C225)</f>
        <v>Comm Hlth Ed</v>
      </c>
      <c r="G754" s="49" t="str">
        <f aca="false">IF('RAW ASH'!A225="","",'RAW ASH'!A225)</f>
        <v>04/30/2026</v>
      </c>
      <c r="H754" s="48" t="str">
        <f aca="false">IF('RAW ASH'!D225="","",'RAW ASH'!D225)</f>
        <v>RN</v>
      </c>
      <c r="I754" s="48" t="n">
        <f aca="false">IF('RAW ASH'!E225="","",'RAW ASH'!E225)</f>
        <v>3.5</v>
      </c>
      <c r="J754" s="48" t="str">
        <f aca="false">IF('RAW ASH'!F225="","",'RAW ASH'!F225)</f>
        <v/>
      </c>
      <c r="K754" s="50" t="str">
        <f aca="false">IF('RAW ASH'!G225="","",'RAW ASH'!G225)</f>
        <v/>
      </c>
      <c r="L754" s="50" t="str">
        <f aca="false">IF('RAW ASH'!H225="","",'RAW ASH'!H225)</f>
        <v/>
      </c>
      <c r="M754" s="48" t="str">
        <f aca="false">IF('RAW ASH'!I225="","",'RAW ASH'!I225)</f>
        <v/>
      </c>
    </row>
    <row r="755" customFormat="false" ht="15" hidden="false" customHeight="false" outlineLevel="0" collapsed="false">
      <c r="A755" s="1" t="s">
        <v>1899</v>
      </c>
      <c r="B755" s="1" t="s">
        <v>155</v>
      </c>
      <c r="C755" s="1" t="s">
        <v>1147</v>
      </c>
      <c r="D755" s="1" t="n">
        <v>226</v>
      </c>
      <c r="E755" s="48" t="str">
        <f aca="false">IF('RAW ASH'!B226="","",'RAW ASH'!B226)</f>
        <v>CHW Outreach</v>
      </c>
      <c r="F755" s="48" t="str">
        <f aca="false">IF('RAW ASH'!C226="","",'RAW ASH'!C226)</f>
        <v>Support Svcs</v>
      </c>
      <c r="G755" s="49" t="str">
        <f aca="false">IF('RAW ASH'!A226="","",'RAW ASH'!A226)</f>
        <v>04/30/2026</v>
      </c>
      <c r="H755" s="48" t="str">
        <f aca="false">IF('RAW ASH'!D226="","",'RAW ASH'!D226)</f>
        <v>Promotora</v>
      </c>
      <c r="I755" s="48" t="n">
        <f aca="false">IF('RAW ASH'!E226="","",'RAW ASH'!E226)</f>
        <v>328.75</v>
      </c>
      <c r="J755" s="48" t="n">
        <f aca="false">IF('RAW ASH'!F226="","",'RAW ASH'!F226)</f>
        <v>380</v>
      </c>
      <c r="K755" s="50" t="n">
        <f aca="false">IF('RAW ASH'!G226="","",'RAW ASH'!G226)</f>
        <v>1605</v>
      </c>
      <c r="L755" s="50" t="str">
        <f aca="false">IF('RAW ASH'!H226="","",'RAW ASH'!H226)</f>
        <v/>
      </c>
      <c r="M755" s="48" t="str">
        <f aca="false">IF('RAW ASH'!I226="","",'RAW ASH'!I226)</f>
        <v/>
      </c>
    </row>
    <row r="756" customFormat="false" ht="15" hidden="false" customHeight="false" outlineLevel="0" collapsed="false">
      <c r="A756" s="1" t="s">
        <v>1900</v>
      </c>
      <c r="B756" s="1" t="s">
        <v>155</v>
      </c>
      <c r="C756" s="1" t="s">
        <v>1147</v>
      </c>
      <c r="D756" s="1" t="n">
        <v>227</v>
      </c>
      <c r="E756" s="48" t="str">
        <f aca="false">IF('RAW ASH'!B227="","",'RAW ASH'!B227)</f>
        <v>CHW Outreach</v>
      </c>
      <c r="F756" s="48" t="str">
        <f aca="false">IF('RAW ASH'!C227="","",'RAW ASH'!C227)</f>
        <v>Support Svcs</v>
      </c>
      <c r="G756" s="49" t="str">
        <f aca="false">IF('RAW ASH'!A227="","",'RAW ASH'!A227)</f>
        <v>04/30/2026</v>
      </c>
      <c r="H756" s="48" t="str">
        <f aca="false">IF('RAW ASH'!D227="","",'RAW ASH'!D227)</f>
        <v>Navigator</v>
      </c>
      <c r="I756" s="48" t="n">
        <f aca="false">IF('RAW ASH'!E227="","",'RAW ASH'!E227)</f>
        <v>149</v>
      </c>
      <c r="J756" s="48" t="str">
        <f aca="false">IF('RAW ASH'!F227="","",'RAW ASH'!F227)</f>
        <v/>
      </c>
      <c r="K756" s="50" t="str">
        <f aca="false">IF('RAW ASH'!G227="","",'RAW ASH'!G227)</f>
        <v/>
      </c>
      <c r="L756" s="50" t="str">
        <f aca="false">IF('RAW ASH'!H227="","",'RAW ASH'!H227)</f>
        <v/>
      </c>
      <c r="M756" s="48" t="str">
        <f aca="false">IF('RAW ASH'!I227="","",'RAW ASH'!I227)</f>
        <v/>
      </c>
    </row>
    <row r="757" customFormat="false" ht="15" hidden="false" customHeight="false" outlineLevel="0" collapsed="false">
      <c r="A757" s="1" t="s">
        <v>1901</v>
      </c>
      <c r="B757" s="1" t="s">
        <v>155</v>
      </c>
      <c r="C757" s="1" t="s">
        <v>1147</v>
      </c>
      <c r="D757" s="1" t="n">
        <v>228</v>
      </c>
      <c r="E757" s="48" t="str">
        <f aca="false">IF('RAW ASH'!B228="","",'RAW ASH'!B228)</f>
        <v>Produce Rx</v>
      </c>
      <c r="F757" s="48" t="str">
        <f aca="false">IF('RAW ASH'!C228="","",'RAW ASH'!C228)</f>
        <v>Support Svcs</v>
      </c>
      <c r="G757" s="49" t="str">
        <f aca="false">IF('RAW ASH'!A228="","",'RAW ASH'!A228)</f>
        <v>04/30/2026</v>
      </c>
      <c r="H757" s="48" t="str">
        <f aca="false">IF('RAW ASH'!D228="","",'RAW ASH'!D228)</f>
        <v>Promotora</v>
      </c>
      <c r="I757" s="48" t="n">
        <f aca="false">IF('RAW ASH'!E228="","",'RAW ASH'!E228)</f>
        <v>43.5</v>
      </c>
      <c r="J757" s="48" t="str">
        <f aca="false">IF('RAW ASH'!F228="","",'RAW ASH'!F228)</f>
        <v/>
      </c>
      <c r="K757" s="50" t="str">
        <f aca="false">IF('RAW ASH'!G228="","",'RAW ASH'!G228)</f>
        <v/>
      </c>
      <c r="L757" s="50" t="str">
        <f aca="false">IF('RAW ASH'!H228="","",'RAW ASH'!H228)</f>
        <v/>
      </c>
      <c r="M757" s="48" t="str">
        <f aca="false">IF('RAW ASH'!I228="","",'RAW ASH'!I228)</f>
        <v/>
      </c>
    </row>
    <row r="758" customFormat="false" ht="15" hidden="false" customHeight="false" outlineLevel="0" collapsed="false">
      <c r="A758" s="1" t="s">
        <v>1902</v>
      </c>
      <c r="B758" s="1" t="s">
        <v>155</v>
      </c>
      <c r="C758" s="1" t="s">
        <v>1147</v>
      </c>
      <c r="D758" s="1" t="n">
        <v>229</v>
      </c>
      <c r="E758" s="48" t="str">
        <f aca="false">IF('RAW ASH'!B229="","",'RAW ASH'!B229)</f>
        <v>Produce Rx</v>
      </c>
      <c r="F758" s="48" t="str">
        <f aca="false">IF('RAW ASH'!C229="","",'RAW ASH'!C229)</f>
        <v>Support Svcs</v>
      </c>
      <c r="G758" s="49" t="str">
        <f aca="false">IF('RAW ASH'!A229="","",'RAW ASH'!A229)</f>
        <v>04/30/2026</v>
      </c>
      <c r="H758" s="48" t="str">
        <f aca="false">IF('RAW ASH'!D229="","",'RAW ASH'!D229)</f>
        <v>rdn</v>
      </c>
      <c r="I758" s="48" t="n">
        <f aca="false">IF('RAW ASH'!E229="","",'RAW ASH'!E229)</f>
        <v>21</v>
      </c>
      <c r="J758" s="48" t="n">
        <f aca="false">IF('RAW ASH'!F229="","",'RAW ASH'!F229)</f>
        <v>146</v>
      </c>
      <c r="K758" s="50" t="n">
        <f aca="false">IF('RAW ASH'!G229="","",'RAW ASH'!G229)</f>
        <v>9505</v>
      </c>
      <c r="L758" s="50" t="n">
        <f aca="false">IF('RAW ASH'!H229="","",'RAW ASH'!H229)</f>
        <v>5070</v>
      </c>
      <c r="M758" s="48" t="str">
        <f aca="false">IF('RAW ASH'!I229="","",'RAW ASH'!I229)</f>
        <v/>
      </c>
    </row>
    <row r="759" customFormat="false" ht="15" hidden="false" customHeight="false" outlineLevel="0" collapsed="false">
      <c r="A759" s="1" t="s">
        <v>1903</v>
      </c>
      <c r="B759" s="1" t="s">
        <v>155</v>
      </c>
      <c r="C759" s="1" t="s">
        <v>1147</v>
      </c>
      <c r="D759" s="1" t="n">
        <v>230</v>
      </c>
      <c r="E759" s="48" t="str">
        <f aca="false">IF('RAW ASH'!B230="","",'RAW ASH'!B230)</f>
        <v>CB Program Admin</v>
      </c>
      <c r="F759" s="48" t="str">
        <f aca="false">IF('RAW ASH'!C230="","",'RAW ASH'!C230)</f>
        <v>CB Admin</v>
      </c>
      <c r="G759" s="49" t="str">
        <f aca="false">IF('RAW ASH'!A230="","",'RAW ASH'!A230)</f>
        <v>04/30/2026</v>
      </c>
      <c r="H759" s="48" t="str">
        <f aca="false">IF('RAW ASH'!D230="","",'RAW ASH'!D230)</f>
        <v> Unit Secretary</v>
      </c>
      <c r="I759" s="48" t="n">
        <f aca="false">IF('RAW ASH'!E230="","",'RAW ASH'!E230)</f>
        <v>51.75</v>
      </c>
      <c r="J759" s="48" t="str">
        <f aca="false">IF('RAW ASH'!F230="","",'RAW ASH'!F230)</f>
        <v/>
      </c>
      <c r="K759" s="50" t="str">
        <f aca="false">IF('RAW ASH'!G230="","",'RAW ASH'!G230)</f>
        <v/>
      </c>
      <c r="L759" s="50" t="str">
        <f aca="false">IF('RAW ASH'!H230="","",'RAW ASH'!H230)</f>
        <v/>
      </c>
      <c r="M759" s="48" t="str">
        <f aca="false">IF('RAW ASH'!I230="","",'RAW ASH'!I230)</f>
        <v/>
      </c>
    </row>
    <row r="760" customFormat="false" ht="15" hidden="false" customHeight="false" outlineLevel="0" collapsed="false">
      <c r="A760" s="1" t="s">
        <v>1904</v>
      </c>
      <c r="B760" s="1" t="s">
        <v>155</v>
      </c>
      <c r="C760" s="1" t="s">
        <v>1147</v>
      </c>
      <c r="D760" s="1" t="n">
        <v>231</v>
      </c>
      <c r="E760" s="48" t="str">
        <f aca="false">IF('RAW ASH'!B231="","",'RAW ASH'!B231)</f>
        <v>CB Program Admin</v>
      </c>
      <c r="F760" s="48" t="str">
        <f aca="false">IF('RAW ASH'!C231="","",'RAW ASH'!C231)</f>
        <v>CB Admin</v>
      </c>
      <c r="G760" s="49" t="str">
        <f aca="false">IF('RAW ASH'!A231="","",'RAW ASH'!A231)</f>
        <v>04/30/2026</v>
      </c>
      <c r="H760" s="48" t="str">
        <f aca="false">IF('RAW ASH'!D231="","",'RAW ASH'!D231)</f>
        <v>Community Benefit Mgr </v>
      </c>
      <c r="I760" s="48" t="n">
        <f aca="false">IF('RAW ASH'!E231="","",'RAW ASH'!E231)</f>
        <v>58.5</v>
      </c>
      <c r="J760" s="48" t="str">
        <f aca="false">IF('RAW ASH'!F231="","",'RAW ASH'!F231)</f>
        <v/>
      </c>
      <c r="K760" s="50" t="n">
        <f aca="false">IF('RAW ASH'!G231="","",'RAW ASH'!G231)</f>
        <v>665</v>
      </c>
      <c r="L760" s="50" t="str">
        <f aca="false">IF('RAW ASH'!H231="","",'RAW ASH'!H231)</f>
        <v/>
      </c>
      <c r="M760" s="48" t="str">
        <f aca="false">IF('RAW ASH'!I231="","",'RAW ASH'!I231)</f>
        <v/>
      </c>
    </row>
    <row r="761" customFormat="false" ht="15" hidden="false" customHeight="false" outlineLevel="0" collapsed="false">
      <c r="A761" s="1" t="s">
        <v>1905</v>
      </c>
      <c r="B761" s="1" t="s">
        <v>155</v>
      </c>
      <c r="C761" s="1" t="s">
        <v>1147</v>
      </c>
      <c r="D761" s="1" t="n">
        <v>232</v>
      </c>
      <c r="E761" s="48" t="str">
        <f aca="false">IF('RAW ASH'!B232="","",'RAW ASH'!B232)</f>
        <v>Nursing Clinicals</v>
      </c>
      <c r="F761" s="48" t="str">
        <f aca="false">IF('RAW ASH'!C232="","",'RAW ASH'!C232)</f>
        <v>HPE</v>
      </c>
      <c r="G761" s="49" t="str">
        <f aca="false">IF('RAW ASH'!A232="","",'RAW ASH'!A232)</f>
        <v>04/30/2026</v>
      </c>
      <c r="H761" s="48" t="str">
        <f aca="false">IF('RAW ASH'!D232="","",'RAW ASH'!D232)</f>
        <v>Nurse Educator</v>
      </c>
      <c r="I761" s="48" t="n">
        <f aca="false">IF('RAW ASH'!E232="","",'RAW ASH'!E232)</f>
        <v>142.25</v>
      </c>
      <c r="J761" s="48" t="n">
        <f aca="false">IF('RAW ASH'!F232="","",'RAW ASH'!F232)</f>
        <v>38</v>
      </c>
      <c r="K761" s="50" t="n">
        <f aca="false">IF('RAW ASH'!G232="","",'RAW ASH'!G232)</f>
        <v>525</v>
      </c>
      <c r="L761" s="50" t="str">
        <f aca="false">IF('RAW ASH'!H232="","",'RAW ASH'!H232)</f>
        <v/>
      </c>
      <c r="M761" s="48" t="str">
        <f aca="false">IF('RAW ASH'!I232="","",'RAW ASH'!I232)</f>
        <v/>
      </c>
    </row>
    <row r="762" customFormat="false" ht="15" hidden="false" customHeight="false" outlineLevel="0" collapsed="false">
      <c r="A762" s="1" t="s">
        <v>1906</v>
      </c>
      <c r="B762" s="1" t="s">
        <v>155</v>
      </c>
      <c r="C762" s="1" t="s">
        <v>1147</v>
      </c>
      <c r="D762" s="1" t="n">
        <v>233</v>
      </c>
      <c r="E762" s="48" t="str">
        <f aca="false">IF('RAW ASH'!B233="","",'RAW ASH'!B233)</f>
        <v>Nursing Clinicals</v>
      </c>
      <c r="F762" s="48" t="str">
        <f aca="false">IF('RAW ASH'!C233="","",'RAW ASH'!C233)</f>
        <v>HPE</v>
      </c>
      <c r="G762" s="49" t="str">
        <f aca="false">IF('RAW ASH'!A233="","",'RAW ASH'!A233)</f>
        <v>04/30/2026</v>
      </c>
      <c r="H762" s="48" t="str">
        <f aca="false">IF('RAW ASH'!D233="","",'RAW ASH'!D233)</f>
        <v>Clinical RN</v>
      </c>
      <c r="I762" s="48" t="n">
        <f aca="false">IF('RAW ASH'!E233="","",'RAW ASH'!E233)</f>
        <v>222.75</v>
      </c>
      <c r="J762" s="48" t="str">
        <f aca="false">IF('RAW ASH'!F233="","",'RAW ASH'!F233)</f>
        <v/>
      </c>
      <c r="K762" s="50" t="str">
        <f aca="false">IF('RAW ASH'!G233="","",'RAW ASH'!G233)</f>
        <v/>
      </c>
      <c r="L762" s="50" t="str">
        <f aca="false">IF('RAW ASH'!H233="","",'RAW ASH'!H233)</f>
        <v/>
      </c>
      <c r="M762" s="48" t="str">
        <f aca="false">IF('RAW ASH'!I233="","",'RAW ASH'!I233)</f>
        <v/>
      </c>
    </row>
    <row r="763" customFormat="false" ht="15" hidden="false" customHeight="false" outlineLevel="0" collapsed="false">
      <c r="A763" s="1" t="s">
        <v>1907</v>
      </c>
      <c r="B763" s="1" t="s">
        <v>155</v>
      </c>
      <c r="C763" s="1" t="s">
        <v>1147</v>
      </c>
      <c r="D763" s="1" t="n">
        <v>234</v>
      </c>
      <c r="E763" s="48" t="str">
        <f aca="false">IF('RAW ASH'!B234="","",'RAW ASH'!B234)</f>
        <v>Paramedic Students</v>
      </c>
      <c r="F763" s="48" t="str">
        <f aca="false">IF('RAW ASH'!C234="","",'RAW ASH'!C234)</f>
        <v>HPE</v>
      </c>
      <c r="G763" s="49" t="str">
        <f aca="false">IF('RAW ASH'!A234="","",'RAW ASH'!A234)</f>
        <v>04/30/2026</v>
      </c>
      <c r="H763" s="48" t="str">
        <f aca="false">IF('RAW ASH'!D234="","",'RAW ASH'!D234)</f>
        <v>EMT-P</v>
      </c>
      <c r="I763" s="48" t="n">
        <f aca="false">IF('RAW ASH'!E234="","",'RAW ASH'!E234)</f>
        <v>64</v>
      </c>
      <c r="J763" s="48" t="n">
        <f aca="false">IF('RAW ASH'!F234="","",'RAW ASH'!F234)</f>
        <v>3</v>
      </c>
      <c r="K763" s="50" t="n">
        <f aca="false">IF('RAW ASH'!G234="","",'RAW ASH'!G234)</f>
        <v>10</v>
      </c>
      <c r="L763" s="50" t="str">
        <f aca="false">IF('RAW ASH'!H234="","",'RAW ASH'!H234)</f>
        <v/>
      </c>
      <c r="M763" s="48" t="str">
        <f aca="false">IF('RAW ASH'!I234="","",'RAW ASH'!I234)</f>
        <v/>
      </c>
    </row>
    <row r="764" customFormat="false" ht="15" hidden="false" customHeight="false" outlineLevel="0" collapsed="false">
      <c r="A764" s="1" t="s">
        <v>1908</v>
      </c>
      <c r="B764" s="1" t="s">
        <v>155</v>
      </c>
      <c r="C764" s="1" t="s">
        <v>1147</v>
      </c>
      <c r="D764" s="1" t="n">
        <v>235</v>
      </c>
      <c r="E764" s="48" t="str">
        <f aca="false">IF('RAW ASH'!B235="","",'RAW ASH'!B235)</f>
        <v>BP Checks</v>
      </c>
      <c r="F764" s="48" t="str">
        <f aca="false">IF('RAW ASH'!C235="","",'RAW ASH'!C235)</f>
        <v>Clinical Svcs</v>
      </c>
      <c r="G764" s="49" t="str">
        <f aca="false">IF('RAW ASH'!A235="","",'RAW ASH'!A235)</f>
        <v>05/01/2026</v>
      </c>
      <c r="H764" s="48" t="str">
        <f aca="false">IF('RAW ASH'!D235="","",'RAW ASH'!D235)</f>
        <v>Registered Nurse</v>
      </c>
      <c r="I764" s="48" t="n">
        <f aca="false">IF('RAW ASH'!E235="","",'RAW ASH'!E235)</f>
        <v>3</v>
      </c>
      <c r="J764" s="48" t="n">
        <f aca="false">IF('RAW ASH'!F235="","",'RAW ASH'!F235)</f>
        <v>65</v>
      </c>
      <c r="K764" s="50" t="n">
        <f aca="false">IF('RAW ASH'!G235="","",'RAW ASH'!G235)</f>
        <v>115</v>
      </c>
      <c r="L764" s="50" t="str">
        <f aca="false">IF('RAW ASH'!H235="","",'RAW ASH'!H235)</f>
        <v/>
      </c>
      <c r="M764" s="48" t="str">
        <f aca="false">IF('RAW ASH'!I235="","",'RAW ASH'!I235)</f>
        <v/>
      </c>
    </row>
    <row r="765" customFormat="false" ht="15" hidden="false" customHeight="false" outlineLevel="0" collapsed="false">
      <c r="A765" s="1" t="s">
        <v>1909</v>
      </c>
      <c r="B765" s="1" t="s">
        <v>155</v>
      </c>
      <c r="C765" s="1" t="s">
        <v>1147</v>
      </c>
      <c r="D765" s="1" t="n">
        <v>236</v>
      </c>
      <c r="E765" s="48" t="str">
        <f aca="false">IF('RAW ASH'!B236="","",'RAW ASH'!B236)</f>
        <v>DPP Classes</v>
      </c>
      <c r="F765" s="48" t="str">
        <f aca="false">IF('RAW ASH'!C236="","",'RAW ASH'!C236)</f>
        <v>Comm Hlth Ed</v>
      </c>
      <c r="G765" s="49" t="str">
        <f aca="false">IF('RAW ASH'!A236="","",'RAW ASH'!A236)</f>
        <v>05/02/2026</v>
      </c>
      <c r="H765" s="48" t="str">
        <f aca="false">IF('RAW ASH'!D236="","",'RAW ASH'!D236)</f>
        <v>Health Ed</v>
      </c>
      <c r="I765" s="48" t="n">
        <f aca="false">IF('RAW ASH'!E236="","",'RAW ASH'!E236)</f>
        <v>2</v>
      </c>
      <c r="J765" s="48" t="n">
        <f aca="false">IF('RAW ASH'!F236="","",'RAW ASH'!F236)</f>
        <v>11</v>
      </c>
      <c r="K765" s="50" t="n">
        <f aca="false">IF('RAW ASH'!G236="","",'RAW ASH'!G236)</f>
        <v>80</v>
      </c>
      <c r="L765" s="50" t="str">
        <f aca="false">IF('RAW ASH'!H236="","",'RAW ASH'!H236)</f>
        <v/>
      </c>
      <c r="M765" s="48" t="str">
        <f aca="false">IF('RAW ASH'!I236="","",'RAW ASH'!I236)</f>
        <v/>
      </c>
    </row>
    <row r="766" customFormat="false" ht="15" hidden="false" customHeight="false" outlineLevel="0" collapsed="false">
      <c r="A766" s="1" t="s">
        <v>1910</v>
      </c>
      <c r="B766" s="1" t="s">
        <v>155</v>
      </c>
      <c r="C766" s="1" t="s">
        <v>1147</v>
      </c>
      <c r="D766" s="1" t="n">
        <v>237</v>
      </c>
      <c r="E766" s="48" t="str">
        <f aca="false">IF('RAW ASH'!B237="","",'RAW ASH'!B237)</f>
        <v>DPP Classes</v>
      </c>
      <c r="F766" s="48" t="str">
        <f aca="false">IF('RAW ASH'!C237="","",'RAW ASH'!C237)</f>
        <v>Comm Hlth Ed</v>
      </c>
      <c r="G766" s="49" t="str">
        <f aca="false">IF('RAW ASH'!A237="","",'RAW ASH'!A237)</f>
        <v>05/02/2026</v>
      </c>
      <c r="H766" s="48" t="str">
        <f aca="false">IF('RAW ASH'!D237="","",'RAW ASH'!D237)</f>
        <v> RD</v>
      </c>
      <c r="I766" s="48" t="n">
        <f aca="false">IF('RAW ASH'!E237="","",'RAW ASH'!E237)</f>
        <v>1.75</v>
      </c>
      <c r="J766" s="48" t="str">
        <f aca="false">IF('RAW ASH'!F237="","",'RAW ASH'!F237)</f>
        <v/>
      </c>
      <c r="K766" s="50" t="str">
        <f aca="false">IF('RAW ASH'!G237="","",'RAW ASH'!G237)</f>
        <v/>
      </c>
      <c r="L766" s="50" t="str">
        <f aca="false">IF('RAW ASH'!H237="","",'RAW ASH'!H237)</f>
        <v/>
      </c>
      <c r="M766" s="48" t="str">
        <f aca="false">IF('RAW ASH'!I237="","",'RAW ASH'!I237)</f>
        <v/>
      </c>
    </row>
    <row r="767" customFormat="false" ht="15" hidden="false" customHeight="false" outlineLevel="0" collapsed="false">
      <c r="A767" s="1" t="s">
        <v>1911</v>
      </c>
      <c r="B767" s="1" t="s">
        <v>155</v>
      </c>
      <c r="C767" s="1" t="s">
        <v>1147</v>
      </c>
      <c r="D767" s="1" t="n">
        <v>238</v>
      </c>
      <c r="E767" s="48" t="str">
        <f aca="false">IF('RAW ASH'!B238="","",'RAW ASH'!B238)</f>
        <v>Car Seat Checks</v>
      </c>
      <c r="F767" s="48" t="str">
        <f aca="false">IF('RAW ASH'!C238="","",'RAW ASH'!C238)</f>
        <v>Comm Hlth Ed</v>
      </c>
      <c r="G767" s="49" t="str">
        <f aca="false">IF('RAW ASH'!A238="","",'RAW ASH'!A238)</f>
        <v>05/04/2026</v>
      </c>
      <c r="H767" s="48" t="str">
        <f aca="false">IF('RAW ASH'!D238="","",'RAW ASH'!D238)</f>
        <v>EMT-P</v>
      </c>
      <c r="I767" s="48" t="n">
        <f aca="false">IF('RAW ASH'!E238="","",'RAW ASH'!E238)</f>
        <v>3.75</v>
      </c>
      <c r="J767" s="48" t="n">
        <f aca="false">IF('RAW ASH'!F238="","",'RAW ASH'!F238)</f>
        <v>31</v>
      </c>
      <c r="K767" s="50" t="n">
        <f aca="false">IF('RAW ASH'!G238="","",'RAW ASH'!G238)</f>
        <v>595</v>
      </c>
      <c r="L767" s="50" t="n">
        <f aca="false">IF('RAW ASH'!H238="","",'RAW ASH'!H238)</f>
        <v>70</v>
      </c>
      <c r="M767" s="48" t="str">
        <f aca="false">IF('RAW ASH'!I238="","",'RAW ASH'!I238)</f>
        <v/>
      </c>
    </row>
    <row r="768" customFormat="false" ht="15" hidden="false" customHeight="false" outlineLevel="0" collapsed="false">
      <c r="A768" s="1" t="s">
        <v>1912</v>
      </c>
      <c r="B768" s="1" t="s">
        <v>155</v>
      </c>
      <c r="C768" s="1" t="s">
        <v>1147</v>
      </c>
      <c r="D768" s="1" t="n">
        <v>239</v>
      </c>
      <c r="E768" s="48" t="str">
        <f aca="false">IF('RAW ASH'!B239="","",'RAW ASH'!B239)</f>
        <v>Car Seat Checks</v>
      </c>
      <c r="F768" s="48" t="str">
        <f aca="false">IF('RAW ASH'!C239="","",'RAW ASH'!C239)</f>
        <v>Comm Hlth Ed</v>
      </c>
      <c r="G768" s="49" t="str">
        <f aca="false">IF('RAW ASH'!A239="","",'RAW ASH'!A239)</f>
        <v>05/04/2026</v>
      </c>
      <c r="H768" s="48" t="str">
        <f aca="false">IF('RAW ASH'!D239="","",'RAW ASH'!D239)</f>
        <v> RN</v>
      </c>
      <c r="I768" s="48" t="n">
        <f aca="false">IF('RAW ASH'!E239="","",'RAW ASH'!E239)</f>
        <v>4</v>
      </c>
      <c r="J768" s="48" t="str">
        <f aca="false">IF('RAW ASH'!F239="","",'RAW ASH'!F239)</f>
        <v/>
      </c>
      <c r="K768" s="50" t="str">
        <f aca="false">IF('RAW ASH'!G239="","",'RAW ASH'!G239)</f>
        <v/>
      </c>
      <c r="L768" s="50" t="str">
        <f aca="false">IF('RAW ASH'!H239="","",'RAW ASH'!H239)</f>
        <v/>
      </c>
      <c r="M768" s="48" t="str">
        <f aca="false">IF('RAW ASH'!I239="","",'RAW ASH'!I239)</f>
        <v/>
      </c>
    </row>
    <row r="769" customFormat="false" ht="15" hidden="false" customHeight="false" outlineLevel="0" collapsed="false">
      <c r="A769" s="1" t="s">
        <v>1913</v>
      </c>
      <c r="B769" s="1" t="s">
        <v>155</v>
      </c>
      <c r="C769" s="1" t="s">
        <v>1147</v>
      </c>
      <c r="D769" s="1" t="n">
        <v>240</v>
      </c>
      <c r="E769" s="48" t="str">
        <f aca="false">IF('RAW ASH'!B240="","",'RAW ASH'!B240)</f>
        <v>Housing Partnership</v>
      </c>
      <c r="F769" s="48" t="str">
        <f aca="false">IF('RAW ASH'!C240="","",'RAW ASH'!C240)</f>
        <v>CB-Housing</v>
      </c>
      <c r="G769" s="49" t="str">
        <f aca="false">IF('RAW ASH'!A240="","",'RAW ASH'!A240)</f>
        <v>05/25/2026</v>
      </c>
      <c r="H769" s="48" t="str">
        <f aca="false">IF('RAW ASH'!D240="","",'RAW ASH'!D240)</f>
        <v>Dir.</v>
      </c>
      <c r="I769" s="48" t="n">
        <f aca="false">IF('RAW ASH'!E240="","",'RAW ASH'!E240)</f>
        <v>5.75</v>
      </c>
      <c r="J769" s="48" t="str">
        <f aca="false">IF('RAW ASH'!F240="","",'RAW ASH'!F240)</f>
        <v/>
      </c>
      <c r="K769" s="50" t="n">
        <f aca="false">IF('RAW ASH'!G240="","",'RAW ASH'!G240)</f>
        <v>85895</v>
      </c>
      <c r="L769" s="50" t="str">
        <f aca="false">IF('RAW ASH'!H240="","",'RAW ASH'!H240)</f>
        <v/>
      </c>
      <c r="M769" s="48" t="str">
        <f aca="false">IF('RAW ASH'!I240="","",'RAW ASH'!I240)</f>
        <v/>
      </c>
    </row>
    <row r="770" customFormat="false" ht="15" hidden="false" customHeight="false" outlineLevel="0" collapsed="false">
      <c r="A770" s="1" t="s">
        <v>1914</v>
      </c>
      <c r="B770" s="1" t="s">
        <v>155</v>
      </c>
      <c r="C770" s="1" t="s">
        <v>1147</v>
      </c>
      <c r="D770" s="1" t="n">
        <v>241</v>
      </c>
      <c r="E770" s="48" t="str">
        <f aca="false">IF('RAW ASH'!B241="","",'RAW ASH'!B241)</f>
        <v>Housing Partnership</v>
      </c>
      <c r="F770" s="48" t="str">
        <f aca="false">IF('RAW ASH'!C241="","",'RAW ASH'!C241)</f>
        <v>CB-Housing</v>
      </c>
      <c r="G770" s="49" t="str">
        <f aca="false">IF('RAW ASH'!A241="","",'RAW ASH'!A241)</f>
        <v>05/25/2026</v>
      </c>
      <c r="H770" s="48" t="str">
        <f aca="false">IF('RAW ASH'!D241="","",'RAW ASH'!D241)</f>
        <v>Prog Coord</v>
      </c>
      <c r="I770" s="48" t="n">
        <f aca="false">IF('RAW ASH'!E241="","",'RAW ASH'!E241)</f>
        <v>9.25</v>
      </c>
      <c r="J770" s="48" t="str">
        <f aca="false">IF('RAW ASH'!F241="","",'RAW ASH'!F241)</f>
        <v/>
      </c>
      <c r="K770" s="50" t="str">
        <f aca="false">IF('RAW ASH'!G241="","",'RAW ASH'!G241)</f>
        <v/>
      </c>
      <c r="L770" s="50" t="str">
        <f aca="false">IF('RAW ASH'!H241="","",'RAW ASH'!H241)</f>
        <v/>
      </c>
      <c r="M770" s="48" t="str">
        <f aca="false">IF('RAW ASH'!I241="","",'RAW ASH'!I241)</f>
        <v/>
      </c>
    </row>
    <row r="771" customFormat="false" ht="15" hidden="false" customHeight="false" outlineLevel="0" collapsed="false">
      <c r="A771" s="1" t="s">
        <v>1915</v>
      </c>
      <c r="B771" s="1" t="s">
        <v>155</v>
      </c>
      <c r="C771" s="1" t="s">
        <v>1147</v>
      </c>
      <c r="D771" s="1" t="n">
        <v>242</v>
      </c>
      <c r="E771" s="48" t="str">
        <f aca="false">IF('RAW ASH'!B242="","",'RAW ASH'!B242)</f>
        <v>Leadership Academy</v>
      </c>
      <c r="F771" s="48" t="str">
        <f aca="false">IF('RAW ASH'!C242="","",'RAW ASH'!C242)</f>
        <v>CB-Leadership Dev</v>
      </c>
      <c r="G771" s="49" t="str">
        <f aca="false">IF('RAW ASH'!A242="","",'RAW ASH'!A242)</f>
        <v>05/26/2026</v>
      </c>
      <c r="H771" s="48" t="str">
        <f aca="false">IF('RAW ASH'!D242="","",'RAW ASH'!D242)</f>
        <v>Hlth Educator </v>
      </c>
      <c r="I771" s="48" t="n">
        <f aca="false">IF('RAW ASH'!E242="","",'RAW ASH'!E242)</f>
        <v>4</v>
      </c>
      <c r="J771" s="48" t="str">
        <f aca="false">IF('RAW ASH'!F242="","",'RAW ASH'!F242)</f>
        <v/>
      </c>
      <c r="K771" s="50" t="str">
        <f aca="false">IF('RAW ASH'!G242="","",'RAW ASH'!G242)</f>
        <v/>
      </c>
      <c r="L771" s="50" t="str">
        <f aca="false">IF('RAW ASH'!H242="","",'RAW ASH'!H242)</f>
        <v/>
      </c>
      <c r="M771" s="48" t="str">
        <f aca="false">IF('RAW ASH'!I242="","",'RAW ASH'!I242)</f>
        <v/>
      </c>
    </row>
    <row r="772" customFormat="false" ht="15" hidden="false" customHeight="false" outlineLevel="0" collapsed="false">
      <c r="A772" s="1" t="s">
        <v>1916</v>
      </c>
      <c r="B772" s="1" t="s">
        <v>155</v>
      </c>
      <c r="C772" s="1" t="s">
        <v>1147</v>
      </c>
      <c r="D772" s="1" t="n">
        <v>243</v>
      </c>
      <c r="E772" s="48" t="str">
        <f aca="false">IF('RAW ASH'!B243="","",'RAW ASH'!B243)</f>
        <v>Leadership Academy</v>
      </c>
      <c r="F772" s="48" t="str">
        <f aca="false">IF('RAW ASH'!C243="","",'RAW ASH'!C243)</f>
        <v>CB-Leadership Dev</v>
      </c>
      <c r="G772" s="49" t="str">
        <f aca="false">IF('RAW ASH'!A243="","",'RAW ASH'!A243)</f>
        <v>05/26/2026</v>
      </c>
      <c r="H772" s="48" t="str">
        <f aca="false">IF('RAW ASH'!D243="","",'RAW ASH'!D243)</f>
        <v>Volunteer Coordinator</v>
      </c>
      <c r="I772" s="48" t="n">
        <f aca="false">IF('RAW ASH'!E243="","",'RAW ASH'!E243)</f>
        <v>4.25</v>
      </c>
      <c r="J772" s="48" t="n">
        <f aca="false">IF('RAW ASH'!F243="","",'RAW ASH'!F243)</f>
        <v>18</v>
      </c>
      <c r="K772" s="50" t="n">
        <f aca="false">IF('RAW ASH'!G243="","",'RAW ASH'!G243)</f>
        <v>740</v>
      </c>
      <c r="L772" s="50" t="str">
        <f aca="false">IF('RAW ASH'!H243="","",'RAW ASH'!H243)</f>
        <v/>
      </c>
      <c r="M772" s="48" t="str">
        <f aca="false">IF('RAW ASH'!I243="","",'RAW ASH'!I243)</f>
        <v/>
      </c>
    </row>
    <row r="773" customFormat="false" ht="15" hidden="false" customHeight="false" outlineLevel="0" collapsed="false">
      <c r="A773" s="1" t="s">
        <v>1917</v>
      </c>
      <c r="B773" s="1" t="s">
        <v>155</v>
      </c>
      <c r="C773" s="1" t="s">
        <v>1147</v>
      </c>
      <c r="D773" s="1" t="n">
        <v>244</v>
      </c>
      <c r="E773" s="48" t="str">
        <f aca="false">IF('RAW ASH'!B244="","",'RAW ASH'!B244)</f>
        <v>MH First Aid</v>
      </c>
      <c r="F773" s="48" t="str">
        <f aca="false">IF('RAW ASH'!C244="","",'RAW ASH'!C244)</f>
        <v>Comm Hlth Ed</v>
      </c>
      <c r="G773" s="49" t="str">
        <f aca="false">IF('RAW ASH'!A244="","",'RAW ASH'!A244)</f>
        <v>05/29/2026</v>
      </c>
      <c r="H773" s="48" t="str">
        <f aca="false">IF('RAW ASH'!D244="","",'RAW ASH'!D244)</f>
        <v>Health Education Specialist</v>
      </c>
      <c r="I773" s="48" t="n">
        <f aca="false">IF('RAW ASH'!E244="","",'RAW ASH'!E244)</f>
        <v>8</v>
      </c>
      <c r="J773" s="48" t="str">
        <f aca="false">IF('RAW ASH'!F244="","",'RAW ASH'!F244)</f>
        <v/>
      </c>
      <c r="K773" s="50" t="str">
        <f aca="false">IF('RAW ASH'!G244="","",'RAW ASH'!G244)</f>
        <v/>
      </c>
      <c r="L773" s="50" t="str">
        <f aca="false">IF('RAW ASH'!H244="","",'RAW ASH'!H244)</f>
        <v/>
      </c>
      <c r="M773" s="48" t="str">
        <f aca="false">IF('RAW ASH'!I244="","",'RAW ASH'!I244)</f>
        <v/>
      </c>
    </row>
    <row r="774" customFormat="false" ht="15" hidden="false" customHeight="false" outlineLevel="0" collapsed="false">
      <c r="A774" s="1" t="s">
        <v>1918</v>
      </c>
      <c r="B774" s="1" t="s">
        <v>155</v>
      </c>
      <c r="C774" s="1" t="s">
        <v>1147</v>
      </c>
      <c r="D774" s="1" t="n">
        <v>245</v>
      </c>
      <c r="E774" s="48" t="str">
        <f aca="false">IF('RAW ASH'!B245="","",'RAW ASH'!B245)</f>
        <v>MH First Aid</v>
      </c>
      <c r="F774" s="48" t="str">
        <f aca="false">IF('RAW ASH'!C245="","",'RAW ASH'!C245)</f>
        <v>Comm Hlth Ed</v>
      </c>
      <c r="G774" s="49" t="str">
        <f aca="false">IF('RAW ASH'!A245="","",'RAW ASH'!A245)</f>
        <v>05/29/2026</v>
      </c>
      <c r="H774" s="48" t="str">
        <f aca="false">IF('RAW ASH'!D245="","",'RAW ASH'!D245)</f>
        <v>MSW</v>
      </c>
      <c r="I774" s="48" t="str">
        <f aca="false">IF('RAW ASH'!E245="","",'RAW ASH'!E245)</f>
        <v>8 hrs</v>
      </c>
      <c r="J774" s="48" t="n">
        <f aca="false">IF('RAW ASH'!F245="","",'RAW ASH'!F245)</f>
        <v>14</v>
      </c>
      <c r="K774" s="50" t="n">
        <f aca="false">IF('RAW ASH'!G245="","",'RAW ASH'!G245)</f>
        <v>575</v>
      </c>
      <c r="L774" s="50" t="str">
        <f aca="false">IF('RAW ASH'!H245="","",'RAW ASH'!H245)</f>
        <v/>
      </c>
      <c r="M774" s="48" t="str">
        <f aca="false">IF('RAW ASH'!I245="","",'RAW ASH'!I245)</f>
        <v/>
      </c>
    </row>
    <row r="775" customFormat="false" ht="15" hidden="false" customHeight="false" outlineLevel="0" collapsed="false">
      <c r="A775" s="1" t="s">
        <v>1919</v>
      </c>
      <c r="B775" s="1" t="s">
        <v>155</v>
      </c>
      <c r="C775" s="1" t="s">
        <v>1147</v>
      </c>
      <c r="D775" s="1" t="n">
        <v>246</v>
      </c>
      <c r="E775" s="48" t="str">
        <f aca="false">IF('RAW ASH'!B246="","",'RAW ASH'!B246)</f>
        <v>Grief Support</v>
      </c>
      <c r="F775" s="48" t="str">
        <f aca="false">IF('RAW ASH'!C246="","",'RAW ASH'!C246)</f>
        <v>Support Svcs</v>
      </c>
      <c r="G775" s="49" t="str">
        <f aca="false">IF('RAW ASH'!A246="","",'RAW ASH'!A246)</f>
        <v>05/30/2026</v>
      </c>
      <c r="H775" s="48" t="str">
        <f aca="false">IF('RAW ASH'!D246="","",'RAW ASH'!D246)</f>
        <v>Staff Chaplain</v>
      </c>
      <c r="I775" s="48" t="n">
        <f aca="false">IF('RAW ASH'!E246="","",'RAW ASH'!E246)</f>
        <v>2.25</v>
      </c>
      <c r="J775" s="48" t="n">
        <f aca="false">IF('RAW ASH'!F246="","",'RAW ASH'!F246)</f>
        <v>11</v>
      </c>
      <c r="K775" s="50" t="n">
        <f aca="false">IF('RAW ASH'!G246="","",'RAW ASH'!G246)</f>
        <v>35</v>
      </c>
      <c r="L775" s="50" t="str">
        <f aca="false">IF('RAW ASH'!H246="","",'RAW ASH'!H246)</f>
        <v/>
      </c>
      <c r="M775" s="48" t="str">
        <f aca="false">IF('RAW ASH'!I246="","",'RAW ASH'!I246)</f>
        <v/>
      </c>
    </row>
    <row r="776" customFormat="false" ht="15" hidden="false" customHeight="false" outlineLevel="0" collapsed="false">
      <c r="A776" s="1" t="s">
        <v>1920</v>
      </c>
      <c r="B776" s="1" t="s">
        <v>155</v>
      </c>
      <c r="C776" s="1" t="s">
        <v>1147</v>
      </c>
      <c r="D776" s="1" t="n">
        <v>247</v>
      </c>
      <c r="E776" s="48" t="str">
        <f aca="false">IF('RAW ASH'!B247="","",'RAW ASH'!B247)</f>
        <v>Grief Support</v>
      </c>
      <c r="F776" s="48" t="str">
        <f aca="false">IF('RAW ASH'!C247="","",'RAW ASH'!C247)</f>
        <v>Support Svcs</v>
      </c>
      <c r="G776" s="49" t="str">
        <f aca="false">IF('RAW ASH'!A247="","",'RAW ASH'!A247)</f>
        <v>05/30/2026</v>
      </c>
      <c r="H776" s="48" t="str">
        <f aca="false">IF('RAW ASH'!D247="","",'RAW ASH'!D247)</f>
        <v>LMSW</v>
      </c>
      <c r="I776" s="48" t="n">
        <f aca="false">IF('RAW ASH'!E247="","",'RAW ASH'!E247)</f>
        <v>1.5</v>
      </c>
      <c r="J776" s="48" t="str">
        <f aca="false">IF('RAW ASH'!F247="","",'RAW ASH'!F247)</f>
        <v/>
      </c>
      <c r="K776" s="50" t="str">
        <f aca="false">IF('RAW ASH'!G247="","",'RAW ASH'!G247)</f>
        <v/>
      </c>
      <c r="L776" s="50" t="str">
        <f aca="false">IF('RAW ASH'!H247="","",'RAW ASH'!H247)</f>
        <v/>
      </c>
      <c r="M776" s="48" t="str">
        <f aca="false">IF('RAW ASH'!I247="","",'RAW ASH'!I247)</f>
        <v/>
      </c>
    </row>
    <row r="777" customFormat="false" ht="15" hidden="false" customHeight="false" outlineLevel="0" collapsed="false">
      <c r="A777" s="1" t="s">
        <v>1921</v>
      </c>
      <c r="B777" s="1" t="s">
        <v>155</v>
      </c>
      <c r="C777" s="1" t="s">
        <v>1147</v>
      </c>
      <c r="D777" s="1" t="n">
        <v>248</v>
      </c>
      <c r="E777" s="48" t="str">
        <f aca="false">IF('RAW ASH'!B248="","",'RAW ASH'!B248)</f>
        <v>Mobile Screening Unit</v>
      </c>
      <c r="F777" s="48" t="str">
        <f aca="false">IF('RAW ASH'!C248="","",'RAW ASH'!C248)</f>
        <v>Clinical Svcs</v>
      </c>
      <c r="G777" s="49" t="str">
        <f aca="false">IF('RAW ASH'!A248="","",'RAW ASH'!A248)</f>
        <v>05/31/2026</v>
      </c>
      <c r="H777" s="48" t="str">
        <f aca="false">IF('RAW ASH'!D248="","",'RAW ASH'!D248)</f>
        <v>CHW</v>
      </c>
      <c r="I777" s="48" t="n">
        <f aca="false">IF('RAW ASH'!E248="","",'RAW ASH'!E248)</f>
        <v>86.25</v>
      </c>
      <c r="J777" s="48" t="str">
        <f aca="false">IF('RAW ASH'!F248="","",'RAW ASH'!F248)</f>
        <v/>
      </c>
      <c r="K777" s="50" t="str">
        <f aca="false">IF('RAW ASH'!G248="","",'RAW ASH'!G248)</f>
        <v/>
      </c>
      <c r="L777" s="50" t="str">
        <f aca="false">IF('RAW ASH'!H248="","",'RAW ASH'!H248)</f>
        <v/>
      </c>
      <c r="M777" s="48" t="str">
        <f aca="false">IF('RAW ASH'!I248="","",'RAW ASH'!I248)</f>
        <v/>
      </c>
    </row>
    <row r="778" customFormat="false" ht="15" hidden="false" customHeight="false" outlineLevel="0" collapsed="false">
      <c r="A778" s="1" t="s">
        <v>1922</v>
      </c>
      <c r="B778" s="1" t="s">
        <v>155</v>
      </c>
      <c r="C778" s="1" t="s">
        <v>1147</v>
      </c>
      <c r="D778" s="1" t="n">
        <v>249</v>
      </c>
      <c r="E778" s="48" t="str">
        <f aca="false">IF('RAW ASH'!B249="","",'RAW ASH'!B249)</f>
        <v>Mobile Screening Unit</v>
      </c>
      <c r="F778" s="48" t="str">
        <f aca="false">IF('RAW ASH'!C249="","",'RAW ASH'!C249)</f>
        <v>Clinical Svcs</v>
      </c>
      <c r="G778" s="49" t="str">
        <f aca="false">IF('RAW ASH'!A249="","",'RAW ASH'!A249)</f>
        <v>05/31/2026</v>
      </c>
      <c r="H778" s="48" t="str">
        <f aca="false">IF('RAW ASH'!D249="","",'RAW ASH'!D249)</f>
        <v>CMA</v>
      </c>
      <c r="I778" s="48" t="n">
        <f aca="false">IF('RAW ASH'!E249="","",'RAW ASH'!E249)</f>
        <v>71</v>
      </c>
      <c r="J778" s="48" t="str">
        <f aca="false">IF('RAW ASH'!F249="","",'RAW ASH'!F249)</f>
        <v/>
      </c>
      <c r="K778" s="50" t="str">
        <f aca="false">IF('RAW ASH'!G249="","",'RAW ASH'!G249)</f>
        <v/>
      </c>
      <c r="L778" s="50" t="str">
        <f aca="false">IF('RAW ASH'!H249="","",'RAW ASH'!H249)</f>
        <v/>
      </c>
      <c r="M778" s="48" t="str">
        <f aca="false">IF('RAW ASH'!I249="","",'RAW ASH'!I249)</f>
        <v/>
      </c>
    </row>
    <row r="779" customFormat="false" ht="15" hidden="false" customHeight="false" outlineLevel="0" collapsed="false">
      <c r="A779" s="1" t="s">
        <v>1923</v>
      </c>
      <c r="B779" s="1" t="s">
        <v>155</v>
      </c>
      <c r="C779" s="1" t="s">
        <v>1147</v>
      </c>
      <c r="D779" s="1" t="n">
        <v>250</v>
      </c>
      <c r="E779" s="48" t="str">
        <f aca="false">IF('RAW ASH'!B250="","",'RAW ASH'!B250)</f>
        <v>Mobile Screening Unit</v>
      </c>
      <c r="F779" s="48" t="str">
        <f aca="false">IF('RAW ASH'!C250="","",'RAW ASH'!C250)</f>
        <v>Clinical Svcs</v>
      </c>
      <c r="G779" s="49" t="str">
        <f aca="false">IF('RAW ASH'!A250="","",'RAW ASH'!A250)</f>
        <v>05/31/2026</v>
      </c>
      <c r="H779" s="48" t="str">
        <f aca="false">IF('RAW ASH'!D250="","",'RAW ASH'!D250)</f>
        <v>RN </v>
      </c>
      <c r="I779" s="48" t="n">
        <f aca="false">IF('RAW ASH'!E250="","",'RAW ASH'!E250)</f>
        <v>103.25</v>
      </c>
      <c r="J779" s="48" t="n">
        <f aca="false">IF('RAW ASH'!F250="","",'RAW ASH'!F250)</f>
        <v>224</v>
      </c>
      <c r="K779" s="50" t="n">
        <f aca="false">IF('RAW ASH'!G250="","",'RAW ASH'!G250)</f>
        <v>6340</v>
      </c>
      <c r="L779" s="50" t="str">
        <f aca="false">IF('RAW ASH'!H250="","",'RAW ASH'!H250)</f>
        <v/>
      </c>
      <c r="M779" s="48" t="str">
        <f aca="false">IF('RAW ASH'!I250="","",'RAW ASH'!I250)</f>
        <v/>
      </c>
    </row>
    <row r="780" customFormat="false" ht="15" hidden="false" customHeight="false" outlineLevel="0" collapsed="false">
      <c r="A780" s="1" t="s">
        <v>1924</v>
      </c>
      <c r="B780" s="1" t="s">
        <v>155</v>
      </c>
      <c r="C780" s="1" t="s">
        <v>1147</v>
      </c>
      <c r="D780" s="1" t="n">
        <v>251</v>
      </c>
      <c r="E780" s="48" t="str">
        <f aca="false">IF('RAW ASH'!B251="","",'RAW ASH'!B251)</f>
        <v>CHW Outreach</v>
      </c>
      <c r="F780" s="48" t="str">
        <f aca="false">IF('RAW ASH'!C251="","",'RAW ASH'!C251)</f>
        <v>Support Svcs</v>
      </c>
      <c r="G780" s="49" t="str">
        <f aca="false">IF('RAW ASH'!A251="","",'RAW ASH'!A251)</f>
        <v>05/31/2026</v>
      </c>
      <c r="H780" s="48" t="str">
        <f aca="false">IF('RAW ASH'!D251="","",'RAW ASH'!D251)</f>
        <v>Comm Health Worker</v>
      </c>
      <c r="I780" s="48" t="n">
        <f aca="false">IF('RAW ASH'!E251="","",'RAW ASH'!E251)</f>
        <v>345.75</v>
      </c>
      <c r="J780" s="48" t="n">
        <f aca="false">IF('RAW ASH'!F251="","",'RAW ASH'!F251)</f>
        <v>333</v>
      </c>
      <c r="K780" s="50" t="n">
        <f aca="false">IF('RAW ASH'!G251="","",'RAW ASH'!G251)</f>
        <v>1635</v>
      </c>
      <c r="L780" s="50" t="str">
        <f aca="false">IF('RAW ASH'!H251="","",'RAW ASH'!H251)</f>
        <v/>
      </c>
      <c r="M780" s="48" t="str">
        <f aca="false">IF('RAW ASH'!I251="","",'RAW ASH'!I251)</f>
        <v/>
      </c>
    </row>
    <row r="781" customFormat="false" ht="15" hidden="false" customHeight="false" outlineLevel="0" collapsed="false">
      <c r="A781" s="1" t="s">
        <v>1925</v>
      </c>
      <c r="B781" s="1" t="s">
        <v>155</v>
      </c>
      <c r="C781" s="1" t="s">
        <v>1147</v>
      </c>
      <c r="D781" s="1" t="n">
        <v>252</v>
      </c>
      <c r="E781" s="48" t="str">
        <f aca="false">IF('RAW ASH'!B252="","",'RAW ASH'!B252)</f>
        <v>CHW Outreach</v>
      </c>
      <c r="F781" s="48" t="str">
        <f aca="false">IF('RAW ASH'!C252="","",'RAW ASH'!C252)</f>
        <v>Support Svcs</v>
      </c>
      <c r="G781" s="49" t="str">
        <f aca="false">IF('RAW ASH'!A252="","",'RAW ASH'!A252)</f>
        <v>05/31/2026</v>
      </c>
      <c r="H781" s="48" t="str">
        <f aca="false">IF('RAW ASH'!D252="","",'RAW ASH'!D252)</f>
        <v>Financial Navigator</v>
      </c>
      <c r="I781" s="48" t="n">
        <f aca="false">IF('RAW ASH'!E252="","",'RAW ASH'!E252)</f>
        <v>147.25</v>
      </c>
      <c r="J781" s="48" t="str">
        <f aca="false">IF('RAW ASH'!F252="","",'RAW ASH'!F252)</f>
        <v/>
      </c>
      <c r="K781" s="50" t="str">
        <f aca="false">IF('RAW ASH'!G252="","",'RAW ASH'!G252)</f>
        <v/>
      </c>
      <c r="L781" s="50" t="str">
        <f aca="false">IF('RAW ASH'!H252="","",'RAW ASH'!H252)</f>
        <v/>
      </c>
      <c r="M781" s="48" t="str">
        <f aca="false">IF('RAW ASH'!I252="","",'RAW ASH'!I252)</f>
        <v/>
      </c>
    </row>
    <row r="782" customFormat="false" ht="15" hidden="false" customHeight="false" outlineLevel="0" collapsed="false">
      <c r="A782" s="1" t="s">
        <v>1926</v>
      </c>
      <c r="B782" s="1" t="s">
        <v>155</v>
      </c>
      <c r="C782" s="1" t="s">
        <v>1147</v>
      </c>
      <c r="D782" s="1" t="n">
        <v>253</v>
      </c>
      <c r="E782" s="48" t="str">
        <f aca="false">IF('RAW ASH'!B253="","",'RAW ASH'!B253)</f>
        <v>Produce Rx</v>
      </c>
      <c r="F782" s="48" t="str">
        <f aca="false">IF('RAW ASH'!C253="","",'RAW ASH'!C253)</f>
        <v>Support Svcs</v>
      </c>
      <c r="G782" s="49" t="str">
        <f aca="false">IF('RAW ASH'!A253="","",'RAW ASH'!A253)</f>
        <v>05/31/2026</v>
      </c>
      <c r="H782" s="48" t="str">
        <f aca="false">IF('RAW ASH'!D253="","",'RAW ASH'!D253)</f>
        <v>CHW</v>
      </c>
      <c r="I782" s="48" t="n">
        <f aca="false">IF('RAW ASH'!E253="","",'RAW ASH'!E253)</f>
        <v>55</v>
      </c>
      <c r="J782" s="48" t="str">
        <f aca="false">IF('RAW ASH'!F253="","",'RAW ASH'!F253)</f>
        <v/>
      </c>
      <c r="K782" s="50" t="str">
        <f aca="false">IF('RAW ASH'!G253="","",'RAW ASH'!G253)</f>
        <v/>
      </c>
      <c r="L782" s="50" t="str">
        <f aca="false">IF('RAW ASH'!H253="","",'RAW ASH'!H253)</f>
        <v/>
      </c>
      <c r="M782" s="48" t="str">
        <f aca="false">IF('RAW ASH'!I253="","",'RAW ASH'!I253)</f>
        <v/>
      </c>
    </row>
    <row r="783" customFormat="false" ht="15" hidden="false" customHeight="false" outlineLevel="0" collapsed="false">
      <c r="A783" s="1" t="s">
        <v>1927</v>
      </c>
      <c r="B783" s="1" t="s">
        <v>155</v>
      </c>
      <c r="C783" s="1" t="s">
        <v>1147</v>
      </c>
      <c r="D783" s="1" t="n">
        <v>254</v>
      </c>
      <c r="E783" s="48" t="str">
        <f aca="false">IF('RAW ASH'!B254="","",'RAW ASH'!B254)</f>
        <v>Produce Rx</v>
      </c>
      <c r="F783" s="48" t="str">
        <f aca="false">IF('RAW ASH'!C254="","",'RAW ASH'!C254)</f>
        <v>Support Svcs</v>
      </c>
      <c r="G783" s="49" t="str">
        <f aca="false">IF('RAW ASH'!A254="","",'RAW ASH'!A254)</f>
        <v>05/31/2026</v>
      </c>
      <c r="H783" s="48" t="str">
        <f aca="false">IF('RAW ASH'!D254="","",'RAW ASH'!D254)</f>
        <v>RDN</v>
      </c>
      <c r="I783" s="48" t="n">
        <f aca="false">IF('RAW ASH'!E254="","",'RAW ASH'!E254)</f>
        <v>26.25</v>
      </c>
      <c r="J783" s="48" t="n">
        <f aca="false">IF('RAW ASH'!F254="","",'RAW ASH'!F254)</f>
        <v>91</v>
      </c>
      <c r="K783" s="50" t="n">
        <f aca="false">IF('RAW ASH'!G254="","",'RAW ASH'!G254)</f>
        <v>10995</v>
      </c>
      <c r="L783" s="50" t="n">
        <f aca="false">IF('RAW ASH'!H254="","",'RAW ASH'!H254)</f>
        <v>7185</v>
      </c>
      <c r="M783" s="48" t="str">
        <f aca="false">IF('RAW ASH'!I254="","",'RAW ASH'!I254)</f>
        <v/>
      </c>
    </row>
    <row r="784" customFormat="false" ht="15" hidden="false" customHeight="false" outlineLevel="0" collapsed="false">
      <c r="A784" s="1" t="s">
        <v>1928</v>
      </c>
      <c r="B784" s="1" t="s">
        <v>155</v>
      </c>
      <c r="C784" s="1" t="s">
        <v>1147</v>
      </c>
      <c r="D784" s="1" t="n">
        <v>255</v>
      </c>
      <c r="E784" s="48" t="str">
        <f aca="false">IF('RAW ASH'!B255="","",'RAW ASH'!B255)</f>
        <v>CB Program Admin</v>
      </c>
      <c r="F784" s="48" t="str">
        <f aca="false">IF('RAW ASH'!C255="","",'RAW ASH'!C255)</f>
        <v>CB Admin</v>
      </c>
      <c r="G784" s="49" t="str">
        <f aca="false">IF('RAW ASH'!A255="","",'RAW ASH'!A255)</f>
        <v>05/31/2026</v>
      </c>
      <c r="H784" s="48" t="str">
        <f aca="false">IF('RAW ASH'!D255="","",'RAW ASH'!D255)</f>
        <v>Admin Asst</v>
      </c>
      <c r="I784" s="48" t="n">
        <f aca="false">IF('RAW ASH'!E255="","",'RAW ASH'!E255)</f>
        <v>41.25</v>
      </c>
      <c r="J784" s="48" t="str">
        <f aca="false">IF('RAW ASH'!F255="","",'RAW ASH'!F255)</f>
        <v/>
      </c>
      <c r="K784" s="50" t="str">
        <f aca="false">IF('RAW ASH'!G255="","",'RAW ASH'!G255)</f>
        <v/>
      </c>
      <c r="L784" s="50" t="str">
        <f aca="false">IF('RAW ASH'!H255="","",'RAW ASH'!H255)</f>
        <v/>
      </c>
      <c r="M784" s="48" t="str">
        <f aca="false">IF('RAW ASH'!I255="","",'RAW ASH'!I255)</f>
        <v/>
      </c>
    </row>
    <row r="785" customFormat="false" ht="15" hidden="false" customHeight="false" outlineLevel="0" collapsed="false">
      <c r="A785" s="1" t="s">
        <v>1929</v>
      </c>
      <c r="B785" s="1" t="s">
        <v>155</v>
      </c>
      <c r="C785" s="1" t="s">
        <v>1147</v>
      </c>
      <c r="D785" s="1" t="n">
        <v>256</v>
      </c>
      <c r="E785" s="48" t="str">
        <f aca="false">IF('RAW ASH'!B256="","",'RAW ASH'!B256)</f>
        <v>CB Program Admin</v>
      </c>
      <c r="F785" s="48" t="str">
        <f aca="false">IF('RAW ASH'!C256="","",'RAW ASH'!C256)</f>
        <v>CB Admin</v>
      </c>
      <c r="G785" s="49" t="str">
        <f aca="false">IF('RAW ASH'!A256="","",'RAW ASH'!A256)</f>
        <v>05/31/2026</v>
      </c>
      <c r="H785" s="48" t="str">
        <f aca="false">IF('RAW ASH'!D256="","",'RAW ASH'!D256)</f>
        <v>Manager Community Benefit</v>
      </c>
      <c r="I785" s="48" t="n">
        <f aca="false">IF('RAW ASH'!E256="","",'RAW ASH'!E256)</f>
        <v>72.5</v>
      </c>
      <c r="J785" s="48" t="str">
        <f aca="false">IF('RAW ASH'!F256="","",'RAW ASH'!F256)</f>
        <v/>
      </c>
      <c r="K785" s="50" t="n">
        <f aca="false">IF('RAW ASH'!G256="","",'RAW ASH'!G256)</f>
        <v>250</v>
      </c>
      <c r="L785" s="50" t="str">
        <f aca="false">IF('RAW ASH'!H256="","",'RAW ASH'!H256)</f>
        <v/>
      </c>
      <c r="M785" s="48" t="str">
        <f aca="false">IF('RAW ASH'!I256="","",'RAW ASH'!I256)</f>
        <v/>
      </c>
    </row>
    <row r="786" customFormat="false" ht="15" hidden="false" customHeight="false" outlineLevel="0" collapsed="false">
      <c r="A786" s="1" t="s">
        <v>1930</v>
      </c>
      <c r="B786" s="1" t="s">
        <v>155</v>
      </c>
      <c r="C786" s="1" t="s">
        <v>1147</v>
      </c>
      <c r="D786" s="1" t="n">
        <v>257</v>
      </c>
      <c r="E786" s="48" t="str">
        <f aca="false">IF('RAW ASH'!B257="","",'RAW ASH'!B257)</f>
        <v>Nursing Clinicals</v>
      </c>
      <c r="F786" s="48" t="str">
        <f aca="false">IF('RAW ASH'!C257="","",'RAW ASH'!C257)</f>
        <v>HPE</v>
      </c>
      <c r="G786" s="49" t="str">
        <f aca="false">IF('RAW ASH'!A257="","",'RAW ASH'!A257)</f>
        <v>05/31/2026</v>
      </c>
      <c r="H786" s="48" t="str">
        <f aca="false">IF('RAW ASH'!D257="","",'RAW ASH'!D257)</f>
        <v>Preceptor RN</v>
      </c>
      <c r="I786" s="48" t="n">
        <f aca="false">IF('RAW ASH'!E257="","",'RAW ASH'!E257)</f>
        <v>111</v>
      </c>
      <c r="J786" s="48" t="n">
        <f aca="false">IF('RAW ASH'!F257="","",'RAW ASH'!F257)</f>
        <v>18</v>
      </c>
      <c r="K786" s="50" t="n">
        <f aca="false">IF('RAW ASH'!G257="","",'RAW ASH'!G257)</f>
        <v>1055</v>
      </c>
      <c r="L786" s="50" t="str">
        <f aca="false">IF('RAW ASH'!H257="","",'RAW ASH'!H257)</f>
        <v/>
      </c>
      <c r="M786" s="48" t="str">
        <f aca="false">IF('RAW ASH'!I257="","",'RAW ASH'!I257)</f>
        <v/>
      </c>
    </row>
    <row r="787" customFormat="false" ht="15" hidden="false" customHeight="false" outlineLevel="0" collapsed="false">
      <c r="A787" s="1" t="s">
        <v>1931</v>
      </c>
      <c r="B787" s="1" t="s">
        <v>155</v>
      </c>
      <c r="C787" s="1" t="s">
        <v>1147</v>
      </c>
      <c r="D787" s="1" t="n">
        <v>258</v>
      </c>
      <c r="E787" s="48" t="str">
        <f aca="false">IF('RAW ASH'!B258="","",'RAW ASH'!B258)</f>
        <v>Nursing Clinicals</v>
      </c>
      <c r="F787" s="48" t="str">
        <f aca="false">IF('RAW ASH'!C258="","",'RAW ASH'!C258)</f>
        <v>HPE</v>
      </c>
      <c r="G787" s="49" t="str">
        <f aca="false">IF('RAW ASH'!A258="","",'RAW ASH'!A258)</f>
        <v>05/31/2026</v>
      </c>
      <c r="H787" s="48" t="str">
        <f aca="false">IF('RAW ASH'!D258="","",'RAW ASH'!D258)</f>
        <v>Registered Nurse</v>
      </c>
      <c r="I787" s="48" t="n">
        <f aca="false">IF('RAW ASH'!E258="","",'RAW ASH'!E258)</f>
        <v>213.75</v>
      </c>
      <c r="J787" s="48" t="str">
        <f aca="false">IF('RAW ASH'!F258="","",'RAW ASH'!F258)</f>
        <v/>
      </c>
      <c r="K787" s="50" t="str">
        <f aca="false">IF('RAW ASH'!G258="","",'RAW ASH'!G258)</f>
        <v/>
      </c>
      <c r="L787" s="50" t="str">
        <f aca="false">IF('RAW ASH'!H258="","",'RAW ASH'!H258)</f>
        <v/>
      </c>
      <c r="M787" s="48" t="str">
        <f aca="false">IF('RAW ASH'!I258="","",'RAW ASH'!I258)</f>
        <v/>
      </c>
    </row>
    <row r="788" customFormat="false" ht="15" hidden="false" customHeight="false" outlineLevel="0" collapsed="false">
      <c r="A788" s="1" t="s">
        <v>1932</v>
      </c>
      <c r="B788" s="1" t="s">
        <v>155</v>
      </c>
      <c r="C788" s="1" t="s">
        <v>1147</v>
      </c>
      <c r="D788" s="1" t="n">
        <v>259</v>
      </c>
      <c r="E788" s="48" t="str">
        <f aca="false">IF('RAW ASH'!B259="","",'RAW ASH'!B259)</f>
        <v>Paramedic Students</v>
      </c>
      <c r="F788" s="48" t="str">
        <f aca="false">IF('RAW ASH'!C259="","",'RAW ASH'!C259)</f>
        <v>HPE</v>
      </c>
      <c r="G788" s="49" t="str">
        <f aca="false">IF('RAW ASH'!A259="","",'RAW ASH'!A259)</f>
        <v>05/31/2026</v>
      </c>
      <c r="H788" s="48" t="str">
        <f aca="false">IF('RAW ASH'!D259="","",'RAW ASH'!D259)</f>
        <v>EMT-P</v>
      </c>
      <c r="I788" s="48" t="n">
        <f aca="false">IF('RAW ASH'!E259="","",'RAW ASH'!E259)</f>
        <v>89.5</v>
      </c>
      <c r="J788" s="48" t="n">
        <f aca="false">IF('RAW ASH'!F259="","",'RAW ASH'!F259)</f>
        <v>3</v>
      </c>
      <c r="K788" s="50" t="n">
        <f aca="false">IF('RAW ASH'!G259="","",'RAW ASH'!G259)</f>
        <v>10</v>
      </c>
      <c r="L788" s="50" t="str">
        <f aca="false">IF('RAW ASH'!H259="","",'RAW ASH'!H259)</f>
        <v/>
      </c>
      <c r="M788" s="48" t="str">
        <f aca="false">IF('RAW ASH'!I259="","",'RAW ASH'!I259)</f>
        <v/>
      </c>
    </row>
    <row r="789" customFormat="false" ht="15" hidden="false" customHeight="false" outlineLevel="0" collapsed="false">
      <c r="A789" s="1" t="s">
        <v>1933</v>
      </c>
      <c r="B789" s="1" t="s">
        <v>155</v>
      </c>
      <c r="C789" s="1" t="s">
        <v>1147</v>
      </c>
      <c r="D789" s="1" t="n">
        <v>260</v>
      </c>
      <c r="E789" s="48" t="str">
        <f aca="false">IF('RAW ASH'!B260="","",'RAW ASH'!B260)</f>
        <v>DPP Classes</v>
      </c>
      <c r="F789" s="48" t="str">
        <f aca="false">IF('RAW ASH'!C260="","",'RAW ASH'!C260)</f>
        <v>Comm Hlth Ed</v>
      </c>
      <c r="G789" s="49" t="str">
        <f aca="false">IF('RAW ASH'!A260="","",'RAW ASH'!A260)</f>
        <v>06/03/2026</v>
      </c>
      <c r="H789" s="48" t="str">
        <f aca="false">IF('RAW ASH'!D260="","",'RAW ASH'!D260)</f>
        <v>Health Ed</v>
      </c>
      <c r="I789" s="48" t="n">
        <f aca="false">IF('RAW ASH'!E260="","",'RAW ASH'!E260)</f>
        <v>2.75</v>
      </c>
      <c r="J789" s="48" t="n">
        <f aca="false">IF('RAW ASH'!F260="","",'RAW ASH'!F260)</f>
        <v>16</v>
      </c>
      <c r="K789" s="50" t="n">
        <f aca="false">IF('RAW ASH'!G260="","",'RAW ASH'!G260)</f>
        <v>135</v>
      </c>
      <c r="L789" s="50" t="str">
        <f aca="false">IF('RAW ASH'!H260="","",'RAW ASH'!H260)</f>
        <v/>
      </c>
      <c r="M789" s="48" t="str">
        <f aca="false">IF('RAW ASH'!I260="","",'RAW ASH'!I260)</f>
        <v/>
      </c>
    </row>
    <row r="790" customFormat="false" ht="15" hidden="false" customHeight="false" outlineLevel="0" collapsed="false">
      <c r="A790" s="1" t="s">
        <v>1934</v>
      </c>
      <c r="B790" s="1" t="s">
        <v>155</v>
      </c>
      <c r="C790" s="1" t="s">
        <v>1147</v>
      </c>
      <c r="D790" s="1" t="n">
        <v>261</v>
      </c>
      <c r="E790" s="48" t="str">
        <f aca="false">IF('RAW ASH'!B261="","",'RAW ASH'!B261)</f>
        <v>DPP Classes</v>
      </c>
      <c r="F790" s="48" t="str">
        <f aca="false">IF('RAW ASH'!C261="","",'RAW ASH'!C261)</f>
        <v>Comm Hlth Ed</v>
      </c>
      <c r="G790" s="49" t="str">
        <f aca="false">IF('RAW ASH'!A261="","",'RAW ASH'!A261)</f>
        <v>06/03/2026</v>
      </c>
      <c r="H790" s="48" t="str">
        <f aca="false">IF('RAW ASH'!D261="","",'RAW ASH'!D261)</f>
        <v>rd</v>
      </c>
      <c r="I790" s="48" t="n">
        <f aca="false">IF('RAW ASH'!E261="","",'RAW ASH'!E261)</f>
        <v>1.75</v>
      </c>
      <c r="J790" s="48" t="str">
        <f aca="false">IF('RAW ASH'!F261="","",'RAW ASH'!F261)</f>
        <v/>
      </c>
      <c r="K790" s="50" t="str">
        <f aca="false">IF('RAW ASH'!G261="","",'RAW ASH'!G261)</f>
        <v/>
      </c>
      <c r="L790" s="50" t="str">
        <f aca="false">IF('RAW ASH'!H261="","",'RAW ASH'!H261)</f>
        <v/>
      </c>
      <c r="M790" s="48" t="str">
        <f aca="false">IF('RAW ASH'!I261="","",'RAW ASH'!I261)</f>
        <v/>
      </c>
    </row>
    <row r="791" customFormat="false" ht="15" hidden="false" customHeight="false" outlineLevel="0" collapsed="false">
      <c r="A791" s="1" t="s">
        <v>1935</v>
      </c>
      <c r="B791" s="1" t="s">
        <v>155</v>
      </c>
      <c r="C791" s="1" t="s">
        <v>1147</v>
      </c>
      <c r="D791" s="1" t="n">
        <v>262</v>
      </c>
      <c r="E791" s="48" t="str">
        <f aca="false">IF('RAW ASH'!B262="","",'RAW ASH'!B262)</f>
        <v>Leadership Academy</v>
      </c>
      <c r="F791" s="48" t="str">
        <f aca="false">IF('RAW ASH'!C262="","",'RAW ASH'!C262)</f>
        <v>CB-Leadership Dev</v>
      </c>
      <c r="G791" s="49" t="str">
        <f aca="false">IF('RAW ASH'!A262="","",'RAW ASH'!A262)</f>
        <v>06/04/2026</v>
      </c>
      <c r="H791" s="48" t="str">
        <f aca="false">IF('RAW ASH'!D262="","",'RAW ASH'!D262)</f>
        <v>Wellness Educator</v>
      </c>
      <c r="I791" s="48" t="n">
        <f aca="false">IF('RAW ASH'!E262="","",'RAW ASH'!E262)</f>
        <v>3.25</v>
      </c>
      <c r="J791" s="48" t="str">
        <f aca="false">IF('RAW ASH'!F262="","",'RAW ASH'!F262)</f>
        <v/>
      </c>
      <c r="K791" s="50" t="str">
        <f aca="false">IF('RAW ASH'!G262="","",'RAW ASH'!G262)</f>
        <v/>
      </c>
      <c r="L791" s="50" t="str">
        <f aca="false">IF('RAW ASH'!H262="","",'RAW ASH'!H262)</f>
        <v/>
      </c>
      <c r="M791" s="48" t="str">
        <f aca="false">IF('RAW ASH'!I262="","",'RAW ASH'!I262)</f>
        <v/>
      </c>
    </row>
    <row r="792" customFormat="false" ht="15" hidden="false" customHeight="false" outlineLevel="0" collapsed="false">
      <c r="A792" s="1" t="s">
        <v>1936</v>
      </c>
      <c r="B792" s="1" t="s">
        <v>155</v>
      </c>
      <c r="C792" s="1" t="s">
        <v>1147</v>
      </c>
      <c r="D792" s="1" t="n">
        <v>263</v>
      </c>
      <c r="E792" s="48" t="str">
        <f aca="false">IF('RAW ASH'!B263="","",'RAW ASH'!B263)</f>
        <v>Leadership Academy</v>
      </c>
      <c r="F792" s="48" t="str">
        <f aca="false">IF('RAW ASH'!C263="","",'RAW ASH'!C263)</f>
        <v>CB-Leadership Dev</v>
      </c>
      <c r="G792" s="49" t="str">
        <f aca="false">IF('RAW ASH'!A263="","",'RAW ASH'!A263)</f>
        <v>06/04/2026</v>
      </c>
      <c r="H792" s="48" t="str">
        <f aca="false">IF('RAW ASH'!D263="","",'RAW ASH'!D263)</f>
        <v>Prog Coord</v>
      </c>
      <c r="I792" s="48" t="n">
        <f aca="false">IF('RAW ASH'!E263="","",'RAW ASH'!E263)</f>
        <v>4.75</v>
      </c>
      <c r="J792" s="48" t="n">
        <f aca="false">IF('RAW ASH'!F263="","",'RAW ASH'!F263)</f>
        <v>24</v>
      </c>
      <c r="K792" s="50" t="n">
        <f aca="false">IF('RAW ASH'!G263="","",'RAW ASH'!G263)</f>
        <v>485</v>
      </c>
      <c r="L792" s="50" t="str">
        <f aca="false">IF('RAW ASH'!H263="","",'RAW ASH'!H263)</f>
        <v/>
      </c>
      <c r="M792" s="48" t="str">
        <f aca="false">IF('RAW ASH'!I263="","",'RAW ASH'!I263)</f>
        <v/>
      </c>
    </row>
    <row r="793" customFormat="false" ht="15" hidden="false" customHeight="false" outlineLevel="0" collapsed="false">
      <c r="A793" s="1" t="s">
        <v>1937</v>
      </c>
      <c r="B793" s="1" t="s">
        <v>155</v>
      </c>
      <c r="C793" s="1" t="s">
        <v>1147</v>
      </c>
      <c r="D793" s="1" t="n">
        <v>264</v>
      </c>
      <c r="E793" s="48" t="str">
        <f aca="false">IF('RAW ASH'!B264="","",'RAW ASH'!B264)</f>
        <v>DPP Classes</v>
      </c>
      <c r="F793" s="48" t="str">
        <f aca="false">IF('RAW ASH'!C264="","",'RAW ASH'!C264)</f>
        <v>Comm Hlth Ed</v>
      </c>
      <c r="G793" s="49" t="str">
        <f aca="false">IF('RAW ASH'!A264="","",'RAW ASH'!A264)</f>
        <v>06/06/2026</v>
      </c>
      <c r="H793" s="48" t="str">
        <f aca="false">IF('RAW ASH'!D264="","",'RAW ASH'!D264)</f>
        <v>Health Ed</v>
      </c>
      <c r="I793" s="48" t="n">
        <f aca="false">IF('RAW ASH'!E264="","",'RAW ASH'!E264)</f>
        <v>2.75</v>
      </c>
      <c r="J793" s="48" t="n">
        <f aca="false">IF('RAW ASH'!F264="","",'RAW ASH'!F264)</f>
        <v>12</v>
      </c>
      <c r="K793" s="50" t="n">
        <f aca="false">IF('RAW ASH'!G264="","",'RAW ASH'!G264)</f>
        <v>140</v>
      </c>
      <c r="L793" s="50" t="str">
        <f aca="false">IF('RAW ASH'!H264="","",'RAW ASH'!H264)</f>
        <v/>
      </c>
      <c r="M793" s="48" t="str">
        <f aca="false">IF('RAW ASH'!I264="","",'RAW ASH'!I264)</f>
        <v/>
      </c>
    </row>
    <row r="794" customFormat="false" ht="15" hidden="false" customHeight="false" outlineLevel="0" collapsed="false">
      <c r="A794" s="1" t="s">
        <v>1938</v>
      </c>
      <c r="B794" s="1" t="s">
        <v>155</v>
      </c>
      <c r="C794" s="1" t="s">
        <v>1147</v>
      </c>
      <c r="D794" s="1" t="n">
        <v>265</v>
      </c>
      <c r="E794" s="48" t="str">
        <f aca="false">IF('RAW ASH'!B265="","",'RAW ASH'!B265)</f>
        <v>DPP Classes</v>
      </c>
      <c r="F794" s="48" t="str">
        <f aca="false">IF('RAW ASH'!C265="","",'RAW ASH'!C265)</f>
        <v>Comm Hlth Ed</v>
      </c>
      <c r="G794" s="49" t="str">
        <f aca="false">IF('RAW ASH'!A265="","",'RAW ASH'!A265)</f>
        <v>06/06/2026</v>
      </c>
      <c r="H794" s="48" t="str">
        <f aca="false">IF('RAW ASH'!D265="","",'RAW ASH'!D265)</f>
        <v>REGISTERED DIETITIAN</v>
      </c>
      <c r="I794" s="48" t="n">
        <f aca="false">IF('RAW ASH'!E265="","",'RAW ASH'!E265)</f>
        <v>1.75</v>
      </c>
      <c r="J794" s="48" t="str">
        <f aca="false">IF('RAW ASH'!F265="","",'RAW ASH'!F265)</f>
        <v/>
      </c>
      <c r="K794" s="50" t="str">
        <f aca="false">IF('RAW ASH'!G265="","",'RAW ASH'!G265)</f>
        <v/>
      </c>
      <c r="L794" s="50" t="str">
        <f aca="false">IF('RAW ASH'!H265="","",'RAW ASH'!H265)</f>
        <v/>
      </c>
      <c r="M794" s="48" t="str">
        <f aca="false">IF('RAW ASH'!I265="","",'RAW ASH'!I265)</f>
        <v/>
      </c>
    </row>
    <row r="795" customFormat="false" ht="15" hidden="false" customHeight="false" outlineLevel="0" collapsed="false">
      <c r="A795" s="1" t="s">
        <v>1939</v>
      </c>
      <c r="B795" s="1" t="s">
        <v>155</v>
      </c>
      <c r="C795" s="1" t="s">
        <v>1147</v>
      </c>
      <c r="D795" s="1" t="n">
        <v>266</v>
      </c>
      <c r="E795" s="48" t="str">
        <f aca="false">IF('RAW ASH'!B266="","",'RAW ASH'!B266)</f>
        <v>MH First Aid</v>
      </c>
      <c r="F795" s="48" t="str">
        <f aca="false">IF('RAW ASH'!C266="","",'RAW ASH'!C266)</f>
        <v>Comm Hlth Ed</v>
      </c>
      <c r="G795" s="49" t="str">
        <f aca="false">IF('RAW ASH'!A266="","",'RAW ASH'!A266)</f>
        <v>06/09/2026</v>
      </c>
      <c r="H795" s="48" t="str">
        <f aca="false">IF('RAW ASH'!D266="","",'RAW ASH'!D266)</f>
        <v>Health Education Specialist</v>
      </c>
      <c r="I795" s="48" t="n">
        <f aca="false">IF('RAW ASH'!E266="","",'RAW ASH'!E266)</f>
        <v>8</v>
      </c>
      <c r="J795" s="48" t="str">
        <f aca="false">IF('RAW ASH'!F266="","",'RAW ASH'!F266)</f>
        <v/>
      </c>
      <c r="K795" s="50" t="str">
        <f aca="false">IF('RAW ASH'!G266="","",'RAW ASH'!G266)</f>
        <v/>
      </c>
      <c r="L795" s="50" t="str">
        <f aca="false">IF('RAW ASH'!H266="","",'RAW ASH'!H266)</f>
        <v/>
      </c>
      <c r="M795" s="48" t="str">
        <f aca="false">IF('RAW ASH'!I266="","",'RAW ASH'!I266)</f>
        <v/>
      </c>
    </row>
    <row r="796" customFormat="false" ht="15" hidden="false" customHeight="false" outlineLevel="0" collapsed="false">
      <c r="A796" s="1" t="s">
        <v>1940</v>
      </c>
      <c r="B796" s="1" t="s">
        <v>155</v>
      </c>
      <c r="C796" s="1" t="s">
        <v>1147</v>
      </c>
      <c r="D796" s="1" t="n">
        <v>267</v>
      </c>
      <c r="E796" s="48" t="str">
        <f aca="false">IF('RAW ASH'!B267="","",'RAW ASH'!B267)</f>
        <v>MH First Aid</v>
      </c>
      <c r="F796" s="48" t="str">
        <f aca="false">IF('RAW ASH'!C267="","",'RAW ASH'!C267)</f>
        <v>Comm Hlth Ed</v>
      </c>
      <c r="G796" s="49" t="str">
        <f aca="false">IF('RAW ASH'!A267="","",'RAW ASH'!A267)</f>
        <v>06/09/2026</v>
      </c>
      <c r="H796" s="48" t="str">
        <f aca="false">IF('RAW ASH'!D267="","",'RAW ASH'!D267)</f>
        <v>LCSW</v>
      </c>
      <c r="I796" s="48" t="n">
        <f aca="false">IF('RAW ASH'!E267="","",'RAW ASH'!E267)</f>
        <v>8</v>
      </c>
      <c r="J796" s="48" t="n">
        <f aca="false">IF('RAW ASH'!F267="","",'RAW ASH'!F267)</f>
        <v>13</v>
      </c>
      <c r="K796" s="50" t="n">
        <f aca="false">IF('RAW ASH'!G267="","",'RAW ASH'!G267)</f>
        <v>415</v>
      </c>
      <c r="L796" s="50" t="str">
        <f aca="false">IF('RAW ASH'!H267="","",'RAW ASH'!H267)</f>
        <v/>
      </c>
      <c r="M796" s="48" t="str">
        <f aca="false">IF('RAW ASH'!I267="","",'RAW ASH'!I267)</f>
        <v/>
      </c>
    </row>
    <row r="797" customFormat="false" ht="15" hidden="false" customHeight="false" outlineLevel="0" collapsed="false">
      <c r="A797" s="1" t="s">
        <v>1941</v>
      </c>
      <c r="B797" s="1" t="s">
        <v>155</v>
      </c>
      <c r="C797" s="1" t="s">
        <v>1147</v>
      </c>
      <c r="D797" s="1" t="n">
        <v>268</v>
      </c>
      <c r="E797" s="48" t="str">
        <f aca="false">IF('RAW ASH'!B268="","",'RAW ASH'!B268)</f>
        <v>Health Careers Camp</v>
      </c>
      <c r="F797" s="48" t="str">
        <f aca="false">IF('RAW ASH'!C268="","",'RAW ASH'!C268)</f>
        <v>HPE</v>
      </c>
      <c r="G797" s="49" t="str">
        <f aca="false">IF('RAW ASH'!A268="","",'RAW ASH'!A268)</f>
        <v>06/09/2026</v>
      </c>
      <c r="H797" s="48" t="str">
        <f aca="false">IF('RAW ASH'!D268="","",'RAW ASH'!D268)</f>
        <v>Clinical Nurse Educator</v>
      </c>
      <c r="I797" s="48" t="n">
        <f aca="false">IF('RAW ASH'!E268="","",'RAW ASH'!E268)</f>
        <v>8</v>
      </c>
      <c r="J797" s="48" t="n">
        <f aca="false">IF('RAW ASH'!F268="","",'RAW ASH'!F268)</f>
        <v>24</v>
      </c>
      <c r="K797" s="50" t="n">
        <f aca="false">IF('RAW ASH'!G268="","",'RAW ASH'!G268)</f>
        <v>750</v>
      </c>
      <c r="L797" s="50" t="str">
        <f aca="false">IF('RAW ASH'!H268="","",'RAW ASH'!H268)</f>
        <v/>
      </c>
      <c r="M797" s="48" t="str">
        <f aca="false">IF('RAW ASH'!I268="","",'RAW ASH'!I268)</f>
        <v/>
      </c>
    </row>
    <row r="798" customFormat="false" ht="15" hidden="false" customHeight="false" outlineLevel="0" collapsed="false">
      <c r="A798" s="1" t="s">
        <v>1942</v>
      </c>
      <c r="B798" s="1" t="s">
        <v>155</v>
      </c>
      <c r="C798" s="1" t="s">
        <v>1147</v>
      </c>
      <c r="D798" s="1" t="n">
        <v>269</v>
      </c>
      <c r="E798" s="48" t="str">
        <f aca="false">IF('RAW ASH'!B269="","",'RAW ASH'!B269)</f>
        <v>Health Careers Camp</v>
      </c>
      <c r="F798" s="48" t="str">
        <f aca="false">IF('RAW ASH'!C269="","",'RAW ASH'!C269)</f>
        <v>HPE</v>
      </c>
      <c r="G798" s="49" t="str">
        <f aca="false">IF('RAW ASH'!A269="","",'RAW ASH'!A269)</f>
        <v>06/09/2026</v>
      </c>
      <c r="H798" s="48" t="str">
        <f aca="false">IF('RAW ASH'!D269="","",'RAW ASH'!D269)</f>
        <v>Volunteer Coordinator</v>
      </c>
      <c r="I798" s="48" t="n">
        <f aca="false">IF('RAW ASH'!E269="","",'RAW ASH'!E269)</f>
        <v>7.75</v>
      </c>
      <c r="J798" s="48" t="str">
        <f aca="false">IF('RAW ASH'!F269="","",'RAW ASH'!F269)</f>
        <v/>
      </c>
      <c r="K798" s="50" t="str">
        <f aca="false">IF('RAW ASH'!G269="","",'RAW ASH'!G269)</f>
        <v/>
      </c>
      <c r="L798" s="50" t="str">
        <f aca="false">IF('RAW ASH'!H269="","",'RAW ASH'!H269)</f>
        <v/>
      </c>
      <c r="M798" s="48" t="str">
        <f aca="false">IF('RAW ASH'!I269="","",'RAW ASH'!I269)</f>
        <v/>
      </c>
    </row>
    <row r="799" customFormat="false" ht="15" hidden="false" customHeight="false" outlineLevel="0" collapsed="false">
      <c r="A799" s="1" t="s">
        <v>1943</v>
      </c>
      <c r="B799" s="1" t="s">
        <v>155</v>
      </c>
      <c r="C799" s="1" t="s">
        <v>1147</v>
      </c>
      <c r="D799" s="1" t="n">
        <v>270</v>
      </c>
      <c r="E799" s="48" t="str">
        <f aca="false">IF('RAW ASH'!B270="","",'RAW ASH'!B270)</f>
        <v>Housing Partnership</v>
      </c>
      <c r="F799" s="48" t="str">
        <f aca="false">IF('RAW ASH'!C270="","",'RAW ASH'!C270)</f>
        <v>CB-Housing</v>
      </c>
      <c r="G799" s="49" t="str">
        <f aca="false">IF('RAW ASH'!A270="","",'RAW ASH'!A270)</f>
        <v>06/09/2026</v>
      </c>
      <c r="H799" s="48" t="str">
        <f aca="false">IF('RAW ASH'!D270="","",'RAW ASH'!D270)</f>
        <v>Dir.</v>
      </c>
      <c r="I799" s="48" t="n">
        <f aca="false">IF('RAW ASH'!E270="","",'RAW ASH'!E270)</f>
        <v>5.25</v>
      </c>
      <c r="J799" s="48" t="str">
        <f aca="false">IF('RAW ASH'!F270="","",'RAW ASH'!F270)</f>
        <v/>
      </c>
      <c r="K799" s="50" t="n">
        <f aca="false">IF('RAW ASH'!G270="","",'RAW ASH'!G270)</f>
        <v>60240</v>
      </c>
      <c r="L799" s="50" t="str">
        <f aca="false">IF('RAW ASH'!H270="","",'RAW ASH'!H270)</f>
        <v/>
      </c>
      <c r="M799" s="48" t="str">
        <f aca="false">IF('RAW ASH'!I270="","",'RAW ASH'!I270)</f>
        <v/>
      </c>
    </row>
    <row r="800" customFormat="false" ht="15" hidden="false" customHeight="false" outlineLevel="0" collapsed="false">
      <c r="A800" s="1" t="s">
        <v>1944</v>
      </c>
      <c r="B800" s="1" t="s">
        <v>155</v>
      </c>
      <c r="C800" s="1" t="s">
        <v>1147</v>
      </c>
      <c r="D800" s="1" t="n">
        <v>271</v>
      </c>
      <c r="E800" s="48" t="str">
        <f aca="false">IF('RAW ASH'!B271="","",'RAW ASH'!B271)</f>
        <v>Housing Partnership</v>
      </c>
      <c r="F800" s="48" t="str">
        <f aca="false">IF('RAW ASH'!C271="","",'RAW ASH'!C271)</f>
        <v>CB-Housing</v>
      </c>
      <c r="G800" s="49" t="str">
        <f aca="false">IF('RAW ASH'!A271="","",'RAW ASH'!A271)</f>
        <v>06/09/2026</v>
      </c>
      <c r="H800" s="48" t="str">
        <f aca="false">IF('RAW ASH'!D271="","",'RAW ASH'!D271)</f>
        <v>Residency Coordinator</v>
      </c>
      <c r="I800" s="48" t="n">
        <f aca="false">IF('RAW ASH'!E271="","",'RAW ASH'!E271)</f>
        <v>9.25</v>
      </c>
      <c r="J800" s="48" t="str">
        <f aca="false">IF('RAW ASH'!F271="","",'RAW ASH'!F271)</f>
        <v/>
      </c>
      <c r="K800" s="50" t="str">
        <f aca="false">IF('RAW ASH'!G271="","",'RAW ASH'!G271)</f>
        <v/>
      </c>
      <c r="L800" s="50" t="str">
        <f aca="false">IF('RAW ASH'!H271="","",'RAW ASH'!H271)</f>
        <v/>
      </c>
      <c r="M800" s="48" t="str">
        <f aca="false">IF('RAW ASH'!I271="","",'RAW ASH'!I271)</f>
        <v/>
      </c>
    </row>
    <row r="801" customFormat="false" ht="15" hidden="false" customHeight="false" outlineLevel="0" collapsed="false">
      <c r="A801" s="1" t="s">
        <v>1945</v>
      </c>
      <c r="B801" s="1" t="s">
        <v>155</v>
      </c>
      <c r="C801" s="1" t="s">
        <v>1147</v>
      </c>
      <c r="D801" s="1" t="n">
        <v>272</v>
      </c>
      <c r="E801" s="48" t="str">
        <f aca="false">IF('RAW ASH'!B272="","",'RAW ASH'!B272)</f>
        <v>Grief Support</v>
      </c>
      <c r="F801" s="48" t="str">
        <f aca="false">IF('RAW ASH'!C272="","",'RAW ASH'!C272)</f>
        <v>Support Svcs</v>
      </c>
      <c r="G801" s="49" t="str">
        <f aca="false">IF('RAW ASH'!A272="","",'RAW ASH'!A272)</f>
        <v>06/11/2026</v>
      </c>
      <c r="H801" s="48" t="str">
        <f aca="false">IF('RAW ASH'!D272="","",'RAW ASH'!D272)</f>
        <v>Chaplain</v>
      </c>
      <c r="I801" s="48" t="n">
        <f aca="false">IF('RAW ASH'!E272="","",'RAW ASH'!E272)</f>
        <v>2.25</v>
      </c>
      <c r="J801" s="48" t="n">
        <f aca="false">IF('RAW ASH'!F272="","",'RAW ASH'!F272)</f>
        <v>12</v>
      </c>
      <c r="K801" s="50" t="n">
        <f aca="false">IF('RAW ASH'!G272="","",'RAW ASH'!G272)</f>
        <v>25</v>
      </c>
      <c r="L801" s="50" t="str">
        <f aca="false">IF('RAW ASH'!H272="","",'RAW ASH'!H272)</f>
        <v/>
      </c>
      <c r="M801" s="48" t="str">
        <f aca="false">IF('RAW ASH'!I272="","",'RAW ASH'!I272)</f>
        <v/>
      </c>
    </row>
    <row r="802" customFormat="false" ht="15" hidden="false" customHeight="false" outlineLevel="0" collapsed="false">
      <c r="A802" s="1" t="s">
        <v>1946</v>
      </c>
      <c r="B802" s="1" t="s">
        <v>155</v>
      </c>
      <c r="C802" s="1" t="s">
        <v>1147</v>
      </c>
      <c r="D802" s="1" t="n">
        <v>273</v>
      </c>
      <c r="E802" s="48" t="str">
        <f aca="false">IF('RAW ASH'!B273="","",'RAW ASH'!B273)</f>
        <v>Grief Support</v>
      </c>
      <c r="F802" s="48" t="str">
        <f aca="false">IF('RAW ASH'!C273="","",'RAW ASH'!C273)</f>
        <v>Support Svcs</v>
      </c>
      <c r="G802" s="49" t="str">
        <f aca="false">IF('RAW ASH'!A273="","",'RAW ASH'!A273)</f>
        <v>06/11/2026</v>
      </c>
      <c r="H802" s="48" t="str">
        <f aca="false">IF('RAW ASH'!D273="","",'RAW ASH'!D273)</f>
        <v>LCSW</v>
      </c>
      <c r="I802" s="48" t="n">
        <f aca="false">IF('RAW ASH'!E273="","",'RAW ASH'!E273)</f>
        <v>1.75</v>
      </c>
      <c r="J802" s="48" t="str">
        <f aca="false">IF('RAW ASH'!F273="","",'RAW ASH'!F273)</f>
        <v/>
      </c>
      <c r="K802" s="50" t="str">
        <f aca="false">IF('RAW ASH'!G273="","",'RAW ASH'!G273)</f>
        <v/>
      </c>
      <c r="L802" s="50" t="str">
        <f aca="false">IF('RAW ASH'!H273="","",'RAW ASH'!H273)</f>
        <v/>
      </c>
      <c r="M802" s="48" t="str">
        <f aca="false">IF('RAW ASH'!I273="","",'RAW ASH'!I273)</f>
        <v/>
      </c>
    </row>
    <row r="803" customFormat="false" ht="15" hidden="false" customHeight="false" outlineLevel="0" collapsed="false">
      <c r="A803" s="1" t="s">
        <v>1947</v>
      </c>
      <c r="B803" s="1" t="s">
        <v>155</v>
      </c>
      <c r="C803" s="1" t="s">
        <v>1147</v>
      </c>
      <c r="D803" s="1" t="n">
        <v>274</v>
      </c>
      <c r="E803" s="48" t="str">
        <f aca="false">IF('RAW ASH'!B274="","",'RAW ASH'!B274)</f>
        <v>Health Careers Camp</v>
      </c>
      <c r="F803" s="48" t="str">
        <f aca="false">IF('RAW ASH'!C274="","",'RAW ASH'!C274)</f>
        <v>HPE</v>
      </c>
      <c r="G803" s="49" t="str">
        <f aca="false">IF('RAW ASH'!A274="","",'RAW ASH'!A274)</f>
        <v>06/11/2026</v>
      </c>
      <c r="H803" s="48" t="str">
        <f aca="false">IF('RAW ASH'!D274="","",'RAW ASH'!D274)</f>
        <v>Nurse Educator </v>
      </c>
      <c r="I803" s="48" t="n">
        <f aca="false">IF('RAW ASH'!E274="","",'RAW ASH'!E274)</f>
        <v>7.75</v>
      </c>
      <c r="J803" s="48" t="n">
        <f aca="false">IF('RAW ASH'!F274="","",'RAW ASH'!F274)</f>
        <v>25</v>
      </c>
      <c r="K803" s="50" t="n">
        <f aca="false">IF('RAW ASH'!G274="","",'RAW ASH'!G274)</f>
        <v>1185</v>
      </c>
      <c r="L803" s="50" t="str">
        <f aca="false">IF('RAW ASH'!H274="","",'RAW ASH'!H274)</f>
        <v/>
      </c>
      <c r="M803" s="48" t="str">
        <f aca="false">IF('RAW ASH'!I274="","",'RAW ASH'!I274)</f>
        <v/>
      </c>
    </row>
    <row r="804" customFormat="false" ht="15" hidden="false" customHeight="false" outlineLevel="0" collapsed="false">
      <c r="A804" s="1" t="s">
        <v>1948</v>
      </c>
      <c r="B804" s="1" t="s">
        <v>155</v>
      </c>
      <c r="C804" s="1" t="s">
        <v>1147</v>
      </c>
      <c r="D804" s="1" t="n">
        <v>275</v>
      </c>
      <c r="E804" s="48" t="str">
        <f aca="false">IF('RAW ASH'!B275="","",'RAW ASH'!B275)</f>
        <v>Health Careers Camp</v>
      </c>
      <c r="F804" s="48" t="str">
        <f aca="false">IF('RAW ASH'!C275="","",'RAW ASH'!C275)</f>
        <v>HPE</v>
      </c>
      <c r="G804" s="49" t="str">
        <f aca="false">IF('RAW ASH'!A275="","",'RAW ASH'!A275)</f>
        <v>06/11/2026</v>
      </c>
      <c r="H804" s="48" t="str">
        <f aca="false">IF('RAW ASH'!D275="","",'RAW ASH'!D275)</f>
        <v>Volunteer Coordinator</v>
      </c>
      <c r="I804" s="48" t="n">
        <f aca="false">IF('RAW ASH'!E275="","",'RAW ASH'!E275)</f>
        <v>7.75</v>
      </c>
      <c r="J804" s="48" t="str">
        <f aca="false">IF('RAW ASH'!F275="","",'RAW ASH'!F275)</f>
        <v/>
      </c>
      <c r="K804" s="50" t="str">
        <f aca="false">IF('RAW ASH'!G275="","",'RAW ASH'!G275)</f>
        <v/>
      </c>
      <c r="L804" s="50" t="str">
        <f aca="false">IF('RAW ASH'!H275="","",'RAW ASH'!H275)</f>
        <v/>
      </c>
      <c r="M804" s="48" t="str">
        <f aca="false">IF('RAW ASH'!I275="","",'RAW ASH'!I275)</f>
        <v/>
      </c>
    </row>
    <row r="805" customFormat="false" ht="15" hidden="false" customHeight="false" outlineLevel="0" collapsed="false">
      <c r="A805" s="1" t="s">
        <v>1949</v>
      </c>
      <c r="B805" s="1" t="s">
        <v>155</v>
      </c>
      <c r="C805" s="1" t="s">
        <v>1147</v>
      </c>
      <c r="D805" s="1" t="n">
        <v>276</v>
      </c>
      <c r="E805" s="48" t="str">
        <f aca="false">IF('RAW ASH'!B276="","",'RAW ASH'!B276)</f>
        <v>Health Careers Camp</v>
      </c>
      <c r="F805" s="48" t="str">
        <f aca="false">IF('RAW ASH'!C276="","",'RAW ASH'!C276)</f>
        <v>HPE</v>
      </c>
      <c r="G805" s="49" t="str">
        <f aca="false">IF('RAW ASH'!A276="","",'RAW ASH'!A276)</f>
        <v>06/15/2026</v>
      </c>
      <c r="H805" s="48" t="str">
        <f aca="false">IF('RAW ASH'!D276="","",'RAW ASH'!D276)</f>
        <v>Clinical Nurse Educator</v>
      </c>
      <c r="I805" s="48" t="n">
        <f aca="false">IF('RAW ASH'!E276="","",'RAW ASH'!E276)</f>
        <v>7</v>
      </c>
      <c r="J805" s="48" t="n">
        <f aca="false">IF('RAW ASH'!F276="","",'RAW ASH'!F276)</f>
        <v>39</v>
      </c>
      <c r="K805" s="50" t="n">
        <f aca="false">IF('RAW ASH'!G276="","",'RAW ASH'!G276)</f>
        <v>930</v>
      </c>
      <c r="L805" s="50" t="str">
        <f aca="false">IF('RAW ASH'!H276="","",'RAW ASH'!H276)</f>
        <v/>
      </c>
      <c r="M805" s="48" t="str">
        <f aca="false">IF('RAW ASH'!I276="","",'RAW ASH'!I276)</f>
        <v/>
      </c>
    </row>
    <row r="806" customFormat="false" ht="15" hidden="false" customHeight="false" outlineLevel="0" collapsed="false">
      <c r="A806" s="1" t="s">
        <v>1950</v>
      </c>
      <c r="B806" s="1" t="s">
        <v>155</v>
      </c>
      <c r="C806" s="1" t="s">
        <v>1147</v>
      </c>
      <c r="D806" s="1" t="n">
        <v>277</v>
      </c>
      <c r="E806" s="48" t="str">
        <f aca="false">IF('RAW ASH'!B277="","",'RAW ASH'!B277)</f>
        <v>Health Careers Camp</v>
      </c>
      <c r="F806" s="48" t="str">
        <f aca="false">IF('RAW ASH'!C277="","",'RAW ASH'!C277)</f>
        <v>HPE</v>
      </c>
      <c r="G806" s="49" t="str">
        <f aca="false">IF('RAW ASH'!A277="","",'RAW ASH'!A277)</f>
        <v>06/15/2026</v>
      </c>
      <c r="H806" s="48" t="str">
        <f aca="false">IF('RAW ASH'!D277="","",'RAW ASH'!D277)</f>
        <v>Prog Coord</v>
      </c>
      <c r="I806" s="48" t="n">
        <f aca="false">IF('RAW ASH'!E277="","",'RAW ASH'!E277)</f>
        <v>7.25</v>
      </c>
      <c r="J806" s="48" t="str">
        <f aca="false">IF('RAW ASH'!F277="","",'RAW ASH'!F277)</f>
        <v/>
      </c>
      <c r="K806" s="50" t="str">
        <f aca="false">IF('RAW ASH'!G277="","",'RAW ASH'!G277)</f>
        <v/>
      </c>
      <c r="L806" s="50" t="str">
        <f aca="false">IF('RAW ASH'!H277="","",'RAW ASH'!H277)</f>
        <v/>
      </c>
      <c r="M806" s="48" t="str">
        <f aca="false">IF('RAW ASH'!I277="","",'RAW ASH'!I277)</f>
        <v/>
      </c>
    </row>
    <row r="807" customFormat="false" ht="15" hidden="false" customHeight="false" outlineLevel="0" collapsed="false">
      <c r="A807" s="1" t="s">
        <v>1951</v>
      </c>
      <c r="B807" s="1" t="s">
        <v>155</v>
      </c>
      <c r="C807" s="1" t="s">
        <v>1147</v>
      </c>
      <c r="D807" s="1" t="n">
        <v>278</v>
      </c>
      <c r="E807" s="48" t="str">
        <f aca="false">IF('RAW ASH'!B278="","",'RAW ASH'!B278)</f>
        <v>Health Careers Camp</v>
      </c>
      <c r="F807" s="48" t="str">
        <f aca="false">IF('RAW ASH'!C278="","",'RAW ASH'!C278)</f>
        <v>HPE</v>
      </c>
      <c r="G807" s="49" t="str">
        <f aca="false">IF('RAW ASH'!A278="","",'RAW ASH'!A278)</f>
        <v>06/17/2026</v>
      </c>
      <c r="H807" s="48" t="str">
        <f aca="false">IF('RAW ASH'!D278="","",'RAW ASH'!D278)</f>
        <v>Nurse Educator</v>
      </c>
      <c r="I807" s="48" t="n">
        <f aca="false">IF('RAW ASH'!E278="","",'RAW ASH'!E278)</f>
        <v>7.75</v>
      </c>
      <c r="J807" s="48" t="n">
        <f aca="false">IF('RAW ASH'!F278="","",'RAW ASH'!F278)</f>
        <v>28</v>
      </c>
      <c r="K807" s="50" t="n">
        <f aca="false">IF('RAW ASH'!G278="","",'RAW ASH'!G278)</f>
        <v>930</v>
      </c>
      <c r="L807" s="50" t="str">
        <f aca="false">IF('RAW ASH'!H278="","",'RAW ASH'!H278)</f>
        <v/>
      </c>
      <c r="M807" s="48" t="str">
        <f aca="false">IF('RAW ASH'!I278="","",'RAW ASH'!I278)</f>
        <v/>
      </c>
    </row>
    <row r="808" customFormat="false" ht="15" hidden="false" customHeight="false" outlineLevel="0" collapsed="false">
      <c r="A808" s="1" t="s">
        <v>1952</v>
      </c>
      <c r="B808" s="1" t="s">
        <v>155</v>
      </c>
      <c r="C808" s="1" t="s">
        <v>1147</v>
      </c>
      <c r="D808" s="1" t="n">
        <v>279</v>
      </c>
      <c r="E808" s="48" t="str">
        <f aca="false">IF('RAW ASH'!B279="","",'RAW ASH'!B279)</f>
        <v>Health Careers Camp</v>
      </c>
      <c r="F808" s="48" t="str">
        <f aca="false">IF('RAW ASH'!C279="","",'RAW ASH'!C279)</f>
        <v>HPE</v>
      </c>
      <c r="G808" s="49" t="str">
        <f aca="false">IF('RAW ASH'!A279="","",'RAW ASH'!A279)</f>
        <v>06/17/2026</v>
      </c>
      <c r="H808" s="48" t="str">
        <f aca="false">IF('RAW ASH'!D279="","",'RAW ASH'!D279)</f>
        <v>Volunteer Coordinator</v>
      </c>
      <c r="I808" s="48" t="n">
        <f aca="false">IF('RAW ASH'!E279="","",'RAW ASH'!E279)</f>
        <v>7.75</v>
      </c>
      <c r="J808" s="48" t="str">
        <f aca="false">IF('RAW ASH'!F279="","",'RAW ASH'!F279)</f>
        <v/>
      </c>
      <c r="K808" s="50" t="str">
        <f aca="false">IF('RAW ASH'!G279="","",'RAW ASH'!G279)</f>
        <v/>
      </c>
      <c r="L808" s="50" t="str">
        <f aca="false">IF('RAW ASH'!H279="","",'RAW ASH'!H279)</f>
        <v/>
      </c>
      <c r="M808" s="48" t="str">
        <f aca="false">IF('RAW ASH'!I279="","",'RAW ASH'!I279)</f>
        <v/>
      </c>
    </row>
    <row r="809" customFormat="false" ht="15" hidden="false" customHeight="false" outlineLevel="0" collapsed="false">
      <c r="A809" s="1" t="s">
        <v>1953</v>
      </c>
      <c r="B809" s="1" t="s">
        <v>155</v>
      </c>
      <c r="C809" s="1" t="s">
        <v>1147</v>
      </c>
      <c r="D809" s="1" t="n">
        <v>280</v>
      </c>
      <c r="E809" s="48" t="str">
        <f aca="false">IF('RAW ASH'!B280="","",'RAW ASH'!B280)</f>
        <v>MH First Aid</v>
      </c>
      <c r="F809" s="48" t="str">
        <f aca="false">IF('RAW ASH'!C280="","",'RAW ASH'!C280)</f>
        <v>Comm Hlth Ed</v>
      </c>
      <c r="G809" s="49" t="str">
        <f aca="false">IF('RAW ASH'!A280="","",'RAW ASH'!A280)</f>
        <v>06/18/2026</v>
      </c>
      <c r="H809" s="48" t="str">
        <f aca="false">IF('RAW ASH'!D280="","",'RAW ASH'!D280)</f>
        <v>Community Educator</v>
      </c>
      <c r="I809" s="48" t="n">
        <f aca="false">IF('RAW ASH'!E280="","",'RAW ASH'!E280)</f>
        <v>8</v>
      </c>
      <c r="J809" s="48" t="str">
        <f aca="false">IF('RAW ASH'!F280="","",'RAW ASH'!F280)</f>
        <v/>
      </c>
      <c r="K809" s="50" t="str">
        <f aca="false">IF('RAW ASH'!G280="","",'RAW ASH'!G280)</f>
        <v/>
      </c>
      <c r="L809" s="50" t="str">
        <f aca="false">IF('RAW ASH'!H280="","",'RAW ASH'!H280)</f>
        <v/>
      </c>
      <c r="M809" s="48" t="str">
        <f aca="false">IF('RAW ASH'!I280="","",'RAW ASH'!I280)</f>
        <v/>
      </c>
    </row>
    <row r="810" customFormat="false" ht="15" hidden="false" customHeight="false" outlineLevel="0" collapsed="false">
      <c r="A810" s="1" t="s">
        <v>1954</v>
      </c>
      <c r="B810" s="1" t="s">
        <v>155</v>
      </c>
      <c r="C810" s="1" t="s">
        <v>1147</v>
      </c>
      <c r="D810" s="1" t="n">
        <v>281</v>
      </c>
      <c r="E810" s="48" t="str">
        <f aca="false">IF('RAW ASH'!B281="","",'RAW ASH'!B281)</f>
        <v>MH First Aid</v>
      </c>
      <c r="F810" s="48" t="str">
        <f aca="false">IF('RAW ASH'!C281="","",'RAW ASH'!C281)</f>
        <v>Comm Hlth Ed</v>
      </c>
      <c r="G810" s="49" t="str">
        <f aca="false">IF('RAW ASH'!A281="","",'RAW ASH'!A281)</f>
        <v>06/18/2026</v>
      </c>
      <c r="H810" s="48" t="str">
        <f aca="false">IF('RAW ASH'!D281="","",'RAW ASH'!D281)</f>
        <v>LCSW</v>
      </c>
      <c r="I810" s="48" t="n">
        <f aca="false">IF('RAW ASH'!E281="","",'RAW ASH'!E281)</f>
        <v>8</v>
      </c>
      <c r="J810" s="48" t="n">
        <f aca="false">IF('RAW ASH'!F281="","",'RAW ASH'!F281)</f>
        <v>31</v>
      </c>
      <c r="K810" s="50" t="n">
        <f aca="false">IF('RAW ASH'!G281="","",'RAW ASH'!G281)</f>
        <v>445</v>
      </c>
      <c r="L810" s="50" t="str">
        <f aca="false">IF('RAW ASH'!H281="","",'RAW ASH'!H281)</f>
        <v/>
      </c>
      <c r="M810" s="48" t="str">
        <f aca="false">IF('RAW ASH'!I281="","",'RAW ASH'!I281)</f>
        <v/>
      </c>
    </row>
    <row r="811" customFormat="false" ht="15" hidden="false" customHeight="false" outlineLevel="0" collapsed="false">
      <c r="A811" s="1" t="s">
        <v>1955</v>
      </c>
      <c r="B811" s="1" t="s">
        <v>155</v>
      </c>
      <c r="C811" s="1" t="s">
        <v>1147</v>
      </c>
      <c r="D811" s="1" t="n">
        <v>282</v>
      </c>
      <c r="E811" s="48" t="str">
        <f aca="false">IF('RAW ASH'!B282="","",'RAW ASH'!B282)</f>
        <v>DPP Classes</v>
      </c>
      <c r="F811" s="48" t="str">
        <f aca="false">IF('RAW ASH'!C282="","",'RAW ASH'!C282)</f>
        <v>Comm Hlth Ed</v>
      </c>
      <c r="G811" s="49" t="str">
        <f aca="false">IF('RAW ASH'!A282="","",'RAW ASH'!A282)</f>
        <v>06/23/2026</v>
      </c>
      <c r="H811" s="48" t="str">
        <f aca="false">IF('RAW ASH'!D282="","",'RAW ASH'!D282)</f>
        <v>Health Ed</v>
      </c>
      <c r="I811" s="48" t="n">
        <f aca="false">IF('RAW ASH'!E282="","",'RAW ASH'!E282)</f>
        <v>2.5</v>
      </c>
      <c r="J811" s="48" t="n">
        <f aca="false">IF('RAW ASH'!F282="","",'RAW ASH'!F282)</f>
        <v>17</v>
      </c>
      <c r="K811" s="50" t="n">
        <f aca="false">IF('RAW ASH'!G282="","",'RAW ASH'!G282)</f>
        <v>65</v>
      </c>
      <c r="L811" s="50" t="str">
        <f aca="false">IF('RAW ASH'!H282="","",'RAW ASH'!H282)</f>
        <v/>
      </c>
      <c r="M811" s="48" t="str">
        <f aca="false">IF('RAW ASH'!I282="","",'RAW ASH'!I282)</f>
        <v/>
      </c>
    </row>
    <row r="812" customFormat="false" ht="15" hidden="false" customHeight="false" outlineLevel="0" collapsed="false">
      <c r="A812" s="1" t="s">
        <v>1956</v>
      </c>
      <c r="B812" s="1" t="s">
        <v>155</v>
      </c>
      <c r="C812" s="1" t="s">
        <v>1147</v>
      </c>
      <c r="D812" s="1" t="n">
        <v>283</v>
      </c>
      <c r="E812" s="48" t="str">
        <f aca="false">IF('RAW ASH'!B283="","",'RAW ASH'!B283)</f>
        <v>DPP Classes</v>
      </c>
      <c r="F812" s="48" t="str">
        <f aca="false">IF('RAW ASH'!C283="","",'RAW ASH'!C283)</f>
        <v>Comm Hlth Ed</v>
      </c>
      <c r="G812" s="49" t="str">
        <f aca="false">IF('RAW ASH'!A283="","",'RAW ASH'!A283)</f>
        <v>06/23/2026</v>
      </c>
      <c r="H812" s="48" t="str">
        <f aca="false">IF('RAW ASH'!D283="","",'RAW ASH'!D283)</f>
        <v>RD</v>
      </c>
      <c r="I812" s="48" t="n">
        <f aca="false">IF('RAW ASH'!E283="","",'RAW ASH'!E283)</f>
        <v>1.5</v>
      </c>
      <c r="J812" s="48" t="str">
        <f aca="false">IF('RAW ASH'!F283="","",'RAW ASH'!F283)</f>
        <v/>
      </c>
      <c r="K812" s="50" t="str">
        <f aca="false">IF('RAW ASH'!G283="","",'RAW ASH'!G283)</f>
        <v/>
      </c>
      <c r="L812" s="50" t="str">
        <f aca="false">IF('RAW ASH'!H283="","",'RAW ASH'!H283)</f>
        <v/>
      </c>
      <c r="M812" s="48" t="str">
        <f aca="false">IF('RAW ASH'!I283="","",'RAW ASH'!I283)</f>
        <v/>
      </c>
    </row>
    <row r="813" customFormat="false" ht="15" hidden="false" customHeight="false" outlineLevel="0" collapsed="false">
      <c r="A813" s="1" t="s">
        <v>1957</v>
      </c>
      <c r="B813" s="1" t="s">
        <v>155</v>
      </c>
      <c r="C813" s="1" t="s">
        <v>1147</v>
      </c>
      <c r="D813" s="1" t="n">
        <v>284</v>
      </c>
      <c r="E813" s="48" t="str">
        <f aca="false">IF('RAW ASH'!B284="","",'RAW ASH'!B284)</f>
        <v>DPP Classes</v>
      </c>
      <c r="F813" s="48" t="str">
        <f aca="false">IF('RAW ASH'!C284="","",'RAW ASH'!C284)</f>
        <v>Comm Hlth Ed</v>
      </c>
      <c r="G813" s="49" t="str">
        <f aca="false">IF('RAW ASH'!A284="","",'RAW ASH'!A284)</f>
        <v>06/25/2026</v>
      </c>
      <c r="H813" s="48" t="str">
        <f aca="false">IF('RAW ASH'!D284="","",'RAW ASH'!D284)</f>
        <v>CHES</v>
      </c>
      <c r="I813" s="48" t="n">
        <f aca="false">IF('RAW ASH'!E284="","",'RAW ASH'!E284)</f>
        <v>2.75</v>
      </c>
      <c r="J813" s="48" t="n">
        <f aca="false">IF('RAW ASH'!F284="","",'RAW ASH'!F284)</f>
        <v>13</v>
      </c>
      <c r="K813" s="50" t="n">
        <f aca="false">IF('RAW ASH'!G284="","",'RAW ASH'!G284)</f>
        <v>85</v>
      </c>
      <c r="L813" s="50" t="str">
        <f aca="false">IF('RAW ASH'!H284="","",'RAW ASH'!H284)</f>
        <v/>
      </c>
      <c r="M813" s="48" t="str">
        <f aca="false">IF('RAW ASH'!I284="","",'RAW ASH'!I284)</f>
        <v/>
      </c>
    </row>
    <row r="814" customFormat="false" ht="15" hidden="false" customHeight="false" outlineLevel="0" collapsed="false">
      <c r="A814" s="1" t="s">
        <v>1958</v>
      </c>
      <c r="B814" s="1" t="s">
        <v>155</v>
      </c>
      <c r="C814" s="1" t="s">
        <v>1147</v>
      </c>
      <c r="D814" s="1" t="n">
        <v>285</v>
      </c>
      <c r="E814" s="48" t="str">
        <f aca="false">IF('RAW ASH'!B285="","",'RAW ASH'!B285)</f>
        <v>DPP Classes</v>
      </c>
      <c r="F814" s="48" t="str">
        <f aca="false">IF('RAW ASH'!C285="","",'RAW ASH'!C285)</f>
        <v>Comm Hlth Ed</v>
      </c>
      <c r="G814" s="49" t="str">
        <f aca="false">IF('RAW ASH'!A285="","",'RAW ASH'!A285)</f>
        <v>06/25/2026</v>
      </c>
      <c r="H814" s="48" t="str">
        <f aca="false">IF('RAW ASH'!D285="","",'RAW ASH'!D285)</f>
        <v>Nutritionist</v>
      </c>
      <c r="I814" s="48" t="str">
        <f aca="false">IF('RAW ASH'!E285="","",'RAW ASH'!E285)</f>
        <v>1.5 hrs</v>
      </c>
      <c r="J814" s="48" t="str">
        <f aca="false">IF('RAW ASH'!F285="","",'RAW ASH'!F285)</f>
        <v/>
      </c>
      <c r="K814" s="50" t="str">
        <f aca="false">IF('RAW ASH'!G285="","",'RAW ASH'!G285)</f>
        <v/>
      </c>
      <c r="L814" s="50" t="str">
        <f aca="false">IF('RAW ASH'!H285="","",'RAW ASH'!H285)</f>
        <v/>
      </c>
      <c r="M814" s="48" t="str">
        <f aca="false">IF('RAW ASH'!I285="","",'RAW ASH'!I285)</f>
        <v/>
      </c>
    </row>
    <row r="815" customFormat="false" ht="15" hidden="false" customHeight="false" outlineLevel="0" collapsed="false">
      <c r="A815" s="1" t="s">
        <v>1959</v>
      </c>
      <c r="B815" s="1" t="s">
        <v>155</v>
      </c>
      <c r="C815" s="1" t="s">
        <v>1147</v>
      </c>
      <c r="D815" s="1" t="n">
        <v>286</v>
      </c>
      <c r="E815" s="48" t="str">
        <f aca="false">IF('RAW ASH'!B286="","",'RAW ASH'!B286)</f>
        <v>DPP Classes</v>
      </c>
      <c r="F815" s="48" t="str">
        <f aca="false">IF('RAW ASH'!C286="","",'RAW ASH'!C286)</f>
        <v>Comm Hlth Ed</v>
      </c>
      <c r="G815" s="49" t="str">
        <f aca="false">IF('RAW ASH'!A286="","",'RAW ASH'!A286)</f>
        <v>06/27/2026</v>
      </c>
      <c r="H815" s="48" t="str">
        <f aca="false">IF('RAW ASH'!D286="","",'RAW ASH'!D286)</f>
        <v> CHES</v>
      </c>
      <c r="I815" s="48" t="n">
        <f aca="false">IF('RAW ASH'!E286="","",'RAW ASH'!E286)</f>
        <v>2.5</v>
      </c>
      <c r="J815" s="48" t="n">
        <f aca="false">IF('RAW ASH'!F286="","",'RAW ASH'!F286)</f>
        <v>17</v>
      </c>
      <c r="K815" s="50" t="n">
        <f aca="false">IF('RAW ASH'!G286="","",'RAW ASH'!G286)</f>
        <v>150</v>
      </c>
      <c r="L815" s="50" t="str">
        <f aca="false">IF('RAW ASH'!H286="","",'RAW ASH'!H286)</f>
        <v/>
      </c>
      <c r="M815" s="48" t="str">
        <f aca="false">IF('RAW ASH'!I286="","",'RAW ASH'!I286)</f>
        <v/>
      </c>
    </row>
    <row r="816" customFormat="false" ht="15" hidden="false" customHeight="false" outlineLevel="0" collapsed="false">
      <c r="A816" s="1" t="s">
        <v>1960</v>
      </c>
      <c r="B816" s="1" t="s">
        <v>155</v>
      </c>
      <c r="C816" s="1" t="s">
        <v>1147</v>
      </c>
      <c r="D816" s="1" t="n">
        <v>287</v>
      </c>
      <c r="E816" s="48" t="str">
        <f aca="false">IF('RAW ASH'!B287="","",'RAW ASH'!B287)</f>
        <v>DPP Classes</v>
      </c>
      <c r="F816" s="48" t="str">
        <f aca="false">IF('RAW ASH'!C287="","",'RAW ASH'!C287)</f>
        <v>Comm Hlth Ed</v>
      </c>
      <c r="G816" s="49" t="str">
        <f aca="false">IF('RAW ASH'!A287="","",'RAW ASH'!A287)</f>
        <v>06/27/2026</v>
      </c>
      <c r="H816" s="48" t="str">
        <f aca="false">IF('RAW ASH'!D287="","",'RAW ASH'!D287)</f>
        <v>RD </v>
      </c>
      <c r="I816" s="48" t="n">
        <f aca="false">IF('RAW ASH'!E287="","",'RAW ASH'!E287)</f>
        <v>1.75</v>
      </c>
      <c r="J816" s="48" t="str">
        <f aca="false">IF('RAW ASH'!F287="","",'RAW ASH'!F287)</f>
        <v/>
      </c>
      <c r="K816" s="50" t="str">
        <f aca="false">IF('RAW ASH'!G287="","",'RAW ASH'!G287)</f>
        <v/>
      </c>
      <c r="L816" s="50" t="str">
        <f aca="false">IF('RAW ASH'!H287="","",'RAW ASH'!H287)</f>
        <v/>
      </c>
      <c r="M816" s="48" t="str">
        <f aca="false">IF('RAW ASH'!I287="","",'RAW ASH'!I287)</f>
        <v/>
      </c>
    </row>
    <row r="817" customFormat="false" ht="15" hidden="false" customHeight="false" outlineLevel="0" collapsed="false">
      <c r="A817" s="1" t="s">
        <v>1961</v>
      </c>
      <c r="B817" s="1" t="s">
        <v>155</v>
      </c>
      <c r="C817" s="1" t="s">
        <v>1147</v>
      </c>
      <c r="D817" s="1" t="n">
        <v>288</v>
      </c>
      <c r="E817" s="48" t="str">
        <f aca="false">IF('RAW ASH'!B288="","",'RAW ASH'!B288)</f>
        <v>Mobile Screening Unit</v>
      </c>
      <c r="F817" s="48" t="str">
        <f aca="false">IF('RAW ASH'!C288="","",'RAW ASH'!C288)</f>
        <v>Clinical Svcs</v>
      </c>
      <c r="G817" s="49" t="str">
        <f aca="false">IF('RAW ASH'!A288="","",'RAW ASH'!A288)</f>
        <v>06/30/2026</v>
      </c>
      <c r="H817" s="48" t="str">
        <f aca="false">IF('RAW ASH'!D288="","",'RAW ASH'!D288)</f>
        <v>Community Health Worker </v>
      </c>
      <c r="I817" s="48" t="str">
        <f aca="false">IF('RAW ASH'!E288="","",'RAW ASH'!E288)</f>
        <v>53 hrs</v>
      </c>
      <c r="J817" s="48" t="str">
        <f aca="false">IF('RAW ASH'!F288="","",'RAW ASH'!F288)</f>
        <v/>
      </c>
      <c r="K817" s="50" t="str">
        <f aca="false">IF('RAW ASH'!G288="","",'RAW ASH'!G288)</f>
        <v/>
      </c>
      <c r="L817" s="50" t="str">
        <f aca="false">IF('RAW ASH'!H288="","",'RAW ASH'!H288)</f>
        <v/>
      </c>
      <c r="M817" s="48" t="str">
        <f aca="false">IF('RAW ASH'!I288="","",'RAW ASH'!I288)</f>
        <v/>
      </c>
    </row>
    <row r="818" customFormat="false" ht="15" hidden="false" customHeight="false" outlineLevel="0" collapsed="false">
      <c r="A818" s="1" t="s">
        <v>1962</v>
      </c>
      <c r="B818" s="1" t="s">
        <v>155</v>
      </c>
      <c r="C818" s="1" t="s">
        <v>1147</v>
      </c>
      <c r="D818" s="1" t="n">
        <v>289</v>
      </c>
      <c r="E818" s="48" t="str">
        <f aca="false">IF('RAW ASH'!B289="","",'RAW ASH'!B289)</f>
        <v>Mobile Screening Unit</v>
      </c>
      <c r="F818" s="48" t="str">
        <f aca="false">IF('RAW ASH'!C289="","",'RAW ASH'!C289)</f>
        <v>Clinical Svcs</v>
      </c>
      <c r="G818" s="49" t="str">
        <f aca="false">IF('RAW ASH'!A289="","",'RAW ASH'!A289)</f>
        <v>06/30/2026</v>
      </c>
      <c r="H818" s="48" t="str">
        <f aca="false">IF('RAW ASH'!D289="","",'RAW ASH'!D289)</f>
        <v>CMA</v>
      </c>
      <c r="I818" s="48" t="n">
        <f aca="false">IF('RAW ASH'!E289="","",'RAW ASH'!E289)</f>
        <v>91.75</v>
      </c>
      <c r="J818" s="48" t="str">
        <f aca="false">IF('RAW ASH'!F289="","",'RAW ASH'!F289)</f>
        <v/>
      </c>
      <c r="K818" s="50" t="str">
        <f aca="false">IF('RAW ASH'!G289="","",'RAW ASH'!G289)</f>
        <v/>
      </c>
      <c r="L818" s="50" t="str">
        <f aca="false">IF('RAW ASH'!H289="","",'RAW ASH'!H289)</f>
        <v/>
      </c>
      <c r="M818" s="48" t="str">
        <f aca="false">IF('RAW ASH'!I289="","",'RAW ASH'!I289)</f>
        <v/>
      </c>
    </row>
    <row r="819" customFormat="false" ht="15" hidden="false" customHeight="false" outlineLevel="0" collapsed="false">
      <c r="A819" s="1" t="s">
        <v>1963</v>
      </c>
      <c r="B819" s="1" t="s">
        <v>155</v>
      </c>
      <c r="C819" s="1" t="s">
        <v>1147</v>
      </c>
      <c r="D819" s="1" t="n">
        <v>290</v>
      </c>
      <c r="E819" s="48" t="str">
        <f aca="false">IF('RAW ASH'!B290="","",'RAW ASH'!B290)</f>
        <v>Mobile Screening Unit</v>
      </c>
      <c r="F819" s="48" t="str">
        <f aca="false">IF('RAW ASH'!C290="","",'RAW ASH'!C290)</f>
        <v>Clinical Svcs</v>
      </c>
      <c r="G819" s="49" t="str">
        <f aca="false">IF('RAW ASH'!A290="","",'RAW ASH'!A290)</f>
        <v>06/30/2026</v>
      </c>
      <c r="H819" s="48" t="str">
        <f aca="false">IF('RAW ASH'!D290="","",'RAW ASH'!D290)</f>
        <v>RN - Outreach</v>
      </c>
      <c r="I819" s="48" t="n">
        <f aca="false">IF('RAW ASH'!E290="","",'RAW ASH'!E290)</f>
        <v>79.75</v>
      </c>
      <c r="J819" s="48" t="n">
        <f aca="false">IF('RAW ASH'!F290="","",'RAW ASH'!F290)</f>
        <v>204</v>
      </c>
      <c r="K819" s="50" t="n">
        <f aca="false">IF('RAW ASH'!G290="","",'RAW ASH'!G290)</f>
        <v>6885</v>
      </c>
      <c r="L819" s="50" t="str">
        <f aca="false">IF('RAW ASH'!H290="","",'RAW ASH'!H290)</f>
        <v/>
      </c>
      <c r="M819" s="48" t="str">
        <f aca="false">IF('RAW ASH'!I290="","",'RAW ASH'!I290)</f>
        <v/>
      </c>
    </row>
    <row r="820" customFormat="false" ht="15" hidden="false" customHeight="false" outlineLevel="0" collapsed="false">
      <c r="A820" s="1" t="s">
        <v>1964</v>
      </c>
      <c r="B820" s="1" t="s">
        <v>155</v>
      </c>
      <c r="C820" s="1" t="s">
        <v>1147</v>
      </c>
      <c r="D820" s="1" t="n">
        <v>291</v>
      </c>
      <c r="E820" s="48" t="str">
        <f aca="false">IF('RAW ASH'!B291="","",'RAW ASH'!B291)</f>
        <v>CHW Outreach</v>
      </c>
      <c r="F820" s="48" t="str">
        <f aca="false">IF('RAW ASH'!C291="","",'RAW ASH'!C291)</f>
        <v>Support Svcs</v>
      </c>
      <c r="G820" s="49" t="str">
        <f aca="false">IF('RAW ASH'!A291="","",'RAW ASH'!A291)</f>
        <v>06/30/2026</v>
      </c>
      <c r="H820" s="48" t="str">
        <f aca="false">IF('RAW ASH'!D291="","",'RAW ASH'!D291)</f>
        <v>CHW II</v>
      </c>
      <c r="I820" s="48" t="n">
        <f aca="false">IF('RAW ASH'!E291="","",'RAW ASH'!E291)</f>
        <v>350.25</v>
      </c>
      <c r="J820" s="48" t="n">
        <f aca="false">IF('RAW ASH'!F291="","",'RAW ASH'!F291)</f>
        <v>365</v>
      </c>
      <c r="K820" s="50" t="n">
        <f aca="false">IF('RAW ASH'!G291="","",'RAW ASH'!G291)</f>
        <v>960</v>
      </c>
      <c r="L820" s="50" t="n">
        <f aca="false">IF('RAW ASH'!H291="","",'RAW ASH'!H291)</f>
        <v>7500</v>
      </c>
      <c r="M820" s="48" t="str">
        <f aca="false">IF('RAW ASH'!I291="","",'RAW ASH'!I291)</f>
        <v/>
      </c>
    </row>
    <row r="821" customFormat="false" ht="15" hidden="false" customHeight="false" outlineLevel="0" collapsed="false">
      <c r="A821" s="1" t="s">
        <v>1965</v>
      </c>
      <c r="B821" s="1" t="s">
        <v>155</v>
      </c>
      <c r="C821" s="1" t="s">
        <v>1147</v>
      </c>
      <c r="D821" s="1" t="n">
        <v>292</v>
      </c>
      <c r="E821" s="48" t="str">
        <f aca="false">IF('RAW ASH'!B292="","",'RAW ASH'!B292)</f>
        <v>CHW Outreach</v>
      </c>
      <c r="F821" s="48" t="str">
        <f aca="false">IF('RAW ASH'!C292="","",'RAW ASH'!C292)</f>
        <v>Support Svcs</v>
      </c>
      <c r="G821" s="49" t="str">
        <f aca="false">IF('RAW ASH'!A292="","",'RAW ASH'!A292)</f>
        <v>06/30/2026</v>
      </c>
      <c r="H821" s="48" t="str">
        <f aca="false">IF('RAW ASH'!D292="","",'RAW ASH'!D292)</f>
        <v>Financial Navigator</v>
      </c>
      <c r="I821" s="48" t="n">
        <f aca="false">IF('RAW ASH'!E292="","",'RAW ASH'!E292)</f>
        <v>158.5</v>
      </c>
      <c r="J821" s="48" t="str">
        <f aca="false">IF('RAW ASH'!F292="","",'RAW ASH'!F292)</f>
        <v/>
      </c>
      <c r="K821" s="50" t="str">
        <f aca="false">IF('RAW ASH'!G292="","",'RAW ASH'!G292)</f>
        <v/>
      </c>
      <c r="L821" s="50" t="str">
        <f aca="false">IF('RAW ASH'!H292="","",'RAW ASH'!H292)</f>
        <v/>
      </c>
      <c r="M821" s="48" t="str">
        <f aca="false">IF('RAW ASH'!I292="","",'RAW ASH'!I292)</f>
        <v/>
      </c>
    </row>
    <row r="822" customFormat="false" ht="15" hidden="false" customHeight="false" outlineLevel="0" collapsed="false">
      <c r="A822" s="1" t="s">
        <v>1966</v>
      </c>
      <c r="B822" s="1" t="s">
        <v>155</v>
      </c>
      <c r="C822" s="1" t="s">
        <v>1147</v>
      </c>
      <c r="D822" s="1" t="n">
        <v>293</v>
      </c>
      <c r="E822" s="48" t="str">
        <f aca="false">IF('RAW ASH'!B293="","",'RAW ASH'!B293)</f>
        <v>Produce Rx</v>
      </c>
      <c r="F822" s="48" t="str">
        <f aca="false">IF('RAW ASH'!C293="","",'RAW ASH'!C293)</f>
        <v>Support Svcs</v>
      </c>
      <c r="G822" s="49" t="str">
        <f aca="false">IF('RAW ASH'!A293="","",'RAW ASH'!A293)</f>
        <v>06/30/2026</v>
      </c>
      <c r="H822" s="48" t="str">
        <f aca="false">IF('RAW ASH'!D293="","",'RAW ASH'!D293)</f>
        <v>outreach worker</v>
      </c>
      <c r="I822" s="48" t="n">
        <f aca="false">IF('RAW ASH'!E293="","",'RAW ASH'!E293)</f>
        <v>67</v>
      </c>
      <c r="J822" s="48" t="str">
        <f aca="false">IF('RAW ASH'!F293="","",'RAW ASH'!F293)</f>
        <v/>
      </c>
      <c r="K822" s="50" t="str">
        <f aca="false">IF('RAW ASH'!G293="","",'RAW ASH'!G293)</f>
        <v/>
      </c>
      <c r="L822" s="50" t="str">
        <f aca="false">IF('RAW ASH'!H293="","",'RAW ASH'!H293)</f>
        <v/>
      </c>
      <c r="M822" s="48" t="str">
        <f aca="false">IF('RAW ASH'!I293="","",'RAW ASH'!I293)</f>
        <v/>
      </c>
    </row>
    <row r="823" customFormat="false" ht="15" hidden="false" customHeight="false" outlineLevel="0" collapsed="false">
      <c r="A823" s="1" t="s">
        <v>1967</v>
      </c>
      <c r="B823" s="1" t="s">
        <v>155</v>
      </c>
      <c r="C823" s="1" t="s">
        <v>1147</v>
      </c>
      <c r="D823" s="1" t="n">
        <v>294</v>
      </c>
      <c r="E823" s="48" t="str">
        <f aca="false">IF('RAW ASH'!B294="","",'RAW ASH'!B294)</f>
        <v>Produce Rx</v>
      </c>
      <c r="F823" s="48" t="str">
        <f aca="false">IF('RAW ASH'!C294="","",'RAW ASH'!C294)</f>
        <v>Support Svcs</v>
      </c>
      <c r="G823" s="49" t="str">
        <f aca="false">IF('RAW ASH'!A294="","",'RAW ASH'!A294)</f>
        <v>06/30/2026</v>
      </c>
      <c r="H823" s="48" t="str">
        <f aca="false">IF('RAW ASH'!D294="","",'RAW ASH'!D294)</f>
        <v>RD</v>
      </c>
      <c r="I823" s="48" t="n">
        <f aca="false">IF('RAW ASH'!E294="","",'RAW ASH'!E294)</f>
        <v>29.25</v>
      </c>
      <c r="J823" s="48" t="n">
        <f aca="false">IF('RAW ASH'!F294="","",'RAW ASH'!F294)</f>
        <v>101</v>
      </c>
      <c r="K823" s="50" t="n">
        <f aca="false">IF('RAW ASH'!G294="","",'RAW ASH'!G294)</f>
        <v>15165</v>
      </c>
      <c r="L823" s="50" t="n">
        <f aca="false">IF('RAW ASH'!H294="","",'RAW ASH'!H294)</f>
        <v>5895</v>
      </c>
      <c r="M823" s="48" t="str">
        <f aca="false">IF('RAW ASH'!I294="","",'RAW ASH'!I294)</f>
        <v/>
      </c>
    </row>
    <row r="824" customFormat="false" ht="15" hidden="false" customHeight="false" outlineLevel="0" collapsed="false">
      <c r="A824" s="1" t="s">
        <v>1968</v>
      </c>
      <c r="B824" s="1" t="s">
        <v>155</v>
      </c>
      <c r="C824" s="1" t="s">
        <v>1147</v>
      </c>
      <c r="D824" s="1" t="n">
        <v>295</v>
      </c>
      <c r="E824" s="48" t="str">
        <f aca="false">IF('RAW ASH'!B295="","",'RAW ASH'!B295)</f>
        <v>CB Program Admin</v>
      </c>
      <c r="F824" s="48" t="str">
        <f aca="false">IF('RAW ASH'!C295="","",'RAW ASH'!C295)</f>
        <v>CB Admin</v>
      </c>
      <c r="G824" s="49" t="str">
        <f aca="false">IF('RAW ASH'!A295="","",'RAW ASH'!A295)</f>
        <v>06/30/2026</v>
      </c>
      <c r="H824" s="48" t="str">
        <f aca="false">IF('RAW ASH'!D295="","",'RAW ASH'!D295)</f>
        <v>Secretary</v>
      </c>
      <c r="I824" s="48" t="n">
        <f aca="false">IF('RAW ASH'!E295="","",'RAW ASH'!E295)</f>
        <v>40.25</v>
      </c>
      <c r="J824" s="48" t="str">
        <f aca="false">IF('RAW ASH'!F295="","",'RAW ASH'!F295)</f>
        <v/>
      </c>
      <c r="K824" s="50" t="str">
        <f aca="false">IF('RAW ASH'!G295="","",'RAW ASH'!G295)</f>
        <v/>
      </c>
      <c r="L824" s="50" t="str">
        <f aca="false">IF('RAW ASH'!H295="","",'RAW ASH'!H295)</f>
        <v/>
      </c>
      <c r="M824" s="48" t="str">
        <f aca="false">IF('RAW ASH'!I295="","",'RAW ASH'!I295)</f>
        <v/>
      </c>
    </row>
    <row r="825" customFormat="false" ht="15" hidden="false" customHeight="false" outlineLevel="0" collapsed="false">
      <c r="A825" s="1" t="s">
        <v>1969</v>
      </c>
      <c r="B825" s="1" t="s">
        <v>155</v>
      </c>
      <c r="C825" s="1" t="s">
        <v>1147</v>
      </c>
      <c r="D825" s="1" t="n">
        <v>296</v>
      </c>
      <c r="E825" s="48" t="str">
        <f aca="false">IF('RAW ASH'!B296="","",'RAW ASH'!B296)</f>
        <v>CB Program Admin</v>
      </c>
      <c r="F825" s="48" t="str">
        <f aca="false">IF('RAW ASH'!C296="","",'RAW ASH'!C296)</f>
        <v>CB Admin</v>
      </c>
      <c r="G825" s="49" t="str">
        <f aca="false">IF('RAW ASH'!A296="","",'RAW ASH'!A296)</f>
        <v>06/30/2026</v>
      </c>
      <c r="H825" s="48" t="str">
        <f aca="false">IF('RAW ASH'!D296="","",'RAW ASH'!D296)</f>
        <v>Community Health Manager</v>
      </c>
      <c r="I825" s="48" t="str">
        <f aca="false">IF('RAW ASH'!E296="","",'RAW ASH'!E296)</f>
        <v>65.75 hrs</v>
      </c>
      <c r="J825" s="48" t="str">
        <f aca="false">IF('RAW ASH'!F296="","",'RAW ASH'!F296)</f>
        <v/>
      </c>
      <c r="K825" s="50" t="n">
        <f aca="false">IF('RAW ASH'!G296="","",'RAW ASH'!G296)</f>
        <v>420</v>
      </c>
      <c r="L825" s="50" t="str">
        <f aca="false">IF('RAW ASH'!H296="","",'RAW ASH'!H296)</f>
        <v/>
      </c>
      <c r="M825" s="48" t="str">
        <f aca="false">IF('RAW ASH'!I296="","",'RAW ASH'!I296)</f>
        <v/>
      </c>
    </row>
    <row r="826" customFormat="false" ht="15" hidden="false" customHeight="false" outlineLevel="0" collapsed="false">
      <c r="A826" s="1" t="s">
        <v>1970</v>
      </c>
      <c r="B826" s="1" t="s">
        <v>155</v>
      </c>
      <c r="C826" s="1" t="s">
        <v>1147</v>
      </c>
      <c r="D826" s="1" t="n">
        <v>297</v>
      </c>
      <c r="E826" s="48" t="str">
        <f aca="false">IF('RAW ASH'!B297="","",'RAW ASH'!B297)</f>
        <v>Nursing Clinicals</v>
      </c>
      <c r="F826" s="48" t="str">
        <f aca="false">IF('RAW ASH'!C297="","",'RAW ASH'!C297)</f>
        <v>HPE</v>
      </c>
      <c r="G826" s="49" t="str">
        <f aca="false">IF('RAW ASH'!A297="","",'RAW ASH'!A297)</f>
        <v>06/30/2026</v>
      </c>
      <c r="H826" s="48" t="str">
        <f aca="false">IF('RAW ASH'!D297="","",'RAW ASH'!D297)</f>
        <v>Nurse Educator</v>
      </c>
      <c r="I826" s="48" t="n">
        <f aca="false">IF('RAW ASH'!E297="","",'RAW ASH'!E297)</f>
        <v>55.25</v>
      </c>
      <c r="J826" s="48" t="n">
        <f aca="false">IF('RAW ASH'!F297="","",'RAW ASH'!F297)</f>
        <v>10</v>
      </c>
      <c r="K826" s="50" t="n">
        <f aca="false">IF('RAW ASH'!G297="","",'RAW ASH'!G297)</f>
        <v>295</v>
      </c>
      <c r="L826" s="50" t="str">
        <f aca="false">IF('RAW ASH'!H297="","",'RAW ASH'!H297)</f>
        <v/>
      </c>
      <c r="M826" s="48" t="str">
        <f aca="false">IF('RAW ASH'!I297="","",'RAW ASH'!I297)</f>
        <v/>
      </c>
    </row>
    <row r="827" customFormat="false" ht="15" hidden="false" customHeight="false" outlineLevel="0" collapsed="false">
      <c r="A827" s="1" t="s">
        <v>1971</v>
      </c>
      <c r="B827" s="1" t="s">
        <v>155</v>
      </c>
      <c r="C827" s="1" t="s">
        <v>1147</v>
      </c>
      <c r="D827" s="1" t="n">
        <v>298</v>
      </c>
      <c r="E827" s="48" t="str">
        <f aca="false">IF('RAW ASH'!B298="","",'RAW ASH'!B298)</f>
        <v>Nursing Clinicals</v>
      </c>
      <c r="F827" s="48" t="str">
        <f aca="false">IF('RAW ASH'!C298="","",'RAW ASH'!C298)</f>
        <v>HPE</v>
      </c>
      <c r="G827" s="49" t="str">
        <f aca="false">IF('RAW ASH'!A298="","",'RAW ASH'!A298)</f>
        <v>06/30/2026</v>
      </c>
      <c r="H827" s="48" t="str">
        <f aca="false">IF('RAW ASH'!D298="","",'RAW ASH'!D298)</f>
        <v>RN III </v>
      </c>
      <c r="I827" s="48" t="n">
        <f aca="false">IF('RAW ASH'!E298="","",'RAW ASH'!E298)</f>
        <v>80.5</v>
      </c>
      <c r="J827" s="48" t="str">
        <f aca="false">IF('RAW ASH'!F298="","",'RAW ASH'!F298)</f>
        <v/>
      </c>
      <c r="K827" s="50" t="str">
        <f aca="false">IF('RAW ASH'!G298="","",'RAW ASH'!G298)</f>
        <v/>
      </c>
      <c r="L827" s="50" t="str">
        <f aca="false">IF('RAW ASH'!H298="","",'RAW ASH'!H298)</f>
        <v/>
      </c>
      <c r="M827" s="48" t="str">
        <f aca="false">IF('RAW ASH'!I298="","",'RAW ASH'!I298)</f>
        <v/>
      </c>
    </row>
    <row r="828" customFormat="false" ht="15" hidden="false" customHeight="false" outlineLevel="0" collapsed="false">
      <c r="A828" s="1" t="s">
        <v>1972</v>
      </c>
      <c r="B828" s="1" t="s">
        <v>155</v>
      </c>
      <c r="C828" s="1" t="s">
        <v>1147</v>
      </c>
      <c r="D828" s="1" t="n">
        <v>299</v>
      </c>
      <c r="E828" s="48" t="str">
        <f aca="false">IF('RAW ASH'!B299="","",'RAW ASH'!B299)</f>
        <v>Paramedic Students</v>
      </c>
      <c r="F828" s="48" t="str">
        <f aca="false">IF('RAW ASH'!C299="","",'RAW ASH'!C299)</f>
        <v>HPE</v>
      </c>
      <c r="G828" s="49" t="str">
        <f aca="false">IF('RAW ASH'!A299="","",'RAW ASH'!A299)</f>
        <v>06/30/2026</v>
      </c>
      <c r="H828" s="48" t="str">
        <f aca="false">IF('RAW ASH'!D299="","",'RAW ASH'!D299)</f>
        <v>EMT-P</v>
      </c>
      <c r="I828" s="48" t="n">
        <f aca="false">IF('RAW ASH'!E299="","",'RAW ASH'!E299)</f>
        <v>79.25</v>
      </c>
      <c r="J828" s="48" t="n">
        <f aca="false">IF('RAW ASH'!F299="","",'RAW ASH'!F299)</f>
        <v>6</v>
      </c>
      <c r="K828" s="50" t="n">
        <f aca="false">IF('RAW ASH'!G299="","",'RAW ASH'!G299)</f>
        <v>70</v>
      </c>
      <c r="L828" s="50" t="str">
        <f aca="false">IF('RAW ASH'!H299="","",'RAW ASH'!H299)</f>
        <v/>
      </c>
      <c r="M828" s="48" t="str">
        <f aca="false">IF('RAW ASH'!I299="","",'RAW ASH'!I299)</f>
        <v/>
      </c>
    </row>
    <row r="829" customFormat="false" ht="15" hidden="false" customHeight="false" outlineLevel="0" collapsed="false">
      <c r="A829" s="1" t="s">
        <v>1973</v>
      </c>
      <c r="B829" s="1" t="s">
        <v>156</v>
      </c>
      <c r="C829" s="1" t="s">
        <v>1149</v>
      </c>
      <c r="D829" s="1" t="n">
        <v>2</v>
      </c>
      <c r="E829" s="48" t="str">
        <f aca="false">IF('RAW CBH'!A2="","",'RAW CBH'!A2)</f>
        <v>Health Coalition</v>
      </c>
      <c r="F829" s="48" t="str">
        <f aca="false">IF('RAW CBH'!B2="","",'RAW CBH'!B2)</f>
        <v>Community Health Improvement</v>
      </c>
      <c r="G829" s="49" t="str">
        <f aca="false">IF('RAW CBH'!D2="","",'RAW CBH'!D2)</f>
        <v>2025-07-08</v>
      </c>
      <c r="H829" s="48" t="str">
        <f aca="false">IF('RAW CBH'!C2="","",'RAW CBH'!C2)</f>
        <v>Community Health Manager</v>
      </c>
      <c r="I829" s="48" t="n">
        <f aca="false">IF('RAW CBH'!E2="","",'RAW CBH'!E2)</f>
        <v>2.25</v>
      </c>
      <c r="J829" s="48" t="str">
        <f aca="false">IF('RAW CBH'!F2="","",'RAW CBH'!F2)</f>
        <v/>
      </c>
      <c r="K829" s="50" t="str">
        <f aca="false">IF('RAW CBH'!G2="","",'RAW CBH'!G2)</f>
        <v/>
      </c>
      <c r="L829" s="50" t="str">
        <f aca="false">IF('RAW CBH'!H2="","",'RAW CBH'!H2)</f>
        <v/>
      </c>
      <c r="M829" s="48" t="str">
        <f aca="false">IF('RAW CBH'!I2="","",'RAW CBH'!I2)</f>
        <v/>
      </c>
    </row>
    <row r="830" customFormat="false" ht="15" hidden="false" customHeight="false" outlineLevel="0" collapsed="false">
      <c r="A830" s="1" t="s">
        <v>1974</v>
      </c>
      <c r="B830" s="1" t="s">
        <v>156</v>
      </c>
      <c r="C830" s="1" t="s">
        <v>1149</v>
      </c>
      <c r="D830" s="1" t="n">
        <v>3</v>
      </c>
      <c r="E830" s="48" t="str">
        <f aca="false">IF('RAW CBH'!A3="","",'RAW CBH'!A3)</f>
        <v>Health Coalition</v>
      </c>
      <c r="F830" s="48" t="str">
        <f aca="false">IF('RAW CBH'!B3="","",'RAW CBH'!B3)</f>
        <v>Community Health Improvement</v>
      </c>
      <c r="G830" s="49" t="str">
        <f aca="false">IF('RAW CBH'!D3="","",'RAW CBH'!D3)</f>
        <v>2025-07-08</v>
      </c>
      <c r="H830" s="48" t="str">
        <f aca="false">IF('RAW CBH'!C3="","",'RAW CBH'!C3)</f>
        <v>Assoc. Director</v>
      </c>
      <c r="I830" s="48" t="n">
        <f aca="false">IF('RAW CBH'!E3="","",'RAW CBH'!E3)</f>
        <v>2.5</v>
      </c>
      <c r="J830" s="48" t="str">
        <f aca="false">IF('RAW CBH'!F3="","",'RAW CBH'!F3)</f>
        <v/>
      </c>
      <c r="K830" s="50" t="n">
        <f aca="false">IF('RAW CBH'!G3="","",'RAW CBH'!G3)</f>
        <v>55</v>
      </c>
      <c r="L830" s="50" t="str">
        <f aca="false">IF('RAW CBH'!H3="","",'RAW CBH'!H3)</f>
        <v/>
      </c>
      <c r="M830" s="48" t="str">
        <f aca="false">IF('RAW CBH'!I3="","",'RAW CBH'!I3)</f>
        <v/>
      </c>
    </row>
    <row r="831" customFormat="false" ht="15" hidden="false" customHeight="false" outlineLevel="0" collapsed="false">
      <c r="A831" s="1" t="s">
        <v>1975</v>
      </c>
      <c r="B831" s="1" t="s">
        <v>156</v>
      </c>
      <c r="C831" s="1" t="s">
        <v>1149</v>
      </c>
      <c r="D831" s="1" t="n">
        <v>4</v>
      </c>
      <c r="E831" s="48" t="str">
        <f aca="false">IF('RAW CBH'!A4="","",'RAW CBH'!A4)</f>
        <v>Matter of Balance Classes</v>
      </c>
      <c r="F831" s="48" t="str">
        <f aca="false">IF('RAW CBH'!B4="","",'RAW CBH'!B4)</f>
        <v>Health Education</v>
      </c>
      <c r="G831" s="49" t="str">
        <f aca="false">IF('RAW CBH'!D4="","",'RAW CBH'!D4)</f>
        <v>2025-07-11</v>
      </c>
      <c r="H831" s="48" t="str">
        <f aca="false">IF('RAW CBH'!C4="","",'RAW CBH'!C4)</f>
        <v> DPT</v>
      </c>
      <c r="I831" s="48" t="n">
        <f aca="false">IF('RAW CBH'!E4="","",'RAW CBH'!E4)</f>
        <v>2</v>
      </c>
      <c r="J831" s="48" t="n">
        <f aca="false">IF('RAW CBH'!F4="","",'RAW CBH'!F4)</f>
        <v>23</v>
      </c>
      <c r="K831" s="50" t="n">
        <f aca="false">IF('RAW CBH'!G4="","",'RAW CBH'!G4)</f>
        <v>70</v>
      </c>
      <c r="L831" s="50" t="str">
        <f aca="false">IF('RAW CBH'!H4="","",'RAW CBH'!H4)</f>
        <v/>
      </c>
      <c r="M831" s="48" t="str">
        <f aca="false">IF('RAW CBH'!I4="","",'RAW CBH'!I4)</f>
        <v/>
      </c>
    </row>
    <row r="832" customFormat="false" ht="15" hidden="false" customHeight="false" outlineLevel="0" collapsed="false">
      <c r="A832" s="1" t="s">
        <v>1976</v>
      </c>
      <c r="B832" s="1" t="s">
        <v>156</v>
      </c>
      <c r="C832" s="1" t="s">
        <v>1149</v>
      </c>
      <c r="D832" s="1" t="n">
        <v>5</v>
      </c>
      <c r="E832" s="48" t="str">
        <f aca="false">IF('RAW CBH'!A5="","",'RAW CBH'!A5)</f>
        <v>Diabetes Prevention</v>
      </c>
      <c r="F832" s="48" t="str">
        <f aca="false">IF('RAW CBH'!B5="","",'RAW CBH'!B5)</f>
        <v>Health Education</v>
      </c>
      <c r="G832" s="49" t="str">
        <f aca="false">IF('RAW CBH'!D5="","",'RAW CBH'!D5)</f>
        <v>2025-07-12</v>
      </c>
      <c r="H832" s="48" t="str">
        <f aca="false">IF('RAW CBH'!C5="","",'RAW CBH'!C5)</f>
        <v>Hlth Educator</v>
      </c>
      <c r="I832" s="48" t="n">
        <f aca="false">IF('RAW CBH'!E5="","",'RAW CBH'!E5)</f>
        <v>3</v>
      </c>
      <c r="J832" s="48" t="n">
        <f aca="false">IF('RAW CBH'!F5="","",'RAW CBH'!F5)</f>
        <v>18</v>
      </c>
      <c r="K832" s="50" t="n">
        <f aca="false">IF('RAW CBH'!G5="","",'RAW CBH'!G5)</f>
        <v>170</v>
      </c>
      <c r="L832" s="50" t="str">
        <f aca="false">IF('RAW CBH'!H5="","",'RAW CBH'!H5)</f>
        <v/>
      </c>
      <c r="M832" s="48" t="str">
        <f aca="false">IF('RAW CBH'!I5="","",'RAW CBH'!I5)</f>
        <v/>
      </c>
    </row>
    <row r="833" customFormat="false" ht="15" hidden="false" customHeight="false" outlineLevel="0" collapsed="false">
      <c r="A833" s="1" t="s">
        <v>1977</v>
      </c>
      <c r="B833" s="1" t="s">
        <v>156</v>
      </c>
      <c r="C833" s="1" t="s">
        <v>1149</v>
      </c>
      <c r="D833" s="1" t="n">
        <v>6</v>
      </c>
      <c r="E833" s="48" t="str">
        <f aca="false">IF('RAW CBH'!A6="","",'RAW CBH'!A6)</f>
        <v>Diabetes Prevention</v>
      </c>
      <c r="F833" s="48" t="str">
        <f aca="false">IF('RAW CBH'!B6="","",'RAW CBH'!B6)</f>
        <v>Health Education</v>
      </c>
      <c r="G833" s="49" t="str">
        <f aca="false">IF('RAW CBH'!D6="","",'RAW CBH'!D6)</f>
        <v>2025-07-12</v>
      </c>
      <c r="H833" s="48" t="str">
        <f aca="false">IF('RAW CBH'!C6="","",'RAW CBH'!C6)</f>
        <v>Clinical Dietitian</v>
      </c>
      <c r="I833" s="48" t="n">
        <f aca="false">IF('RAW CBH'!E6="","",'RAW CBH'!E6)</f>
        <v>1.75</v>
      </c>
      <c r="J833" s="48" t="str">
        <f aca="false">IF('RAW CBH'!F6="","",'RAW CBH'!F6)</f>
        <v/>
      </c>
      <c r="K833" s="50" t="str">
        <f aca="false">IF('RAW CBH'!G6="","",'RAW CBH'!G6)</f>
        <v/>
      </c>
      <c r="L833" s="50" t="str">
        <f aca="false">IF('RAW CBH'!H6="","",'RAW CBH'!H6)</f>
        <v/>
      </c>
      <c r="M833" s="48" t="str">
        <f aca="false">IF('RAW CBH'!I6="","",'RAW CBH'!I6)</f>
        <v/>
      </c>
    </row>
    <row r="834" customFormat="false" ht="15" hidden="false" customHeight="false" outlineLevel="0" collapsed="false">
      <c r="A834" s="1" t="s">
        <v>1978</v>
      </c>
      <c r="B834" s="1" t="s">
        <v>156</v>
      </c>
      <c r="C834" s="1" t="s">
        <v>1149</v>
      </c>
      <c r="D834" s="1" t="n">
        <v>7</v>
      </c>
      <c r="E834" s="48" t="str">
        <f aca="false">IF('RAW CBH'!A7="","",'RAW CBH'!A7)</f>
        <v>Mental Health First Aid</v>
      </c>
      <c r="F834" s="48" t="str">
        <f aca="false">IF('RAW CBH'!B7="","",'RAW CBH'!B7)</f>
        <v>Health Education</v>
      </c>
      <c r="G834" s="49" t="str">
        <f aca="false">IF('RAW CBH'!D7="","",'RAW CBH'!D7)</f>
        <v>2025-07-14</v>
      </c>
      <c r="H834" s="48" t="str">
        <f aca="false">IF('RAW CBH'!C7="","",'RAW CBH'!C7)</f>
        <v>Community Educator</v>
      </c>
      <c r="I834" s="48" t="n">
        <f aca="false">IF('RAW CBH'!E7="","",'RAW CBH'!E7)</f>
        <v>8</v>
      </c>
      <c r="J834" s="48" t="str">
        <f aca="false">IF('RAW CBH'!F7="","",'RAW CBH'!F7)</f>
        <v/>
      </c>
      <c r="K834" s="50" t="str">
        <f aca="false">IF('RAW CBH'!G7="","",'RAW CBH'!G7)</f>
        <v/>
      </c>
      <c r="L834" s="50" t="str">
        <f aca="false">IF('RAW CBH'!H7="","",'RAW CBH'!H7)</f>
        <v/>
      </c>
      <c r="M834" s="48" t="str">
        <f aca="false">IF('RAW CBH'!I7="","",'RAW CBH'!I7)</f>
        <v/>
      </c>
    </row>
    <row r="835" customFormat="false" ht="15" hidden="false" customHeight="false" outlineLevel="0" collapsed="false">
      <c r="A835" s="1" t="s">
        <v>1979</v>
      </c>
      <c r="B835" s="1" t="s">
        <v>156</v>
      </c>
      <c r="C835" s="1" t="s">
        <v>1149</v>
      </c>
      <c r="D835" s="1" t="n">
        <v>8</v>
      </c>
      <c r="E835" s="48" t="str">
        <f aca="false">IF('RAW CBH'!A8="","",'RAW CBH'!A8)</f>
        <v>Mental Health First Aid</v>
      </c>
      <c r="F835" s="48" t="str">
        <f aca="false">IF('RAW CBH'!B8="","",'RAW CBH'!B8)</f>
        <v>Health Education</v>
      </c>
      <c r="G835" s="49" t="str">
        <f aca="false">IF('RAW CBH'!D8="","",'RAW CBH'!D8)</f>
        <v>2025-07-14</v>
      </c>
      <c r="H835" s="48" t="str">
        <f aca="false">IF('RAW CBH'!C8="","",'RAW CBH'!C8)</f>
        <v>LCSW</v>
      </c>
      <c r="I835" s="48" t="n">
        <f aca="false">IF('RAW CBH'!E8="","",'RAW CBH'!E8)</f>
        <v>8</v>
      </c>
      <c r="J835" s="48" t="n">
        <f aca="false">IF('RAW CBH'!F8="","",'RAW CBH'!F8)</f>
        <v>13</v>
      </c>
      <c r="K835" s="50" t="n">
        <f aca="false">IF('RAW CBH'!G8="","",'RAW CBH'!G8)</f>
        <v>465</v>
      </c>
      <c r="L835" s="50" t="str">
        <f aca="false">IF('RAW CBH'!H8="","",'RAW CBH'!H8)</f>
        <v/>
      </c>
      <c r="M835" s="48" t="str">
        <f aca="false">IF('RAW CBH'!I8="","",'RAW CBH'!I8)</f>
        <v/>
      </c>
    </row>
    <row r="836" customFormat="false" ht="15" hidden="false" customHeight="false" outlineLevel="0" collapsed="false">
      <c r="A836" s="1" t="s">
        <v>1980</v>
      </c>
      <c r="B836" s="1" t="s">
        <v>156</v>
      </c>
      <c r="C836" s="1" t="s">
        <v>1149</v>
      </c>
      <c r="D836" s="1" t="n">
        <v>9</v>
      </c>
      <c r="E836" s="48" t="str">
        <f aca="false">IF('RAW CBH'!A9="","",'RAW CBH'!A9)</f>
        <v>Diabetes Prevention</v>
      </c>
      <c r="F836" s="48" t="str">
        <f aca="false">IF('RAW CBH'!B9="","",'RAW CBH'!B9)</f>
        <v>Health Education</v>
      </c>
      <c r="G836" s="49" t="str">
        <f aca="false">IF('RAW CBH'!D9="","",'RAW CBH'!D9)</f>
        <v>2025-07-22</v>
      </c>
      <c r="H836" s="48" t="str">
        <f aca="false">IF('RAW CBH'!C9="","",'RAW CBH'!C9)</f>
        <v>Wellness Educator</v>
      </c>
      <c r="I836" s="48" t="n">
        <f aca="false">IF('RAW CBH'!E9="","",'RAW CBH'!E9)</f>
        <v>2.75</v>
      </c>
      <c r="J836" s="48" t="n">
        <f aca="false">IF('RAW CBH'!F9="","",'RAW CBH'!F9)</f>
        <v>15</v>
      </c>
      <c r="K836" s="50" t="n">
        <f aca="false">IF('RAW CBH'!G9="","",'RAW CBH'!G9)</f>
        <v>80</v>
      </c>
      <c r="L836" s="50" t="str">
        <f aca="false">IF('RAW CBH'!H9="","",'RAW CBH'!H9)</f>
        <v/>
      </c>
      <c r="M836" s="48" t="str">
        <f aca="false">IF('RAW CBH'!I9="","",'RAW CBH'!I9)</f>
        <v/>
      </c>
    </row>
    <row r="837" customFormat="false" ht="15" hidden="false" customHeight="false" outlineLevel="0" collapsed="false">
      <c r="A837" s="1" t="s">
        <v>1981</v>
      </c>
      <c r="B837" s="1" t="s">
        <v>156</v>
      </c>
      <c r="C837" s="1" t="s">
        <v>1149</v>
      </c>
      <c r="D837" s="1" t="n">
        <v>10</v>
      </c>
      <c r="E837" s="48" t="str">
        <f aca="false">IF('RAW CBH'!A10="","",'RAW CBH'!A10)</f>
        <v>Diabetes Prevention</v>
      </c>
      <c r="F837" s="48" t="str">
        <f aca="false">IF('RAW CBH'!B10="","",'RAW CBH'!B10)</f>
        <v>Health Education</v>
      </c>
      <c r="G837" s="49" t="str">
        <f aca="false">IF('RAW CBH'!D10="","",'RAW CBH'!D10)</f>
        <v>2025-07-22</v>
      </c>
      <c r="H837" s="48" t="str">
        <f aca="false">IF('RAW CBH'!C10="","",'RAW CBH'!C10)</f>
        <v>Clinical Dietitian </v>
      </c>
      <c r="I837" s="48" t="n">
        <f aca="false">IF('RAW CBH'!E10="","",'RAW CBH'!E10)</f>
        <v>1.75</v>
      </c>
      <c r="J837" s="48" t="str">
        <f aca="false">IF('RAW CBH'!F10="","",'RAW CBH'!F10)</f>
        <v/>
      </c>
      <c r="K837" s="50" t="str">
        <f aca="false">IF('RAW CBH'!G10="","",'RAW CBH'!G10)</f>
        <v/>
      </c>
      <c r="L837" s="50" t="str">
        <f aca="false">IF('RAW CBH'!H10="","",'RAW CBH'!H10)</f>
        <v/>
      </c>
      <c r="M837" s="48" t="str">
        <f aca="false">IF('RAW CBH'!I10="","",'RAW CBH'!I10)</f>
        <v/>
      </c>
    </row>
    <row r="838" customFormat="false" ht="15" hidden="false" customHeight="false" outlineLevel="0" collapsed="false">
      <c r="A838" s="1" t="s">
        <v>1982</v>
      </c>
      <c r="B838" s="1" t="s">
        <v>156</v>
      </c>
      <c r="C838" s="1" t="s">
        <v>1149</v>
      </c>
      <c r="D838" s="1" t="n">
        <v>11</v>
      </c>
      <c r="E838" s="48" t="str">
        <f aca="false">IF('RAW CBH'!A11="","",'RAW CBH'!A11)</f>
        <v>Mental Health First Aid</v>
      </c>
      <c r="F838" s="48" t="str">
        <f aca="false">IF('RAW CBH'!B11="","",'RAW CBH'!B11)</f>
        <v>Health Education</v>
      </c>
      <c r="G838" s="49" t="str">
        <f aca="false">IF('RAW CBH'!D11="","",'RAW CBH'!D11)</f>
        <v>2025-07-30</v>
      </c>
      <c r="H838" s="48" t="str">
        <f aca="false">IF('RAW CBH'!C11="","",'RAW CBH'!C11)</f>
        <v>CHES</v>
      </c>
      <c r="I838" s="48" t="n">
        <f aca="false">IF('RAW CBH'!E11="","",'RAW CBH'!E11)</f>
        <v>8</v>
      </c>
      <c r="J838" s="48" t="str">
        <f aca="false">IF('RAW CBH'!F11="","",'RAW CBH'!F11)</f>
        <v/>
      </c>
      <c r="K838" s="50" t="str">
        <f aca="false">IF('RAW CBH'!G11="","",'RAW CBH'!G11)</f>
        <v/>
      </c>
      <c r="L838" s="50" t="str">
        <f aca="false">IF('RAW CBH'!H11="","",'RAW CBH'!H11)</f>
        <v/>
      </c>
      <c r="M838" s="48" t="str">
        <f aca="false">IF('RAW CBH'!I11="","",'RAW CBH'!I11)</f>
        <v/>
      </c>
    </row>
    <row r="839" customFormat="false" ht="15" hidden="false" customHeight="false" outlineLevel="0" collapsed="false">
      <c r="A839" s="1" t="s">
        <v>1983</v>
      </c>
      <c r="B839" s="1" t="s">
        <v>156</v>
      </c>
      <c r="C839" s="1" t="s">
        <v>1149</v>
      </c>
      <c r="D839" s="1" t="n">
        <v>12</v>
      </c>
      <c r="E839" s="48" t="str">
        <f aca="false">IF('RAW CBH'!A12="","",'RAW CBH'!A12)</f>
        <v>Mental Health First Aid</v>
      </c>
      <c r="F839" s="48" t="str">
        <f aca="false">IF('RAW CBH'!B12="","",'RAW CBH'!B12)</f>
        <v>Health Education</v>
      </c>
      <c r="G839" s="49" t="str">
        <f aca="false">IF('RAW CBH'!D12="","",'RAW CBH'!D12)</f>
        <v>2025-07-30</v>
      </c>
      <c r="H839" s="48" t="str">
        <f aca="false">IF('RAW CBH'!C12="","",'RAW CBH'!C12)</f>
        <v>LCSW</v>
      </c>
      <c r="I839" s="48" t="n">
        <f aca="false">IF('RAW CBH'!E12="","",'RAW CBH'!E12)</f>
        <v>8</v>
      </c>
      <c r="J839" s="48" t="n">
        <f aca="false">IF('RAW CBH'!F12="","",'RAW CBH'!F12)</f>
        <v>21</v>
      </c>
      <c r="K839" s="50" t="n">
        <f aca="false">IF('RAW CBH'!G12="","",'RAW CBH'!G12)</f>
        <v>495</v>
      </c>
      <c r="L839" s="50" t="str">
        <f aca="false">IF('RAW CBH'!H12="","",'RAW CBH'!H12)</f>
        <v/>
      </c>
      <c r="M839" s="48" t="str">
        <f aca="false">IF('RAW CBH'!I12="","",'RAW CBH'!I12)</f>
        <v/>
      </c>
    </row>
    <row r="840" customFormat="false" ht="15" hidden="false" customHeight="false" outlineLevel="0" collapsed="false">
      <c r="A840" s="1" t="s">
        <v>1984</v>
      </c>
      <c r="B840" s="1" t="s">
        <v>156</v>
      </c>
      <c r="C840" s="1" t="s">
        <v>1149</v>
      </c>
      <c r="D840" s="1" t="n">
        <v>13</v>
      </c>
      <c r="E840" s="48" t="str">
        <f aca="false">IF('RAW CBH'!A13="","",'RAW CBH'!A13)</f>
        <v>Free Clinic Staffing</v>
      </c>
      <c r="F840" s="48" t="str">
        <f aca="false">IF('RAW CBH'!B13="","",'RAW CBH'!B13)</f>
        <v>Screenings</v>
      </c>
      <c r="G840" s="49" t="str">
        <f aca="false">IF('RAW CBH'!D13="","",'RAW CBH'!D13)</f>
        <v>2025-07-31</v>
      </c>
      <c r="H840" s="48" t="str">
        <f aca="false">IF('RAW CBH'!C13="","",'RAW CBH'!C13)</f>
        <v>Family NP</v>
      </c>
      <c r="I840" s="48" t="n">
        <f aca="false">IF('RAW CBH'!E13="","",'RAW CBH'!E13)</f>
        <v>45.25</v>
      </c>
      <c r="J840" s="48" t="n">
        <f aca="false">IF('RAW CBH'!F13="","",'RAW CBH'!F13)</f>
        <v>301</v>
      </c>
      <c r="K840" s="50" t="n">
        <f aca="false">IF('RAW CBH'!G13="","",'RAW CBH'!G13)</f>
        <v>4785</v>
      </c>
      <c r="L840" s="50" t="str">
        <f aca="false">IF('RAW CBH'!H13="","",'RAW CBH'!H13)</f>
        <v/>
      </c>
      <c r="M840" s="48" t="str">
        <f aca="false">IF('RAW CBH'!I13="","",'RAW CBH'!I13)</f>
        <v/>
      </c>
    </row>
    <row r="841" customFormat="false" ht="15" hidden="false" customHeight="false" outlineLevel="0" collapsed="false">
      <c r="A841" s="1" t="s">
        <v>1985</v>
      </c>
      <c r="B841" s="1" t="s">
        <v>156</v>
      </c>
      <c r="C841" s="1" t="s">
        <v>1149</v>
      </c>
      <c r="D841" s="1" t="n">
        <v>14</v>
      </c>
      <c r="E841" s="48" t="str">
        <f aca="false">IF('RAW CBH'!A14="","",'RAW CBH'!A14)</f>
        <v>Free Clinic Staffing</v>
      </c>
      <c r="F841" s="48" t="str">
        <f aca="false">IF('RAW CBH'!B14="","",'RAW CBH'!B14)</f>
        <v>Screenings</v>
      </c>
      <c r="G841" s="49" t="str">
        <f aca="false">IF('RAW CBH'!D14="","",'RAW CBH'!D14)</f>
        <v>2025-07-31</v>
      </c>
      <c r="H841" s="48" t="str">
        <f aca="false">IF('RAW CBH'!C14="","",'RAW CBH'!C14)</f>
        <v>Pharmacist II</v>
      </c>
      <c r="I841" s="48" t="n">
        <f aca="false">IF('RAW CBH'!E14="","",'RAW CBH'!E14)</f>
        <v>11.75</v>
      </c>
      <c r="J841" s="48" t="str">
        <f aca="false">IF('RAW CBH'!F14="","",'RAW CBH'!F14)</f>
        <v/>
      </c>
      <c r="K841" s="50" t="str">
        <f aca="false">IF('RAW CBH'!G14="","",'RAW CBH'!G14)</f>
        <v/>
      </c>
      <c r="L841" s="50" t="str">
        <f aca="false">IF('RAW CBH'!H14="","",'RAW CBH'!H14)</f>
        <v/>
      </c>
      <c r="M841" s="48" t="str">
        <f aca="false">IF('RAW CBH'!I14="","",'RAW CBH'!I14)</f>
        <v/>
      </c>
    </row>
    <row r="842" customFormat="false" ht="15" hidden="false" customHeight="false" outlineLevel="0" collapsed="false">
      <c r="A842" s="1" t="s">
        <v>1986</v>
      </c>
      <c r="B842" s="1" t="s">
        <v>156</v>
      </c>
      <c r="C842" s="1" t="s">
        <v>1149</v>
      </c>
      <c r="D842" s="1" t="n">
        <v>15</v>
      </c>
      <c r="E842" s="48" t="str">
        <f aca="false">IF('RAW CBH'!A15="","",'RAW CBH'!A15)</f>
        <v>Free Clinic Staffing</v>
      </c>
      <c r="F842" s="48" t="str">
        <f aca="false">IF('RAW CBH'!B15="","",'RAW CBH'!B15)</f>
        <v>Screenings</v>
      </c>
      <c r="G842" s="49" t="str">
        <f aca="false">IF('RAW CBH'!D15="","",'RAW CBH'!D15)</f>
        <v>2025-07-31</v>
      </c>
      <c r="H842" s="48" t="str">
        <f aca="false">IF('RAW CBH'!C15="","",'RAW CBH'!C15)</f>
        <v>Charge RN</v>
      </c>
      <c r="I842" s="48" t="n">
        <f aca="false">IF('RAW CBH'!E15="","",'RAW CBH'!E15)</f>
        <v>30.25</v>
      </c>
      <c r="J842" s="48" t="str">
        <f aca="false">IF('RAW CBH'!F15="","",'RAW CBH'!F15)</f>
        <v/>
      </c>
      <c r="K842" s="50" t="str">
        <f aca="false">IF('RAW CBH'!G15="","",'RAW CBH'!G15)</f>
        <v/>
      </c>
      <c r="L842" s="50" t="str">
        <f aca="false">IF('RAW CBH'!H15="","",'RAW CBH'!H15)</f>
        <v/>
      </c>
      <c r="M842" s="48" t="str">
        <f aca="false">IF('RAW CBH'!I15="","",'RAW CBH'!I15)</f>
        <v/>
      </c>
    </row>
    <row r="843" customFormat="false" ht="15" hidden="false" customHeight="false" outlineLevel="0" collapsed="false">
      <c r="A843" s="1" t="s">
        <v>1987</v>
      </c>
      <c r="B843" s="1" t="s">
        <v>156</v>
      </c>
      <c r="C843" s="1" t="s">
        <v>1149</v>
      </c>
      <c r="D843" s="1" t="n">
        <v>16</v>
      </c>
      <c r="E843" s="48" t="str">
        <f aca="false">IF('RAW CBH'!A16="","",'RAW CBH'!A16)</f>
        <v>Med Assistance</v>
      </c>
      <c r="F843" s="48" t="str">
        <f aca="false">IF('RAW CBH'!B16="","",'RAW CBH'!B16)</f>
        <v>Patient Support</v>
      </c>
      <c r="G843" s="49" t="str">
        <f aca="false">IF('RAW CBH'!D16="","",'RAW CBH'!D16)</f>
        <v>2025-07-31</v>
      </c>
      <c r="H843" s="48" t="str">
        <f aca="false">IF('RAW CBH'!C16="","",'RAW CBH'!C16)</f>
        <v>Nurse Navigator</v>
      </c>
      <c r="I843" s="48" t="n">
        <f aca="false">IF('RAW CBH'!E16="","",'RAW CBH'!E16)</f>
        <v>65</v>
      </c>
      <c r="J843" s="48" t="str">
        <f aca="false">IF('RAW CBH'!F16="","",'RAW CBH'!F16)</f>
        <v/>
      </c>
      <c r="K843" s="50" t="str">
        <f aca="false">IF('RAW CBH'!G16="","",'RAW CBH'!G16)</f>
        <v/>
      </c>
      <c r="L843" s="50" t="str">
        <f aca="false">IF('RAW CBH'!H16="","",'RAW CBH'!H16)</f>
        <v/>
      </c>
      <c r="M843" s="48" t="str">
        <f aca="false">IF('RAW CBH'!I16="","",'RAW CBH'!I16)</f>
        <v/>
      </c>
    </row>
    <row r="844" customFormat="false" ht="15" hidden="false" customHeight="false" outlineLevel="0" collapsed="false">
      <c r="A844" s="1" t="s">
        <v>1988</v>
      </c>
      <c r="B844" s="1" t="s">
        <v>156</v>
      </c>
      <c r="C844" s="1" t="s">
        <v>1149</v>
      </c>
      <c r="D844" s="1" t="n">
        <v>17</v>
      </c>
      <c r="E844" s="48" t="str">
        <f aca="false">IF('RAW CBH'!A17="","",'RAW CBH'!A17)</f>
        <v>Med Assistance</v>
      </c>
      <c r="F844" s="48" t="str">
        <f aca="false">IF('RAW CBH'!B17="","",'RAW CBH'!B17)</f>
        <v>Patient Support</v>
      </c>
      <c r="G844" s="49" t="str">
        <f aca="false">IF('RAW CBH'!D17="","",'RAW CBH'!D17)</f>
        <v>2025-07-31</v>
      </c>
      <c r="H844" s="48" t="str">
        <f aca="false">IF('RAW CBH'!C17="","",'RAW CBH'!C17)</f>
        <v>RPh </v>
      </c>
      <c r="I844" s="48" t="n">
        <f aca="false">IF('RAW CBH'!E17="","",'RAW CBH'!E17)</f>
        <v>18.25</v>
      </c>
      <c r="J844" s="48" t="n">
        <f aca="false">IF('RAW CBH'!F17="","",'RAW CBH'!F17)</f>
        <v>137</v>
      </c>
      <c r="K844" s="50" t="n">
        <f aca="false">IF('RAW CBH'!G17="","",'RAW CBH'!G17)</f>
        <v>23455</v>
      </c>
      <c r="L844" s="50" t="str">
        <f aca="false">IF('RAW CBH'!H17="","",'RAW CBH'!H17)</f>
        <v/>
      </c>
      <c r="M844" s="48" t="str">
        <f aca="false">IF('RAW CBH'!I17="","",'RAW CBH'!I17)</f>
        <v/>
      </c>
    </row>
    <row r="845" customFormat="false" ht="15" hidden="false" customHeight="false" outlineLevel="0" collapsed="false">
      <c r="A845" s="1" t="s">
        <v>1989</v>
      </c>
      <c r="B845" s="1" t="s">
        <v>156</v>
      </c>
      <c r="C845" s="1" t="s">
        <v>1149</v>
      </c>
      <c r="D845" s="1" t="n">
        <v>18</v>
      </c>
      <c r="E845" s="48" t="str">
        <f aca="false">IF('RAW CBH'!A18="","",'RAW CBH'!A18)</f>
        <v>Community Benefit Admin</v>
      </c>
      <c r="F845" s="48" t="str">
        <f aca="false">IF('RAW CBH'!B18="","",'RAW CBH'!B18)</f>
        <v>Ops</v>
      </c>
      <c r="G845" s="49" t="str">
        <f aca="false">IF('RAW CBH'!D18="","",'RAW CBH'!D18)</f>
        <v>2025-07-31</v>
      </c>
      <c r="H845" s="48" t="str">
        <f aca="false">IF('RAW CBH'!C18="","",'RAW CBH'!C18)</f>
        <v>Admin Support</v>
      </c>
      <c r="I845" s="48" t="n">
        <f aca="false">IF('RAW CBH'!E18="","",'RAW CBH'!E18)</f>
        <v>36.25</v>
      </c>
      <c r="J845" s="48" t="str">
        <f aca="false">IF('RAW CBH'!F18="","",'RAW CBH'!F18)</f>
        <v/>
      </c>
      <c r="K845" s="50" t="str">
        <f aca="false">IF('RAW CBH'!G18="","",'RAW CBH'!G18)</f>
        <v/>
      </c>
      <c r="L845" s="50" t="str">
        <f aca="false">IF('RAW CBH'!H18="","",'RAW CBH'!H18)</f>
        <v/>
      </c>
      <c r="M845" s="48" t="str">
        <f aca="false">IF('RAW CBH'!I18="","",'RAW CBH'!I18)</f>
        <v/>
      </c>
    </row>
    <row r="846" customFormat="false" ht="15" hidden="false" customHeight="false" outlineLevel="0" collapsed="false">
      <c r="A846" s="1" t="s">
        <v>1990</v>
      </c>
      <c r="B846" s="1" t="s">
        <v>156</v>
      </c>
      <c r="C846" s="1" t="s">
        <v>1149</v>
      </c>
      <c r="D846" s="1" t="n">
        <v>19</v>
      </c>
      <c r="E846" s="48" t="str">
        <f aca="false">IF('RAW CBH'!A19="","",'RAW CBH'!A19)</f>
        <v>Community Benefit Admin</v>
      </c>
      <c r="F846" s="48" t="str">
        <f aca="false">IF('RAW CBH'!B19="","",'RAW CBH'!B19)</f>
        <v>Ops</v>
      </c>
      <c r="G846" s="49" t="str">
        <f aca="false">IF('RAW CBH'!D19="","",'RAW CBH'!D19)</f>
        <v>2025-07-31</v>
      </c>
      <c r="H846" s="48" t="str">
        <f aca="false">IF('RAW CBH'!C19="","",'RAW CBH'!C19)</f>
        <v>Mgr, Community Benefit</v>
      </c>
      <c r="I846" s="48" t="n">
        <f aca="false">IF('RAW CBH'!E19="","",'RAW CBH'!E19)</f>
        <v>49.75</v>
      </c>
      <c r="J846" s="48" t="str">
        <f aca="false">IF('RAW CBH'!F19="","",'RAW CBH'!F19)</f>
        <v/>
      </c>
      <c r="K846" s="50" t="n">
        <f aca="false">IF('RAW CBH'!G19="","",'RAW CBH'!G19)</f>
        <v>680</v>
      </c>
      <c r="L846" s="50" t="str">
        <f aca="false">IF('RAW CBH'!H19="","",'RAW CBH'!H19)</f>
        <v/>
      </c>
      <c r="M846" s="48" t="str">
        <f aca="false">IF('RAW CBH'!I19="","",'RAW CBH'!I19)</f>
        <v/>
      </c>
    </row>
    <row r="847" customFormat="false" ht="15" hidden="false" customHeight="false" outlineLevel="0" collapsed="false">
      <c r="A847" s="1" t="s">
        <v>1991</v>
      </c>
      <c r="B847" s="1" t="s">
        <v>156</v>
      </c>
      <c r="C847" s="1" t="s">
        <v>1149</v>
      </c>
      <c r="D847" s="1" t="n">
        <v>20</v>
      </c>
      <c r="E847" s="48" t="str">
        <f aca="false">IF('RAW CBH'!A20="","",'RAW CBH'!A20)</f>
        <v>Interpreter Services</v>
      </c>
      <c r="F847" s="48" t="str">
        <f aca="false">IF('RAW CBH'!B20="","",'RAW CBH'!B20)</f>
        <v>Patient Support</v>
      </c>
      <c r="G847" s="49" t="str">
        <f aca="false">IF('RAW CBH'!D20="","",'RAW CBH'!D20)</f>
        <v>2025-07-31</v>
      </c>
      <c r="H847" s="48" t="str">
        <f aca="false">IF('RAW CBH'!C20="","",'RAW CBH'!C20)</f>
        <v>Interp.</v>
      </c>
      <c r="I847" s="48" t="n">
        <f aca="false">IF('RAW CBH'!E20="","",'RAW CBH'!E20)</f>
        <v>40.25</v>
      </c>
      <c r="J847" s="48" t="n">
        <f aca="false">IF('RAW CBH'!F20="","",'RAW CBH'!F20)</f>
        <v>151</v>
      </c>
      <c r="K847" s="50" t="str">
        <f aca="false">IF('RAW CBH'!G20="","",'RAW CBH'!G20)</f>
        <v/>
      </c>
      <c r="L847" s="50" t="str">
        <f aca="false">IF('RAW CBH'!H20="","",'RAW CBH'!H20)</f>
        <v/>
      </c>
      <c r="M847" s="48" t="str">
        <f aca="false">IF('RAW CBH'!I20="","",'RAW CBH'!I20)</f>
        <v/>
      </c>
    </row>
    <row r="848" customFormat="false" ht="15" hidden="false" customHeight="false" outlineLevel="0" collapsed="false">
      <c r="A848" s="1" t="s">
        <v>1992</v>
      </c>
      <c r="B848" s="1" t="s">
        <v>156</v>
      </c>
      <c r="C848" s="1" t="s">
        <v>1149</v>
      </c>
      <c r="D848" s="1" t="n">
        <v>21</v>
      </c>
      <c r="E848" s="48" t="str">
        <f aca="false">IF('RAW CBH'!A21="","",'RAW CBH'!A21)</f>
        <v>Nursing Student Rotations</v>
      </c>
      <c r="F848" s="48" t="str">
        <f aca="false">IF('RAW CBH'!B21="","",'RAW CBH'!B21)</f>
        <v>Education - Health Professions</v>
      </c>
      <c r="G848" s="49" t="str">
        <f aca="false">IF('RAW CBH'!D21="","",'RAW CBH'!D21)</f>
        <v>2025-07-31</v>
      </c>
      <c r="H848" s="48" t="str">
        <f aca="false">IF('RAW CBH'!C21="","",'RAW CBH'!C21)</f>
        <v>RN Educator</v>
      </c>
      <c r="I848" s="48" t="n">
        <f aca="false">IF('RAW CBH'!E21="","",'RAW CBH'!E21)</f>
        <v>49</v>
      </c>
      <c r="J848" s="48" t="n">
        <f aca="false">IF('RAW CBH'!F21="","",'RAW CBH'!F21)</f>
        <v>8</v>
      </c>
      <c r="K848" s="50" t="n">
        <f aca="false">IF('RAW CBH'!G21="","",'RAW CBH'!G21)</f>
        <v>405</v>
      </c>
      <c r="L848" s="50" t="str">
        <f aca="false">IF('RAW CBH'!H21="","",'RAW CBH'!H21)</f>
        <v/>
      </c>
      <c r="M848" s="48" t="str">
        <f aca="false">IF('RAW CBH'!I21="","",'RAW CBH'!I21)</f>
        <v/>
      </c>
    </row>
    <row r="849" customFormat="false" ht="15" hidden="false" customHeight="false" outlineLevel="0" collapsed="false">
      <c r="A849" s="1" t="s">
        <v>1993</v>
      </c>
      <c r="B849" s="1" t="s">
        <v>156</v>
      </c>
      <c r="C849" s="1" t="s">
        <v>1149</v>
      </c>
      <c r="D849" s="1" t="n">
        <v>22</v>
      </c>
      <c r="E849" s="48" t="str">
        <f aca="false">IF('RAW CBH'!A22="","",'RAW CBH'!A22)</f>
        <v>Nursing Student Rotations</v>
      </c>
      <c r="F849" s="48" t="str">
        <f aca="false">IF('RAW CBH'!B22="","",'RAW CBH'!B22)</f>
        <v>Education - Health Professions</v>
      </c>
      <c r="G849" s="49" t="str">
        <f aca="false">IF('RAW CBH'!D22="","",'RAW CBH'!D22)</f>
        <v>2025-07-31</v>
      </c>
      <c r="H849" s="48" t="str">
        <f aca="false">IF('RAW CBH'!C22="","",'RAW CBH'!C22)</f>
        <v> R.N.</v>
      </c>
      <c r="I849" s="48" t="n">
        <f aca="false">IF('RAW CBH'!E22="","",'RAW CBH'!E22)</f>
        <v>64.75</v>
      </c>
      <c r="J849" s="48" t="str">
        <f aca="false">IF('RAW CBH'!F22="","",'RAW CBH'!F22)</f>
        <v/>
      </c>
      <c r="K849" s="50" t="str">
        <f aca="false">IF('RAW CBH'!G22="","",'RAW CBH'!G22)</f>
        <v/>
      </c>
      <c r="L849" s="50" t="str">
        <f aca="false">IF('RAW CBH'!H22="","",'RAW CBH'!H22)</f>
        <v/>
      </c>
      <c r="M849" s="48" t="str">
        <f aca="false">IF('RAW CBH'!I22="","",'RAW CBH'!I22)</f>
        <v/>
      </c>
    </row>
    <row r="850" customFormat="false" ht="15" hidden="false" customHeight="false" outlineLevel="0" collapsed="false">
      <c r="A850" s="1" t="s">
        <v>1994</v>
      </c>
      <c r="B850" s="1" t="s">
        <v>156</v>
      </c>
      <c r="C850" s="1" t="s">
        <v>1149</v>
      </c>
      <c r="D850" s="1" t="n">
        <v>23</v>
      </c>
      <c r="E850" s="48" t="str">
        <f aca="false">IF('RAW CBH'!A23="","",'RAW CBH'!A23)</f>
        <v>Pharmacy Students</v>
      </c>
      <c r="F850" s="48" t="str">
        <f aca="false">IF('RAW CBH'!B23="","",'RAW CBH'!B23)</f>
        <v>Education - Health Professions</v>
      </c>
      <c r="G850" s="49" t="str">
        <f aca="false">IF('RAW CBH'!D23="","",'RAW CBH'!D23)</f>
        <v>2025-07-31</v>
      </c>
      <c r="H850" s="48" t="str">
        <f aca="false">IF('RAW CBH'!C23="","",'RAW CBH'!C23)</f>
        <v>RPh</v>
      </c>
      <c r="I850" s="48" t="n">
        <f aca="false">IF('RAW CBH'!E23="","",'RAW CBH'!E23)</f>
        <v>57.75</v>
      </c>
      <c r="J850" s="48" t="n">
        <f aca="false">IF('RAW CBH'!F23="","",'RAW CBH'!F23)</f>
        <v>3</v>
      </c>
      <c r="K850" s="50" t="n">
        <f aca="false">IF('RAW CBH'!G23="","",'RAW CBH'!G23)</f>
        <v>45</v>
      </c>
      <c r="L850" s="50" t="str">
        <f aca="false">IF('RAW CBH'!H23="","",'RAW CBH'!H23)</f>
        <v/>
      </c>
      <c r="M850" s="48" t="str">
        <f aca="false">IF('RAW CBH'!I23="","",'RAW CBH'!I23)</f>
        <v/>
      </c>
    </row>
    <row r="851" customFormat="false" ht="15" hidden="false" customHeight="false" outlineLevel="0" collapsed="false">
      <c r="A851" s="1" t="s">
        <v>1995</v>
      </c>
      <c r="B851" s="1" t="s">
        <v>156</v>
      </c>
      <c r="C851" s="1" t="s">
        <v>1149</v>
      </c>
      <c r="D851" s="1" t="n">
        <v>24</v>
      </c>
      <c r="E851" s="48" t="str">
        <f aca="false">IF('RAW CBH'!A24="","",'RAW CBH'!A24)</f>
        <v>Blood Pressure Screening</v>
      </c>
      <c r="F851" s="48" t="str">
        <f aca="false">IF('RAW CBH'!B24="","",'RAW CBH'!B24)</f>
        <v>Screenings</v>
      </c>
      <c r="G851" s="49" t="str">
        <f aca="false">IF('RAW CBH'!D24="","",'RAW CBH'!D24)</f>
        <v>2025-08-01</v>
      </c>
      <c r="H851" s="48" t="str">
        <f aca="false">IF('RAW CBH'!C24="","",'RAW CBH'!C24)</f>
        <v>R.N.</v>
      </c>
      <c r="I851" s="48" t="n">
        <f aca="false">IF('RAW CBH'!E24="","",'RAW CBH'!E24)</f>
        <v>3.25</v>
      </c>
      <c r="J851" s="48" t="n">
        <f aca="false">IF('RAW CBH'!F24="","",'RAW CBH'!F24)</f>
        <v>75</v>
      </c>
      <c r="K851" s="50" t="n">
        <f aca="false">IF('RAW CBH'!G24="","",'RAW CBH'!G24)</f>
        <v>65</v>
      </c>
      <c r="L851" s="50" t="str">
        <f aca="false">IF('RAW CBH'!H24="","",'RAW CBH'!H24)</f>
        <v/>
      </c>
      <c r="M851" s="48" t="str">
        <f aca="false">IF('RAW CBH'!I24="","",'RAW CBH'!I24)</f>
        <v/>
      </c>
    </row>
    <row r="852" customFormat="false" ht="15" hidden="false" customHeight="false" outlineLevel="0" collapsed="false">
      <c r="A852" s="1" t="s">
        <v>1996</v>
      </c>
      <c r="B852" s="1" t="s">
        <v>156</v>
      </c>
      <c r="C852" s="1" t="s">
        <v>1149</v>
      </c>
      <c r="D852" s="1" t="n">
        <v>25</v>
      </c>
      <c r="E852" s="48" t="str">
        <f aca="false">IF('RAW CBH'!A25="","",'RAW CBH'!A25)</f>
        <v>Diabetes Prevention</v>
      </c>
      <c r="F852" s="48" t="str">
        <f aca="false">IF('RAW CBH'!B25="","",'RAW CBH'!B25)</f>
        <v>Health Education</v>
      </c>
      <c r="G852" s="49" t="str">
        <f aca="false">IF('RAW CBH'!D25="","",'RAW CBH'!D25)</f>
        <v>2025-08-02</v>
      </c>
      <c r="H852" s="48" t="str">
        <f aca="false">IF('RAW CBH'!C25="","",'RAW CBH'!C25)</f>
        <v>Health Ed</v>
      </c>
      <c r="I852" s="48" t="n">
        <f aca="false">IF('RAW CBH'!E25="","",'RAW CBH'!E25)</f>
        <v>2.75</v>
      </c>
      <c r="J852" s="48" t="n">
        <f aca="false">IF('RAW CBH'!F25="","",'RAW CBH'!F25)</f>
        <v>19</v>
      </c>
      <c r="K852" s="50" t="n">
        <f aca="false">IF('RAW CBH'!G25="","",'RAW CBH'!G25)</f>
        <v>130</v>
      </c>
      <c r="L852" s="50" t="str">
        <f aca="false">IF('RAW CBH'!H25="","",'RAW CBH'!H25)</f>
        <v/>
      </c>
      <c r="M852" s="48" t="str">
        <f aca="false">IF('RAW CBH'!I25="","",'RAW CBH'!I25)</f>
        <v/>
      </c>
    </row>
    <row r="853" customFormat="false" ht="15" hidden="false" customHeight="false" outlineLevel="0" collapsed="false">
      <c r="A853" s="1" t="s">
        <v>1997</v>
      </c>
      <c r="B853" s="1" t="s">
        <v>156</v>
      </c>
      <c r="C853" s="1" t="s">
        <v>1149</v>
      </c>
      <c r="D853" s="1" t="n">
        <v>26</v>
      </c>
      <c r="E853" s="48" t="str">
        <f aca="false">IF('RAW CBH'!A26="","",'RAW CBH'!A26)</f>
        <v>Diabetes Prevention</v>
      </c>
      <c r="F853" s="48" t="str">
        <f aca="false">IF('RAW CBH'!B26="","",'RAW CBH'!B26)</f>
        <v>Health Education</v>
      </c>
      <c r="G853" s="49" t="str">
        <f aca="false">IF('RAW CBH'!D26="","",'RAW CBH'!D26)</f>
        <v>2025-08-02</v>
      </c>
      <c r="H853" s="48" t="str">
        <f aca="false">IF('RAW CBH'!C26="","",'RAW CBH'!C26)</f>
        <v>RDN</v>
      </c>
      <c r="I853" s="48" t="n">
        <f aca="false">IF('RAW CBH'!E26="","",'RAW CBH'!E26)</f>
        <v>1.75</v>
      </c>
      <c r="J853" s="48" t="str">
        <f aca="false">IF('RAW CBH'!F26="","",'RAW CBH'!F26)</f>
        <v/>
      </c>
      <c r="K853" s="50" t="str">
        <f aca="false">IF('RAW CBH'!G26="","",'RAW CBH'!G26)</f>
        <v/>
      </c>
      <c r="L853" s="50" t="str">
        <f aca="false">IF('RAW CBH'!H26="","",'RAW CBH'!H26)</f>
        <v/>
      </c>
      <c r="M853" s="48" t="str">
        <f aca="false">IF('RAW CBH'!I26="","",'RAW CBH'!I26)</f>
        <v/>
      </c>
    </row>
    <row r="854" customFormat="false" ht="15" hidden="false" customHeight="false" outlineLevel="0" collapsed="false">
      <c r="A854" s="1" t="s">
        <v>1998</v>
      </c>
      <c r="B854" s="1" t="s">
        <v>156</v>
      </c>
      <c r="C854" s="1" t="s">
        <v>1149</v>
      </c>
      <c r="D854" s="1" t="n">
        <v>27</v>
      </c>
      <c r="E854" s="48" t="str">
        <f aca="false">IF('RAW CBH'!A27="","",'RAW CBH'!A27)</f>
        <v>Smoke-Free Parks</v>
      </c>
      <c r="F854" s="48" t="str">
        <f aca="false">IF('RAW CBH'!B27="","",'RAW CBH'!B27)</f>
        <v>Advocacy</v>
      </c>
      <c r="G854" s="49" t="str">
        <f aca="false">IF('RAW CBH'!D27="","",'RAW CBH'!D27)</f>
        <v>2025-08-05</v>
      </c>
      <c r="H854" s="48" t="str">
        <f aca="false">IF('RAW CBH'!C27="","",'RAW CBH'!C27)</f>
        <v>Assoc. Director</v>
      </c>
      <c r="I854" s="48" t="n">
        <f aca="false">IF('RAW CBH'!E27="","",'RAW CBH'!E27)</f>
        <v>1</v>
      </c>
      <c r="J854" s="48" t="str">
        <f aca="false">IF('RAW CBH'!F27="","",'RAW CBH'!F27)</f>
        <v/>
      </c>
      <c r="K854" s="50" t="str">
        <f aca="false">IF('RAW CBH'!G27="","",'RAW CBH'!G27)</f>
        <v/>
      </c>
      <c r="L854" s="50" t="str">
        <f aca="false">IF('RAW CBH'!H27="","",'RAW CBH'!H27)</f>
        <v/>
      </c>
      <c r="M854" s="48" t="str">
        <f aca="false">IF('RAW CBH'!I27="","",'RAW CBH'!I27)</f>
        <v/>
      </c>
    </row>
    <row r="855" customFormat="false" ht="15" hidden="false" customHeight="false" outlineLevel="0" collapsed="false">
      <c r="A855" s="1" t="s">
        <v>1999</v>
      </c>
      <c r="B855" s="1" t="s">
        <v>156</v>
      </c>
      <c r="C855" s="1" t="s">
        <v>1149</v>
      </c>
      <c r="D855" s="1" t="n">
        <v>28</v>
      </c>
      <c r="E855" s="48" t="str">
        <f aca="false">IF('RAW CBH'!A28="","",'RAW CBH'!A28)</f>
        <v>Smoke-Free Parks</v>
      </c>
      <c r="F855" s="48" t="str">
        <f aca="false">IF('RAW CBH'!B28="","",'RAW CBH'!B28)</f>
        <v>Advocacy</v>
      </c>
      <c r="G855" s="49" t="str">
        <f aca="false">IF('RAW CBH'!D28="","",'RAW CBH'!D28)</f>
        <v>2025-08-05</v>
      </c>
      <c r="H855" s="48" t="str">
        <f aca="false">IF('RAW CBH'!C28="","",'RAW CBH'!C28)</f>
        <v>Community Educator</v>
      </c>
      <c r="I855" s="48" t="n">
        <f aca="false">IF('RAW CBH'!E28="","",'RAW CBH'!E28)</f>
        <v>3.75</v>
      </c>
      <c r="J855" s="48" t="str">
        <f aca="false">IF('RAW CBH'!F28="","",'RAW CBH'!F28)</f>
        <v/>
      </c>
      <c r="K855" s="50" t="n">
        <f aca="false">IF('RAW CBH'!G28="","",'RAW CBH'!G28)</f>
        <v>575</v>
      </c>
      <c r="L855" s="50" t="str">
        <f aca="false">IF('RAW CBH'!H28="","",'RAW CBH'!H28)</f>
        <v/>
      </c>
      <c r="M855" s="48" t="str">
        <f aca="false">IF('RAW CBH'!I28="","",'RAW CBH'!I28)</f>
        <v/>
      </c>
    </row>
    <row r="856" customFormat="false" ht="15" hidden="false" customHeight="false" outlineLevel="0" collapsed="false">
      <c r="A856" s="1" t="s">
        <v>2000</v>
      </c>
      <c r="B856" s="1" t="s">
        <v>156</v>
      </c>
      <c r="C856" s="1" t="s">
        <v>1149</v>
      </c>
      <c r="D856" s="1" t="n">
        <v>29</v>
      </c>
      <c r="E856" s="48" t="str">
        <f aca="false">IF('RAW CBH'!A29="","",'RAW CBH'!A29)</f>
        <v>Prenatal &amp; Newborn Classes</v>
      </c>
      <c r="F856" s="48" t="str">
        <f aca="false">IF('RAW CBH'!B29="","",'RAW CBH'!B29)</f>
        <v>Health Education</v>
      </c>
      <c r="G856" s="49" t="str">
        <f aca="false">IF('RAW CBH'!D29="","",'RAW CBH'!D29)</f>
        <v>2025-08-07</v>
      </c>
      <c r="H856" s="48" t="str">
        <f aca="false">IF('RAW CBH'!C29="","",'RAW CBH'!C29)</f>
        <v>rn educator</v>
      </c>
      <c r="I856" s="48" t="n">
        <f aca="false">IF('RAW CBH'!E29="","",'RAW CBH'!E29)</f>
        <v>3.25</v>
      </c>
      <c r="J856" s="48" t="n">
        <f aca="false">IF('RAW CBH'!F29="","",'RAW CBH'!F29)</f>
        <v>25</v>
      </c>
      <c r="K856" s="50" t="n">
        <f aca="false">IF('RAW CBH'!G29="","",'RAW CBH'!G29)</f>
        <v>195</v>
      </c>
      <c r="L856" s="50" t="str">
        <f aca="false">IF('RAW CBH'!H29="","",'RAW CBH'!H29)</f>
        <v/>
      </c>
      <c r="M856" s="48" t="str">
        <f aca="false">IF('RAW CBH'!I29="","",'RAW CBH'!I29)</f>
        <v/>
      </c>
    </row>
    <row r="857" customFormat="false" ht="15" hidden="false" customHeight="false" outlineLevel="0" collapsed="false">
      <c r="A857" s="1" t="s">
        <v>2001</v>
      </c>
      <c r="B857" s="1" t="s">
        <v>156</v>
      </c>
      <c r="C857" s="1" t="s">
        <v>1149</v>
      </c>
      <c r="D857" s="1" t="n">
        <v>30</v>
      </c>
      <c r="E857" s="48" t="str">
        <f aca="false">IF('RAW CBH'!A30="","",'RAW CBH'!A30)</f>
        <v>Health Coalition</v>
      </c>
      <c r="F857" s="48" t="str">
        <f aca="false">IF('RAW CBH'!B30="","",'RAW CBH'!B30)</f>
        <v>Community Health Improvement</v>
      </c>
      <c r="G857" s="49" t="str">
        <f aca="false">IF('RAW CBH'!D30="","",'RAW CBH'!D30)</f>
        <v>2025-08-14</v>
      </c>
      <c r="H857" s="48" t="str">
        <f aca="false">IF('RAW CBH'!C30="","",'RAW CBH'!C30)</f>
        <v>Community Benefit Manager </v>
      </c>
      <c r="I857" s="48" t="n">
        <f aca="false">IF('RAW CBH'!E30="","",'RAW CBH'!E30)</f>
        <v>2.5</v>
      </c>
      <c r="J857" s="48" t="str">
        <f aca="false">IF('RAW CBH'!F30="","",'RAW CBH'!F30)</f>
        <v/>
      </c>
      <c r="K857" s="50" t="str">
        <f aca="false">IF('RAW CBH'!G30="","",'RAW CBH'!G30)</f>
        <v/>
      </c>
      <c r="L857" s="50" t="str">
        <f aca="false">IF('RAW CBH'!H30="","",'RAW CBH'!H30)</f>
        <v/>
      </c>
      <c r="M857" s="48" t="str">
        <f aca="false">IF('RAW CBH'!I30="","",'RAW CBH'!I30)</f>
        <v>Joint meeting, KVMC hosted</v>
      </c>
    </row>
    <row r="858" customFormat="false" ht="15" hidden="false" customHeight="false" outlineLevel="0" collapsed="false">
      <c r="A858" s="1" t="s">
        <v>2002</v>
      </c>
      <c r="B858" s="1" t="s">
        <v>156</v>
      </c>
      <c r="C858" s="1" t="s">
        <v>1149</v>
      </c>
      <c r="D858" s="1" t="n">
        <v>31</v>
      </c>
      <c r="E858" s="48" t="str">
        <f aca="false">IF('RAW CBH'!A31="","",'RAW CBH'!A31)</f>
        <v>Health Coalition</v>
      </c>
      <c r="F858" s="48" t="str">
        <f aca="false">IF('RAW CBH'!B31="","",'RAW CBH'!B31)</f>
        <v>Community Health Improvement</v>
      </c>
      <c r="G858" s="49" t="str">
        <f aca="false">IF('RAW CBH'!D31="","",'RAW CBH'!D31)</f>
        <v>2025-08-14</v>
      </c>
      <c r="H858" s="48" t="str">
        <f aca="false">IF('RAW CBH'!C31="","",'RAW CBH'!C31)</f>
        <v>Sr Director</v>
      </c>
      <c r="I858" s="48" t="n">
        <f aca="false">IF('RAW CBH'!E31="","",'RAW CBH'!E31)</f>
        <v>2.25</v>
      </c>
      <c r="J858" s="48" t="str">
        <f aca="false">IF('RAW CBH'!F31="","",'RAW CBH'!F31)</f>
        <v/>
      </c>
      <c r="K858" s="50" t="n">
        <f aca="false">IF('RAW CBH'!G31="","",'RAW CBH'!G31)</f>
        <v>90</v>
      </c>
      <c r="L858" s="50" t="str">
        <f aca="false">IF('RAW CBH'!H31="","",'RAW CBH'!H31)</f>
        <v/>
      </c>
      <c r="M858" s="48" t="str">
        <f aca="false">IF('RAW CBH'!I31="","",'RAW CBH'!I31)</f>
        <v>Joint meeting, KVMC hosted</v>
      </c>
    </row>
    <row r="859" customFormat="false" ht="15" hidden="false" customHeight="false" outlineLevel="0" collapsed="false">
      <c r="A859" s="1" t="s">
        <v>2003</v>
      </c>
      <c r="B859" s="1" t="s">
        <v>156</v>
      </c>
      <c r="C859" s="1" t="s">
        <v>1149</v>
      </c>
      <c r="D859" s="1" t="n">
        <v>32</v>
      </c>
      <c r="E859" s="48" t="str">
        <f aca="false">IF('RAW CBH'!A32="","",'RAW CBH'!A32)</f>
        <v>Diabetes Prevention</v>
      </c>
      <c r="F859" s="48" t="str">
        <f aca="false">IF('RAW CBH'!B32="","",'RAW CBH'!B32)</f>
        <v>Health Education</v>
      </c>
      <c r="G859" s="49" t="str">
        <f aca="false">IF('RAW CBH'!D32="","",'RAW CBH'!D32)</f>
        <v>2025-08-20</v>
      </c>
      <c r="H859" s="48" t="str">
        <f aca="false">IF('RAW CBH'!C32="","",'RAW CBH'!C32)</f>
        <v>Hlth Educator</v>
      </c>
      <c r="I859" s="48" t="n">
        <f aca="false">IF('RAW CBH'!E32="","",'RAW CBH'!E32)</f>
        <v>2</v>
      </c>
      <c r="J859" s="48" t="n">
        <f aca="false">IF('RAW CBH'!F32="","",'RAW CBH'!F32)</f>
        <v>16</v>
      </c>
      <c r="K859" s="50" t="n">
        <f aca="false">IF('RAW CBH'!G32="","",'RAW CBH'!G32)</f>
        <v>115</v>
      </c>
      <c r="L859" s="50" t="str">
        <f aca="false">IF('RAW CBH'!H32="","",'RAW CBH'!H32)</f>
        <v/>
      </c>
      <c r="M859" s="48" t="str">
        <f aca="false">IF('RAW CBH'!I32="","",'RAW CBH'!I32)</f>
        <v/>
      </c>
    </row>
    <row r="860" customFormat="false" ht="15" hidden="false" customHeight="false" outlineLevel="0" collapsed="false">
      <c r="A860" s="1" t="s">
        <v>2004</v>
      </c>
      <c r="B860" s="1" t="s">
        <v>156</v>
      </c>
      <c r="C860" s="1" t="s">
        <v>1149</v>
      </c>
      <c r="D860" s="1" t="n">
        <v>33</v>
      </c>
      <c r="E860" s="48" t="str">
        <f aca="false">IF('RAW CBH'!A33="","",'RAW CBH'!A33)</f>
        <v>Diabetes Prevention</v>
      </c>
      <c r="F860" s="48" t="str">
        <f aca="false">IF('RAW CBH'!B33="","",'RAW CBH'!B33)</f>
        <v>Health Education</v>
      </c>
      <c r="G860" s="49" t="str">
        <f aca="false">IF('RAW CBH'!D33="","",'RAW CBH'!D33)</f>
        <v>2025-08-20</v>
      </c>
      <c r="H860" s="48" t="str">
        <f aca="false">IF('RAW CBH'!C33="","",'RAW CBH'!C33)</f>
        <v>Dietitian</v>
      </c>
      <c r="I860" s="48" t="n">
        <f aca="false">IF('RAW CBH'!E33="","",'RAW CBH'!E33)</f>
        <v>2</v>
      </c>
      <c r="J860" s="48" t="str">
        <f aca="false">IF('RAW CBH'!F33="","",'RAW CBH'!F33)</f>
        <v/>
      </c>
      <c r="K860" s="50" t="str">
        <f aca="false">IF('RAW CBH'!G33="","",'RAW CBH'!G33)</f>
        <v/>
      </c>
      <c r="L860" s="50" t="str">
        <f aca="false">IF('RAW CBH'!H33="","",'RAW CBH'!H33)</f>
        <v/>
      </c>
      <c r="M860" s="48" t="str">
        <f aca="false">IF('RAW CBH'!I33="","",'RAW CBH'!I33)</f>
        <v/>
      </c>
    </row>
    <row r="861" customFormat="false" ht="15" hidden="false" customHeight="false" outlineLevel="0" collapsed="false">
      <c r="A861" s="1" t="s">
        <v>2005</v>
      </c>
      <c r="B861" s="1" t="s">
        <v>156</v>
      </c>
      <c r="C861" s="1" t="s">
        <v>1149</v>
      </c>
      <c r="D861" s="1" t="n">
        <v>34</v>
      </c>
      <c r="E861" s="48" t="str">
        <f aca="false">IF('RAW CBH'!A34="","",'RAW CBH'!A34)</f>
        <v>Smoke-Free Parks</v>
      </c>
      <c r="F861" s="48" t="str">
        <f aca="false">IF('RAW CBH'!B34="","",'RAW CBH'!B34)</f>
        <v>Advocacy</v>
      </c>
      <c r="G861" s="49" t="str">
        <f aca="false">IF('RAW CBH'!D34="","",'RAW CBH'!D34)</f>
        <v>2025-08-28</v>
      </c>
      <c r="H861" s="48" t="str">
        <f aca="false">IF('RAW CBH'!C34="","",'RAW CBH'!C34)</f>
        <v>Dir.</v>
      </c>
      <c r="I861" s="48" t="n">
        <f aca="false">IF('RAW CBH'!E34="","",'RAW CBH'!E34)</f>
        <v>1.75</v>
      </c>
      <c r="J861" s="48" t="str">
        <f aca="false">IF('RAW CBH'!F34="","",'RAW CBH'!F34)</f>
        <v/>
      </c>
      <c r="K861" s="50" t="str">
        <f aca="false">IF('RAW CBH'!G34="","",'RAW CBH'!G34)</f>
        <v/>
      </c>
      <c r="L861" s="50" t="str">
        <f aca="false">IF('RAW CBH'!H34="","",'RAW CBH'!H34)</f>
        <v/>
      </c>
      <c r="M861" s="48" t="str">
        <f aca="false">IF('RAW CBH'!I34="","",'RAW CBH'!I34)</f>
        <v/>
      </c>
    </row>
    <row r="862" customFormat="false" ht="15" hidden="false" customHeight="false" outlineLevel="0" collapsed="false">
      <c r="A862" s="1" t="s">
        <v>2006</v>
      </c>
      <c r="B862" s="1" t="s">
        <v>156</v>
      </c>
      <c r="C862" s="1" t="s">
        <v>1149</v>
      </c>
      <c r="D862" s="1" t="n">
        <v>35</v>
      </c>
      <c r="E862" s="48" t="str">
        <f aca="false">IF('RAW CBH'!A35="","",'RAW CBH'!A35)</f>
        <v>Smoke-Free Parks</v>
      </c>
      <c r="F862" s="48" t="str">
        <f aca="false">IF('RAW CBH'!B35="","",'RAW CBH'!B35)</f>
        <v>Advocacy</v>
      </c>
      <c r="G862" s="49" t="str">
        <f aca="false">IF('RAW CBH'!D35="","",'RAW CBH'!D35)</f>
        <v>2025-08-28</v>
      </c>
      <c r="H862" s="48" t="str">
        <f aca="false">IF('RAW CBH'!C35="","",'RAW CBH'!C35)</f>
        <v>Hlth Educator</v>
      </c>
      <c r="I862" s="48" t="n">
        <f aca="false">IF('RAW CBH'!E35="","",'RAW CBH'!E35)</f>
        <v>3.75</v>
      </c>
      <c r="J862" s="48" t="str">
        <f aca="false">IF('RAW CBH'!F35="","",'RAW CBH'!F35)</f>
        <v/>
      </c>
      <c r="K862" s="50" t="n">
        <f aca="false">IF('RAW CBH'!G35="","",'RAW CBH'!G35)</f>
        <v>240</v>
      </c>
      <c r="L862" s="50" t="str">
        <f aca="false">IF('RAW CBH'!H35="","",'RAW CBH'!H35)</f>
        <v/>
      </c>
      <c r="M862" s="48" t="str">
        <f aca="false">IF('RAW CBH'!I35="","",'RAW CBH'!I35)</f>
        <v/>
      </c>
    </row>
    <row r="863" customFormat="false" ht="15" hidden="false" customHeight="false" outlineLevel="0" collapsed="false">
      <c r="A863" s="1" t="s">
        <v>2007</v>
      </c>
      <c r="B863" s="1" t="s">
        <v>156</v>
      </c>
      <c r="C863" s="1" t="s">
        <v>1149</v>
      </c>
      <c r="D863" s="1" t="n">
        <v>36</v>
      </c>
      <c r="E863" s="48" t="str">
        <f aca="false">IF('RAW CBH'!A36="","",'RAW CBH'!A36)</f>
        <v>Free Clinic Staffing</v>
      </c>
      <c r="F863" s="48" t="str">
        <f aca="false">IF('RAW CBH'!B36="","",'RAW CBH'!B36)</f>
        <v>Screenings</v>
      </c>
      <c r="G863" s="49" t="str">
        <f aca="false">IF('RAW CBH'!D36="","",'RAW CBH'!D36)</f>
        <v>2025-08-31</v>
      </c>
      <c r="H863" s="48" t="str">
        <f aca="false">IF('RAW CBH'!C36="","",'RAW CBH'!C36)</f>
        <v>FNP</v>
      </c>
      <c r="I863" s="48" t="n">
        <f aca="false">IF('RAW CBH'!E36="","",'RAW CBH'!E36)</f>
        <v>29.5</v>
      </c>
      <c r="J863" s="48" t="n">
        <f aca="false">IF('RAW CBH'!F36="","",'RAW CBH'!F36)</f>
        <v>204</v>
      </c>
      <c r="K863" s="50" t="n">
        <f aca="false">IF('RAW CBH'!G36="","",'RAW CBH'!G36)</f>
        <v>2570</v>
      </c>
      <c r="L863" s="50" t="str">
        <f aca="false">IF('RAW CBH'!H36="","",'RAW CBH'!H36)</f>
        <v/>
      </c>
      <c r="M863" s="48" t="str">
        <f aca="false">IF('RAW CBH'!I36="","",'RAW CBH'!I36)</f>
        <v/>
      </c>
    </row>
    <row r="864" customFormat="false" ht="15" hidden="false" customHeight="false" outlineLevel="0" collapsed="false">
      <c r="A864" s="1" t="s">
        <v>2008</v>
      </c>
      <c r="B864" s="1" t="s">
        <v>156</v>
      </c>
      <c r="C864" s="1" t="s">
        <v>1149</v>
      </c>
      <c r="D864" s="1" t="n">
        <v>37</v>
      </c>
      <c r="E864" s="48" t="str">
        <f aca="false">IF('RAW CBH'!A37="","",'RAW CBH'!A37)</f>
        <v>Free Clinic Staffing</v>
      </c>
      <c r="F864" s="48" t="str">
        <f aca="false">IF('RAW CBH'!B37="","",'RAW CBH'!B37)</f>
        <v>Screenings</v>
      </c>
      <c r="G864" s="49" t="str">
        <f aca="false">IF('RAW CBH'!D37="","",'RAW CBH'!D37)</f>
        <v>2025-08-31</v>
      </c>
      <c r="H864" s="48" t="str">
        <f aca="false">IF('RAW CBH'!C37="","",'RAW CBH'!C37)</f>
        <v>Pharmacist</v>
      </c>
      <c r="I864" s="48" t="n">
        <f aca="false">IF('RAW CBH'!E37="","",'RAW CBH'!E37)</f>
        <v>15.75</v>
      </c>
      <c r="J864" s="48" t="str">
        <f aca="false">IF('RAW CBH'!F37="","",'RAW CBH'!F37)</f>
        <v/>
      </c>
      <c r="K864" s="50" t="str">
        <f aca="false">IF('RAW CBH'!G37="","",'RAW CBH'!G37)</f>
        <v/>
      </c>
      <c r="L864" s="50" t="str">
        <f aca="false">IF('RAW CBH'!H37="","",'RAW CBH'!H37)</f>
        <v/>
      </c>
      <c r="M864" s="48" t="str">
        <f aca="false">IF('RAW CBH'!I37="","",'RAW CBH'!I37)</f>
        <v/>
      </c>
    </row>
    <row r="865" customFormat="false" ht="15" hidden="false" customHeight="false" outlineLevel="0" collapsed="false">
      <c r="A865" s="1" t="s">
        <v>2009</v>
      </c>
      <c r="B865" s="1" t="s">
        <v>156</v>
      </c>
      <c r="C865" s="1" t="s">
        <v>1149</v>
      </c>
      <c r="D865" s="1" t="n">
        <v>38</v>
      </c>
      <c r="E865" s="48" t="str">
        <f aca="false">IF('RAW CBH'!A38="","",'RAW CBH'!A38)</f>
        <v>Free Clinic Staffing</v>
      </c>
      <c r="F865" s="48" t="str">
        <f aca="false">IF('RAW CBH'!B38="","",'RAW CBH'!B38)</f>
        <v>Screenings</v>
      </c>
      <c r="G865" s="49" t="str">
        <f aca="false">IF('RAW CBH'!D38="","",'RAW CBH'!D38)</f>
        <v>2025-08-31</v>
      </c>
      <c r="H865" s="48" t="str">
        <f aca="false">IF('RAW CBH'!C38="","",'RAW CBH'!C38)</f>
        <v> Charge RN</v>
      </c>
      <c r="I865" s="48" t="n">
        <f aca="false">IF('RAW CBH'!E38="","",'RAW CBH'!E38)</f>
        <v>33.75</v>
      </c>
      <c r="J865" s="48" t="str">
        <f aca="false">IF('RAW CBH'!F38="","",'RAW CBH'!F38)</f>
        <v/>
      </c>
      <c r="K865" s="50" t="str">
        <f aca="false">IF('RAW CBH'!G38="","",'RAW CBH'!G38)</f>
        <v/>
      </c>
      <c r="L865" s="50" t="str">
        <f aca="false">IF('RAW CBH'!H38="","",'RAW CBH'!H38)</f>
        <v/>
      </c>
      <c r="M865" s="48" t="str">
        <f aca="false">IF('RAW CBH'!I38="","",'RAW CBH'!I38)</f>
        <v/>
      </c>
    </row>
    <row r="866" customFormat="false" ht="15" hidden="false" customHeight="false" outlineLevel="0" collapsed="false">
      <c r="A866" s="1" t="s">
        <v>2010</v>
      </c>
      <c r="B866" s="1" t="s">
        <v>156</v>
      </c>
      <c r="C866" s="1" t="s">
        <v>1149</v>
      </c>
      <c r="D866" s="1" t="n">
        <v>39</v>
      </c>
      <c r="E866" s="48" t="str">
        <f aca="false">IF('RAW CBH'!A39="","",'RAW CBH'!A39)</f>
        <v>Med Assistance</v>
      </c>
      <c r="F866" s="48" t="str">
        <f aca="false">IF('RAW CBH'!B39="","",'RAW CBH'!B39)</f>
        <v>Patient Support</v>
      </c>
      <c r="G866" s="49" t="str">
        <f aca="false">IF('RAW CBH'!D39="","",'RAW CBH'!D39)</f>
        <v>2025-08-31</v>
      </c>
      <c r="H866" s="48" t="str">
        <f aca="false">IF('RAW CBH'!C39="","",'RAW CBH'!C39)</f>
        <v>Pt Navigator</v>
      </c>
      <c r="I866" s="48" t="n">
        <f aca="false">IF('RAW CBH'!E39="","",'RAW CBH'!E39)</f>
        <v>59</v>
      </c>
      <c r="J866" s="48" t="str">
        <f aca="false">IF('RAW CBH'!F39="","",'RAW CBH'!F39)</f>
        <v/>
      </c>
      <c r="K866" s="50" t="str">
        <f aca="false">IF('RAW CBH'!G39="","",'RAW CBH'!G39)</f>
        <v/>
      </c>
      <c r="L866" s="50" t="str">
        <f aca="false">IF('RAW CBH'!H39="","",'RAW CBH'!H39)</f>
        <v/>
      </c>
      <c r="M866" s="48" t="str">
        <f aca="false">IF('RAW CBH'!I39="","",'RAW CBH'!I39)</f>
        <v/>
      </c>
    </row>
    <row r="867" customFormat="false" ht="15" hidden="false" customHeight="false" outlineLevel="0" collapsed="false">
      <c r="A867" s="1" t="s">
        <v>2011</v>
      </c>
      <c r="B867" s="1" t="s">
        <v>156</v>
      </c>
      <c r="C867" s="1" t="s">
        <v>1149</v>
      </c>
      <c r="D867" s="1" t="n">
        <v>40</v>
      </c>
      <c r="E867" s="48" t="str">
        <f aca="false">IF('RAW CBH'!A40="","",'RAW CBH'!A40)</f>
        <v>Med Assistance</v>
      </c>
      <c r="F867" s="48" t="str">
        <f aca="false">IF('RAW CBH'!B40="","",'RAW CBH'!B40)</f>
        <v>Patient Support</v>
      </c>
      <c r="G867" s="49" t="str">
        <f aca="false">IF('RAW CBH'!D40="","",'RAW CBH'!D40)</f>
        <v>2025-08-31</v>
      </c>
      <c r="H867" s="48" t="str">
        <f aca="false">IF('RAW CBH'!C40="","",'RAW CBH'!C40)</f>
        <v>Pharmacist II</v>
      </c>
      <c r="I867" s="48" t="n">
        <f aca="false">IF('RAW CBH'!E40="","",'RAW CBH'!E40)</f>
        <v>20</v>
      </c>
      <c r="J867" s="48" t="n">
        <f aca="false">IF('RAW CBH'!F40="","",'RAW CBH'!F40)</f>
        <v>96</v>
      </c>
      <c r="K867" s="50" t="n">
        <f aca="false">IF('RAW CBH'!G40="","",'RAW CBH'!G40)</f>
        <v>15930</v>
      </c>
      <c r="L867" s="50" t="str">
        <f aca="false">IF('RAW CBH'!H40="","",'RAW CBH'!H40)</f>
        <v/>
      </c>
      <c r="M867" s="48" t="str">
        <f aca="false">IF('RAW CBH'!I40="","",'RAW CBH'!I40)</f>
        <v/>
      </c>
    </row>
    <row r="868" customFormat="false" ht="15" hidden="false" customHeight="false" outlineLevel="0" collapsed="false">
      <c r="A868" s="1" t="s">
        <v>2012</v>
      </c>
      <c r="B868" s="1" t="s">
        <v>156</v>
      </c>
      <c r="C868" s="1" t="s">
        <v>1149</v>
      </c>
      <c r="D868" s="1" t="n">
        <v>41</v>
      </c>
      <c r="E868" s="48" t="str">
        <f aca="false">IF('RAW CBH'!A41="","",'RAW CBH'!A41)</f>
        <v>Community Benefit Admin</v>
      </c>
      <c r="F868" s="48" t="str">
        <f aca="false">IF('RAW CBH'!B41="","",'RAW CBH'!B41)</f>
        <v>Ops</v>
      </c>
      <c r="G868" s="49" t="str">
        <f aca="false">IF('RAW CBH'!D41="","",'RAW CBH'!D41)</f>
        <v>2025-08-31</v>
      </c>
      <c r="H868" s="48" t="str">
        <f aca="false">IF('RAW CBH'!C41="","",'RAW CBH'!C41)</f>
        <v>admin support</v>
      </c>
      <c r="I868" s="48" t="n">
        <f aca="false">IF('RAW CBH'!E41="","",'RAW CBH'!E41)</f>
        <v>30.5</v>
      </c>
      <c r="J868" s="48" t="str">
        <f aca="false">IF('RAW CBH'!F41="","",'RAW CBH'!F41)</f>
        <v/>
      </c>
      <c r="K868" s="50" t="str">
        <f aca="false">IF('RAW CBH'!G41="","",'RAW CBH'!G41)</f>
        <v/>
      </c>
      <c r="L868" s="50" t="str">
        <f aca="false">IF('RAW CBH'!H41="","",'RAW CBH'!H41)</f>
        <v/>
      </c>
      <c r="M868" s="48" t="str">
        <f aca="false">IF('RAW CBH'!I41="","",'RAW CBH'!I41)</f>
        <v/>
      </c>
    </row>
    <row r="869" customFormat="false" ht="15" hidden="false" customHeight="false" outlineLevel="0" collapsed="false">
      <c r="A869" s="1" t="s">
        <v>2013</v>
      </c>
      <c r="B869" s="1" t="s">
        <v>156</v>
      </c>
      <c r="C869" s="1" t="s">
        <v>1149</v>
      </c>
      <c r="D869" s="1" t="n">
        <v>42</v>
      </c>
      <c r="E869" s="48" t="str">
        <f aca="false">IF('RAW CBH'!A42="","",'RAW CBH'!A42)</f>
        <v>Community Benefit Admin</v>
      </c>
      <c r="F869" s="48" t="str">
        <f aca="false">IF('RAW CBH'!B42="","",'RAW CBH'!B42)</f>
        <v>Ops</v>
      </c>
      <c r="G869" s="49" t="str">
        <f aca="false">IF('RAW CBH'!D42="","",'RAW CBH'!D42)</f>
        <v>2025-08-31</v>
      </c>
      <c r="H869" s="48" t="str">
        <f aca="false">IF('RAW CBH'!C42="","",'RAW CBH'!C42)</f>
        <v>Community Benefit Mgr</v>
      </c>
      <c r="I869" s="48" t="n">
        <f aca="false">IF('RAW CBH'!E42="","",'RAW CBH'!E42)</f>
        <v>72.25</v>
      </c>
      <c r="J869" s="48" t="str">
        <f aca="false">IF('RAW CBH'!F42="","",'RAW CBH'!F42)</f>
        <v/>
      </c>
      <c r="K869" s="50" t="n">
        <f aca="false">IF('RAW CBH'!G42="","",'RAW CBH'!G42)</f>
        <v>640</v>
      </c>
      <c r="L869" s="50" t="str">
        <f aca="false">IF('RAW CBH'!H42="","",'RAW CBH'!H42)</f>
        <v/>
      </c>
      <c r="M869" s="48" t="str">
        <f aca="false">IF('RAW CBH'!I42="","",'RAW CBH'!I42)</f>
        <v/>
      </c>
    </row>
    <row r="870" customFormat="false" ht="15" hidden="false" customHeight="false" outlineLevel="0" collapsed="false">
      <c r="A870" s="1" t="s">
        <v>2014</v>
      </c>
      <c r="B870" s="1" t="s">
        <v>156</v>
      </c>
      <c r="C870" s="1" t="s">
        <v>1149</v>
      </c>
      <c r="D870" s="1" t="n">
        <v>43</v>
      </c>
      <c r="E870" s="48" t="str">
        <f aca="false">IF('RAW CBH'!A43="","",'RAW CBH'!A43)</f>
        <v>Interpreter Services</v>
      </c>
      <c r="F870" s="48" t="str">
        <f aca="false">IF('RAW CBH'!B43="","",'RAW CBH'!B43)</f>
        <v>Patient Support</v>
      </c>
      <c r="G870" s="49" t="str">
        <f aca="false">IF('RAW CBH'!D43="","",'RAW CBH'!D43)</f>
        <v>2025-08-31</v>
      </c>
      <c r="H870" s="48" t="str">
        <f aca="false">IF('RAW CBH'!C43="","",'RAW CBH'!C43)</f>
        <v> Medical Interpreter</v>
      </c>
      <c r="I870" s="48" t="n">
        <f aca="false">IF('RAW CBH'!E43="","",'RAW CBH'!E43)</f>
        <v>58.25</v>
      </c>
      <c r="J870" s="48" t="n">
        <f aca="false">IF('RAW CBH'!F43="","",'RAW CBH'!F43)</f>
        <v>162</v>
      </c>
      <c r="K870" s="50" t="str">
        <f aca="false">IF('RAW CBH'!G43="","",'RAW CBH'!G43)</f>
        <v/>
      </c>
      <c r="L870" s="50" t="str">
        <f aca="false">IF('RAW CBH'!H43="","",'RAW CBH'!H43)</f>
        <v/>
      </c>
      <c r="M870" s="48" t="str">
        <f aca="false">IF('RAW CBH'!I43="","",'RAW CBH'!I43)</f>
        <v/>
      </c>
    </row>
    <row r="871" customFormat="false" ht="15" hidden="false" customHeight="false" outlineLevel="0" collapsed="false">
      <c r="A871" s="1" t="s">
        <v>2015</v>
      </c>
      <c r="B871" s="1" t="s">
        <v>156</v>
      </c>
      <c r="C871" s="1" t="s">
        <v>1149</v>
      </c>
      <c r="D871" s="1" t="n">
        <v>44</v>
      </c>
      <c r="E871" s="48" t="str">
        <f aca="false">IF('RAW CBH'!A44="","",'RAW CBH'!A44)</f>
        <v>Nursing Student Rotations</v>
      </c>
      <c r="F871" s="48" t="str">
        <f aca="false">IF('RAW CBH'!B44="","",'RAW CBH'!B44)</f>
        <v>Education - Health Professions</v>
      </c>
      <c r="G871" s="49" t="str">
        <f aca="false">IF('RAW CBH'!D44="","",'RAW CBH'!D44)</f>
        <v>2025-08-31</v>
      </c>
      <c r="H871" s="48" t="str">
        <f aca="false">IF('RAW CBH'!C44="","",'RAW CBH'!C44)</f>
        <v>Clinical Nurse Educator</v>
      </c>
      <c r="I871" s="48" t="n">
        <f aca="false">IF('RAW CBH'!E44="","",'RAW CBH'!E44)</f>
        <v>138.75</v>
      </c>
      <c r="J871" s="48" t="n">
        <f aca="false">IF('RAW CBH'!F44="","",'RAW CBH'!F44)</f>
        <v>36</v>
      </c>
      <c r="K871" s="50" t="n">
        <f aca="false">IF('RAW CBH'!G44="","",'RAW CBH'!G44)</f>
        <v>885</v>
      </c>
      <c r="L871" s="50" t="str">
        <f aca="false">IF('RAW CBH'!H44="","",'RAW CBH'!H44)</f>
        <v/>
      </c>
      <c r="M871" s="48" t="str">
        <f aca="false">IF('RAW CBH'!I44="","",'RAW CBH'!I44)</f>
        <v/>
      </c>
    </row>
    <row r="872" customFormat="false" ht="15" hidden="false" customHeight="false" outlineLevel="0" collapsed="false">
      <c r="A872" s="1" t="s">
        <v>2016</v>
      </c>
      <c r="B872" s="1" t="s">
        <v>156</v>
      </c>
      <c r="C872" s="1" t="s">
        <v>1149</v>
      </c>
      <c r="D872" s="1" t="n">
        <v>45</v>
      </c>
      <c r="E872" s="48" t="str">
        <f aca="false">IF('RAW CBH'!A45="","",'RAW CBH'!A45)</f>
        <v>Nursing Student Rotations</v>
      </c>
      <c r="F872" s="48" t="str">
        <f aca="false">IF('RAW CBH'!B45="","",'RAW CBH'!B45)</f>
        <v>Education - Health Professions</v>
      </c>
      <c r="G872" s="49" t="str">
        <f aca="false">IF('RAW CBH'!D45="","",'RAW CBH'!D45)</f>
        <v>2025-08-31</v>
      </c>
      <c r="H872" s="48" t="str">
        <f aca="false">IF('RAW CBH'!C45="","",'RAW CBH'!C45)</f>
        <v>Charge RN</v>
      </c>
      <c r="I872" s="48" t="n">
        <f aca="false">IF('RAW CBH'!E45="","",'RAW CBH'!E45)</f>
        <v>210.75</v>
      </c>
      <c r="J872" s="48" t="str">
        <f aca="false">IF('RAW CBH'!F45="","",'RAW CBH'!F45)</f>
        <v/>
      </c>
      <c r="K872" s="50" t="str">
        <f aca="false">IF('RAW CBH'!G45="","",'RAW CBH'!G45)</f>
        <v/>
      </c>
      <c r="L872" s="50" t="str">
        <f aca="false">IF('RAW CBH'!H45="","",'RAW CBH'!H45)</f>
        <v/>
      </c>
      <c r="M872" s="48" t="str">
        <f aca="false">IF('RAW CBH'!I45="","",'RAW CBH'!I45)</f>
        <v/>
      </c>
    </row>
    <row r="873" customFormat="false" ht="15" hidden="false" customHeight="false" outlineLevel="0" collapsed="false">
      <c r="A873" s="1" t="s">
        <v>2017</v>
      </c>
      <c r="B873" s="1" t="s">
        <v>156</v>
      </c>
      <c r="C873" s="1" t="s">
        <v>1149</v>
      </c>
      <c r="D873" s="1" t="n">
        <v>46</v>
      </c>
      <c r="E873" s="48" t="str">
        <f aca="false">IF('RAW CBH'!A46="","",'RAW CBH'!A46)</f>
        <v>Pharmacy Students</v>
      </c>
      <c r="F873" s="48" t="str">
        <f aca="false">IF('RAW CBH'!B46="","",'RAW CBH'!B46)</f>
        <v>Education - Health Professions</v>
      </c>
      <c r="G873" s="49" t="str">
        <f aca="false">IF('RAW CBH'!D46="","",'RAW CBH'!D46)</f>
        <v>2025-08-31</v>
      </c>
      <c r="H873" s="48" t="str">
        <f aca="false">IF('RAW CBH'!C46="","",'RAW CBH'!C46)</f>
        <v>PharmD</v>
      </c>
      <c r="I873" s="48" t="n">
        <f aca="false">IF('RAW CBH'!E46="","",'RAW CBH'!E46)</f>
        <v>59.75</v>
      </c>
      <c r="J873" s="48" t="n">
        <f aca="false">IF('RAW CBH'!F46="","",'RAW CBH'!F46)</f>
        <v>4</v>
      </c>
      <c r="K873" s="50" t="n">
        <f aca="false">IF('RAW CBH'!G46="","",'RAW CBH'!G46)</f>
        <v>90</v>
      </c>
      <c r="L873" s="50" t="str">
        <f aca="false">IF('RAW CBH'!H46="","",'RAW CBH'!H46)</f>
        <v/>
      </c>
      <c r="M873" s="48" t="str">
        <f aca="false">IF('RAW CBH'!I46="","",'RAW CBH'!I46)</f>
        <v/>
      </c>
    </row>
    <row r="874" customFormat="false" ht="15" hidden="false" customHeight="false" outlineLevel="0" collapsed="false">
      <c r="A874" s="1" t="s">
        <v>2018</v>
      </c>
      <c r="B874" s="1" t="s">
        <v>156</v>
      </c>
      <c r="C874" s="1" t="s">
        <v>1149</v>
      </c>
      <c r="D874" s="1" t="n">
        <v>47</v>
      </c>
      <c r="E874" s="48" t="str">
        <f aca="false">IF('RAW CBH'!A47="","",'RAW CBH'!A47)</f>
        <v>Health Coalition</v>
      </c>
      <c r="F874" s="48" t="str">
        <f aca="false">IF('RAW CBH'!B47="","",'RAW CBH'!B47)</f>
        <v>Community Health Improvement</v>
      </c>
      <c r="G874" s="49" t="str">
        <f aca="false">IF('RAW CBH'!D47="","",'RAW CBH'!D47)</f>
        <v>2025-09-09</v>
      </c>
      <c r="H874" s="48" t="str">
        <f aca="false">IF('RAW CBH'!C47="","",'RAW CBH'!C47)</f>
        <v>Community Benefit Manager</v>
      </c>
      <c r="I874" s="48" t="n">
        <f aca="false">IF('RAW CBH'!E47="","",'RAW CBH'!E47)</f>
        <v>2.75</v>
      </c>
      <c r="J874" s="48" t="str">
        <f aca="false">IF('RAW CBH'!F47="","",'RAW CBH'!F47)</f>
        <v/>
      </c>
      <c r="K874" s="50" t="str">
        <f aca="false">IF('RAW CBH'!G47="","",'RAW CBH'!G47)</f>
        <v/>
      </c>
      <c r="L874" s="50" t="str">
        <f aca="false">IF('RAW CBH'!H47="","",'RAW CBH'!H47)</f>
        <v/>
      </c>
      <c r="M874" s="48" t="str">
        <f aca="false">IF('RAW CBH'!I47="","",'RAW CBH'!I47)</f>
        <v/>
      </c>
    </row>
    <row r="875" customFormat="false" ht="15" hidden="false" customHeight="false" outlineLevel="0" collapsed="false">
      <c r="A875" s="1" t="s">
        <v>2019</v>
      </c>
      <c r="B875" s="1" t="s">
        <v>156</v>
      </c>
      <c r="C875" s="1" t="s">
        <v>1149</v>
      </c>
      <c r="D875" s="1" t="n">
        <v>48</v>
      </c>
      <c r="E875" s="48" t="str">
        <f aca="false">IF('RAW CBH'!A48="","",'RAW CBH'!A48)</f>
        <v>Health Coalition</v>
      </c>
      <c r="F875" s="48" t="str">
        <f aca="false">IF('RAW CBH'!B48="","",'RAW CBH'!B48)</f>
        <v>Community Health Improvement</v>
      </c>
      <c r="G875" s="49" t="str">
        <f aca="false">IF('RAW CBH'!D48="","",'RAW CBH'!D48)</f>
        <v>2025-09-09</v>
      </c>
      <c r="H875" s="48" t="str">
        <f aca="false">IF('RAW CBH'!C48="","",'RAW CBH'!C48)</f>
        <v> VP</v>
      </c>
      <c r="I875" s="48" t="n">
        <f aca="false">IF('RAW CBH'!E48="","",'RAW CBH'!E48)</f>
        <v>2.75</v>
      </c>
      <c r="J875" s="48" t="str">
        <f aca="false">IF('RAW CBH'!F48="","",'RAW CBH'!F48)</f>
        <v/>
      </c>
      <c r="K875" s="50" t="n">
        <f aca="false">IF('RAW CBH'!G48="","",'RAW CBH'!G48)</f>
        <v>5</v>
      </c>
      <c r="L875" s="50" t="str">
        <f aca="false">IF('RAW CBH'!H48="","",'RAW CBH'!H48)</f>
        <v/>
      </c>
      <c r="M875" s="48" t="str">
        <f aca="false">IF('RAW CBH'!I48="","",'RAW CBH'!I48)</f>
        <v/>
      </c>
    </row>
    <row r="876" customFormat="false" ht="15" hidden="false" customHeight="false" outlineLevel="0" collapsed="false">
      <c r="A876" s="1" t="s">
        <v>2020</v>
      </c>
      <c r="B876" s="1" t="s">
        <v>156</v>
      </c>
      <c r="C876" s="1" t="s">
        <v>1149</v>
      </c>
      <c r="D876" s="1" t="n">
        <v>49</v>
      </c>
      <c r="E876" s="48" t="str">
        <f aca="false">IF('RAW CBH'!A49="","",'RAW CBH'!A49)</f>
        <v>Mental Health First Aid</v>
      </c>
      <c r="F876" s="48" t="str">
        <f aca="false">IF('RAW CBH'!B49="","",'RAW CBH'!B49)</f>
        <v>Health Education</v>
      </c>
      <c r="G876" s="49" t="str">
        <f aca="false">IF('RAW CBH'!D49="","",'RAW CBH'!D49)</f>
        <v>2025-09-11</v>
      </c>
      <c r="H876" s="48" t="str">
        <f aca="false">IF('RAW CBH'!C49="","",'RAW CBH'!C49)</f>
        <v>Wellness Educator</v>
      </c>
      <c r="I876" s="48" t="n">
        <f aca="false">IF('RAW CBH'!E49="","",'RAW CBH'!E49)</f>
        <v>8</v>
      </c>
      <c r="J876" s="48" t="str">
        <f aca="false">IF('RAW CBH'!F49="","",'RAW CBH'!F49)</f>
        <v/>
      </c>
      <c r="K876" s="50" t="str">
        <f aca="false">IF('RAW CBH'!G49="","",'RAW CBH'!G49)</f>
        <v/>
      </c>
      <c r="L876" s="50" t="str">
        <f aca="false">IF('RAW CBH'!H49="","",'RAW CBH'!H49)</f>
        <v/>
      </c>
      <c r="M876" s="48" t="str">
        <f aca="false">IF('RAW CBH'!I49="","",'RAW CBH'!I49)</f>
        <v/>
      </c>
    </row>
    <row r="877" customFormat="false" ht="15" hidden="false" customHeight="false" outlineLevel="0" collapsed="false">
      <c r="A877" s="1" t="s">
        <v>2021</v>
      </c>
      <c r="B877" s="1" t="s">
        <v>156</v>
      </c>
      <c r="C877" s="1" t="s">
        <v>1149</v>
      </c>
      <c r="D877" s="1" t="n">
        <v>50</v>
      </c>
      <c r="E877" s="48" t="str">
        <f aca="false">IF('RAW CBH'!A50="","",'RAW CBH'!A50)</f>
        <v>Mental Health First Aid</v>
      </c>
      <c r="F877" s="48" t="str">
        <f aca="false">IF('RAW CBH'!B50="","",'RAW CBH'!B50)</f>
        <v>Health Education</v>
      </c>
      <c r="G877" s="49" t="str">
        <f aca="false">IF('RAW CBH'!D50="","",'RAW CBH'!D50)</f>
        <v>2025-09-11</v>
      </c>
      <c r="H877" s="48" t="str">
        <f aca="false">IF('RAW CBH'!C50="","",'RAW CBH'!C50)</f>
        <v>LMSW</v>
      </c>
      <c r="I877" s="48" t="n">
        <f aca="false">IF('RAW CBH'!E50="","",'RAW CBH'!E50)</f>
        <v>8</v>
      </c>
      <c r="J877" s="48" t="n">
        <f aca="false">IF('RAW CBH'!F50="","",'RAW CBH'!F50)</f>
        <v>33</v>
      </c>
      <c r="K877" s="50" t="n">
        <f aca="false">IF('RAW CBH'!G50="","",'RAW CBH'!G50)</f>
        <v>265</v>
      </c>
      <c r="L877" s="50" t="str">
        <f aca="false">IF('RAW CBH'!H50="","",'RAW CBH'!H50)</f>
        <v/>
      </c>
      <c r="M877" s="48" t="str">
        <f aca="false">IF('RAW CBH'!I50="","",'RAW CBH'!I50)</f>
        <v/>
      </c>
    </row>
    <row r="878" customFormat="false" ht="15" hidden="false" customHeight="false" outlineLevel="0" collapsed="false">
      <c r="A878" s="1" t="s">
        <v>2022</v>
      </c>
      <c r="B878" s="1" t="s">
        <v>156</v>
      </c>
      <c r="C878" s="1" t="s">
        <v>1149</v>
      </c>
      <c r="D878" s="1" t="n">
        <v>51</v>
      </c>
      <c r="E878" s="48" t="str">
        <f aca="false">IF('RAW CBH'!A51="","",'RAW CBH'!A51)</f>
        <v>Bereavement Group</v>
      </c>
      <c r="F878" s="48" t="str">
        <f aca="false">IF('RAW CBH'!B51="","",'RAW CBH'!B51)</f>
        <v>Patient Support</v>
      </c>
      <c r="G878" s="49" t="str">
        <f aca="false">IF('RAW CBH'!D51="","",'RAW CBH'!D51)</f>
        <v>2025-09-13</v>
      </c>
      <c r="H878" s="48" t="str">
        <f aca="false">IF('RAW CBH'!C51="","",'RAW CBH'!C51)</f>
        <v>Pastoral Care </v>
      </c>
      <c r="I878" s="48" t="n">
        <f aca="false">IF('RAW CBH'!E51="","",'RAW CBH'!E51)</f>
        <v>2.5</v>
      </c>
      <c r="J878" s="48" t="n">
        <f aca="false">IF('RAW CBH'!F51="","",'RAW CBH'!F51)</f>
        <v>16</v>
      </c>
      <c r="K878" s="50" t="n">
        <f aca="false">IF('RAW CBH'!G51="","",'RAW CBH'!G51)</f>
        <v>30</v>
      </c>
      <c r="L878" s="50" t="str">
        <f aca="false">IF('RAW CBH'!H51="","",'RAW CBH'!H51)</f>
        <v/>
      </c>
      <c r="M878" s="48" t="str">
        <f aca="false">IF('RAW CBH'!I51="","",'RAW CBH'!I51)</f>
        <v/>
      </c>
    </row>
    <row r="879" customFormat="false" ht="15" hidden="false" customHeight="false" outlineLevel="0" collapsed="false">
      <c r="A879" s="1" t="s">
        <v>2023</v>
      </c>
      <c r="B879" s="1" t="s">
        <v>156</v>
      </c>
      <c r="C879" s="1" t="s">
        <v>1149</v>
      </c>
      <c r="D879" s="1" t="n">
        <v>52</v>
      </c>
      <c r="E879" s="48" t="str">
        <f aca="false">IF('RAW CBH'!A52="","",'RAW CBH'!A52)</f>
        <v>Bereavement Group</v>
      </c>
      <c r="F879" s="48" t="str">
        <f aca="false">IF('RAW CBH'!B52="","",'RAW CBH'!B52)</f>
        <v>Patient Support</v>
      </c>
      <c r="G879" s="49" t="str">
        <f aca="false">IF('RAW CBH'!D52="","",'RAW CBH'!D52)</f>
        <v>2025-09-13</v>
      </c>
      <c r="H879" s="48" t="str">
        <f aca="false">IF('RAW CBH'!C52="","",'RAW CBH'!C52)</f>
        <v>LCSW</v>
      </c>
      <c r="I879" s="48" t="n">
        <f aca="false">IF('RAW CBH'!E52="","",'RAW CBH'!E52)</f>
        <v>2.25</v>
      </c>
      <c r="J879" s="48" t="str">
        <f aca="false">IF('RAW CBH'!F52="","",'RAW CBH'!F52)</f>
        <v/>
      </c>
      <c r="K879" s="50" t="str">
        <f aca="false">IF('RAW CBH'!G52="","",'RAW CBH'!G52)</f>
        <v/>
      </c>
      <c r="L879" s="50" t="str">
        <f aca="false">IF('RAW CBH'!H52="","",'RAW CBH'!H52)</f>
        <v/>
      </c>
      <c r="M879" s="48" t="str">
        <f aca="false">IF('RAW CBH'!I52="","",'RAW CBH'!I52)</f>
        <v/>
      </c>
    </row>
    <row r="880" customFormat="false" ht="15" hidden="false" customHeight="false" outlineLevel="0" collapsed="false">
      <c r="A880" s="1" t="s">
        <v>2024</v>
      </c>
      <c r="B880" s="1" t="s">
        <v>156</v>
      </c>
      <c r="C880" s="1" t="s">
        <v>1149</v>
      </c>
      <c r="D880" s="1" t="n">
        <v>53</v>
      </c>
      <c r="E880" s="48" t="str">
        <f aca="false">IF('RAW CBH'!A53="","",'RAW CBH'!A53)</f>
        <v>Community Garden</v>
      </c>
      <c r="F880" s="48" t="str">
        <f aca="false">IF('RAW CBH'!B53="","",'RAW CBH'!B53)</f>
        <v>Environmental</v>
      </c>
      <c r="G880" s="49" t="str">
        <f aca="false">IF('RAW CBH'!D53="","",'RAW CBH'!D53)</f>
        <v>2025-09-13</v>
      </c>
      <c r="H880" s="48" t="str">
        <f aca="false">IF('RAW CBH'!C53="","",'RAW CBH'!C53)</f>
        <v>Program Coordinator</v>
      </c>
      <c r="I880" s="48" t="n">
        <f aca="false">IF('RAW CBH'!E53="","",'RAW CBH'!E53)</f>
        <v>5.25</v>
      </c>
      <c r="J880" s="48" t="n">
        <f aca="false">IF('RAW CBH'!F53="","",'RAW CBH'!F53)</f>
        <v>29</v>
      </c>
      <c r="K880" s="50" t="n">
        <f aca="false">IF('RAW CBH'!G53="","",'RAW CBH'!G53)</f>
        <v>4080</v>
      </c>
      <c r="L880" s="50" t="str">
        <f aca="false">IF('RAW CBH'!H53="","",'RAW CBH'!H53)</f>
        <v/>
      </c>
      <c r="M880" s="48" t="str">
        <f aca="false">IF('RAW CBH'!I53="","",'RAW CBH'!I53)</f>
        <v/>
      </c>
    </row>
    <row r="881" customFormat="false" ht="15" hidden="false" customHeight="false" outlineLevel="0" collapsed="false">
      <c r="A881" s="1" t="s">
        <v>2025</v>
      </c>
      <c r="B881" s="1" t="s">
        <v>156</v>
      </c>
      <c r="C881" s="1" t="s">
        <v>1149</v>
      </c>
      <c r="D881" s="1" t="n">
        <v>54</v>
      </c>
      <c r="E881" s="48" t="str">
        <f aca="false">IF('RAW CBH'!A54="","",'RAW CBH'!A54)</f>
        <v>Diabetes Prevention</v>
      </c>
      <c r="F881" s="48" t="str">
        <f aca="false">IF('RAW CBH'!B54="","",'RAW CBH'!B54)</f>
        <v>Health Education</v>
      </c>
      <c r="G881" s="49" t="str">
        <f aca="false">IF('RAW CBH'!D54="","",'RAW CBH'!D54)</f>
        <v>2025-09-18</v>
      </c>
      <c r="H881" s="48" t="str">
        <f aca="false">IF('RAW CBH'!C54="","",'RAW CBH'!C54)</f>
        <v>Wellness Educator</v>
      </c>
      <c r="I881" s="48" t="n">
        <f aca="false">IF('RAW CBH'!E54="","",'RAW CBH'!E54)</f>
        <v>2.5</v>
      </c>
      <c r="J881" s="48" t="n">
        <f aca="false">IF('RAW CBH'!F54="","",'RAW CBH'!F54)</f>
        <v>15</v>
      </c>
      <c r="K881" s="50" t="n">
        <f aca="false">IF('RAW CBH'!G54="","",'RAW CBH'!G54)</f>
        <v>130</v>
      </c>
      <c r="L881" s="50" t="str">
        <f aca="false">IF('RAW CBH'!H54="","",'RAW CBH'!H54)</f>
        <v/>
      </c>
      <c r="M881" s="48" t="str">
        <f aca="false">IF('RAW CBH'!I54="","",'RAW CBH'!I54)</f>
        <v/>
      </c>
    </row>
    <row r="882" customFormat="false" ht="15" hidden="false" customHeight="false" outlineLevel="0" collapsed="false">
      <c r="A882" s="1" t="s">
        <v>2026</v>
      </c>
      <c r="B882" s="1" t="s">
        <v>156</v>
      </c>
      <c r="C882" s="1" t="s">
        <v>1149</v>
      </c>
      <c r="D882" s="1" t="n">
        <v>55</v>
      </c>
      <c r="E882" s="48" t="str">
        <f aca="false">IF('RAW CBH'!A55="","",'RAW CBH'!A55)</f>
        <v>Diabetes Prevention</v>
      </c>
      <c r="F882" s="48" t="str">
        <f aca="false">IF('RAW CBH'!B55="","",'RAW CBH'!B55)</f>
        <v>Health Education</v>
      </c>
      <c r="G882" s="49" t="str">
        <f aca="false">IF('RAW CBH'!D55="","",'RAW CBH'!D55)</f>
        <v>2025-09-18</v>
      </c>
      <c r="H882" s="48" t="str">
        <f aca="false">IF('RAW CBH'!C55="","",'RAW CBH'!C55)</f>
        <v>Nutritionist</v>
      </c>
      <c r="I882" s="48" t="n">
        <f aca="false">IF('RAW CBH'!E55="","",'RAW CBH'!E55)</f>
        <v>1.75</v>
      </c>
      <c r="J882" s="48" t="str">
        <f aca="false">IF('RAW CBH'!F55="","",'RAW CBH'!F55)</f>
        <v/>
      </c>
      <c r="K882" s="50" t="str">
        <f aca="false">IF('RAW CBH'!G55="","",'RAW CBH'!G55)</f>
        <v/>
      </c>
      <c r="L882" s="50" t="str">
        <f aca="false">IF('RAW CBH'!H55="","",'RAW CBH'!H55)</f>
        <v/>
      </c>
      <c r="M882" s="48" t="str">
        <f aca="false">IF('RAW CBH'!I55="","",'RAW CBH'!I55)</f>
        <v/>
      </c>
    </row>
    <row r="883" customFormat="false" ht="15" hidden="false" customHeight="false" outlineLevel="0" collapsed="false">
      <c r="A883" s="1" t="s">
        <v>2027</v>
      </c>
      <c r="B883" s="1" t="s">
        <v>156</v>
      </c>
      <c r="C883" s="1" t="s">
        <v>1149</v>
      </c>
      <c r="D883" s="1" t="n">
        <v>56</v>
      </c>
      <c r="E883" s="48" t="str">
        <f aca="false">IF('RAW CBH'!A56="","",'RAW CBH'!A56)</f>
        <v>Diabetes Prevention</v>
      </c>
      <c r="F883" s="48" t="str">
        <f aca="false">IF('RAW CBH'!B56="","",'RAW CBH'!B56)</f>
        <v>Health Education</v>
      </c>
      <c r="G883" s="49" t="str">
        <f aca="false">IF('RAW CBH'!D56="","",'RAW CBH'!D56)</f>
        <v>2025-09-20</v>
      </c>
      <c r="H883" s="48" t="str">
        <f aca="false">IF('RAW CBH'!C56="","",'RAW CBH'!C56)</f>
        <v>Wellness Educator</v>
      </c>
      <c r="I883" s="48" t="n">
        <f aca="false">IF('RAW CBH'!E56="","",'RAW CBH'!E56)</f>
        <v>2</v>
      </c>
      <c r="J883" s="48" t="n">
        <f aca="false">IF('RAW CBH'!F56="","",'RAW CBH'!F56)</f>
        <v>18</v>
      </c>
      <c r="K883" s="50" t="n">
        <f aca="false">IF('RAW CBH'!G56="","",'RAW CBH'!G56)</f>
        <v>170</v>
      </c>
      <c r="L883" s="50" t="str">
        <f aca="false">IF('RAW CBH'!H56="","",'RAW CBH'!H56)</f>
        <v/>
      </c>
      <c r="M883" s="48" t="str">
        <f aca="false">IF('RAW CBH'!I56="","",'RAW CBH'!I56)</f>
        <v/>
      </c>
    </row>
    <row r="884" customFormat="false" ht="15" hidden="false" customHeight="false" outlineLevel="0" collapsed="false">
      <c r="A884" s="1" t="s">
        <v>2028</v>
      </c>
      <c r="B884" s="1" t="s">
        <v>156</v>
      </c>
      <c r="C884" s="1" t="s">
        <v>1149</v>
      </c>
      <c r="D884" s="1" t="n">
        <v>57</v>
      </c>
      <c r="E884" s="48" t="str">
        <f aca="false">IF('RAW CBH'!A57="","",'RAW CBH'!A57)</f>
        <v>Diabetes Prevention</v>
      </c>
      <c r="F884" s="48" t="str">
        <f aca="false">IF('RAW CBH'!B57="","",'RAW CBH'!B57)</f>
        <v>Health Education</v>
      </c>
      <c r="G884" s="49" t="str">
        <f aca="false">IF('RAW CBH'!D57="","",'RAW CBH'!D57)</f>
        <v>2025-09-20</v>
      </c>
      <c r="H884" s="48" t="str">
        <f aca="false">IF('RAW CBH'!C57="","",'RAW CBH'!C57)</f>
        <v>Dietitian</v>
      </c>
      <c r="I884" s="48" t="n">
        <f aca="false">IF('RAW CBH'!E57="","",'RAW CBH'!E57)</f>
        <v>1.5</v>
      </c>
      <c r="J884" s="48" t="str">
        <f aca="false">IF('RAW CBH'!F57="","",'RAW CBH'!F57)</f>
        <v/>
      </c>
      <c r="K884" s="50" t="str">
        <f aca="false">IF('RAW CBH'!G57="","",'RAW CBH'!G57)</f>
        <v/>
      </c>
      <c r="L884" s="50" t="str">
        <f aca="false">IF('RAW CBH'!H57="","",'RAW CBH'!H57)</f>
        <v/>
      </c>
      <c r="M884" s="48" t="str">
        <f aca="false">IF('RAW CBH'!I57="","",'RAW CBH'!I57)</f>
        <v/>
      </c>
    </row>
    <row r="885" customFormat="false" ht="15" hidden="false" customHeight="false" outlineLevel="0" collapsed="false">
      <c r="A885" s="1" t="s">
        <v>2029</v>
      </c>
      <c r="B885" s="1" t="s">
        <v>156</v>
      </c>
      <c r="C885" s="1" t="s">
        <v>1149</v>
      </c>
      <c r="D885" s="1" t="n">
        <v>58</v>
      </c>
      <c r="E885" s="48" t="str">
        <f aca="false">IF('RAW CBH'!A58="","",'RAW CBH'!A58)</f>
        <v>Free Clinic Grant</v>
      </c>
      <c r="F885" s="48" t="str">
        <f aca="false">IF('RAW CBH'!B58="","",'RAW CBH'!B58)</f>
        <v>Donation</v>
      </c>
      <c r="G885" s="49" t="str">
        <f aca="false">IF('RAW CBH'!D58="","",'RAW CBH'!D58)</f>
        <v>2025-09-20</v>
      </c>
      <c r="H885" s="48" t="str">
        <f aca="false">IF('RAW CBH'!C58="","",'RAW CBH'!C58)</f>
        <v>n.a. </v>
      </c>
      <c r="I885" s="48" t="n">
        <f aca="false">IF('RAW CBH'!E58="","",'RAW CBH'!E58)</f>
        <v>0</v>
      </c>
      <c r="J885" s="48" t="str">
        <f aca="false">IF('RAW CBH'!F58="","",'RAW CBH'!F58)</f>
        <v/>
      </c>
      <c r="K885" s="50" t="n">
        <f aca="false">IF('RAW CBH'!G58="","",'RAW CBH'!G58)</f>
        <v>43700</v>
      </c>
      <c r="L885" s="50" t="str">
        <f aca="false">IF('RAW CBH'!H58="","",'RAW CBH'!H58)</f>
        <v/>
      </c>
      <c r="M885" s="48" t="str">
        <f aca="false">IF('RAW CBH'!I58="","",'RAW CBH'!I58)</f>
        <v/>
      </c>
    </row>
    <row r="886" customFormat="false" ht="15" hidden="false" customHeight="false" outlineLevel="0" collapsed="false">
      <c r="A886" s="1" t="s">
        <v>2030</v>
      </c>
      <c r="B886" s="1" t="s">
        <v>156</v>
      </c>
      <c r="C886" s="1" t="s">
        <v>1149</v>
      </c>
      <c r="D886" s="1" t="n">
        <v>59</v>
      </c>
      <c r="E886" s="48" t="str">
        <f aca="false">IF('RAW CBH'!A59="","",'RAW CBH'!A59)</f>
        <v>Bereavement Group</v>
      </c>
      <c r="F886" s="48" t="str">
        <f aca="false">IF('RAW CBH'!B59="","",'RAW CBH'!B59)</f>
        <v>Patient Support</v>
      </c>
      <c r="G886" s="49" t="str">
        <f aca="false">IF('RAW CBH'!D59="","",'RAW CBH'!D59)</f>
        <v>2025-09-24</v>
      </c>
      <c r="H886" s="48" t="str">
        <f aca="false">IF('RAW CBH'!C59="","",'RAW CBH'!C59)</f>
        <v>Chaplain Resident</v>
      </c>
      <c r="I886" s="48" t="n">
        <f aca="false">IF('RAW CBH'!E59="","",'RAW CBH'!E59)</f>
        <v>2.5</v>
      </c>
      <c r="J886" s="48" t="n">
        <f aca="false">IF('RAW CBH'!F59="","",'RAW CBH'!F59)</f>
        <v>7</v>
      </c>
      <c r="K886" s="50" t="n">
        <f aca="false">IF('RAW CBH'!G59="","",'RAW CBH'!G59)</f>
        <v>30</v>
      </c>
      <c r="L886" s="50" t="str">
        <f aca="false">IF('RAW CBH'!H59="","",'RAW CBH'!H59)</f>
        <v/>
      </c>
      <c r="M886" s="48" t="str">
        <f aca="false">IF('RAW CBH'!I59="","",'RAW CBH'!I59)</f>
        <v/>
      </c>
    </row>
    <row r="887" customFormat="false" ht="15" hidden="false" customHeight="false" outlineLevel="0" collapsed="false">
      <c r="A887" s="1" t="s">
        <v>2031</v>
      </c>
      <c r="B887" s="1" t="s">
        <v>156</v>
      </c>
      <c r="C887" s="1" t="s">
        <v>1149</v>
      </c>
      <c r="D887" s="1" t="n">
        <v>60</v>
      </c>
      <c r="E887" s="48" t="str">
        <f aca="false">IF('RAW CBH'!A60="","",'RAW CBH'!A60)</f>
        <v>Bereavement Group</v>
      </c>
      <c r="F887" s="48" t="str">
        <f aca="false">IF('RAW CBH'!B60="","",'RAW CBH'!B60)</f>
        <v>Patient Support</v>
      </c>
      <c r="G887" s="49" t="str">
        <f aca="false">IF('RAW CBH'!D60="","",'RAW CBH'!D60)</f>
        <v>2025-09-24</v>
      </c>
      <c r="H887" s="48" t="str">
        <f aca="false">IF('RAW CBH'!C60="","",'RAW CBH'!C60)</f>
        <v>Social Work</v>
      </c>
      <c r="I887" s="48" t="n">
        <f aca="false">IF('RAW CBH'!E60="","",'RAW CBH'!E60)</f>
        <v>2</v>
      </c>
      <c r="J887" s="48" t="str">
        <f aca="false">IF('RAW CBH'!F60="","",'RAW CBH'!F60)</f>
        <v/>
      </c>
      <c r="K887" s="50" t="str">
        <f aca="false">IF('RAW CBH'!G60="","",'RAW CBH'!G60)</f>
        <v/>
      </c>
      <c r="L887" s="50" t="str">
        <f aca="false">IF('RAW CBH'!H60="","",'RAW CBH'!H60)</f>
        <v/>
      </c>
      <c r="M887" s="48" t="str">
        <f aca="false">IF('RAW CBH'!I60="","",'RAW CBH'!I60)</f>
        <v/>
      </c>
    </row>
    <row r="888" customFormat="false" ht="15" hidden="false" customHeight="false" outlineLevel="0" collapsed="false">
      <c r="A888" s="1" t="s">
        <v>2032</v>
      </c>
      <c r="B888" s="1" t="s">
        <v>156</v>
      </c>
      <c r="C888" s="1" t="s">
        <v>1149</v>
      </c>
      <c r="D888" s="1" t="n">
        <v>61</v>
      </c>
      <c r="E888" s="48" t="str">
        <f aca="false">IF('RAW CBH'!A61="","",'RAW CBH'!A61)</f>
        <v>Naloxone Training</v>
      </c>
      <c r="F888" s="48" t="str">
        <f aca="false">IF('RAW CBH'!B61="","",'RAW CBH'!B61)</f>
        <v>Health Education</v>
      </c>
      <c r="G888" s="49" t="str">
        <f aca="false">IF('RAW CBH'!D61="","",'RAW CBH'!D61)</f>
        <v>2025-09-26</v>
      </c>
      <c r="H888" s="48" t="str">
        <f aca="false">IF('RAW CBH'!C61="","",'RAW CBH'!C61)</f>
        <v>Community Educator</v>
      </c>
      <c r="I888" s="48" t="n">
        <f aca="false">IF('RAW CBH'!E61="","",'RAW CBH'!E61)</f>
        <v>2.75</v>
      </c>
      <c r="J888" s="48" t="str">
        <f aca="false">IF('RAW CBH'!F61="","",'RAW CBH'!F61)</f>
        <v/>
      </c>
      <c r="K888" s="50" t="str">
        <f aca="false">IF('RAW CBH'!G61="","",'RAW CBH'!G61)</f>
        <v/>
      </c>
      <c r="L888" s="50" t="str">
        <f aca="false">IF('RAW CBH'!H61="","",'RAW CBH'!H61)</f>
        <v/>
      </c>
      <c r="M888" s="48" t="str">
        <f aca="false">IF('RAW CBH'!I61="","",'RAW CBH'!I61)</f>
        <v/>
      </c>
    </row>
    <row r="889" customFormat="false" ht="15" hidden="false" customHeight="false" outlineLevel="0" collapsed="false">
      <c r="A889" s="1" t="s">
        <v>2033</v>
      </c>
      <c r="B889" s="1" t="s">
        <v>156</v>
      </c>
      <c r="C889" s="1" t="s">
        <v>1149</v>
      </c>
      <c r="D889" s="1" t="n">
        <v>62</v>
      </c>
      <c r="E889" s="48" t="str">
        <f aca="false">IF('RAW CBH'!A62="","",'RAW CBH'!A62)</f>
        <v>Naloxone Training</v>
      </c>
      <c r="F889" s="48" t="str">
        <f aca="false">IF('RAW CBH'!B62="","",'RAW CBH'!B62)</f>
        <v>Health Education</v>
      </c>
      <c r="G889" s="49" t="str">
        <f aca="false">IF('RAW CBH'!D62="","",'RAW CBH'!D62)</f>
        <v>2025-09-26</v>
      </c>
      <c r="H889" s="48" t="str">
        <f aca="false">IF('RAW CBH'!C62="","",'RAW CBH'!C62)</f>
        <v>RPh</v>
      </c>
      <c r="I889" s="48" t="n">
        <f aca="false">IF('RAW CBH'!E62="","",'RAW CBH'!E62)</f>
        <v>3</v>
      </c>
      <c r="J889" s="48" t="n">
        <f aca="false">IF('RAW CBH'!F62="","",'RAW CBH'!F62)</f>
        <v>28</v>
      </c>
      <c r="K889" s="50" t="n">
        <f aca="false">IF('RAW CBH'!G62="","",'RAW CBH'!G62)</f>
        <v>1845</v>
      </c>
      <c r="L889" s="50" t="n">
        <f aca="false">IF('RAW CBH'!H62="","",'RAW CBH'!H62)</f>
        <v>1665</v>
      </c>
      <c r="M889" s="48" t="str">
        <f aca="false">IF('RAW CBH'!I62="","",'RAW CBH'!I62)</f>
        <v/>
      </c>
    </row>
    <row r="890" customFormat="false" ht="15" hidden="false" customHeight="false" outlineLevel="0" collapsed="false">
      <c r="A890" s="1" t="s">
        <v>2034</v>
      </c>
      <c r="B890" s="1" t="s">
        <v>156</v>
      </c>
      <c r="C890" s="1" t="s">
        <v>1149</v>
      </c>
      <c r="D890" s="1" t="n">
        <v>63</v>
      </c>
      <c r="E890" s="48" t="str">
        <f aca="false">IF('RAW CBH'!A63="","",'RAW CBH'!A63)</f>
        <v>Free Clinic Staffing</v>
      </c>
      <c r="F890" s="48" t="str">
        <f aca="false">IF('RAW CBH'!B63="","",'RAW CBH'!B63)</f>
        <v>Screenings</v>
      </c>
      <c r="G890" s="49" t="str">
        <f aca="false">IF('RAW CBH'!D63="","",'RAW CBH'!D63)</f>
        <v>2025-09-30</v>
      </c>
      <c r="H890" s="48" t="str">
        <f aca="false">IF('RAW CBH'!C63="","",'RAW CBH'!C63)</f>
        <v>Family NP</v>
      </c>
      <c r="I890" s="48" t="n">
        <f aca="false">IF('RAW CBH'!E63="","",'RAW CBH'!E63)</f>
        <v>43.25</v>
      </c>
      <c r="J890" s="48" t="n">
        <f aca="false">IF('RAW CBH'!F63="","",'RAW CBH'!F63)</f>
        <v>224</v>
      </c>
      <c r="K890" s="50" t="n">
        <f aca="false">IF('RAW CBH'!G63="","",'RAW CBH'!G63)</f>
        <v>3790</v>
      </c>
      <c r="L890" s="50" t="str">
        <f aca="false">IF('RAW CBH'!H63="","",'RAW CBH'!H63)</f>
        <v/>
      </c>
      <c r="M890" s="48" t="str">
        <f aca="false">IF('RAW CBH'!I63="","",'RAW CBH'!I63)</f>
        <v/>
      </c>
    </row>
    <row r="891" customFormat="false" ht="15" hidden="false" customHeight="false" outlineLevel="0" collapsed="false">
      <c r="A891" s="1" t="s">
        <v>2035</v>
      </c>
      <c r="B891" s="1" t="s">
        <v>156</v>
      </c>
      <c r="C891" s="1" t="s">
        <v>1149</v>
      </c>
      <c r="D891" s="1" t="n">
        <v>64</v>
      </c>
      <c r="E891" s="48" t="str">
        <f aca="false">IF('RAW CBH'!A64="","",'RAW CBH'!A64)</f>
        <v>Free Clinic Staffing</v>
      </c>
      <c r="F891" s="48" t="str">
        <f aca="false">IF('RAW CBH'!B64="","",'RAW CBH'!B64)</f>
        <v>Screenings</v>
      </c>
      <c r="G891" s="49" t="str">
        <f aca="false">IF('RAW CBH'!D64="","",'RAW CBH'!D64)</f>
        <v>2025-09-30</v>
      </c>
      <c r="H891" s="48" t="str">
        <f aca="false">IF('RAW CBH'!C64="","",'RAW CBH'!C64)</f>
        <v>RPh</v>
      </c>
      <c r="I891" s="48" t="n">
        <f aca="false">IF('RAW CBH'!E64="","",'RAW CBH'!E64)</f>
        <v>11</v>
      </c>
      <c r="J891" s="48" t="str">
        <f aca="false">IF('RAW CBH'!F64="","",'RAW CBH'!F64)</f>
        <v/>
      </c>
      <c r="K891" s="50" t="str">
        <f aca="false">IF('RAW CBH'!G64="","",'RAW CBH'!G64)</f>
        <v/>
      </c>
      <c r="L891" s="50" t="str">
        <f aca="false">IF('RAW CBH'!H64="","",'RAW CBH'!H64)</f>
        <v/>
      </c>
      <c r="M891" s="48" t="str">
        <f aca="false">IF('RAW CBH'!I64="","",'RAW CBH'!I64)</f>
        <v/>
      </c>
    </row>
    <row r="892" customFormat="false" ht="15" hidden="false" customHeight="false" outlineLevel="0" collapsed="false">
      <c r="A892" s="1" t="s">
        <v>2036</v>
      </c>
      <c r="B892" s="1" t="s">
        <v>156</v>
      </c>
      <c r="C892" s="1" t="s">
        <v>1149</v>
      </c>
      <c r="D892" s="1" t="n">
        <v>65</v>
      </c>
      <c r="E892" s="48" t="str">
        <f aca="false">IF('RAW CBH'!A65="","",'RAW CBH'!A65)</f>
        <v>Free Clinic Staffing</v>
      </c>
      <c r="F892" s="48" t="str">
        <f aca="false">IF('RAW CBH'!B65="","",'RAW CBH'!B65)</f>
        <v>Screenings</v>
      </c>
      <c r="G892" s="49" t="str">
        <f aca="false">IF('RAW CBH'!D65="","",'RAW CBH'!D65)</f>
        <v>2025-09-30</v>
      </c>
      <c r="H892" s="48" t="str">
        <f aca="false">IF('RAW CBH'!C65="","",'RAW CBH'!C65)</f>
        <v>RN - Outreach</v>
      </c>
      <c r="I892" s="48" t="n">
        <f aca="false">IF('RAW CBH'!E65="","",'RAW CBH'!E65)</f>
        <v>34.5</v>
      </c>
      <c r="J892" s="48" t="str">
        <f aca="false">IF('RAW CBH'!F65="","",'RAW CBH'!F65)</f>
        <v/>
      </c>
      <c r="K892" s="50" t="str">
        <f aca="false">IF('RAW CBH'!G65="","",'RAW CBH'!G65)</f>
        <v/>
      </c>
      <c r="L892" s="50" t="str">
        <f aca="false">IF('RAW CBH'!H65="","",'RAW CBH'!H65)</f>
        <v/>
      </c>
      <c r="M892" s="48" t="str">
        <f aca="false">IF('RAW CBH'!I65="","",'RAW CBH'!I65)</f>
        <v/>
      </c>
    </row>
    <row r="893" customFormat="false" ht="15" hidden="false" customHeight="false" outlineLevel="0" collapsed="false">
      <c r="A893" s="1" t="s">
        <v>2037</v>
      </c>
      <c r="B893" s="1" t="s">
        <v>156</v>
      </c>
      <c r="C893" s="1" t="s">
        <v>1149</v>
      </c>
      <c r="D893" s="1" t="n">
        <v>66</v>
      </c>
      <c r="E893" s="48" t="str">
        <f aca="false">IF('RAW CBH'!A66="","",'RAW CBH'!A66)</f>
        <v>Med Assistance</v>
      </c>
      <c r="F893" s="48" t="str">
        <f aca="false">IF('RAW CBH'!B66="","",'RAW CBH'!B66)</f>
        <v>Patient Support</v>
      </c>
      <c r="G893" s="49" t="str">
        <f aca="false">IF('RAW CBH'!D66="","",'RAW CBH'!D66)</f>
        <v>2025-09-30</v>
      </c>
      <c r="H893" s="48" t="str">
        <f aca="false">IF('RAW CBH'!C66="","",'RAW CBH'!C66)</f>
        <v>Nurse Navigator</v>
      </c>
      <c r="I893" s="48" t="n">
        <f aca="false">IF('RAW CBH'!E66="","",'RAW CBH'!E66)</f>
        <v>61</v>
      </c>
      <c r="J893" s="48" t="str">
        <f aca="false">IF('RAW CBH'!F66="","",'RAW CBH'!F66)</f>
        <v/>
      </c>
      <c r="K893" s="50" t="str">
        <f aca="false">IF('RAW CBH'!G66="","",'RAW CBH'!G66)</f>
        <v/>
      </c>
      <c r="L893" s="50" t="str">
        <f aca="false">IF('RAW CBH'!H66="","",'RAW CBH'!H66)</f>
        <v/>
      </c>
      <c r="M893" s="48" t="str">
        <f aca="false">IF('RAW CBH'!I66="","",'RAW CBH'!I66)</f>
        <v/>
      </c>
    </row>
    <row r="894" customFormat="false" ht="15" hidden="false" customHeight="false" outlineLevel="0" collapsed="false">
      <c r="A894" s="1" t="s">
        <v>2038</v>
      </c>
      <c r="B894" s="1" t="s">
        <v>156</v>
      </c>
      <c r="C894" s="1" t="s">
        <v>1149</v>
      </c>
      <c r="D894" s="1" t="n">
        <v>67</v>
      </c>
      <c r="E894" s="48" t="str">
        <f aca="false">IF('RAW CBH'!A67="","",'RAW CBH'!A67)</f>
        <v>Med Assistance</v>
      </c>
      <c r="F894" s="48" t="str">
        <f aca="false">IF('RAW CBH'!B67="","",'RAW CBH'!B67)</f>
        <v>Patient Support</v>
      </c>
      <c r="G894" s="49" t="str">
        <f aca="false">IF('RAW CBH'!D67="","",'RAW CBH'!D67)</f>
        <v>2025-09-30</v>
      </c>
      <c r="H894" s="48" t="str">
        <f aca="false">IF('RAW CBH'!C67="","",'RAW CBH'!C67)</f>
        <v>Pharmacist</v>
      </c>
      <c r="I894" s="48" t="n">
        <f aca="false">IF('RAW CBH'!E67="","",'RAW CBH'!E67)</f>
        <v>18.5</v>
      </c>
      <c r="J894" s="48" t="n">
        <f aca="false">IF('RAW CBH'!F67="","",'RAW CBH'!F67)</f>
        <v>109</v>
      </c>
      <c r="K894" s="50" t="n">
        <f aca="false">IF('RAW CBH'!G67="","",'RAW CBH'!G67)</f>
        <v>19380</v>
      </c>
      <c r="L894" s="50" t="str">
        <f aca="false">IF('RAW CBH'!H67="","",'RAW CBH'!H67)</f>
        <v/>
      </c>
      <c r="M894" s="48" t="str">
        <f aca="false">IF('RAW CBH'!I67="","",'RAW CBH'!I67)</f>
        <v/>
      </c>
    </row>
    <row r="895" customFormat="false" ht="15" hidden="false" customHeight="false" outlineLevel="0" collapsed="false">
      <c r="A895" s="1" t="s">
        <v>2039</v>
      </c>
      <c r="B895" s="1" t="s">
        <v>156</v>
      </c>
      <c r="C895" s="1" t="s">
        <v>1149</v>
      </c>
      <c r="D895" s="1" t="n">
        <v>68</v>
      </c>
      <c r="E895" s="48" t="str">
        <f aca="false">IF('RAW CBH'!A68="","",'RAW CBH'!A68)</f>
        <v>Community Benefit Admin</v>
      </c>
      <c r="F895" s="48" t="str">
        <f aca="false">IF('RAW CBH'!B68="","",'RAW CBH'!B68)</f>
        <v>Ops</v>
      </c>
      <c r="G895" s="49" t="str">
        <f aca="false">IF('RAW CBH'!D68="","",'RAW CBH'!D68)</f>
        <v>2025-09-30</v>
      </c>
      <c r="H895" s="48" t="str">
        <f aca="false">IF('RAW CBH'!C68="","",'RAW CBH'!C68)</f>
        <v>Admin Asst</v>
      </c>
      <c r="I895" s="48" t="n">
        <f aca="false">IF('RAW CBH'!E68="","",'RAW CBH'!E68)</f>
        <v>50.5</v>
      </c>
      <c r="J895" s="48" t="str">
        <f aca="false">IF('RAW CBH'!F68="","",'RAW CBH'!F68)</f>
        <v/>
      </c>
      <c r="K895" s="50" t="str">
        <f aca="false">IF('RAW CBH'!G68="","",'RAW CBH'!G68)</f>
        <v/>
      </c>
      <c r="L895" s="50" t="str">
        <f aca="false">IF('RAW CBH'!H68="","",'RAW CBH'!H68)</f>
        <v/>
      </c>
      <c r="M895" s="48" t="str">
        <f aca="false">IF('RAW CBH'!I68="","",'RAW CBH'!I68)</f>
        <v/>
      </c>
    </row>
    <row r="896" customFormat="false" ht="15" hidden="false" customHeight="false" outlineLevel="0" collapsed="false">
      <c r="A896" s="1" t="s">
        <v>2040</v>
      </c>
      <c r="B896" s="1" t="s">
        <v>156</v>
      </c>
      <c r="C896" s="1" t="s">
        <v>1149</v>
      </c>
      <c r="D896" s="1" t="n">
        <v>69</v>
      </c>
      <c r="E896" s="48" t="str">
        <f aca="false">IF('RAW CBH'!A69="","",'RAW CBH'!A69)</f>
        <v>Community Benefit Admin</v>
      </c>
      <c r="F896" s="48" t="str">
        <f aca="false">IF('RAW CBH'!B69="","",'RAW CBH'!B69)</f>
        <v>Ops</v>
      </c>
      <c r="G896" s="49" t="str">
        <f aca="false">IF('RAW CBH'!D69="","",'RAW CBH'!D69)</f>
        <v>2025-09-30</v>
      </c>
      <c r="H896" s="48" t="str">
        <f aca="false">IF('RAW CBH'!C69="","",'RAW CBH'!C69)</f>
        <v>Manager Community Benefit</v>
      </c>
      <c r="I896" s="48" t="n">
        <f aca="false">IF('RAW CBH'!E69="","",'RAW CBH'!E69)</f>
        <v>64.25</v>
      </c>
      <c r="J896" s="48" t="str">
        <f aca="false">IF('RAW CBH'!F69="","",'RAW CBH'!F69)</f>
        <v/>
      </c>
      <c r="K896" s="50" t="n">
        <f aca="false">IF('RAW CBH'!G69="","",'RAW CBH'!G69)</f>
        <v>360</v>
      </c>
      <c r="L896" s="50" t="str">
        <f aca="false">IF('RAW CBH'!H69="","",'RAW CBH'!H69)</f>
        <v/>
      </c>
      <c r="M896" s="48" t="str">
        <f aca="false">IF('RAW CBH'!I69="","",'RAW CBH'!I69)</f>
        <v/>
      </c>
    </row>
    <row r="897" customFormat="false" ht="15" hidden="false" customHeight="false" outlineLevel="0" collapsed="false">
      <c r="A897" s="1" t="s">
        <v>2041</v>
      </c>
      <c r="B897" s="1" t="s">
        <v>156</v>
      </c>
      <c r="C897" s="1" t="s">
        <v>1149</v>
      </c>
      <c r="D897" s="1" t="n">
        <v>70</v>
      </c>
      <c r="E897" s="48" t="str">
        <f aca="false">IF('RAW CBH'!A70="","",'RAW CBH'!A70)</f>
        <v>Interpreter Services</v>
      </c>
      <c r="F897" s="48" t="str">
        <f aca="false">IF('RAW CBH'!B70="","",'RAW CBH'!B70)</f>
        <v>Patient Support</v>
      </c>
      <c r="G897" s="49" t="str">
        <f aca="false">IF('RAW CBH'!D70="","",'RAW CBH'!D70)</f>
        <v>2025-09-30</v>
      </c>
      <c r="H897" s="48" t="str">
        <f aca="false">IF('RAW CBH'!C70="","",'RAW CBH'!C70)</f>
        <v>Interp.</v>
      </c>
      <c r="I897" s="48" t="n">
        <f aca="false">IF('RAW CBH'!E70="","",'RAW CBH'!E70)</f>
        <v>40</v>
      </c>
      <c r="J897" s="48" t="n">
        <f aca="false">IF('RAW CBH'!F70="","",'RAW CBH'!F70)</f>
        <v>139</v>
      </c>
      <c r="K897" s="50" t="str">
        <f aca="false">IF('RAW CBH'!G70="","",'RAW CBH'!G70)</f>
        <v/>
      </c>
      <c r="L897" s="50" t="str">
        <f aca="false">IF('RAW CBH'!H70="","",'RAW CBH'!H70)</f>
        <v/>
      </c>
      <c r="M897" s="48" t="str">
        <f aca="false">IF('RAW CBH'!I70="","",'RAW CBH'!I70)</f>
        <v/>
      </c>
    </row>
    <row r="898" customFormat="false" ht="15" hidden="false" customHeight="false" outlineLevel="0" collapsed="false">
      <c r="A898" s="1" t="s">
        <v>2042</v>
      </c>
      <c r="B898" s="1" t="s">
        <v>156</v>
      </c>
      <c r="C898" s="1" t="s">
        <v>1149</v>
      </c>
      <c r="D898" s="1" t="n">
        <v>71</v>
      </c>
      <c r="E898" s="48" t="str">
        <f aca="false">IF('RAW CBH'!A71="","",'RAW CBH'!A71)</f>
        <v>Nursing Student Rotations</v>
      </c>
      <c r="F898" s="48" t="str">
        <f aca="false">IF('RAW CBH'!B71="","",'RAW CBH'!B71)</f>
        <v>Education - Health Professions</v>
      </c>
      <c r="G898" s="49" t="str">
        <f aca="false">IF('RAW CBH'!D71="","",'RAW CBH'!D71)</f>
        <v>2025-09-30</v>
      </c>
      <c r="H898" s="48" t="str">
        <f aca="false">IF('RAW CBH'!C71="","",'RAW CBH'!C71)</f>
        <v>Clin Educator</v>
      </c>
      <c r="I898" s="48" t="n">
        <f aca="false">IF('RAW CBH'!E71="","",'RAW CBH'!E71)</f>
        <v>136</v>
      </c>
      <c r="J898" s="48" t="n">
        <f aca="false">IF('RAW CBH'!F71="","",'RAW CBH'!F71)</f>
        <v>39</v>
      </c>
      <c r="K898" s="50" t="n">
        <f aca="false">IF('RAW CBH'!G71="","",'RAW CBH'!G71)</f>
        <v>295</v>
      </c>
      <c r="L898" s="50" t="str">
        <f aca="false">IF('RAW CBH'!H71="","",'RAW CBH'!H71)</f>
        <v/>
      </c>
      <c r="M898" s="48" t="str">
        <f aca="false">IF('RAW CBH'!I71="","",'RAW CBH'!I71)</f>
        <v/>
      </c>
    </row>
    <row r="899" customFormat="false" ht="15" hidden="false" customHeight="false" outlineLevel="0" collapsed="false">
      <c r="A899" s="1" t="s">
        <v>2043</v>
      </c>
      <c r="B899" s="1" t="s">
        <v>156</v>
      </c>
      <c r="C899" s="1" t="s">
        <v>1149</v>
      </c>
      <c r="D899" s="1" t="n">
        <v>72</v>
      </c>
      <c r="E899" s="48" t="str">
        <f aca="false">IF('RAW CBH'!A72="","",'RAW CBH'!A72)</f>
        <v>Nursing Student Rotations</v>
      </c>
      <c r="F899" s="48" t="str">
        <f aca="false">IF('RAW CBH'!B72="","",'RAW CBH'!B72)</f>
        <v>Education - Health Professions</v>
      </c>
      <c r="G899" s="49" t="str">
        <f aca="false">IF('RAW CBH'!D72="","",'RAW CBH'!D72)</f>
        <v>2025-09-30</v>
      </c>
      <c r="H899" s="48" t="str">
        <f aca="false">IF('RAW CBH'!C72="","",'RAW CBH'!C72)</f>
        <v>Registered Nurse</v>
      </c>
      <c r="I899" s="48" t="n">
        <f aca="false">IF('RAW CBH'!E72="","",'RAW CBH'!E72)</f>
        <v>155.25</v>
      </c>
      <c r="J899" s="48" t="str">
        <f aca="false">IF('RAW CBH'!F72="","",'RAW CBH'!F72)</f>
        <v/>
      </c>
      <c r="K899" s="50" t="str">
        <f aca="false">IF('RAW CBH'!G72="","",'RAW CBH'!G72)</f>
        <v/>
      </c>
      <c r="L899" s="50" t="str">
        <f aca="false">IF('RAW CBH'!H72="","",'RAW CBH'!H72)</f>
        <v/>
      </c>
      <c r="M899" s="48" t="str">
        <f aca="false">IF('RAW CBH'!I72="","",'RAW CBH'!I72)</f>
        <v/>
      </c>
    </row>
    <row r="900" customFormat="false" ht="15" hidden="false" customHeight="false" outlineLevel="0" collapsed="false">
      <c r="A900" s="1" t="s">
        <v>2044</v>
      </c>
      <c r="B900" s="1" t="s">
        <v>156</v>
      </c>
      <c r="C900" s="1" t="s">
        <v>1149</v>
      </c>
      <c r="D900" s="1" t="n">
        <v>73</v>
      </c>
      <c r="E900" s="48" t="str">
        <f aca="false">IF('RAW CBH'!A73="","",'RAW CBH'!A73)</f>
        <v>Pharmacy Students</v>
      </c>
      <c r="F900" s="48" t="str">
        <f aca="false">IF('RAW CBH'!B73="","",'RAW CBH'!B73)</f>
        <v>Education - Health Professions</v>
      </c>
      <c r="G900" s="49" t="str">
        <f aca="false">IF('RAW CBH'!D73="","",'RAW CBH'!D73)</f>
        <v>2025-09-30</v>
      </c>
      <c r="H900" s="48" t="str">
        <f aca="false">IF('RAW CBH'!C73="","",'RAW CBH'!C73)</f>
        <v> RPh</v>
      </c>
      <c r="I900" s="48" t="n">
        <f aca="false">IF('RAW CBH'!E73="","",'RAW CBH'!E73)</f>
        <v>61.75</v>
      </c>
      <c r="J900" s="48" t="n">
        <f aca="false">IF('RAW CBH'!F73="","",'RAW CBH'!F73)</f>
        <v>5</v>
      </c>
      <c r="K900" s="50" t="n">
        <f aca="false">IF('RAW CBH'!G73="","",'RAW CBH'!G73)</f>
        <v>90</v>
      </c>
      <c r="L900" s="50" t="str">
        <f aca="false">IF('RAW CBH'!H73="","",'RAW CBH'!H73)</f>
        <v/>
      </c>
      <c r="M900" s="48" t="str">
        <f aca="false">IF('RAW CBH'!I73="","",'RAW CBH'!I73)</f>
        <v/>
      </c>
    </row>
    <row r="901" customFormat="false" ht="15" hidden="false" customHeight="false" outlineLevel="0" collapsed="false">
      <c r="A901" s="1" t="s">
        <v>2045</v>
      </c>
      <c r="B901" s="1" t="s">
        <v>156</v>
      </c>
      <c r="C901" s="1" t="s">
        <v>1149</v>
      </c>
      <c r="D901" s="1" t="n">
        <v>74</v>
      </c>
      <c r="E901" s="48" t="str">
        <f aca="false">IF('RAW CBH'!A74="","",'RAW CBH'!A74)</f>
        <v>Health Coalition</v>
      </c>
      <c r="F901" s="48" t="str">
        <f aca="false">IF('RAW CBH'!B74="","",'RAW CBH'!B74)</f>
        <v>Community Health Improvement</v>
      </c>
      <c r="G901" s="49" t="str">
        <f aca="false">IF('RAW CBH'!D74="","",'RAW CBH'!D74)</f>
        <v>2025-09-30</v>
      </c>
      <c r="H901" s="48" t="str">
        <f aca="false">IF('RAW CBH'!C74="","",'RAW CBH'!C74)</f>
        <v>Community Benefit Mgr</v>
      </c>
      <c r="I901" s="48" t="n">
        <f aca="false">IF('RAW CBH'!E74="","",'RAW CBH'!E74)</f>
        <v>2</v>
      </c>
      <c r="J901" s="48" t="str">
        <f aca="false">IF('RAW CBH'!F74="","",'RAW CBH'!F74)</f>
        <v/>
      </c>
      <c r="K901" s="50" t="str">
        <f aca="false">IF('RAW CBH'!G74="","",'RAW CBH'!G74)</f>
        <v/>
      </c>
      <c r="L901" s="50" t="str">
        <f aca="false">IF('RAW CBH'!H74="","",'RAW CBH'!H74)</f>
        <v/>
      </c>
      <c r="M901" s="48" t="str">
        <f aca="false">IF('RAW CBH'!I74="","",'RAW CBH'!I74)</f>
        <v/>
      </c>
    </row>
    <row r="902" customFormat="false" ht="15" hidden="false" customHeight="false" outlineLevel="0" collapsed="false">
      <c r="A902" s="1" t="s">
        <v>2046</v>
      </c>
      <c r="B902" s="1" t="s">
        <v>156</v>
      </c>
      <c r="C902" s="1" t="s">
        <v>1149</v>
      </c>
      <c r="D902" s="1" t="n">
        <v>75</v>
      </c>
      <c r="E902" s="48" t="str">
        <f aca="false">IF('RAW CBH'!A75="","",'RAW CBH'!A75)</f>
        <v>Health Coalition</v>
      </c>
      <c r="F902" s="48" t="str">
        <f aca="false">IF('RAW CBH'!B75="","",'RAW CBH'!B75)</f>
        <v>Community Health Improvement</v>
      </c>
      <c r="G902" s="49" t="str">
        <f aca="false">IF('RAW CBH'!D75="","",'RAW CBH'!D75)</f>
        <v>2025-09-30</v>
      </c>
      <c r="H902" s="48" t="str">
        <f aca="false">IF('RAW CBH'!C75="","",'RAW CBH'!C75)</f>
        <v>Director</v>
      </c>
      <c r="I902" s="48" t="n">
        <f aca="false">IF('RAW CBH'!E75="","",'RAW CBH'!E75)</f>
        <v>2.75</v>
      </c>
      <c r="J902" s="48" t="str">
        <f aca="false">IF('RAW CBH'!F75="","",'RAW CBH'!F75)</f>
        <v/>
      </c>
      <c r="K902" s="50" t="n">
        <f aca="false">IF('RAW CBH'!G75="","",'RAW CBH'!G75)</f>
        <v>145</v>
      </c>
      <c r="L902" s="50" t="str">
        <f aca="false">IF('RAW CBH'!H75="","",'RAW CBH'!H75)</f>
        <v/>
      </c>
      <c r="M902" s="48" t="str">
        <f aca="false">IF('RAW CBH'!I75="","",'RAW CBH'!I75)</f>
        <v/>
      </c>
    </row>
    <row r="903" customFormat="false" ht="15" hidden="false" customHeight="false" outlineLevel="0" collapsed="false">
      <c r="A903" s="1" t="s">
        <v>2047</v>
      </c>
      <c r="B903" s="1" t="s">
        <v>156</v>
      </c>
      <c r="C903" s="1" t="s">
        <v>1149</v>
      </c>
      <c r="D903" s="1" t="n">
        <v>76</v>
      </c>
      <c r="E903" s="48" t="str">
        <f aca="false">IF('RAW CBH'!A76="","",'RAW CBH'!A76)</f>
        <v>Bereavement Group</v>
      </c>
      <c r="F903" s="48" t="str">
        <f aca="false">IF('RAW CBH'!B76="","",'RAW CBH'!B76)</f>
        <v>Patient Support</v>
      </c>
      <c r="G903" s="49" t="str">
        <f aca="false">IF('RAW CBH'!D76="","",'RAW CBH'!D76)</f>
        <v>2025-10-02</v>
      </c>
      <c r="H903" s="48" t="str">
        <f aca="false">IF('RAW CBH'!C76="","",'RAW CBH'!C76)</f>
        <v>Pastoral Care</v>
      </c>
      <c r="I903" s="48" t="n">
        <f aca="false">IF('RAW CBH'!E76="","",'RAW CBH'!E76)</f>
        <v>2</v>
      </c>
      <c r="J903" s="48" t="n">
        <f aca="false">IF('RAW CBH'!F76="","",'RAW CBH'!F76)</f>
        <v>15</v>
      </c>
      <c r="K903" s="50" t="n">
        <f aca="false">IF('RAW CBH'!G76="","",'RAW CBH'!G76)</f>
        <v>40</v>
      </c>
      <c r="L903" s="50" t="str">
        <f aca="false">IF('RAW CBH'!H76="","",'RAW CBH'!H76)</f>
        <v/>
      </c>
      <c r="M903" s="48" t="str">
        <f aca="false">IF('RAW CBH'!I76="","",'RAW CBH'!I76)</f>
        <v/>
      </c>
    </row>
    <row r="904" customFormat="false" ht="15" hidden="false" customHeight="false" outlineLevel="0" collapsed="false">
      <c r="A904" s="1" t="s">
        <v>2048</v>
      </c>
      <c r="B904" s="1" t="s">
        <v>156</v>
      </c>
      <c r="C904" s="1" t="s">
        <v>1149</v>
      </c>
      <c r="D904" s="1" t="n">
        <v>77</v>
      </c>
      <c r="E904" s="48" t="str">
        <f aca="false">IF('RAW CBH'!A77="","",'RAW CBH'!A77)</f>
        <v>Bereavement Group</v>
      </c>
      <c r="F904" s="48" t="str">
        <f aca="false">IF('RAW CBH'!B77="","",'RAW CBH'!B77)</f>
        <v>Patient Support</v>
      </c>
      <c r="G904" s="49" t="str">
        <f aca="false">IF('RAW CBH'!D77="","",'RAW CBH'!D77)</f>
        <v>2025-10-02</v>
      </c>
      <c r="H904" s="48" t="str">
        <f aca="false">IF('RAW CBH'!C77="","",'RAW CBH'!C77)</f>
        <v>LCSW</v>
      </c>
      <c r="I904" s="48" t="n">
        <f aca="false">IF('RAW CBH'!E77="","",'RAW CBH'!E77)</f>
        <v>1.75</v>
      </c>
      <c r="J904" s="48" t="str">
        <f aca="false">IF('RAW CBH'!F77="","",'RAW CBH'!F77)</f>
        <v/>
      </c>
      <c r="K904" s="50" t="str">
        <f aca="false">IF('RAW CBH'!G77="","",'RAW CBH'!G77)</f>
        <v/>
      </c>
      <c r="L904" s="50" t="str">
        <f aca="false">IF('RAW CBH'!H77="","",'RAW CBH'!H77)</f>
        <v/>
      </c>
      <c r="M904" s="48" t="str">
        <f aca="false">IF('RAW CBH'!I77="","",'RAW CBH'!I77)</f>
        <v/>
      </c>
    </row>
    <row r="905" customFormat="false" ht="15" hidden="false" customHeight="false" outlineLevel="0" collapsed="false">
      <c r="A905" s="1" t="s">
        <v>2049</v>
      </c>
      <c r="B905" s="1" t="s">
        <v>156</v>
      </c>
      <c r="C905" s="1" t="s">
        <v>1149</v>
      </c>
      <c r="D905" s="1" t="n">
        <v>78</v>
      </c>
      <c r="E905" s="48" t="str">
        <f aca="false">IF('RAW CBH'!A78="","",'RAW CBH'!A78)</f>
        <v>Diabetes Prevention</v>
      </c>
      <c r="F905" s="48" t="str">
        <f aca="false">IF('RAW CBH'!B78="","",'RAW CBH'!B78)</f>
        <v>Health Education</v>
      </c>
      <c r="G905" s="49" t="str">
        <f aca="false">IF('RAW CBH'!D78="","",'RAW CBH'!D78)</f>
        <v>2025-10-07</v>
      </c>
      <c r="H905" s="48" t="str">
        <f aca="false">IF('RAW CBH'!C78="","",'RAW CBH'!C78)</f>
        <v>Health Education Specialist</v>
      </c>
      <c r="I905" s="48" t="n">
        <f aca="false">IF('RAW CBH'!E78="","",'RAW CBH'!E78)</f>
        <v>2.25</v>
      </c>
      <c r="J905" s="48" t="n">
        <f aca="false">IF('RAW CBH'!F78="","",'RAW CBH'!F78)</f>
        <v>14</v>
      </c>
      <c r="K905" s="50" t="n">
        <f aca="false">IF('RAW CBH'!G78="","",'RAW CBH'!G78)</f>
        <v>115</v>
      </c>
      <c r="L905" s="50" t="str">
        <f aca="false">IF('RAW CBH'!H78="","",'RAW CBH'!H78)</f>
        <v/>
      </c>
      <c r="M905" s="48" t="str">
        <f aca="false">IF('RAW CBH'!I78="","",'RAW CBH'!I78)</f>
        <v/>
      </c>
    </row>
    <row r="906" customFormat="false" ht="15" hidden="false" customHeight="false" outlineLevel="0" collapsed="false">
      <c r="A906" s="1" t="s">
        <v>2050</v>
      </c>
      <c r="B906" s="1" t="s">
        <v>156</v>
      </c>
      <c r="C906" s="1" t="s">
        <v>1149</v>
      </c>
      <c r="D906" s="1" t="n">
        <v>79</v>
      </c>
      <c r="E906" s="48" t="str">
        <f aca="false">IF('RAW CBH'!A79="","",'RAW CBH'!A79)</f>
        <v>Diabetes Prevention</v>
      </c>
      <c r="F906" s="48" t="str">
        <f aca="false">IF('RAW CBH'!B79="","",'RAW CBH'!B79)</f>
        <v>Health Education</v>
      </c>
      <c r="G906" s="49" t="str">
        <f aca="false">IF('RAW CBH'!D79="","",'RAW CBH'!D79)</f>
        <v>2025-10-07</v>
      </c>
      <c r="H906" s="48" t="str">
        <f aca="false">IF('RAW CBH'!C79="","",'RAW CBH'!C79)</f>
        <v>dietitian</v>
      </c>
      <c r="I906" s="48" t="n">
        <f aca="false">IF('RAW CBH'!E79="","",'RAW CBH'!E79)</f>
        <v>1.5</v>
      </c>
      <c r="J906" s="48" t="str">
        <f aca="false">IF('RAW CBH'!F79="","",'RAW CBH'!F79)</f>
        <v/>
      </c>
      <c r="K906" s="50" t="str">
        <f aca="false">IF('RAW CBH'!G79="","",'RAW CBH'!G79)</f>
        <v/>
      </c>
      <c r="L906" s="50" t="str">
        <f aca="false">IF('RAW CBH'!H79="","",'RAW CBH'!H79)</f>
        <v/>
      </c>
      <c r="M906" s="48" t="str">
        <f aca="false">IF('RAW CBH'!I79="","",'RAW CBH'!I79)</f>
        <v/>
      </c>
    </row>
    <row r="907" customFormat="false" ht="15" hidden="false" customHeight="false" outlineLevel="0" collapsed="false">
      <c r="A907" s="1" t="s">
        <v>2051</v>
      </c>
      <c r="B907" s="1" t="s">
        <v>156</v>
      </c>
      <c r="C907" s="1" t="s">
        <v>1149</v>
      </c>
      <c r="D907" s="1" t="n">
        <v>80</v>
      </c>
      <c r="E907" s="48" t="str">
        <f aca="false">IF('RAW CBH'!A80="","",'RAW CBH'!A80)</f>
        <v>Blood Pressure Screening</v>
      </c>
      <c r="F907" s="48" t="str">
        <f aca="false">IF('RAW CBH'!B80="","",'RAW CBH'!B80)</f>
        <v>Screenings</v>
      </c>
      <c r="G907" s="49" t="str">
        <f aca="false">IF('RAW CBH'!D80="","",'RAW CBH'!D80)</f>
        <v>2025-10-07</v>
      </c>
      <c r="H907" s="48" t="str">
        <f aca="false">IF('RAW CBH'!C80="","",'RAW CBH'!C80)</f>
        <v>rn ii</v>
      </c>
      <c r="I907" s="48" t="n">
        <f aca="false">IF('RAW CBH'!E80="","",'RAW CBH'!E80)</f>
        <v>3.5</v>
      </c>
      <c r="J907" s="48" t="n">
        <f aca="false">IF('RAW CBH'!F80="","",'RAW CBH'!F80)</f>
        <v>53</v>
      </c>
      <c r="K907" s="50" t="n">
        <f aca="false">IF('RAW CBH'!G80="","",'RAW CBH'!G80)</f>
        <v>85</v>
      </c>
      <c r="L907" s="50" t="str">
        <f aca="false">IF('RAW CBH'!H80="","",'RAW CBH'!H80)</f>
        <v/>
      </c>
      <c r="M907" s="48" t="str">
        <f aca="false">IF('RAW CBH'!I80="","",'RAW CBH'!I80)</f>
        <v/>
      </c>
    </row>
    <row r="908" customFormat="false" ht="15" hidden="false" customHeight="false" outlineLevel="0" collapsed="false">
      <c r="A908" s="1" t="s">
        <v>2052</v>
      </c>
      <c r="B908" s="1" t="s">
        <v>156</v>
      </c>
      <c r="C908" s="1" t="s">
        <v>1149</v>
      </c>
      <c r="D908" s="1" t="n">
        <v>81</v>
      </c>
      <c r="E908" s="48" t="str">
        <f aca="false">IF('RAW CBH'!A81="","",'RAW CBH'!A81)</f>
        <v>Blood Pressure Screening</v>
      </c>
      <c r="F908" s="48" t="str">
        <f aca="false">IF('RAW CBH'!B81="","",'RAW CBH'!B81)</f>
        <v>Screenings</v>
      </c>
      <c r="G908" s="49" t="str">
        <f aca="false">IF('RAW CBH'!D81="","",'RAW CBH'!D81)</f>
        <v>2025-10-11</v>
      </c>
      <c r="H908" s="48" t="str">
        <f aca="false">IF('RAW CBH'!C81="","",'RAW CBH'!C81)</f>
        <v>Registered Nurse</v>
      </c>
      <c r="I908" s="48" t="n">
        <f aca="false">IF('RAW CBH'!E81="","",'RAW CBH'!E81)</f>
        <v>3.75</v>
      </c>
      <c r="J908" s="48" t="n">
        <f aca="false">IF('RAW CBH'!F81="","",'RAW CBH'!F81)</f>
        <v>74</v>
      </c>
      <c r="K908" s="50" t="n">
        <f aca="false">IF('RAW CBH'!G81="","",'RAW CBH'!G81)</f>
        <v>40</v>
      </c>
      <c r="L908" s="50" t="str">
        <f aca="false">IF('RAW CBH'!H81="","",'RAW CBH'!H81)</f>
        <v/>
      </c>
      <c r="M908" s="48" t="str">
        <f aca="false">IF('RAW CBH'!I81="","",'RAW CBH'!I81)</f>
        <v/>
      </c>
    </row>
    <row r="909" customFormat="false" ht="15" hidden="false" customHeight="false" outlineLevel="0" collapsed="false">
      <c r="A909" s="1" t="s">
        <v>2053</v>
      </c>
      <c r="B909" s="1" t="s">
        <v>156</v>
      </c>
      <c r="C909" s="1" t="s">
        <v>1149</v>
      </c>
      <c r="D909" s="1" t="n">
        <v>82</v>
      </c>
      <c r="E909" s="48" t="str">
        <f aca="false">IF('RAW CBH'!A82="","",'RAW CBH'!A82)</f>
        <v>Prenatal &amp; Newborn Classes</v>
      </c>
      <c r="F909" s="48" t="str">
        <f aca="false">IF('RAW CBH'!B82="","",'RAW CBH'!B82)</f>
        <v>Health Education</v>
      </c>
      <c r="G909" s="49" t="str">
        <f aca="false">IF('RAW CBH'!D82="","",'RAW CBH'!D82)</f>
        <v>2025-10-13</v>
      </c>
      <c r="H909" s="48" t="str">
        <f aca="false">IF('RAW CBH'!C82="","",'RAW CBH'!C82)</f>
        <v>RN Educator</v>
      </c>
      <c r="I909" s="48" t="n">
        <f aca="false">IF('RAW CBH'!E82="","",'RAW CBH'!E82)</f>
        <v>3.5</v>
      </c>
      <c r="J909" s="48" t="n">
        <f aca="false">IF('RAW CBH'!F82="","",'RAW CBH'!F82)</f>
        <v>16</v>
      </c>
      <c r="K909" s="50" t="n">
        <f aca="false">IF('RAW CBH'!G82="","",'RAW CBH'!G82)</f>
        <v>155</v>
      </c>
      <c r="L909" s="50" t="n">
        <f aca="false">IF('RAW CBH'!H82="","",'RAW CBH'!H82)</f>
        <v>320</v>
      </c>
      <c r="M909" s="48" t="str">
        <f aca="false">IF('RAW CBH'!I82="","",'RAW CBH'!I82)</f>
        <v/>
      </c>
    </row>
    <row r="910" customFormat="false" ht="15" hidden="false" customHeight="false" outlineLevel="0" collapsed="false">
      <c r="A910" s="1" t="s">
        <v>2054</v>
      </c>
      <c r="B910" s="1" t="s">
        <v>156</v>
      </c>
      <c r="C910" s="1" t="s">
        <v>1149</v>
      </c>
      <c r="D910" s="1" t="n">
        <v>83</v>
      </c>
      <c r="E910" s="48" t="str">
        <f aca="false">IF('RAW CBH'!A83="","",'RAW CBH'!A83)</f>
        <v>Bereavement Group</v>
      </c>
      <c r="F910" s="48" t="str">
        <f aca="false">IF('RAW CBH'!B83="","",'RAW CBH'!B83)</f>
        <v>Patient Support</v>
      </c>
      <c r="G910" s="49" t="str">
        <f aca="false">IF('RAW CBH'!D83="","",'RAW CBH'!D83)</f>
        <v>2025-10-17</v>
      </c>
      <c r="H910" s="48" t="str">
        <f aca="false">IF('RAW CBH'!C83="","",'RAW CBH'!C83)</f>
        <v>Chaplain</v>
      </c>
      <c r="I910" s="48" t="n">
        <f aca="false">IF('RAW CBH'!E83="","",'RAW CBH'!E83)</f>
        <v>2</v>
      </c>
      <c r="J910" s="48" t="n">
        <f aca="false">IF('RAW CBH'!F83="","",'RAW CBH'!F83)</f>
        <v>8</v>
      </c>
      <c r="K910" s="50" t="n">
        <f aca="false">IF('RAW CBH'!G83="","",'RAW CBH'!G83)</f>
        <v>40</v>
      </c>
      <c r="L910" s="50" t="str">
        <f aca="false">IF('RAW CBH'!H83="","",'RAW CBH'!H83)</f>
        <v/>
      </c>
      <c r="M910" s="48" t="str">
        <f aca="false">IF('RAW CBH'!I83="","",'RAW CBH'!I83)</f>
        <v/>
      </c>
    </row>
    <row r="911" customFormat="false" ht="15" hidden="false" customHeight="false" outlineLevel="0" collapsed="false">
      <c r="A911" s="1" t="s">
        <v>2055</v>
      </c>
      <c r="B911" s="1" t="s">
        <v>156</v>
      </c>
      <c r="C911" s="1" t="s">
        <v>1149</v>
      </c>
      <c r="D911" s="1" t="n">
        <v>84</v>
      </c>
      <c r="E911" s="48" t="str">
        <f aca="false">IF('RAW CBH'!A84="","",'RAW CBH'!A84)</f>
        <v>Bereavement Group</v>
      </c>
      <c r="F911" s="48" t="str">
        <f aca="false">IF('RAW CBH'!B84="","",'RAW CBH'!B84)</f>
        <v>Patient Support</v>
      </c>
      <c r="G911" s="49" t="str">
        <f aca="false">IF('RAW CBH'!D84="","",'RAW CBH'!D84)</f>
        <v>2025-10-17</v>
      </c>
      <c r="H911" s="48" t="str">
        <f aca="false">IF('RAW CBH'!C84="","",'RAW CBH'!C84)</f>
        <v>MSW</v>
      </c>
      <c r="I911" s="48" t="n">
        <f aca="false">IF('RAW CBH'!E84="","",'RAW CBH'!E84)</f>
        <v>1.75</v>
      </c>
      <c r="J911" s="48" t="str">
        <f aca="false">IF('RAW CBH'!F84="","",'RAW CBH'!F84)</f>
        <v/>
      </c>
      <c r="K911" s="50" t="str">
        <f aca="false">IF('RAW CBH'!G84="","",'RAW CBH'!G84)</f>
        <v/>
      </c>
      <c r="L911" s="50" t="str">
        <f aca="false">IF('RAW CBH'!H84="","",'RAW CBH'!H84)</f>
        <v/>
      </c>
      <c r="M911" s="48" t="str">
        <f aca="false">IF('RAW CBH'!I84="","",'RAW CBH'!I84)</f>
        <v/>
      </c>
    </row>
    <row r="912" customFormat="false" ht="15" hidden="false" customHeight="false" outlineLevel="0" collapsed="false">
      <c r="A912" s="1" t="s">
        <v>2056</v>
      </c>
      <c r="B912" s="1" t="s">
        <v>156</v>
      </c>
      <c r="C912" s="1" t="s">
        <v>1149</v>
      </c>
      <c r="D912" s="1" t="n">
        <v>85</v>
      </c>
      <c r="E912" s="48" t="str">
        <f aca="false">IF('RAW CBH'!A85="","",'RAW CBH'!A85)</f>
        <v>Health Coalition</v>
      </c>
      <c r="F912" s="48" t="str">
        <f aca="false">IF('RAW CBH'!B85="","",'RAW CBH'!B85)</f>
        <v>Community Health Improvement</v>
      </c>
      <c r="G912" s="49" t="str">
        <f aca="false">IF('RAW CBH'!D85="","",'RAW CBH'!D85)</f>
        <v>2025-10-20</v>
      </c>
      <c r="H912" s="48" t="str">
        <f aca="false">IF('RAW CBH'!C85="","",'RAW CBH'!C85)</f>
        <v>Mgr, Community Benefit</v>
      </c>
      <c r="I912" s="48" t="n">
        <f aca="false">IF('RAW CBH'!E85="","",'RAW CBH'!E85)</f>
        <v>2.5</v>
      </c>
      <c r="J912" s="48" t="str">
        <f aca="false">IF('RAW CBH'!F85="","",'RAW CBH'!F85)</f>
        <v/>
      </c>
      <c r="K912" s="50" t="str">
        <f aca="false">IF('RAW CBH'!G85="","",'RAW CBH'!G85)</f>
        <v/>
      </c>
      <c r="L912" s="50" t="str">
        <f aca="false">IF('RAW CBH'!H85="","",'RAW CBH'!H85)</f>
        <v/>
      </c>
      <c r="M912" s="48" t="str">
        <f aca="false">IF('RAW CBH'!I85="","",'RAW CBH'!I85)</f>
        <v/>
      </c>
    </row>
    <row r="913" customFormat="false" ht="15" hidden="false" customHeight="false" outlineLevel="0" collapsed="false">
      <c r="A913" s="1" t="s">
        <v>2057</v>
      </c>
      <c r="B913" s="1" t="s">
        <v>156</v>
      </c>
      <c r="C913" s="1" t="s">
        <v>1149</v>
      </c>
      <c r="D913" s="1" t="n">
        <v>86</v>
      </c>
      <c r="E913" s="48" t="str">
        <f aca="false">IF('RAW CBH'!A86="","",'RAW CBH'!A86)</f>
        <v>Health Coalition</v>
      </c>
      <c r="F913" s="48" t="str">
        <f aca="false">IF('RAW CBH'!B86="","",'RAW CBH'!B86)</f>
        <v>Community Health Improvement</v>
      </c>
      <c r="G913" s="49" t="str">
        <f aca="false">IF('RAW CBH'!D86="","",'RAW CBH'!D86)</f>
        <v>2025-10-20</v>
      </c>
      <c r="H913" s="48" t="str">
        <f aca="false">IF('RAW CBH'!C86="","",'RAW CBH'!C86)</f>
        <v>Executive Director</v>
      </c>
      <c r="I913" s="48" t="n">
        <f aca="false">IF('RAW CBH'!E86="","",'RAW CBH'!E86)</f>
        <v>2.5</v>
      </c>
      <c r="J913" s="48" t="str">
        <f aca="false">IF('RAW CBH'!F86="","",'RAW CBH'!F86)</f>
        <v/>
      </c>
      <c r="K913" s="50" t="n">
        <f aca="false">IF('RAW CBH'!G86="","",'RAW CBH'!G86)</f>
        <v>95</v>
      </c>
      <c r="L913" s="50" t="str">
        <f aca="false">IF('RAW CBH'!H86="","",'RAW CBH'!H86)</f>
        <v/>
      </c>
      <c r="M913" s="48" t="str">
        <f aca="false">IF('RAW CBH'!I86="","",'RAW CBH'!I86)</f>
        <v/>
      </c>
    </row>
    <row r="914" customFormat="false" ht="15" hidden="false" customHeight="false" outlineLevel="0" collapsed="false">
      <c r="A914" s="1" t="s">
        <v>2058</v>
      </c>
      <c r="B914" s="1" t="s">
        <v>156</v>
      </c>
      <c r="C914" s="1" t="s">
        <v>1149</v>
      </c>
      <c r="D914" s="1" t="n">
        <v>87</v>
      </c>
      <c r="E914" s="48" t="str">
        <f aca="false">IF('RAW CBH'!A87="","",'RAW CBH'!A87)</f>
        <v>Matter of Balance Classes</v>
      </c>
      <c r="F914" s="48" t="str">
        <f aca="false">IF('RAW CBH'!B87="","",'RAW CBH'!B87)</f>
        <v>Health Education</v>
      </c>
      <c r="G914" s="49" t="str">
        <f aca="false">IF('RAW CBH'!D87="","",'RAW CBH'!D87)</f>
        <v>2025-10-24</v>
      </c>
      <c r="H914" s="48" t="str">
        <f aca="false">IF('RAW CBH'!C87="","",'RAW CBH'!C87)</f>
        <v>RT</v>
      </c>
      <c r="I914" s="48" t="n">
        <f aca="false">IF('RAW CBH'!E87="","",'RAW CBH'!E87)</f>
        <v>2</v>
      </c>
      <c r="J914" s="48" t="n">
        <f aca="false">IF('RAW CBH'!F87="","",'RAW CBH'!F87)</f>
        <v>22</v>
      </c>
      <c r="K914" s="50" t="n">
        <f aca="false">IF('RAW CBH'!G87="","",'RAW CBH'!G87)</f>
        <v>45</v>
      </c>
      <c r="L914" s="50" t="str">
        <f aca="false">IF('RAW CBH'!H87="","",'RAW CBH'!H87)</f>
        <v/>
      </c>
      <c r="M914" s="48" t="str">
        <f aca="false">IF('RAW CBH'!I87="","",'RAW CBH'!I87)</f>
        <v/>
      </c>
    </row>
    <row r="915" customFormat="false" ht="15" hidden="false" customHeight="false" outlineLevel="0" collapsed="false">
      <c r="A915" s="1" t="s">
        <v>2059</v>
      </c>
      <c r="B915" s="1" t="s">
        <v>156</v>
      </c>
      <c r="C915" s="1" t="s">
        <v>1149</v>
      </c>
      <c r="D915" s="1" t="n">
        <v>88</v>
      </c>
      <c r="E915" s="48" t="str">
        <f aca="false">IF('RAW CBH'!A88="","",'RAW CBH'!A88)</f>
        <v>Diabetes Prevention</v>
      </c>
      <c r="F915" s="48" t="str">
        <f aca="false">IF('RAW CBH'!B88="","",'RAW CBH'!B88)</f>
        <v>Health Education</v>
      </c>
      <c r="G915" s="49" t="str">
        <f aca="false">IF('RAW CBH'!D88="","",'RAW CBH'!D88)</f>
        <v>2025-10-25</v>
      </c>
      <c r="H915" s="48" t="str">
        <f aca="false">IF('RAW CBH'!C88="","",'RAW CBH'!C88)</f>
        <v>CHES</v>
      </c>
      <c r="I915" s="48" t="n">
        <f aca="false">IF('RAW CBH'!E88="","",'RAW CBH'!E88)</f>
        <v>2.5</v>
      </c>
      <c r="J915" s="48" t="n">
        <f aca="false">IF('RAW CBH'!F88="","",'RAW CBH'!F88)</f>
        <v>17</v>
      </c>
      <c r="K915" s="50" t="n">
        <f aca="false">IF('RAW CBH'!G88="","",'RAW CBH'!G88)</f>
        <v>120</v>
      </c>
      <c r="L915" s="50" t="str">
        <f aca="false">IF('RAW CBH'!H88="","",'RAW CBH'!H88)</f>
        <v/>
      </c>
      <c r="M915" s="48" t="str">
        <f aca="false">IF('RAW CBH'!I88="","",'RAW CBH'!I88)</f>
        <v/>
      </c>
    </row>
    <row r="916" customFormat="false" ht="15" hidden="false" customHeight="false" outlineLevel="0" collapsed="false">
      <c r="A916" s="1" t="s">
        <v>2060</v>
      </c>
      <c r="B916" s="1" t="s">
        <v>156</v>
      </c>
      <c r="C916" s="1" t="s">
        <v>1149</v>
      </c>
      <c r="D916" s="1" t="n">
        <v>89</v>
      </c>
      <c r="E916" s="48" t="str">
        <f aca="false">IF('RAW CBH'!A89="","",'RAW CBH'!A89)</f>
        <v>Diabetes Prevention</v>
      </c>
      <c r="F916" s="48" t="str">
        <f aca="false">IF('RAW CBH'!B89="","",'RAW CBH'!B89)</f>
        <v>Health Education</v>
      </c>
      <c r="G916" s="49" t="str">
        <f aca="false">IF('RAW CBH'!D89="","",'RAW CBH'!D89)</f>
        <v>2025-10-25</v>
      </c>
      <c r="H916" s="48" t="str">
        <f aca="false">IF('RAW CBH'!C89="","",'RAW CBH'!C89)</f>
        <v>DIETITIAN</v>
      </c>
      <c r="I916" s="48" t="n">
        <f aca="false">IF('RAW CBH'!E89="","",'RAW CBH'!E89)</f>
        <v>2</v>
      </c>
      <c r="J916" s="48" t="str">
        <f aca="false">IF('RAW CBH'!F89="","",'RAW CBH'!F89)</f>
        <v/>
      </c>
      <c r="K916" s="50" t="str">
        <f aca="false">IF('RAW CBH'!G89="","",'RAW CBH'!G89)</f>
        <v/>
      </c>
      <c r="L916" s="50" t="str">
        <f aca="false">IF('RAW CBH'!H89="","",'RAW CBH'!H89)</f>
        <v/>
      </c>
      <c r="M916" s="48" t="str">
        <f aca="false">IF('RAW CBH'!I89="","",'RAW CBH'!I89)</f>
        <v/>
      </c>
    </row>
    <row r="917" customFormat="false" ht="15" hidden="false" customHeight="false" outlineLevel="0" collapsed="false">
      <c r="A917" s="1" t="s">
        <v>2061</v>
      </c>
      <c r="B917" s="1" t="s">
        <v>156</v>
      </c>
      <c r="C917" s="1" t="s">
        <v>1149</v>
      </c>
      <c r="D917" s="1" t="n">
        <v>90</v>
      </c>
      <c r="E917" s="48" t="str">
        <f aca="false">IF('RAW CBH'!A90="","",'RAW CBH'!A90)</f>
        <v>Naloxone Training</v>
      </c>
      <c r="F917" s="48" t="str">
        <f aca="false">IF('RAW CBH'!B90="","",'RAW CBH'!B90)</f>
        <v>Health Education</v>
      </c>
      <c r="G917" s="49" t="str">
        <f aca="false">IF('RAW CBH'!D90="","",'RAW CBH'!D90)</f>
        <v>2025-25-10</v>
      </c>
      <c r="H917" s="48" t="str">
        <f aca="false">IF('RAW CBH'!C90="","",'RAW CBH'!C90)</f>
        <v>Hlth Educator</v>
      </c>
      <c r="I917" s="48" t="n">
        <f aca="false">IF('RAW CBH'!E90="","",'RAW CBH'!E90)</f>
        <v>2.75</v>
      </c>
      <c r="J917" s="48" t="str">
        <f aca="false">IF('RAW CBH'!F90="","",'RAW CBH'!F90)</f>
        <v/>
      </c>
      <c r="K917" s="50" t="str">
        <f aca="false">IF('RAW CBH'!G90="","",'RAW CBH'!G90)</f>
        <v/>
      </c>
      <c r="L917" s="50" t="str">
        <f aca="false">IF('RAW CBH'!H90="","",'RAW CBH'!H90)</f>
        <v/>
      </c>
      <c r="M917" s="48" t="str">
        <f aca="false">IF('RAW CBH'!I90="","",'RAW CBH'!I90)</f>
        <v/>
      </c>
    </row>
    <row r="918" customFormat="false" ht="15" hidden="false" customHeight="false" outlineLevel="0" collapsed="false">
      <c r="A918" s="1" t="s">
        <v>2062</v>
      </c>
      <c r="B918" s="1" t="s">
        <v>156</v>
      </c>
      <c r="C918" s="1" t="s">
        <v>1149</v>
      </c>
      <c r="D918" s="1" t="n">
        <v>91</v>
      </c>
      <c r="E918" s="48" t="str">
        <f aca="false">IF('RAW CBH'!A91="","",'RAW CBH'!A91)</f>
        <v>Naloxone Training</v>
      </c>
      <c r="F918" s="48" t="str">
        <f aca="false">IF('RAW CBH'!B91="","",'RAW CBH'!B91)</f>
        <v>Health Education</v>
      </c>
      <c r="G918" s="49" t="str">
        <f aca="false">IF('RAW CBH'!D91="","",'RAW CBH'!D91)</f>
        <v>2025-10-25</v>
      </c>
      <c r="H918" s="48" t="str">
        <f aca="false">IF('RAW CBH'!C91="","",'RAW CBH'!C91)</f>
        <v> RPh</v>
      </c>
      <c r="I918" s="48" t="n">
        <f aca="false">IF('RAW CBH'!E91="","",'RAW CBH'!E91)</f>
        <v>2.5</v>
      </c>
      <c r="J918" s="48" t="n">
        <f aca="false">IF('RAW CBH'!F91="","",'RAW CBH'!F91)</f>
        <v>42</v>
      </c>
      <c r="K918" s="50" t="n">
        <f aca="false">IF('RAW CBH'!G91="","",'RAW CBH'!G91)</f>
        <v>1640</v>
      </c>
      <c r="L918" s="50" t="n">
        <f aca="false">IF('RAW CBH'!H91="","",'RAW CBH'!H91)</f>
        <v>1440</v>
      </c>
      <c r="M918" s="48" t="str">
        <f aca="false">IF('RAW CBH'!I91="","",'RAW CBH'!I91)</f>
        <v/>
      </c>
    </row>
    <row r="919" customFormat="false" ht="15" hidden="false" customHeight="false" outlineLevel="0" collapsed="false">
      <c r="A919" s="1" t="s">
        <v>2063</v>
      </c>
      <c r="B919" s="1" t="s">
        <v>156</v>
      </c>
      <c r="C919" s="1" t="s">
        <v>1149</v>
      </c>
      <c r="D919" s="1" t="n">
        <v>92</v>
      </c>
      <c r="E919" s="48" t="str">
        <f aca="false">IF('RAW CBH'!A92="","",'RAW CBH'!A92)</f>
        <v>Blood Pressure Screening</v>
      </c>
      <c r="F919" s="48" t="str">
        <f aca="false">IF('RAW CBH'!B92="","",'RAW CBH'!B92)</f>
        <v>Screenings</v>
      </c>
      <c r="G919" s="49" t="str">
        <f aca="false">IF('RAW CBH'!D92="","",'RAW CBH'!D92)</f>
        <v>2025-10-28</v>
      </c>
      <c r="H919" s="48" t="str">
        <f aca="false">IF('RAW CBH'!C92="","",'RAW CBH'!C92)</f>
        <v>R.N.</v>
      </c>
      <c r="I919" s="48" t="n">
        <f aca="false">IF('RAW CBH'!E92="","",'RAW CBH'!E92)</f>
        <v>3.75</v>
      </c>
      <c r="J919" s="48" t="n">
        <f aca="false">IF('RAW CBH'!F92="","",'RAW CBH'!F92)</f>
        <v>67</v>
      </c>
      <c r="K919" s="50" t="n">
        <f aca="false">IF('RAW CBH'!G92="","",'RAW CBH'!G92)</f>
        <v>95</v>
      </c>
      <c r="L919" s="50" t="str">
        <f aca="false">IF('RAW CBH'!H92="","",'RAW CBH'!H92)</f>
        <v/>
      </c>
      <c r="M919" s="48" t="str">
        <f aca="false">IF('RAW CBH'!I92="","",'RAW CBH'!I92)</f>
        <v/>
      </c>
    </row>
    <row r="920" customFormat="false" ht="15" hidden="false" customHeight="false" outlineLevel="0" collapsed="false">
      <c r="A920" s="1" t="s">
        <v>2064</v>
      </c>
      <c r="B920" s="1" t="s">
        <v>156</v>
      </c>
      <c r="C920" s="1" t="s">
        <v>1149</v>
      </c>
      <c r="D920" s="1" t="n">
        <v>93</v>
      </c>
      <c r="E920" s="48" t="str">
        <f aca="false">IF('RAW CBH'!A93="","",'RAW CBH'!A93)</f>
        <v>Free Clinic Staffing</v>
      </c>
      <c r="F920" s="48" t="str">
        <f aca="false">IF('RAW CBH'!B93="","",'RAW CBH'!B93)</f>
        <v>Screenings</v>
      </c>
      <c r="G920" s="49" t="str">
        <f aca="false">IF('RAW CBH'!D93="","",'RAW CBH'!D93)</f>
        <v>2025-10-31</v>
      </c>
      <c r="H920" s="48" t="str">
        <f aca="false">IF('RAW CBH'!C93="","",'RAW CBH'!C93)</f>
        <v>Nurse Practitioner</v>
      </c>
      <c r="I920" s="48" t="n">
        <f aca="false">IF('RAW CBH'!E93="","",'RAW CBH'!E93)</f>
        <v>43</v>
      </c>
      <c r="J920" s="48" t="n">
        <f aca="false">IF('RAW CBH'!F93="","",'RAW CBH'!F93)</f>
        <v>208</v>
      </c>
      <c r="K920" s="50" t="n">
        <f aca="false">IF('RAW CBH'!G93="","",'RAW CBH'!G93)</f>
        <v>3605</v>
      </c>
      <c r="L920" s="50" t="str">
        <f aca="false">IF('RAW CBH'!H93="","",'RAW CBH'!H93)</f>
        <v/>
      </c>
      <c r="M920" s="48" t="str">
        <f aca="false">IF('RAW CBH'!I93="","",'RAW CBH'!I93)</f>
        <v/>
      </c>
    </row>
    <row r="921" customFormat="false" ht="15" hidden="false" customHeight="false" outlineLevel="0" collapsed="false">
      <c r="A921" s="1" t="s">
        <v>2065</v>
      </c>
      <c r="B921" s="1" t="s">
        <v>156</v>
      </c>
      <c r="C921" s="1" t="s">
        <v>1149</v>
      </c>
      <c r="D921" s="1" t="n">
        <v>94</v>
      </c>
      <c r="E921" s="48" t="str">
        <f aca="false">IF('RAW CBH'!A94="","",'RAW CBH'!A94)</f>
        <v>Free Clinic Staffing</v>
      </c>
      <c r="F921" s="48" t="str">
        <f aca="false">IF('RAW CBH'!B94="","",'RAW CBH'!B94)</f>
        <v>Screenings</v>
      </c>
      <c r="G921" s="49" t="str">
        <f aca="false">IF('RAW CBH'!D94="","",'RAW CBH'!D94)</f>
        <v>2025-10-31</v>
      </c>
      <c r="H921" s="48" t="str">
        <f aca="false">IF('RAW CBH'!C94="","",'RAW CBH'!C94)</f>
        <v>RPh </v>
      </c>
      <c r="I921" s="48" t="n">
        <f aca="false">IF('RAW CBH'!E94="","",'RAW CBH'!E94)</f>
        <v>13.75</v>
      </c>
      <c r="J921" s="48" t="str">
        <f aca="false">IF('RAW CBH'!F94="","",'RAW CBH'!F94)</f>
        <v/>
      </c>
      <c r="K921" s="50" t="str">
        <f aca="false">IF('RAW CBH'!G94="","",'RAW CBH'!G94)</f>
        <v/>
      </c>
      <c r="L921" s="50" t="str">
        <f aca="false">IF('RAW CBH'!H94="","",'RAW CBH'!H94)</f>
        <v/>
      </c>
      <c r="M921" s="48" t="str">
        <f aca="false">IF('RAW CBH'!I94="","",'RAW CBH'!I94)</f>
        <v/>
      </c>
    </row>
    <row r="922" customFormat="false" ht="15" hidden="false" customHeight="false" outlineLevel="0" collapsed="false">
      <c r="A922" s="1" t="s">
        <v>2066</v>
      </c>
      <c r="B922" s="1" t="s">
        <v>156</v>
      </c>
      <c r="C922" s="1" t="s">
        <v>1149</v>
      </c>
      <c r="D922" s="1" t="n">
        <v>95</v>
      </c>
      <c r="E922" s="48" t="str">
        <f aca="false">IF('RAW CBH'!A95="","",'RAW CBH'!A95)</f>
        <v>Free Clinic Staffing</v>
      </c>
      <c r="F922" s="48" t="str">
        <f aca="false">IF('RAW CBH'!B95="","",'RAW CBH'!B95)</f>
        <v>Screenings</v>
      </c>
      <c r="G922" s="49" t="str">
        <f aca="false">IF('RAW CBH'!D95="","",'RAW CBH'!D95)</f>
        <v>2025-10-31</v>
      </c>
      <c r="H922" s="48" t="str">
        <f aca="false">IF('RAW CBH'!C95="","",'RAW CBH'!C95)</f>
        <v>Charge RN</v>
      </c>
      <c r="I922" s="48" t="n">
        <f aca="false">IF('RAW CBH'!E95="","",'RAW CBH'!E95)</f>
        <v>33</v>
      </c>
      <c r="J922" s="48" t="str">
        <f aca="false">IF('RAW CBH'!F95="","",'RAW CBH'!F95)</f>
        <v/>
      </c>
      <c r="K922" s="50" t="str">
        <f aca="false">IF('RAW CBH'!G95="","",'RAW CBH'!G95)</f>
        <v/>
      </c>
      <c r="L922" s="50" t="str">
        <f aca="false">IF('RAW CBH'!H95="","",'RAW CBH'!H95)</f>
        <v/>
      </c>
      <c r="M922" s="48" t="str">
        <f aca="false">IF('RAW CBH'!I95="","",'RAW CBH'!I95)</f>
        <v/>
      </c>
    </row>
    <row r="923" customFormat="false" ht="15" hidden="false" customHeight="false" outlineLevel="0" collapsed="false">
      <c r="A923" s="1" t="s">
        <v>2067</v>
      </c>
      <c r="B923" s="1" t="s">
        <v>156</v>
      </c>
      <c r="C923" s="1" t="s">
        <v>1149</v>
      </c>
      <c r="D923" s="1" t="n">
        <v>96</v>
      </c>
      <c r="E923" s="48" t="str">
        <f aca="false">IF('RAW CBH'!A96="","",'RAW CBH'!A96)</f>
        <v>Med Assistance</v>
      </c>
      <c r="F923" s="48" t="str">
        <f aca="false">IF('RAW CBH'!B96="","",'RAW CBH'!B96)</f>
        <v>Patient Support</v>
      </c>
      <c r="G923" s="49" t="str">
        <f aca="false">IF('RAW CBH'!D96="","",'RAW CBH'!D96)</f>
        <v>2025-10-31</v>
      </c>
      <c r="H923" s="48" t="str">
        <f aca="false">IF('RAW CBH'!C96="","",'RAW CBH'!C96)</f>
        <v>Nurse Navigator</v>
      </c>
      <c r="I923" s="48" t="n">
        <f aca="false">IF('RAW CBH'!E96="","",'RAW CBH'!E96)</f>
        <v>76.5</v>
      </c>
      <c r="J923" s="48" t="str">
        <f aca="false">IF('RAW CBH'!F96="","",'RAW CBH'!F96)</f>
        <v/>
      </c>
      <c r="K923" s="50" t="str">
        <f aca="false">IF('RAW CBH'!G96="","",'RAW CBH'!G96)</f>
        <v/>
      </c>
      <c r="L923" s="50" t="str">
        <f aca="false">IF('RAW CBH'!H96="","",'RAW CBH'!H96)</f>
        <v/>
      </c>
      <c r="M923" s="48" t="str">
        <f aca="false">IF('RAW CBH'!I96="","",'RAW CBH'!I96)</f>
        <v/>
      </c>
    </row>
    <row r="924" customFormat="false" ht="15" hidden="false" customHeight="false" outlineLevel="0" collapsed="false">
      <c r="A924" s="1" t="s">
        <v>2068</v>
      </c>
      <c r="B924" s="1" t="s">
        <v>156</v>
      </c>
      <c r="C924" s="1" t="s">
        <v>1149</v>
      </c>
      <c r="D924" s="1" t="n">
        <v>97</v>
      </c>
      <c r="E924" s="48" t="str">
        <f aca="false">IF('RAW CBH'!A97="","",'RAW CBH'!A97)</f>
        <v>Med Assistance</v>
      </c>
      <c r="F924" s="48" t="str">
        <f aca="false">IF('RAW CBH'!B97="","",'RAW CBH'!B97)</f>
        <v>Patient Support</v>
      </c>
      <c r="G924" s="49" t="str">
        <f aca="false">IF('RAW CBH'!D97="","",'RAW CBH'!D97)</f>
        <v>2025-10-31</v>
      </c>
      <c r="H924" s="48" t="str">
        <f aca="false">IF('RAW CBH'!C97="","",'RAW CBH'!C97)</f>
        <v>Pharmacist II</v>
      </c>
      <c r="I924" s="48" t="n">
        <f aca="false">IF('RAW CBH'!E97="","",'RAW CBH'!E97)</f>
        <v>23</v>
      </c>
      <c r="J924" s="48" t="n">
        <f aca="false">IF('RAW CBH'!F97="","",'RAW CBH'!F97)</f>
        <v>127</v>
      </c>
      <c r="K924" s="50" t="n">
        <f aca="false">IF('RAW CBH'!G97="","",'RAW CBH'!G97)</f>
        <v>24500</v>
      </c>
      <c r="L924" s="50" t="str">
        <f aca="false">IF('RAW CBH'!H97="","",'RAW CBH'!H97)</f>
        <v/>
      </c>
      <c r="M924" s="48" t="str">
        <f aca="false">IF('RAW CBH'!I97="","",'RAW CBH'!I97)</f>
        <v/>
      </c>
    </row>
    <row r="925" customFormat="false" ht="15" hidden="false" customHeight="false" outlineLevel="0" collapsed="false">
      <c r="A925" s="1" t="s">
        <v>2069</v>
      </c>
      <c r="B925" s="1" t="s">
        <v>156</v>
      </c>
      <c r="C925" s="1" t="s">
        <v>1149</v>
      </c>
      <c r="D925" s="1" t="n">
        <v>98</v>
      </c>
      <c r="E925" s="48" t="str">
        <f aca="false">IF('RAW CBH'!A98="","",'RAW CBH'!A98)</f>
        <v>Community Benefit Admin</v>
      </c>
      <c r="F925" s="48" t="str">
        <f aca="false">IF('RAW CBH'!B98="","",'RAW CBH'!B98)</f>
        <v>Ops</v>
      </c>
      <c r="G925" s="49" t="str">
        <f aca="false">IF('RAW CBH'!D98="","",'RAW CBH'!D98)</f>
        <v>2025-10-31</v>
      </c>
      <c r="H925" s="48" t="str">
        <f aca="false">IF('RAW CBH'!C98="","",'RAW CBH'!C98)</f>
        <v>Admin Support</v>
      </c>
      <c r="I925" s="48" t="n">
        <f aca="false">IF('RAW CBH'!E98="","",'RAW CBH'!E98)</f>
        <v>56.25</v>
      </c>
      <c r="J925" s="48" t="str">
        <f aca="false">IF('RAW CBH'!F98="","",'RAW CBH'!F98)</f>
        <v/>
      </c>
      <c r="K925" s="50" t="str">
        <f aca="false">IF('RAW CBH'!G98="","",'RAW CBH'!G98)</f>
        <v/>
      </c>
      <c r="L925" s="50" t="str">
        <f aca="false">IF('RAW CBH'!H98="","",'RAW CBH'!H98)</f>
        <v/>
      </c>
      <c r="M925" s="48" t="str">
        <f aca="false">IF('RAW CBH'!I98="","",'RAW CBH'!I98)</f>
        <v/>
      </c>
    </row>
    <row r="926" customFormat="false" ht="15" hidden="false" customHeight="false" outlineLevel="0" collapsed="false">
      <c r="A926" s="1" t="s">
        <v>2070</v>
      </c>
      <c r="B926" s="1" t="s">
        <v>156</v>
      </c>
      <c r="C926" s="1" t="s">
        <v>1149</v>
      </c>
      <c r="D926" s="1" t="n">
        <v>99</v>
      </c>
      <c r="E926" s="48" t="str">
        <f aca="false">IF('RAW CBH'!A99="","",'RAW CBH'!A99)</f>
        <v>Community Benefit Admin</v>
      </c>
      <c r="F926" s="48" t="str">
        <f aca="false">IF('RAW CBH'!B99="","",'RAW CBH'!B99)</f>
        <v>Ops</v>
      </c>
      <c r="G926" s="49" t="str">
        <f aca="false">IF('RAW CBH'!D99="","",'RAW CBH'!D99)</f>
        <v>2025-10-31</v>
      </c>
      <c r="H926" s="48" t="str">
        <f aca="false">IF('RAW CBH'!C99="","",'RAW CBH'!C99)</f>
        <v>Mgr, Community Benefit</v>
      </c>
      <c r="I926" s="48" t="n">
        <f aca="false">IF('RAW CBH'!E99="","",'RAW CBH'!E99)</f>
        <v>57</v>
      </c>
      <c r="J926" s="48" t="str">
        <f aca="false">IF('RAW CBH'!F99="","",'RAW CBH'!F99)</f>
        <v/>
      </c>
      <c r="K926" s="50" t="n">
        <f aca="false">IF('RAW CBH'!G99="","",'RAW CBH'!G99)</f>
        <v>505</v>
      </c>
      <c r="L926" s="50" t="str">
        <f aca="false">IF('RAW CBH'!H99="","",'RAW CBH'!H99)</f>
        <v/>
      </c>
      <c r="M926" s="48" t="str">
        <f aca="false">IF('RAW CBH'!I99="","",'RAW CBH'!I99)</f>
        <v/>
      </c>
    </row>
    <row r="927" customFormat="false" ht="15" hidden="false" customHeight="false" outlineLevel="0" collapsed="false">
      <c r="A927" s="1" t="s">
        <v>2071</v>
      </c>
      <c r="B927" s="1" t="s">
        <v>156</v>
      </c>
      <c r="C927" s="1" t="s">
        <v>1149</v>
      </c>
      <c r="D927" s="1" t="n">
        <v>100</v>
      </c>
      <c r="E927" s="48" t="str">
        <f aca="false">IF('RAW CBH'!A100="","",'RAW CBH'!A100)</f>
        <v>Interpreter Services</v>
      </c>
      <c r="F927" s="48" t="str">
        <f aca="false">IF('RAW CBH'!B100="","",'RAW CBH'!B100)</f>
        <v>Patient Support</v>
      </c>
      <c r="G927" s="49" t="str">
        <f aca="false">IF('RAW CBH'!D100="","",'RAW CBH'!D100)</f>
        <v>2025-10-31</v>
      </c>
      <c r="H927" s="48" t="str">
        <f aca="false">IF('RAW CBH'!C100="","",'RAW CBH'!C100)</f>
        <v>Medical Interpreter</v>
      </c>
      <c r="I927" s="48" t="n">
        <f aca="false">IF('RAW CBH'!E100="","",'RAW CBH'!E100)</f>
        <v>62.75</v>
      </c>
      <c r="J927" s="48" t="n">
        <f aca="false">IF('RAW CBH'!F100="","",'RAW CBH'!F100)</f>
        <v>139</v>
      </c>
      <c r="K927" s="50" t="str">
        <f aca="false">IF('RAW CBH'!G100="","",'RAW CBH'!G100)</f>
        <v/>
      </c>
      <c r="L927" s="50" t="str">
        <f aca="false">IF('RAW CBH'!H100="","",'RAW CBH'!H100)</f>
        <v/>
      </c>
      <c r="M927" s="48" t="str">
        <f aca="false">IF('RAW CBH'!I100="","",'RAW CBH'!I100)</f>
        <v/>
      </c>
    </row>
    <row r="928" customFormat="false" ht="15" hidden="false" customHeight="false" outlineLevel="0" collapsed="false">
      <c r="A928" s="1" t="s">
        <v>2072</v>
      </c>
      <c r="B928" s="1" t="s">
        <v>156</v>
      </c>
      <c r="C928" s="1" t="s">
        <v>1149</v>
      </c>
      <c r="D928" s="1" t="n">
        <v>101</v>
      </c>
      <c r="E928" s="48" t="str">
        <f aca="false">IF('RAW CBH'!A101="","",'RAW CBH'!A101)</f>
        <v>Nursing Student Rotations</v>
      </c>
      <c r="F928" s="48" t="str">
        <f aca="false">IF('RAW CBH'!B101="","",'RAW CBH'!B101)</f>
        <v>Education - Health Professions</v>
      </c>
      <c r="G928" s="49" t="str">
        <f aca="false">IF('RAW CBH'!D101="","",'RAW CBH'!D101)</f>
        <v>2025-10-31</v>
      </c>
      <c r="H928" s="48" t="str">
        <f aca="false">IF('RAW CBH'!C101="","",'RAW CBH'!C101)</f>
        <v>Clinical Nurse Educator</v>
      </c>
      <c r="I928" s="48" t="n">
        <f aca="false">IF('RAW CBH'!E101="","",'RAW CBH'!E101)</f>
        <v>113.25</v>
      </c>
      <c r="J928" s="48" t="n">
        <f aca="false">IF('RAW CBH'!F101="","",'RAW CBH'!F101)</f>
        <v>38</v>
      </c>
      <c r="K928" s="50" t="n">
        <f aca="false">IF('RAW CBH'!G101="","",'RAW CBH'!G101)</f>
        <v>995</v>
      </c>
      <c r="L928" s="50" t="str">
        <f aca="false">IF('RAW CBH'!H101="","",'RAW CBH'!H101)</f>
        <v/>
      </c>
      <c r="M928" s="48" t="str">
        <f aca="false">IF('RAW CBH'!I101="","",'RAW CBH'!I101)</f>
        <v/>
      </c>
    </row>
    <row r="929" customFormat="false" ht="15" hidden="false" customHeight="false" outlineLevel="0" collapsed="false">
      <c r="A929" s="1" t="s">
        <v>2073</v>
      </c>
      <c r="B929" s="1" t="s">
        <v>156</v>
      </c>
      <c r="C929" s="1" t="s">
        <v>1149</v>
      </c>
      <c r="D929" s="1" t="n">
        <v>102</v>
      </c>
      <c r="E929" s="48" t="str">
        <f aca="false">IF('RAW CBH'!A102="","",'RAW CBH'!A102)</f>
        <v>Nursing Student Rotations</v>
      </c>
      <c r="F929" s="48" t="str">
        <f aca="false">IF('RAW CBH'!B102="","",'RAW CBH'!B102)</f>
        <v>Education - Health Professions</v>
      </c>
      <c r="G929" s="49" t="str">
        <f aca="false">IF('RAW CBH'!D102="","",'RAW CBH'!D102)</f>
        <v>2025-10-31</v>
      </c>
      <c r="H929" s="48" t="str">
        <f aca="false">IF('RAW CBH'!C102="","",'RAW CBH'!C102)</f>
        <v>R.N.</v>
      </c>
      <c r="I929" s="48" t="n">
        <f aca="false">IF('RAW CBH'!E102="","",'RAW CBH'!E102)</f>
        <v>220.75</v>
      </c>
      <c r="J929" s="48" t="str">
        <f aca="false">IF('RAW CBH'!F102="","",'RAW CBH'!F102)</f>
        <v/>
      </c>
      <c r="K929" s="50" t="str">
        <f aca="false">IF('RAW CBH'!G102="","",'RAW CBH'!G102)</f>
        <v/>
      </c>
      <c r="L929" s="50" t="str">
        <f aca="false">IF('RAW CBH'!H102="","",'RAW CBH'!H102)</f>
        <v/>
      </c>
      <c r="M929" s="48" t="str">
        <f aca="false">IF('RAW CBH'!I102="","",'RAW CBH'!I102)</f>
        <v/>
      </c>
    </row>
    <row r="930" customFormat="false" ht="15" hidden="false" customHeight="false" outlineLevel="0" collapsed="false">
      <c r="A930" s="1" t="s">
        <v>2074</v>
      </c>
      <c r="B930" s="1" t="s">
        <v>156</v>
      </c>
      <c r="C930" s="1" t="s">
        <v>1149</v>
      </c>
      <c r="D930" s="1" t="n">
        <v>103</v>
      </c>
      <c r="E930" s="48" t="str">
        <f aca="false">IF('RAW CBH'!A103="","",'RAW CBH'!A103)</f>
        <v>Pharmacy Students</v>
      </c>
      <c r="F930" s="48" t="str">
        <f aca="false">IF('RAW CBH'!B103="","",'RAW CBH'!B103)</f>
        <v>Education - Health Professions</v>
      </c>
      <c r="G930" s="49" t="str">
        <f aca="false">IF('RAW CBH'!D103="","",'RAW CBH'!D103)</f>
        <v>2025-10-31</v>
      </c>
      <c r="H930" s="48" t="str">
        <f aca="false">IF('RAW CBH'!C103="","",'RAW CBH'!C103)</f>
        <v>Pharmacist</v>
      </c>
      <c r="I930" s="48" t="n">
        <f aca="false">IF('RAW CBH'!E103="","",'RAW CBH'!E103)</f>
        <v>58.5</v>
      </c>
      <c r="J930" s="48" t="n">
        <f aca="false">IF('RAW CBH'!F103="","",'RAW CBH'!F103)</f>
        <v>4</v>
      </c>
      <c r="K930" s="50" t="n">
        <f aca="false">IF('RAW CBH'!G103="","",'RAW CBH'!G103)</f>
        <v>115</v>
      </c>
      <c r="L930" s="50" t="str">
        <f aca="false">IF('RAW CBH'!H103="","",'RAW CBH'!H103)</f>
        <v/>
      </c>
      <c r="M930" s="48" t="str">
        <f aca="false">IF('RAW CBH'!I103="","",'RAW CBH'!I103)</f>
        <v/>
      </c>
    </row>
    <row r="931" customFormat="false" ht="15" hidden="false" customHeight="false" outlineLevel="0" collapsed="false">
      <c r="A931" s="1" t="s">
        <v>2075</v>
      </c>
      <c r="B931" s="1" t="s">
        <v>156</v>
      </c>
      <c r="C931" s="1" t="s">
        <v>1149</v>
      </c>
      <c r="D931" s="1" t="n">
        <v>104</v>
      </c>
      <c r="E931" s="48" t="str">
        <f aca="false">IF('RAW CBH'!A104="","",'RAW CBH'!A104)</f>
        <v>Diabetes Prevention</v>
      </c>
      <c r="F931" s="48" t="str">
        <f aca="false">IF('RAW CBH'!B104="","",'RAW CBH'!B104)</f>
        <v>Health Education</v>
      </c>
      <c r="G931" s="49" t="str">
        <f aca="false">IF('RAW CBH'!D104="","",'RAW CBH'!D104)</f>
        <v>2025-11-10</v>
      </c>
      <c r="H931" s="48" t="str">
        <f aca="false">IF('RAW CBH'!C104="","",'RAW CBH'!C104)</f>
        <v>Health Ed</v>
      </c>
      <c r="I931" s="48" t="n">
        <f aca="false">IF('RAW CBH'!E104="","",'RAW CBH'!E104)</f>
        <v>2.5</v>
      </c>
      <c r="J931" s="48" t="n">
        <f aca="false">IF('RAW CBH'!F104="","",'RAW CBH'!F104)</f>
        <v>17</v>
      </c>
      <c r="K931" s="50" t="n">
        <f aca="false">IF('RAW CBH'!G104="","",'RAW CBH'!G104)</f>
        <v>80</v>
      </c>
      <c r="L931" s="50" t="str">
        <f aca="false">IF('RAW CBH'!H104="","",'RAW CBH'!H104)</f>
        <v/>
      </c>
      <c r="M931" s="48" t="str">
        <f aca="false">IF('RAW CBH'!I104="","",'RAW CBH'!I104)</f>
        <v/>
      </c>
    </row>
    <row r="932" customFormat="false" ht="15" hidden="false" customHeight="false" outlineLevel="0" collapsed="false">
      <c r="A932" s="1" t="s">
        <v>2076</v>
      </c>
      <c r="B932" s="1" t="s">
        <v>156</v>
      </c>
      <c r="C932" s="1" t="s">
        <v>1149</v>
      </c>
      <c r="D932" s="1" t="n">
        <v>105</v>
      </c>
      <c r="E932" s="48" t="str">
        <f aca="false">IF('RAW CBH'!A105="","",'RAW CBH'!A105)</f>
        <v>Diabetes Prevention</v>
      </c>
      <c r="F932" s="48" t="str">
        <f aca="false">IF('RAW CBH'!B105="","",'RAW CBH'!B105)</f>
        <v>Health Education</v>
      </c>
      <c r="G932" s="49" t="str">
        <f aca="false">IF('RAW CBH'!D105="","",'RAW CBH'!D105)</f>
        <v>2025-11-10</v>
      </c>
      <c r="H932" s="48" t="str">
        <f aca="false">IF('RAW CBH'!C105="","",'RAW CBH'!C105)</f>
        <v>Clinical Dietitian</v>
      </c>
      <c r="I932" s="48" t="n">
        <f aca="false">IF('RAW CBH'!E105="","",'RAW CBH'!E105)</f>
        <v>1.75</v>
      </c>
      <c r="J932" s="48" t="str">
        <f aca="false">IF('RAW CBH'!F105="","",'RAW CBH'!F105)</f>
        <v/>
      </c>
      <c r="K932" s="50" t="str">
        <f aca="false">IF('RAW CBH'!G105="","",'RAW CBH'!G105)</f>
        <v/>
      </c>
      <c r="L932" s="50" t="str">
        <f aca="false">IF('RAW CBH'!H105="","",'RAW CBH'!H105)</f>
        <v/>
      </c>
      <c r="M932" s="48" t="str">
        <f aca="false">IF('RAW CBH'!I105="","",'RAW CBH'!I105)</f>
        <v/>
      </c>
    </row>
    <row r="933" customFormat="false" ht="15" hidden="false" customHeight="false" outlineLevel="0" collapsed="false">
      <c r="A933" s="1" t="s">
        <v>2077</v>
      </c>
      <c r="B933" s="1" t="s">
        <v>156</v>
      </c>
      <c r="C933" s="1" t="s">
        <v>1149</v>
      </c>
      <c r="D933" s="1" t="n">
        <v>106</v>
      </c>
      <c r="E933" s="48" t="str">
        <f aca="false">IF('RAW CBH'!A106="","",'RAW CBH'!A106)</f>
        <v>Prenatal &amp; Newborn Classes</v>
      </c>
      <c r="F933" s="48" t="str">
        <f aca="false">IF('RAW CBH'!B106="","",'RAW CBH'!B106)</f>
        <v>Health Education</v>
      </c>
      <c r="G933" s="49" t="str">
        <f aca="false">IF('RAW CBH'!D106="","",'RAW CBH'!D106)</f>
        <v>2025-11-14</v>
      </c>
      <c r="H933" s="48" t="str">
        <f aca="false">IF('RAW CBH'!C106="","",'RAW CBH'!C106)</f>
        <v>RN Educator</v>
      </c>
      <c r="I933" s="48" t="n">
        <f aca="false">IF('RAW CBH'!E106="","",'RAW CBH'!E106)</f>
        <v>3.5</v>
      </c>
      <c r="J933" s="48" t="n">
        <f aca="false">IF('RAW CBH'!F106="","",'RAW CBH'!F106)</f>
        <v>18</v>
      </c>
      <c r="K933" s="50" t="n">
        <f aca="false">IF('RAW CBH'!G106="","",'RAW CBH'!G106)</f>
        <v>155</v>
      </c>
      <c r="L933" s="50" t="n">
        <f aca="false">IF('RAW CBH'!H106="","",'RAW CBH'!H106)</f>
        <v>360</v>
      </c>
      <c r="M933" s="48" t="str">
        <f aca="false">IF('RAW CBH'!I106="","",'RAW CBH'!I106)</f>
        <v/>
      </c>
    </row>
    <row r="934" customFormat="false" ht="15" hidden="false" customHeight="false" outlineLevel="0" collapsed="false">
      <c r="A934" s="1" t="s">
        <v>2078</v>
      </c>
      <c r="B934" s="1" t="s">
        <v>156</v>
      </c>
      <c r="C934" s="1" t="s">
        <v>1149</v>
      </c>
      <c r="D934" s="1" t="n">
        <v>107</v>
      </c>
      <c r="E934" s="48" t="str">
        <f aca="false">IF('RAW CBH'!A107="","",'RAW CBH'!A107)</f>
        <v>Blood Pressure Screening</v>
      </c>
      <c r="F934" s="48" t="str">
        <f aca="false">IF('RAW CBH'!B107="","",'RAW CBH'!B107)</f>
        <v>Screenings</v>
      </c>
      <c r="G934" s="49" t="str">
        <f aca="false">IF('RAW CBH'!D107="","",'RAW CBH'!D107)</f>
        <v>2025-11-18</v>
      </c>
      <c r="H934" s="48" t="str">
        <f aca="false">IF('RAW CBH'!C107="","",'RAW CBH'!C107)</f>
        <v>Charge RN</v>
      </c>
      <c r="I934" s="48" t="n">
        <f aca="false">IF('RAW CBH'!E107="","",'RAW CBH'!E107)</f>
        <v>3.25</v>
      </c>
      <c r="J934" s="48" t="n">
        <f aca="false">IF('RAW CBH'!F107="","",'RAW CBH'!F107)</f>
        <v>56</v>
      </c>
      <c r="K934" s="50" t="n">
        <f aca="false">IF('RAW CBH'!G107="","",'RAW CBH'!G107)</f>
        <v>65</v>
      </c>
      <c r="L934" s="50" t="str">
        <f aca="false">IF('RAW CBH'!H107="","",'RAW CBH'!H107)</f>
        <v/>
      </c>
      <c r="M934" s="48" t="str">
        <f aca="false">IF('RAW CBH'!I107="","",'RAW CBH'!I107)</f>
        <v/>
      </c>
    </row>
    <row r="935" customFormat="false" ht="15" hidden="false" customHeight="false" outlineLevel="0" collapsed="false">
      <c r="A935" s="1" t="s">
        <v>2079</v>
      </c>
      <c r="B935" s="1" t="s">
        <v>156</v>
      </c>
      <c r="C935" s="1" t="s">
        <v>1149</v>
      </c>
      <c r="D935" s="1" t="n">
        <v>108</v>
      </c>
      <c r="E935" s="48" t="str">
        <f aca="false">IF('RAW CBH'!A108="","",'RAW CBH'!A108)</f>
        <v>Blood Pressure Screening</v>
      </c>
      <c r="F935" s="48" t="str">
        <f aca="false">IF('RAW CBH'!B108="","",'RAW CBH'!B108)</f>
        <v>Screenings</v>
      </c>
      <c r="G935" s="49" t="str">
        <f aca="false">IF('RAW CBH'!D108="","",'RAW CBH'!D108)</f>
        <v>2025-11-22</v>
      </c>
      <c r="H935" s="48" t="str">
        <f aca="false">IF('RAW CBH'!C108="","",'RAW CBH'!C108)</f>
        <v> Staff RN</v>
      </c>
      <c r="I935" s="48" t="n">
        <f aca="false">IF('RAW CBH'!E108="","",'RAW CBH'!E108)</f>
        <v>3.25</v>
      </c>
      <c r="J935" s="48" t="n">
        <f aca="false">IF('RAW CBH'!F108="","",'RAW CBH'!F108)</f>
        <v>46</v>
      </c>
      <c r="K935" s="50" t="n">
        <f aca="false">IF('RAW CBH'!G108="","",'RAW CBH'!G108)</f>
        <v>60</v>
      </c>
      <c r="L935" s="50" t="str">
        <f aca="false">IF('RAW CBH'!H108="","",'RAW CBH'!H108)</f>
        <v/>
      </c>
      <c r="M935" s="48" t="str">
        <f aca="false">IF('RAW CBH'!I108="","",'RAW CBH'!I108)</f>
        <v/>
      </c>
    </row>
    <row r="936" customFormat="false" ht="15" hidden="false" customHeight="false" outlineLevel="0" collapsed="false">
      <c r="A936" s="1" t="s">
        <v>2080</v>
      </c>
      <c r="B936" s="1" t="s">
        <v>156</v>
      </c>
      <c r="C936" s="1" t="s">
        <v>1149</v>
      </c>
      <c r="D936" s="1" t="n">
        <v>109</v>
      </c>
      <c r="E936" s="48" t="str">
        <f aca="false">IF('RAW CBH'!A109="","",'RAW CBH'!A109)</f>
        <v>Naloxone Training</v>
      </c>
      <c r="F936" s="48" t="str">
        <f aca="false">IF('RAW CBH'!B109="","",'RAW CBH'!B109)</f>
        <v>Health Education</v>
      </c>
      <c r="G936" s="49" t="str">
        <f aca="false">IF('RAW CBH'!D109="","",'RAW CBH'!D109)</f>
        <v>2025-11-26</v>
      </c>
      <c r="H936" s="48" t="str">
        <f aca="false">IF('RAW CBH'!C109="","",'RAW CBH'!C109)</f>
        <v>Community Educator</v>
      </c>
      <c r="I936" s="48" t="n">
        <f aca="false">IF('RAW CBH'!E109="","",'RAW CBH'!E109)</f>
        <v>2.75</v>
      </c>
      <c r="J936" s="48" t="str">
        <f aca="false">IF('RAW CBH'!F109="","",'RAW CBH'!F109)</f>
        <v/>
      </c>
      <c r="K936" s="50" t="str">
        <f aca="false">IF('RAW CBH'!G109="","",'RAW CBH'!G109)</f>
        <v/>
      </c>
      <c r="L936" s="50" t="str">
        <f aca="false">IF('RAW CBH'!H109="","",'RAW CBH'!H109)</f>
        <v/>
      </c>
      <c r="M936" s="48" t="str">
        <f aca="false">IF('RAW CBH'!I109="","",'RAW CBH'!I109)</f>
        <v/>
      </c>
    </row>
    <row r="937" customFormat="false" ht="15" hidden="false" customHeight="false" outlineLevel="0" collapsed="false">
      <c r="A937" s="1" t="s">
        <v>2081</v>
      </c>
      <c r="B937" s="1" t="s">
        <v>156</v>
      </c>
      <c r="C937" s="1" t="s">
        <v>1149</v>
      </c>
      <c r="D937" s="1" t="n">
        <v>110</v>
      </c>
      <c r="E937" s="48" t="str">
        <f aca="false">IF('RAW CBH'!A110="","",'RAW CBH'!A110)</f>
        <v>Naloxone Training</v>
      </c>
      <c r="F937" s="48" t="str">
        <f aca="false">IF('RAW CBH'!B110="","",'RAW CBH'!B110)</f>
        <v>Health Education</v>
      </c>
      <c r="G937" s="49" t="str">
        <f aca="false">IF('RAW CBH'!D110="","",'RAW CBH'!D110)</f>
        <v>2025-11-26</v>
      </c>
      <c r="H937" s="48" t="str">
        <f aca="false">IF('RAW CBH'!C110="","",'RAW CBH'!C110)</f>
        <v>Staff Pharmacist</v>
      </c>
      <c r="I937" s="48" t="n">
        <f aca="false">IF('RAW CBH'!E110="","",'RAW CBH'!E110)</f>
        <v>3</v>
      </c>
      <c r="J937" s="48" t="n">
        <f aca="false">IF('RAW CBH'!F110="","",'RAW CBH'!F110)</f>
        <v>18</v>
      </c>
      <c r="K937" s="50" t="n">
        <f aca="false">IF('RAW CBH'!G110="","",'RAW CBH'!G110)</f>
        <v>2050</v>
      </c>
      <c r="L937" s="50" t="n">
        <f aca="false">IF('RAW CBH'!H110="","",'RAW CBH'!H110)</f>
        <v>1755</v>
      </c>
      <c r="M937" s="48" t="str">
        <f aca="false">IF('RAW CBH'!I110="","",'RAW CBH'!I110)</f>
        <v/>
      </c>
    </row>
    <row r="938" customFormat="false" ht="15" hidden="false" customHeight="false" outlineLevel="0" collapsed="false">
      <c r="A938" s="1" t="s">
        <v>2082</v>
      </c>
      <c r="B938" s="1" t="s">
        <v>156</v>
      </c>
      <c r="C938" s="1" t="s">
        <v>1149</v>
      </c>
      <c r="D938" s="1" t="n">
        <v>111</v>
      </c>
      <c r="E938" s="48" t="str">
        <f aca="false">IF('RAW CBH'!A111="","",'RAW CBH'!A111)</f>
        <v>Prenatal &amp; Newborn Classes</v>
      </c>
      <c r="F938" s="48" t="str">
        <f aca="false">IF('RAW CBH'!B111="","",'RAW CBH'!B111)</f>
        <v>Health Education</v>
      </c>
      <c r="G938" s="49" t="str">
        <f aca="false">IF('RAW CBH'!D111="","",'RAW CBH'!D111)</f>
        <v>2025-11-28</v>
      </c>
      <c r="H938" s="48" t="str">
        <f aca="false">IF('RAW CBH'!C111="","",'RAW CBH'!C111)</f>
        <v>RN Educator</v>
      </c>
      <c r="I938" s="48" t="n">
        <f aca="false">IF('RAW CBH'!E111="","",'RAW CBH'!E111)</f>
        <v>3.25</v>
      </c>
      <c r="J938" s="48" t="n">
        <f aca="false">IF('RAW CBH'!F111="","",'RAW CBH'!F111)</f>
        <v>16</v>
      </c>
      <c r="K938" s="50" t="n">
        <f aca="false">IF('RAW CBH'!G111="","",'RAW CBH'!G111)</f>
        <v>140</v>
      </c>
      <c r="L938" s="50" t="n">
        <f aca="false">IF('RAW CBH'!H111="","",'RAW CBH'!H111)</f>
        <v>320</v>
      </c>
      <c r="M938" s="48" t="str">
        <f aca="false">IF('RAW CBH'!I111="","",'RAW CBH'!I111)</f>
        <v/>
      </c>
    </row>
    <row r="939" customFormat="false" ht="15" hidden="false" customHeight="false" outlineLevel="0" collapsed="false">
      <c r="A939" s="1" t="s">
        <v>2083</v>
      </c>
      <c r="B939" s="1" t="s">
        <v>156</v>
      </c>
      <c r="C939" s="1" t="s">
        <v>1149</v>
      </c>
      <c r="D939" s="1" t="n">
        <v>112</v>
      </c>
      <c r="E939" s="48" t="str">
        <f aca="false">IF('RAW CBH'!A112="","",'RAW CBH'!A112)</f>
        <v>Bereavement Group</v>
      </c>
      <c r="F939" s="48" t="str">
        <f aca="false">IF('RAW CBH'!B112="","",'RAW CBH'!B112)</f>
        <v>Patient Support</v>
      </c>
      <c r="G939" s="49" t="str">
        <f aca="false">IF('RAW CBH'!D112="","",'RAW CBH'!D112)</f>
        <v>2025-11-29</v>
      </c>
      <c r="H939" s="48" t="str">
        <f aca="false">IF('RAW CBH'!C112="","",'RAW CBH'!C112)</f>
        <v>Chaplain</v>
      </c>
      <c r="I939" s="48" t="n">
        <f aca="false">IF('RAW CBH'!E112="","",'RAW CBH'!E112)</f>
        <v>2.75</v>
      </c>
      <c r="J939" s="48" t="n">
        <f aca="false">IF('RAW CBH'!F112="","",'RAW CBH'!F112)</f>
        <v>14</v>
      </c>
      <c r="K939" s="50" t="n">
        <f aca="false">IF('RAW CBH'!G112="","",'RAW CBH'!G112)</f>
        <v>45</v>
      </c>
      <c r="L939" s="50" t="str">
        <f aca="false">IF('RAW CBH'!H112="","",'RAW CBH'!H112)</f>
        <v/>
      </c>
      <c r="M939" s="48" t="str">
        <f aca="false">IF('RAW CBH'!I112="","",'RAW CBH'!I112)</f>
        <v/>
      </c>
    </row>
    <row r="940" customFormat="false" ht="15" hidden="false" customHeight="false" outlineLevel="0" collapsed="false">
      <c r="A940" s="1" t="s">
        <v>2084</v>
      </c>
      <c r="B940" s="1" t="s">
        <v>156</v>
      </c>
      <c r="C940" s="1" t="s">
        <v>1149</v>
      </c>
      <c r="D940" s="1" t="n">
        <v>113</v>
      </c>
      <c r="E940" s="48" t="str">
        <f aca="false">IF('RAW CBH'!A113="","",'RAW CBH'!A113)</f>
        <v>Bereavement Group</v>
      </c>
      <c r="F940" s="48" t="str">
        <f aca="false">IF('RAW CBH'!B113="","",'RAW CBH'!B113)</f>
        <v>Patient Support</v>
      </c>
      <c r="G940" s="49" t="str">
        <f aca="false">IF('RAW CBH'!D113="","",'RAW CBH'!D113)</f>
        <v>2025-11-29</v>
      </c>
      <c r="H940" s="48" t="str">
        <f aca="false">IF('RAW CBH'!C113="","",'RAW CBH'!C113)</f>
        <v>MSW </v>
      </c>
      <c r="I940" s="48" t="n">
        <f aca="false">IF('RAW CBH'!E113="","",'RAW CBH'!E113)</f>
        <v>2</v>
      </c>
      <c r="J940" s="48" t="str">
        <f aca="false">IF('RAW CBH'!F113="","",'RAW CBH'!F113)</f>
        <v/>
      </c>
      <c r="K940" s="50" t="str">
        <f aca="false">IF('RAW CBH'!G113="","",'RAW CBH'!G113)</f>
        <v/>
      </c>
      <c r="L940" s="50" t="str">
        <f aca="false">IF('RAW CBH'!H113="","",'RAW CBH'!H113)</f>
        <v/>
      </c>
      <c r="M940" s="48" t="str">
        <f aca="false">IF('RAW CBH'!I113="","",'RAW CBH'!I113)</f>
        <v/>
      </c>
    </row>
    <row r="941" customFormat="false" ht="15" hidden="false" customHeight="false" outlineLevel="0" collapsed="false">
      <c r="A941" s="1" t="s">
        <v>2085</v>
      </c>
      <c r="B941" s="1" t="s">
        <v>156</v>
      </c>
      <c r="C941" s="1" t="s">
        <v>1149</v>
      </c>
      <c r="D941" s="1" t="n">
        <v>114</v>
      </c>
      <c r="E941" s="48" t="str">
        <f aca="false">IF('RAW CBH'!A114="","",'RAW CBH'!A114)</f>
        <v>Free Clinic Staffing</v>
      </c>
      <c r="F941" s="48" t="str">
        <f aca="false">IF('RAW CBH'!B114="","",'RAW CBH'!B114)</f>
        <v>Screenings</v>
      </c>
      <c r="G941" s="49" t="str">
        <f aca="false">IF('RAW CBH'!D114="","",'RAW CBH'!D114)</f>
        <v>2025-11-30</v>
      </c>
      <c r="H941" s="48" t="str">
        <f aca="false">IF('RAW CBH'!C114="","",'RAW CBH'!C114)</f>
        <v>Family NP</v>
      </c>
      <c r="I941" s="48" t="n">
        <f aca="false">IF('RAW CBH'!E114="","",'RAW CBH'!E114)</f>
        <v>33.5</v>
      </c>
      <c r="J941" s="48" t="n">
        <f aca="false">IF('RAW CBH'!F114="","",'RAW CBH'!F114)</f>
        <v>233</v>
      </c>
      <c r="K941" s="50" t="n">
        <f aca="false">IF('RAW CBH'!G114="","",'RAW CBH'!G114)</f>
        <v>2950</v>
      </c>
      <c r="L941" s="50" t="str">
        <f aca="false">IF('RAW CBH'!H114="","",'RAW CBH'!H114)</f>
        <v/>
      </c>
      <c r="M941" s="48" t="str">
        <f aca="false">IF('RAW CBH'!I114="","",'RAW CBH'!I114)</f>
        <v/>
      </c>
    </row>
    <row r="942" customFormat="false" ht="15" hidden="false" customHeight="false" outlineLevel="0" collapsed="false">
      <c r="A942" s="1" t="s">
        <v>2086</v>
      </c>
      <c r="B942" s="1" t="s">
        <v>156</v>
      </c>
      <c r="C942" s="1" t="s">
        <v>1149</v>
      </c>
      <c r="D942" s="1" t="n">
        <v>115</v>
      </c>
      <c r="E942" s="48" t="str">
        <f aca="false">IF('RAW CBH'!A115="","",'RAW CBH'!A115)</f>
        <v>Free Clinic Staffing</v>
      </c>
      <c r="F942" s="48" t="str">
        <f aca="false">IF('RAW CBH'!B115="","",'RAW CBH'!B115)</f>
        <v>Screenings</v>
      </c>
      <c r="G942" s="49" t="str">
        <f aca="false">IF('RAW CBH'!D115="","",'RAW CBH'!D115)</f>
        <v>2025-11-30</v>
      </c>
      <c r="H942" s="48" t="str">
        <f aca="false">IF('RAW CBH'!C115="","",'RAW CBH'!C115)</f>
        <v>Pharmacist</v>
      </c>
      <c r="I942" s="48" t="n">
        <f aca="false">IF('RAW CBH'!E115="","",'RAW CBH'!E115)</f>
        <v>11.25</v>
      </c>
      <c r="J942" s="48" t="str">
        <f aca="false">IF('RAW CBH'!F115="","",'RAW CBH'!F115)</f>
        <v/>
      </c>
      <c r="K942" s="50" t="str">
        <f aca="false">IF('RAW CBH'!G115="","",'RAW CBH'!G115)</f>
        <v/>
      </c>
      <c r="L942" s="50" t="str">
        <f aca="false">IF('RAW CBH'!H115="","",'RAW CBH'!H115)</f>
        <v/>
      </c>
      <c r="M942" s="48" t="str">
        <f aca="false">IF('RAW CBH'!I115="","",'RAW CBH'!I115)</f>
        <v/>
      </c>
    </row>
    <row r="943" customFormat="false" ht="15" hidden="false" customHeight="false" outlineLevel="0" collapsed="false">
      <c r="A943" s="1" t="s">
        <v>2087</v>
      </c>
      <c r="B943" s="1" t="s">
        <v>156</v>
      </c>
      <c r="C943" s="1" t="s">
        <v>1149</v>
      </c>
      <c r="D943" s="1" t="n">
        <v>116</v>
      </c>
      <c r="E943" s="48" t="str">
        <f aca="false">IF('RAW CBH'!A116="","",'RAW CBH'!A116)</f>
        <v>Free Clinic Staffing</v>
      </c>
      <c r="F943" s="48" t="str">
        <f aca="false">IF('RAW CBH'!B116="","",'RAW CBH'!B116)</f>
        <v>Screenings</v>
      </c>
      <c r="G943" s="49" t="str">
        <f aca="false">IF('RAW CBH'!D116="","",'RAW CBH'!D116)</f>
        <v>2025-11-30</v>
      </c>
      <c r="H943" s="48" t="str">
        <f aca="false">IF('RAW CBH'!C116="","",'RAW CBH'!C116)</f>
        <v>Staff RN</v>
      </c>
      <c r="I943" s="48" t="n">
        <f aca="false">IF('RAW CBH'!E116="","",'RAW CBH'!E116)</f>
        <v>31</v>
      </c>
      <c r="J943" s="48" t="str">
        <f aca="false">IF('RAW CBH'!F116="","",'RAW CBH'!F116)</f>
        <v/>
      </c>
      <c r="K943" s="50" t="str">
        <f aca="false">IF('RAW CBH'!G116="","",'RAW CBH'!G116)</f>
        <v/>
      </c>
      <c r="L943" s="50" t="str">
        <f aca="false">IF('RAW CBH'!H116="","",'RAW CBH'!H116)</f>
        <v/>
      </c>
      <c r="M943" s="48" t="str">
        <f aca="false">IF('RAW CBH'!I116="","",'RAW CBH'!I116)</f>
        <v/>
      </c>
    </row>
    <row r="944" customFormat="false" ht="15" hidden="false" customHeight="false" outlineLevel="0" collapsed="false">
      <c r="A944" s="1" t="s">
        <v>2088</v>
      </c>
      <c r="B944" s="1" t="s">
        <v>156</v>
      </c>
      <c r="C944" s="1" t="s">
        <v>1149</v>
      </c>
      <c r="D944" s="1" t="n">
        <v>117</v>
      </c>
      <c r="E944" s="48" t="str">
        <f aca="false">IF('RAW CBH'!A117="","",'RAW CBH'!A117)</f>
        <v>Med Assistance</v>
      </c>
      <c r="F944" s="48" t="str">
        <f aca="false">IF('RAW CBH'!B117="","",'RAW CBH'!B117)</f>
        <v>Patient Support</v>
      </c>
      <c r="G944" s="49" t="str">
        <f aca="false">IF('RAW CBH'!D117="","",'RAW CBH'!D117)</f>
        <v>2025-11-30</v>
      </c>
      <c r="H944" s="48" t="str">
        <f aca="false">IF('RAW CBH'!C117="","",'RAW CBH'!C117)</f>
        <v>Care Navigator</v>
      </c>
      <c r="I944" s="48" t="n">
        <f aca="false">IF('RAW CBH'!E117="","",'RAW CBH'!E117)</f>
        <v>73.5</v>
      </c>
      <c r="J944" s="48" t="str">
        <f aca="false">IF('RAW CBH'!F117="","",'RAW CBH'!F117)</f>
        <v/>
      </c>
      <c r="K944" s="50" t="str">
        <f aca="false">IF('RAW CBH'!G117="","",'RAW CBH'!G117)</f>
        <v/>
      </c>
      <c r="L944" s="50" t="str">
        <f aca="false">IF('RAW CBH'!H117="","",'RAW CBH'!H117)</f>
        <v/>
      </c>
      <c r="M944" s="48" t="str">
        <f aca="false">IF('RAW CBH'!I117="","",'RAW CBH'!I117)</f>
        <v/>
      </c>
    </row>
    <row r="945" customFormat="false" ht="15" hidden="false" customHeight="false" outlineLevel="0" collapsed="false">
      <c r="A945" s="1" t="s">
        <v>2089</v>
      </c>
      <c r="B945" s="1" t="s">
        <v>156</v>
      </c>
      <c r="C945" s="1" t="s">
        <v>1149</v>
      </c>
      <c r="D945" s="1" t="n">
        <v>118</v>
      </c>
      <c r="E945" s="48" t="str">
        <f aca="false">IF('RAW CBH'!A118="","",'RAW CBH'!A118)</f>
        <v>Med Assistance</v>
      </c>
      <c r="F945" s="48" t="str">
        <f aca="false">IF('RAW CBH'!B118="","",'RAW CBH'!B118)</f>
        <v>Patient Support</v>
      </c>
      <c r="G945" s="49" t="str">
        <f aca="false">IF('RAW CBH'!D118="","",'RAW CBH'!D118)</f>
        <v>2025-11-30</v>
      </c>
      <c r="H945" s="48" t="str">
        <f aca="false">IF('RAW CBH'!C118="","",'RAW CBH'!C118)</f>
        <v>RPh</v>
      </c>
      <c r="I945" s="48" t="n">
        <f aca="false">IF('RAW CBH'!E118="","",'RAW CBH'!E118)</f>
        <v>22</v>
      </c>
      <c r="J945" s="48" t="n">
        <f aca="false">IF('RAW CBH'!F118="","",'RAW CBH'!F118)</f>
        <v>98</v>
      </c>
      <c r="K945" s="50" t="n">
        <f aca="false">IF('RAW CBH'!G118="","",'RAW CBH'!G118)</f>
        <v>21295</v>
      </c>
      <c r="L945" s="50" t="str">
        <f aca="false">IF('RAW CBH'!H118="","",'RAW CBH'!H118)</f>
        <v/>
      </c>
      <c r="M945" s="48" t="str">
        <f aca="false">IF('RAW CBH'!I118="","",'RAW CBH'!I118)</f>
        <v/>
      </c>
    </row>
    <row r="946" customFormat="false" ht="15" hidden="false" customHeight="false" outlineLevel="0" collapsed="false">
      <c r="A946" s="1" t="s">
        <v>2090</v>
      </c>
      <c r="B946" s="1" t="s">
        <v>156</v>
      </c>
      <c r="C946" s="1" t="s">
        <v>1149</v>
      </c>
      <c r="D946" s="1" t="n">
        <v>119</v>
      </c>
      <c r="E946" s="48" t="str">
        <f aca="false">IF('RAW CBH'!A119="","",'RAW CBH'!A119)</f>
        <v>Community Benefit Admin</v>
      </c>
      <c r="F946" s="48" t="str">
        <f aca="false">IF('RAW CBH'!B119="","",'RAW CBH'!B119)</f>
        <v>Ops</v>
      </c>
      <c r="G946" s="49" t="str">
        <f aca="false">IF('RAW CBH'!D119="","",'RAW CBH'!D119)</f>
        <v>2025-11-30</v>
      </c>
      <c r="H946" s="48" t="str">
        <f aca="false">IF('RAW CBH'!C119="","",'RAW CBH'!C119)</f>
        <v>Administrative Assistant</v>
      </c>
      <c r="I946" s="48" t="n">
        <f aca="false">IF('RAW CBH'!E119="","",'RAW CBH'!E119)</f>
        <v>36.5</v>
      </c>
      <c r="J946" s="48" t="str">
        <f aca="false">IF('RAW CBH'!F119="","",'RAW CBH'!F119)</f>
        <v/>
      </c>
      <c r="K946" s="50" t="str">
        <f aca="false">IF('RAW CBH'!G119="","",'RAW CBH'!G119)</f>
        <v/>
      </c>
      <c r="L946" s="50" t="str">
        <f aca="false">IF('RAW CBH'!H119="","",'RAW CBH'!H119)</f>
        <v/>
      </c>
      <c r="M946" s="48" t="str">
        <f aca="false">IF('RAW CBH'!I119="","",'RAW CBH'!I119)</f>
        <v/>
      </c>
    </row>
    <row r="947" customFormat="false" ht="15" hidden="false" customHeight="false" outlineLevel="0" collapsed="false">
      <c r="A947" s="1" t="s">
        <v>2091</v>
      </c>
      <c r="B947" s="1" t="s">
        <v>156</v>
      </c>
      <c r="C947" s="1" t="s">
        <v>1149</v>
      </c>
      <c r="D947" s="1" t="n">
        <v>120</v>
      </c>
      <c r="E947" s="48" t="str">
        <f aca="false">IF('RAW CBH'!A120="","",'RAW CBH'!A120)</f>
        <v>Community Benefit Admin</v>
      </c>
      <c r="F947" s="48" t="str">
        <f aca="false">IF('RAW CBH'!B120="","",'RAW CBH'!B120)</f>
        <v>Ops</v>
      </c>
      <c r="G947" s="49" t="str">
        <f aca="false">IF('RAW CBH'!D120="","",'RAW CBH'!D120)</f>
        <v>2025-11-30</v>
      </c>
      <c r="H947" s="48" t="str">
        <f aca="false">IF('RAW CBH'!C120="","",'RAW CBH'!C120)</f>
        <v>CB Manager</v>
      </c>
      <c r="I947" s="48" t="n">
        <f aca="false">IF('RAW CBH'!E120="","",'RAW CBH'!E120)</f>
        <v>60.5</v>
      </c>
      <c r="J947" s="48" t="str">
        <f aca="false">IF('RAW CBH'!F120="","",'RAW CBH'!F120)</f>
        <v/>
      </c>
      <c r="K947" s="50" t="n">
        <f aca="false">IF('RAW CBH'!G120="","",'RAW CBH'!G120)</f>
        <v>735</v>
      </c>
      <c r="L947" s="50" t="str">
        <f aca="false">IF('RAW CBH'!H120="","",'RAW CBH'!H120)</f>
        <v/>
      </c>
      <c r="M947" s="48" t="str">
        <f aca="false">IF('RAW CBH'!I120="","",'RAW CBH'!I120)</f>
        <v/>
      </c>
    </row>
    <row r="948" customFormat="false" ht="15" hidden="false" customHeight="false" outlineLevel="0" collapsed="false">
      <c r="A948" s="1" t="s">
        <v>2092</v>
      </c>
      <c r="B948" s="1" t="s">
        <v>156</v>
      </c>
      <c r="C948" s="1" t="s">
        <v>1149</v>
      </c>
      <c r="D948" s="1" t="n">
        <v>121</v>
      </c>
      <c r="E948" s="48" t="str">
        <f aca="false">IF('RAW CBH'!A121="","",'RAW CBH'!A121)</f>
        <v>Interpreter Services</v>
      </c>
      <c r="F948" s="48" t="str">
        <f aca="false">IF('RAW CBH'!B121="","",'RAW CBH'!B121)</f>
        <v>Patient Support</v>
      </c>
      <c r="G948" s="49" t="str">
        <f aca="false">IF('RAW CBH'!D121="","",'RAW CBH'!D121)</f>
        <v>2025-11-30</v>
      </c>
      <c r="H948" s="48" t="str">
        <f aca="false">IF('RAW CBH'!C121="","",'RAW CBH'!C121)</f>
        <v>Spanish Interpreter </v>
      </c>
      <c r="I948" s="48" t="n">
        <f aca="false">IF('RAW CBH'!E121="","",'RAW CBH'!E121)</f>
        <v>48.75</v>
      </c>
      <c r="J948" s="48" t="n">
        <f aca="false">IF('RAW CBH'!F121="","",'RAW CBH'!F121)</f>
        <v>127</v>
      </c>
      <c r="K948" s="50" t="str">
        <f aca="false">IF('RAW CBH'!G121="","",'RAW CBH'!G121)</f>
        <v/>
      </c>
      <c r="L948" s="50" t="str">
        <f aca="false">IF('RAW CBH'!H121="","",'RAW CBH'!H121)</f>
        <v/>
      </c>
      <c r="M948" s="48" t="str">
        <f aca="false">IF('RAW CBH'!I121="","",'RAW CBH'!I121)</f>
        <v/>
      </c>
    </row>
    <row r="949" customFormat="false" ht="15" hidden="false" customHeight="false" outlineLevel="0" collapsed="false">
      <c r="A949" s="1" t="s">
        <v>2093</v>
      </c>
      <c r="B949" s="1" t="s">
        <v>156</v>
      </c>
      <c r="C949" s="1" t="s">
        <v>1149</v>
      </c>
      <c r="D949" s="1" t="n">
        <v>122</v>
      </c>
      <c r="E949" s="48" t="str">
        <f aca="false">IF('RAW CBH'!A122="","",'RAW CBH'!A122)</f>
        <v>Nursing Student Rotations</v>
      </c>
      <c r="F949" s="48" t="str">
        <f aca="false">IF('RAW CBH'!B122="","",'RAW CBH'!B122)</f>
        <v>Education - Health Professions</v>
      </c>
      <c r="G949" s="49" t="str">
        <f aca="false">IF('RAW CBH'!D122="","",'RAW CBH'!D122)</f>
        <v>2025-11-30</v>
      </c>
      <c r="H949" s="48" t="str">
        <f aca="false">IF('RAW CBH'!C122="","",'RAW CBH'!C122)</f>
        <v>Educator, Nursing</v>
      </c>
      <c r="I949" s="48" t="n">
        <f aca="false">IF('RAW CBH'!E122="","",'RAW CBH'!E122)</f>
        <v>140.5</v>
      </c>
      <c r="J949" s="48" t="n">
        <f aca="false">IF('RAW CBH'!F122="","",'RAW CBH'!F122)</f>
        <v>34</v>
      </c>
      <c r="K949" s="50" t="n">
        <f aca="false">IF('RAW CBH'!G122="","",'RAW CBH'!G122)</f>
        <v>900</v>
      </c>
      <c r="L949" s="50" t="str">
        <f aca="false">IF('RAW CBH'!H122="","",'RAW CBH'!H122)</f>
        <v/>
      </c>
      <c r="M949" s="48" t="str">
        <f aca="false">IF('RAW CBH'!I122="","",'RAW CBH'!I122)</f>
        <v/>
      </c>
    </row>
    <row r="950" customFormat="false" ht="15" hidden="false" customHeight="false" outlineLevel="0" collapsed="false">
      <c r="A950" s="1" t="s">
        <v>2094</v>
      </c>
      <c r="B950" s="1" t="s">
        <v>156</v>
      </c>
      <c r="C950" s="1" t="s">
        <v>1149</v>
      </c>
      <c r="D950" s="1" t="n">
        <v>123</v>
      </c>
      <c r="E950" s="48" t="str">
        <f aca="false">IF('RAW CBH'!A123="","",'RAW CBH'!A123)</f>
        <v>Nursing Student Rotations</v>
      </c>
      <c r="F950" s="48" t="str">
        <f aca="false">IF('RAW CBH'!B123="","",'RAW CBH'!B123)</f>
        <v>Education - Health Professions</v>
      </c>
      <c r="G950" s="49" t="str">
        <f aca="false">IF('RAW CBH'!D123="","",'RAW CBH'!D123)</f>
        <v>2025-11-30</v>
      </c>
      <c r="H950" s="48" t="str">
        <f aca="false">IF('RAW CBH'!C123="","",'RAW CBH'!C123)</f>
        <v>R.N.</v>
      </c>
      <c r="I950" s="48" t="n">
        <f aca="false">IF('RAW CBH'!E123="","",'RAW CBH'!E123)</f>
        <v>184.75</v>
      </c>
      <c r="J950" s="48" t="str">
        <f aca="false">IF('RAW CBH'!F123="","",'RAW CBH'!F123)</f>
        <v/>
      </c>
      <c r="K950" s="50" t="str">
        <f aca="false">IF('RAW CBH'!G123="","",'RAW CBH'!G123)</f>
        <v/>
      </c>
      <c r="L950" s="50" t="str">
        <f aca="false">IF('RAW CBH'!H123="","",'RAW CBH'!H123)</f>
        <v/>
      </c>
      <c r="M950" s="48" t="str">
        <f aca="false">IF('RAW CBH'!I123="","",'RAW CBH'!I123)</f>
        <v/>
      </c>
    </row>
    <row r="951" customFormat="false" ht="15" hidden="false" customHeight="false" outlineLevel="0" collapsed="false">
      <c r="A951" s="1" t="s">
        <v>2095</v>
      </c>
      <c r="B951" s="1" t="s">
        <v>156</v>
      </c>
      <c r="C951" s="1" t="s">
        <v>1149</v>
      </c>
      <c r="D951" s="1" t="n">
        <v>124</v>
      </c>
      <c r="E951" s="48" t="str">
        <f aca="false">IF('RAW CBH'!A124="","",'RAW CBH'!A124)</f>
        <v>Pharmacy Students</v>
      </c>
      <c r="F951" s="48" t="str">
        <f aca="false">IF('RAW CBH'!B124="","",'RAW CBH'!B124)</f>
        <v>Education - Health Professions</v>
      </c>
      <c r="G951" s="49" t="str">
        <f aca="false">IF('RAW CBH'!D124="","",'RAW CBH'!D124)</f>
        <v>2025-11-30</v>
      </c>
      <c r="H951" s="48" t="str">
        <f aca="false">IF('RAW CBH'!C124="","",'RAW CBH'!C124)</f>
        <v>RPh</v>
      </c>
      <c r="I951" s="48" t="n">
        <f aca="false">IF('RAW CBH'!E124="","",'RAW CBH'!E124)</f>
        <v>55.75</v>
      </c>
      <c r="J951" s="48" t="n">
        <f aca="false">IF('RAW CBH'!F124="","",'RAW CBH'!F124)</f>
        <v>4</v>
      </c>
      <c r="K951" s="50" t="n">
        <f aca="false">IF('RAW CBH'!G124="","",'RAW CBH'!G124)</f>
        <v>180</v>
      </c>
      <c r="L951" s="50" t="str">
        <f aca="false">IF('RAW CBH'!H124="","",'RAW CBH'!H124)</f>
        <v/>
      </c>
      <c r="M951" s="48" t="str">
        <f aca="false">IF('RAW CBH'!I124="","",'RAW CBH'!I124)</f>
        <v/>
      </c>
    </row>
    <row r="952" customFormat="false" ht="15" hidden="false" customHeight="false" outlineLevel="0" collapsed="false">
      <c r="A952" s="1" t="s">
        <v>2096</v>
      </c>
      <c r="B952" s="1" t="s">
        <v>156</v>
      </c>
      <c r="C952" s="1" t="s">
        <v>1149</v>
      </c>
      <c r="D952" s="1" t="n">
        <v>125</v>
      </c>
      <c r="E952" s="48" t="str">
        <f aca="false">IF('RAW CBH'!A125="","",'RAW CBH'!A125)</f>
        <v>Matter of Balance Classes</v>
      </c>
      <c r="F952" s="48" t="str">
        <f aca="false">IF('RAW CBH'!B125="","",'RAW CBH'!B125)</f>
        <v>Health Education</v>
      </c>
      <c r="G952" s="49" t="str">
        <f aca="false">IF('RAW CBH'!D125="","",'RAW CBH'!D125)</f>
        <v>2025-12-02</v>
      </c>
      <c r="H952" s="48" t="str">
        <f aca="false">IF('RAW CBH'!C125="","",'RAW CBH'!C125)</f>
        <v>Physical Therapy</v>
      </c>
      <c r="I952" s="48" t="n">
        <f aca="false">IF('RAW CBH'!E125="","",'RAW CBH'!E125)</f>
        <v>2</v>
      </c>
      <c r="J952" s="48" t="n">
        <f aca="false">IF('RAW CBH'!F125="","",'RAW CBH'!F125)</f>
        <v>10</v>
      </c>
      <c r="K952" s="50" t="n">
        <f aca="false">IF('RAW CBH'!G125="","",'RAW CBH'!G125)</f>
        <v>65</v>
      </c>
      <c r="L952" s="50" t="str">
        <f aca="false">IF('RAW CBH'!H125="","",'RAW CBH'!H125)</f>
        <v/>
      </c>
      <c r="M952" s="48" t="str">
        <f aca="false">IF('RAW CBH'!I125="","",'RAW CBH'!I125)</f>
        <v/>
      </c>
    </row>
    <row r="953" customFormat="false" ht="15" hidden="false" customHeight="false" outlineLevel="0" collapsed="false">
      <c r="A953" s="1" t="s">
        <v>2097</v>
      </c>
      <c r="B953" s="1" t="s">
        <v>156</v>
      </c>
      <c r="C953" s="1" t="s">
        <v>1149</v>
      </c>
      <c r="D953" s="1" t="n">
        <v>126</v>
      </c>
      <c r="E953" s="48" t="str">
        <f aca="false">IF('RAW CBH'!A126="","",'RAW CBH'!A126)</f>
        <v>Mental Health First Aid</v>
      </c>
      <c r="F953" s="48" t="str">
        <f aca="false">IF('RAW CBH'!B126="","",'RAW CBH'!B126)</f>
        <v>Health Education</v>
      </c>
      <c r="G953" s="49" t="str">
        <f aca="false">IF('RAW CBH'!D126="","",'RAW CBH'!D126)</f>
        <v>2025-12-12</v>
      </c>
      <c r="H953" s="48" t="str">
        <f aca="false">IF('RAW CBH'!C126="","",'RAW CBH'!C126)</f>
        <v>Wellness Educator</v>
      </c>
      <c r="I953" s="48" t="n">
        <f aca="false">IF('RAW CBH'!E126="","",'RAW CBH'!E126)</f>
        <v>8</v>
      </c>
      <c r="J953" s="48" t="str">
        <f aca="false">IF('RAW CBH'!F126="","",'RAW CBH'!F126)</f>
        <v/>
      </c>
      <c r="K953" s="50" t="str">
        <f aca="false">IF('RAW CBH'!G126="","",'RAW CBH'!G126)</f>
        <v/>
      </c>
      <c r="L953" s="50" t="str">
        <f aca="false">IF('RAW CBH'!H126="","",'RAW CBH'!H126)</f>
        <v/>
      </c>
      <c r="M953" s="48" t="str">
        <f aca="false">IF('RAW CBH'!I126="","",'RAW CBH'!I126)</f>
        <v/>
      </c>
    </row>
    <row r="954" customFormat="false" ht="15" hidden="false" customHeight="false" outlineLevel="0" collapsed="false">
      <c r="A954" s="1" t="s">
        <v>2098</v>
      </c>
      <c r="B954" s="1" t="s">
        <v>156</v>
      </c>
      <c r="C954" s="1" t="s">
        <v>1149</v>
      </c>
      <c r="D954" s="1" t="n">
        <v>127</v>
      </c>
      <c r="E954" s="48" t="str">
        <f aca="false">IF('RAW CBH'!A127="","",'RAW CBH'!A127)</f>
        <v>Mental Health First Aid</v>
      </c>
      <c r="F954" s="48" t="str">
        <f aca="false">IF('RAW CBH'!B127="","",'RAW CBH'!B127)</f>
        <v>Health Education</v>
      </c>
      <c r="G954" s="49" t="str">
        <f aca="false">IF('RAW CBH'!D127="","",'RAW CBH'!D127)</f>
        <v>2025-12-12</v>
      </c>
      <c r="H954" s="48" t="str">
        <f aca="false">IF('RAW CBH'!C127="","",'RAW CBH'!C127)</f>
        <v>MSW</v>
      </c>
      <c r="I954" s="48" t="n">
        <f aca="false">IF('RAW CBH'!E127="","",'RAW CBH'!E127)</f>
        <v>8</v>
      </c>
      <c r="J954" s="48" t="n">
        <f aca="false">IF('RAW CBH'!F127="","",'RAW CBH'!F127)</f>
        <v>15</v>
      </c>
      <c r="K954" s="50" t="n">
        <f aca="false">IF('RAW CBH'!G127="","",'RAW CBH'!G127)</f>
        <v>375</v>
      </c>
      <c r="L954" s="50" t="str">
        <f aca="false">IF('RAW CBH'!H127="","",'RAW CBH'!H127)</f>
        <v/>
      </c>
      <c r="M954" s="48" t="str">
        <f aca="false">IF('RAW CBH'!I127="","",'RAW CBH'!I127)</f>
        <v/>
      </c>
    </row>
    <row r="955" customFormat="false" ht="15" hidden="false" customHeight="false" outlineLevel="0" collapsed="false">
      <c r="A955" s="1" t="s">
        <v>2099</v>
      </c>
      <c r="B955" s="1" t="s">
        <v>156</v>
      </c>
      <c r="C955" s="1" t="s">
        <v>1149</v>
      </c>
      <c r="D955" s="1" t="n">
        <v>128</v>
      </c>
      <c r="E955" s="48" t="str">
        <f aca="false">IF('RAW CBH'!A128="","",'RAW CBH'!A128)</f>
        <v>Mental Health First Aid</v>
      </c>
      <c r="F955" s="48" t="str">
        <f aca="false">IF('RAW CBH'!B128="","",'RAW CBH'!B128)</f>
        <v>Health Education</v>
      </c>
      <c r="G955" s="49" t="str">
        <f aca="false">IF('RAW CBH'!D128="","",'RAW CBH'!D128)</f>
        <v>2025-12-13</v>
      </c>
      <c r="H955" s="48" t="str">
        <f aca="false">IF('RAW CBH'!C128="","",'RAW CBH'!C128)</f>
        <v>Health Ed</v>
      </c>
      <c r="I955" s="48" t="n">
        <f aca="false">IF('RAW CBH'!E128="","",'RAW CBH'!E128)</f>
        <v>8</v>
      </c>
      <c r="J955" s="48" t="str">
        <f aca="false">IF('RAW CBH'!F128="","",'RAW CBH'!F128)</f>
        <v/>
      </c>
      <c r="K955" s="50" t="str">
        <f aca="false">IF('RAW CBH'!G128="","",'RAW CBH'!G128)</f>
        <v/>
      </c>
      <c r="L955" s="50" t="str">
        <f aca="false">IF('RAW CBH'!H128="","",'RAW CBH'!H128)</f>
        <v/>
      </c>
      <c r="M955" s="48" t="str">
        <f aca="false">IF('RAW CBH'!I128="","",'RAW CBH'!I128)</f>
        <v/>
      </c>
    </row>
    <row r="956" customFormat="false" ht="15" hidden="false" customHeight="false" outlineLevel="0" collapsed="false">
      <c r="A956" s="1" t="s">
        <v>2100</v>
      </c>
      <c r="B956" s="1" t="s">
        <v>156</v>
      </c>
      <c r="C956" s="1" t="s">
        <v>1149</v>
      </c>
      <c r="D956" s="1" t="n">
        <v>129</v>
      </c>
      <c r="E956" s="48" t="str">
        <f aca="false">IF('RAW CBH'!A129="","",'RAW CBH'!A129)</f>
        <v>Mental Health First Aid</v>
      </c>
      <c r="F956" s="48" t="str">
        <f aca="false">IF('RAW CBH'!B129="","",'RAW CBH'!B129)</f>
        <v>Health Education</v>
      </c>
      <c r="G956" s="49" t="str">
        <f aca="false">IF('RAW CBH'!D129="","",'RAW CBH'!D129)</f>
        <v>2025-12-13</v>
      </c>
      <c r="H956" s="48" t="str">
        <f aca="false">IF('RAW CBH'!C129="","",'RAW CBH'!C129)</f>
        <v>LMSW</v>
      </c>
      <c r="I956" s="48" t="n">
        <f aca="false">IF('RAW CBH'!E129="","",'RAW CBH'!E129)</f>
        <v>8</v>
      </c>
      <c r="J956" s="48" t="n">
        <f aca="false">IF('RAW CBH'!F129="","",'RAW CBH'!F129)</f>
        <v>19</v>
      </c>
      <c r="K956" s="50" t="n">
        <f aca="false">IF('RAW CBH'!G129="","",'RAW CBH'!G129)</f>
        <v>535</v>
      </c>
      <c r="L956" s="50" t="str">
        <f aca="false">IF('RAW CBH'!H129="","",'RAW CBH'!H129)</f>
        <v/>
      </c>
      <c r="M956" s="48" t="str">
        <f aca="false">IF('RAW CBH'!I129="","",'RAW CBH'!I129)</f>
        <v/>
      </c>
    </row>
    <row r="957" customFormat="false" ht="15" hidden="false" customHeight="false" outlineLevel="0" collapsed="false">
      <c r="A957" s="1" t="s">
        <v>2101</v>
      </c>
      <c r="B957" s="1" t="s">
        <v>156</v>
      </c>
      <c r="C957" s="1" t="s">
        <v>1149</v>
      </c>
      <c r="D957" s="1" t="n">
        <v>130</v>
      </c>
      <c r="E957" s="48" t="str">
        <f aca="false">IF('RAW CBH'!A130="","",'RAW CBH'!A130)</f>
        <v>Naloxone Training</v>
      </c>
      <c r="F957" s="48" t="str">
        <f aca="false">IF('RAW CBH'!B130="","",'RAW CBH'!B130)</f>
        <v>Health Education</v>
      </c>
      <c r="G957" s="49" t="str">
        <f aca="false">IF('RAW CBH'!D130="","",'RAW CBH'!D130)</f>
        <v>2025-12-19</v>
      </c>
      <c r="H957" s="48" t="str">
        <f aca="false">IF('RAW CBH'!C130="","",'RAW CBH'!C130)</f>
        <v>CHES</v>
      </c>
      <c r="I957" s="48" t="n">
        <f aca="false">IF('RAW CBH'!E130="","",'RAW CBH'!E130)</f>
        <v>3</v>
      </c>
      <c r="J957" s="48" t="str">
        <f aca="false">IF('RAW CBH'!F130="","",'RAW CBH'!F130)</f>
        <v/>
      </c>
      <c r="K957" s="50" t="str">
        <f aca="false">IF('RAW CBH'!G130="","",'RAW CBH'!G130)</f>
        <v/>
      </c>
      <c r="L957" s="50" t="str">
        <f aca="false">IF('RAW CBH'!H130="","",'RAW CBH'!H130)</f>
        <v/>
      </c>
      <c r="M957" s="48" t="str">
        <f aca="false">IF('RAW CBH'!I130="","",'RAW CBH'!I130)</f>
        <v/>
      </c>
    </row>
    <row r="958" customFormat="false" ht="15" hidden="false" customHeight="false" outlineLevel="0" collapsed="false">
      <c r="A958" s="1" t="s">
        <v>2102</v>
      </c>
      <c r="B958" s="1" t="s">
        <v>156</v>
      </c>
      <c r="C958" s="1" t="s">
        <v>1149</v>
      </c>
      <c r="D958" s="1" t="n">
        <v>131</v>
      </c>
      <c r="E958" s="48" t="str">
        <f aca="false">IF('RAW CBH'!A131="","",'RAW CBH'!A131)</f>
        <v>Naloxone Training</v>
      </c>
      <c r="F958" s="48" t="str">
        <f aca="false">IF('RAW CBH'!B131="","",'RAW CBH'!B131)</f>
        <v>Health Education</v>
      </c>
      <c r="G958" s="49" t="str">
        <f aca="false">IF('RAW CBH'!D131="","",'RAW CBH'!D131)</f>
        <v>2025-12-19</v>
      </c>
      <c r="H958" s="48" t="str">
        <f aca="false">IF('RAW CBH'!C131="","",'RAW CBH'!C131)</f>
        <v>Clinical Pharmacist </v>
      </c>
      <c r="I958" s="48" t="n">
        <f aca="false">IF('RAW CBH'!E131="","",'RAW CBH'!E131)</f>
        <v>2.5</v>
      </c>
      <c r="J958" s="48" t="n">
        <f aca="false">IF('RAW CBH'!F131="","",'RAW CBH'!F131)</f>
        <v>39</v>
      </c>
      <c r="K958" s="50" t="n">
        <f aca="false">IF('RAW CBH'!G131="","",'RAW CBH'!G131)</f>
        <v>2020</v>
      </c>
      <c r="L958" s="50" t="n">
        <f aca="false">IF('RAW CBH'!H131="","",'RAW CBH'!H131)</f>
        <v>1465</v>
      </c>
      <c r="M958" s="48" t="str">
        <f aca="false">IF('RAW CBH'!I131="","",'RAW CBH'!I131)</f>
        <v/>
      </c>
    </row>
    <row r="959" customFormat="false" ht="15" hidden="false" customHeight="false" outlineLevel="0" collapsed="false">
      <c r="A959" s="1" t="s">
        <v>2103</v>
      </c>
      <c r="B959" s="1" t="s">
        <v>156</v>
      </c>
      <c r="C959" s="1" t="s">
        <v>1149</v>
      </c>
      <c r="D959" s="1" t="n">
        <v>132</v>
      </c>
      <c r="E959" s="48" t="str">
        <f aca="false">IF('RAW CBH'!A132="","",'RAW CBH'!A132)</f>
        <v>Prenatal &amp; Newborn Classes</v>
      </c>
      <c r="F959" s="48" t="str">
        <f aca="false">IF('RAW CBH'!B132="","",'RAW CBH'!B132)</f>
        <v>Health Education</v>
      </c>
      <c r="G959" s="49" t="str">
        <f aca="false">IF('RAW CBH'!D132="","",'RAW CBH'!D132)</f>
        <v>2025-12-20</v>
      </c>
      <c r="H959" s="48" t="str">
        <f aca="false">IF('RAW CBH'!C132="","",'RAW CBH'!C132)</f>
        <v>Clinical Nurse Educator</v>
      </c>
      <c r="I959" s="48" t="n">
        <f aca="false">IF('RAW CBH'!E132="","",'RAW CBH'!E132)</f>
        <v>3.5</v>
      </c>
      <c r="J959" s="48" t="n">
        <f aca="false">IF('RAW CBH'!F132="","",'RAW CBH'!F132)</f>
        <v>19</v>
      </c>
      <c r="K959" s="50" t="n">
        <f aca="false">IF('RAW CBH'!G132="","",'RAW CBH'!G132)</f>
        <v>85</v>
      </c>
      <c r="L959" s="50" t="n">
        <f aca="false">IF('RAW CBH'!H132="","",'RAW CBH'!H132)</f>
        <v>380</v>
      </c>
      <c r="M959" s="48" t="str">
        <f aca="false">IF('RAW CBH'!I132="","",'RAW CBH'!I132)</f>
        <v/>
      </c>
    </row>
    <row r="960" customFormat="false" ht="15" hidden="false" customHeight="false" outlineLevel="0" collapsed="false">
      <c r="A960" s="1" t="s">
        <v>2104</v>
      </c>
      <c r="B960" s="1" t="s">
        <v>156</v>
      </c>
      <c r="C960" s="1" t="s">
        <v>1149</v>
      </c>
      <c r="D960" s="1" t="n">
        <v>133</v>
      </c>
      <c r="E960" s="48" t="str">
        <f aca="false">IF('RAW CBH'!A133="","",'RAW CBH'!A133)</f>
        <v>Naloxone Training</v>
      </c>
      <c r="F960" s="48" t="str">
        <f aca="false">IF('RAW CBH'!B133="","",'RAW CBH'!B133)</f>
        <v>Health Education</v>
      </c>
      <c r="G960" s="49" t="str">
        <f aca="false">IF('RAW CBH'!D133="","",'RAW CBH'!D133)</f>
        <v>2025-12-23</v>
      </c>
      <c r="H960" s="48" t="str">
        <f aca="false">IF('RAW CBH'!C133="","",'RAW CBH'!C133)</f>
        <v>Health Ed</v>
      </c>
      <c r="I960" s="48" t="n">
        <f aca="false">IF('RAW CBH'!E133="","",'RAW CBH'!E133)</f>
        <v>2.75</v>
      </c>
      <c r="J960" s="48" t="str">
        <f aca="false">IF('RAW CBH'!F133="","",'RAW CBH'!F133)</f>
        <v/>
      </c>
      <c r="K960" s="50" t="str">
        <f aca="false">IF('RAW CBH'!G133="","",'RAW CBH'!G133)</f>
        <v/>
      </c>
      <c r="L960" s="50" t="str">
        <f aca="false">IF('RAW CBH'!H133="","",'RAW CBH'!H133)</f>
        <v/>
      </c>
      <c r="M960" s="48" t="str">
        <f aca="false">IF('RAW CBH'!I133="","",'RAW CBH'!I133)</f>
        <v/>
      </c>
    </row>
    <row r="961" customFormat="false" ht="15" hidden="false" customHeight="false" outlineLevel="0" collapsed="false">
      <c r="A961" s="1" t="s">
        <v>2105</v>
      </c>
      <c r="B961" s="1" t="s">
        <v>156</v>
      </c>
      <c r="C961" s="1" t="s">
        <v>1149</v>
      </c>
      <c r="D961" s="1" t="n">
        <v>134</v>
      </c>
      <c r="E961" s="48" t="str">
        <f aca="false">IF('RAW CBH'!A134="","",'RAW CBH'!A134)</f>
        <v>Naloxone Training</v>
      </c>
      <c r="F961" s="48" t="str">
        <f aca="false">IF('RAW CBH'!B134="","",'RAW CBH'!B134)</f>
        <v>Health Education</v>
      </c>
      <c r="G961" s="49" t="str">
        <f aca="false">IF('RAW CBH'!D134="","",'RAW CBH'!D134)</f>
        <v>2025-12-23</v>
      </c>
      <c r="H961" s="48" t="str">
        <f aca="false">IF('RAW CBH'!C134="","",'RAW CBH'!C134)</f>
        <v>Clinical Pharmacist</v>
      </c>
      <c r="I961" s="48" t="n">
        <f aca="false">IF('RAW CBH'!E134="","",'RAW CBH'!E134)</f>
        <v>2.5</v>
      </c>
      <c r="J961" s="48" t="n">
        <f aca="false">IF('RAW CBH'!F134="","",'RAW CBH'!F134)</f>
        <v>27</v>
      </c>
      <c r="K961" s="50" t="n">
        <f aca="false">IF('RAW CBH'!G134="","",'RAW CBH'!G134)</f>
        <v>1805</v>
      </c>
      <c r="L961" s="50" t="n">
        <f aca="false">IF('RAW CBH'!H134="","",'RAW CBH'!H134)</f>
        <v>1495</v>
      </c>
      <c r="M961" s="48" t="str">
        <f aca="false">IF('RAW CBH'!I134="","",'RAW CBH'!I134)</f>
        <v/>
      </c>
    </row>
    <row r="962" customFormat="false" ht="15" hidden="false" customHeight="false" outlineLevel="0" collapsed="false">
      <c r="A962" s="1" t="s">
        <v>2106</v>
      </c>
      <c r="B962" s="1" t="s">
        <v>156</v>
      </c>
      <c r="C962" s="1" t="s">
        <v>1149</v>
      </c>
      <c r="D962" s="1" t="n">
        <v>135</v>
      </c>
      <c r="E962" s="48" t="str">
        <f aca="false">IF('RAW CBH'!A135="","",'RAW CBH'!A135)</f>
        <v>Matter of Balance Classes</v>
      </c>
      <c r="F962" s="48" t="str">
        <f aca="false">IF('RAW CBH'!B135="","",'RAW CBH'!B135)</f>
        <v>Health Education</v>
      </c>
      <c r="G962" s="49" t="str">
        <f aca="false">IF('RAW CBH'!D135="","",'RAW CBH'!D135)</f>
        <v>2025-12-25</v>
      </c>
      <c r="H962" s="48" t="str">
        <f aca="false">IF('RAW CBH'!C135="","",'RAW CBH'!C135)</f>
        <v>RRT</v>
      </c>
      <c r="I962" s="48" t="n">
        <f aca="false">IF('RAW CBH'!E135="","",'RAW CBH'!E135)</f>
        <v>2</v>
      </c>
      <c r="J962" s="48" t="n">
        <f aca="false">IF('RAW CBH'!F135="","",'RAW CBH'!F135)</f>
        <v>9</v>
      </c>
      <c r="K962" s="50" t="n">
        <f aca="false">IF('RAW CBH'!G135="","",'RAW CBH'!G135)</f>
        <v>40</v>
      </c>
      <c r="L962" s="50" t="str">
        <f aca="false">IF('RAW CBH'!H135="","",'RAW CBH'!H135)</f>
        <v/>
      </c>
      <c r="M962" s="48" t="str">
        <f aca="false">IF('RAW CBH'!I135="","",'RAW CBH'!I135)</f>
        <v/>
      </c>
    </row>
    <row r="963" customFormat="false" ht="15" hidden="false" customHeight="false" outlineLevel="0" collapsed="false">
      <c r="A963" s="1" t="s">
        <v>2107</v>
      </c>
      <c r="B963" s="1" t="s">
        <v>156</v>
      </c>
      <c r="C963" s="1" t="s">
        <v>1149</v>
      </c>
      <c r="D963" s="1" t="n">
        <v>136</v>
      </c>
      <c r="E963" s="48" t="str">
        <f aca="false">IF('RAW CBH'!A136="","",'RAW CBH'!A136)</f>
        <v>Smoke-Free Parks</v>
      </c>
      <c r="F963" s="48" t="str">
        <f aca="false">IF('RAW CBH'!B136="","",'RAW CBH'!B136)</f>
        <v>Advocacy</v>
      </c>
      <c r="G963" s="49" t="str">
        <f aca="false">IF('RAW CBH'!D136="","",'RAW CBH'!D136)</f>
        <v>2025-12-27</v>
      </c>
      <c r="H963" s="48" t="str">
        <f aca="false">IF('RAW CBH'!C136="","",'RAW CBH'!C136)</f>
        <v>Assoc. Director</v>
      </c>
      <c r="I963" s="48" t="n">
        <f aca="false">IF('RAW CBH'!E136="","",'RAW CBH'!E136)</f>
        <v>1</v>
      </c>
      <c r="J963" s="48" t="str">
        <f aca="false">IF('RAW CBH'!F136="","",'RAW CBH'!F136)</f>
        <v/>
      </c>
      <c r="K963" s="50" t="str">
        <f aca="false">IF('RAW CBH'!G136="","",'RAW CBH'!G136)</f>
        <v/>
      </c>
      <c r="L963" s="50" t="str">
        <f aca="false">IF('RAW CBH'!H136="","",'RAW CBH'!H136)</f>
        <v/>
      </c>
      <c r="M963" s="48" t="str">
        <f aca="false">IF('RAW CBH'!I136="","",'RAW CBH'!I136)</f>
        <v/>
      </c>
    </row>
    <row r="964" customFormat="false" ht="15" hidden="false" customHeight="false" outlineLevel="0" collapsed="false">
      <c r="A964" s="1" t="s">
        <v>2108</v>
      </c>
      <c r="B964" s="1" t="s">
        <v>156</v>
      </c>
      <c r="C964" s="1" t="s">
        <v>1149</v>
      </c>
      <c r="D964" s="1" t="n">
        <v>137</v>
      </c>
      <c r="E964" s="48" t="str">
        <f aca="false">IF('RAW CBH'!A137="","",'RAW CBH'!A137)</f>
        <v>Smoke-Free Parks</v>
      </c>
      <c r="F964" s="48" t="str">
        <f aca="false">IF('RAW CBH'!B137="","",'RAW CBH'!B137)</f>
        <v>Advocacy</v>
      </c>
      <c r="G964" s="49" t="str">
        <f aca="false">IF('RAW CBH'!D137="","",'RAW CBH'!D137)</f>
        <v>2025-12-27</v>
      </c>
      <c r="H964" s="48" t="str">
        <f aca="false">IF('RAW CBH'!C137="","",'RAW CBH'!C137)</f>
        <v>COMMUNITY EDUCATOR</v>
      </c>
      <c r="I964" s="48" t="n">
        <f aca="false">IF('RAW CBH'!E137="","",'RAW CBH'!E137)</f>
        <v>4.75</v>
      </c>
      <c r="J964" s="48" t="str">
        <f aca="false">IF('RAW CBH'!F137="","",'RAW CBH'!F137)</f>
        <v/>
      </c>
      <c r="K964" s="50" t="n">
        <f aca="false">IF('RAW CBH'!G137="","",'RAW CBH'!G137)</f>
        <v>410</v>
      </c>
      <c r="L964" s="50" t="str">
        <f aca="false">IF('RAW CBH'!H137="","",'RAW CBH'!H137)</f>
        <v/>
      </c>
      <c r="M964" s="48" t="str">
        <f aca="false">IF('RAW CBH'!I137="","",'RAW CBH'!I137)</f>
        <v/>
      </c>
    </row>
    <row r="965" customFormat="false" ht="15" hidden="false" customHeight="false" outlineLevel="0" collapsed="false">
      <c r="A965" s="1" t="s">
        <v>2109</v>
      </c>
      <c r="B965" s="1" t="s">
        <v>156</v>
      </c>
      <c r="C965" s="1" t="s">
        <v>1149</v>
      </c>
      <c r="D965" s="1" t="n">
        <v>138</v>
      </c>
      <c r="E965" s="48" t="str">
        <f aca="false">IF('RAW CBH'!A138="","",'RAW CBH'!A138)</f>
        <v>Prenatal &amp; Newborn Classes</v>
      </c>
      <c r="F965" s="48" t="str">
        <f aca="false">IF('RAW CBH'!B138="","",'RAW CBH'!B138)</f>
        <v>Health Education</v>
      </c>
      <c r="G965" s="49" t="str">
        <f aca="false">IF('RAW CBH'!D138="","",'RAW CBH'!D138)</f>
        <v>2025-12-30</v>
      </c>
      <c r="H965" s="48" t="str">
        <f aca="false">IF('RAW CBH'!C138="","",'RAW CBH'!C138)</f>
        <v>Clin Educator</v>
      </c>
      <c r="I965" s="48" t="n">
        <f aca="false">IF('RAW CBH'!E138="","",'RAW CBH'!E138)</f>
        <v>3.25</v>
      </c>
      <c r="J965" s="48" t="n">
        <f aca="false">IF('RAW CBH'!F138="","",'RAW CBH'!F138)</f>
        <v>20</v>
      </c>
      <c r="K965" s="50" t="n">
        <f aca="false">IF('RAW CBH'!G138="","",'RAW CBH'!G138)</f>
        <v>135</v>
      </c>
      <c r="L965" s="50" t="n">
        <f aca="false">IF('RAW CBH'!H138="","",'RAW CBH'!H138)</f>
        <v>400</v>
      </c>
      <c r="M965" s="48" t="str">
        <f aca="false">IF('RAW CBH'!I138="","",'RAW CBH'!I138)</f>
        <v/>
      </c>
    </row>
    <row r="966" customFormat="false" ht="15" hidden="false" customHeight="false" outlineLevel="0" collapsed="false">
      <c r="A966" s="1" t="s">
        <v>2110</v>
      </c>
      <c r="B966" s="1" t="s">
        <v>156</v>
      </c>
      <c r="C966" s="1" t="s">
        <v>1149</v>
      </c>
      <c r="D966" s="1" t="n">
        <v>139</v>
      </c>
      <c r="E966" s="48" t="str">
        <f aca="false">IF('RAW CBH'!A139="","",'RAW CBH'!A139)</f>
        <v>Diabetes Prevention</v>
      </c>
      <c r="F966" s="48" t="str">
        <f aca="false">IF('RAW CBH'!B139="","",'RAW CBH'!B139)</f>
        <v>Health Education</v>
      </c>
      <c r="G966" s="49" t="str">
        <f aca="false">IF('RAW CBH'!D139="","",'RAW CBH'!D139)</f>
        <v>2025-12-31</v>
      </c>
      <c r="H966" s="48" t="str">
        <f aca="false">IF('RAW CBH'!C139="","",'RAW CBH'!C139)</f>
        <v>CHES</v>
      </c>
      <c r="I966" s="48" t="n">
        <f aca="false">IF('RAW CBH'!E139="","",'RAW CBH'!E139)</f>
        <v>2.5</v>
      </c>
      <c r="J966" s="48" t="n">
        <f aca="false">IF('RAW CBH'!F139="","",'RAW CBH'!F139)</f>
        <v>15</v>
      </c>
      <c r="K966" s="50" t="n">
        <f aca="false">IF('RAW CBH'!G139="","",'RAW CBH'!G139)</f>
        <v>175</v>
      </c>
      <c r="L966" s="50" t="str">
        <f aca="false">IF('RAW CBH'!H139="","",'RAW CBH'!H139)</f>
        <v/>
      </c>
      <c r="M966" s="48" t="str">
        <f aca="false">IF('RAW CBH'!I139="","",'RAW CBH'!I139)</f>
        <v/>
      </c>
    </row>
    <row r="967" customFormat="false" ht="15" hidden="false" customHeight="false" outlineLevel="0" collapsed="false">
      <c r="A967" s="1" t="s">
        <v>2111</v>
      </c>
      <c r="B967" s="1" t="s">
        <v>156</v>
      </c>
      <c r="C967" s="1" t="s">
        <v>1149</v>
      </c>
      <c r="D967" s="1" t="n">
        <v>140</v>
      </c>
      <c r="E967" s="48" t="str">
        <f aca="false">IF('RAW CBH'!A140="","",'RAW CBH'!A140)</f>
        <v>Diabetes Prevention</v>
      </c>
      <c r="F967" s="48" t="str">
        <f aca="false">IF('RAW CBH'!B140="","",'RAW CBH'!B140)</f>
        <v>Health Education</v>
      </c>
      <c r="G967" s="49" t="str">
        <f aca="false">IF('RAW CBH'!D140="","",'RAW CBH'!D140)</f>
        <v>2025-12-31</v>
      </c>
      <c r="H967" s="48" t="str">
        <f aca="false">IF('RAW CBH'!C140="","",'RAW CBH'!C140)</f>
        <v>Clinical Dietitian</v>
      </c>
      <c r="I967" s="48" t="n">
        <f aca="false">IF('RAW CBH'!E140="","",'RAW CBH'!E140)</f>
        <v>2</v>
      </c>
      <c r="J967" s="48" t="str">
        <f aca="false">IF('RAW CBH'!F140="","",'RAW CBH'!F140)</f>
        <v/>
      </c>
      <c r="K967" s="50" t="str">
        <f aca="false">IF('RAW CBH'!G140="","",'RAW CBH'!G140)</f>
        <v/>
      </c>
      <c r="L967" s="50" t="str">
        <f aca="false">IF('RAW CBH'!H140="","",'RAW CBH'!H140)</f>
        <v/>
      </c>
      <c r="M967" s="48" t="str">
        <f aca="false">IF('RAW CBH'!I140="","",'RAW CBH'!I140)</f>
        <v/>
      </c>
    </row>
    <row r="968" customFormat="false" ht="15" hidden="false" customHeight="false" outlineLevel="0" collapsed="false">
      <c r="A968" s="1" t="s">
        <v>2112</v>
      </c>
      <c r="B968" s="1" t="s">
        <v>156</v>
      </c>
      <c r="C968" s="1" t="s">
        <v>1149</v>
      </c>
      <c r="D968" s="1" t="n">
        <v>141</v>
      </c>
      <c r="E968" s="48" t="str">
        <f aca="false">IF('RAW CBH'!A141="","",'RAW CBH'!A141)</f>
        <v>Free Clinic Staffing</v>
      </c>
      <c r="F968" s="48" t="str">
        <f aca="false">IF('RAW CBH'!B141="","",'RAW CBH'!B141)</f>
        <v>Screenings</v>
      </c>
      <c r="G968" s="49" t="str">
        <f aca="false">IF('RAW CBH'!D141="","",'RAW CBH'!D141)</f>
        <v>2025-12-31</v>
      </c>
      <c r="H968" s="48" t="str">
        <f aca="false">IF('RAW CBH'!C141="","",'RAW CBH'!C141)</f>
        <v>FNP</v>
      </c>
      <c r="I968" s="48" t="n">
        <f aca="false">IF('RAW CBH'!E141="","",'RAW CBH'!E141)</f>
        <v>42.75</v>
      </c>
      <c r="J968" s="48" t="n">
        <f aca="false">IF('RAW CBH'!F141="","",'RAW CBH'!F141)</f>
        <v>301</v>
      </c>
      <c r="K968" s="50" t="n">
        <f aca="false">IF('RAW CBH'!G141="","",'RAW CBH'!G141)</f>
        <v>4165</v>
      </c>
      <c r="L968" s="50" t="str">
        <f aca="false">IF('RAW CBH'!H141="","",'RAW CBH'!H141)</f>
        <v/>
      </c>
      <c r="M968" s="48" t="str">
        <f aca="false">IF('RAW CBH'!I141="","",'RAW CBH'!I141)</f>
        <v/>
      </c>
    </row>
    <row r="969" customFormat="false" ht="15" hidden="false" customHeight="false" outlineLevel="0" collapsed="false">
      <c r="A969" s="1" t="s">
        <v>2113</v>
      </c>
      <c r="B969" s="1" t="s">
        <v>156</v>
      </c>
      <c r="C969" s="1" t="s">
        <v>1149</v>
      </c>
      <c r="D969" s="1" t="n">
        <v>142</v>
      </c>
      <c r="E969" s="48" t="str">
        <f aca="false">IF('RAW CBH'!A142="","",'RAW CBH'!A142)</f>
        <v>Free Clinic Staffing</v>
      </c>
      <c r="F969" s="48" t="str">
        <f aca="false">IF('RAW CBH'!B142="","",'RAW CBH'!B142)</f>
        <v>Screenings</v>
      </c>
      <c r="G969" s="49" t="str">
        <f aca="false">IF('RAW CBH'!D142="","",'RAW CBH'!D142)</f>
        <v>2025-12-31</v>
      </c>
      <c r="H969" s="48" t="str">
        <f aca="false">IF('RAW CBH'!C142="","",'RAW CBH'!C142)</f>
        <v>Staff Pharmacist</v>
      </c>
      <c r="I969" s="48" t="n">
        <f aca="false">IF('RAW CBH'!E142="","",'RAW CBH'!E142)</f>
        <v>16.5</v>
      </c>
      <c r="J969" s="48" t="str">
        <f aca="false">IF('RAW CBH'!F142="","",'RAW CBH'!F142)</f>
        <v/>
      </c>
      <c r="K969" s="50" t="str">
        <f aca="false">IF('RAW CBH'!G142="","",'RAW CBH'!G142)</f>
        <v/>
      </c>
      <c r="L969" s="50" t="str">
        <f aca="false">IF('RAW CBH'!H142="","",'RAW CBH'!H142)</f>
        <v/>
      </c>
      <c r="M969" s="48" t="str">
        <f aca="false">IF('RAW CBH'!I142="","",'RAW CBH'!I142)</f>
        <v/>
      </c>
    </row>
    <row r="970" customFormat="false" ht="15" hidden="false" customHeight="false" outlineLevel="0" collapsed="false">
      <c r="A970" s="1" t="s">
        <v>2114</v>
      </c>
      <c r="B970" s="1" t="s">
        <v>156</v>
      </c>
      <c r="C970" s="1" t="s">
        <v>1149</v>
      </c>
      <c r="D970" s="1" t="n">
        <v>143</v>
      </c>
      <c r="E970" s="48" t="str">
        <f aca="false">IF('RAW CBH'!A143="","",'RAW CBH'!A143)</f>
        <v>Free Clinic Staffing</v>
      </c>
      <c r="F970" s="48" t="str">
        <f aca="false">IF('RAW CBH'!B143="","",'RAW CBH'!B143)</f>
        <v>Screenings</v>
      </c>
      <c r="G970" s="49" t="str">
        <f aca="false">IF('RAW CBH'!D143="","",'RAW CBH'!D143)</f>
        <v>2025-12-31</v>
      </c>
      <c r="H970" s="48" t="str">
        <f aca="false">IF('RAW CBH'!C143="","",'RAW CBH'!C143)</f>
        <v>RN II</v>
      </c>
      <c r="I970" s="48" t="n">
        <f aca="false">IF('RAW CBH'!E143="","",'RAW CBH'!E143)</f>
        <v>30.5</v>
      </c>
      <c r="J970" s="48" t="str">
        <f aca="false">IF('RAW CBH'!F143="","",'RAW CBH'!F143)</f>
        <v/>
      </c>
      <c r="K970" s="50" t="str">
        <f aca="false">IF('RAW CBH'!G143="","",'RAW CBH'!G143)</f>
        <v/>
      </c>
      <c r="L970" s="50" t="str">
        <f aca="false">IF('RAW CBH'!H143="","",'RAW CBH'!H143)</f>
        <v/>
      </c>
      <c r="M970" s="48" t="str">
        <f aca="false">IF('RAW CBH'!I143="","",'RAW CBH'!I143)</f>
        <v/>
      </c>
    </row>
    <row r="971" customFormat="false" ht="15" hidden="false" customHeight="false" outlineLevel="0" collapsed="false">
      <c r="A971" s="1" t="s">
        <v>2115</v>
      </c>
      <c r="B971" s="1" t="s">
        <v>156</v>
      </c>
      <c r="C971" s="1" t="s">
        <v>1149</v>
      </c>
      <c r="D971" s="1" t="n">
        <v>144</v>
      </c>
      <c r="E971" s="48" t="str">
        <f aca="false">IF('RAW CBH'!A144="","",'RAW CBH'!A144)</f>
        <v>Med Assistance</v>
      </c>
      <c r="F971" s="48" t="str">
        <f aca="false">IF('RAW CBH'!B144="","",'RAW CBH'!B144)</f>
        <v>Patient Support</v>
      </c>
      <c r="G971" s="49" t="str">
        <f aca="false">IF('RAW CBH'!D144="","",'RAW CBH'!D144)</f>
        <v>2025-12-31</v>
      </c>
      <c r="H971" s="48" t="str">
        <f aca="false">IF('RAW CBH'!C144="","",'RAW CBH'!C144)</f>
        <v>Nurse Navigator</v>
      </c>
      <c r="I971" s="48" t="n">
        <f aca="false">IF('RAW CBH'!E144="","",'RAW CBH'!E144)</f>
        <v>67</v>
      </c>
      <c r="J971" s="48" t="str">
        <f aca="false">IF('RAW CBH'!F144="","",'RAW CBH'!F144)</f>
        <v/>
      </c>
      <c r="K971" s="50" t="str">
        <f aca="false">IF('RAW CBH'!G144="","",'RAW CBH'!G144)</f>
        <v/>
      </c>
      <c r="L971" s="50" t="str">
        <f aca="false">IF('RAW CBH'!H144="","",'RAW CBH'!H144)</f>
        <v/>
      </c>
      <c r="M971" s="48" t="str">
        <f aca="false">IF('RAW CBH'!I144="","",'RAW CBH'!I144)</f>
        <v/>
      </c>
    </row>
    <row r="972" customFormat="false" ht="15" hidden="false" customHeight="false" outlineLevel="0" collapsed="false">
      <c r="A972" s="1" t="s">
        <v>2116</v>
      </c>
      <c r="B972" s="1" t="s">
        <v>156</v>
      </c>
      <c r="C972" s="1" t="s">
        <v>1149</v>
      </c>
      <c r="D972" s="1" t="n">
        <v>145</v>
      </c>
      <c r="E972" s="48" t="str">
        <f aca="false">IF('RAW CBH'!A145="","",'RAW CBH'!A145)</f>
        <v>Med Assistance</v>
      </c>
      <c r="F972" s="48" t="str">
        <f aca="false">IF('RAW CBH'!B145="","",'RAW CBH'!B145)</f>
        <v>Patient Support</v>
      </c>
      <c r="G972" s="49" t="str">
        <f aca="false">IF('RAW CBH'!D145="","",'RAW CBH'!D145)</f>
        <v>2025-12-31</v>
      </c>
      <c r="H972" s="48" t="str">
        <f aca="false">IF('RAW CBH'!C145="","",'RAW CBH'!C145)</f>
        <v>RPh</v>
      </c>
      <c r="I972" s="48" t="n">
        <f aca="false">IF('RAW CBH'!E145="","",'RAW CBH'!E145)</f>
        <v>18</v>
      </c>
      <c r="J972" s="48" t="n">
        <f aca="false">IF('RAW CBH'!F145="","",'RAW CBH'!F145)</f>
        <v>79</v>
      </c>
      <c r="K972" s="50" t="n">
        <f aca="false">IF('RAW CBH'!G145="","",'RAW CBH'!G145)</f>
        <v>21170</v>
      </c>
      <c r="L972" s="50" t="str">
        <f aca="false">IF('RAW CBH'!H145="","",'RAW CBH'!H145)</f>
        <v/>
      </c>
      <c r="M972" s="48" t="str">
        <f aca="false">IF('RAW CBH'!I145="","",'RAW CBH'!I145)</f>
        <v/>
      </c>
    </row>
    <row r="973" customFormat="false" ht="15" hidden="false" customHeight="false" outlineLevel="0" collapsed="false">
      <c r="A973" s="1" t="s">
        <v>2117</v>
      </c>
      <c r="B973" s="1" t="s">
        <v>156</v>
      </c>
      <c r="C973" s="1" t="s">
        <v>1149</v>
      </c>
      <c r="D973" s="1" t="n">
        <v>146</v>
      </c>
      <c r="E973" s="48" t="str">
        <f aca="false">IF('RAW CBH'!A146="","",'RAW CBH'!A146)</f>
        <v>Community Benefit Admin</v>
      </c>
      <c r="F973" s="48" t="str">
        <f aca="false">IF('RAW CBH'!B146="","",'RAW CBH'!B146)</f>
        <v>Ops</v>
      </c>
      <c r="G973" s="49" t="str">
        <f aca="false">IF('RAW CBH'!D146="","",'RAW CBH'!D146)</f>
        <v>2025-12-31</v>
      </c>
      <c r="H973" s="48" t="str">
        <f aca="false">IF('RAW CBH'!C146="","",'RAW CBH'!C146)</f>
        <v>Office Coordinator</v>
      </c>
      <c r="I973" s="48" t="str">
        <f aca="false">IF('RAW CBH'!E146="","",'RAW CBH'!E146)</f>
        <v/>
      </c>
      <c r="J973" s="48" t="str">
        <f aca="false">IF('RAW CBH'!F146="","",'RAW CBH'!F146)</f>
        <v/>
      </c>
      <c r="K973" s="50" t="str">
        <f aca="false">IF('RAW CBH'!G146="","",'RAW CBH'!G146)</f>
        <v/>
      </c>
      <c r="L973" s="50" t="str">
        <f aca="false">IF('RAW CBH'!H146="","",'RAW CBH'!H146)</f>
        <v/>
      </c>
      <c r="M973" s="48" t="str">
        <f aca="false">IF('RAW CBH'!I146="","",'RAW CBH'!I146)</f>
        <v/>
      </c>
    </row>
    <row r="974" customFormat="false" ht="15" hidden="false" customHeight="false" outlineLevel="0" collapsed="false">
      <c r="A974" s="1" t="s">
        <v>2118</v>
      </c>
      <c r="B974" s="1" t="s">
        <v>156</v>
      </c>
      <c r="C974" s="1" t="s">
        <v>1149</v>
      </c>
      <c r="D974" s="1" t="n">
        <v>147</v>
      </c>
      <c r="E974" s="48" t="str">
        <f aca="false">IF('RAW CBH'!A147="","",'RAW CBH'!A147)</f>
        <v>Community Benefit Admin</v>
      </c>
      <c r="F974" s="48" t="str">
        <f aca="false">IF('RAW CBH'!B147="","",'RAW CBH'!B147)</f>
        <v>Ops</v>
      </c>
      <c r="G974" s="49" t="str">
        <f aca="false">IF('RAW CBH'!D147="","",'RAW CBH'!D147)</f>
        <v>2025-12-31</v>
      </c>
      <c r="H974" s="48" t="str">
        <f aca="false">IF('RAW CBH'!C147="","",'RAW CBH'!C147)</f>
        <v>CB Manager</v>
      </c>
      <c r="I974" s="48" t="n">
        <f aca="false">IF('RAW CBH'!E147="","",'RAW CBH'!E147)</f>
        <v>66.5</v>
      </c>
      <c r="J974" s="48" t="str">
        <f aca="false">IF('RAW CBH'!F147="","",'RAW CBH'!F147)</f>
        <v/>
      </c>
      <c r="K974" s="50" t="n">
        <f aca="false">IF('RAW CBH'!G147="","",'RAW CBH'!G147)</f>
        <v>280</v>
      </c>
      <c r="L974" s="50" t="str">
        <f aca="false">IF('RAW CBH'!H147="","",'RAW CBH'!H147)</f>
        <v/>
      </c>
      <c r="M974" s="48" t="str">
        <f aca="false">IF('RAW CBH'!I147="","",'RAW CBH'!I147)</f>
        <v/>
      </c>
    </row>
    <row r="975" customFormat="false" ht="15" hidden="false" customHeight="false" outlineLevel="0" collapsed="false">
      <c r="A975" s="1" t="s">
        <v>2119</v>
      </c>
      <c r="B975" s="1" t="s">
        <v>156</v>
      </c>
      <c r="C975" s="1" t="s">
        <v>1149</v>
      </c>
      <c r="D975" s="1" t="n">
        <v>148</v>
      </c>
      <c r="E975" s="48" t="str">
        <f aca="false">IF('RAW CBH'!A148="","",'RAW CBH'!A148)</f>
        <v>Matter of Balance Classes</v>
      </c>
      <c r="F975" s="48" t="str">
        <f aca="false">IF('RAW CBH'!B148="","",'RAW CBH'!B148)</f>
        <v>Health Education</v>
      </c>
      <c r="G975" s="49" t="str">
        <f aca="false">IF('RAW CBH'!D148="","",'RAW CBH'!D148)</f>
        <v>2025-12-31</v>
      </c>
      <c r="H975" s="48" t="str">
        <f aca="false">IF('RAW CBH'!C148="","",'RAW CBH'!C148)</f>
        <v>Respiratory Therapist</v>
      </c>
      <c r="I975" s="48" t="n">
        <f aca="false">IF('RAW CBH'!E148="","",'RAW CBH'!E148)</f>
        <v>2</v>
      </c>
      <c r="J975" s="48" t="n">
        <f aca="false">IF('RAW CBH'!F148="","",'RAW CBH'!F148)</f>
        <v>18</v>
      </c>
      <c r="K975" s="50" t="n">
        <f aca="false">IF('RAW CBH'!G148="","",'RAW CBH'!G148)</f>
        <v>65</v>
      </c>
      <c r="L975" s="50" t="str">
        <f aca="false">IF('RAW CBH'!H148="","",'RAW CBH'!H148)</f>
        <v/>
      </c>
      <c r="M975" s="48" t="str">
        <f aca="false">IF('RAW CBH'!I148="","",'RAW CBH'!I148)</f>
        <v/>
      </c>
    </row>
    <row r="976" customFormat="false" ht="15" hidden="false" customHeight="false" outlineLevel="0" collapsed="false">
      <c r="A976" s="1" t="s">
        <v>2120</v>
      </c>
      <c r="B976" s="1" t="s">
        <v>156</v>
      </c>
      <c r="C976" s="1" t="s">
        <v>1149</v>
      </c>
      <c r="D976" s="1" t="n">
        <v>149</v>
      </c>
      <c r="E976" s="48" t="str">
        <f aca="false">IF('RAW CBH'!A149="","",'RAW CBH'!A149)</f>
        <v>Interpreter Services</v>
      </c>
      <c r="F976" s="48" t="str">
        <f aca="false">IF('RAW CBH'!B149="","",'RAW CBH'!B149)</f>
        <v>Patient Support</v>
      </c>
      <c r="G976" s="49" t="str">
        <f aca="false">IF('RAW CBH'!D149="","",'RAW CBH'!D149)</f>
        <v>2025-12-31</v>
      </c>
      <c r="H976" s="48" t="str">
        <f aca="false">IF('RAW CBH'!C149="","",'RAW CBH'!C149)</f>
        <v>Spanish Interpreter</v>
      </c>
      <c r="I976" s="48" t="n">
        <f aca="false">IF('RAW CBH'!E149="","",'RAW CBH'!E149)</f>
        <v>59</v>
      </c>
      <c r="J976" s="48" t="n">
        <f aca="false">IF('RAW CBH'!F149="","",'RAW CBH'!F149)</f>
        <v>170</v>
      </c>
      <c r="K976" s="50" t="str">
        <f aca="false">IF('RAW CBH'!G149="","",'RAW CBH'!G149)</f>
        <v/>
      </c>
      <c r="L976" s="50" t="str">
        <f aca="false">IF('RAW CBH'!H149="","",'RAW CBH'!H149)</f>
        <v/>
      </c>
      <c r="M976" s="48" t="str">
        <f aca="false">IF('RAW CBH'!I149="","",'RAW CBH'!I149)</f>
        <v/>
      </c>
    </row>
    <row r="977" customFormat="false" ht="15" hidden="false" customHeight="false" outlineLevel="0" collapsed="false">
      <c r="A977" s="1" t="s">
        <v>2121</v>
      </c>
      <c r="B977" s="1" t="s">
        <v>156</v>
      </c>
      <c r="C977" s="1" t="s">
        <v>1149</v>
      </c>
      <c r="D977" s="1" t="n">
        <v>150</v>
      </c>
      <c r="E977" s="48" t="str">
        <f aca="false">IF('RAW CBH'!A150="","",'RAW CBH'!A150)</f>
        <v>Nursing Student Rotations</v>
      </c>
      <c r="F977" s="48" t="str">
        <f aca="false">IF('RAW CBH'!B150="","",'RAW CBH'!B150)</f>
        <v>Education - Health Professions</v>
      </c>
      <c r="G977" s="49" t="str">
        <f aca="false">IF('RAW CBH'!D150="","",'RAW CBH'!D150)</f>
        <v>2025-12-31</v>
      </c>
      <c r="H977" s="48" t="str">
        <f aca="false">IF('RAW CBH'!C150="","",'RAW CBH'!C150)</f>
        <v>RN Educator</v>
      </c>
      <c r="I977" s="48" t="n">
        <f aca="false">IF('RAW CBH'!E150="","",'RAW CBH'!E150)</f>
        <v>54.75</v>
      </c>
      <c r="J977" s="48" t="n">
        <f aca="false">IF('RAW CBH'!F150="","",'RAW CBH'!F150)</f>
        <v>9</v>
      </c>
      <c r="K977" s="50" t="n">
        <f aca="false">IF('RAW CBH'!G150="","",'RAW CBH'!G150)</f>
        <v>445</v>
      </c>
      <c r="L977" s="50" t="str">
        <f aca="false">IF('RAW CBH'!H150="","",'RAW CBH'!H150)</f>
        <v/>
      </c>
      <c r="M977" s="48" t="str">
        <f aca="false">IF('RAW CBH'!I150="","",'RAW CBH'!I150)</f>
        <v/>
      </c>
    </row>
    <row r="978" customFormat="false" ht="15" hidden="false" customHeight="false" outlineLevel="0" collapsed="false">
      <c r="A978" s="1" t="s">
        <v>2122</v>
      </c>
      <c r="B978" s="1" t="s">
        <v>156</v>
      </c>
      <c r="C978" s="1" t="s">
        <v>1149</v>
      </c>
      <c r="D978" s="1" t="n">
        <v>151</v>
      </c>
      <c r="E978" s="48" t="str">
        <f aca="false">IF('RAW CBH'!A151="","",'RAW CBH'!A151)</f>
        <v>Nursing Student Rotations</v>
      </c>
      <c r="F978" s="48" t="str">
        <f aca="false">IF('RAW CBH'!B151="","",'RAW CBH'!B151)</f>
        <v>Education - Health Professions</v>
      </c>
      <c r="G978" s="49" t="str">
        <f aca="false">IF('RAW CBH'!D151="","",'RAW CBH'!D151)</f>
        <v>2025-12-31</v>
      </c>
      <c r="H978" s="48" t="str">
        <f aca="false">IF('RAW CBH'!C151="","",'RAW CBH'!C151)</f>
        <v>Registered Nurse</v>
      </c>
      <c r="I978" s="48" t="n">
        <f aca="false">IF('RAW CBH'!E151="","",'RAW CBH'!E151)</f>
        <v>97</v>
      </c>
      <c r="J978" s="48" t="str">
        <f aca="false">IF('RAW CBH'!F151="","",'RAW CBH'!F151)</f>
        <v/>
      </c>
      <c r="K978" s="50" t="str">
        <f aca="false">IF('RAW CBH'!G151="","",'RAW CBH'!G151)</f>
        <v/>
      </c>
      <c r="L978" s="50" t="str">
        <f aca="false">IF('RAW CBH'!H151="","",'RAW CBH'!H151)</f>
        <v/>
      </c>
      <c r="M978" s="48" t="str">
        <f aca="false">IF('RAW CBH'!I151="","",'RAW CBH'!I151)</f>
        <v/>
      </c>
    </row>
    <row r="979" customFormat="false" ht="15" hidden="false" customHeight="false" outlineLevel="0" collapsed="false">
      <c r="A979" s="1" t="s">
        <v>2123</v>
      </c>
      <c r="B979" s="1" t="s">
        <v>156</v>
      </c>
      <c r="C979" s="1" t="s">
        <v>1149</v>
      </c>
      <c r="D979" s="1" t="n">
        <v>152</v>
      </c>
      <c r="E979" s="48" t="str">
        <f aca="false">IF('RAW CBH'!A152="","",'RAW CBH'!A152)</f>
        <v>Pharmacy Students</v>
      </c>
      <c r="F979" s="48" t="str">
        <f aca="false">IF('RAW CBH'!B152="","",'RAW CBH'!B152)</f>
        <v>Education - Health Professions</v>
      </c>
      <c r="G979" s="49" t="str">
        <f aca="false">IF('RAW CBH'!D152="","",'RAW CBH'!D152)</f>
        <v>2025-12-31</v>
      </c>
      <c r="H979" s="48" t="str">
        <f aca="false">IF('RAW CBH'!C152="","",'RAW CBH'!C152)</f>
        <v>Pharmacist II</v>
      </c>
      <c r="I979" s="48" t="n">
        <f aca="false">IF('RAW CBH'!E152="","",'RAW CBH'!E152)</f>
        <v>57.75</v>
      </c>
      <c r="J979" s="48" t="n">
        <f aca="false">IF('RAW CBH'!F152="","",'RAW CBH'!F152)</f>
        <v>4</v>
      </c>
      <c r="K979" s="50" t="n">
        <f aca="false">IF('RAW CBH'!G152="","",'RAW CBH'!G152)</f>
        <v>80</v>
      </c>
      <c r="L979" s="50" t="str">
        <f aca="false">IF('RAW CBH'!H152="","",'RAW CBH'!H152)</f>
        <v/>
      </c>
      <c r="M979" s="48" t="str">
        <f aca="false">IF('RAW CBH'!I152="","",'RAW CBH'!I152)</f>
        <v/>
      </c>
    </row>
    <row r="980" customFormat="false" ht="15" hidden="false" customHeight="false" outlineLevel="0" collapsed="false">
      <c r="A980" s="1" t="s">
        <v>2124</v>
      </c>
      <c r="B980" s="1" t="s">
        <v>156</v>
      </c>
      <c r="C980" s="1" t="s">
        <v>1149</v>
      </c>
      <c r="D980" s="1" t="n">
        <v>153</v>
      </c>
      <c r="E980" s="48" t="str">
        <f aca="false">IF('RAW CBH'!A153="","",'RAW CBH'!A153)</f>
        <v>Naloxone Training</v>
      </c>
      <c r="F980" s="48" t="str">
        <f aca="false">IF('RAW CBH'!B153="","",'RAW CBH'!B153)</f>
        <v>Health Education</v>
      </c>
      <c r="G980" s="49" t="str">
        <f aca="false">IF('RAW CBH'!D153="","",'RAW CBH'!D153)</f>
        <v>2026-01-08</v>
      </c>
      <c r="H980" s="48" t="str">
        <f aca="false">IF('RAW CBH'!C153="","",'RAW CBH'!C153)</f>
        <v> CHES</v>
      </c>
      <c r="I980" s="48" t="n">
        <f aca="false">IF('RAW CBH'!E153="","",'RAW CBH'!E153)</f>
        <v>3</v>
      </c>
      <c r="J980" s="48" t="str">
        <f aca="false">IF('RAW CBH'!F153="","",'RAW CBH'!F153)</f>
        <v/>
      </c>
      <c r="K980" s="50" t="str">
        <f aca="false">IF('RAW CBH'!G153="","",'RAW CBH'!G153)</f>
        <v/>
      </c>
      <c r="L980" s="50" t="str">
        <f aca="false">IF('RAW CBH'!H153="","",'RAW CBH'!H153)</f>
        <v/>
      </c>
      <c r="M980" s="48" t="str">
        <f aca="false">IF('RAW CBH'!I153="","",'RAW CBH'!I153)</f>
        <v/>
      </c>
    </row>
    <row r="981" customFormat="false" ht="15" hidden="false" customHeight="false" outlineLevel="0" collapsed="false">
      <c r="A981" s="1" t="s">
        <v>2125</v>
      </c>
      <c r="B981" s="1" t="s">
        <v>156</v>
      </c>
      <c r="C981" s="1" t="s">
        <v>1149</v>
      </c>
      <c r="D981" s="1" t="n">
        <v>154</v>
      </c>
      <c r="E981" s="48" t="str">
        <f aca="false">IF('RAW CBH'!A154="","",'RAW CBH'!A154)</f>
        <v>Naloxone Training</v>
      </c>
      <c r="F981" s="48" t="str">
        <f aca="false">IF('RAW CBH'!B154="","",'RAW CBH'!B154)</f>
        <v>Health Education</v>
      </c>
      <c r="G981" s="49" t="str">
        <f aca="false">IF('RAW CBH'!D154="","",'RAW CBH'!D154)</f>
        <v>2026-01-08</v>
      </c>
      <c r="H981" s="48" t="str">
        <f aca="false">IF('RAW CBH'!C154="","",'RAW CBH'!C154)</f>
        <v>Staff Pharmacist</v>
      </c>
      <c r="I981" s="48" t="n">
        <f aca="false">IF('RAW CBH'!E154="","",'RAW CBH'!E154)</f>
        <v>2.25</v>
      </c>
      <c r="J981" s="48" t="n">
        <f aca="false">IF('RAW CBH'!F154="","",'RAW CBH'!F154)</f>
        <v>44</v>
      </c>
      <c r="K981" s="50" t="n">
        <f aca="false">IF('RAW CBH'!G154="","",'RAW CBH'!G154)</f>
        <v>2075</v>
      </c>
      <c r="L981" s="50" t="n">
        <f aca="false">IF('RAW CBH'!H154="","",'RAW CBH'!H154)</f>
        <v>1035</v>
      </c>
      <c r="M981" s="48" t="str">
        <f aca="false">IF('RAW CBH'!I154="","",'RAW CBH'!I154)</f>
        <v/>
      </c>
    </row>
    <row r="982" customFormat="false" ht="15" hidden="false" customHeight="false" outlineLevel="0" collapsed="false">
      <c r="A982" s="1" t="s">
        <v>2126</v>
      </c>
      <c r="B982" s="1" t="s">
        <v>156</v>
      </c>
      <c r="C982" s="1" t="s">
        <v>1149</v>
      </c>
      <c r="D982" s="1" t="n">
        <v>155</v>
      </c>
      <c r="E982" s="48" t="str">
        <f aca="false">IF('RAW CBH'!A155="","",'RAW CBH'!A155)</f>
        <v>School Health Center Grant</v>
      </c>
      <c r="F982" s="48" t="str">
        <f aca="false">IF('RAW CBH'!B155="","",'RAW CBH'!B155)</f>
        <v>Donation</v>
      </c>
      <c r="G982" s="49" t="str">
        <f aca="false">IF('RAW CBH'!D155="","",'RAW CBH'!D155)</f>
        <v>2026-01-08</v>
      </c>
      <c r="H982" s="48" t="str">
        <f aca="false">IF('RAW CBH'!C155="","",'RAW CBH'!C155)</f>
        <v>n.a.</v>
      </c>
      <c r="I982" s="48" t="n">
        <f aca="false">IF('RAW CBH'!E155="","",'RAW CBH'!E155)</f>
        <v>0</v>
      </c>
      <c r="J982" s="48" t="str">
        <f aca="false">IF('RAW CBH'!F155="","",'RAW CBH'!F155)</f>
        <v/>
      </c>
      <c r="K982" s="50" t="n">
        <f aca="false">IF('RAW CBH'!G155="","",'RAW CBH'!G155)</f>
        <v>65780</v>
      </c>
      <c r="L982" s="50" t="str">
        <f aca="false">IF('RAW CBH'!H155="","",'RAW CBH'!H155)</f>
        <v/>
      </c>
      <c r="M982" s="48" t="str">
        <f aca="false">IF('RAW CBH'!I155="","",'RAW CBH'!I155)</f>
        <v/>
      </c>
    </row>
    <row r="983" customFormat="false" ht="15" hidden="false" customHeight="false" outlineLevel="0" collapsed="false">
      <c r="A983" s="1" t="s">
        <v>2127</v>
      </c>
      <c r="B983" s="1" t="s">
        <v>156</v>
      </c>
      <c r="C983" s="1" t="s">
        <v>1149</v>
      </c>
      <c r="D983" s="1" t="n">
        <v>156</v>
      </c>
      <c r="E983" s="48" t="str">
        <f aca="false">IF('RAW CBH'!A156="","",'RAW CBH'!A156)</f>
        <v>Health Coalition</v>
      </c>
      <c r="F983" s="48" t="str">
        <f aca="false">IF('RAW CBH'!B156="","",'RAW CBH'!B156)</f>
        <v>Community Health Improvement</v>
      </c>
      <c r="G983" s="49" t="str">
        <f aca="false">IF('RAW CBH'!D156="","",'RAW CBH'!D156)</f>
        <v>2026-01-17</v>
      </c>
      <c r="H983" s="48" t="str">
        <f aca="false">IF('RAW CBH'!C156="","",'RAW CBH'!C156)</f>
        <v>Mgr, Community Benefit</v>
      </c>
      <c r="I983" s="48" t="n">
        <f aca="false">IF('RAW CBH'!E156="","",'RAW CBH'!E156)</f>
        <v>2.5</v>
      </c>
      <c r="J983" s="48" t="str">
        <f aca="false">IF('RAW CBH'!F156="","",'RAW CBH'!F156)</f>
        <v/>
      </c>
      <c r="K983" s="50" t="str">
        <f aca="false">IF('RAW CBH'!G156="","",'RAW CBH'!G156)</f>
        <v/>
      </c>
      <c r="L983" s="50" t="str">
        <f aca="false">IF('RAW CBH'!H156="","",'RAW CBH'!H156)</f>
        <v/>
      </c>
      <c r="M983" s="48" t="str">
        <f aca="false">IF('RAW CBH'!I156="","",'RAW CBH'!I156)</f>
        <v/>
      </c>
    </row>
    <row r="984" customFormat="false" ht="15" hidden="false" customHeight="false" outlineLevel="0" collapsed="false">
      <c r="A984" s="1" t="s">
        <v>2128</v>
      </c>
      <c r="B984" s="1" t="s">
        <v>156</v>
      </c>
      <c r="C984" s="1" t="s">
        <v>1149</v>
      </c>
      <c r="D984" s="1" t="n">
        <v>157</v>
      </c>
      <c r="E984" s="48" t="str">
        <f aca="false">IF('RAW CBH'!A157="","",'RAW CBH'!A157)</f>
        <v>Health Coalition</v>
      </c>
      <c r="F984" s="48" t="str">
        <f aca="false">IF('RAW CBH'!B157="","",'RAW CBH'!B157)</f>
        <v>Community Health Improvement</v>
      </c>
      <c r="G984" s="49" t="str">
        <f aca="false">IF('RAW CBH'!D157="","",'RAW CBH'!D157)</f>
        <v>2026-01-17</v>
      </c>
      <c r="H984" s="48" t="str">
        <f aca="false">IF('RAW CBH'!C157="","",'RAW CBH'!C157)</f>
        <v>Executive Director</v>
      </c>
      <c r="I984" s="48" t="n">
        <f aca="false">IF('RAW CBH'!E157="","",'RAW CBH'!E157)</f>
        <v>2.25</v>
      </c>
      <c r="J984" s="48" t="str">
        <f aca="false">IF('RAW CBH'!F157="","",'RAW CBH'!F157)</f>
        <v/>
      </c>
      <c r="K984" s="50" t="n">
        <f aca="false">IF('RAW CBH'!G157="","",'RAW CBH'!G157)</f>
        <v>55</v>
      </c>
      <c r="L984" s="50" t="str">
        <f aca="false">IF('RAW CBH'!H157="","",'RAW CBH'!H157)</f>
        <v/>
      </c>
      <c r="M984" s="48" t="str">
        <f aca="false">IF('RAW CBH'!I157="","",'RAW CBH'!I157)</f>
        <v/>
      </c>
    </row>
    <row r="985" customFormat="false" ht="15" hidden="false" customHeight="false" outlineLevel="0" collapsed="false">
      <c r="A985" s="1" t="s">
        <v>2129</v>
      </c>
      <c r="B985" s="1" t="s">
        <v>156</v>
      </c>
      <c r="C985" s="1" t="s">
        <v>1149</v>
      </c>
      <c r="D985" s="1" t="n">
        <v>158</v>
      </c>
      <c r="E985" s="48" t="str">
        <f aca="false">IF('RAW CBH'!A158="","",'RAW CBH'!A158)</f>
        <v>Diabetes Prevention</v>
      </c>
      <c r="F985" s="48" t="str">
        <f aca="false">IF('RAW CBH'!B158="","",'RAW CBH'!B158)</f>
        <v>Health Education</v>
      </c>
      <c r="G985" s="49" t="str">
        <f aca="false">IF('RAW CBH'!D158="","",'RAW CBH'!D158)</f>
        <v>2026-01-23</v>
      </c>
      <c r="H985" s="48" t="str">
        <f aca="false">IF('RAW CBH'!C158="","",'RAW CBH'!C158)</f>
        <v>Health Educator</v>
      </c>
      <c r="I985" s="48" t="n">
        <f aca="false">IF('RAW CBH'!E158="","",'RAW CBH'!E158)</f>
        <v>2</v>
      </c>
      <c r="J985" s="48" t="n">
        <f aca="false">IF('RAW CBH'!F158="","",'RAW CBH'!F158)</f>
        <v>14</v>
      </c>
      <c r="K985" s="50" t="n">
        <f aca="false">IF('RAW CBH'!G158="","",'RAW CBH'!G158)</f>
        <v>180</v>
      </c>
      <c r="L985" s="50" t="str">
        <f aca="false">IF('RAW CBH'!H158="","",'RAW CBH'!H158)</f>
        <v/>
      </c>
      <c r="M985" s="48" t="str">
        <f aca="false">IF('RAW CBH'!I158="","",'RAW CBH'!I158)</f>
        <v/>
      </c>
    </row>
    <row r="986" customFormat="false" ht="15" hidden="false" customHeight="false" outlineLevel="0" collapsed="false">
      <c r="A986" s="1" t="s">
        <v>2130</v>
      </c>
      <c r="B986" s="1" t="s">
        <v>156</v>
      </c>
      <c r="C986" s="1" t="s">
        <v>1149</v>
      </c>
      <c r="D986" s="1" t="n">
        <v>159</v>
      </c>
      <c r="E986" s="48" t="str">
        <f aca="false">IF('RAW CBH'!A159="","",'RAW CBH'!A159)</f>
        <v>Diabetes Prevention</v>
      </c>
      <c r="F986" s="48" t="str">
        <f aca="false">IF('RAW CBH'!B159="","",'RAW CBH'!B159)</f>
        <v>Health Education</v>
      </c>
      <c r="G986" s="49" t="str">
        <f aca="false">IF('RAW CBH'!D159="","",'RAW CBH'!D159)</f>
        <v>2026-01-23</v>
      </c>
      <c r="H986" s="48" t="str">
        <f aca="false">IF('RAW CBH'!C159="","",'RAW CBH'!C159)</f>
        <v>Dietitian</v>
      </c>
      <c r="I986" s="48" t="n">
        <f aca="false">IF('RAW CBH'!E159="","",'RAW CBH'!E159)</f>
        <v>1.75</v>
      </c>
      <c r="J986" s="48" t="str">
        <f aca="false">IF('RAW CBH'!F159="","",'RAW CBH'!F159)</f>
        <v/>
      </c>
      <c r="K986" s="50" t="str">
        <f aca="false">IF('RAW CBH'!G159="","",'RAW CBH'!G159)</f>
        <v/>
      </c>
      <c r="L986" s="50" t="str">
        <f aca="false">IF('RAW CBH'!H159="","",'RAW CBH'!H159)</f>
        <v/>
      </c>
      <c r="M986" s="48" t="str">
        <f aca="false">IF('RAW CBH'!I159="","",'RAW CBH'!I159)</f>
        <v/>
      </c>
    </row>
    <row r="987" customFormat="false" ht="15" hidden="false" customHeight="false" outlineLevel="0" collapsed="false">
      <c r="A987" s="1" t="s">
        <v>2131</v>
      </c>
      <c r="B987" s="1" t="s">
        <v>156</v>
      </c>
      <c r="C987" s="1" t="s">
        <v>1149</v>
      </c>
      <c r="D987" s="1" t="n">
        <v>160</v>
      </c>
      <c r="E987" s="48" t="str">
        <f aca="false">IF('RAW CBH'!A160="","",'RAW CBH'!A160)</f>
        <v>Free Clinic Staffing</v>
      </c>
      <c r="F987" s="48" t="str">
        <f aca="false">IF('RAW CBH'!B160="","",'RAW CBH'!B160)</f>
        <v>Screenings</v>
      </c>
      <c r="G987" s="49" t="str">
        <f aca="false">IF('RAW CBH'!D160="","",'RAW CBH'!D160)</f>
        <v>2026-01-31</v>
      </c>
      <c r="H987" s="48" t="str">
        <f aca="false">IF('RAW CBH'!C160="","",'RAW CBH'!C160)</f>
        <v>NP</v>
      </c>
      <c r="I987" s="48" t="n">
        <f aca="false">IF('RAW CBH'!E160="","",'RAW CBH'!E160)</f>
        <v>28.5</v>
      </c>
      <c r="J987" s="48" t="n">
        <f aca="false">IF('RAW CBH'!F160="","",'RAW CBH'!F160)</f>
        <v>246</v>
      </c>
      <c r="K987" s="50" t="n">
        <f aca="false">IF('RAW CBH'!G160="","",'RAW CBH'!G160)</f>
        <v>4180</v>
      </c>
      <c r="L987" s="50" t="str">
        <f aca="false">IF('RAW CBH'!H160="","",'RAW CBH'!H160)</f>
        <v/>
      </c>
      <c r="M987" s="48" t="str">
        <f aca="false">IF('RAW CBH'!I160="","",'RAW CBH'!I160)</f>
        <v/>
      </c>
    </row>
    <row r="988" customFormat="false" ht="15" hidden="false" customHeight="false" outlineLevel="0" collapsed="false">
      <c r="A988" s="1" t="s">
        <v>2132</v>
      </c>
      <c r="B988" s="1" t="s">
        <v>156</v>
      </c>
      <c r="C988" s="1" t="s">
        <v>1149</v>
      </c>
      <c r="D988" s="1" t="n">
        <v>161</v>
      </c>
      <c r="E988" s="48" t="str">
        <f aca="false">IF('RAW CBH'!A161="","",'RAW CBH'!A161)</f>
        <v>Free Clinic Staffing</v>
      </c>
      <c r="F988" s="48" t="str">
        <f aca="false">IF('RAW CBH'!B161="","",'RAW CBH'!B161)</f>
        <v>Screenings</v>
      </c>
      <c r="G988" s="49" t="str">
        <f aca="false">IF('RAW CBH'!D161="","",'RAW CBH'!D161)</f>
        <v>2026-01-31</v>
      </c>
      <c r="H988" s="48" t="str">
        <f aca="false">IF('RAW CBH'!C161="","",'RAW CBH'!C161)</f>
        <v> Clinical Pharmacist </v>
      </c>
      <c r="I988" s="48" t="n">
        <f aca="false">IF('RAW CBH'!E161="","",'RAW CBH'!E161)</f>
        <v>14.75</v>
      </c>
      <c r="J988" s="48" t="str">
        <f aca="false">IF('RAW CBH'!F161="","",'RAW CBH'!F161)</f>
        <v/>
      </c>
      <c r="K988" s="50" t="str">
        <f aca="false">IF('RAW CBH'!G161="","",'RAW CBH'!G161)</f>
        <v/>
      </c>
      <c r="L988" s="50" t="str">
        <f aca="false">IF('RAW CBH'!H161="","",'RAW CBH'!H161)</f>
        <v/>
      </c>
      <c r="M988" s="48" t="str">
        <f aca="false">IF('RAW CBH'!I161="","",'RAW CBH'!I161)</f>
        <v/>
      </c>
    </row>
    <row r="989" customFormat="false" ht="15" hidden="false" customHeight="false" outlineLevel="0" collapsed="false">
      <c r="A989" s="1" t="s">
        <v>2133</v>
      </c>
      <c r="B989" s="1" t="s">
        <v>156</v>
      </c>
      <c r="C989" s="1" t="s">
        <v>1149</v>
      </c>
      <c r="D989" s="1" t="n">
        <v>162</v>
      </c>
      <c r="E989" s="48" t="str">
        <f aca="false">IF('RAW CBH'!A162="","",'RAW CBH'!A162)</f>
        <v>Free Clinic Staffing</v>
      </c>
      <c r="F989" s="48" t="str">
        <f aca="false">IF('RAW CBH'!B162="","",'RAW CBH'!B162)</f>
        <v>Screenings</v>
      </c>
      <c r="G989" s="49" t="str">
        <f aca="false">IF('RAW CBH'!D162="","",'RAW CBH'!D162)</f>
        <v>2026-01-31</v>
      </c>
      <c r="H989" s="48" t="str">
        <f aca="false">IF('RAW CBH'!C162="","",'RAW CBH'!C162)</f>
        <v> Reg Nurse </v>
      </c>
      <c r="I989" s="48" t="n">
        <f aca="false">IF('RAW CBH'!E162="","",'RAW CBH'!E162)</f>
        <v>30.25</v>
      </c>
      <c r="J989" s="48" t="str">
        <f aca="false">IF('RAW CBH'!F162="","",'RAW CBH'!F162)</f>
        <v/>
      </c>
      <c r="K989" s="50" t="str">
        <f aca="false">IF('RAW CBH'!G162="","",'RAW CBH'!G162)</f>
        <v/>
      </c>
      <c r="L989" s="50" t="str">
        <f aca="false">IF('RAW CBH'!H162="","",'RAW CBH'!H162)</f>
        <v/>
      </c>
      <c r="M989" s="48" t="str">
        <f aca="false">IF('RAW CBH'!I162="","",'RAW CBH'!I162)</f>
        <v/>
      </c>
    </row>
    <row r="990" customFormat="false" ht="15" hidden="false" customHeight="false" outlineLevel="0" collapsed="false">
      <c r="A990" s="1" t="s">
        <v>2134</v>
      </c>
      <c r="B990" s="1" t="s">
        <v>156</v>
      </c>
      <c r="C990" s="1" t="s">
        <v>1149</v>
      </c>
      <c r="D990" s="1" t="n">
        <v>163</v>
      </c>
      <c r="E990" s="48" t="str">
        <f aca="false">IF('RAW CBH'!A163="","",'RAW CBH'!A163)</f>
        <v>Med Assistance</v>
      </c>
      <c r="F990" s="48" t="str">
        <f aca="false">IF('RAW CBH'!B163="","",'RAW CBH'!B163)</f>
        <v>Patient Support</v>
      </c>
      <c r="G990" s="49" t="str">
        <f aca="false">IF('RAW CBH'!D163="","",'RAW CBH'!D163)</f>
        <v>2026-01-31</v>
      </c>
      <c r="H990" s="48" t="str">
        <f aca="false">IF('RAW CBH'!C163="","",'RAW CBH'!C163)</f>
        <v>Navigator</v>
      </c>
      <c r="I990" s="48" t="n">
        <f aca="false">IF('RAW CBH'!E163="","",'RAW CBH'!E163)</f>
        <v>81</v>
      </c>
      <c r="J990" s="48" t="str">
        <f aca="false">IF('RAW CBH'!F163="","",'RAW CBH'!F163)</f>
        <v/>
      </c>
      <c r="K990" s="50" t="str">
        <f aca="false">IF('RAW CBH'!G163="","",'RAW CBH'!G163)</f>
        <v/>
      </c>
      <c r="L990" s="50" t="str">
        <f aca="false">IF('RAW CBH'!H163="","",'RAW CBH'!H163)</f>
        <v/>
      </c>
      <c r="M990" s="48" t="str">
        <f aca="false">IF('RAW CBH'!I163="","",'RAW CBH'!I163)</f>
        <v/>
      </c>
    </row>
    <row r="991" customFormat="false" ht="15" hidden="false" customHeight="false" outlineLevel="0" collapsed="false">
      <c r="A991" s="1" t="s">
        <v>2135</v>
      </c>
      <c r="B991" s="1" t="s">
        <v>156</v>
      </c>
      <c r="C991" s="1" t="s">
        <v>1149</v>
      </c>
      <c r="D991" s="1" t="n">
        <v>164</v>
      </c>
      <c r="E991" s="48" t="str">
        <f aca="false">IF('RAW CBH'!A164="","",'RAW CBH'!A164)</f>
        <v>Med Assistance</v>
      </c>
      <c r="F991" s="48" t="str">
        <f aca="false">IF('RAW CBH'!B164="","",'RAW CBH'!B164)</f>
        <v>Patient Support</v>
      </c>
      <c r="G991" s="49" t="str">
        <f aca="false">IF('RAW CBH'!D164="","",'RAW CBH'!D164)</f>
        <v>2026-01-31</v>
      </c>
      <c r="H991" s="48" t="str">
        <f aca="false">IF('RAW CBH'!C164="","",'RAW CBH'!C164)</f>
        <v> RPh</v>
      </c>
      <c r="I991" s="48" t="n">
        <f aca="false">IF('RAW CBH'!E164="","",'RAW CBH'!E164)</f>
        <v>23.25</v>
      </c>
      <c r="J991" s="48" t="n">
        <f aca="false">IF('RAW CBH'!F164="","",'RAW CBH'!F164)</f>
        <v>128</v>
      </c>
      <c r="K991" s="50" t="n">
        <f aca="false">IF('RAW CBH'!G164="","",'RAW CBH'!G164)</f>
        <v>19555</v>
      </c>
      <c r="L991" s="50" t="str">
        <f aca="false">IF('RAW CBH'!H164="","",'RAW CBH'!H164)</f>
        <v/>
      </c>
      <c r="M991" s="48" t="str">
        <f aca="false">IF('RAW CBH'!I164="","",'RAW CBH'!I164)</f>
        <v/>
      </c>
    </row>
    <row r="992" customFormat="false" ht="15" hidden="false" customHeight="false" outlineLevel="0" collapsed="false">
      <c r="A992" s="1" t="s">
        <v>2136</v>
      </c>
      <c r="B992" s="1" t="s">
        <v>156</v>
      </c>
      <c r="C992" s="1" t="s">
        <v>1149</v>
      </c>
      <c r="D992" s="1" t="n">
        <v>165</v>
      </c>
      <c r="E992" s="48" t="str">
        <f aca="false">IF('RAW CBH'!A165="","",'RAW CBH'!A165)</f>
        <v>Community Benefit Admin</v>
      </c>
      <c r="F992" s="48" t="str">
        <f aca="false">IF('RAW CBH'!B165="","",'RAW CBH'!B165)</f>
        <v>Ops</v>
      </c>
      <c r="G992" s="49" t="str">
        <f aca="false">IF('RAW CBH'!D165="","",'RAW CBH'!D165)</f>
        <v>2026-01-31</v>
      </c>
      <c r="H992" s="48" t="str">
        <f aca="false">IF('RAW CBH'!C165="","",'RAW CBH'!C165)</f>
        <v>Administrative Assistant</v>
      </c>
      <c r="I992" s="48" t="n">
        <f aca="false">IF('RAW CBH'!E165="","",'RAW CBH'!E165)</f>
        <v>51.75</v>
      </c>
      <c r="J992" s="48" t="str">
        <f aca="false">IF('RAW CBH'!F165="","",'RAW CBH'!F165)</f>
        <v/>
      </c>
      <c r="K992" s="50" t="str">
        <f aca="false">IF('RAW CBH'!G165="","",'RAW CBH'!G165)</f>
        <v/>
      </c>
      <c r="L992" s="50" t="str">
        <f aca="false">IF('RAW CBH'!H165="","",'RAW CBH'!H165)</f>
        <v/>
      </c>
      <c r="M992" s="48" t="str">
        <f aca="false">IF('RAW CBH'!I165="","",'RAW CBH'!I165)</f>
        <v/>
      </c>
    </row>
    <row r="993" customFormat="false" ht="15" hidden="false" customHeight="false" outlineLevel="0" collapsed="false">
      <c r="A993" s="1" t="s">
        <v>2137</v>
      </c>
      <c r="B993" s="1" t="s">
        <v>156</v>
      </c>
      <c r="C993" s="1" t="s">
        <v>1149</v>
      </c>
      <c r="D993" s="1" t="n">
        <v>166</v>
      </c>
      <c r="E993" s="48" t="str">
        <f aca="false">IF('RAW CBH'!A166="","",'RAW CBH'!A166)</f>
        <v>Community Benefit Admin</v>
      </c>
      <c r="F993" s="48" t="str">
        <f aca="false">IF('RAW CBH'!B166="","",'RAW CBH'!B166)</f>
        <v>Ops</v>
      </c>
      <c r="G993" s="49" t="str">
        <f aca="false">IF('RAW CBH'!D166="","",'RAW CBH'!D166)</f>
        <v>2026-01-31</v>
      </c>
      <c r="H993" s="48" t="str">
        <f aca="false">IF('RAW CBH'!C166="","",'RAW CBH'!C166)</f>
        <v>MGR, COMMUNITY BENEFIT</v>
      </c>
      <c r="I993" s="48" t="n">
        <f aca="false">IF('RAW CBH'!E166="","",'RAW CBH'!E166)</f>
        <v>66</v>
      </c>
      <c r="J993" s="48" t="str">
        <f aca="false">IF('RAW CBH'!F166="","",'RAW CBH'!F166)</f>
        <v/>
      </c>
      <c r="K993" s="50" t="n">
        <f aca="false">IF('RAW CBH'!G166="","",'RAW CBH'!G166)</f>
        <v>615</v>
      </c>
      <c r="L993" s="50" t="str">
        <f aca="false">IF('RAW CBH'!H166="","",'RAW CBH'!H166)</f>
        <v/>
      </c>
      <c r="M993" s="48" t="str">
        <f aca="false">IF('RAW CBH'!I166="","",'RAW CBH'!I166)</f>
        <v/>
      </c>
    </row>
    <row r="994" customFormat="false" ht="15" hidden="false" customHeight="false" outlineLevel="0" collapsed="false">
      <c r="A994" s="1" t="s">
        <v>2138</v>
      </c>
      <c r="B994" s="1" t="s">
        <v>156</v>
      </c>
      <c r="C994" s="1" t="s">
        <v>1149</v>
      </c>
      <c r="D994" s="1" t="n">
        <v>167</v>
      </c>
      <c r="E994" s="48" t="str">
        <f aca="false">IF('RAW CBH'!A167="","",'RAW CBH'!A167)</f>
        <v>Interpreter Services</v>
      </c>
      <c r="F994" s="48" t="str">
        <f aca="false">IF('RAW CBH'!B167="","",'RAW CBH'!B167)</f>
        <v>Patient Support</v>
      </c>
      <c r="G994" s="49" t="str">
        <f aca="false">IF('RAW CBH'!D167="","",'RAW CBH'!D167)</f>
        <v>2026-01-31</v>
      </c>
      <c r="H994" s="48" t="str">
        <f aca="false">IF('RAW CBH'!C167="","",'RAW CBH'!C167)</f>
        <v> Spanish Interpreter</v>
      </c>
      <c r="I994" s="48" t="n">
        <f aca="false">IF('RAW CBH'!E167="","",'RAW CBH'!E167)</f>
        <v>55.75</v>
      </c>
      <c r="J994" s="48" t="n">
        <f aca="false">IF('RAW CBH'!F167="","",'RAW CBH'!F167)</f>
        <v>143</v>
      </c>
      <c r="K994" s="50" t="str">
        <f aca="false">IF('RAW CBH'!G167="","",'RAW CBH'!G167)</f>
        <v/>
      </c>
      <c r="L994" s="50" t="str">
        <f aca="false">IF('RAW CBH'!H167="","",'RAW CBH'!H167)</f>
        <v/>
      </c>
      <c r="M994" s="48" t="str">
        <f aca="false">IF('RAW CBH'!I167="","",'RAW CBH'!I167)</f>
        <v/>
      </c>
    </row>
    <row r="995" customFormat="false" ht="15" hidden="false" customHeight="false" outlineLevel="0" collapsed="false">
      <c r="A995" s="1" t="s">
        <v>2139</v>
      </c>
      <c r="B995" s="1" t="s">
        <v>156</v>
      </c>
      <c r="C995" s="1" t="s">
        <v>1149</v>
      </c>
      <c r="D995" s="1" t="n">
        <v>168</v>
      </c>
      <c r="E995" s="48" t="str">
        <f aca="false">IF('RAW CBH'!A168="","",'RAW CBH'!A168)</f>
        <v>Nursing Student Rotations</v>
      </c>
      <c r="F995" s="48" t="str">
        <f aca="false">IF('RAW CBH'!B168="","",'RAW CBH'!B168)</f>
        <v>Education - Health Professions</v>
      </c>
      <c r="G995" s="49" t="str">
        <f aca="false">IF('RAW CBH'!D168="","",'RAW CBH'!D168)</f>
        <v>2026-01-31</v>
      </c>
      <c r="H995" s="48" t="str">
        <f aca="false">IF('RAW CBH'!C168="","",'RAW CBH'!C168)</f>
        <v>NURSE EDUCATOR</v>
      </c>
      <c r="I995" s="48" t="n">
        <f aca="false">IF('RAW CBH'!E168="","",'RAW CBH'!E168)</f>
        <v>104.25</v>
      </c>
      <c r="J995" s="48" t="n">
        <f aca="false">IF('RAW CBH'!F168="","",'RAW CBH'!F168)</f>
        <v>34</v>
      </c>
      <c r="K995" s="50" t="n">
        <f aca="false">IF('RAW CBH'!G168="","",'RAW CBH'!G168)</f>
        <v>815</v>
      </c>
      <c r="L995" s="50" t="str">
        <f aca="false">IF('RAW CBH'!H168="","",'RAW CBH'!H168)</f>
        <v/>
      </c>
      <c r="M995" s="48" t="str">
        <f aca="false">IF('RAW CBH'!I168="","",'RAW CBH'!I168)</f>
        <v/>
      </c>
    </row>
    <row r="996" customFormat="false" ht="15" hidden="false" customHeight="false" outlineLevel="0" collapsed="false">
      <c r="A996" s="1" t="s">
        <v>2140</v>
      </c>
      <c r="B996" s="1" t="s">
        <v>156</v>
      </c>
      <c r="C996" s="1" t="s">
        <v>1149</v>
      </c>
      <c r="D996" s="1" t="n">
        <v>169</v>
      </c>
      <c r="E996" s="48" t="str">
        <f aca="false">IF('RAW CBH'!A169="","",'RAW CBH'!A169)</f>
        <v>Nursing Student Rotations</v>
      </c>
      <c r="F996" s="48" t="str">
        <f aca="false">IF('RAW CBH'!B169="","",'RAW CBH'!B169)</f>
        <v>Education - Health Professions</v>
      </c>
      <c r="G996" s="49" t="str">
        <f aca="false">IF('RAW CBH'!D169="","",'RAW CBH'!D169)</f>
        <v>2026-01-31</v>
      </c>
      <c r="H996" s="48" t="str">
        <f aca="false">IF('RAW CBH'!C169="","",'RAW CBH'!C169)</f>
        <v>Reg Nurse</v>
      </c>
      <c r="I996" s="48" t="n">
        <f aca="false">IF('RAW CBH'!E169="","",'RAW CBH'!E169)</f>
        <v>243</v>
      </c>
      <c r="J996" s="48" t="str">
        <f aca="false">IF('RAW CBH'!F169="","",'RAW CBH'!F169)</f>
        <v/>
      </c>
      <c r="K996" s="50" t="str">
        <f aca="false">IF('RAW CBH'!G169="","",'RAW CBH'!G169)</f>
        <v/>
      </c>
      <c r="L996" s="50" t="str">
        <f aca="false">IF('RAW CBH'!H169="","",'RAW CBH'!H169)</f>
        <v/>
      </c>
      <c r="M996" s="48" t="str">
        <f aca="false">IF('RAW CBH'!I169="","",'RAW CBH'!I169)</f>
        <v/>
      </c>
    </row>
    <row r="997" customFormat="false" ht="15" hidden="false" customHeight="false" outlineLevel="0" collapsed="false">
      <c r="A997" s="1" t="s">
        <v>2141</v>
      </c>
      <c r="B997" s="1" t="s">
        <v>156</v>
      </c>
      <c r="C997" s="1" t="s">
        <v>1149</v>
      </c>
      <c r="D997" s="1" t="n">
        <v>170</v>
      </c>
      <c r="E997" s="48" t="str">
        <f aca="false">IF('RAW CBH'!A170="","",'RAW CBH'!A170)</f>
        <v>Pharmacy Students</v>
      </c>
      <c r="F997" s="48" t="str">
        <f aca="false">IF('RAW CBH'!B170="","",'RAW CBH'!B170)</f>
        <v>Education - Health Professions</v>
      </c>
      <c r="G997" s="49" t="str">
        <f aca="false">IF('RAW CBH'!D170="","",'RAW CBH'!D170)</f>
        <v>2026-01-31</v>
      </c>
      <c r="H997" s="48" t="str">
        <f aca="false">IF('RAW CBH'!C170="","",'RAW CBH'!C170)</f>
        <v>Pharmacist</v>
      </c>
      <c r="I997" s="48" t="n">
        <f aca="false">IF('RAW CBH'!E170="","",'RAW CBH'!E170)</f>
        <v>41.5</v>
      </c>
      <c r="J997" s="48" t="n">
        <f aca="false">IF('RAW CBH'!F170="","",'RAW CBH'!F170)</f>
        <v>4</v>
      </c>
      <c r="K997" s="50" t="n">
        <f aca="false">IF('RAW CBH'!G170="","",'RAW CBH'!G170)</f>
        <v>100</v>
      </c>
      <c r="L997" s="50" t="str">
        <f aca="false">IF('RAW CBH'!H170="","",'RAW CBH'!H170)</f>
        <v/>
      </c>
      <c r="M997" s="48" t="str">
        <f aca="false">IF('RAW CBH'!I170="","",'RAW CBH'!I170)</f>
        <v/>
      </c>
    </row>
    <row r="998" customFormat="false" ht="15" hidden="false" customHeight="false" outlineLevel="0" collapsed="false">
      <c r="A998" s="1" t="s">
        <v>2142</v>
      </c>
      <c r="B998" s="1" t="s">
        <v>156</v>
      </c>
      <c r="C998" s="1" t="s">
        <v>1149</v>
      </c>
      <c r="D998" s="1" t="n">
        <v>171</v>
      </c>
      <c r="E998" s="48" t="str">
        <f aca="false">IF('RAW CBH'!A171="","",'RAW CBH'!A171)</f>
        <v>Smoke-Free Parks</v>
      </c>
      <c r="F998" s="48" t="str">
        <f aca="false">IF('RAW CBH'!B171="","",'RAW CBH'!B171)</f>
        <v>Advocacy</v>
      </c>
      <c r="G998" s="49" t="str">
        <f aca="false">IF('RAW CBH'!D171="","",'RAW CBH'!D171)</f>
        <v>2026-02-04</v>
      </c>
      <c r="H998" s="48" t="str">
        <f aca="false">IF('RAW CBH'!C171="","",'RAW CBH'!C171)</f>
        <v> Sr Director</v>
      </c>
      <c r="I998" s="48" t="n">
        <f aca="false">IF('RAW CBH'!E171="","",'RAW CBH'!E171)</f>
        <v>1.25</v>
      </c>
      <c r="J998" s="48" t="str">
        <f aca="false">IF('RAW CBH'!F171="","",'RAW CBH'!F171)</f>
        <v/>
      </c>
      <c r="K998" s="50" t="str">
        <f aca="false">IF('RAW CBH'!G171="","",'RAW CBH'!G171)</f>
        <v/>
      </c>
      <c r="L998" s="50" t="str">
        <f aca="false">IF('RAW CBH'!H171="","",'RAW CBH'!H171)</f>
        <v/>
      </c>
      <c r="M998" s="48" t="str">
        <f aca="false">IF('RAW CBH'!I171="","",'RAW CBH'!I171)</f>
        <v/>
      </c>
    </row>
    <row r="999" customFormat="false" ht="15" hidden="false" customHeight="false" outlineLevel="0" collapsed="false">
      <c r="A999" s="1" t="s">
        <v>2143</v>
      </c>
      <c r="B999" s="1" t="s">
        <v>156</v>
      </c>
      <c r="C999" s="1" t="s">
        <v>1149</v>
      </c>
      <c r="D999" s="1" t="n">
        <v>172</v>
      </c>
      <c r="E999" s="48" t="str">
        <f aca="false">IF('RAW CBH'!A172="","",'RAW CBH'!A172)</f>
        <v>Smoke-Free Parks</v>
      </c>
      <c r="F999" s="48" t="str">
        <f aca="false">IF('RAW CBH'!B172="","",'RAW CBH'!B172)</f>
        <v>Advocacy</v>
      </c>
      <c r="G999" s="49" t="str">
        <f aca="false">IF('RAW CBH'!D172="","",'RAW CBH'!D172)</f>
        <v>2026-02-04</v>
      </c>
      <c r="H999" s="48" t="str">
        <f aca="false">IF('RAW CBH'!C172="","",'RAW CBH'!C172)</f>
        <v>Wellness Educator</v>
      </c>
      <c r="I999" s="48" t="n">
        <f aca="false">IF('RAW CBH'!E172="","",'RAW CBH'!E172)</f>
        <v>4.75</v>
      </c>
      <c r="J999" s="48" t="str">
        <f aca="false">IF('RAW CBH'!F172="","",'RAW CBH'!F172)</f>
        <v/>
      </c>
      <c r="K999" s="50" t="n">
        <f aca="false">IF('RAW CBH'!G172="","",'RAW CBH'!G172)</f>
        <v>575</v>
      </c>
      <c r="L999" s="50" t="str">
        <f aca="false">IF('RAW CBH'!H172="","",'RAW CBH'!H172)</f>
        <v/>
      </c>
      <c r="M999" s="48" t="str">
        <f aca="false">IF('RAW CBH'!I172="","",'RAW CBH'!I172)</f>
        <v/>
      </c>
    </row>
    <row r="1000" customFormat="false" ht="15" hidden="false" customHeight="false" outlineLevel="0" collapsed="false">
      <c r="A1000" s="1" t="s">
        <v>2144</v>
      </c>
      <c r="B1000" s="1" t="s">
        <v>156</v>
      </c>
      <c r="C1000" s="1" t="s">
        <v>1149</v>
      </c>
      <c r="D1000" s="1" t="n">
        <v>173</v>
      </c>
      <c r="E1000" s="48" t="str">
        <f aca="false">IF('RAW CBH'!A173="","",'RAW CBH'!A173)</f>
        <v>Matter of Balance Classes</v>
      </c>
      <c r="F1000" s="48" t="str">
        <f aca="false">IF('RAW CBH'!B173="","",'RAW CBH'!B173)</f>
        <v>Health Education</v>
      </c>
      <c r="G1000" s="49" t="str">
        <f aca="false">IF('RAW CBH'!D173="","",'RAW CBH'!D173)</f>
        <v>2026-02-05</v>
      </c>
      <c r="H1000" s="48" t="str">
        <f aca="false">IF('RAW CBH'!C173="","",'RAW CBH'!C173)</f>
        <v>PHYSICAL THERAPY </v>
      </c>
      <c r="I1000" s="48" t="n">
        <f aca="false">IF('RAW CBH'!E173="","",'RAW CBH'!E173)</f>
        <v>2</v>
      </c>
      <c r="J1000" s="48" t="n">
        <f aca="false">IF('RAW CBH'!F173="","",'RAW CBH'!F173)</f>
        <v>15</v>
      </c>
      <c r="K1000" s="50" t="n">
        <f aca="false">IF('RAW CBH'!G173="","",'RAW CBH'!G173)</f>
        <v>110</v>
      </c>
      <c r="L1000" s="50" t="str">
        <f aca="false">IF('RAW CBH'!H173="","",'RAW CBH'!H173)</f>
        <v/>
      </c>
      <c r="M1000" s="48" t="str">
        <f aca="false">IF('RAW CBH'!I173="","",'RAW CBH'!I173)</f>
        <v/>
      </c>
    </row>
    <row r="1001" customFormat="false" ht="15" hidden="false" customHeight="false" outlineLevel="0" collapsed="false">
      <c r="A1001" s="1" t="s">
        <v>2145</v>
      </c>
      <c r="B1001" s="1" t="s">
        <v>156</v>
      </c>
      <c r="C1001" s="1" t="s">
        <v>1149</v>
      </c>
      <c r="D1001" s="1" t="n">
        <v>174</v>
      </c>
      <c r="E1001" s="48" t="str">
        <f aca="false">IF('RAW CBH'!A174="","",'RAW CBH'!A174)</f>
        <v>Community Garden</v>
      </c>
      <c r="F1001" s="48" t="str">
        <f aca="false">IF('RAW CBH'!B174="","",'RAW CBH'!B174)</f>
        <v>Environmental</v>
      </c>
      <c r="G1001" s="49" t="str">
        <f aca="false">IF('RAW CBH'!D174="","",'RAW CBH'!D174)</f>
        <v>2026-02-10</v>
      </c>
      <c r="H1001" s="48" t="str">
        <f aca="false">IF('RAW CBH'!C174="","",'RAW CBH'!C174)</f>
        <v>Coordinator</v>
      </c>
      <c r="I1001" s="48" t="n">
        <f aca="false">IF('RAW CBH'!E174="","",'RAW CBH'!E174)</f>
        <v>5.75</v>
      </c>
      <c r="J1001" s="48" t="n">
        <f aca="false">IF('RAW CBH'!F174="","",'RAW CBH'!F174)</f>
        <v>39</v>
      </c>
      <c r="K1001" s="50" t="n">
        <f aca="false">IF('RAW CBH'!G174="","",'RAW CBH'!G174)</f>
        <v>2395</v>
      </c>
      <c r="L1001" s="50" t="str">
        <f aca="false">IF('RAW CBH'!H174="","",'RAW CBH'!H174)</f>
        <v/>
      </c>
      <c r="M1001" s="48" t="str">
        <f aca="false">IF('RAW CBH'!I174="","",'RAW CBH'!I174)</f>
        <v/>
      </c>
    </row>
    <row r="1002" customFormat="false" ht="15" hidden="false" customHeight="false" outlineLevel="0" collapsed="false">
      <c r="A1002" s="1" t="s">
        <v>2146</v>
      </c>
      <c r="B1002" s="1" t="s">
        <v>156</v>
      </c>
      <c r="C1002" s="1" t="s">
        <v>1149</v>
      </c>
      <c r="D1002" s="1" t="n">
        <v>175</v>
      </c>
      <c r="E1002" s="48" t="str">
        <f aca="false">IF('RAW CBH'!A175="","",'RAW CBH'!A175)</f>
        <v>Matter of Balance Classes</v>
      </c>
      <c r="F1002" s="48" t="str">
        <f aca="false">IF('RAW CBH'!B175="","",'RAW CBH'!B175)</f>
        <v>Health Education</v>
      </c>
      <c r="G1002" s="49" t="str">
        <f aca="false">IF('RAW CBH'!D175="","",'RAW CBH'!D175)</f>
        <v>2026-02-14</v>
      </c>
      <c r="H1002" s="48" t="str">
        <f aca="false">IF('RAW CBH'!C175="","",'RAW CBH'!C175)</f>
        <v>DPT</v>
      </c>
      <c r="I1002" s="48" t="n">
        <f aca="false">IF('RAW CBH'!E175="","",'RAW CBH'!E175)</f>
        <v>2</v>
      </c>
      <c r="J1002" s="48" t="n">
        <f aca="false">IF('RAW CBH'!F175="","",'RAW CBH'!F175)</f>
        <v>10</v>
      </c>
      <c r="K1002" s="50" t="n">
        <f aca="false">IF('RAW CBH'!G175="","",'RAW CBH'!G175)</f>
        <v>70</v>
      </c>
      <c r="L1002" s="50" t="str">
        <f aca="false">IF('RAW CBH'!H175="","",'RAW CBH'!H175)</f>
        <v/>
      </c>
      <c r="M1002" s="48" t="str">
        <f aca="false">IF('RAW CBH'!I175="","",'RAW CBH'!I175)</f>
        <v/>
      </c>
    </row>
    <row r="1003" customFormat="false" ht="15" hidden="false" customHeight="false" outlineLevel="0" collapsed="false">
      <c r="A1003" s="1" t="s">
        <v>2147</v>
      </c>
      <c r="B1003" s="1" t="s">
        <v>156</v>
      </c>
      <c r="C1003" s="1" t="s">
        <v>1149</v>
      </c>
      <c r="D1003" s="1" t="n">
        <v>176</v>
      </c>
      <c r="E1003" s="48" t="str">
        <f aca="false">IF('RAW CBH'!A176="","",'RAW CBH'!A176)</f>
        <v>Matter of Balance Classes</v>
      </c>
      <c r="F1003" s="48" t="str">
        <f aca="false">IF('RAW CBH'!B176="","",'RAW CBH'!B176)</f>
        <v>Health Education</v>
      </c>
      <c r="G1003" s="49" t="str">
        <f aca="false">IF('RAW CBH'!D176="","",'RAW CBH'!D176)</f>
        <v>2026-02-19</v>
      </c>
      <c r="H1003" s="48" t="str">
        <f aca="false">IF('RAW CBH'!C176="","",'RAW CBH'!C176)</f>
        <v>Licensed Therapist</v>
      </c>
      <c r="I1003" s="48" t="n">
        <f aca="false">IF('RAW CBH'!E176="","",'RAW CBH'!E176)</f>
        <v>2</v>
      </c>
      <c r="J1003" s="48" t="n">
        <f aca="false">IF('RAW CBH'!F176="","",'RAW CBH'!F176)</f>
        <v>10</v>
      </c>
      <c r="K1003" s="50" t="n">
        <f aca="false">IF('RAW CBH'!G176="","",'RAW CBH'!G176)</f>
        <v>40</v>
      </c>
      <c r="L1003" s="50" t="str">
        <f aca="false">IF('RAW CBH'!H176="","",'RAW CBH'!H176)</f>
        <v/>
      </c>
      <c r="M1003" s="48" t="str">
        <f aca="false">IF('RAW CBH'!I176="","",'RAW CBH'!I176)</f>
        <v/>
      </c>
    </row>
    <row r="1004" customFormat="false" ht="15" hidden="false" customHeight="false" outlineLevel="0" collapsed="false">
      <c r="A1004" s="1" t="s">
        <v>2148</v>
      </c>
      <c r="B1004" s="1" t="s">
        <v>156</v>
      </c>
      <c r="C1004" s="1" t="s">
        <v>1149</v>
      </c>
      <c r="D1004" s="1" t="n">
        <v>177</v>
      </c>
      <c r="E1004" s="48" t="str">
        <f aca="false">IF('RAW CBH'!A177="","",'RAW CBH'!A177)</f>
        <v>Prenatal &amp; Newborn Classes</v>
      </c>
      <c r="F1004" s="48" t="str">
        <f aca="false">IF('RAW CBH'!B177="","",'RAW CBH'!B177)</f>
        <v>Health Education</v>
      </c>
      <c r="G1004" s="49" t="str">
        <f aca="false">IF('RAW CBH'!D177="","",'RAW CBH'!D177)</f>
        <v>2026-02-21</v>
      </c>
      <c r="H1004" s="48" t="str">
        <f aca="false">IF('RAW CBH'!C177="","",'RAW CBH'!C177)</f>
        <v>RN Educator</v>
      </c>
      <c r="I1004" s="48" t="n">
        <f aca="false">IF('RAW CBH'!E177="","",'RAW CBH'!E177)</f>
        <v>3.5</v>
      </c>
      <c r="J1004" s="48" t="n">
        <f aca="false">IF('RAW CBH'!F177="","",'RAW CBH'!F177)</f>
        <v>13</v>
      </c>
      <c r="K1004" s="50" t="n">
        <f aca="false">IF('RAW CBH'!G177="","",'RAW CBH'!G177)</f>
        <v>190</v>
      </c>
      <c r="L1004" s="50" t="str">
        <f aca="false">IF('RAW CBH'!H177="","",'RAW CBH'!H177)</f>
        <v/>
      </c>
      <c r="M1004" s="48" t="str">
        <f aca="false">IF('RAW CBH'!I177="","",'RAW CBH'!I177)</f>
        <v/>
      </c>
    </row>
    <row r="1005" customFormat="false" ht="15" hidden="false" customHeight="false" outlineLevel="0" collapsed="false">
      <c r="A1005" s="1" t="s">
        <v>2149</v>
      </c>
      <c r="B1005" s="1" t="s">
        <v>156</v>
      </c>
      <c r="C1005" s="1" t="s">
        <v>1149</v>
      </c>
      <c r="D1005" s="1" t="n">
        <v>178</v>
      </c>
      <c r="E1005" s="48" t="str">
        <f aca="false">IF('RAW CBH'!A178="","",'RAW CBH'!A178)</f>
        <v>Free Clinic Staffing</v>
      </c>
      <c r="F1005" s="48" t="str">
        <f aca="false">IF('RAW CBH'!B178="","",'RAW CBH'!B178)</f>
        <v>Screenings</v>
      </c>
      <c r="G1005" s="49" t="str">
        <f aca="false">IF('RAW CBH'!D178="","",'RAW CBH'!D178)</f>
        <v>2026-02-28</v>
      </c>
      <c r="H1005" s="48" t="str">
        <f aca="false">IF('RAW CBH'!C178="","",'RAW CBH'!C178)</f>
        <v>FNP</v>
      </c>
      <c r="I1005" s="48" t="n">
        <f aca="false">IF('RAW CBH'!E178="","",'RAW CBH'!E178)</f>
        <v>38.5</v>
      </c>
      <c r="J1005" s="48" t="n">
        <f aca="false">IF('RAW CBH'!F178="","",'RAW CBH'!F178)</f>
        <v>224</v>
      </c>
      <c r="K1005" s="50" t="n">
        <f aca="false">IF('RAW CBH'!G178="","",'RAW CBH'!G178)</f>
        <v>4930</v>
      </c>
      <c r="L1005" s="50" t="str">
        <f aca="false">IF('RAW CBH'!H178="","",'RAW CBH'!H178)</f>
        <v/>
      </c>
      <c r="M1005" s="48" t="str">
        <f aca="false">IF('RAW CBH'!I178="","",'RAW CBH'!I178)</f>
        <v/>
      </c>
    </row>
    <row r="1006" customFormat="false" ht="15" hidden="false" customHeight="false" outlineLevel="0" collapsed="false">
      <c r="A1006" s="1" t="s">
        <v>2150</v>
      </c>
      <c r="B1006" s="1" t="s">
        <v>156</v>
      </c>
      <c r="C1006" s="1" t="s">
        <v>1149</v>
      </c>
      <c r="D1006" s="1" t="n">
        <v>179</v>
      </c>
      <c r="E1006" s="48" t="str">
        <f aca="false">IF('RAW CBH'!A179="","",'RAW CBH'!A179)</f>
        <v>Free Clinic Staffing</v>
      </c>
      <c r="F1006" s="48" t="str">
        <f aca="false">IF('RAW CBH'!B179="","",'RAW CBH'!B179)</f>
        <v>Screenings</v>
      </c>
      <c r="G1006" s="49" t="str">
        <f aca="false">IF('RAW CBH'!D179="","",'RAW CBH'!D179)</f>
        <v>2026-02-28</v>
      </c>
      <c r="H1006" s="48" t="str">
        <f aca="false">IF('RAW CBH'!C179="","",'RAW CBH'!C179)</f>
        <v>RPh</v>
      </c>
      <c r="I1006" s="48" t="n">
        <f aca="false">IF('RAW CBH'!E179="","",'RAW CBH'!E179)</f>
        <v>10</v>
      </c>
      <c r="J1006" s="48" t="str">
        <f aca="false">IF('RAW CBH'!F179="","",'RAW CBH'!F179)</f>
        <v/>
      </c>
      <c r="K1006" s="50" t="str">
        <f aca="false">IF('RAW CBH'!G179="","",'RAW CBH'!G179)</f>
        <v/>
      </c>
      <c r="L1006" s="50" t="str">
        <f aca="false">IF('RAW CBH'!H179="","",'RAW CBH'!H179)</f>
        <v/>
      </c>
      <c r="M1006" s="48" t="str">
        <f aca="false">IF('RAW CBH'!I179="","",'RAW CBH'!I179)</f>
        <v/>
      </c>
    </row>
    <row r="1007" customFormat="false" ht="15" hidden="false" customHeight="false" outlineLevel="0" collapsed="false">
      <c r="A1007" s="1" t="s">
        <v>2151</v>
      </c>
      <c r="B1007" s="1" t="s">
        <v>156</v>
      </c>
      <c r="C1007" s="1" t="s">
        <v>1149</v>
      </c>
      <c r="D1007" s="1" t="n">
        <v>180</v>
      </c>
      <c r="E1007" s="48" t="str">
        <f aca="false">IF('RAW CBH'!A180="","",'RAW CBH'!A180)</f>
        <v>Free Clinic Staffing</v>
      </c>
      <c r="F1007" s="48" t="str">
        <f aca="false">IF('RAW CBH'!B180="","",'RAW CBH'!B180)</f>
        <v>Screenings</v>
      </c>
      <c r="G1007" s="49" t="str">
        <f aca="false">IF('RAW CBH'!D180="","",'RAW CBH'!D180)</f>
        <v>2026-02-28</v>
      </c>
      <c r="H1007" s="48" t="str">
        <f aca="false">IF('RAW CBH'!C180="","",'RAW CBH'!C180)</f>
        <v>RN - Outreach</v>
      </c>
      <c r="I1007" s="48" t="n">
        <f aca="false">IF('RAW CBH'!E180="","",'RAW CBH'!E180)</f>
        <v>28.5</v>
      </c>
      <c r="J1007" s="48" t="str">
        <f aca="false">IF('RAW CBH'!F180="","",'RAW CBH'!F180)</f>
        <v/>
      </c>
      <c r="K1007" s="50" t="str">
        <f aca="false">IF('RAW CBH'!G180="","",'RAW CBH'!G180)</f>
        <v/>
      </c>
      <c r="L1007" s="50" t="str">
        <f aca="false">IF('RAW CBH'!H180="","",'RAW CBH'!H180)</f>
        <v/>
      </c>
      <c r="M1007" s="48" t="str">
        <f aca="false">IF('RAW CBH'!I180="","",'RAW CBH'!I180)</f>
        <v/>
      </c>
    </row>
    <row r="1008" customFormat="false" ht="15" hidden="false" customHeight="false" outlineLevel="0" collapsed="false">
      <c r="A1008" s="1" t="s">
        <v>2152</v>
      </c>
      <c r="B1008" s="1" t="s">
        <v>156</v>
      </c>
      <c r="C1008" s="1" t="s">
        <v>1149</v>
      </c>
      <c r="D1008" s="1" t="n">
        <v>181</v>
      </c>
      <c r="E1008" s="48" t="str">
        <f aca="false">IF('RAW CBH'!A181="","",'RAW CBH'!A181)</f>
        <v>Med Assistance</v>
      </c>
      <c r="F1008" s="48" t="str">
        <f aca="false">IF('RAW CBH'!B181="","",'RAW CBH'!B181)</f>
        <v>Patient Support</v>
      </c>
      <c r="G1008" s="49" t="str">
        <f aca="false">IF('RAW CBH'!D181="","",'RAW CBH'!D181)</f>
        <v>2026-02-28</v>
      </c>
      <c r="H1008" s="48" t="str">
        <f aca="false">IF('RAW CBH'!C181="","",'RAW CBH'!C181)</f>
        <v>Navigator</v>
      </c>
      <c r="I1008" s="48" t="n">
        <f aca="false">IF('RAW CBH'!E181="","",'RAW CBH'!E181)</f>
        <v>80</v>
      </c>
      <c r="J1008" s="48" t="str">
        <f aca="false">IF('RAW CBH'!F181="","",'RAW CBH'!F181)</f>
        <v/>
      </c>
      <c r="K1008" s="50" t="str">
        <f aca="false">IF('RAW CBH'!G181="","",'RAW CBH'!G181)</f>
        <v/>
      </c>
      <c r="L1008" s="50" t="str">
        <f aca="false">IF('RAW CBH'!H181="","",'RAW CBH'!H181)</f>
        <v/>
      </c>
      <c r="M1008" s="48" t="str">
        <f aca="false">IF('RAW CBH'!I181="","",'RAW CBH'!I181)</f>
        <v/>
      </c>
    </row>
    <row r="1009" customFormat="false" ht="15" hidden="false" customHeight="false" outlineLevel="0" collapsed="false">
      <c r="A1009" s="1" t="s">
        <v>2153</v>
      </c>
      <c r="B1009" s="1" t="s">
        <v>156</v>
      </c>
      <c r="C1009" s="1" t="s">
        <v>1149</v>
      </c>
      <c r="D1009" s="1" t="n">
        <v>182</v>
      </c>
      <c r="E1009" s="48" t="str">
        <f aca="false">IF('RAW CBH'!A182="","",'RAW CBH'!A182)</f>
        <v>Med Assistance</v>
      </c>
      <c r="F1009" s="48" t="str">
        <f aca="false">IF('RAW CBH'!B182="","",'RAW CBH'!B182)</f>
        <v>Patient Support</v>
      </c>
      <c r="G1009" s="49" t="str">
        <f aca="false">IF('RAW CBH'!D182="","",'RAW CBH'!D182)</f>
        <v>2026-02-28</v>
      </c>
      <c r="H1009" s="48" t="str">
        <f aca="false">IF('RAW CBH'!C182="","",'RAW CBH'!C182)</f>
        <v>RPH</v>
      </c>
      <c r="I1009" s="48" t="n">
        <f aca="false">IF('RAW CBH'!E182="","",'RAW CBH'!E182)</f>
        <v>23.75</v>
      </c>
      <c r="J1009" s="48" t="n">
        <f aca="false">IF('RAW CBH'!F182="","",'RAW CBH'!F182)</f>
        <v>93</v>
      </c>
      <c r="K1009" s="50" t="n">
        <f aca="false">IF('RAW CBH'!G182="","",'RAW CBH'!G182)</f>
        <v>16955</v>
      </c>
      <c r="L1009" s="50" t="str">
        <f aca="false">IF('RAW CBH'!H182="","",'RAW CBH'!H182)</f>
        <v/>
      </c>
      <c r="M1009" s="48" t="str">
        <f aca="false">IF('RAW CBH'!I182="","",'RAW CBH'!I182)</f>
        <v/>
      </c>
    </row>
    <row r="1010" customFormat="false" ht="15" hidden="false" customHeight="false" outlineLevel="0" collapsed="false">
      <c r="A1010" s="1" t="s">
        <v>2154</v>
      </c>
      <c r="B1010" s="1" t="s">
        <v>156</v>
      </c>
      <c r="C1010" s="1" t="s">
        <v>1149</v>
      </c>
      <c r="D1010" s="1" t="n">
        <v>183</v>
      </c>
      <c r="E1010" s="48" t="str">
        <f aca="false">IF('RAW CBH'!A183="","",'RAW CBH'!A183)</f>
        <v>Community Benefit Admin</v>
      </c>
      <c r="F1010" s="48" t="str">
        <f aca="false">IF('RAW CBH'!B183="","",'RAW CBH'!B183)</f>
        <v>Ops</v>
      </c>
      <c r="G1010" s="49" t="str">
        <f aca="false">IF('RAW CBH'!D183="","",'RAW CBH'!D183)</f>
        <v>2026-02-28</v>
      </c>
      <c r="H1010" s="48" t="str">
        <f aca="false">IF('RAW CBH'!C183="","",'RAW CBH'!C183)</f>
        <v> Admin. Assistant</v>
      </c>
      <c r="I1010" s="48" t="n">
        <f aca="false">IF('RAW CBH'!E183="","",'RAW CBH'!E183)</f>
        <v>47.5</v>
      </c>
      <c r="J1010" s="48" t="str">
        <f aca="false">IF('RAW CBH'!F183="","",'RAW CBH'!F183)</f>
        <v/>
      </c>
      <c r="K1010" s="50" t="str">
        <f aca="false">IF('RAW CBH'!G183="","",'RAW CBH'!G183)</f>
        <v/>
      </c>
      <c r="L1010" s="50" t="str">
        <f aca="false">IF('RAW CBH'!H183="","",'RAW CBH'!H183)</f>
        <v/>
      </c>
      <c r="M1010" s="48" t="str">
        <f aca="false">IF('RAW CBH'!I183="","",'RAW CBH'!I183)</f>
        <v/>
      </c>
    </row>
    <row r="1011" customFormat="false" ht="15" hidden="false" customHeight="false" outlineLevel="0" collapsed="false">
      <c r="A1011" s="1" t="s">
        <v>2155</v>
      </c>
      <c r="B1011" s="1" t="s">
        <v>156</v>
      </c>
      <c r="C1011" s="1" t="s">
        <v>1149</v>
      </c>
      <c r="D1011" s="1" t="n">
        <v>184</v>
      </c>
      <c r="E1011" s="48" t="str">
        <f aca="false">IF('RAW CBH'!A184="","",'RAW CBH'!A184)</f>
        <v>Community Benefit Admin</v>
      </c>
      <c r="F1011" s="48" t="str">
        <f aca="false">IF('RAW CBH'!B184="","",'RAW CBH'!B184)</f>
        <v>Ops</v>
      </c>
      <c r="G1011" s="49" t="str">
        <f aca="false">IF('RAW CBH'!D184="","",'RAW CBH'!D184)</f>
        <v>2026-02-28</v>
      </c>
      <c r="H1011" s="48" t="str">
        <f aca="false">IF('RAW CBH'!C184="","",'RAW CBH'!C184)</f>
        <v>Manager Community Benefit</v>
      </c>
      <c r="I1011" s="48" t="n">
        <f aca="false">IF('RAW CBH'!E184="","",'RAW CBH'!E184)</f>
        <v>53</v>
      </c>
      <c r="J1011" s="48" t="str">
        <f aca="false">IF('RAW CBH'!F184="","",'RAW CBH'!F184)</f>
        <v/>
      </c>
      <c r="K1011" s="50" t="n">
        <f aca="false">IF('RAW CBH'!G184="","",'RAW CBH'!G184)</f>
        <v>405</v>
      </c>
      <c r="L1011" s="50" t="str">
        <f aca="false">IF('RAW CBH'!H184="","",'RAW CBH'!H184)</f>
        <v/>
      </c>
      <c r="M1011" s="48" t="str">
        <f aca="false">IF('RAW CBH'!I184="","",'RAW CBH'!I184)</f>
        <v/>
      </c>
    </row>
    <row r="1012" customFormat="false" ht="15" hidden="false" customHeight="false" outlineLevel="0" collapsed="false">
      <c r="A1012" s="1" t="s">
        <v>2156</v>
      </c>
      <c r="B1012" s="1" t="s">
        <v>156</v>
      </c>
      <c r="C1012" s="1" t="s">
        <v>1149</v>
      </c>
      <c r="D1012" s="1" t="n">
        <v>185</v>
      </c>
      <c r="E1012" s="48" t="str">
        <f aca="false">IF('RAW CBH'!A185="","",'RAW CBH'!A185)</f>
        <v>Interpreter Services</v>
      </c>
      <c r="F1012" s="48" t="str">
        <f aca="false">IF('RAW CBH'!B185="","",'RAW CBH'!B185)</f>
        <v>Patient Support</v>
      </c>
      <c r="G1012" s="49" t="str">
        <f aca="false">IF('RAW CBH'!D185="","",'RAW CBH'!D185)</f>
        <v>2026-02-28</v>
      </c>
      <c r="H1012" s="48" t="str">
        <f aca="false">IF('RAW CBH'!C185="","",'RAW CBH'!C185)</f>
        <v>Interpreter</v>
      </c>
      <c r="I1012" s="48" t="n">
        <f aca="false">IF('RAW CBH'!E185="","",'RAW CBH'!E185)</f>
        <v>60.25</v>
      </c>
      <c r="J1012" s="48" t="n">
        <f aca="false">IF('RAW CBH'!F185="","",'RAW CBH'!F185)</f>
        <v>91</v>
      </c>
      <c r="K1012" s="50" t="str">
        <f aca="false">IF('RAW CBH'!G185="","",'RAW CBH'!G185)</f>
        <v/>
      </c>
      <c r="L1012" s="50" t="str">
        <f aca="false">IF('RAW CBH'!H185="","",'RAW CBH'!H185)</f>
        <v/>
      </c>
      <c r="M1012" s="48" t="str">
        <f aca="false">IF('RAW CBH'!I185="","",'RAW CBH'!I185)</f>
        <v/>
      </c>
    </row>
    <row r="1013" customFormat="false" ht="15" hidden="false" customHeight="false" outlineLevel="0" collapsed="false">
      <c r="A1013" s="1" t="s">
        <v>2157</v>
      </c>
      <c r="B1013" s="1" t="s">
        <v>156</v>
      </c>
      <c r="C1013" s="1" t="s">
        <v>1149</v>
      </c>
      <c r="D1013" s="1" t="n">
        <v>186</v>
      </c>
      <c r="E1013" s="48" t="str">
        <f aca="false">IF('RAW CBH'!A186="","",'RAW CBH'!A186)</f>
        <v>Nursing Student Rotations</v>
      </c>
      <c r="F1013" s="48" t="str">
        <f aca="false">IF('RAW CBH'!B186="","",'RAW CBH'!B186)</f>
        <v>Education - Health Professions</v>
      </c>
      <c r="G1013" s="49" t="str">
        <f aca="false">IF('RAW CBH'!D186="","",'RAW CBH'!D186)</f>
        <v>2026-02-28</v>
      </c>
      <c r="H1013" s="48" t="str">
        <f aca="false">IF('RAW CBH'!C186="","",'RAW CBH'!C186)</f>
        <v>Preceptor RN</v>
      </c>
      <c r="I1013" s="48" t="n">
        <f aca="false">IF('RAW CBH'!E186="","",'RAW CBH'!E186)</f>
        <v>134.75</v>
      </c>
      <c r="J1013" s="48" t="n">
        <f aca="false">IF('RAW CBH'!F186="","",'RAW CBH'!F186)</f>
        <v>29</v>
      </c>
      <c r="K1013" s="50" t="n">
        <f aca="false">IF('RAW CBH'!G186="","",'RAW CBH'!G186)</f>
        <v>995</v>
      </c>
      <c r="L1013" s="50" t="str">
        <f aca="false">IF('RAW CBH'!H186="","",'RAW CBH'!H186)</f>
        <v/>
      </c>
      <c r="M1013" s="48" t="str">
        <f aca="false">IF('RAW CBH'!I186="","",'RAW CBH'!I186)</f>
        <v/>
      </c>
    </row>
    <row r="1014" customFormat="false" ht="15" hidden="false" customHeight="false" outlineLevel="0" collapsed="false">
      <c r="A1014" s="1" t="s">
        <v>2158</v>
      </c>
      <c r="B1014" s="1" t="s">
        <v>156</v>
      </c>
      <c r="C1014" s="1" t="s">
        <v>1149</v>
      </c>
      <c r="D1014" s="1" t="n">
        <v>187</v>
      </c>
      <c r="E1014" s="48" t="str">
        <f aca="false">IF('RAW CBH'!A187="","",'RAW CBH'!A187)</f>
        <v>Nursing Student Rotations</v>
      </c>
      <c r="F1014" s="48" t="str">
        <f aca="false">IF('RAW CBH'!B187="","",'RAW CBH'!B187)</f>
        <v>Education - Health Professions</v>
      </c>
      <c r="G1014" s="49" t="str">
        <f aca="false">IF('RAW CBH'!D187="","",'RAW CBH'!D187)</f>
        <v>2026-02-28</v>
      </c>
      <c r="H1014" s="48" t="str">
        <f aca="false">IF('RAW CBH'!C187="","",'RAW CBH'!C187)</f>
        <v>RN</v>
      </c>
      <c r="I1014" s="48" t="n">
        <f aca="false">IF('RAW CBH'!E187="","",'RAW CBH'!E187)</f>
        <v>240.25</v>
      </c>
      <c r="J1014" s="48" t="str">
        <f aca="false">IF('RAW CBH'!F187="","",'RAW CBH'!F187)</f>
        <v/>
      </c>
      <c r="K1014" s="50" t="str">
        <f aca="false">IF('RAW CBH'!G187="","",'RAW CBH'!G187)</f>
        <v/>
      </c>
      <c r="L1014" s="50" t="str">
        <f aca="false">IF('RAW CBH'!H187="","",'RAW CBH'!H187)</f>
        <v/>
      </c>
      <c r="M1014" s="48" t="str">
        <f aca="false">IF('RAW CBH'!I187="","",'RAW CBH'!I187)</f>
        <v/>
      </c>
    </row>
    <row r="1015" customFormat="false" ht="15" hidden="false" customHeight="false" outlineLevel="0" collapsed="false">
      <c r="A1015" s="1" t="s">
        <v>2159</v>
      </c>
      <c r="B1015" s="1" t="s">
        <v>156</v>
      </c>
      <c r="C1015" s="1" t="s">
        <v>1149</v>
      </c>
      <c r="D1015" s="1" t="n">
        <v>188</v>
      </c>
      <c r="E1015" s="48" t="str">
        <f aca="false">IF('RAW CBH'!A188="","",'RAW CBH'!A188)</f>
        <v>Pharmacy Students</v>
      </c>
      <c r="F1015" s="48" t="str">
        <f aca="false">IF('RAW CBH'!B188="","",'RAW CBH'!B188)</f>
        <v>Education - Health Professions</v>
      </c>
      <c r="G1015" s="49" t="str">
        <f aca="false">IF('RAW CBH'!D188="","",'RAW CBH'!D188)</f>
        <v>2026-02-28</v>
      </c>
      <c r="H1015" s="48" t="str">
        <f aca="false">IF('RAW CBH'!C188="","",'RAW CBH'!C188)</f>
        <v>RPh</v>
      </c>
      <c r="I1015" s="48" t="n">
        <f aca="false">IF('RAW CBH'!E188="","",'RAW CBH'!E188)</f>
        <v>52</v>
      </c>
      <c r="J1015" s="48" t="n">
        <f aca="false">IF('RAW CBH'!F188="","",'RAW CBH'!F188)</f>
        <v>2</v>
      </c>
      <c r="K1015" s="50" t="n">
        <f aca="false">IF('RAW CBH'!G188="","",'RAW CBH'!G188)</f>
        <v>90</v>
      </c>
      <c r="L1015" s="50" t="str">
        <f aca="false">IF('RAW CBH'!H188="","",'RAW CBH'!H188)</f>
        <v/>
      </c>
      <c r="M1015" s="48" t="str">
        <f aca="false">IF('RAW CBH'!I188="","",'RAW CBH'!I188)</f>
        <v/>
      </c>
    </row>
    <row r="1016" customFormat="false" ht="15" hidden="false" customHeight="false" outlineLevel="0" collapsed="false">
      <c r="A1016" s="1" t="s">
        <v>2160</v>
      </c>
      <c r="B1016" s="1" t="s">
        <v>156</v>
      </c>
      <c r="C1016" s="1" t="s">
        <v>1149</v>
      </c>
      <c r="D1016" s="1" t="n">
        <v>189</v>
      </c>
      <c r="E1016" s="48" t="str">
        <f aca="false">IF('RAW CBH'!A189="","",'RAW CBH'!A189)</f>
        <v>Bereavement Group</v>
      </c>
      <c r="F1016" s="48" t="str">
        <f aca="false">IF('RAW CBH'!B189="","",'RAW CBH'!B189)</f>
        <v>Patient Support</v>
      </c>
      <c r="G1016" s="49" t="str">
        <f aca="false">IF('RAW CBH'!D189="","",'RAW CBH'!D189)</f>
        <v>2026-03-10</v>
      </c>
      <c r="H1016" s="48" t="str">
        <f aca="false">IF('RAW CBH'!C189="","",'RAW CBH'!C189)</f>
        <v>Pastoral Care</v>
      </c>
      <c r="I1016" s="48" t="n">
        <f aca="false">IF('RAW CBH'!E189="","",'RAW CBH'!E189)</f>
        <v>2.25</v>
      </c>
      <c r="J1016" s="48" t="n">
        <f aca="false">IF('RAW CBH'!F189="","",'RAW CBH'!F189)</f>
        <v>11</v>
      </c>
      <c r="K1016" s="50" t="n">
        <f aca="false">IF('RAW CBH'!G189="","",'RAW CBH'!G189)</f>
        <v>55</v>
      </c>
      <c r="L1016" s="50" t="str">
        <f aca="false">IF('RAW CBH'!H189="","",'RAW CBH'!H189)</f>
        <v/>
      </c>
      <c r="M1016" s="48" t="str">
        <f aca="false">IF('RAW CBH'!I189="","",'RAW CBH'!I189)</f>
        <v/>
      </c>
    </row>
    <row r="1017" customFormat="false" ht="15" hidden="false" customHeight="false" outlineLevel="0" collapsed="false">
      <c r="A1017" s="1" t="s">
        <v>2161</v>
      </c>
      <c r="B1017" s="1" t="s">
        <v>156</v>
      </c>
      <c r="C1017" s="1" t="s">
        <v>1149</v>
      </c>
      <c r="D1017" s="1" t="n">
        <v>190</v>
      </c>
      <c r="E1017" s="48" t="str">
        <f aca="false">IF('RAW CBH'!A190="","",'RAW CBH'!A190)</f>
        <v>Bereavement Group</v>
      </c>
      <c r="F1017" s="48" t="str">
        <f aca="false">IF('RAW CBH'!B190="","",'RAW CBH'!B190)</f>
        <v>Patient Support</v>
      </c>
      <c r="G1017" s="49" t="str">
        <f aca="false">IF('RAW CBH'!D190="","",'RAW CBH'!D190)</f>
        <v>2026-03-10</v>
      </c>
      <c r="H1017" s="48" t="str">
        <f aca="false">IF('RAW CBH'!C190="","",'RAW CBH'!C190)</f>
        <v>Social Work</v>
      </c>
      <c r="I1017" s="48" t="n">
        <f aca="false">IF('RAW CBH'!E190="","",'RAW CBH'!E190)</f>
        <v>1.75</v>
      </c>
      <c r="J1017" s="48" t="str">
        <f aca="false">IF('RAW CBH'!F190="","",'RAW CBH'!F190)</f>
        <v/>
      </c>
      <c r="K1017" s="50" t="str">
        <f aca="false">IF('RAW CBH'!G190="","",'RAW CBH'!G190)</f>
        <v/>
      </c>
      <c r="L1017" s="50" t="str">
        <f aca="false">IF('RAW CBH'!H190="","",'RAW CBH'!H190)</f>
        <v/>
      </c>
      <c r="M1017" s="48" t="str">
        <f aca="false">IF('RAW CBH'!I190="","",'RAW CBH'!I190)</f>
        <v/>
      </c>
    </row>
    <row r="1018" customFormat="false" ht="15" hidden="false" customHeight="false" outlineLevel="0" collapsed="false">
      <c r="A1018" s="1" t="s">
        <v>2162</v>
      </c>
      <c r="B1018" s="1" t="s">
        <v>156</v>
      </c>
      <c r="C1018" s="1" t="s">
        <v>1149</v>
      </c>
      <c r="D1018" s="1" t="n">
        <v>191</v>
      </c>
      <c r="E1018" s="48" t="str">
        <f aca="false">IF('RAW CBH'!A191="","",'RAW CBH'!A191)</f>
        <v>Blood Pressure Screening</v>
      </c>
      <c r="F1018" s="48" t="str">
        <f aca="false">IF('RAW CBH'!B191="","",'RAW CBH'!B191)</f>
        <v>Screenings</v>
      </c>
      <c r="G1018" s="49" t="str">
        <f aca="false">IF('RAW CBH'!D191="","",'RAW CBH'!D191)</f>
        <v>2026-03-13</v>
      </c>
      <c r="H1018" s="48" t="str">
        <f aca="false">IF('RAW CBH'!C191="","",'RAW CBH'!C191)</f>
        <v>R.N.</v>
      </c>
      <c r="I1018" s="48" t="n">
        <f aca="false">IF('RAW CBH'!E191="","",'RAW CBH'!E191)</f>
        <v>3.25</v>
      </c>
      <c r="J1018" s="48" t="n">
        <f aca="false">IF('RAW CBH'!F191="","",'RAW CBH'!F191)</f>
        <v>27</v>
      </c>
      <c r="K1018" s="50" t="n">
        <f aca="false">IF('RAW CBH'!G191="","",'RAW CBH'!G191)</f>
        <v>75</v>
      </c>
      <c r="L1018" s="50" t="str">
        <f aca="false">IF('RAW CBH'!H191="","",'RAW CBH'!H191)</f>
        <v/>
      </c>
      <c r="M1018" s="48" t="str">
        <f aca="false">IF('RAW CBH'!I191="","",'RAW CBH'!I191)</f>
        <v/>
      </c>
    </row>
    <row r="1019" customFormat="false" ht="15" hidden="false" customHeight="false" outlineLevel="0" collapsed="false">
      <c r="A1019" s="1" t="s">
        <v>2163</v>
      </c>
      <c r="B1019" s="1" t="s">
        <v>156</v>
      </c>
      <c r="C1019" s="1" t="s">
        <v>1149</v>
      </c>
      <c r="D1019" s="1" t="n">
        <v>192</v>
      </c>
      <c r="E1019" s="48" t="str">
        <f aca="false">IF('RAW CBH'!A192="","",'RAW CBH'!A192)</f>
        <v>Prenatal &amp; Newborn Classes</v>
      </c>
      <c r="F1019" s="48" t="str">
        <f aca="false">IF('RAW CBH'!B192="","",'RAW CBH'!B192)</f>
        <v>Health Education</v>
      </c>
      <c r="G1019" s="49" t="str">
        <f aca="false">IF('RAW CBH'!D192="","",'RAW CBH'!D192)</f>
        <v>2026-03-13</v>
      </c>
      <c r="H1019" s="48" t="str">
        <f aca="false">IF('RAW CBH'!C192="","",'RAW CBH'!C192)</f>
        <v>Clin Educator</v>
      </c>
      <c r="I1019" s="48" t="str">
        <f aca="false">IF('RAW CBH'!E192="","",'RAW CBH'!E192)</f>
        <v/>
      </c>
      <c r="J1019" s="48" t="n">
        <f aca="false">IF('RAW CBH'!F192="","",'RAW CBH'!F192)</f>
        <v>22</v>
      </c>
      <c r="K1019" s="50" t="n">
        <f aca="false">IF('RAW CBH'!G192="","",'RAW CBH'!G192)</f>
        <v>135</v>
      </c>
      <c r="L1019" s="50" t="n">
        <f aca="false">IF('RAW CBH'!H192="","",'RAW CBH'!H192)</f>
        <v>440</v>
      </c>
      <c r="M1019" s="48" t="str">
        <f aca="false">IF('RAW CBH'!I192="","",'RAW CBH'!I192)</f>
        <v/>
      </c>
    </row>
    <row r="1020" customFormat="false" ht="15" hidden="false" customHeight="false" outlineLevel="0" collapsed="false">
      <c r="A1020" s="1" t="s">
        <v>2164</v>
      </c>
      <c r="B1020" s="1" t="s">
        <v>156</v>
      </c>
      <c r="C1020" s="1" t="s">
        <v>1149</v>
      </c>
      <c r="D1020" s="1" t="n">
        <v>193</v>
      </c>
      <c r="E1020" s="48" t="str">
        <f aca="false">IF('RAW CBH'!A193="","",'RAW CBH'!A193)</f>
        <v>Bereavement Group</v>
      </c>
      <c r="F1020" s="48" t="str">
        <f aca="false">IF('RAW CBH'!B193="","",'RAW CBH'!B193)</f>
        <v>Patient Support</v>
      </c>
      <c r="G1020" s="49" t="str">
        <f aca="false">IF('RAW CBH'!D193="","",'RAW CBH'!D193)</f>
        <v>2026-03-18</v>
      </c>
      <c r="H1020" s="48" t="str">
        <f aca="false">IF('RAW CBH'!C193="","",'RAW CBH'!C193)</f>
        <v>Chaplain Resident</v>
      </c>
      <c r="I1020" s="48" t="n">
        <f aca="false">IF('RAW CBH'!E193="","",'RAW CBH'!E193)</f>
        <v>2.25</v>
      </c>
      <c r="J1020" s="48" t="n">
        <f aca="false">IF('RAW CBH'!F193="","",'RAW CBH'!F193)</f>
        <v>9</v>
      </c>
      <c r="K1020" s="50" t="n">
        <f aca="false">IF('RAW CBH'!G193="","",'RAW CBH'!G193)</f>
        <v>60</v>
      </c>
      <c r="L1020" s="50" t="str">
        <f aca="false">IF('RAW CBH'!H193="","",'RAW CBH'!H193)</f>
        <v/>
      </c>
      <c r="M1020" s="48" t="str">
        <f aca="false">IF('RAW CBH'!I193="","",'RAW CBH'!I193)</f>
        <v/>
      </c>
    </row>
    <row r="1021" customFormat="false" ht="15" hidden="false" customHeight="false" outlineLevel="0" collapsed="false">
      <c r="A1021" s="1" t="s">
        <v>2165</v>
      </c>
      <c r="B1021" s="1" t="s">
        <v>156</v>
      </c>
      <c r="C1021" s="1" t="s">
        <v>1149</v>
      </c>
      <c r="D1021" s="1" t="n">
        <v>194</v>
      </c>
      <c r="E1021" s="48" t="str">
        <f aca="false">IF('RAW CBH'!A194="","",'RAW CBH'!A194)</f>
        <v>Bereavement Group</v>
      </c>
      <c r="F1021" s="48" t="str">
        <f aca="false">IF('RAW CBH'!B194="","",'RAW CBH'!B194)</f>
        <v>Patient Support</v>
      </c>
      <c r="G1021" s="49" t="str">
        <f aca="false">IF('RAW CBH'!D194="","",'RAW CBH'!D194)</f>
        <v>2026-03-18</v>
      </c>
      <c r="H1021" s="48" t="str">
        <f aca="false">IF('RAW CBH'!C194="","",'RAW CBH'!C194)</f>
        <v>Social Work</v>
      </c>
      <c r="I1021" s="48" t="n">
        <f aca="false">IF('RAW CBH'!E194="","",'RAW CBH'!E194)</f>
        <v>1.75</v>
      </c>
      <c r="J1021" s="48" t="str">
        <f aca="false">IF('RAW CBH'!F194="","",'RAW CBH'!F194)</f>
        <v/>
      </c>
      <c r="K1021" s="50" t="str">
        <f aca="false">IF('RAW CBH'!G194="","",'RAW CBH'!G194)</f>
        <v/>
      </c>
      <c r="L1021" s="50" t="str">
        <f aca="false">IF('RAW CBH'!H194="","",'RAW CBH'!H194)</f>
        <v/>
      </c>
      <c r="M1021" s="48" t="str">
        <f aca="false">IF('RAW CBH'!I194="","",'RAW CBH'!I194)</f>
        <v/>
      </c>
    </row>
    <row r="1022" customFormat="false" ht="15" hidden="false" customHeight="false" outlineLevel="0" collapsed="false">
      <c r="A1022" s="1" t="s">
        <v>2166</v>
      </c>
      <c r="B1022" s="1" t="s">
        <v>156</v>
      </c>
      <c r="C1022" s="1" t="s">
        <v>1149</v>
      </c>
      <c r="D1022" s="1" t="n">
        <v>195</v>
      </c>
      <c r="E1022" s="48" t="str">
        <f aca="false">IF('RAW CBH'!A195="","",'RAW CBH'!A195)</f>
        <v>Naloxone Training</v>
      </c>
      <c r="F1022" s="48" t="str">
        <f aca="false">IF('RAW CBH'!B195="","",'RAW CBH'!B195)</f>
        <v>Health Education</v>
      </c>
      <c r="G1022" s="49" t="str">
        <f aca="false">IF('RAW CBH'!D195="","",'RAW CBH'!D195)</f>
        <v>2026-03-18</v>
      </c>
      <c r="H1022" s="48" t="str">
        <f aca="false">IF('RAW CBH'!C195="","",'RAW CBH'!C195)</f>
        <v>CHES</v>
      </c>
      <c r="I1022" s="48" t="n">
        <f aca="false">IF('RAW CBH'!E195="","",'RAW CBH'!E195)</f>
        <v>2.75</v>
      </c>
      <c r="J1022" s="48" t="str">
        <f aca="false">IF('RAW CBH'!F195="","",'RAW CBH'!F195)</f>
        <v/>
      </c>
      <c r="K1022" s="50" t="str">
        <f aca="false">IF('RAW CBH'!G195="","",'RAW CBH'!G195)</f>
        <v/>
      </c>
      <c r="L1022" s="50" t="str">
        <f aca="false">IF('RAW CBH'!H195="","",'RAW CBH'!H195)</f>
        <v/>
      </c>
      <c r="M1022" s="48" t="str">
        <f aca="false">IF('RAW CBH'!I195="","",'RAW CBH'!I195)</f>
        <v/>
      </c>
    </row>
    <row r="1023" customFormat="false" ht="15" hidden="false" customHeight="false" outlineLevel="0" collapsed="false">
      <c r="A1023" s="1" t="s">
        <v>2167</v>
      </c>
      <c r="B1023" s="1" t="s">
        <v>156</v>
      </c>
      <c r="C1023" s="1" t="s">
        <v>1149</v>
      </c>
      <c r="D1023" s="1" t="n">
        <v>196</v>
      </c>
      <c r="E1023" s="48" t="str">
        <f aca="false">IF('RAW CBH'!A196="","",'RAW CBH'!A196)</f>
        <v>Naloxone Training</v>
      </c>
      <c r="F1023" s="48" t="str">
        <f aca="false">IF('RAW CBH'!B196="","",'RAW CBH'!B196)</f>
        <v>Health Education</v>
      </c>
      <c r="G1023" s="49" t="str">
        <f aca="false">IF('RAW CBH'!D196="","",'RAW CBH'!D196)</f>
        <v>2026-03-18</v>
      </c>
      <c r="H1023" s="48" t="str">
        <f aca="false">IF('RAW CBH'!C196="","",'RAW CBH'!C196)</f>
        <v>Pharmacist</v>
      </c>
      <c r="I1023" s="48" t="n">
        <f aca="false">IF('RAW CBH'!E196="","",'RAW CBH'!E196)</f>
        <v>2.5</v>
      </c>
      <c r="J1023" s="48" t="n">
        <f aca="false">IF('RAW CBH'!F196="","",'RAW CBH'!F196)</f>
        <v>29</v>
      </c>
      <c r="K1023" s="50" t="n">
        <f aca="false">IF('RAW CBH'!G196="","",'RAW CBH'!G196)</f>
        <v>2220</v>
      </c>
      <c r="L1023" s="50" t="n">
        <f aca="false">IF('RAW CBH'!H196="","",'RAW CBH'!H196)</f>
        <v>1635</v>
      </c>
      <c r="M1023" s="48" t="str">
        <f aca="false">IF('RAW CBH'!I196="","",'RAW CBH'!I196)</f>
        <v/>
      </c>
    </row>
    <row r="1024" customFormat="false" ht="15" hidden="false" customHeight="false" outlineLevel="0" collapsed="false">
      <c r="A1024" s="1" t="s">
        <v>2168</v>
      </c>
      <c r="B1024" s="1" t="s">
        <v>156</v>
      </c>
      <c r="C1024" s="1" t="s">
        <v>1149</v>
      </c>
      <c r="D1024" s="1" t="n">
        <v>197</v>
      </c>
      <c r="E1024" s="48" t="str">
        <f aca="false">IF('RAW CBH'!A197="","",'RAW CBH'!A197)</f>
        <v>Free Clinic Grant</v>
      </c>
      <c r="F1024" s="48" t="str">
        <f aca="false">IF('RAW CBH'!B197="","",'RAW CBH'!B197)</f>
        <v>Donation</v>
      </c>
      <c r="G1024" s="49" t="str">
        <f aca="false">IF('RAW CBH'!D197="","",'RAW CBH'!D197)</f>
        <v>2026-03-29</v>
      </c>
      <c r="H1024" s="48" t="str">
        <f aca="false">IF('RAW CBH'!C197="","",'RAW CBH'!C197)</f>
        <v>none</v>
      </c>
      <c r="I1024" s="48" t="n">
        <f aca="false">IF('RAW CBH'!E197="","",'RAW CBH'!E197)</f>
        <v>0</v>
      </c>
      <c r="J1024" s="48" t="str">
        <f aca="false">IF('RAW CBH'!F197="","",'RAW CBH'!F197)</f>
        <v/>
      </c>
      <c r="K1024" s="50" t="n">
        <f aca="false">IF('RAW CBH'!G197="","",'RAW CBH'!G197)</f>
        <v>43475</v>
      </c>
      <c r="L1024" s="50" t="str">
        <f aca="false">IF('RAW CBH'!H197="","",'RAW CBH'!H197)</f>
        <v/>
      </c>
      <c r="M1024" s="48" t="str">
        <f aca="false">IF('RAW CBH'!I197="","",'RAW CBH'!I197)</f>
        <v/>
      </c>
    </row>
    <row r="1025" customFormat="false" ht="15" hidden="false" customHeight="false" outlineLevel="0" collapsed="false">
      <c r="A1025" s="1" t="s">
        <v>2169</v>
      </c>
      <c r="B1025" s="1" t="s">
        <v>156</v>
      </c>
      <c r="C1025" s="1" t="s">
        <v>1149</v>
      </c>
      <c r="D1025" s="1" t="n">
        <v>198</v>
      </c>
      <c r="E1025" s="48" t="str">
        <f aca="false">IF('RAW CBH'!A198="","",'RAW CBH'!A198)</f>
        <v>Community Garden</v>
      </c>
      <c r="F1025" s="48" t="str">
        <f aca="false">IF('RAW CBH'!B198="","",'RAW CBH'!B198)</f>
        <v>Environmental</v>
      </c>
      <c r="G1025" s="49" t="str">
        <f aca="false">IF('RAW CBH'!D198="","",'RAW CBH'!D198)</f>
        <v>2026-03-30</v>
      </c>
      <c r="H1025" s="48" t="str">
        <f aca="false">IF('RAW CBH'!C198="","",'RAW CBH'!C198)</f>
        <v>Coordinator</v>
      </c>
      <c r="I1025" s="48" t="n">
        <f aca="false">IF('RAW CBH'!E198="","",'RAW CBH'!E198)</f>
        <v>7</v>
      </c>
      <c r="J1025" s="48" t="n">
        <f aca="false">IF('RAW CBH'!F198="","",'RAW CBH'!F198)</f>
        <v>52</v>
      </c>
      <c r="K1025" s="50" t="n">
        <f aca="false">IF('RAW CBH'!G198="","",'RAW CBH'!G198)</f>
        <v>4040</v>
      </c>
      <c r="L1025" s="50" t="str">
        <f aca="false">IF('RAW CBH'!H198="","",'RAW CBH'!H198)</f>
        <v/>
      </c>
      <c r="M1025" s="48" t="str">
        <f aca="false">IF('RAW CBH'!I198="","",'RAW CBH'!I198)</f>
        <v/>
      </c>
    </row>
    <row r="1026" customFormat="false" ht="15" hidden="false" customHeight="false" outlineLevel="0" collapsed="false">
      <c r="A1026" s="1" t="s">
        <v>2170</v>
      </c>
      <c r="B1026" s="1" t="s">
        <v>156</v>
      </c>
      <c r="C1026" s="1" t="s">
        <v>1149</v>
      </c>
      <c r="D1026" s="1" t="n">
        <v>199</v>
      </c>
      <c r="E1026" s="48" t="str">
        <f aca="false">IF('RAW CBH'!A199="","",'RAW CBH'!A199)</f>
        <v>Mental Health First Aid</v>
      </c>
      <c r="F1026" s="48" t="str">
        <f aca="false">IF('RAW CBH'!B199="","",'RAW CBH'!B199)</f>
        <v>Health Education</v>
      </c>
      <c r="G1026" s="49" t="str">
        <f aca="false">IF('RAW CBH'!D199="","",'RAW CBH'!D199)</f>
        <v>2026-03-31</v>
      </c>
      <c r="H1026" s="48" t="str">
        <f aca="false">IF('RAW CBH'!C199="","",'RAW CBH'!C199)</f>
        <v> Health Ed</v>
      </c>
      <c r="I1026" s="48" t="n">
        <f aca="false">IF('RAW CBH'!E199="","",'RAW CBH'!E199)</f>
        <v>8</v>
      </c>
      <c r="J1026" s="48" t="str">
        <f aca="false">IF('RAW CBH'!F199="","",'RAW CBH'!F199)</f>
        <v/>
      </c>
      <c r="K1026" s="50" t="str">
        <f aca="false">IF('RAW CBH'!G199="","",'RAW CBH'!G199)</f>
        <v/>
      </c>
      <c r="L1026" s="50" t="str">
        <f aca="false">IF('RAW CBH'!H199="","",'RAW CBH'!H199)</f>
        <v/>
      </c>
      <c r="M1026" s="48" t="str">
        <f aca="false">IF('RAW CBH'!I199="","",'RAW CBH'!I199)</f>
        <v/>
      </c>
    </row>
    <row r="1027" customFormat="false" ht="15" hidden="false" customHeight="false" outlineLevel="0" collapsed="false">
      <c r="A1027" s="1" t="s">
        <v>2171</v>
      </c>
      <c r="B1027" s="1" t="s">
        <v>156</v>
      </c>
      <c r="C1027" s="1" t="s">
        <v>1149</v>
      </c>
      <c r="D1027" s="1" t="n">
        <v>200</v>
      </c>
      <c r="E1027" s="48" t="str">
        <f aca="false">IF('RAW CBH'!A200="","",'RAW CBH'!A200)</f>
        <v>Mental Health First Aid</v>
      </c>
      <c r="F1027" s="48" t="str">
        <f aca="false">IF('RAW CBH'!B200="","",'RAW CBH'!B200)</f>
        <v>Health Education</v>
      </c>
      <c r="G1027" s="49" t="str">
        <f aca="false">IF('RAW CBH'!D200="","",'RAW CBH'!D200)</f>
        <v>2026-03-31</v>
      </c>
      <c r="H1027" s="48" t="str">
        <f aca="false">IF('RAW CBH'!C200="","",'RAW CBH'!C200)</f>
        <v>Clinical Social Worker</v>
      </c>
      <c r="I1027" s="48" t="n">
        <f aca="false">IF('RAW CBH'!E200="","",'RAW CBH'!E200)</f>
        <v>8</v>
      </c>
      <c r="J1027" s="48" t="n">
        <f aca="false">IF('RAW CBH'!F200="","",'RAW CBH'!F200)</f>
        <v>29</v>
      </c>
      <c r="K1027" s="50" t="n">
        <f aca="false">IF('RAW CBH'!G200="","",'RAW CBH'!G200)</f>
        <v>590</v>
      </c>
      <c r="L1027" s="50" t="str">
        <f aca="false">IF('RAW CBH'!H200="","",'RAW CBH'!H200)</f>
        <v/>
      </c>
      <c r="M1027" s="48" t="str">
        <f aca="false">IF('RAW CBH'!I200="","",'RAW CBH'!I200)</f>
        <v/>
      </c>
    </row>
    <row r="1028" customFormat="false" ht="15" hidden="false" customHeight="false" outlineLevel="0" collapsed="false">
      <c r="A1028" s="1" t="s">
        <v>2172</v>
      </c>
      <c r="B1028" s="1" t="s">
        <v>156</v>
      </c>
      <c r="C1028" s="1" t="s">
        <v>1149</v>
      </c>
      <c r="D1028" s="1" t="n">
        <v>201</v>
      </c>
      <c r="E1028" s="48" t="str">
        <f aca="false">IF('RAW CBH'!A201="","",'RAW CBH'!A201)</f>
        <v>Free Clinic Staffing</v>
      </c>
      <c r="F1028" s="48" t="str">
        <f aca="false">IF('RAW CBH'!B201="","",'RAW CBH'!B201)</f>
        <v>Screenings</v>
      </c>
      <c r="G1028" s="49" t="str">
        <f aca="false">IF('RAW CBH'!D201="","",'RAW CBH'!D201)</f>
        <v>2026-03-31</v>
      </c>
      <c r="H1028" s="48" t="str">
        <f aca="false">IF('RAW CBH'!C201="","",'RAW CBH'!C201)</f>
        <v>FNP</v>
      </c>
      <c r="I1028" s="48" t="n">
        <f aca="false">IF('RAW CBH'!E201="","",'RAW CBH'!E201)</f>
        <v>40.25</v>
      </c>
      <c r="J1028" s="48" t="n">
        <f aca="false">IF('RAW CBH'!F201="","",'RAW CBH'!F201)</f>
        <v>231</v>
      </c>
      <c r="K1028" s="50" t="n">
        <f aca="false">IF('RAW CBH'!G201="","",'RAW CBH'!G201)</f>
        <v>3775</v>
      </c>
      <c r="L1028" s="50" t="str">
        <f aca="false">IF('RAW CBH'!H201="","",'RAW CBH'!H201)</f>
        <v/>
      </c>
      <c r="M1028" s="48" t="str">
        <f aca="false">IF('RAW CBH'!I201="","",'RAW CBH'!I201)</f>
        <v/>
      </c>
    </row>
    <row r="1029" customFormat="false" ht="15" hidden="false" customHeight="false" outlineLevel="0" collapsed="false">
      <c r="A1029" s="1" t="s">
        <v>2173</v>
      </c>
      <c r="B1029" s="1" t="s">
        <v>156</v>
      </c>
      <c r="C1029" s="1" t="s">
        <v>1149</v>
      </c>
      <c r="D1029" s="1" t="n">
        <v>202</v>
      </c>
      <c r="E1029" s="48" t="str">
        <f aca="false">IF('RAW CBH'!A202="","",'RAW CBH'!A202)</f>
        <v>Free Clinic Staffing</v>
      </c>
      <c r="F1029" s="48" t="str">
        <f aca="false">IF('RAW CBH'!B202="","",'RAW CBH'!B202)</f>
        <v>Screenings</v>
      </c>
      <c r="G1029" s="49" t="str">
        <f aca="false">IF('RAW CBH'!D202="","",'RAW CBH'!D202)</f>
        <v>2026-03-31</v>
      </c>
      <c r="H1029" s="48" t="str">
        <f aca="false">IF('RAW CBH'!C202="","",'RAW CBH'!C202)</f>
        <v>RPh</v>
      </c>
      <c r="I1029" s="48" t="n">
        <f aca="false">IF('RAW CBH'!E202="","",'RAW CBH'!E202)</f>
        <v>12</v>
      </c>
      <c r="J1029" s="48" t="str">
        <f aca="false">IF('RAW CBH'!F202="","",'RAW CBH'!F202)</f>
        <v/>
      </c>
      <c r="K1029" s="50" t="str">
        <f aca="false">IF('RAW CBH'!G202="","",'RAW CBH'!G202)</f>
        <v/>
      </c>
      <c r="L1029" s="50" t="str">
        <f aca="false">IF('RAW CBH'!H202="","",'RAW CBH'!H202)</f>
        <v/>
      </c>
      <c r="M1029" s="48" t="str">
        <f aca="false">IF('RAW CBH'!I202="","",'RAW CBH'!I202)</f>
        <v/>
      </c>
    </row>
    <row r="1030" customFormat="false" ht="15" hidden="false" customHeight="false" outlineLevel="0" collapsed="false">
      <c r="A1030" s="1" t="s">
        <v>2174</v>
      </c>
      <c r="B1030" s="1" t="s">
        <v>156</v>
      </c>
      <c r="C1030" s="1" t="s">
        <v>1149</v>
      </c>
      <c r="D1030" s="1" t="n">
        <v>203</v>
      </c>
      <c r="E1030" s="48" t="str">
        <f aca="false">IF('RAW CBH'!A203="","",'RAW CBH'!A203)</f>
        <v>Free Clinic Staffing</v>
      </c>
      <c r="F1030" s="48" t="str">
        <f aca="false">IF('RAW CBH'!B203="","",'RAW CBH'!B203)</f>
        <v>Screenings</v>
      </c>
      <c r="G1030" s="49" t="str">
        <f aca="false">IF('RAW CBH'!D203="","",'RAW CBH'!D203)</f>
        <v>2026-03-31</v>
      </c>
      <c r="H1030" s="48" t="str">
        <f aca="false">IF('RAW CBH'!C203="","",'RAW CBH'!C203)</f>
        <v>Charge RN</v>
      </c>
      <c r="I1030" s="48" t="n">
        <f aca="false">IF('RAW CBH'!E203="","",'RAW CBH'!E203)</f>
        <v>38.75</v>
      </c>
      <c r="J1030" s="48" t="str">
        <f aca="false">IF('RAW CBH'!F203="","",'RAW CBH'!F203)</f>
        <v/>
      </c>
      <c r="K1030" s="50" t="str">
        <f aca="false">IF('RAW CBH'!G203="","",'RAW CBH'!G203)</f>
        <v/>
      </c>
      <c r="L1030" s="50" t="str">
        <f aca="false">IF('RAW CBH'!H203="","",'RAW CBH'!H203)</f>
        <v/>
      </c>
      <c r="M1030" s="48" t="str">
        <f aca="false">IF('RAW CBH'!I203="","",'RAW CBH'!I203)</f>
        <v/>
      </c>
    </row>
    <row r="1031" customFormat="false" ht="15" hidden="false" customHeight="false" outlineLevel="0" collapsed="false">
      <c r="A1031" s="1" t="s">
        <v>2175</v>
      </c>
      <c r="B1031" s="1" t="s">
        <v>156</v>
      </c>
      <c r="C1031" s="1" t="s">
        <v>1149</v>
      </c>
      <c r="D1031" s="1" t="n">
        <v>204</v>
      </c>
      <c r="E1031" s="48" t="str">
        <f aca="false">IF('RAW CBH'!A204="","",'RAW CBH'!A204)</f>
        <v>Med Assistance</v>
      </c>
      <c r="F1031" s="48" t="str">
        <f aca="false">IF('RAW CBH'!B204="","",'RAW CBH'!B204)</f>
        <v>Patient Support</v>
      </c>
      <c r="G1031" s="49" t="str">
        <f aca="false">IF('RAW CBH'!D204="","",'RAW CBH'!D204)</f>
        <v>2026-03-31</v>
      </c>
      <c r="H1031" s="48" t="str">
        <f aca="false">IF('RAW CBH'!C204="","",'RAW CBH'!C204)</f>
        <v>Navigator</v>
      </c>
      <c r="I1031" s="48" t="n">
        <f aca="false">IF('RAW CBH'!E204="","",'RAW CBH'!E204)</f>
        <v>81.25</v>
      </c>
      <c r="J1031" s="48" t="str">
        <f aca="false">IF('RAW CBH'!F204="","",'RAW CBH'!F204)</f>
        <v/>
      </c>
      <c r="K1031" s="50" t="str">
        <f aca="false">IF('RAW CBH'!G204="","",'RAW CBH'!G204)</f>
        <v/>
      </c>
      <c r="L1031" s="50" t="str">
        <f aca="false">IF('RAW CBH'!H204="","",'RAW CBH'!H204)</f>
        <v/>
      </c>
      <c r="M1031" s="48" t="str">
        <f aca="false">IF('RAW CBH'!I204="","",'RAW CBH'!I204)</f>
        <v/>
      </c>
    </row>
    <row r="1032" customFormat="false" ht="15" hidden="false" customHeight="false" outlineLevel="0" collapsed="false">
      <c r="A1032" s="1" t="s">
        <v>2176</v>
      </c>
      <c r="B1032" s="1" t="s">
        <v>156</v>
      </c>
      <c r="C1032" s="1" t="s">
        <v>1149</v>
      </c>
      <c r="D1032" s="1" t="n">
        <v>205</v>
      </c>
      <c r="E1032" s="48" t="str">
        <f aca="false">IF('RAW CBH'!A205="","",'RAW CBH'!A205)</f>
        <v>Med Assistance</v>
      </c>
      <c r="F1032" s="48" t="str">
        <f aca="false">IF('RAW CBH'!B205="","",'RAW CBH'!B205)</f>
        <v>Patient Support</v>
      </c>
      <c r="G1032" s="49" t="str">
        <f aca="false">IF('RAW CBH'!D205="","",'RAW CBH'!D205)</f>
        <v>2026-03-31</v>
      </c>
      <c r="H1032" s="48" t="str">
        <f aca="false">IF('RAW CBH'!C205="","",'RAW CBH'!C205)</f>
        <v>RPh</v>
      </c>
      <c r="I1032" s="48" t="n">
        <f aca="false">IF('RAW CBH'!E205="","",'RAW CBH'!E205)</f>
        <v>19</v>
      </c>
      <c r="J1032" s="48" t="n">
        <f aca="false">IF('RAW CBH'!F205="","",'RAW CBH'!F205)</f>
        <v>93</v>
      </c>
      <c r="K1032" s="50" t="n">
        <f aca="false">IF('RAW CBH'!G205="","",'RAW CBH'!G205)</f>
        <v>15265</v>
      </c>
      <c r="L1032" s="50" t="str">
        <f aca="false">IF('RAW CBH'!H205="","",'RAW CBH'!H205)</f>
        <v/>
      </c>
      <c r="M1032" s="48" t="str">
        <f aca="false">IF('RAW CBH'!I205="","",'RAW CBH'!I205)</f>
        <v/>
      </c>
    </row>
    <row r="1033" customFormat="false" ht="15" hidden="false" customHeight="false" outlineLevel="0" collapsed="false">
      <c r="A1033" s="1" t="s">
        <v>2177</v>
      </c>
      <c r="B1033" s="1" t="s">
        <v>156</v>
      </c>
      <c r="C1033" s="1" t="s">
        <v>1149</v>
      </c>
      <c r="D1033" s="1" t="n">
        <v>206</v>
      </c>
      <c r="E1033" s="48" t="str">
        <f aca="false">IF('RAW CBH'!A206="","",'RAW CBH'!A206)</f>
        <v>Community Benefit Admin</v>
      </c>
      <c r="F1033" s="48" t="str">
        <f aca="false">IF('RAW CBH'!B206="","",'RAW CBH'!B206)</f>
        <v>Ops</v>
      </c>
      <c r="G1033" s="49" t="str">
        <f aca="false">IF('RAW CBH'!D206="","",'RAW CBH'!D206)</f>
        <v>2026-03-31</v>
      </c>
      <c r="H1033" s="48" t="str">
        <f aca="false">IF('RAW CBH'!C206="","",'RAW CBH'!C206)</f>
        <v> ADMINISTRATIVE ASSISTANT</v>
      </c>
      <c r="I1033" s="48" t="n">
        <f aca="false">IF('RAW CBH'!E206="","",'RAW CBH'!E206)</f>
        <v>44.25</v>
      </c>
      <c r="J1033" s="48" t="str">
        <f aca="false">IF('RAW CBH'!F206="","",'RAW CBH'!F206)</f>
        <v/>
      </c>
      <c r="K1033" s="50" t="str">
        <f aca="false">IF('RAW CBH'!G206="","",'RAW CBH'!G206)</f>
        <v/>
      </c>
      <c r="L1033" s="50" t="str">
        <f aca="false">IF('RAW CBH'!H206="","",'RAW CBH'!H206)</f>
        <v/>
      </c>
      <c r="M1033" s="48" t="str">
        <f aca="false">IF('RAW CBH'!I206="","",'RAW CBH'!I206)</f>
        <v/>
      </c>
    </row>
    <row r="1034" customFormat="false" ht="15" hidden="false" customHeight="false" outlineLevel="0" collapsed="false">
      <c r="A1034" s="1" t="s">
        <v>2178</v>
      </c>
      <c r="B1034" s="1" t="s">
        <v>156</v>
      </c>
      <c r="C1034" s="1" t="s">
        <v>1149</v>
      </c>
      <c r="D1034" s="1" t="n">
        <v>207</v>
      </c>
      <c r="E1034" s="48" t="str">
        <f aca="false">IF('RAW CBH'!A207="","",'RAW CBH'!A207)</f>
        <v>Community Benefit Admin</v>
      </c>
      <c r="F1034" s="48" t="str">
        <f aca="false">IF('RAW CBH'!B207="","",'RAW CBH'!B207)</f>
        <v>Ops</v>
      </c>
      <c r="G1034" s="49" t="str">
        <f aca="false">IF('RAW CBH'!D207="","",'RAW CBH'!D207)</f>
        <v>2026-03-31</v>
      </c>
      <c r="H1034" s="48" t="str">
        <f aca="false">IF('RAW CBH'!C207="","",'RAW CBH'!C207)</f>
        <v>Community Health Manager</v>
      </c>
      <c r="I1034" s="48" t="n">
        <f aca="false">IF('RAW CBH'!E207="","",'RAW CBH'!E207)</f>
        <v>53.5</v>
      </c>
      <c r="J1034" s="48" t="str">
        <f aca="false">IF('RAW CBH'!F207="","",'RAW CBH'!F207)</f>
        <v/>
      </c>
      <c r="K1034" s="50" t="n">
        <f aca="false">IF('RAW CBH'!G207="","",'RAW CBH'!G207)</f>
        <v>785</v>
      </c>
      <c r="L1034" s="50" t="str">
        <f aca="false">IF('RAW CBH'!H207="","",'RAW CBH'!H207)</f>
        <v/>
      </c>
      <c r="M1034" s="48" t="str">
        <f aca="false">IF('RAW CBH'!I207="","",'RAW CBH'!I207)</f>
        <v/>
      </c>
    </row>
    <row r="1035" customFormat="false" ht="15" hidden="false" customHeight="false" outlineLevel="0" collapsed="false">
      <c r="A1035" s="1" t="s">
        <v>2179</v>
      </c>
      <c r="B1035" s="1" t="s">
        <v>156</v>
      </c>
      <c r="C1035" s="1" t="s">
        <v>1149</v>
      </c>
      <c r="D1035" s="1" t="n">
        <v>208</v>
      </c>
      <c r="E1035" s="48" t="str">
        <f aca="false">IF('RAW CBH'!A208="","",'RAW CBH'!A208)</f>
        <v>Interpreter Services</v>
      </c>
      <c r="F1035" s="48" t="str">
        <f aca="false">IF('RAW CBH'!B208="","",'RAW CBH'!B208)</f>
        <v>Patient Support</v>
      </c>
      <c r="G1035" s="49" t="str">
        <f aca="false">IF('RAW CBH'!D208="","",'RAW CBH'!D208)</f>
        <v>2026-03-31</v>
      </c>
      <c r="H1035" s="48" t="str">
        <f aca="false">IF('RAW CBH'!C208="","",'RAW CBH'!C208)</f>
        <v>Spanish Interpreter</v>
      </c>
      <c r="I1035" s="48" t="n">
        <f aca="false">IF('RAW CBH'!E208="","",'RAW CBH'!E208)</f>
        <v>55.75</v>
      </c>
      <c r="J1035" s="48" t="n">
        <f aca="false">IF('RAW CBH'!F208="","",'RAW CBH'!F208)</f>
        <v>90</v>
      </c>
      <c r="K1035" s="50" t="str">
        <f aca="false">IF('RAW CBH'!G208="","",'RAW CBH'!G208)</f>
        <v/>
      </c>
      <c r="L1035" s="50" t="str">
        <f aca="false">IF('RAW CBH'!H208="","",'RAW CBH'!H208)</f>
        <v/>
      </c>
      <c r="M1035" s="48" t="str">
        <f aca="false">IF('RAW CBH'!I208="","",'RAW CBH'!I208)</f>
        <v/>
      </c>
    </row>
    <row r="1036" customFormat="false" ht="15" hidden="false" customHeight="false" outlineLevel="0" collapsed="false">
      <c r="A1036" s="1" t="s">
        <v>2180</v>
      </c>
      <c r="B1036" s="1" t="s">
        <v>156</v>
      </c>
      <c r="C1036" s="1" t="s">
        <v>1149</v>
      </c>
      <c r="D1036" s="1" t="n">
        <v>209</v>
      </c>
      <c r="E1036" s="48" t="str">
        <f aca="false">IF('RAW CBH'!A209="","",'RAW CBH'!A209)</f>
        <v>Nursing Student Rotations</v>
      </c>
      <c r="F1036" s="48" t="str">
        <f aca="false">IF('RAW CBH'!B209="","",'RAW CBH'!B209)</f>
        <v>Education - Health Professions</v>
      </c>
      <c r="G1036" s="49" t="str">
        <f aca="false">IF('RAW CBH'!D209="","",'RAW CBH'!D209)</f>
        <v>2026-03-31</v>
      </c>
      <c r="H1036" s="48" t="str">
        <f aca="false">IF('RAW CBH'!C209="","",'RAW CBH'!C209)</f>
        <v>Educator, Nursing</v>
      </c>
      <c r="I1036" s="48" t="str">
        <f aca="false">IF('RAW CBH'!E209="","",'RAW CBH'!E209)</f>
        <v/>
      </c>
      <c r="J1036" s="48" t="n">
        <f aca="false">IF('RAW CBH'!F209="","",'RAW CBH'!F209)</f>
        <v>29</v>
      </c>
      <c r="K1036" s="50" t="n">
        <f aca="false">IF('RAW CBH'!G209="","",'RAW CBH'!G209)</f>
        <v>1085</v>
      </c>
      <c r="L1036" s="50" t="str">
        <f aca="false">IF('RAW CBH'!H209="","",'RAW CBH'!H209)</f>
        <v/>
      </c>
      <c r="M1036" s="48" t="str">
        <f aca="false">IF('RAW CBH'!I209="","",'RAW CBH'!I209)</f>
        <v/>
      </c>
    </row>
    <row r="1037" customFormat="false" ht="15" hidden="false" customHeight="false" outlineLevel="0" collapsed="false">
      <c r="A1037" s="1" t="s">
        <v>2181</v>
      </c>
      <c r="B1037" s="1" t="s">
        <v>156</v>
      </c>
      <c r="C1037" s="1" t="s">
        <v>1149</v>
      </c>
      <c r="D1037" s="1" t="n">
        <v>210</v>
      </c>
      <c r="E1037" s="48" t="str">
        <f aca="false">IF('RAW CBH'!A210="","",'RAW CBH'!A210)</f>
        <v>Nursing Student Rotations</v>
      </c>
      <c r="F1037" s="48" t="str">
        <f aca="false">IF('RAW CBH'!B210="","",'RAW CBH'!B210)</f>
        <v>Education - Health Professions</v>
      </c>
      <c r="G1037" s="49" t="str">
        <f aca="false">IF('RAW CBH'!D210="","",'RAW CBH'!D210)</f>
        <v>2026-03-31</v>
      </c>
      <c r="H1037" s="48" t="str">
        <f aca="false">IF('RAW CBH'!C210="","",'RAW CBH'!C210)</f>
        <v>RN</v>
      </c>
      <c r="I1037" s="48" t="n">
        <f aca="false">IF('RAW CBH'!E210="","",'RAW CBH'!E210)</f>
        <v>217.75</v>
      </c>
      <c r="J1037" s="48" t="str">
        <f aca="false">IF('RAW CBH'!F210="","",'RAW CBH'!F210)</f>
        <v/>
      </c>
      <c r="K1037" s="50" t="str">
        <f aca="false">IF('RAW CBH'!G210="","",'RAW CBH'!G210)</f>
        <v/>
      </c>
      <c r="L1037" s="50" t="str">
        <f aca="false">IF('RAW CBH'!H210="","",'RAW CBH'!H210)</f>
        <v/>
      </c>
      <c r="M1037" s="48" t="str">
        <f aca="false">IF('RAW CBH'!I210="","",'RAW CBH'!I210)</f>
        <v/>
      </c>
    </row>
    <row r="1038" customFormat="false" ht="15" hidden="false" customHeight="false" outlineLevel="0" collapsed="false">
      <c r="A1038" s="1" t="s">
        <v>2182</v>
      </c>
      <c r="B1038" s="1" t="s">
        <v>156</v>
      </c>
      <c r="C1038" s="1" t="s">
        <v>1149</v>
      </c>
      <c r="D1038" s="1" t="n">
        <v>211</v>
      </c>
      <c r="E1038" s="48" t="str">
        <f aca="false">IF('RAW CBH'!A211="","",'RAW CBH'!A211)</f>
        <v>Pharmacy Students</v>
      </c>
      <c r="F1038" s="48" t="str">
        <f aca="false">IF('RAW CBH'!B211="","",'RAW CBH'!B211)</f>
        <v>Education - Health Professions</v>
      </c>
      <c r="G1038" s="49" t="str">
        <f aca="false">IF('RAW CBH'!D211="","",'RAW CBH'!D211)</f>
        <v>2026-03-31</v>
      </c>
      <c r="H1038" s="48" t="str">
        <f aca="false">IF('RAW CBH'!C211="","",'RAW CBH'!C211)</f>
        <v>RPh</v>
      </c>
      <c r="I1038" s="48" t="n">
        <f aca="false">IF('RAW CBH'!E211="","",'RAW CBH'!E211)</f>
        <v>62.25</v>
      </c>
      <c r="J1038" s="48" t="n">
        <f aca="false">IF('RAW CBH'!F211="","",'RAW CBH'!F211)</f>
        <v>5</v>
      </c>
      <c r="K1038" s="50" t="n">
        <f aca="false">IF('RAW CBH'!G211="","",'RAW CBH'!G211)</f>
        <v>130</v>
      </c>
      <c r="L1038" s="50" t="str">
        <f aca="false">IF('RAW CBH'!H211="","",'RAW CBH'!H211)</f>
        <v/>
      </c>
      <c r="M1038" s="48" t="str">
        <f aca="false">IF('RAW CBH'!I211="","",'RAW CBH'!I211)</f>
        <v/>
      </c>
    </row>
    <row r="1039" customFormat="false" ht="15" hidden="false" customHeight="false" outlineLevel="0" collapsed="false">
      <c r="A1039" s="1" t="s">
        <v>2183</v>
      </c>
      <c r="B1039" s="1" t="s">
        <v>156</v>
      </c>
      <c r="C1039" s="1" t="s">
        <v>1149</v>
      </c>
      <c r="D1039" s="1" t="n">
        <v>212</v>
      </c>
      <c r="E1039" s="48" t="str">
        <f aca="false">IF('RAW CBH'!A212="","",'RAW CBH'!A212)</f>
        <v>Blood Pressure Screening</v>
      </c>
      <c r="F1039" s="48" t="str">
        <f aca="false">IF('RAW CBH'!B212="","",'RAW CBH'!B212)</f>
        <v>Screenings</v>
      </c>
      <c r="G1039" s="49" t="str">
        <f aca="false">IF('RAW CBH'!D212="","",'RAW CBH'!D212)</f>
        <v>2026-04-01</v>
      </c>
      <c r="H1039" s="48" t="str">
        <f aca="false">IF('RAW CBH'!C212="","",'RAW CBH'!C212)</f>
        <v>R.N.</v>
      </c>
      <c r="I1039" s="48" t="n">
        <f aca="false">IF('RAW CBH'!E212="","",'RAW CBH'!E212)</f>
        <v>4.25</v>
      </c>
      <c r="J1039" s="48" t="n">
        <f aca="false">IF('RAW CBH'!F212="","",'RAW CBH'!F212)</f>
        <v>29</v>
      </c>
      <c r="K1039" s="50" t="n">
        <f aca="false">IF('RAW CBH'!G212="","",'RAW CBH'!G212)</f>
        <v>40</v>
      </c>
      <c r="L1039" s="50" t="str">
        <f aca="false">IF('RAW CBH'!H212="","",'RAW CBH'!H212)</f>
        <v/>
      </c>
      <c r="M1039" s="48" t="str">
        <f aca="false">IF('RAW CBH'!I212="","",'RAW CBH'!I212)</f>
        <v/>
      </c>
    </row>
    <row r="1040" customFormat="false" ht="15" hidden="false" customHeight="false" outlineLevel="0" collapsed="false">
      <c r="A1040" s="1" t="s">
        <v>2184</v>
      </c>
      <c r="B1040" s="1" t="s">
        <v>156</v>
      </c>
      <c r="C1040" s="1" t="s">
        <v>1149</v>
      </c>
      <c r="D1040" s="1" t="n">
        <v>213</v>
      </c>
      <c r="E1040" s="48" t="str">
        <f aca="false">IF('RAW CBH'!A213="","",'RAW CBH'!A213)</f>
        <v>Bereavement Group</v>
      </c>
      <c r="F1040" s="48" t="str">
        <f aca="false">IF('RAW CBH'!B213="","",'RAW CBH'!B213)</f>
        <v>Patient Support</v>
      </c>
      <c r="G1040" s="49" t="str">
        <f aca="false">IF('RAW CBH'!D213="","",'RAW CBH'!D213)</f>
        <v>2026-04-02</v>
      </c>
      <c r="H1040" s="48" t="str">
        <f aca="false">IF('RAW CBH'!C213="","",'RAW CBH'!C213)</f>
        <v>Chaplain</v>
      </c>
      <c r="I1040" s="48" t="n">
        <f aca="false">IF('RAW CBH'!E213="","",'RAW CBH'!E213)</f>
        <v>2.25</v>
      </c>
      <c r="J1040" s="48" t="n">
        <f aca="false">IF('RAW CBH'!F213="","",'RAW CBH'!F213)</f>
        <v>7</v>
      </c>
      <c r="K1040" s="50" t="n">
        <f aca="false">IF('RAW CBH'!G213="","",'RAW CBH'!G213)</f>
        <v>50</v>
      </c>
      <c r="L1040" s="50" t="str">
        <f aca="false">IF('RAW CBH'!H213="","",'RAW CBH'!H213)</f>
        <v/>
      </c>
      <c r="M1040" s="48" t="str">
        <f aca="false">IF('RAW CBH'!I213="","",'RAW CBH'!I213)</f>
        <v/>
      </c>
    </row>
    <row r="1041" customFormat="false" ht="15" hidden="false" customHeight="false" outlineLevel="0" collapsed="false">
      <c r="A1041" s="1" t="s">
        <v>2185</v>
      </c>
      <c r="B1041" s="1" t="s">
        <v>156</v>
      </c>
      <c r="C1041" s="1" t="s">
        <v>1149</v>
      </c>
      <c r="D1041" s="1" t="n">
        <v>214</v>
      </c>
      <c r="E1041" s="48" t="str">
        <f aca="false">IF('RAW CBH'!A214="","",'RAW CBH'!A214)</f>
        <v>Bereavement Group</v>
      </c>
      <c r="F1041" s="48" t="str">
        <f aca="false">IF('RAW CBH'!B214="","",'RAW CBH'!B214)</f>
        <v>Patient Support</v>
      </c>
      <c r="G1041" s="49" t="str">
        <f aca="false">IF('RAW CBH'!D214="","",'RAW CBH'!D214)</f>
        <v>2026-04-02</v>
      </c>
      <c r="H1041" s="48" t="str">
        <f aca="false">IF('RAW CBH'!C214="","",'RAW CBH'!C214)</f>
        <v>MSW</v>
      </c>
      <c r="I1041" s="48" t="n">
        <f aca="false">IF('RAW CBH'!E214="","",'RAW CBH'!E214)</f>
        <v>1.5</v>
      </c>
      <c r="J1041" s="48" t="str">
        <f aca="false">IF('RAW CBH'!F214="","",'RAW CBH'!F214)</f>
        <v/>
      </c>
      <c r="K1041" s="50" t="str">
        <f aca="false">IF('RAW CBH'!G214="","",'RAW CBH'!G214)</f>
        <v/>
      </c>
      <c r="L1041" s="50" t="str">
        <f aca="false">IF('RAW CBH'!H214="","",'RAW CBH'!H214)</f>
        <v/>
      </c>
      <c r="M1041" s="48" t="str">
        <f aca="false">IF('RAW CBH'!I214="","",'RAW CBH'!I214)</f>
        <v/>
      </c>
    </row>
    <row r="1042" customFormat="false" ht="15" hidden="false" customHeight="false" outlineLevel="0" collapsed="false">
      <c r="A1042" s="1" t="s">
        <v>2186</v>
      </c>
      <c r="B1042" s="1" t="s">
        <v>156</v>
      </c>
      <c r="C1042" s="1" t="s">
        <v>1149</v>
      </c>
      <c r="D1042" s="1" t="n">
        <v>215</v>
      </c>
      <c r="E1042" s="48" t="str">
        <f aca="false">IF('RAW CBH'!A215="","",'RAW CBH'!A215)</f>
        <v>Bereavement Group</v>
      </c>
      <c r="F1042" s="48" t="str">
        <f aca="false">IF('RAW CBH'!B215="","",'RAW CBH'!B215)</f>
        <v>Patient Support</v>
      </c>
      <c r="G1042" s="49" t="str">
        <f aca="false">IF('RAW CBH'!D215="","",'RAW CBH'!D215)</f>
        <v>2026-04-15</v>
      </c>
      <c r="H1042" s="48" t="str">
        <f aca="false">IF('RAW CBH'!C215="","",'RAW CBH'!C215)</f>
        <v>staff chaplain</v>
      </c>
      <c r="I1042" s="48" t="n">
        <f aca="false">IF('RAW CBH'!E215="","",'RAW CBH'!E215)</f>
        <v>2.5</v>
      </c>
      <c r="J1042" s="48" t="n">
        <f aca="false">IF('RAW CBH'!F215="","",'RAW CBH'!F215)</f>
        <v>15</v>
      </c>
      <c r="K1042" s="50" t="n">
        <f aca="false">IF('RAW CBH'!G215="","",'RAW CBH'!G215)</f>
        <v>30</v>
      </c>
      <c r="L1042" s="50" t="str">
        <f aca="false">IF('RAW CBH'!H215="","",'RAW CBH'!H215)</f>
        <v/>
      </c>
      <c r="M1042" s="48" t="str">
        <f aca="false">IF('RAW CBH'!I215="","",'RAW CBH'!I215)</f>
        <v/>
      </c>
    </row>
    <row r="1043" customFormat="false" ht="15" hidden="false" customHeight="false" outlineLevel="0" collapsed="false">
      <c r="A1043" s="1" t="s">
        <v>2187</v>
      </c>
      <c r="B1043" s="1" t="s">
        <v>156</v>
      </c>
      <c r="C1043" s="1" t="s">
        <v>1149</v>
      </c>
      <c r="D1043" s="1" t="n">
        <v>216</v>
      </c>
      <c r="E1043" s="48" t="str">
        <f aca="false">IF('RAW CBH'!A216="","",'RAW CBH'!A216)</f>
        <v>Bereavement Group</v>
      </c>
      <c r="F1043" s="48" t="str">
        <f aca="false">IF('RAW CBH'!B216="","",'RAW CBH'!B216)</f>
        <v>Patient Support</v>
      </c>
      <c r="G1043" s="49" t="str">
        <f aca="false">IF('RAW CBH'!D216="","",'RAW CBH'!D216)</f>
        <v>2026-04-15</v>
      </c>
      <c r="H1043" s="48" t="str">
        <f aca="false">IF('RAW CBH'!C216="","",'RAW CBH'!C216)</f>
        <v>Clinical Social Worker </v>
      </c>
      <c r="I1043" s="48" t="n">
        <f aca="false">IF('RAW CBH'!E216="","",'RAW CBH'!E216)</f>
        <v>1.5</v>
      </c>
      <c r="J1043" s="48" t="str">
        <f aca="false">IF('RAW CBH'!F216="","",'RAW CBH'!F216)</f>
        <v/>
      </c>
      <c r="K1043" s="50" t="str">
        <f aca="false">IF('RAW CBH'!G216="","",'RAW CBH'!G216)</f>
        <v/>
      </c>
      <c r="L1043" s="50" t="str">
        <f aca="false">IF('RAW CBH'!H216="","",'RAW CBH'!H216)</f>
        <v/>
      </c>
      <c r="M1043" s="48" t="str">
        <f aca="false">IF('RAW CBH'!I216="","",'RAW CBH'!I216)</f>
        <v/>
      </c>
    </row>
    <row r="1044" customFormat="false" ht="15" hidden="false" customHeight="false" outlineLevel="0" collapsed="false">
      <c r="A1044" s="1" t="s">
        <v>2188</v>
      </c>
      <c r="B1044" s="1" t="s">
        <v>156</v>
      </c>
      <c r="C1044" s="1" t="s">
        <v>1149</v>
      </c>
      <c r="D1044" s="1" t="n">
        <v>217</v>
      </c>
      <c r="E1044" s="48" t="str">
        <f aca="false">IF('RAW CBH'!A217="","",'RAW CBH'!A217)</f>
        <v>Community Garden</v>
      </c>
      <c r="F1044" s="48" t="str">
        <f aca="false">IF('RAW CBH'!B217="","",'RAW CBH'!B217)</f>
        <v>Environmental</v>
      </c>
      <c r="G1044" s="49" t="str">
        <f aca="false">IF('RAW CBH'!D217="","",'RAW CBH'!D217)</f>
        <v>2026-04-16</v>
      </c>
      <c r="H1044" s="48" t="str">
        <f aca="false">IF('RAW CBH'!C217="","",'RAW CBH'!C217)</f>
        <v>Prog Coord</v>
      </c>
      <c r="I1044" s="48" t="n">
        <f aca="false">IF('RAW CBH'!E217="","",'RAW CBH'!E217)</f>
        <v>7.25</v>
      </c>
      <c r="J1044" s="48" t="n">
        <f aca="false">IF('RAW CBH'!F217="","",'RAW CBH'!F217)</f>
        <v>38</v>
      </c>
      <c r="K1044" s="50" t="n">
        <f aca="false">IF('RAW CBH'!G217="","",'RAW CBH'!G217)</f>
        <v>3390</v>
      </c>
      <c r="L1044" s="50" t="str">
        <f aca="false">IF('RAW CBH'!H217="","",'RAW CBH'!H217)</f>
        <v/>
      </c>
      <c r="M1044" s="48" t="str">
        <f aca="false">IF('RAW CBH'!I217="","",'RAW CBH'!I217)</f>
        <v/>
      </c>
    </row>
    <row r="1045" customFormat="false" ht="15" hidden="false" customHeight="false" outlineLevel="0" collapsed="false">
      <c r="A1045" s="1" t="s">
        <v>2189</v>
      </c>
      <c r="B1045" s="1" t="s">
        <v>156</v>
      </c>
      <c r="C1045" s="1" t="s">
        <v>1149</v>
      </c>
      <c r="D1045" s="1" t="n">
        <v>218</v>
      </c>
      <c r="E1045" s="48" t="str">
        <f aca="false">IF('RAW CBH'!A218="","",'RAW CBH'!A218)</f>
        <v>Diabetes Prevention</v>
      </c>
      <c r="F1045" s="48" t="str">
        <f aca="false">IF('RAW CBH'!B218="","",'RAW CBH'!B218)</f>
        <v>Health Education</v>
      </c>
      <c r="G1045" s="49" t="str">
        <f aca="false">IF('RAW CBH'!D218="","",'RAW CBH'!D218)</f>
        <v>2026-04-28</v>
      </c>
      <c r="H1045" s="48" t="str">
        <f aca="false">IF('RAW CBH'!C218="","",'RAW CBH'!C218)</f>
        <v>health ed</v>
      </c>
      <c r="I1045" s="48" t="n">
        <f aca="false">IF('RAW CBH'!E218="","",'RAW CBH'!E218)</f>
        <v>2.75</v>
      </c>
      <c r="J1045" s="48" t="n">
        <f aca="false">IF('RAW CBH'!F218="","",'RAW CBH'!F218)</f>
        <v>17</v>
      </c>
      <c r="K1045" s="50" t="n">
        <f aca="false">IF('RAW CBH'!G218="","",'RAW CBH'!G218)</f>
        <v>70</v>
      </c>
      <c r="L1045" s="50" t="str">
        <f aca="false">IF('RAW CBH'!H218="","",'RAW CBH'!H218)</f>
        <v/>
      </c>
      <c r="M1045" s="48" t="str">
        <f aca="false">IF('RAW CBH'!I218="","",'RAW CBH'!I218)</f>
        <v/>
      </c>
    </row>
    <row r="1046" customFormat="false" ht="15" hidden="false" customHeight="false" outlineLevel="0" collapsed="false">
      <c r="A1046" s="1" t="s">
        <v>2190</v>
      </c>
      <c r="B1046" s="1" t="s">
        <v>156</v>
      </c>
      <c r="C1046" s="1" t="s">
        <v>1149</v>
      </c>
      <c r="D1046" s="1" t="n">
        <v>219</v>
      </c>
      <c r="E1046" s="48" t="str">
        <f aca="false">IF('RAW CBH'!A219="","",'RAW CBH'!A219)</f>
        <v>Diabetes Prevention</v>
      </c>
      <c r="F1046" s="48" t="str">
        <f aca="false">IF('RAW CBH'!B219="","",'RAW CBH'!B219)</f>
        <v>Health Education</v>
      </c>
      <c r="G1046" s="49" t="str">
        <f aca="false">IF('RAW CBH'!D219="","",'RAW CBH'!D219)</f>
        <v>2026-04-28</v>
      </c>
      <c r="H1046" s="48" t="str">
        <f aca="false">IF('RAW CBH'!C219="","",'RAW CBH'!C219)</f>
        <v>Clinical Dietitian</v>
      </c>
      <c r="I1046" s="48" t="n">
        <f aca="false">IF('RAW CBH'!E219="","",'RAW CBH'!E219)</f>
        <v>1.75</v>
      </c>
      <c r="J1046" s="48" t="str">
        <f aca="false">IF('RAW CBH'!F219="","",'RAW CBH'!F219)</f>
        <v/>
      </c>
      <c r="K1046" s="50" t="str">
        <f aca="false">IF('RAW CBH'!G219="","",'RAW CBH'!G219)</f>
        <v/>
      </c>
      <c r="L1046" s="50" t="str">
        <f aca="false">IF('RAW CBH'!H219="","",'RAW CBH'!H219)</f>
        <v/>
      </c>
      <c r="M1046" s="48" t="str">
        <f aca="false">IF('RAW CBH'!I219="","",'RAW CBH'!I219)</f>
        <v/>
      </c>
    </row>
    <row r="1047" customFormat="false" ht="15" hidden="false" customHeight="false" outlineLevel="0" collapsed="false">
      <c r="A1047" s="1" t="s">
        <v>2191</v>
      </c>
      <c r="B1047" s="1" t="s">
        <v>156</v>
      </c>
      <c r="C1047" s="1" t="s">
        <v>1149</v>
      </c>
      <c r="D1047" s="1" t="n">
        <v>220</v>
      </c>
      <c r="E1047" s="48" t="str">
        <f aca="false">IF('RAW CBH'!A220="","",'RAW CBH'!A220)</f>
        <v>Naloxone Training</v>
      </c>
      <c r="F1047" s="48" t="str">
        <f aca="false">IF('RAW CBH'!B220="","",'RAW CBH'!B220)</f>
        <v>Health Education</v>
      </c>
      <c r="G1047" s="49" t="str">
        <f aca="false">IF('RAW CBH'!D220="","",'RAW CBH'!D220)</f>
        <v>2026-04-28</v>
      </c>
      <c r="H1047" s="48" t="str">
        <f aca="false">IF('RAW CBH'!C220="","",'RAW CBH'!C220)</f>
        <v>Health Educator</v>
      </c>
      <c r="I1047" s="48" t="n">
        <f aca="false">IF('RAW CBH'!E220="","",'RAW CBH'!E220)</f>
        <v>2.75</v>
      </c>
      <c r="J1047" s="48" t="str">
        <f aca="false">IF('RAW CBH'!F220="","",'RAW CBH'!F220)</f>
        <v/>
      </c>
      <c r="K1047" s="50" t="str">
        <f aca="false">IF('RAW CBH'!G220="","",'RAW CBH'!G220)</f>
        <v/>
      </c>
      <c r="L1047" s="50" t="str">
        <f aca="false">IF('RAW CBH'!H220="","",'RAW CBH'!H220)</f>
        <v/>
      </c>
      <c r="M1047" s="48" t="str">
        <f aca="false">IF('RAW CBH'!I220="","",'RAW CBH'!I220)</f>
        <v/>
      </c>
    </row>
    <row r="1048" customFormat="false" ht="15" hidden="false" customHeight="false" outlineLevel="0" collapsed="false">
      <c r="A1048" s="1" t="s">
        <v>2192</v>
      </c>
      <c r="B1048" s="1" t="s">
        <v>156</v>
      </c>
      <c r="C1048" s="1" t="s">
        <v>1149</v>
      </c>
      <c r="D1048" s="1" t="n">
        <v>221</v>
      </c>
      <c r="E1048" s="48" t="str">
        <f aca="false">IF('RAW CBH'!A221="","",'RAW CBH'!A221)</f>
        <v>Naloxone Training</v>
      </c>
      <c r="F1048" s="48" t="str">
        <f aca="false">IF('RAW CBH'!B221="","",'RAW CBH'!B221)</f>
        <v>Health Education</v>
      </c>
      <c r="G1048" s="49" t="str">
        <f aca="false">IF('RAW CBH'!D221="","",'RAW CBH'!D221)</f>
        <v>2026-04-28</v>
      </c>
      <c r="H1048" s="48" t="str">
        <f aca="false">IF('RAW CBH'!C221="","",'RAW CBH'!C221)</f>
        <v>Staff Pharmacist</v>
      </c>
      <c r="I1048" s="48" t="n">
        <f aca="false">IF('RAW CBH'!E221="","",'RAW CBH'!E221)</f>
        <v>2.75</v>
      </c>
      <c r="J1048" s="48" t="n">
        <f aca="false">IF('RAW CBH'!F221="","",'RAW CBH'!F221)</f>
        <v>22</v>
      </c>
      <c r="K1048" s="50" t="n">
        <f aca="false">IF('RAW CBH'!G221="","",'RAW CBH'!G221)</f>
        <v>2315</v>
      </c>
      <c r="L1048" s="50" t="n">
        <f aca="false">IF('RAW CBH'!H221="","",'RAW CBH'!H221)</f>
        <v>810</v>
      </c>
      <c r="M1048" s="48" t="str">
        <f aca="false">IF('RAW CBH'!I221="","",'RAW CBH'!I221)</f>
        <v/>
      </c>
    </row>
    <row r="1049" customFormat="false" ht="15" hidden="false" customHeight="false" outlineLevel="0" collapsed="false">
      <c r="A1049" s="1" t="s">
        <v>2193</v>
      </c>
      <c r="B1049" s="1" t="s">
        <v>156</v>
      </c>
      <c r="C1049" s="1" t="s">
        <v>1149</v>
      </c>
      <c r="D1049" s="1" t="n">
        <v>222</v>
      </c>
      <c r="E1049" s="48" t="str">
        <f aca="false">IF('RAW CBH'!A222="","",'RAW CBH'!A222)</f>
        <v>Free Clinic Staffing</v>
      </c>
      <c r="F1049" s="48" t="str">
        <f aca="false">IF('RAW CBH'!B222="","",'RAW CBH'!B222)</f>
        <v>Screenings</v>
      </c>
      <c r="G1049" s="49" t="str">
        <f aca="false">IF('RAW CBH'!D222="","",'RAW CBH'!D222)</f>
        <v>2026-04-30</v>
      </c>
      <c r="H1049" s="48" t="str">
        <f aca="false">IF('RAW CBH'!C222="","",'RAW CBH'!C222)</f>
        <v>Family NP </v>
      </c>
      <c r="I1049" s="48" t="n">
        <f aca="false">IF('RAW CBH'!E222="","",'RAW CBH'!E222)</f>
        <v>35.75</v>
      </c>
      <c r="J1049" s="48" t="n">
        <f aca="false">IF('RAW CBH'!F222="","",'RAW CBH'!F222)</f>
        <v>192</v>
      </c>
      <c r="K1049" s="50" t="n">
        <f aca="false">IF('RAW CBH'!G222="","",'RAW CBH'!G222)</f>
        <v>4685</v>
      </c>
      <c r="L1049" s="50" t="str">
        <f aca="false">IF('RAW CBH'!H222="","",'RAW CBH'!H222)</f>
        <v/>
      </c>
      <c r="M1049" s="48" t="str">
        <f aca="false">IF('RAW CBH'!I222="","",'RAW CBH'!I222)</f>
        <v/>
      </c>
    </row>
    <row r="1050" customFormat="false" ht="15" hidden="false" customHeight="false" outlineLevel="0" collapsed="false">
      <c r="A1050" s="1" t="s">
        <v>2194</v>
      </c>
      <c r="B1050" s="1" t="s">
        <v>156</v>
      </c>
      <c r="C1050" s="1" t="s">
        <v>1149</v>
      </c>
      <c r="D1050" s="1" t="n">
        <v>223</v>
      </c>
      <c r="E1050" s="48" t="str">
        <f aca="false">IF('RAW CBH'!A223="","",'RAW CBH'!A223)</f>
        <v>Free Clinic Staffing</v>
      </c>
      <c r="F1050" s="48" t="str">
        <f aca="false">IF('RAW CBH'!B223="","",'RAW CBH'!B223)</f>
        <v>Screenings</v>
      </c>
      <c r="G1050" s="49" t="str">
        <f aca="false">IF('RAW CBH'!D223="","",'RAW CBH'!D223)</f>
        <v>2026-04-30</v>
      </c>
      <c r="H1050" s="48" t="str">
        <f aca="false">IF('RAW CBH'!C223="","",'RAW CBH'!C223)</f>
        <v>STAFF PHARMACIST </v>
      </c>
      <c r="I1050" s="48" t="n">
        <f aca="false">IF('RAW CBH'!E223="","",'RAW CBH'!E223)</f>
        <v>14</v>
      </c>
      <c r="J1050" s="48" t="str">
        <f aca="false">IF('RAW CBH'!F223="","",'RAW CBH'!F223)</f>
        <v/>
      </c>
      <c r="K1050" s="50" t="str">
        <f aca="false">IF('RAW CBH'!G223="","",'RAW CBH'!G223)</f>
        <v/>
      </c>
      <c r="L1050" s="50" t="str">
        <f aca="false">IF('RAW CBH'!H223="","",'RAW CBH'!H223)</f>
        <v/>
      </c>
      <c r="M1050" s="48" t="str">
        <f aca="false">IF('RAW CBH'!I223="","",'RAW CBH'!I223)</f>
        <v/>
      </c>
    </row>
    <row r="1051" customFormat="false" ht="15" hidden="false" customHeight="false" outlineLevel="0" collapsed="false">
      <c r="A1051" s="1" t="s">
        <v>2195</v>
      </c>
      <c r="B1051" s="1" t="s">
        <v>156</v>
      </c>
      <c r="C1051" s="1" t="s">
        <v>1149</v>
      </c>
      <c r="D1051" s="1" t="n">
        <v>224</v>
      </c>
      <c r="E1051" s="48" t="str">
        <f aca="false">IF('RAW CBH'!A224="","",'RAW CBH'!A224)</f>
        <v>Free Clinic Staffing</v>
      </c>
      <c r="F1051" s="48" t="str">
        <f aca="false">IF('RAW CBH'!B224="","",'RAW CBH'!B224)</f>
        <v>Screenings</v>
      </c>
      <c r="G1051" s="49" t="str">
        <f aca="false">IF('RAW CBH'!D224="","",'RAW CBH'!D224)</f>
        <v>2026-04-30</v>
      </c>
      <c r="H1051" s="48" t="str">
        <f aca="false">IF('RAW CBH'!C224="","",'RAW CBH'!C224)</f>
        <v>RN - Outreach</v>
      </c>
      <c r="I1051" s="48" t="n">
        <f aca="false">IF('RAW CBH'!E224="","",'RAW CBH'!E224)</f>
        <v>37.75</v>
      </c>
      <c r="J1051" s="48" t="str">
        <f aca="false">IF('RAW CBH'!F224="","",'RAW CBH'!F224)</f>
        <v/>
      </c>
      <c r="K1051" s="50" t="str">
        <f aca="false">IF('RAW CBH'!G224="","",'RAW CBH'!G224)</f>
        <v/>
      </c>
      <c r="L1051" s="50" t="str">
        <f aca="false">IF('RAW CBH'!H224="","",'RAW CBH'!H224)</f>
        <v/>
      </c>
      <c r="M1051" s="48" t="str">
        <f aca="false">IF('RAW CBH'!I224="","",'RAW CBH'!I224)</f>
        <v/>
      </c>
    </row>
    <row r="1052" customFormat="false" ht="15" hidden="false" customHeight="false" outlineLevel="0" collapsed="false">
      <c r="A1052" s="1" t="s">
        <v>2196</v>
      </c>
      <c r="B1052" s="1" t="s">
        <v>156</v>
      </c>
      <c r="C1052" s="1" t="s">
        <v>1149</v>
      </c>
      <c r="D1052" s="1" t="n">
        <v>225</v>
      </c>
      <c r="E1052" s="48" t="str">
        <f aca="false">IF('RAW CBH'!A225="","",'RAW CBH'!A225)</f>
        <v>Med Assistance</v>
      </c>
      <c r="F1052" s="48" t="str">
        <f aca="false">IF('RAW CBH'!B225="","",'RAW CBH'!B225)</f>
        <v>Patient Support</v>
      </c>
      <c r="G1052" s="49" t="str">
        <f aca="false">IF('RAW CBH'!D225="","",'RAW CBH'!D225)</f>
        <v>2026-04-30</v>
      </c>
      <c r="H1052" s="48" t="str">
        <f aca="false">IF('RAW CBH'!C225="","",'RAW CBH'!C225)</f>
        <v>Financial Navigator</v>
      </c>
      <c r="I1052" s="48" t="n">
        <f aca="false">IF('RAW CBH'!E225="","",'RAW CBH'!E225)</f>
        <v>64.75</v>
      </c>
      <c r="J1052" s="48" t="str">
        <f aca="false">IF('RAW CBH'!F225="","",'RAW CBH'!F225)</f>
        <v/>
      </c>
      <c r="K1052" s="50" t="str">
        <f aca="false">IF('RAW CBH'!G225="","",'RAW CBH'!G225)</f>
        <v/>
      </c>
      <c r="L1052" s="50" t="str">
        <f aca="false">IF('RAW CBH'!H225="","",'RAW CBH'!H225)</f>
        <v/>
      </c>
      <c r="M1052" s="48" t="str">
        <f aca="false">IF('RAW CBH'!I225="","",'RAW CBH'!I225)</f>
        <v/>
      </c>
    </row>
    <row r="1053" customFormat="false" ht="15" hidden="false" customHeight="false" outlineLevel="0" collapsed="false">
      <c r="A1053" s="1" t="s">
        <v>2197</v>
      </c>
      <c r="B1053" s="1" t="s">
        <v>156</v>
      </c>
      <c r="C1053" s="1" t="s">
        <v>1149</v>
      </c>
      <c r="D1053" s="1" t="n">
        <v>226</v>
      </c>
      <c r="E1053" s="48" t="str">
        <f aca="false">IF('RAW CBH'!A226="","",'RAW CBH'!A226)</f>
        <v>Med Assistance</v>
      </c>
      <c r="F1053" s="48" t="str">
        <f aca="false">IF('RAW CBH'!B226="","",'RAW CBH'!B226)</f>
        <v>Patient Support</v>
      </c>
      <c r="G1053" s="49" t="str">
        <f aca="false">IF('RAW CBH'!D226="","",'RAW CBH'!D226)</f>
        <v>2026-04-30</v>
      </c>
      <c r="H1053" s="48" t="str">
        <f aca="false">IF('RAW CBH'!C226="","",'RAW CBH'!C226)</f>
        <v>RPh </v>
      </c>
      <c r="I1053" s="48" t="n">
        <f aca="false">IF('RAW CBH'!E226="","",'RAW CBH'!E226)</f>
        <v>19.5</v>
      </c>
      <c r="J1053" s="48" t="n">
        <f aca="false">IF('RAW CBH'!F226="","",'RAW CBH'!F226)</f>
        <v>98</v>
      </c>
      <c r="K1053" s="50" t="n">
        <f aca="false">IF('RAW CBH'!G226="","",'RAW CBH'!G226)</f>
        <v>14325</v>
      </c>
      <c r="L1053" s="50" t="str">
        <f aca="false">IF('RAW CBH'!H226="","",'RAW CBH'!H226)</f>
        <v/>
      </c>
      <c r="M1053" s="48" t="str">
        <f aca="false">IF('RAW CBH'!I226="","",'RAW CBH'!I226)</f>
        <v/>
      </c>
    </row>
    <row r="1054" customFormat="false" ht="15" hidden="false" customHeight="false" outlineLevel="0" collapsed="false">
      <c r="A1054" s="1" t="s">
        <v>2198</v>
      </c>
      <c r="B1054" s="1" t="s">
        <v>156</v>
      </c>
      <c r="C1054" s="1" t="s">
        <v>1149</v>
      </c>
      <c r="D1054" s="1" t="n">
        <v>227</v>
      </c>
      <c r="E1054" s="48" t="str">
        <f aca="false">IF('RAW CBH'!A227="","",'RAW CBH'!A227)</f>
        <v>Community Benefit Admin</v>
      </c>
      <c r="F1054" s="48" t="str">
        <f aca="false">IF('RAW CBH'!B227="","",'RAW CBH'!B227)</f>
        <v>Ops</v>
      </c>
      <c r="G1054" s="49" t="str">
        <f aca="false">IF('RAW CBH'!D227="","",'RAW CBH'!D227)</f>
        <v>2026-04-30</v>
      </c>
      <c r="H1054" s="48" t="str">
        <f aca="false">IF('RAW CBH'!C227="","",'RAW CBH'!C227)</f>
        <v>Admin. Assistant</v>
      </c>
      <c r="I1054" s="48" t="n">
        <f aca="false">IF('RAW CBH'!E227="","",'RAW CBH'!E227)</f>
        <v>33</v>
      </c>
      <c r="J1054" s="48" t="str">
        <f aca="false">IF('RAW CBH'!F227="","",'RAW CBH'!F227)</f>
        <v/>
      </c>
      <c r="K1054" s="50" t="str">
        <f aca="false">IF('RAW CBH'!G227="","",'RAW CBH'!G227)</f>
        <v/>
      </c>
      <c r="L1054" s="50" t="str">
        <f aca="false">IF('RAW CBH'!H227="","",'RAW CBH'!H227)</f>
        <v/>
      </c>
      <c r="M1054" s="48" t="str">
        <f aca="false">IF('RAW CBH'!I227="","",'RAW CBH'!I227)</f>
        <v/>
      </c>
    </row>
    <row r="1055" customFormat="false" ht="15" hidden="false" customHeight="false" outlineLevel="0" collapsed="false">
      <c r="A1055" s="1" t="s">
        <v>2199</v>
      </c>
      <c r="B1055" s="1" t="s">
        <v>156</v>
      </c>
      <c r="C1055" s="1" t="s">
        <v>1149</v>
      </c>
      <c r="D1055" s="1" t="n">
        <v>228</v>
      </c>
      <c r="E1055" s="48" t="str">
        <f aca="false">IF('RAW CBH'!A228="","",'RAW CBH'!A228)</f>
        <v>Community Benefit Admin</v>
      </c>
      <c r="F1055" s="48" t="str">
        <f aca="false">IF('RAW CBH'!B228="","",'RAW CBH'!B228)</f>
        <v>Ops</v>
      </c>
      <c r="G1055" s="49" t="str">
        <f aca="false">IF('RAW CBH'!D228="","",'RAW CBH'!D228)</f>
        <v>2026-04-30</v>
      </c>
      <c r="H1055" s="48" t="str">
        <f aca="false">IF('RAW CBH'!C228="","",'RAW CBH'!C228)</f>
        <v>Community Health Manager</v>
      </c>
      <c r="I1055" s="48" t="n">
        <f aca="false">IF('RAW CBH'!E228="","",'RAW CBH'!E228)</f>
        <v>72.5</v>
      </c>
      <c r="J1055" s="48" t="str">
        <f aca="false">IF('RAW CBH'!F228="","",'RAW CBH'!F228)</f>
        <v/>
      </c>
      <c r="K1055" s="50" t="n">
        <f aca="false">IF('RAW CBH'!G228="","",'RAW CBH'!G228)</f>
        <v>775</v>
      </c>
      <c r="L1055" s="50" t="str">
        <f aca="false">IF('RAW CBH'!H228="","",'RAW CBH'!H228)</f>
        <v/>
      </c>
      <c r="M1055" s="48" t="str">
        <f aca="false">IF('RAW CBH'!I228="","",'RAW CBH'!I228)</f>
        <v/>
      </c>
    </row>
    <row r="1056" customFormat="false" ht="15" hidden="false" customHeight="false" outlineLevel="0" collapsed="false">
      <c r="A1056" s="1" t="s">
        <v>2200</v>
      </c>
      <c r="B1056" s="1" t="s">
        <v>156</v>
      </c>
      <c r="C1056" s="1" t="s">
        <v>1149</v>
      </c>
      <c r="D1056" s="1" t="n">
        <v>229</v>
      </c>
      <c r="E1056" s="48" t="str">
        <f aca="false">IF('RAW CBH'!A229="","",'RAW CBH'!A229)</f>
        <v>Interpreter Services</v>
      </c>
      <c r="F1056" s="48" t="str">
        <f aca="false">IF('RAW CBH'!B229="","",'RAW CBH'!B229)</f>
        <v>Patient Support</v>
      </c>
      <c r="G1056" s="49" t="str">
        <f aca="false">IF('RAW CBH'!D229="","",'RAW CBH'!D229)</f>
        <v>2026-04-30</v>
      </c>
      <c r="H1056" s="48" t="str">
        <f aca="false">IF('RAW CBH'!C229="","",'RAW CBH'!C229)</f>
        <v>Spanish Interpreter</v>
      </c>
      <c r="I1056" s="48" t="n">
        <f aca="false">IF('RAW CBH'!E229="","",'RAW CBH'!E229)</f>
        <v>65</v>
      </c>
      <c r="J1056" s="48" t="n">
        <f aca="false">IF('RAW CBH'!F229="","",'RAW CBH'!F229)</f>
        <v>124</v>
      </c>
      <c r="K1056" s="50" t="str">
        <f aca="false">IF('RAW CBH'!G229="","",'RAW CBH'!G229)</f>
        <v/>
      </c>
      <c r="L1056" s="50" t="str">
        <f aca="false">IF('RAW CBH'!H229="","",'RAW CBH'!H229)</f>
        <v/>
      </c>
      <c r="M1056" s="48" t="str">
        <f aca="false">IF('RAW CBH'!I229="","",'RAW CBH'!I229)</f>
        <v/>
      </c>
    </row>
    <row r="1057" customFormat="false" ht="15" hidden="false" customHeight="false" outlineLevel="0" collapsed="false">
      <c r="A1057" s="1" t="s">
        <v>2201</v>
      </c>
      <c r="B1057" s="1" t="s">
        <v>156</v>
      </c>
      <c r="C1057" s="1" t="s">
        <v>1149</v>
      </c>
      <c r="D1057" s="1" t="n">
        <v>230</v>
      </c>
      <c r="E1057" s="48" t="str">
        <f aca="false">IF('RAW CBH'!A230="","",'RAW CBH'!A230)</f>
        <v>Nursing Student Rotations</v>
      </c>
      <c r="F1057" s="48" t="str">
        <f aca="false">IF('RAW CBH'!B230="","",'RAW CBH'!B230)</f>
        <v>Education - Health Professions</v>
      </c>
      <c r="G1057" s="49" t="str">
        <f aca="false">IF('RAW CBH'!D230="","",'RAW CBH'!D230)</f>
        <v>2026-04-30</v>
      </c>
      <c r="H1057" s="48" t="str">
        <f aca="false">IF('RAW CBH'!C230="","",'RAW CBH'!C230)</f>
        <v>Educator, Nursing</v>
      </c>
      <c r="I1057" s="48" t="n">
        <f aca="false">IF('RAW CBH'!E230="","",'RAW CBH'!E230)</f>
        <v>97.75</v>
      </c>
      <c r="J1057" s="48" t="n">
        <f aca="false">IF('RAW CBH'!F230="","",'RAW CBH'!F230)</f>
        <v>37</v>
      </c>
      <c r="K1057" s="50" t="n">
        <f aca="false">IF('RAW CBH'!G230="","",'RAW CBH'!G230)</f>
        <v>990</v>
      </c>
      <c r="L1057" s="50" t="str">
        <f aca="false">IF('RAW CBH'!H230="","",'RAW CBH'!H230)</f>
        <v/>
      </c>
      <c r="M1057" s="48" t="str">
        <f aca="false">IF('RAW CBH'!I230="","",'RAW CBH'!I230)</f>
        <v/>
      </c>
    </row>
    <row r="1058" customFormat="false" ht="15" hidden="false" customHeight="false" outlineLevel="0" collapsed="false">
      <c r="A1058" s="1" t="s">
        <v>2202</v>
      </c>
      <c r="B1058" s="1" t="s">
        <v>156</v>
      </c>
      <c r="C1058" s="1" t="s">
        <v>1149</v>
      </c>
      <c r="D1058" s="1" t="n">
        <v>231</v>
      </c>
      <c r="E1058" s="48" t="str">
        <f aca="false">IF('RAW CBH'!A231="","",'RAW CBH'!A231)</f>
        <v>Nursing Student Rotations</v>
      </c>
      <c r="F1058" s="48" t="str">
        <f aca="false">IF('RAW CBH'!B231="","",'RAW CBH'!B231)</f>
        <v>Education - Health Professions</v>
      </c>
      <c r="G1058" s="49" t="str">
        <f aca="false">IF('RAW CBH'!D231="","",'RAW CBH'!D231)</f>
        <v>2026-04-30</v>
      </c>
      <c r="H1058" s="48" t="str">
        <f aca="false">IF('RAW CBH'!C231="","",'RAW CBH'!C231)</f>
        <v>R.N.</v>
      </c>
      <c r="I1058" s="48" t="n">
        <f aca="false">IF('RAW CBH'!E231="","",'RAW CBH'!E231)</f>
        <v>194.5</v>
      </c>
      <c r="J1058" s="48" t="str">
        <f aca="false">IF('RAW CBH'!F231="","",'RAW CBH'!F231)</f>
        <v/>
      </c>
      <c r="K1058" s="50" t="str">
        <f aca="false">IF('RAW CBH'!G231="","",'RAW CBH'!G231)</f>
        <v/>
      </c>
      <c r="L1058" s="50" t="str">
        <f aca="false">IF('RAW CBH'!H231="","",'RAW CBH'!H231)</f>
        <v/>
      </c>
      <c r="M1058" s="48" t="str">
        <f aca="false">IF('RAW CBH'!I231="","",'RAW CBH'!I231)</f>
        <v/>
      </c>
    </row>
    <row r="1059" customFormat="false" ht="15" hidden="false" customHeight="false" outlineLevel="0" collapsed="false">
      <c r="A1059" s="1" t="s">
        <v>2203</v>
      </c>
      <c r="B1059" s="1" t="s">
        <v>156</v>
      </c>
      <c r="C1059" s="1" t="s">
        <v>1149</v>
      </c>
      <c r="D1059" s="1" t="n">
        <v>232</v>
      </c>
      <c r="E1059" s="48" t="str">
        <f aca="false">IF('RAW CBH'!A232="","",'RAW CBH'!A232)</f>
        <v>Pharmacy Students</v>
      </c>
      <c r="F1059" s="48" t="str">
        <f aca="false">IF('RAW CBH'!B232="","",'RAW CBH'!B232)</f>
        <v>Education - Health Professions</v>
      </c>
      <c r="G1059" s="49" t="str">
        <f aca="false">IF('RAW CBH'!D232="","",'RAW CBH'!D232)</f>
        <v>2026-04-30</v>
      </c>
      <c r="H1059" s="48" t="str">
        <f aca="false">IF('RAW CBH'!C232="","",'RAW CBH'!C232)</f>
        <v>Pharmacist</v>
      </c>
      <c r="I1059" s="48" t="n">
        <f aca="false">IF('RAW CBH'!E232="","",'RAW CBH'!E232)</f>
        <v>45.5</v>
      </c>
      <c r="J1059" s="48" t="n">
        <f aca="false">IF('RAW CBH'!F232="","",'RAW CBH'!F232)</f>
        <v>4</v>
      </c>
      <c r="K1059" s="50" t="n">
        <f aca="false">IF('RAW CBH'!G232="","",'RAW CBH'!G232)</f>
        <v>120</v>
      </c>
      <c r="L1059" s="50" t="str">
        <f aca="false">IF('RAW CBH'!H232="","",'RAW CBH'!H232)</f>
        <v/>
      </c>
      <c r="M1059" s="48" t="str">
        <f aca="false">IF('RAW CBH'!I232="","",'RAW CBH'!I232)</f>
        <v/>
      </c>
    </row>
    <row r="1060" customFormat="false" ht="15" hidden="false" customHeight="false" outlineLevel="0" collapsed="false">
      <c r="A1060" s="1" t="s">
        <v>2204</v>
      </c>
      <c r="B1060" s="1" t="s">
        <v>156</v>
      </c>
      <c r="C1060" s="1" t="s">
        <v>1149</v>
      </c>
      <c r="D1060" s="1" t="n">
        <v>233</v>
      </c>
      <c r="E1060" s="48" t="str">
        <f aca="false">IF('RAW CBH'!A233="","",'RAW CBH'!A233)</f>
        <v>Prenatal &amp; Newborn Classes</v>
      </c>
      <c r="F1060" s="48" t="str">
        <f aca="false">IF('RAW CBH'!B233="","",'RAW CBH'!B233)</f>
        <v>Health Education</v>
      </c>
      <c r="G1060" s="49" t="str">
        <f aca="false">IF('RAW CBH'!D233="","",'RAW CBH'!D233)</f>
        <v>2026-05-08</v>
      </c>
      <c r="H1060" s="48" t="str">
        <f aca="false">IF('RAW CBH'!C233="","",'RAW CBH'!C233)</f>
        <v>Educator, Nursing</v>
      </c>
      <c r="I1060" s="48" t="n">
        <f aca="false">IF('RAW CBH'!E233="","",'RAW CBH'!E233)</f>
        <v>3.25</v>
      </c>
      <c r="J1060" s="48" t="n">
        <f aca="false">IF('RAW CBH'!F233="","",'RAW CBH'!F233)</f>
        <v>17</v>
      </c>
      <c r="K1060" s="50" t="n">
        <f aca="false">IF('RAW CBH'!G233="","",'RAW CBH'!G233)</f>
        <v>150</v>
      </c>
      <c r="L1060" s="50" t="n">
        <f aca="false">IF('RAW CBH'!H233="","",'RAW CBH'!H233)</f>
        <v>340</v>
      </c>
      <c r="M1060" s="48" t="str">
        <f aca="false">IF('RAW CBH'!I233="","",'RAW CBH'!I233)</f>
        <v/>
      </c>
    </row>
    <row r="1061" customFormat="false" ht="15" hidden="false" customHeight="false" outlineLevel="0" collapsed="false">
      <c r="A1061" s="1" t="s">
        <v>2205</v>
      </c>
      <c r="B1061" s="1" t="s">
        <v>156</v>
      </c>
      <c r="C1061" s="1" t="s">
        <v>1149</v>
      </c>
      <c r="D1061" s="1" t="n">
        <v>234</v>
      </c>
      <c r="E1061" s="48" t="str">
        <f aca="false">IF('RAW CBH'!A234="","",'RAW CBH'!A234)</f>
        <v>Matter of Balance Classes</v>
      </c>
      <c r="F1061" s="48" t="str">
        <f aca="false">IF('RAW CBH'!B234="","",'RAW CBH'!B234)</f>
        <v>Health Education</v>
      </c>
      <c r="G1061" s="49" t="str">
        <f aca="false">IF('RAW CBH'!D234="","",'RAW CBH'!D234)</f>
        <v>2026-05-09</v>
      </c>
      <c r="H1061" s="48" t="str">
        <f aca="false">IF('RAW CBH'!C234="","",'RAW CBH'!C234)</f>
        <v>Phys Therapist</v>
      </c>
      <c r="I1061" s="48" t="n">
        <f aca="false">IF('RAW CBH'!E234="","",'RAW CBH'!E234)</f>
        <v>2</v>
      </c>
      <c r="J1061" s="48" t="n">
        <f aca="false">IF('RAW CBH'!F234="","",'RAW CBH'!F234)</f>
        <v>10</v>
      </c>
      <c r="K1061" s="50" t="n">
        <f aca="false">IF('RAW CBH'!G234="","",'RAW CBH'!G234)</f>
        <v>85</v>
      </c>
      <c r="L1061" s="50" t="str">
        <f aca="false">IF('RAW CBH'!H234="","",'RAW CBH'!H234)</f>
        <v/>
      </c>
      <c r="M1061" s="48" t="str">
        <f aca="false">IF('RAW CBH'!I234="","",'RAW CBH'!I234)</f>
        <v/>
      </c>
    </row>
    <row r="1062" customFormat="false" ht="15" hidden="false" customHeight="false" outlineLevel="0" collapsed="false">
      <c r="A1062" s="1" t="s">
        <v>2206</v>
      </c>
      <c r="B1062" s="1" t="s">
        <v>156</v>
      </c>
      <c r="C1062" s="1" t="s">
        <v>1149</v>
      </c>
      <c r="D1062" s="1" t="n">
        <v>235</v>
      </c>
      <c r="E1062" s="48" t="str">
        <f aca="false">IF('RAW CBH'!A235="","",'RAW CBH'!A235)</f>
        <v>Smoke-Free Parks</v>
      </c>
      <c r="F1062" s="48" t="str">
        <f aca="false">IF('RAW CBH'!B235="","",'RAW CBH'!B235)</f>
        <v>Advocacy</v>
      </c>
      <c r="G1062" s="49" t="str">
        <f aca="false">IF('RAW CBH'!D235="","",'RAW CBH'!D235)</f>
        <v>2026-05-16</v>
      </c>
      <c r="H1062" s="48" t="str">
        <f aca="false">IF('RAW CBH'!C235="","",'RAW CBH'!C235)</f>
        <v>Sr Director</v>
      </c>
      <c r="I1062" s="48" t="n">
        <f aca="false">IF('RAW CBH'!E235="","",'RAW CBH'!E235)</f>
        <v>1.5</v>
      </c>
      <c r="J1062" s="48" t="str">
        <f aca="false">IF('RAW CBH'!F235="","",'RAW CBH'!F235)</f>
        <v/>
      </c>
      <c r="K1062" s="50" t="str">
        <f aca="false">IF('RAW CBH'!G235="","",'RAW CBH'!G235)</f>
        <v/>
      </c>
      <c r="L1062" s="50" t="str">
        <f aca="false">IF('RAW CBH'!H235="","",'RAW CBH'!H235)</f>
        <v/>
      </c>
      <c r="M1062" s="48" t="str">
        <f aca="false">IF('RAW CBH'!I235="","",'RAW CBH'!I235)</f>
        <v/>
      </c>
    </row>
    <row r="1063" customFormat="false" ht="15" hidden="false" customHeight="false" outlineLevel="0" collapsed="false">
      <c r="A1063" s="1" t="s">
        <v>2207</v>
      </c>
      <c r="B1063" s="1" t="s">
        <v>156</v>
      </c>
      <c r="C1063" s="1" t="s">
        <v>1149</v>
      </c>
      <c r="D1063" s="1" t="n">
        <v>236</v>
      </c>
      <c r="E1063" s="48" t="str">
        <f aca="false">IF('RAW CBH'!A236="","",'RAW CBH'!A236)</f>
        <v>Smoke-Free Parks</v>
      </c>
      <c r="F1063" s="48" t="str">
        <f aca="false">IF('RAW CBH'!B236="","",'RAW CBH'!B236)</f>
        <v>Advocacy</v>
      </c>
      <c r="G1063" s="49" t="str">
        <f aca="false">IF('RAW CBH'!D236="","",'RAW CBH'!D236)</f>
        <v>2026-05-16</v>
      </c>
      <c r="H1063" s="48" t="str">
        <f aca="false">IF('RAW CBH'!C236="","",'RAW CBH'!C236)</f>
        <v>Health Ed</v>
      </c>
      <c r="I1063" s="48" t="n">
        <f aca="false">IF('RAW CBH'!E236="","",'RAW CBH'!E236)</f>
        <v>4.5</v>
      </c>
      <c r="J1063" s="48" t="str">
        <f aca="false">IF('RAW CBH'!F236="","",'RAW CBH'!F236)</f>
        <v/>
      </c>
      <c r="K1063" s="50" t="n">
        <f aca="false">IF('RAW CBH'!G236="","",'RAW CBH'!G236)</f>
        <v>485</v>
      </c>
      <c r="L1063" s="50" t="str">
        <f aca="false">IF('RAW CBH'!H236="","",'RAW CBH'!H236)</f>
        <v/>
      </c>
      <c r="M1063" s="48" t="str">
        <f aca="false">IF('RAW CBH'!I236="","",'RAW CBH'!I236)</f>
        <v/>
      </c>
    </row>
    <row r="1064" customFormat="false" ht="15" hidden="false" customHeight="false" outlineLevel="0" collapsed="false">
      <c r="A1064" s="1" t="s">
        <v>2208</v>
      </c>
      <c r="B1064" s="1" t="s">
        <v>156</v>
      </c>
      <c r="C1064" s="1" t="s">
        <v>1149</v>
      </c>
      <c r="D1064" s="1" t="n">
        <v>237</v>
      </c>
      <c r="E1064" s="48" t="str">
        <f aca="false">IF('RAW CBH'!A237="","",'RAW CBH'!A237)</f>
        <v>Prenatal &amp; Newborn Classes</v>
      </c>
      <c r="F1064" s="48" t="str">
        <f aca="false">IF('RAW CBH'!B237="","",'RAW CBH'!B237)</f>
        <v>Health Education</v>
      </c>
      <c r="G1064" s="49" t="str">
        <f aca="false">IF('RAW CBH'!D237="","",'RAW CBH'!D237)</f>
        <v>2026-05-18</v>
      </c>
      <c r="H1064" s="48" t="str">
        <f aca="false">IF('RAW CBH'!C237="","",'RAW CBH'!C237)</f>
        <v>Educator, Nursing</v>
      </c>
      <c r="I1064" s="48" t="n">
        <f aca="false">IF('RAW CBH'!E237="","",'RAW CBH'!E237)</f>
        <v>3.5</v>
      </c>
      <c r="J1064" s="48" t="n">
        <f aca="false">IF('RAW CBH'!F237="","",'RAW CBH'!F237)</f>
        <v>18</v>
      </c>
      <c r="K1064" s="50" t="n">
        <f aca="false">IF('RAW CBH'!G237="","",'RAW CBH'!G237)</f>
        <v>165</v>
      </c>
      <c r="L1064" s="50" t="n">
        <f aca="false">IF('RAW CBH'!H237="","",'RAW CBH'!H237)</f>
        <v>360</v>
      </c>
      <c r="M1064" s="48" t="str">
        <f aca="false">IF('RAW CBH'!I237="","",'RAW CBH'!I237)</f>
        <v/>
      </c>
    </row>
    <row r="1065" customFormat="false" ht="15" hidden="false" customHeight="false" outlineLevel="0" collapsed="false">
      <c r="A1065" s="1" t="s">
        <v>2209</v>
      </c>
      <c r="B1065" s="1" t="s">
        <v>156</v>
      </c>
      <c r="C1065" s="1" t="s">
        <v>1149</v>
      </c>
      <c r="D1065" s="1" t="n">
        <v>238</v>
      </c>
      <c r="E1065" s="48" t="str">
        <f aca="false">IF('RAW CBH'!A238="","",'RAW CBH'!A238)</f>
        <v>Bereavement Group</v>
      </c>
      <c r="F1065" s="48" t="str">
        <f aca="false">IF('RAW CBH'!B238="","",'RAW CBH'!B238)</f>
        <v>Patient Support</v>
      </c>
      <c r="G1065" s="49" t="str">
        <f aca="false">IF('RAW CBH'!D238="","",'RAW CBH'!D238)</f>
        <v>2026-05-19</v>
      </c>
      <c r="H1065" s="48" t="str">
        <f aca="false">IF('RAW CBH'!C238="","",'RAW CBH'!C238)</f>
        <v>Chaplain</v>
      </c>
      <c r="I1065" s="48" t="n">
        <f aca="false">IF('RAW CBH'!E238="","",'RAW CBH'!E238)</f>
        <v>2</v>
      </c>
      <c r="J1065" s="48" t="n">
        <f aca="false">IF('RAW CBH'!F238="","",'RAW CBH'!F238)</f>
        <v>15</v>
      </c>
      <c r="K1065" s="50" t="n">
        <f aca="false">IF('RAW CBH'!G238="","",'RAW CBH'!G238)</f>
        <v>60</v>
      </c>
      <c r="L1065" s="50" t="str">
        <f aca="false">IF('RAW CBH'!H238="","",'RAW CBH'!H238)</f>
        <v/>
      </c>
      <c r="M1065" s="48" t="str">
        <f aca="false">IF('RAW CBH'!I238="","",'RAW CBH'!I238)</f>
        <v/>
      </c>
    </row>
    <row r="1066" customFormat="false" ht="15" hidden="false" customHeight="false" outlineLevel="0" collapsed="false">
      <c r="A1066" s="1" t="s">
        <v>2210</v>
      </c>
      <c r="B1066" s="1" t="s">
        <v>156</v>
      </c>
      <c r="C1066" s="1" t="s">
        <v>1149</v>
      </c>
      <c r="D1066" s="1" t="n">
        <v>239</v>
      </c>
      <c r="E1066" s="48" t="str">
        <f aca="false">IF('RAW CBH'!A239="","",'RAW CBH'!A239)</f>
        <v>Bereavement Group</v>
      </c>
      <c r="F1066" s="48" t="str">
        <f aca="false">IF('RAW CBH'!B239="","",'RAW CBH'!B239)</f>
        <v>Patient Support</v>
      </c>
      <c r="G1066" s="49" t="str">
        <f aca="false">IF('RAW CBH'!D239="","",'RAW CBH'!D239)</f>
        <v>2026-05-19</v>
      </c>
      <c r="H1066" s="48" t="str">
        <f aca="false">IF('RAW CBH'!C239="","",'RAW CBH'!C239)</f>
        <v>Social Work </v>
      </c>
      <c r="I1066" s="48" t="n">
        <f aca="false">IF('RAW CBH'!E239="","",'RAW CBH'!E239)</f>
        <v>1.75</v>
      </c>
      <c r="J1066" s="48" t="str">
        <f aca="false">IF('RAW CBH'!F239="","",'RAW CBH'!F239)</f>
        <v/>
      </c>
      <c r="K1066" s="50" t="str">
        <f aca="false">IF('RAW CBH'!G239="","",'RAW CBH'!G239)</f>
        <v/>
      </c>
      <c r="L1066" s="50" t="str">
        <f aca="false">IF('RAW CBH'!H239="","",'RAW CBH'!H239)</f>
        <v/>
      </c>
      <c r="M1066" s="48" t="str">
        <f aca="false">IF('RAW CBH'!I239="","",'RAW CBH'!I239)</f>
        <v/>
      </c>
    </row>
    <row r="1067" customFormat="false" ht="15" hidden="false" customHeight="false" outlineLevel="0" collapsed="false">
      <c r="A1067" s="1" t="s">
        <v>2211</v>
      </c>
      <c r="B1067" s="1" t="s">
        <v>156</v>
      </c>
      <c r="C1067" s="1" t="s">
        <v>1149</v>
      </c>
      <c r="D1067" s="1" t="n">
        <v>240</v>
      </c>
      <c r="E1067" s="48" t="str">
        <f aca="false">IF('RAW CBH'!A240="","",'RAW CBH'!A240)</f>
        <v>Blood Pressure Screening</v>
      </c>
      <c r="F1067" s="48" t="str">
        <f aca="false">IF('RAW CBH'!B240="","",'RAW CBH'!B240)</f>
        <v>Screenings</v>
      </c>
      <c r="G1067" s="49" t="str">
        <f aca="false">IF('RAW CBH'!D240="","",'RAW CBH'!D240)</f>
        <v>2026-05-20</v>
      </c>
      <c r="H1067" s="48" t="str">
        <f aca="false">IF('RAW CBH'!C240="","",'RAW CBH'!C240)</f>
        <v>R.N. </v>
      </c>
      <c r="I1067" s="48" t="n">
        <f aca="false">IF('RAW CBH'!E240="","",'RAW CBH'!E240)</f>
        <v>3.75</v>
      </c>
      <c r="J1067" s="48" t="n">
        <f aca="false">IF('RAW CBH'!F240="","",'RAW CBH'!F240)</f>
        <v>67</v>
      </c>
      <c r="K1067" s="50" t="n">
        <f aca="false">IF('RAW CBH'!G240="","",'RAW CBH'!G240)</f>
        <v>70</v>
      </c>
      <c r="L1067" s="50" t="str">
        <f aca="false">IF('RAW CBH'!H240="","",'RAW CBH'!H240)</f>
        <v/>
      </c>
      <c r="M1067" s="48" t="str">
        <f aca="false">IF('RAW CBH'!I240="","",'RAW CBH'!I240)</f>
        <v/>
      </c>
    </row>
    <row r="1068" customFormat="false" ht="15" hidden="false" customHeight="false" outlineLevel="0" collapsed="false">
      <c r="A1068" s="1" t="s">
        <v>2212</v>
      </c>
      <c r="B1068" s="1" t="s">
        <v>156</v>
      </c>
      <c r="C1068" s="1" t="s">
        <v>1149</v>
      </c>
      <c r="D1068" s="1" t="n">
        <v>241</v>
      </c>
      <c r="E1068" s="48" t="str">
        <f aca="false">IF('RAW CBH'!A241="","",'RAW CBH'!A241)</f>
        <v>Health Coalition</v>
      </c>
      <c r="F1068" s="48" t="str">
        <f aca="false">IF('RAW CBH'!B241="","",'RAW CBH'!B241)</f>
        <v>Community Health Improvement</v>
      </c>
      <c r="G1068" s="49" t="str">
        <f aca="false">IF('RAW CBH'!D241="","",'RAW CBH'!D241)</f>
        <v>2026-05-20</v>
      </c>
      <c r="H1068" s="48" t="str">
        <f aca="false">IF('RAW CBH'!C241="","",'RAW CBH'!C241)</f>
        <v>Community Benefit Mgr</v>
      </c>
      <c r="I1068" s="48" t="n">
        <f aca="false">IF('RAW CBH'!E241="","",'RAW CBH'!E241)</f>
        <v>2.5</v>
      </c>
      <c r="J1068" s="48" t="str">
        <f aca="false">IF('RAW CBH'!F241="","",'RAW CBH'!F241)</f>
        <v/>
      </c>
      <c r="K1068" s="50" t="str">
        <f aca="false">IF('RAW CBH'!G241="","",'RAW CBH'!G241)</f>
        <v/>
      </c>
      <c r="L1068" s="50" t="str">
        <f aca="false">IF('RAW CBH'!H241="","",'RAW CBH'!H241)</f>
        <v/>
      </c>
      <c r="M1068" s="48" t="str">
        <f aca="false">IF('RAW CBH'!I241="","",'RAW CBH'!I241)</f>
        <v/>
      </c>
    </row>
    <row r="1069" customFormat="false" ht="15" hidden="false" customHeight="false" outlineLevel="0" collapsed="false">
      <c r="A1069" s="1" t="s">
        <v>2213</v>
      </c>
      <c r="B1069" s="1" t="s">
        <v>156</v>
      </c>
      <c r="C1069" s="1" t="s">
        <v>1149</v>
      </c>
      <c r="D1069" s="1" t="n">
        <v>242</v>
      </c>
      <c r="E1069" s="48" t="str">
        <f aca="false">IF('RAW CBH'!A242="","",'RAW CBH'!A242)</f>
        <v>Health Coalition</v>
      </c>
      <c r="F1069" s="48" t="str">
        <f aca="false">IF('RAW CBH'!B242="","",'RAW CBH'!B242)</f>
        <v>Community Health Improvement</v>
      </c>
      <c r="G1069" s="49" t="str">
        <f aca="false">IF('RAW CBH'!D242="","",'RAW CBH'!D242)</f>
        <v>2026-05-20</v>
      </c>
      <c r="H1069" s="48" t="str">
        <f aca="false">IF('RAW CBH'!C242="","",'RAW CBH'!C242)</f>
        <v>Assoc. Director</v>
      </c>
      <c r="I1069" s="48" t="n">
        <f aca="false">IF('RAW CBH'!E242="","",'RAW CBH'!E242)</f>
        <v>2.5</v>
      </c>
      <c r="J1069" s="48" t="str">
        <f aca="false">IF('RAW CBH'!F242="","",'RAW CBH'!F242)</f>
        <v/>
      </c>
      <c r="K1069" s="50" t="n">
        <f aca="false">IF('RAW CBH'!G242="","",'RAW CBH'!G242)</f>
        <v>45</v>
      </c>
      <c r="L1069" s="50" t="str">
        <f aca="false">IF('RAW CBH'!H242="","",'RAW CBH'!H242)</f>
        <v/>
      </c>
      <c r="M1069" s="48" t="str">
        <f aca="false">IF('RAW CBH'!I242="","",'RAW CBH'!I242)</f>
        <v/>
      </c>
    </row>
    <row r="1070" customFormat="false" ht="15" hidden="false" customHeight="false" outlineLevel="0" collapsed="false">
      <c r="A1070" s="1" t="s">
        <v>2214</v>
      </c>
      <c r="B1070" s="1" t="s">
        <v>156</v>
      </c>
      <c r="C1070" s="1" t="s">
        <v>1149</v>
      </c>
      <c r="D1070" s="1" t="n">
        <v>243</v>
      </c>
      <c r="E1070" s="48" t="str">
        <f aca="false">IF('RAW CBH'!A243="","",'RAW CBH'!A243)</f>
        <v>Naloxone Training</v>
      </c>
      <c r="F1070" s="48" t="str">
        <f aca="false">IF('RAW CBH'!B243="","",'RAW CBH'!B243)</f>
        <v>Health Education</v>
      </c>
      <c r="G1070" s="49" t="str">
        <f aca="false">IF('RAW CBH'!D243="","",'RAW CBH'!D243)</f>
        <v>2026-05-22</v>
      </c>
      <c r="H1070" s="48" t="str">
        <f aca="false">IF('RAW CBH'!C243="","",'RAW CBH'!C243)</f>
        <v>Wellness Educator</v>
      </c>
      <c r="I1070" s="48" t="n">
        <f aca="false">IF('RAW CBH'!E243="","",'RAW CBH'!E243)</f>
        <v>2.25</v>
      </c>
      <c r="J1070" s="48" t="str">
        <f aca="false">IF('RAW CBH'!F243="","",'RAW CBH'!F243)</f>
        <v/>
      </c>
      <c r="K1070" s="50" t="str">
        <f aca="false">IF('RAW CBH'!G243="","",'RAW CBH'!G243)</f>
        <v/>
      </c>
      <c r="L1070" s="50" t="str">
        <f aca="false">IF('RAW CBH'!H243="","",'RAW CBH'!H243)</f>
        <v/>
      </c>
      <c r="M1070" s="48" t="str">
        <f aca="false">IF('RAW CBH'!I243="","",'RAW CBH'!I243)</f>
        <v/>
      </c>
    </row>
    <row r="1071" customFormat="false" ht="15" hidden="false" customHeight="false" outlineLevel="0" collapsed="false">
      <c r="A1071" s="1" t="s">
        <v>2215</v>
      </c>
      <c r="B1071" s="1" t="s">
        <v>156</v>
      </c>
      <c r="C1071" s="1" t="s">
        <v>1149</v>
      </c>
      <c r="D1071" s="1" t="n">
        <v>244</v>
      </c>
      <c r="E1071" s="48" t="str">
        <f aca="false">IF('RAW CBH'!A244="","",'RAW CBH'!A244)</f>
        <v>Naloxone Training</v>
      </c>
      <c r="F1071" s="48" t="str">
        <f aca="false">IF('RAW CBH'!B244="","",'RAW CBH'!B244)</f>
        <v>Health Education</v>
      </c>
      <c r="G1071" s="49" t="str">
        <f aca="false">IF('RAW CBH'!D244="","",'RAW CBH'!D244)</f>
        <v>2026-05-22</v>
      </c>
      <c r="H1071" s="48" t="str">
        <f aca="false">IF('RAW CBH'!C244="","",'RAW CBH'!C244)</f>
        <v>RPh </v>
      </c>
      <c r="I1071" s="48" t="n">
        <f aca="false">IF('RAW CBH'!E244="","",'RAW CBH'!E244)</f>
        <v>2</v>
      </c>
      <c r="J1071" s="48" t="n">
        <f aca="false">IF('RAW CBH'!F244="","",'RAW CBH'!F244)</f>
        <v>25</v>
      </c>
      <c r="K1071" s="50" t="n">
        <f aca="false">IF('RAW CBH'!G244="","",'RAW CBH'!G244)</f>
        <v>1915</v>
      </c>
      <c r="L1071" s="50" t="n">
        <f aca="false">IF('RAW CBH'!H244="","",'RAW CBH'!H244)</f>
        <v>1370</v>
      </c>
      <c r="M1071" s="48" t="str">
        <f aca="false">IF('RAW CBH'!I244="","",'RAW CBH'!I244)</f>
        <v/>
      </c>
    </row>
    <row r="1072" customFormat="false" ht="15" hidden="false" customHeight="false" outlineLevel="0" collapsed="false">
      <c r="A1072" s="1" t="s">
        <v>2216</v>
      </c>
      <c r="B1072" s="1" t="s">
        <v>156</v>
      </c>
      <c r="C1072" s="1" t="s">
        <v>1149</v>
      </c>
      <c r="D1072" s="1" t="n">
        <v>245</v>
      </c>
      <c r="E1072" s="48" t="str">
        <f aca="false">IF('RAW CBH'!A245="","",'RAW CBH'!A245)</f>
        <v>Diabetes Prevention</v>
      </c>
      <c r="F1072" s="48" t="str">
        <f aca="false">IF('RAW CBH'!B245="","",'RAW CBH'!B245)</f>
        <v>Health Education</v>
      </c>
      <c r="G1072" s="49" t="str">
        <f aca="false">IF('RAW CBH'!D245="","",'RAW CBH'!D245)</f>
        <v>2026-05-28</v>
      </c>
      <c r="H1072" s="48" t="str">
        <f aca="false">IF('RAW CBH'!C245="","",'RAW CBH'!C245)</f>
        <v>Community Educator</v>
      </c>
      <c r="I1072" s="48" t="n">
        <f aca="false">IF('RAW CBH'!E245="","",'RAW CBH'!E245)</f>
        <v>2</v>
      </c>
      <c r="J1072" s="48" t="n">
        <f aca="false">IF('RAW CBH'!F245="","",'RAW CBH'!F245)</f>
        <v>13</v>
      </c>
      <c r="K1072" s="50" t="n">
        <f aca="false">IF('RAW CBH'!G245="","",'RAW CBH'!G245)</f>
        <v>170</v>
      </c>
      <c r="L1072" s="50" t="str">
        <f aca="false">IF('RAW CBH'!H245="","",'RAW CBH'!H245)</f>
        <v/>
      </c>
      <c r="M1072" s="48" t="str">
        <f aca="false">IF('RAW CBH'!I245="","",'RAW CBH'!I245)</f>
        <v/>
      </c>
    </row>
    <row r="1073" customFormat="false" ht="15" hidden="false" customHeight="false" outlineLevel="0" collapsed="false">
      <c r="A1073" s="1" t="s">
        <v>2217</v>
      </c>
      <c r="B1073" s="1" t="s">
        <v>156</v>
      </c>
      <c r="C1073" s="1" t="s">
        <v>1149</v>
      </c>
      <c r="D1073" s="1" t="n">
        <v>246</v>
      </c>
      <c r="E1073" s="48" t="str">
        <f aca="false">IF('RAW CBH'!A246="","",'RAW CBH'!A246)</f>
        <v>Diabetes Prevention</v>
      </c>
      <c r="F1073" s="48" t="str">
        <f aca="false">IF('RAW CBH'!B246="","",'RAW CBH'!B246)</f>
        <v>Health Education</v>
      </c>
      <c r="G1073" s="49" t="str">
        <f aca="false">IF('RAW CBH'!D246="","",'RAW CBH'!D246)</f>
        <v>2026-05-28</v>
      </c>
      <c r="H1073" s="48" t="str">
        <f aca="false">IF('RAW CBH'!C246="","",'RAW CBH'!C246)</f>
        <v>Dietitian</v>
      </c>
      <c r="I1073" s="48" t="n">
        <f aca="false">IF('RAW CBH'!E246="","",'RAW CBH'!E246)</f>
        <v>1.75</v>
      </c>
      <c r="J1073" s="48" t="str">
        <f aca="false">IF('RAW CBH'!F246="","",'RAW CBH'!F246)</f>
        <v/>
      </c>
      <c r="K1073" s="50" t="str">
        <f aca="false">IF('RAW CBH'!G246="","",'RAW CBH'!G246)</f>
        <v/>
      </c>
      <c r="L1073" s="50" t="str">
        <f aca="false">IF('RAW CBH'!H246="","",'RAW CBH'!H246)</f>
        <v/>
      </c>
      <c r="M1073" s="48" t="str">
        <f aca="false">IF('RAW CBH'!I246="","",'RAW CBH'!I246)</f>
        <v/>
      </c>
    </row>
    <row r="1074" customFormat="false" ht="15" hidden="false" customHeight="false" outlineLevel="0" collapsed="false">
      <c r="A1074" s="1" t="s">
        <v>2218</v>
      </c>
      <c r="B1074" s="1" t="s">
        <v>156</v>
      </c>
      <c r="C1074" s="1" t="s">
        <v>1149</v>
      </c>
      <c r="D1074" s="1" t="n">
        <v>247</v>
      </c>
      <c r="E1074" s="48" t="str">
        <f aca="false">IF('RAW CBH'!A247="","",'RAW CBH'!A247)</f>
        <v>Matter of Balance Classes</v>
      </c>
      <c r="F1074" s="48" t="str">
        <f aca="false">IF('RAW CBH'!B247="","",'RAW CBH'!B247)</f>
        <v>Health Education</v>
      </c>
      <c r="G1074" s="49" t="str">
        <f aca="false">IF('RAW CBH'!D247="","",'RAW CBH'!D247)</f>
        <v>2026-05-29</v>
      </c>
      <c r="H1074" s="48" t="str">
        <f aca="false">IF('RAW CBH'!C247="","",'RAW CBH'!C247)</f>
        <v>Resp. Therapy</v>
      </c>
      <c r="I1074" s="48" t="n">
        <f aca="false">IF('RAW CBH'!E247="","",'RAW CBH'!E247)</f>
        <v>2</v>
      </c>
      <c r="J1074" s="48" t="n">
        <f aca="false">IF('RAW CBH'!F247="","",'RAW CBH'!F247)</f>
        <v>10</v>
      </c>
      <c r="K1074" s="50" t="n">
        <f aca="false">IF('RAW CBH'!G247="","",'RAW CBH'!G247)</f>
        <v>50</v>
      </c>
      <c r="L1074" s="50" t="str">
        <f aca="false">IF('RAW CBH'!H247="","",'RAW CBH'!H247)</f>
        <v/>
      </c>
      <c r="M1074" s="48" t="str">
        <f aca="false">IF('RAW CBH'!I247="","",'RAW CBH'!I247)</f>
        <v/>
      </c>
    </row>
    <row r="1075" customFormat="false" ht="15" hidden="false" customHeight="false" outlineLevel="0" collapsed="false">
      <c r="A1075" s="1" t="s">
        <v>2219</v>
      </c>
      <c r="B1075" s="1" t="s">
        <v>156</v>
      </c>
      <c r="C1075" s="1" t="s">
        <v>1149</v>
      </c>
      <c r="D1075" s="1" t="n">
        <v>248</v>
      </c>
      <c r="E1075" s="48" t="str">
        <f aca="false">IF('RAW CBH'!A248="","",'RAW CBH'!A248)</f>
        <v>Free Clinic Staffing</v>
      </c>
      <c r="F1075" s="48" t="str">
        <f aca="false">IF('RAW CBH'!B248="","",'RAW CBH'!B248)</f>
        <v>Screenings</v>
      </c>
      <c r="G1075" s="49" t="str">
        <f aca="false">IF('RAW CBH'!D248="","",'RAW CBH'!D248)</f>
        <v>2026-05-31</v>
      </c>
      <c r="H1075" s="48" t="str">
        <f aca="false">IF('RAW CBH'!C248="","",'RAW CBH'!C248)</f>
        <v>APRN</v>
      </c>
      <c r="I1075" s="48" t="n">
        <f aca="false">IF('RAW CBH'!E248="","",'RAW CBH'!E248)</f>
        <v>44.25</v>
      </c>
      <c r="J1075" s="48" t="n">
        <f aca="false">IF('RAW CBH'!F248="","",'RAW CBH'!F248)</f>
        <v>257</v>
      </c>
      <c r="K1075" s="50" t="n">
        <f aca="false">IF('RAW CBH'!G248="","",'RAW CBH'!G248)</f>
        <v>4840</v>
      </c>
      <c r="L1075" s="50" t="str">
        <f aca="false">IF('RAW CBH'!H248="","",'RAW CBH'!H248)</f>
        <v/>
      </c>
      <c r="M1075" s="48" t="str">
        <f aca="false">IF('RAW CBH'!I248="","",'RAW CBH'!I248)</f>
        <v/>
      </c>
    </row>
    <row r="1076" customFormat="false" ht="15" hidden="false" customHeight="false" outlineLevel="0" collapsed="false">
      <c r="A1076" s="1" t="s">
        <v>2220</v>
      </c>
      <c r="B1076" s="1" t="s">
        <v>156</v>
      </c>
      <c r="C1076" s="1" t="s">
        <v>1149</v>
      </c>
      <c r="D1076" s="1" t="n">
        <v>249</v>
      </c>
      <c r="E1076" s="48" t="str">
        <f aca="false">IF('RAW CBH'!A249="","",'RAW CBH'!A249)</f>
        <v>Free Clinic Staffing</v>
      </c>
      <c r="F1076" s="48" t="str">
        <f aca="false">IF('RAW CBH'!B249="","",'RAW CBH'!B249)</f>
        <v>Screenings</v>
      </c>
      <c r="G1076" s="49" t="str">
        <f aca="false">IF('RAW CBH'!D249="","",'RAW CBH'!D249)</f>
        <v>2026-05-31</v>
      </c>
      <c r="H1076" s="48" t="str">
        <f aca="false">IF('RAW CBH'!C249="","",'RAW CBH'!C249)</f>
        <v>RPh</v>
      </c>
      <c r="I1076" s="48" t="n">
        <f aca="false">IF('RAW CBH'!E249="","",'RAW CBH'!E249)</f>
        <v>16.25</v>
      </c>
      <c r="J1076" s="48" t="str">
        <f aca="false">IF('RAW CBH'!F249="","",'RAW CBH'!F249)</f>
        <v/>
      </c>
      <c r="K1076" s="50" t="str">
        <f aca="false">IF('RAW CBH'!G249="","",'RAW CBH'!G249)</f>
        <v/>
      </c>
      <c r="L1076" s="50" t="str">
        <f aca="false">IF('RAW CBH'!H249="","",'RAW CBH'!H249)</f>
        <v/>
      </c>
      <c r="M1076" s="48" t="str">
        <f aca="false">IF('RAW CBH'!I249="","",'RAW CBH'!I249)</f>
        <v/>
      </c>
    </row>
    <row r="1077" customFormat="false" ht="15" hidden="false" customHeight="false" outlineLevel="0" collapsed="false">
      <c r="A1077" s="1" t="s">
        <v>2221</v>
      </c>
      <c r="B1077" s="1" t="s">
        <v>156</v>
      </c>
      <c r="C1077" s="1" t="s">
        <v>1149</v>
      </c>
      <c r="D1077" s="1" t="n">
        <v>250</v>
      </c>
      <c r="E1077" s="48" t="str">
        <f aca="false">IF('RAW CBH'!A250="","",'RAW CBH'!A250)</f>
        <v>Free Clinic Staffing</v>
      </c>
      <c r="F1077" s="48" t="str">
        <f aca="false">IF('RAW CBH'!B250="","",'RAW CBH'!B250)</f>
        <v>Screenings</v>
      </c>
      <c r="G1077" s="49" t="str">
        <f aca="false">IF('RAW CBH'!D250="","",'RAW CBH'!D250)</f>
        <v>2026-05-31</v>
      </c>
      <c r="H1077" s="48" t="str">
        <f aca="false">IF('RAW CBH'!C250="","",'RAW CBH'!C250)</f>
        <v>RN - Outreach</v>
      </c>
      <c r="I1077" s="48" t="n">
        <f aca="false">IF('RAW CBH'!E250="","",'RAW CBH'!E250)</f>
        <v>40.75</v>
      </c>
      <c r="J1077" s="48" t="str">
        <f aca="false">IF('RAW CBH'!F250="","",'RAW CBH'!F250)</f>
        <v/>
      </c>
      <c r="K1077" s="50" t="str">
        <f aca="false">IF('RAW CBH'!G250="","",'RAW CBH'!G250)</f>
        <v/>
      </c>
      <c r="L1077" s="50" t="str">
        <f aca="false">IF('RAW CBH'!H250="","",'RAW CBH'!H250)</f>
        <v/>
      </c>
      <c r="M1077" s="48" t="str">
        <f aca="false">IF('RAW CBH'!I250="","",'RAW CBH'!I250)</f>
        <v/>
      </c>
    </row>
    <row r="1078" customFormat="false" ht="15" hidden="false" customHeight="false" outlineLevel="0" collapsed="false">
      <c r="A1078" s="1" t="s">
        <v>2222</v>
      </c>
      <c r="B1078" s="1" t="s">
        <v>156</v>
      </c>
      <c r="C1078" s="1" t="s">
        <v>1149</v>
      </c>
      <c r="D1078" s="1" t="n">
        <v>251</v>
      </c>
      <c r="E1078" s="48" t="str">
        <f aca="false">IF('RAW CBH'!A251="","",'RAW CBH'!A251)</f>
        <v>Med Assistance</v>
      </c>
      <c r="F1078" s="48" t="str">
        <f aca="false">IF('RAW CBH'!B251="","",'RAW CBH'!B251)</f>
        <v>Patient Support</v>
      </c>
      <c r="G1078" s="49" t="str">
        <f aca="false">IF('RAW CBH'!D251="","",'RAW CBH'!D251)</f>
        <v>2026-05-31</v>
      </c>
      <c r="H1078" s="48" t="str">
        <f aca="false">IF('RAW CBH'!C251="","",'RAW CBH'!C251)</f>
        <v>Nurse Navigator</v>
      </c>
      <c r="I1078" s="48" t="n">
        <f aca="false">IF('RAW CBH'!E251="","",'RAW CBH'!E251)</f>
        <v>73.5</v>
      </c>
      <c r="J1078" s="48" t="str">
        <f aca="false">IF('RAW CBH'!F251="","",'RAW CBH'!F251)</f>
        <v/>
      </c>
      <c r="K1078" s="50" t="str">
        <f aca="false">IF('RAW CBH'!G251="","",'RAW CBH'!G251)</f>
        <v/>
      </c>
      <c r="L1078" s="50" t="str">
        <f aca="false">IF('RAW CBH'!H251="","",'RAW CBH'!H251)</f>
        <v/>
      </c>
      <c r="M1078" s="48" t="str">
        <f aca="false">IF('RAW CBH'!I251="","",'RAW CBH'!I251)</f>
        <v/>
      </c>
    </row>
    <row r="1079" customFormat="false" ht="15" hidden="false" customHeight="false" outlineLevel="0" collapsed="false">
      <c r="A1079" s="1" t="s">
        <v>2223</v>
      </c>
      <c r="B1079" s="1" t="s">
        <v>156</v>
      </c>
      <c r="C1079" s="1" t="s">
        <v>1149</v>
      </c>
      <c r="D1079" s="1" t="n">
        <v>252</v>
      </c>
      <c r="E1079" s="48" t="str">
        <f aca="false">IF('RAW CBH'!A252="","",'RAW CBH'!A252)</f>
        <v>Med Assistance</v>
      </c>
      <c r="F1079" s="48" t="str">
        <f aca="false">IF('RAW CBH'!B252="","",'RAW CBH'!B252)</f>
        <v>Patient Support</v>
      </c>
      <c r="G1079" s="49" t="str">
        <f aca="false">IF('RAW CBH'!D252="","",'RAW CBH'!D252)</f>
        <v>2026-05-31</v>
      </c>
      <c r="H1079" s="48" t="str">
        <f aca="false">IF('RAW CBH'!C252="","",'RAW CBH'!C252)</f>
        <v>PharmD</v>
      </c>
      <c r="I1079" s="48" t="n">
        <f aca="false">IF('RAW CBH'!E252="","",'RAW CBH'!E252)</f>
        <v>16.5</v>
      </c>
      <c r="J1079" s="48" t="n">
        <f aca="false">IF('RAW CBH'!F252="","",'RAW CBH'!F252)</f>
        <v>84</v>
      </c>
      <c r="K1079" s="50" t="n">
        <f aca="false">IF('RAW CBH'!G252="","",'RAW CBH'!G252)</f>
        <v>15840</v>
      </c>
      <c r="L1079" s="50" t="str">
        <f aca="false">IF('RAW CBH'!H252="","",'RAW CBH'!H252)</f>
        <v/>
      </c>
      <c r="M1079" s="48" t="str">
        <f aca="false">IF('RAW CBH'!I252="","",'RAW CBH'!I252)</f>
        <v/>
      </c>
    </row>
    <row r="1080" customFormat="false" ht="15" hidden="false" customHeight="false" outlineLevel="0" collapsed="false">
      <c r="A1080" s="1" t="s">
        <v>2224</v>
      </c>
      <c r="B1080" s="1" t="s">
        <v>156</v>
      </c>
      <c r="C1080" s="1" t="s">
        <v>1149</v>
      </c>
      <c r="D1080" s="1" t="n">
        <v>253</v>
      </c>
      <c r="E1080" s="48" t="str">
        <f aca="false">IF('RAW CBH'!A253="","",'RAW CBH'!A253)</f>
        <v>Community Benefit Admin</v>
      </c>
      <c r="F1080" s="48" t="str">
        <f aca="false">IF('RAW CBH'!B253="","",'RAW CBH'!B253)</f>
        <v>Ops</v>
      </c>
      <c r="G1080" s="49" t="str">
        <f aca="false">IF('RAW CBH'!D253="","",'RAW CBH'!D253)</f>
        <v>2026-05-31</v>
      </c>
      <c r="H1080" s="48" t="str">
        <f aca="false">IF('RAW CBH'!C253="","",'RAW CBH'!C253)</f>
        <v>Admin. Assistant</v>
      </c>
      <c r="I1080" s="48" t="n">
        <f aca="false">IF('RAW CBH'!E253="","",'RAW CBH'!E253)</f>
        <v>53</v>
      </c>
      <c r="J1080" s="48" t="str">
        <f aca="false">IF('RAW CBH'!F253="","",'RAW CBH'!F253)</f>
        <v/>
      </c>
      <c r="K1080" s="50" t="str">
        <f aca="false">IF('RAW CBH'!G253="","",'RAW CBH'!G253)</f>
        <v/>
      </c>
      <c r="L1080" s="50" t="str">
        <f aca="false">IF('RAW CBH'!H253="","",'RAW CBH'!H253)</f>
        <v/>
      </c>
      <c r="M1080" s="48" t="str">
        <f aca="false">IF('RAW CBH'!I253="","",'RAW CBH'!I253)</f>
        <v/>
      </c>
    </row>
    <row r="1081" customFormat="false" ht="15" hidden="false" customHeight="false" outlineLevel="0" collapsed="false">
      <c r="A1081" s="1" t="s">
        <v>2225</v>
      </c>
      <c r="B1081" s="1" t="s">
        <v>156</v>
      </c>
      <c r="C1081" s="1" t="s">
        <v>1149</v>
      </c>
      <c r="D1081" s="1" t="n">
        <v>254</v>
      </c>
      <c r="E1081" s="48" t="str">
        <f aca="false">IF('RAW CBH'!A254="","",'RAW CBH'!A254)</f>
        <v>Community Benefit Admin</v>
      </c>
      <c r="F1081" s="48" t="str">
        <f aca="false">IF('RAW CBH'!B254="","",'RAW CBH'!B254)</f>
        <v>Ops</v>
      </c>
      <c r="G1081" s="49" t="str">
        <f aca="false">IF('RAW CBH'!D254="","",'RAW CBH'!D254)</f>
        <v>2026-05-31</v>
      </c>
      <c r="H1081" s="48" t="str">
        <f aca="false">IF('RAW CBH'!C254="","",'RAW CBH'!C254)</f>
        <v>Community Benefit Mgr</v>
      </c>
      <c r="I1081" s="48" t="n">
        <f aca="false">IF('RAW CBH'!E254="","",'RAW CBH'!E254)</f>
        <v>74</v>
      </c>
      <c r="J1081" s="48" t="str">
        <f aca="false">IF('RAW CBH'!F254="","",'RAW CBH'!F254)</f>
        <v/>
      </c>
      <c r="K1081" s="50" t="n">
        <f aca="false">IF('RAW CBH'!G254="","",'RAW CBH'!G254)</f>
        <v>645</v>
      </c>
      <c r="L1081" s="50" t="str">
        <f aca="false">IF('RAW CBH'!H254="","",'RAW CBH'!H254)</f>
        <v/>
      </c>
      <c r="M1081" s="48" t="str">
        <f aca="false">IF('RAW CBH'!I254="","",'RAW CBH'!I254)</f>
        <v/>
      </c>
    </row>
    <row r="1082" customFormat="false" ht="15" hidden="false" customHeight="false" outlineLevel="0" collapsed="false">
      <c r="A1082" s="1" t="s">
        <v>2226</v>
      </c>
      <c r="B1082" s="1" t="s">
        <v>156</v>
      </c>
      <c r="C1082" s="1" t="s">
        <v>1149</v>
      </c>
      <c r="D1082" s="1" t="n">
        <v>255</v>
      </c>
      <c r="E1082" s="48" t="str">
        <f aca="false">IF('RAW CBH'!A255="","",'RAW CBH'!A255)</f>
        <v>Interpreter Services</v>
      </c>
      <c r="F1082" s="48" t="str">
        <f aca="false">IF('RAW CBH'!B255="","",'RAW CBH'!B255)</f>
        <v>Patient Support</v>
      </c>
      <c r="G1082" s="49" t="str">
        <f aca="false">IF('RAW CBH'!D255="","",'RAW CBH'!D255)</f>
        <v>2026-05-31</v>
      </c>
      <c r="H1082" s="48" t="str">
        <f aca="false">IF('RAW CBH'!C255="","",'RAW CBH'!C255)</f>
        <v>Medical Interpreter</v>
      </c>
      <c r="I1082" s="48" t="n">
        <f aca="false">IF('RAW CBH'!E255="","",'RAW CBH'!E255)</f>
        <v>47.5</v>
      </c>
      <c r="J1082" s="48" t="n">
        <f aca="false">IF('RAW CBH'!F255="","",'RAW CBH'!F255)</f>
        <v>160</v>
      </c>
      <c r="K1082" s="50" t="str">
        <f aca="false">IF('RAW CBH'!G255="","",'RAW CBH'!G255)</f>
        <v/>
      </c>
      <c r="L1082" s="50" t="str">
        <f aca="false">IF('RAW CBH'!H255="","",'RAW CBH'!H255)</f>
        <v/>
      </c>
      <c r="M1082" s="48" t="str">
        <f aca="false">IF('RAW CBH'!I255="","",'RAW CBH'!I255)</f>
        <v/>
      </c>
    </row>
    <row r="1083" customFormat="false" ht="15" hidden="false" customHeight="false" outlineLevel="0" collapsed="false">
      <c r="A1083" s="1" t="s">
        <v>2227</v>
      </c>
      <c r="B1083" s="1" t="s">
        <v>156</v>
      </c>
      <c r="C1083" s="1" t="s">
        <v>1149</v>
      </c>
      <c r="D1083" s="1" t="n">
        <v>256</v>
      </c>
      <c r="E1083" s="48" t="str">
        <f aca="false">IF('RAW CBH'!A256="","",'RAW CBH'!A256)</f>
        <v>Nursing Student Rotations</v>
      </c>
      <c r="F1083" s="48" t="str">
        <f aca="false">IF('RAW CBH'!B256="","",'RAW CBH'!B256)</f>
        <v>Education - Health Professions</v>
      </c>
      <c r="G1083" s="49" t="str">
        <f aca="false">IF('RAW CBH'!D256="","",'RAW CBH'!D256)</f>
        <v>2026-05-31</v>
      </c>
      <c r="H1083" s="48" t="str">
        <f aca="false">IF('RAW CBH'!C256="","",'RAW CBH'!C256)</f>
        <v>Preceptor RN</v>
      </c>
      <c r="I1083" s="48" t="n">
        <f aca="false">IF('RAW CBH'!E256="","",'RAW CBH'!E256)</f>
        <v>124.5</v>
      </c>
      <c r="J1083" s="48" t="n">
        <f aca="false">IF('RAW CBH'!F256="","",'RAW CBH'!F256)</f>
        <v>28</v>
      </c>
      <c r="K1083" s="50" t="n">
        <f aca="false">IF('RAW CBH'!G256="","",'RAW CBH'!G256)</f>
        <v>740</v>
      </c>
      <c r="L1083" s="50" t="str">
        <f aca="false">IF('RAW CBH'!H256="","",'RAW CBH'!H256)</f>
        <v/>
      </c>
      <c r="M1083" s="48" t="str">
        <f aca="false">IF('RAW CBH'!I256="","",'RAW CBH'!I256)</f>
        <v/>
      </c>
    </row>
    <row r="1084" customFormat="false" ht="15" hidden="false" customHeight="false" outlineLevel="0" collapsed="false">
      <c r="A1084" s="1" t="s">
        <v>2228</v>
      </c>
      <c r="B1084" s="1" t="s">
        <v>156</v>
      </c>
      <c r="C1084" s="1" t="s">
        <v>1149</v>
      </c>
      <c r="D1084" s="1" t="n">
        <v>257</v>
      </c>
      <c r="E1084" s="48" t="str">
        <f aca="false">IF('RAW CBH'!A257="","",'RAW CBH'!A257)</f>
        <v>Nursing Student Rotations</v>
      </c>
      <c r="F1084" s="48" t="str">
        <f aca="false">IF('RAW CBH'!B257="","",'RAW CBH'!B257)</f>
        <v>Education - Health Professions</v>
      </c>
      <c r="G1084" s="49" t="str">
        <f aca="false">IF('RAW CBH'!D257="","",'RAW CBH'!D257)</f>
        <v>2026-05-31</v>
      </c>
      <c r="H1084" s="48" t="str">
        <f aca="false">IF('RAW CBH'!C257="","",'RAW CBH'!C257)</f>
        <v>RN II</v>
      </c>
      <c r="I1084" s="48" t="n">
        <f aca="false">IF('RAW CBH'!E257="","",'RAW CBH'!E257)</f>
        <v>166.75</v>
      </c>
      <c r="J1084" s="48" t="str">
        <f aca="false">IF('RAW CBH'!F257="","",'RAW CBH'!F257)</f>
        <v/>
      </c>
      <c r="K1084" s="50" t="str">
        <f aca="false">IF('RAW CBH'!G257="","",'RAW CBH'!G257)</f>
        <v/>
      </c>
      <c r="L1084" s="50" t="str">
        <f aca="false">IF('RAW CBH'!H257="","",'RAW CBH'!H257)</f>
        <v/>
      </c>
      <c r="M1084" s="48" t="str">
        <f aca="false">IF('RAW CBH'!I257="","",'RAW CBH'!I257)</f>
        <v/>
      </c>
    </row>
    <row r="1085" customFormat="false" ht="15" hidden="false" customHeight="false" outlineLevel="0" collapsed="false">
      <c r="A1085" s="1" t="s">
        <v>2229</v>
      </c>
      <c r="B1085" s="1" t="s">
        <v>156</v>
      </c>
      <c r="C1085" s="1" t="s">
        <v>1149</v>
      </c>
      <c r="D1085" s="1" t="n">
        <v>258</v>
      </c>
      <c r="E1085" s="48" t="str">
        <f aca="false">IF('RAW CBH'!A258="","",'RAW CBH'!A258)</f>
        <v>Pharmacy Students</v>
      </c>
      <c r="F1085" s="48" t="str">
        <f aca="false">IF('RAW CBH'!B258="","",'RAW CBH'!B258)</f>
        <v>Education - Health Professions</v>
      </c>
      <c r="G1085" s="49" t="str">
        <f aca="false">IF('RAW CBH'!D258="","",'RAW CBH'!D258)</f>
        <v>2026-05-31</v>
      </c>
      <c r="H1085" s="48" t="str">
        <f aca="false">IF('RAW CBH'!C258="","",'RAW CBH'!C258)</f>
        <v>RPh</v>
      </c>
      <c r="I1085" s="48" t="n">
        <f aca="false">IF('RAW CBH'!E258="","",'RAW CBH'!E258)</f>
        <v>40.75</v>
      </c>
      <c r="J1085" s="48" t="n">
        <f aca="false">IF('RAW CBH'!F258="","",'RAW CBH'!F258)</f>
        <v>2</v>
      </c>
      <c r="K1085" s="50" t="n">
        <f aca="false">IF('RAW CBH'!G258="","",'RAW CBH'!G258)</f>
        <v>175</v>
      </c>
      <c r="L1085" s="50" t="str">
        <f aca="false">IF('RAW CBH'!H258="","",'RAW CBH'!H258)</f>
        <v/>
      </c>
      <c r="M1085" s="48" t="str">
        <f aca="false">IF('RAW CBH'!I258="","",'RAW CBH'!I258)</f>
        <v/>
      </c>
    </row>
    <row r="1086" customFormat="false" ht="15" hidden="false" customHeight="false" outlineLevel="0" collapsed="false">
      <c r="A1086" s="1" t="s">
        <v>2230</v>
      </c>
      <c r="B1086" s="1" t="s">
        <v>156</v>
      </c>
      <c r="C1086" s="1" t="s">
        <v>1149</v>
      </c>
      <c r="D1086" s="1" t="n">
        <v>259</v>
      </c>
      <c r="E1086" s="48" t="str">
        <f aca="false">IF('RAW CBH'!A259="","",'RAW CBH'!A259)</f>
        <v>Blood Pressure Screening</v>
      </c>
      <c r="F1086" s="48" t="str">
        <f aca="false">IF('RAW CBH'!B259="","",'RAW CBH'!B259)</f>
        <v>Screenings</v>
      </c>
      <c r="G1086" s="49" t="str">
        <f aca="false">IF('RAW CBH'!D259="","",'RAW CBH'!D259)</f>
        <v>2026-06-01</v>
      </c>
      <c r="H1086" s="48" t="str">
        <f aca="false">IF('RAW CBH'!C259="","",'RAW CBH'!C259)</f>
        <v> RN II</v>
      </c>
      <c r="I1086" s="48" t="n">
        <f aca="false">IF('RAW CBH'!E259="","",'RAW CBH'!E259)</f>
        <v>4.25</v>
      </c>
      <c r="J1086" s="48" t="n">
        <f aca="false">IF('RAW CBH'!F259="","",'RAW CBH'!F259)</f>
        <v>39</v>
      </c>
      <c r="K1086" s="50" t="n">
        <f aca="false">IF('RAW CBH'!G259="","",'RAW CBH'!G259)</f>
        <v>55</v>
      </c>
      <c r="L1086" s="50" t="str">
        <f aca="false">IF('RAW CBH'!H259="","",'RAW CBH'!H259)</f>
        <v/>
      </c>
      <c r="M1086" s="48" t="str">
        <f aca="false">IF('RAW CBH'!I259="","",'RAW CBH'!I259)</f>
        <v/>
      </c>
    </row>
    <row r="1087" customFormat="false" ht="15" hidden="false" customHeight="false" outlineLevel="0" collapsed="false">
      <c r="A1087" s="1" t="s">
        <v>2231</v>
      </c>
      <c r="B1087" s="1" t="s">
        <v>156</v>
      </c>
      <c r="C1087" s="1" t="s">
        <v>1149</v>
      </c>
      <c r="D1087" s="1" t="n">
        <v>260</v>
      </c>
      <c r="E1087" s="48" t="str">
        <f aca="false">IF('RAW CBH'!A260="","",'RAW CBH'!A260)</f>
        <v>Bereavement Group</v>
      </c>
      <c r="F1087" s="48" t="str">
        <f aca="false">IF('RAW CBH'!B260="","",'RAW CBH'!B260)</f>
        <v>Patient Support</v>
      </c>
      <c r="G1087" s="49" t="str">
        <f aca="false">IF('RAW CBH'!D260="","",'RAW CBH'!D260)</f>
        <v>2026-06-03</v>
      </c>
      <c r="H1087" s="48" t="str">
        <f aca="false">IF('RAW CBH'!C260="","",'RAW CBH'!C260)</f>
        <v>Pastoral Care</v>
      </c>
      <c r="I1087" s="48" t="n">
        <f aca="false">IF('RAW CBH'!E260="","",'RAW CBH'!E260)</f>
        <v>2.25</v>
      </c>
      <c r="J1087" s="48" t="n">
        <f aca="false">IF('RAW CBH'!F260="","",'RAW CBH'!F260)</f>
        <v>15</v>
      </c>
      <c r="K1087" s="50" t="n">
        <f aca="false">IF('RAW CBH'!G260="","",'RAW CBH'!G260)</f>
        <v>35</v>
      </c>
      <c r="L1087" s="50" t="str">
        <f aca="false">IF('RAW CBH'!H260="","",'RAW CBH'!H260)</f>
        <v/>
      </c>
      <c r="M1087" s="48" t="str">
        <f aca="false">IF('RAW CBH'!I260="","",'RAW CBH'!I260)</f>
        <v/>
      </c>
    </row>
    <row r="1088" customFormat="false" ht="15" hidden="false" customHeight="false" outlineLevel="0" collapsed="false">
      <c r="A1088" s="1" t="s">
        <v>2232</v>
      </c>
      <c r="B1088" s="1" t="s">
        <v>156</v>
      </c>
      <c r="C1088" s="1" t="s">
        <v>1149</v>
      </c>
      <c r="D1088" s="1" t="n">
        <v>261</v>
      </c>
      <c r="E1088" s="48" t="str">
        <f aca="false">IF('RAW CBH'!A261="","",'RAW CBH'!A261)</f>
        <v>Bereavement Group</v>
      </c>
      <c r="F1088" s="48" t="str">
        <f aca="false">IF('RAW CBH'!B261="","",'RAW CBH'!B261)</f>
        <v>Patient Support</v>
      </c>
      <c r="G1088" s="49" t="str">
        <f aca="false">IF('RAW CBH'!D261="","",'RAW CBH'!D261)</f>
        <v>2026-06-03</v>
      </c>
      <c r="H1088" s="48" t="str">
        <f aca="false">IF('RAW CBH'!C261="","",'RAW CBH'!C261)</f>
        <v>LMSW</v>
      </c>
      <c r="I1088" s="48" t="n">
        <f aca="false">IF('RAW CBH'!E261="","",'RAW CBH'!E261)</f>
        <v>2</v>
      </c>
      <c r="J1088" s="48" t="str">
        <f aca="false">IF('RAW CBH'!F261="","",'RAW CBH'!F261)</f>
        <v/>
      </c>
      <c r="K1088" s="50" t="str">
        <f aca="false">IF('RAW CBH'!G261="","",'RAW CBH'!G261)</f>
        <v/>
      </c>
      <c r="L1088" s="50" t="str">
        <f aca="false">IF('RAW CBH'!H261="","",'RAW CBH'!H261)</f>
        <v/>
      </c>
      <c r="M1088" s="48" t="str">
        <f aca="false">IF('RAW CBH'!I261="","",'RAW CBH'!I261)</f>
        <v/>
      </c>
    </row>
    <row r="1089" customFormat="false" ht="15" hidden="false" customHeight="false" outlineLevel="0" collapsed="false">
      <c r="A1089" s="1" t="s">
        <v>2233</v>
      </c>
      <c r="B1089" s="1" t="s">
        <v>156</v>
      </c>
      <c r="C1089" s="1" t="s">
        <v>1149</v>
      </c>
      <c r="D1089" s="1" t="n">
        <v>262</v>
      </c>
      <c r="E1089" s="48" t="str">
        <f aca="false">IF('RAW CBH'!A262="","",'RAW CBH'!A262)</f>
        <v>Matter of Balance Classes</v>
      </c>
      <c r="F1089" s="48" t="str">
        <f aca="false">IF('RAW CBH'!B262="","",'RAW CBH'!B262)</f>
        <v>Health Education</v>
      </c>
      <c r="G1089" s="49" t="str">
        <f aca="false">IF('RAW CBH'!D262="","",'RAW CBH'!D262)</f>
        <v>2026-06-03</v>
      </c>
      <c r="H1089" s="48" t="str">
        <f aca="false">IF('RAW CBH'!C262="","",'RAW CBH'!C262)</f>
        <v>RT</v>
      </c>
      <c r="I1089" s="48" t="n">
        <f aca="false">IF('RAW CBH'!E262="","",'RAW CBH'!E262)</f>
        <v>2</v>
      </c>
      <c r="J1089" s="48" t="n">
        <f aca="false">IF('RAW CBH'!F262="","",'RAW CBH'!F262)</f>
        <v>16</v>
      </c>
      <c r="K1089" s="50" t="n">
        <f aca="false">IF('RAW CBH'!G262="","",'RAW CBH'!G262)</f>
        <v>105</v>
      </c>
      <c r="L1089" s="50" t="str">
        <f aca="false">IF('RAW CBH'!H262="","",'RAW CBH'!H262)</f>
        <v/>
      </c>
      <c r="M1089" s="48" t="str">
        <f aca="false">IF('RAW CBH'!I262="","",'RAW CBH'!I262)</f>
        <v/>
      </c>
    </row>
    <row r="1090" customFormat="false" ht="15" hidden="false" customHeight="false" outlineLevel="0" collapsed="false">
      <c r="A1090" s="1" t="s">
        <v>2234</v>
      </c>
      <c r="B1090" s="1" t="s">
        <v>156</v>
      </c>
      <c r="C1090" s="1" t="s">
        <v>1149</v>
      </c>
      <c r="D1090" s="1" t="n">
        <v>263</v>
      </c>
      <c r="E1090" s="48" t="str">
        <f aca="false">IF('RAW CBH'!A263="","",'RAW CBH'!A263)</f>
        <v>Naloxone Training</v>
      </c>
      <c r="F1090" s="48" t="str">
        <f aca="false">IF('RAW CBH'!B263="","",'RAW CBH'!B263)</f>
        <v>Health Education</v>
      </c>
      <c r="G1090" s="49" t="str">
        <f aca="false">IF('RAW CBH'!D263="","",'RAW CBH'!D263)</f>
        <v>2026-06-18</v>
      </c>
      <c r="H1090" s="48" t="str">
        <f aca="false">IF('RAW CBH'!C263="","",'RAW CBH'!C263)</f>
        <v>Health Educator</v>
      </c>
      <c r="I1090" s="48" t="n">
        <f aca="false">IF('RAW CBH'!E263="","",'RAW CBH'!E263)</f>
        <v>2.75</v>
      </c>
      <c r="J1090" s="48" t="str">
        <f aca="false">IF('RAW CBH'!F263="","",'RAW CBH'!F263)</f>
        <v/>
      </c>
      <c r="K1090" s="50" t="str">
        <f aca="false">IF('RAW CBH'!G263="","",'RAW CBH'!G263)</f>
        <v/>
      </c>
      <c r="L1090" s="50" t="str">
        <f aca="false">IF('RAW CBH'!H263="","",'RAW CBH'!H263)</f>
        <v/>
      </c>
      <c r="M1090" s="48" t="str">
        <f aca="false">IF('RAW CBH'!I263="","",'RAW CBH'!I263)</f>
        <v/>
      </c>
    </row>
    <row r="1091" customFormat="false" ht="15" hidden="false" customHeight="false" outlineLevel="0" collapsed="false">
      <c r="A1091" s="1" t="s">
        <v>2235</v>
      </c>
      <c r="B1091" s="1" t="s">
        <v>156</v>
      </c>
      <c r="C1091" s="1" t="s">
        <v>1149</v>
      </c>
      <c r="D1091" s="1" t="n">
        <v>264</v>
      </c>
      <c r="E1091" s="48" t="str">
        <f aca="false">IF('RAW CBH'!A264="","",'RAW CBH'!A264)</f>
        <v>Naloxone Training</v>
      </c>
      <c r="F1091" s="48" t="str">
        <f aca="false">IF('RAW CBH'!B264="","",'RAW CBH'!B264)</f>
        <v>Health Education</v>
      </c>
      <c r="G1091" s="49" t="str">
        <f aca="false">IF('RAW CBH'!D264="","",'RAW CBH'!D264)</f>
        <v>2026-06-18</v>
      </c>
      <c r="H1091" s="48" t="str">
        <f aca="false">IF('RAW CBH'!C264="","",'RAW CBH'!C264)</f>
        <v>Staff Pharmacist</v>
      </c>
      <c r="I1091" s="48" t="n">
        <f aca="false">IF('RAW CBH'!E264="","",'RAW CBH'!E264)</f>
        <v>2.5</v>
      </c>
      <c r="J1091" s="48" t="n">
        <f aca="false">IF('RAW CBH'!F264="","",'RAW CBH'!F264)</f>
        <v>19</v>
      </c>
      <c r="K1091" s="50" t="n">
        <f aca="false">IF('RAW CBH'!G264="","",'RAW CBH'!G264)</f>
        <v>1425</v>
      </c>
      <c r="L1091" s="50" t="n">
        <f aca="false">IF('RAW CBH'!H264="","",'RAW CBH'!H264)</f>
        <v>1385</v>
      </c>
      <c r="M1091" s="48" t="str">
        <f aca="false">IF('RAW CBH'!I264="","",'RAW CBH'!I264)</f>
        <v/>
      </c>
    </row>
    <row r="1092" customFormat="false" ht="15" hidden="false" customHeight="false" outlineLevel="0" collapsed="false">
      <c r="A1092" s="1" t="s">
        <v>2236</v>
      </c>
      <c r="B1092" s="1" t="s">
        <v>156</v>
      </c>
      <c r="C1092" s="1" t="s">
        <v>1149</v>
      </c>
      <c r="D1092" s="1" t="n">
        <v>265</v>
      </c>
      <c r="E1092" s="48" t="str">
        <f aca="false">IF('RAW CBH'!A265="","",'RAW CBH'!A265)</f>
        <v>Diabetes Prevention</v>
      </c>
      <c r="F1092" s="48" t="str">
        <f aca="false">IF('RAW CBH'!B265="","",'RAW CBH'!B265)</f>
        <v>Health Education</v>
      </c>
      <c r="G1092" s="49" t="str">
        <f aca="false">IF('RAW CBH'!D265="","",'RAW CBH'!D265)</f>
        <v>2026-06-19</v>
      </c>
      <c r="H1092" s="48" t="str">
        <f aca="false">IF('RAW CBH'!C265="","",'RAW CBH'!C265)</f>
        <v>health education specialist</v>
      </c>
      <c r="I1092" s="48" t="n">
        <f aca="false">IF('RAW CBH'!E265="","",'RAW CBH'!E265)</f>
        <v>2</v>
      </c>
      <c r="J1092" s="48" t="n">
        <f aca="false">IF('RAW CBH'!F265="","",'RAW CBH'!F265)</f>
        <v>9</v>
      </c>
      <c r="K1092" s="50" t="n">
        <f aca="false">IF('RAW CBH'!G265="","",'RAW CBH'!G265)</f>
        <v>65</v>
      </c>
      <c r="L1092" s="50" t="str">
        <f aca="false">IF('RAW CBH'!H265="","",'RAW CBH'!H265)</f>
        <v/>
      </c>
      <c r="M1092" s="48" t="str">
        <f aca="false">IF('RAW CBH'!I265="","",'RAW CBH'!I265)</f>
        <v/>
      </c>
    </row>
    <row r="1093" customFormat="false" ht="15" hidden="false" customHeight="false" outlineLevel="0" collapsed="false">
      <c r="A1093" s="1" t="s">
        <v>2237</v>
      </c>
      <c r="B1093" s="1" t="s">
        <v>156</v>
      </c>
      <c r="C1093" s="1" t="s">
        <v>1149</v>
      </c>
      <c r="D1093" s="1" t="n">
        <v>266</v>
      </c>
      <c r="E1093" s="48" t="str">
        <f aca="false">IF('RAW CBH'!A266="","",'RAW CBH'!A266)</f>
        <v>Diabetes Prevention</v>
      </c>
      <c r="F1093" s="48" t="str">
        <f aca="false">IF('RAW CBH'!B266="","",'RAW CBH'!B266)</f>
        <v>Health Education</v>
      </c>
      <c r="G1093" s="49" t="str">
        <f aca="false">IF('RAW CBH'!D266="","",'RAW CBH'!D266)</f>
        <v>2026-06-19</v>
      </c>
      <c r="H1093" s="48" t="str">
        <f aca="false">IF('RAW CBH'!C266="","",'RAW CBH'!C266)</f>
        <v>Dietitian</v>
      </c>
      <c r="I1093" s="48" t="n">
        <f aca="false">IF('RAW CBH'!E266="","",'RAW CBH'!E266)</f>
        <v>1.5</v>
      </c>
      <c r="J1093" s="48" t="str">
        <f aca="false">IF('RAW CBH'!F266="","",'RAW CBH'!F266)</f>
        <v/>
      </c>
      <c r="K1093" s="50" t="str">
        <f aca="false">IF('RAW CBH'!G266="","",'RAW CBH'!G266)</f>
        <v/>
      </c>
      <c r="L1093" s="50" t="str">
        <f aca="false">IF('RAW CBH'!H266="","",'RAW CBH'!H266)</f>
        <v/>
      </c>
      <c r="M1093" s="48" t="str">
        <f aca="false">IF('RAW CBH'!I266="","",'RAW CBH'!I266)</f>
        <v/>
      </c>
    </row>
    <row r="1094" customFormat="false" ht="15" hidden="false" customHeight="false" outlineLevel="0" collapsed="false">
      <c r="A1094" s="1" t="s">
        <v>2238</v>
      </c>
      <c r="B1094" s="1" t="s">
        <v>156</v>
      </c>
      <c r="C1094" s="1" t="s">
        <v>1149</v>
      </c>
      <c r="D1094" s="1" t="n">
        <v>267</v>
      </c>
      <c r="E1094" s="48" t="str">
        <f aca="false">IF('RAW CBH'!A267="","",'RAW CBH'!A267)</f>
        <v>Matter of Balance Classes</v>
      </c>
      <c r="F1094" s="48" t="str">
        <f aca="false">IF('RAW CBH'!B267="","",'RAW CBH'!B267)</f>
        <v>Health Education</v>
      </c>
      <c r="G1094" s="49" t="str">
        <f aca="false">IF('RAW CBH'!D267="","",'RAW CBH'!D267)</f>
        <v>2026-06-20</v>
      </c>
      <c r="H1094" s="48" t="str">
        <f aca="false">IF('RAW CBH'!C267="","",'RAW CBH'!C267)</f>
        <v>Physical Therapist</v>
      </c>
      <c r="I1094" s="48" t="n">
        <f aca="false">IF('RAW CBH'!E267="","",'RAW CBH'!E267)</f>
        <v>2</v>
      </c>
      <c r="J1094" s="48" t="n">
        <f aca="false">IF('RAW CBH'!F267="","",'RAW CBH'!F267)</f>
        <v>10</v>
      </c>
      <c r="K1094" s="50" t="n">
        <f aca="false">IF('RAW CBH'!G267="","",'RAW CBH'!G267)</f>
        <v>95</v>
      </c>
      <c r="L1094" s="50" t="str">
        <f aca="false">IF('RAW CBH'!H267="","",'RAW CBH'!H267)</f>
        <v/>
      </c>
      <c r="M1094" s="48" t="str">
        <f aca="false">IF('RAW CBH'!I267="","",'RAW CBH'!I267)</f>
        <v/>
      </c>
    </row>
    <row r="1095" customFormat="false" ht="15" hidden="false" customHeight="false" outlineLevel="0" collapsed="false">
      <c r="A1095" s="1" t="s">
        <v>2239</v>
      </c>
      <c r="B1095" s="1" t="s">
        <v>156</v>
      </c>
      <c r="C1095" s="1" t="s">
        <v>1149</v>
      </c>
      <c r="D1095" s="1" t="n">
        <v>268</v>
      </c>
      <c r="E1095" s="48" t="str">
        <f aca="false">IF('RAW CBH'!A268="","",'RAW CBH'!A268)</f>
        <v>Bereavement Group</v>
      </c>
      <c r="F1095" s="48" t="str">
        <f aca="false">IF('RAW CBH'!B268="","",'RAW CBH'!B268)</f>
        <v>Patient Support</v>
      </c>
      <c r="G1095" s="49" t="str">
        <f aca="false">IF('RAW CBH'!D268="","",'RAW CBH'!D268)</f>
        <v>2026-06-29</v>
      </c>
      <c r="H1095" s="48" t="str">
        <f aca="false">IF('RAW CBH'!C268="","",'RAW CBH'!C268)</f>
        <v>Spiritual Care </v>
      </c>
      <c r="I1095" s="48" t="n">
        <f aca="false">IF('RAW CBH'!E268="","",'RAW CBH'!E268)</f>
        <v>2.5</v>
      </c>
      <c r="J1095" s="48" t="n">
        <f aca="false">IF('RAW CBH'!F268="","",'RAW CBH'!F268)</f>
        <v>9</v>
      </c>
      <c r="K1095" s="50" t="n">
        <f aca="false">IF('RAW CBH'!G268="","",'RAW CBH'!G268)</f>
        <v>35</v>
      </c>
      <c r="L1095" s="50" t="str">
        <f aca="false">IF('RAW CBH'!H268="","",'RAW CBH'!H268)</f>
        <v/>
      </c>
      <c r="M1095" s="48" t="str">
        <f aca="false">IF('RAW CBH'!I268="","",'RAW CBH'!I268)</f>
        <v/>
      </c>
    </row>
    <row r="1096" customFormat="false" ht="15" hidden="false" customHeight="false" outlineLevel="0" collapsed="false">
      <c r="A1096" s="1" t="s">
        <v>2240</v>
      </c>
      <c r="B1096" s="1" t="s">
        <v>156</v>
      </c>
      <c r="C1096" s="1" t="s">
        <v>1149</v>
      </c>
      <c r="D1096" s="1" t="n">
        <v>269</v>
      </c>
      <c r="E1096" s="48" t="str">
        <f aca="false">IF('RAW CBH'!A269="","",'RAW CBH'!A269)</f>
        <v>Bereavement Group</v>
      </c>
      <c r="F1096" s="48" t="str">
        <f aca="false">IF('RAW CBH'!B269="","",'RAW CBH'!B269)</f>
        <v>Patient Support</v>
      </c>
      <c r="G1096" s="49" t="str">
        <f aca="false">IF('RAW CBH'!D269="","",'RAW CBH'!D269)</f>
        <v>2026-06-29</v>
      </c>
      <c r="H1096" s="48" t="str">
        <f aca="false">IF('RAW CBH'!C269="","",'RAW CBH'!C269)</f>
        <v>MSW</v>
      </c>
      <c r="I1096" s="48" t="n">
        <f aca="false">IF('RAW CBH'!E269="","",'RAW CBH'!E269)</f>
        <v>1.75</v>
      </c>
      <c r="J1096" s="48" t="str">
        <f aca="false">IF('RAW CBH'!F269="","",'RAW CBH'!F269)</f>
        <v/>
      </c>
      <c r="K1096" s="50" t="str">
        <f aca="false">IF('RAW CBH'!G269="","",'RAW CBH'!G269)</f>
        <v/>
      </c>
      <c r="L1096" s="50" t="str">
        <f aca="false">IF('RAW CBH'!H269="","",'RAW CBH'!H269)</f>
        <v/>
      </c>
      <c r="M1096" s="48" t="str">
        <f aca="false">IF('RAW CBH'!I269="","",'RAW CBH'!I269)</f>
        <v/>
      </c>
    </row>
    <row r="1097" customFormat="false" ht="15" hidden="false" customHeight="false" outlineLevel="0" collapsed="false">
      <c r="A1097" s="1" t="s">
        <v>2241</v>
      </c>
      <c r="B1097" s="1" t="s">
        <v>156</v>
      </c>
      <c r="C1097" s="1" t="s">
        <v>1149</v>
      </c>
      <c r="D1097" s="1" t="n">
        <v>270</v>
      </c>
      <c r="E1097" s="48" t="str">
        <f aca="false">IF('RAW CBH'!A270="","",'RAW CBH'!A270)</f>
        <v>Free Clinic Staffing</v>
      </c>
      <c r="F1097" s="48" t="str">
        <f aca="false">IF('RAW CBH'!B270="","",'RAW CBH'!B270)</f>
        <v>Screenings</v>
      </c>
      <c r="G1097" s="49" t="str">
        <f aca="false">IF('RAW CBH'!D270="","",'RAW CBH'!D270)</f>
        <v>2026-06-30</v>
      </c>
      <c r="H1097" s="48" t="str">
        <f aca="false">IF('RAW CBH'!C270="","",'RAW CBH'!C270)</f>
        <v>N.P.</v>
      </c>
      <c r="I1097" s="48" t="n">
        <f aca="false">IF('RAW CBH'!E270="","",'RAW CBH'!E270)</f>
        <v>41.75</v>
      </c>
      <c r="J1097" s="48" t="n">
        <f aca="false">IF('RAW CBH'!F270="","",'RAW CBH'!F270)</f>
        <v>205</v>
      </c>
      <c r="K1097" s="50" t="n">
        <f aca="false">IF('RAW CBH'!G270="","",'RAW CBH'!G270)</f>
        <v>3210</v>
      </c>
      <c r="L1097" s="50" t="str">
        <f aca="false">IF('RAW CBH'!H270="","",'RAW CBH'!H270)</f>
        <v/>
      </c>
      <c r="M1097" s="48" t="str">
        <f aca="false">IF('RAW CBH'!I270="","",'RAW CBH'!I270)</f>
        <v/>
      </c>
    </row>
    <row r="1098" customFormat="false" ht="15" hidden="false" customHeight="false" outlineLevel="0" collapsed="false">
      <c r="A1098" s="1" t="s">
        <v>2242</v>
      </c>
      <c r="B1098" s="1" t="s">
        <v>156</v>
      </c>
      <c r="C1098" s="1" t="s">
        <v>1149</v>
      </c>
      <c r="D1098" s="1" t="n">
        <v>271</v>
      </c>
      <c r="E1098" s="48" t="str">
        <f aca="false">IF('RAW CBH'!A271="","",'RAW CBH'!A271)</f>
        <v>Free Clinic Staffing</v>
      </c>
      <c r="F1098" s="48" t="str">
        <f aca="false">IF('RAW CBH'!B271="","",'RAW CBH'!B271)</f>
        <v>Screenings</v>
      </c>
      <c r="G1098" s="49" t="str">
        <f aca="false">IF('RAW CBH'!D271="","",'RAW CBH'!D271)</f>
        <v>2026-06-30</v>
      </c>
      <c r="H1098" s="48" t="str">
        <f aca="false">IF('RAW CBH'!C271="","",'RAW CBH'!C271)</f>
        <v>Clinical Pharmacist</v>
      </c>
      <c r="I1098" s="48" t="n">
        <f aca="false">IF('RAW CBH'!E271="","",'RAW CBH'!E271)</f>
        <v>11.25</v>
      </c>
      <c r="J1098" s="48" t="str">
        <f aca="false">IF('RAW CBH'!F271="","",'RAW CBH'!F271)</f>
        <v/>
      </c>
      <c r="K1098" s="50" t="str">
        <f aca="false">IF('RAW CBH'!G271="","",'RAW CBH'!G271)</f>
        <v/>
      </c>
      <c r="L1098" s="50" t="str">
        <f aca="false">IF('RAW CBH'!H271="","",'RAW CBH'!H271)</f>
        <v/>
      </c>
      <c r="M1098" s="48" t="str">
        <f aca="false">IF('RAW CBH'!I271="","",'RAW CBH'!I271)</f>
        <v/>
      </c>
    </row>
    <row r="1099" customFormat="false" ht="15" hidden="false" customHeight="false" outlineLevel="0" collapsed="false">
      <c r="A1099" s="1" t="s">
        <v>2243</v>
      </c>
      <c r="B1099" s="1" t="s">
        <v>156</v>
      </c>
      <c r="C1099" s="1" t="s">
        <v>1149</v>
      </c>
      <c r="D1099" s="1" t="n">
        <v>272</v>
      </c>
      <c r="E1099" s="48" t="str">
        <f aca="false">IF('RAW CBH'!A272="","",'RAW CBH'!A272)</f>
        <v>Free Clinic Staffing</v>
      </c>
      <c r="F1099" s="48" t="str">
        <f aca="false">IF('RAW CBH'!B272="","",'RAW CBH'!B272)</f>
        <v>Screenings</v>
      </c>
      <c r="G1099" s="49" t="str">
        <f aca="false">IF('RAW CBH'!D272="","",'RAW CBH'!D272)</f>
        <v>2026-06-30</v>
      </c>
      <c r="H1099" s="48" t="str">
        <f aca="false">IF('RAW CBH'!C272="","",'RAW CBH'!C272)</f>
        <v> Charge RN</v>
      </c>
      <c r="I1099" s="48" t="n">
        <f aca="false">IF('RAW CBH'!E272="","",'RAW CBH'!E272)</f>
        <v>35</v>
      </c>
      <c r="J1099" s="48" t="str">
        <f aca="false">IF('RAW CBH'!F272="","",'RAW CBH'!F272)</f>
        <v/>
      </c>
      <c r="K1099" s="50" t="str">
        <f aca="false">IF('RAW CBH'!G272="","",'RAW CBH'!G272)</f>
        <v/>
      </c>
      <c r="L1099" s="50" t="str">
        <f aca="false">IF('RAW CBH'!H272="","",'RAW CBH'!H272)</f>
        <v/>
      </c>
      <c r="M1099" s="48" t="str">
        <f aca="false">IF('RAW CBH'!I272="","",'RAW CBH'!I272)</f>
        <v/>
      </c>
    </row>
    <row r="1100" customFormat="false" ht="15" hidden="false" customHeight="false" outlineLevel="0" collapsed="false">
      <c r="A1100" s="1" t="s">
        <v>2244</v>
      </c>
      <c r="B1100" s="1" t="s">
        <v>156</v>
      </c>
      <c r="C1100" s="1" t="s">
        <v>1149</v>
      </c>
      <c r="D1100" s="1" t="n">
        <v>273</v>
      </c>
      <c r="E1100" s="48" t="str">
        <f aca="false">IF('RAW CBH'!A273="","",'RAW CBH'!A273)</f>
        <v>Med Assistance</v>
      </c>
      <c r="F1100" s="48" t="str">
        <f aca="false">IF('RAW CBH'!B273="","",'RAW CBH'!B273)</f>
        <v>Patient Support</v>
      </c>
      <c r="G1100" s="49" t="str">
        <f aca="false">IF('RAW CBH'!D273="","",'RAW CBH'!D273)</f>
        <v>2026-06-30</v>
      </c>
      <c r="H1100" s="48" t="str">
        <f aca="false">IF('RAW CBH'!C273="","",'RAW CBH'!C273)</f>
        <v>Navigator</v>
      </c>
      <c r="I1100" s="48" t="n">
        <f aca="false">IF('RAW CBH'!E273="","",'RAW CBH'!E273)</f>
        <v>70</v>
      </c>
      <c r="J1100" s="48" t="str">
        <f aca="false">IF('RAW CBH'!F273="","",'RAW CBH'!F273)</f>
        <v/>
      </c>
      <c r="K1100" s="50" t="str">
        <f aca="false">IF('RAW CBH'!G273="","",'RAW CBH'!G273)</f>
        <v/>
      </c>
      <c r="L1100" s="50" t="str">
        <f aca="false">IF('RAW CBH'!H273="","",'RAW CBH'!H273)</f>
        <v/>
      </c>
      <c r="M1100" s="48" t="str">
        <f aca="false">IF('RAW CBH'!I273="","",'RAW CBH'!I273)</f>
        <v/>
      </c>
    </row>
    <row r="1101" customFormat="false" ht="15" hidden="false" customHeight="false" outlineLevel="0" collapsed="false">
      <c r="A1101" s="1" t="s">
        <v>2245</v>
      </c>
      <c r="B1101" s="1" t="s">
        <v>156</v>
      </c>
      <c r="C1101" s="1" t="s">
        <v>1149</v>
      </c>
      <c r="D1101" s="1" t="n">
        <v>274</v>
      </c>
      <c r="E1101" s="48" t="str">
        <f aca="false">IF('RAW CBH'!A274="","",'RAW CBH'!A274)</f>
        <v>Med Assistance</v>
      </c>
      <c r="F1101" s="48" t="str">
        <f aca="false">IF('RAW CBH'!B274="","",'RAW CBH'!B274)</f>
        <v>Patient Support</v>
      </c>
      <c r="G1101" s="49" t="str">
        <f aca="false">IF('RAW CBH'!D274="","",'RAW CBH'!D274)</f>
        <v>2026-06-30</v>
      </c>
      <c r="H1101" s="48" t="str">
        <f aca="false">IF('RAW CBH'!C274="","",'RAW CBH'!C274)</f>
        <v>Pharmacist</v>
      </c>
      <c r="I1101" s="48" t="n">
        <f aca="false">IF('RAW CBH'!E274="","",'RAW CBH'!E274)</f>
        <v>23.75</v>
      </c>
      <c r="J1101" s="48" t="n">
        <f aca="false">IF('RAW CBH'!F274="","",'RAW CBH'!F274)</f>
        <v>84</v>
      </c>
      <c r="K1101" s="50" t="n">
        <f aca="false">IF('RAW CBH'!G274="","",'RAW CBH'!G274)</f>
        <v>22800</v>
      </c>
      <c r="L1101" s="50" t="str">
        <f aca="false">IF('RAW CBH'!H274="","",'RAW CBH'!H274)</f>
        <v/>
      </c>
      <c r="M1101" s="48" t="str">
        <f aca="false">IF('RAW CBH'!I274="","",'RAW CBH'!I274)</f>
        <v/>
      </c>
    </row>
    <row r="1102" customFormat="false" ht="15" hidden="false" customHeight="false" outlineLevel="0" collapsed="false">
      <c r="A1102" s="1" t="s">
        <v>2246</v>
      </c>
      <c r="B1102" s="1" t="s">
        <v>156</v>
      </c>
      <c r="C1102" s="1" t="s">
        <v>1149</v>
      </c>
      <c r="D1102" s="1" t="n">
        <v>275</v>
      </c>
      <c r="E1102" s="48" t="str">
        <f aca="false">IF('RAW CBH'!A275="","",'RAW CBH'!A275)</f>
        <v>Community Benefit Admin</v>
      </c>
      <c r="F1102" s="48" t="str">
        <f aca="false">IF('RAW CBH'!B275="","",'RAW CBH'!B275)</f>
        <v>Ops</v>
      </c>
      <c r="G1102" s="49" t="str">
        <f aca="false">IF('RAW CBH'!D275="","",'RAW CBH'!D275)</f>
        <v>2026-06-30</v>
      </c>
      <c r="H1102" s="48" t="str">
        <f aca="false">IF('RAW CBH'!C275="","",'RAW CBH'!C275)</f>
        <v>Admin Support</v>
      </c>
      <c r="I1102" s="48" t="n">
        <f aca="false">IF('RAW CBH'!E275="","",'RAW CBH'!E275)</f>
        <v>42.5</v>
      </c>
      <c r="J1102" s="48" t="str">
        <f aca="false">IF('RAW CBH'!F275="","",'RAW CBH'!F275)</f>
        <v/>
      </c>
      <c r="K1102" s="50" t="str">
        <f aca="false">IF('RAW CBH'!G275="","",'RAW CBH'!G275)</f>
        <v/>
      </c>
      <c r="L1102" s="50" t="str">
        <f aca="false">IF('RAW CBH'!H275="","",'RAW CBH'!H275)</f>
        <v/>
      </c>
      <c r="M1102" s="48" t="str">
        <f aca="false">IF('RAW CBH'!I275="","",'RAW CBH'!I275)</f>
        <v/>
      </c>
    </row>
    <row r="1103" customFormat="false" ht="15" hidden="false" customHeight="false" outlineLevel="0" collapsed="false">
      <c r="A1103" s="1" t="s">
        <v>2247</v>
      </c>
      <c r="B1103" s="1" t="s">
        <v>156</v>
      </c>
      <c r="C1103" s="1" t="s">
        <v>1149</v>
      </c>
      <c r="D1103" s="1" t="n">
        <v>276</v>
      </c>
      <c r="E1103" s="48" t="str">
        <f aca="false">IF('RAW CBH'!A276="","",'RAW CBH'!A276)</f>
        <v>Community Benefit Admin</v>
      </c>
      <c r="F1103" s="48" t="str">
        <f aca="false">IF('RAW CBH'!B276="","",'RAW CBH'!B276)</f>
        <v>Ops</v>
      </c>
      <c r="G1103" s="49" t="str">
        <f aca="false">IF('RAW CBH'!D276="","",'RAW CBH'!D276)</f>
        <v>2026-06-30</v>
      </c>
      <c r="H1103" s="48" t="str">
        <f aca="false">IF('RAW CBH'!C276="","",'RAW CBH'!C276)</f>
        <v>Community Health Manager</v>
      </c>
      <c r="I1103" s="48" t="n">
        <f aca="false">IF('RAW CBH'!E276="","",'RAW CBH'!E276)</f>
        <v>71.5</v>
      </c>
      <c r="J1103" s="48" t="str">
        <f aca="false">IF('RAW CBH'!F276="","",'RAW CBH'!F276)</f>
        <v/>
      </c>
      <c r="K1103" s="50" t="n">
        <f aca="false">IF('RAW CBH'!G276="","",'RAW CBH'!G276)</f>
        <v>720</v>
      </c>
      <c r="L1103" s="50" t="str">
        <f aca="false">IF('RAW CBH'!H276="","",'RAW CBH'!H276)</f>
        <v/>
      </c>
      <c r="M1103" s="48" t="str">
        <f aca="false">IF('RAW CBH'!I276="","",'RAW CBH'!I276)</f>
        <v/>
      </c>
    </row>
    <row r="1104" customFormat="false" ht="15" hidden="false" customHeight="false" outlineLevel="0" collapsed="false">
      <c r="A1104" s="1" t="s">
        <v>2248</v>
      </c>
      <c r="B1104" s="1" t="s">
        <v>156</v>
      </c>
      <c r="C1104" s="1" t="s">
        <v>1149</v>
      </c>
      <c r="D1104" s="1" t="n">
        <v>277</v>
      </c>
      <c r="E1104" s="48" t="str">
        <f aca="false">IF('RAW CBH'!A277="","",'RAW CBH'!A277)</f>
        <v>Interpreter Services</v>
      </c>
      <c r="F1104" s="48" t="str">
        <f aca="false">IF('RAW CBH'!B277="","",'RAW CBH'!B277)</f>
        <v>Patient Support</v>
      </c>
      <c r="G1104" s="49" t="str">
        <f aca="false">IF('RAW CBH'!D277="","",'RAW CBH'!D277)</f>
        <v>2026-06-30</v>
      </c>
      <c r="H1104" s="48" t="str">
        <f aca="false">IF('RAW CBH'!C277="","",'RAW CBH'!C277)</f>
        <v>Spanish Interpreter</v>
      </c>
      <c r="I1104" s="48" t="n">
        <f aca="false">IF('RAW CBH'!E277="","",'RAW CBH'!E277)</f>
        <v>45.75</v>
      </c>
      <c r="J1104" s="48" t="n">
        <f aca="false">IF('RAW CBH'!F277="","",'RAW CBH'!F277)</f>
        <v>100</v>
      </c>
      <c r="K1104" s="50" t="str">
        <f aca="false">IF('RAW CBH'!G277="","",'RAW CBH'!G277)</f>
        <v/>
      </c>
      <c r="L1104" s="50" t="str">
        <f aca="false">IF('RAW CBH'!H277="","",'RAW CBH'!H277)</f>
        <v/>
      </c>
      <c r="M1104" s="48" t="str">
        <f aca="false">IF('RAW CBH'!I277="","",'RAW CBH'!I277)</f>
        <v/>
      </c>
    </row>
    <row r="1105" customFormat="false" ht="15" hidden="false" customHeight="false" outlineLevel="0" collapsed="false">
      <c r="A1105" s="1" t="s">
        <v>2249</v>
      </c>
      <c r="B1105" s="1" t="s">
        <v>156</v>
      </c>
      <c r="C1105" s="1" t="s">
        <v>1149</v>
      </c>
      <c r="D1105" s="1" t="n">
        <v>278</v>
      </c>
      <c r="E1105" s="48" t="str">
        <f aca="false">IF('RAW CBH'!A278="","",'RAW CBH'!A278)</f>
        <v>Nursing Student Rotations</v>
      </c>
      <c r="F1105" s="48" t="str">
        <f aca="false">IF('RAW CBH'!B278="","",'RAW CBH'!B278)</f>
        <v>Education - Health Professions</v>
      </c>
      <c r="G1105" s="49" t="str">
        <f aca="false">IF('RAW CBH'!D278="","",'RAW CBH'!D278)</f>
        <v>2026-06-30</v>
      </c>
      <c r="H1105" s="48" t="str">
        <f aca="false">IF('RAW CBH'!C278="","",'RAW CBH'!C278)</f>
        <v>RN Educator</v>
      </c>
      <c r="I1105" s="48" t="n">
        <f aca="false">IF('RAW CBH'!E278="","",'RAW CBH'!E278)</f>
        <v>35</v>
      </c>
      <c r="J1105" s="48" t="n">
        <f aca="false">IF('RAW CBH'!F278="","",'RAW CBH'!F278)</f>
        <v>16</v>
      </c>
      <c r="K1105" s="50" t="n">
        <f aca="false">IF('RAW CBH'!G278="","",'RAW CBH'!G278)</f>
        <v>170</v>
      </c>
      <c r="L1105" s="50" t="str">
        <f aca="false">IF('RAW CBH'!H278="","",'RAW CBH'!H278)</f>
        <v/>
      </c>
      <c r="M1105" s="48" t="str">
        <f aca="false">IF('RAW CBH'!I278="","",'RAW CBH'!I278)</f>
        <v/>
      </c>
    </row>
    <row r="1106" customFormat="false" ht="15" hidden="false" customHeight="false" outlineLevel="0" collapsed="false">
      <c r="A1106" s="1" t="s">
        <v>2250</v>
      </c>
      <c r="B1106" s="1" t="s">
        <v>156</v>
      </c>
      <c r="C1106" s="1" t="s">
        <v>1149</v>
      </c>
      <c r="D1106" s="1" t="n">
        <v>279</v>
      </c>
      <c r="E1106" s="48" t="str">
        <f aca="false">IF('RAW CBH'!A279="","",'RAW CBH'!A279)</f>
        <v>Nursing Student Rotations</v>
      </c>
      <c r="F1106" s="48" t="str">
        <f aca="false">IF('RAW CBH'!B279="","",'RAW CBH'!B279)</f>
        <v>Education - Health Professions</v>
      </c>
      <c r="G1106" s="49" t="str">
        <f aca="false">IF('RAW CBH'!D279="","",'RAW CBH'!D279)</f>
        <v>2026-06-30</v>
      </c>
      <c r="H1106" s="48" t="str">
        <f aca="false">IF('RAW CBH'!C279="","",'RAW CBH'!C279)</f>
        <v>Charge RN</v>
      </c>
      <c r="I1106" s="48" t="n">
        <f aca="false">IF('RAW CBH'!E279="","",'RAW CBH'!E279)</f>
        <v>80.25</v>
      </c>
      <c r="J1106" s="48" t="str">
        <f aca="false">IF('RAW CBH'!F279="","",'RAW CBH'!F279)</f>
        <v/>
      </c>
      <c r="K1106" s="50" t="str">
        <f aca="false">IF('RAW CBH'!G279="","",'RAW CBH'!G279)</f>
        <v/>
      </c>
      <c r="L1106" s="50" t="str">
        <f aca="false">IF('RAW CBH'!H279="","",'RAW CBH'!H279)</f>
        <v/>
      </c>
      <c r="M1106" s="48" t="str">
        <f aca="false">IF('RAW CBH'!I279="","",'RAW CBH'!I279)</f>
        <v/>
      </c>
    </row>
    <row r="1107" customFormat="false" ht="15" hidden="false" customHeight="false" outlineLevel="0" collapsed="false">
      <c r="A1107" s="1" t="s">
        <v>2251</v>
      </c>
      <c r="B1107" s="1" t="s">
        <v>156</v>
      </c>
      <c r="C1107" s="1" t="s">
        <v>1149</v>
      </c>
      <c r="D1107" s="1" t="n">
        <v>280</v>
      </c>
      <c r="E1107" s="48" t="str">
        <f aca="false">IF('RAW CBH'!A280="","",'RAW CBH'!A280)</f>
        <v>Pharmacy Students</v>
      </c>
      <c r="F1107" s="48" t="str">
        <f aca="false">IF('RAW CBH'!B280="","",'RAW CBH'!B280)</f>
        <v>Education - Health Professions</v>
      </c>
      <c r="G1107" s="49" t="str">
        <f aca="false">IF('RAW CBH'!D280="","",'RAW CBH'!D280)</f>
        <v>2026-06-30</v>
      </c>
      <c r="H1107" s="48" t="str">
        <f aca="false">IF('RAW CBH'!C280="","",'RAW CBH'!C280)</f>
        <v>Staff Pharmacist</v>
      </c>
      <c r="I1107" s="48" t="n">
        <f aca="false">IF('RAW CBH'!E280="","",'RAW CBH'!E280)</f>
        <v>44.25</v>
      </c>
      <c r="J1107" s="48" t="n">
        <f aca="false">IF('RAW CBH'!F280="","",'RAW CBH'!F280)</f>
        <v>4</v>
      </c>
      <c r="K1107" s="50" t="n">
        <f aca="false">IF('RAW CBH'!G280="","",'RAW CBH'!G280)</f>
        <v>35</v>
      </c>
      <c r="L1107" s="50" t="str">
        <f aca="false">IF('RAW CBH'!H280="","",'RAW CBH'!H280)</f>
        <v/>
      </c>
      <c r="M1107" s="48" t="str">
        <f aca="false">IF('RAW CBH'!I280="","",'RAW CBH'!I280)</f>
        <v/>
      </c>
    </row>
    <row r="1108" customFormat="false" ht="15" hidden="false" customHeight="false" outlineLevel="0" collapsed="false">
      <c r="A1108" s="1" t="s">
        <v>2252</v>
      </c>
      <c r="B1108" s="1" t="s">
        <v>157</v>
      </c>
      <c r="C1108" s="1" t="s">
        <v>1151</v>
      </c>
      <c r="D1108" s="1" t="n">
        <v>3</v>
      </c>
      <c r="E1108" s="48" t="str">
        <f aca="false">IF('RAW WCH'!C3="","",'RAW WCH'!C3)</f>
        <v>bp check</v>
      </c>
      <c r="F1108" s="48" t="str">
        <f aca="false">IF('RAW WCH'!D3="","",'RAW WCH'!D3)</f>
        <v>CHIS clinical</v>
      </c>
      <c r="G1108" s="49" t="str">
        <f aca="false">IF('RAW WCH'!B3="","",'RAW WCH'!B3)</f>
        <v>6/24/25</v>
      </c>
      <c r="H1108" s="48" t="str">
        <f aca="false">IF('RAW WCH'!E3="","",'RAW WCH'!E3)</f>
        <v>Staff RN </v>
      </c>
      <c r="I1108" s="48" t="n">
        <f aca="false">IF('RAW WCH'!F3="","",'RAW WCH'!F3)</f>
        <v>4.25</v>
      </c>
      <c r="J1108" s="48" t="n">
        <f aca="false">IF('RAW WCH'!G3="","",'RAW WCH'!G3)</f>
        <v>63</v>
      </c>
      <c r="K1108" s="50" t="n">
        <f aca="false">IF('RAW WCH'!H3="","",'RAW WCH'!H3)</f>
        <v>40</v>
      </c>
      <c r="L1108" s="50" t="str">
        <f aca="false">IF('RAW WCH'!I3="","",'RAW WCH'!I3)</f>
        <v/>
      </c>
      <c r="M1108" s="48" t="str">
        <f aca="false">IF('RAW WCH'!J3="","",'RAW WCH'!J3)</f>
        <v/>
      </c>
    </row>
    <row r="1109" customFormat="false" ht="15" hidden="false" customHeight="false" outlineLevel="0" collapsed="false">
      <c r="A1109" s="1" t="s">
        <v>2253</v>
      </c>
      <c r="B1109" s="1" t="s">
        <v>157</v>
      </c>
      <c r="C1109" s="1" t="s">
        <v>1151</v>
      </c>
      <c r="D1109" s="1" t="n">
        <v>4</v>
      </c>
      <c r="E1109" s="48" t="str">
        <f aca="false">IF('RAW WCH'!C4="","",'RAW WCH'!C4)</f>
        <v>grief group</v>
      </c>
      <c r="F1109" s="48" t="str">
        <f aca="false">IF('RAW WCH'!D4="","",'RAW WCH'!D4)</f>
        <v>CHIS support</v>
      </c>
      <c r="G1109" s="49" t="str">
        <f aca="false">IF('RAW WCH'!B4="","",'RAW WCH'!B4)</f>
        <v>7/22/25</v>
      </c>
      <c r="H1109" s="48" t="str">
        <f aca="false">IF('RAW WCH'!E4="","",'RAW WCH'!E4)</f>
        <v>Spiritual Care</v>
      </c>
      <c r="I1109" s="48" t="n">
        <f aca="false">IF('RAW WCH'!F4="","",'RAW WCH'!F4)</f>
        <v>2.25</v>
      </c>
      <c r="J1109" s="48" t="n">
        <f aca="false">IF('RAW WCH'!G4="","",'RAW WCH'!G4)</f>
        <v>14</v>
      </c>
      <c r="K1109" s="50" t="n">
        <f aca="false">IF('RAW WCH'!H4="","",'RAW WCH'!H4)</f>
        <v>35</v>
      </c>
      <c r="L1109" s="50" t="str">
        <f aca="false">IF('RAW WCH'!I4="","",'RAW WCH'!I4)</f>
        <v/>
      </c>
      <c r="M1109" s="48" t="str">
        <f aca="false">IF('RAW WCH'!J4="","",'RAW WCH'!J4)</f>
        <v/>
      </c>
    </row>
    <row r="1110" customFormat="false" ht="15" hidden="false" customHeight="false" outlineLevel="0" collapsed="false">
      <c r="A1110" s="1" t="s">
        <v>2254</v>
      </c>
      <c r="B1110" s="1" t="s">
        <v>157</v>
      </c>
      <c r="C1110" s="1" t="s">
        <v>1151</v>
      </c>
      <c r="D1110" s="1" t="n">
        <v>5</v>
      </c>
      <c r="E1110" s="48" t="str">
        <f aca="false">IF('RAW WCH'!C5="","",'RAW WCH'!C5)</f>
        <v>grief group</v>
      </c>
      <c r="F1110" s="48" t="str">
        <f aca="false">IF('RAW WCH'!D5="","",'RAW WCH'!D5)</f>
        <v>CHIS support</v>
      </c>
      <c r="G1110" s="49" t="n">
        <f aca="false">IF('RAW WCH'!B5="","",'RAW WCH'!B5)</f>
        <v>45860</v>
      </c>
      <c r="H1110" s="48" t="str">
        <f aca="false">IF('RAW WCH'!E5="","",'RAW WCH'!E5)</f>
        <v> Clinical Social Worker</v>
      </c>
      <c r="I1110" s="48" t="n">
        <f aca="false">IF('RAW WCH'!F5="","",'RAW WCH'!F5)</f>
        <v>1.75</v>
      </c>
      <c r="J1110" s="48" t="str">
        <f aca="false">IF('RAW WCH'!G5="","",'RAW WCH'!G5)</f>
        <v/>
      </c>
      <c r="K1110" s="50" t="str">
        <f aca="false">IF('RAW WCH'!H5="","",'RAW WCH'!H5)</f>
        <v/>
      </c>
      <c r="L1110" s="50" t="str">
        <f aca="false">IF('RAW WCH'!I5="","",'RAW WCH'!I5)</f>
        <v/>
      </c>
      <c r="M1110" s="48" t="str">
        <f aca="false">IF('RAW WCH'!J5="","",'RAW WCH'!J5)</f>
        <v/>
      </c>
    </row>
    <row r="1111" customFormat="false" ht="15" hidden="false" customHeight="false" outlineLevel="0" collapsed="false">
      <c r="A1111" s="1" t="s">
        <v>2255</v>
      </c>
      <c r="B1111" s="1" t="s">
        <v>157</v>
      </c>
      <c r="C1111" s="1" t="s">
        <v>1151</v>
      </c>
      <c r="D1111" s="1" t="n">
        <v>6</v>
      </c>
      <c r="E1111" s="48" t="str">
        <f aca="false">IF('RAW WCH'!C6="","",'RAW WCH'!C6)</f>
        <v>health coalition</v>
      </c>
      <c r="F1111" s="48" t="str">
        <f aca="false">IF('RAW WCH'!D6="","",'RAW WCH'!D6)</f>
        <v>community building</v>
      </c>
      <c r="G1111" s="49" t="n">
        <f aca="false">IF('RAW WCH'!B6="","",'RAW WCH'!B6)</f>
        <v>45863</v>
      </c>
      <c r="H1111" s="48" t="str">
        <f aca="false">IF('RAW WCH'!E6="","",'RAW WCH'!E6)</f>
        <v>Community Benefit Manager</v>
      </c>
      <c r="I1111" s="48" t="n">
        <f aca="false">IF('RAW WCH'!F6="","",'RAW WCH'!F6)</f>
        <v>2.25</v>
      </c>
      <c r="J1111" s="48" t="str">
        <f aca="false">IF('RAW WCH'!G6="","",'RAW WCH'!G6)</f>
        <v/>
      </c>
      <c r="K1111" s="50" t="str">
        <f aca="false">IF('RAW WCH'!H6="","",'RAW WCH'!H6)</f>
        <v/>
      </c>
      <c r="L1111" s="50" t="str">
        <f aca="false">IF('RAW WCH'!I6="","",'RAW WCH'!I6)</f>
        <v/>
      </c>
      <c r="M1111" s="48" t="str">
        <f aca="false">IF('RAW WCH'!J6="","",'RAW WCH'!J6)</f>
        <v/>
      </c>
    </row>
    <row r="1112" customFormat="false" ht="15" hidden="false" customHeight="false" outlineLevel="0" collapsed="false">
      <c r="A1112" s="1" t="s">
        <v>2256</v>
      </c>
      <c r="B1112" s="1" t="s">
        <v>157</v>
      </c>
      <c r="C1112" s="1" t="s">
        <v>1151</v>
      </c>
      <c r="D1112" s="1" t="n">
        <v>7</v>
      </c>
      <c r="E1112" s="48" t="str">
        <f aca="false">IF('RAW WCH'!C7="","",'RAW WCH'!C7)</f>
        <v>health coalition</v>
      </c>
      <c r="F1112" s="48" t="str">
        <f aca="false">IF('RAW WCH'!D7="","",'RAW WCH'!D7)</f>
        <v>community building</v>
      </c>
      <c r="G1112" s="49" t="str">
        <f aca="false">IF('RAW WCH'!B7="","",'RAW WCH'!B7)</f>
        <v>7/25/25</v>
      </c>
      <c r="H1112" s="48" t="str">
        <f aca="false">IF('RAW WCH'!E7="","",'RAW WCH'!E7)</f>
        <v>Director of Community Health</v>
      </c>
      <c r="I1112" s="48" t="n">
        <f aca="false">IF('RAW WCH'!F7="","",'RAW WCH'!F7)</f>
        <v>2</v>
      </c>
      <c r="J1112" s="48" t="str">
        <f aca="false">IF('RAW WCH'!G7="","",'RAW WCH'!G7)</f>
        <v/>
      </c>
      <c r="K1112" s="50" t="n">
        <f aca="false">IF('RAW WCH'!H7="","",'RAW WCH'!H7)</f>
        <v>50</v>
      </c>
      <c r="L1112" s="50" t="str">
        <f aca="false">IF('RAW WCH'!I7="","",'RAW WCH'!I7)</f>
        <v/>
      </c>
      <c r="M1112" s="48" t="str">
        <f aca="false">IF('RAW WCH'!J7="","",'RAW WCH'!J7)</f>
        <v/>
      </c>
    </row>
    <row r="1113" customFormat="false" ht="15" hidden="false" customHeight="false" outlineLevel="0" collapsed="false">
      <c r="A1113" s="1" t="s">
        <v>2257</v>
      </c>
      <c r="B1113" s="1" t="s">
        <v>157</v>
      </c>
      <c r="C1113" s="1" t="s">
        <v>1151</v>
      </c>
      <c r="D1113" s="1" t="n">
        <v>8</v>
      </c>
      <c r="E1113" s="48" t="str">
        <f aca="false">IF('RAW WCH'!C8="","",'RAW WCH'!C8)</f>
        <v>youth pathway</v>
      </c>
      <c r="F1113" s="48" t="str">
        <f aca="false">IF('RAW WCH'!D8="","",'RAW WCH'!D8)</f>
        <v>community building</v>
      </c>
      <c r="G1113" s="49" t="str">
        <f aca="false">IF('RAW WCH'!B8="","",'RAW WCH'!B8)</f>
        <v>July 29, 2025</v>
      </c>
      <c r="H1113" s="48" t="str">
        <f aca="false">IF('RAW WCH'!E8="","",'RAW WCH'!E8)</f>
        <v>Clin Educator</v>
      </c>
      <c r="I1113" s="48" t="n">
        <f aca="false">IF('RAW WCH'!F8="","",'RAW WCH'!F8)</f>
        <v>3.25</v>
      </c>
      <c r="J1113" s="48" t="str">
        <f aca="false">IF('RAW WCH'!G8="","",'RAW WCH'!G8)</f>
        <v/>
      </c>
      <c r="K1113" s="50" t="str">
        <f aca="false">IF('RAW WCH'!H8="","",'RAW WCH'!H8)</f>
        <v/>
      </c>
      <c r="L1113" s="50" t="str">
        <f aca="false">IF('RAW WCH'!I8="","",'RAW WCH'!I8)</f>
        <v/>
      </c>
      <c r="M1113" s="48" t="str">
        <f aca="false">IF('RAW WCH'!J8="","",'RAW WCH'!J8)</f>
        <v/>
      </c>
    </row>
    <row r="1114" customFormat="false" ht="15" hidden="false" customHeight="false" outlineLevel="0" collapsed="false">
      <c r="A1114" s="1" t="s">
        <v>2258</v>
      </c>
      <c r="B1114" s="1" t="s">
        <v>157</v>
      </c>
      <c r="C1114" s="1" t="s">
        <v>1151</v>
      </c>
      <c r="D1114" s="1" t="n">
        <v>9</v>
      </c>
      <c r="E1114" s="48" t="str">
        <f aca="false">IF('RAW WCH'!C9="","",'RAW WCH'!C9)</f>
        <v>youth pathway</v>
      </c>
      <c r="F1114" s="48" t="str">
        <f aca="false">IF('RAW WCH'!D9="","",'RAW WCH'!D9)</f>
        <v>community building</v>
      </c>
      <c r="G1114" s="49" t="n">
        <f aca="false">IF('RAW WCH'!B9="","",'RAW WCH'!B9)</f>
        <v>45867</v>
      </c>
      <c r="H1114" s="48" t="str">
        <f aca="false">IF('RAW WCH'!E9="","",'RAW WCH'!E9)</f>
        <v>Outreach Coordinator</v>
      </c>
      <c r="I1114" s="48" t="n">
        <f aca="false">IF('RAW WCH'!F9="","",'RAW WCH'!F9)</f>
        <v>7.25</v>
      </c>
      <c r="J1114" s="48" t="n">
        <f aca="false">IF('RAW WCH'!G9="","",'RAW WCH'!G9)</f>
        <v>18</v>
      </c>
      <c r="K1114" s="50" t="n">
        <f aca="false">IF('RAW WCH'!H9="","",'RAW WCH'!H9)</f>
        <v>895</v>
      </c>
      <c r="L1114" s="50" t="str">
        <f aca="false">IF('RAW WCH'!I9="","",'RAW WCH'!I9)</f>
        <v/>
      </c>
      <c r="M1114" s="48" t="str">
        <f aca="false">IF('RAW WCH'!J9="","",'RAW WCH'!J9)</f>
        <v/>
      </c>
    </row>
    <row r="1115" customFormat="false" ht="15" hidden="false" customHeight="false" outlineLevel="0" collapsed="false">
      <c r="A1115" s="1" t="s">
        <v>2259</v>
      </c>
      <c r="B1115" s="1" t="s">
        <v>157</v>
      </c>
      <c r="C1115" s="1" t="s">
        <v>1151</v>
      </c>
      <c r="D1115" s="1" t="n">
        <v>10</v>
      </c>
      <c r="E1115" s="48" t="str">
        <f aca="false">IF('RAW WCH'!C10="","",'RAW WCH'!C10)</f>
        <v>mobile van screenings</v>
      </c>
      <c r="F1115" s="48" t="str">
        <f aca="false">IF('RAW WCH'!D10="","",'RAW WCH'!D10)</f>
        <v>CHIS clinical</v>
      </c>
      <c r="G1115" s="49" t="str">
        <f aca="false">IF('RAW WCH'!B10="","",'RAW WCH'!B10)</f>
        <v>7/31/25</v>
      </c>
      <c r="H1115" s="48" t="str">
        <f aca="false">IF('RAW WCH'!E10="","",'RAW WCH'!E10)</f>
        <v>C.H.W.</v>
      </c>
      <c r="I1115" s="48" t="n">
        <f aca="false">IF('RAW WCH'!F10="","",'RAW WCH'!F10)</f>
        <v>59.25</v>
      </c>
      <c r="J1115" s="48" t="str">
        <f aca="false">IF('RAW WCH'!G10="","",'RAW WCH'!G10)</f>
        <v/>
      </c>
      <c r="K1115" s="50" t="str">
        <f aca="false">IF('RAW WCH'!H10="","",'RAW WCH'!H10)</f>
        <v/>
      </c>
      <c r="L1115" s="50" t="str">
        <f aca="false">IF('RAW WCH'!I10="","",'RAW WCH'!I10)</f>
        <v/>
      </c>
      <c r="M1115" s="48" t="str">
        <f aca="false">IF('RAW WCH'!J10="","",'RAW WCH'!J10)</f>
        <v/>
      </c>
    </row>
    <row r="1116" customFormat="false" ht="15" hidden="false" customHeight="false" outlineLevel="0" collapsed="false">
      <c r="A1116" s="1" t="s">
        <v>2260</v>
      </c>
      <c r="B1116" s="1" t="s">
        <v>157</v>
      </c>
      <c r="C1116" s="1" t="s">
        <v>1151</v>
      </c>
      <c r="D1116" s="1" t="n">
        <v>11</v>
      </c>
      <c r="E1116" s="48" t="str">
        <f aca="false">IF('RAW WCH'!C11="","",'RAW WCH'!C11)</f>
        <v>mobile van screenings</v>
      </c>
      <c r="F1116" s="48" t="str">
        <f aca="false">IF('RAW WCH'!D11="","",'RAW WCH'!D11)</f>
        <v>CHIS clinical</v>
      </c>
      <c r="G1116" s="49" t="str">
        <f aca="false">IF('RAW WCH'!B11="","",'RAW WCH'!B11)</f>
        <v>7/31/25</v>
      </c>
      <c r="H1116" s="48" t="str">
        <f aca="false">IF('RAW WCH'!E11="","",'RAW WCH'!E11)</f>
        <v>Med Asst</v>
      </c>
      <c r="I1116" s="48" t="n">
        <f aca="false">IF('RAW WCH'!F11="","",'RAW WCH'!F11)</f>
        <v>72</v>
      </c>
      <c r="J1116" s="48" t="str">
        <f aca="false">IF('RAW WCH'!G11="","",'RAW WCH'!G11)</f>
        <v/>
      </c>
      <c r="K1116" s="50" t="str">
        <f aca="false">IF('RAW WCH'!H11="","",'RAW WCH'!H11)</f>
        <v/>
      </c>
      <c r="L1116" s="50" t="str">
        <f aca="false">IF('RAW WCH'!I11="","",'RAW WCH'!I11)</f>
        <v/>
      </c>
      <c r="M1116" s="48" t="str">
        <f aca="false">IF('RAW WCH'!J11="","",'RAW WCH'!J11)</f>
        <v/>
      </c>
    </row>
    <row r="1117" customFormat="false" ht="15" hidden="false" customHeight="false" outlineLevel="0" collapsed="false">
      <c r="A1117" s="1" t="s">
        <v>2261</v>
      </c>
      <c r="B1117" s="1" t="s">
        <v>157</v>
      </c>
      <c r="C1117" s="1" t="s">
        <v>1151</v>
      </c>
      <c r="D1117" s="1" t="n">
        <v>12</v>
      </c>
      <c r="E1117" s="48" t="str">
        <f aca="false">IF('RAW WCH'!C12="","",'RAW WCH'!C12)</f>
        <v>mobile van screenings</v>
      </c>
      <c r="F1117" s="48" t="str">
        <f aca="false">IF('RAW WCH'!D12="","",'RAW WCH'!D12)</f>
        <v>CHIS clinical</v>
      </c>
      <c r="G1117" s="49" t="n">
        <f aca="false">IF('RAW WCH'!B12="","",'RAW WCH'!B12)</f>
        <v>45869</v>
      </c>
      <c r="H1117" s="48" t="str">
        <f aca="false">IF('RAW WCH'!E12="","",'RAW WCH'!E12)</f>
        <v> Charge RN</v>
      </c>
      <c r="I1117" s="48" t="n">
        <f aca="false">IF('RAW WCH'!F12="","",'RAW WCH'!F12)</f>
        <v>68</v>
      </c>
      <c r="J1117" s="48" t="n">
        <f aca="false">IF('RAW WCH'!G12="","",'RAW WCH'!G12)</f>
        <v>213</v>
      </c>
      <c r="K1117" s="50" t="n">
        <f aca="false">IF('RAW WCH'!H12="","",'RAW WCH'!H12)</f>
        <v>5025</v>
      </c>
      <c r="L1117" s="50" t="str">
        <f aca="false">IF('RAW WCH'!I12="","",'RAW WCH'!I12)</f>
        <v/>
      </c>
      <c r="M1117" s="48" t="str">
        <f aca="false">IF('RAW WCH'!J12="","",'RAW WCH'!J12)</f>
        <v/>
      </c>
    </row>
    <row r="1118" customFormat="false" ht="15" hidden="false" customHeight="false" outlineLevel="0" collapsed="false">
      <c r="A1118" s="1" t="s">
        <v>2262</v>
      </c>
      <c r="B1118" s="1" t="s">
        <v>157</v>
      </c>
      <c r="C1118" s="1" t="s">
        <v>1151</v>
      </c>
      <c r="D1118" s="1" t="n">
        <v>13</v>
      </c>
      <c r="E1118" s="48" t="str">
        <f aca="false">IF('RAW WCH'!C13="","",'RAW WCH'!C13)</f>
        <v>chw outreach</v>
      </c>
      <c r="F1118" s="48" t="str">
        <f aca="false">IF('RAW WCH'!D13="","",'RAW WCH'!D13)</f>
        <v>CHIS support</v>
      </c>
      <c r="G1118" s="49" t="n">
        <f aca="false">IF('RAW WCH'!B13="","",'RAW WCH'!B13)</f>
        <v>45869</v>
      </c>
      <c r="H1118" s="48" t="str">
        <f aca="false">IF('RAW WCH'!E13="","",'RAW WCH'!E13)</f>
        <v>C.H.W.</v>
      </c>
      <c r="I1118" s="48" t="n">
        <f aca="false">IF('RAW WCH'!F13="","",'RAW WCH'!F13)</f>
        <v>251.25</v>
      </c>
      <c r="J1118" s="48" t="n">
        <f aca="false">IF('RAW WCH'!G13="","",'RAW WCH'!G13)</f>
        <v>263</v>
      </c>
      <c r="K1118" s="50" t="n">
        <f aca="false">IF('RAW WCH'!H13="","",'RAW WCH'!H13)</f>
        <v>650</v>
      </c>
      <c r="L1118" s="50" t="str">
        <f aca="false">IF('RAW WCH'!I13="","",'RAW WCH'!I13)</f>
        <v/>
      </c>
      <c r="M1118" s="48" t="str">
        <f aca="false">IF('RAW WCH'!J13="","",'RAW WCH'!J13)</f>
        <v/>
      </c>
    </row>
    <row r="1119" customFormat="false" ht="15" hidden="false" customHeight="false" outlineLevel="0" collapsed="false">
      <c r="A1119" s="1" t="s">
        <v>2263</v>
      </c>
      <c r="B1119" s="1" t="s">
        <v>157</v>
      </c>
      <c r="C1119" s="1" t="s">
        <v>1151</v>
      </c>
      <c r="D1119" s="1" t="n">
        <v>14</v>
      </c>
      <c r="E1119" s="48" t="str">
        <f aca="false">IF('RAW WCH'!C14="","",'RAW WCH'!C14)</f>
        <v>chw outreach</v>
      </c>
      <c r="F1119" s="48" t="str">
        <f aca="false">IF('RAW WCH'!D14="","",'RAW WCH'!D14)</f>
        <v>CHIS support</v>
      </c>
      <c r="G1119" s="49" t="str">
        <f aca="false">IF('RAW WCH'!B14="","",'RAW WCH'!B14)</f>
        <v>July 31, 2025</v>
      </c>
      <c r="H1119" s="48" t="str">
        <f aca="false">IF('RAW WCH'!E14="","",'RAW WCH'!E14)</f>
        <v>Navigator</v>
      </c>
      <c r="I1119" s="48" t="n">
        <f aca="false">IF('RAW WCH'!F14="","",'RAW WCH'!F14)</f>
        <v>105.25</v>
      </c>
      <c r="J1119" s="48" t="str">
        <f aca="false">IF('RAW WCH'!G14="","",'RAW WCH'!G14)</f>
        <v/>
      </c>
      <c r="K1119" s="50" t="str">
        <f aca="false">IF('RAW WCH'!H14="","",'RAW WCH'!H14)</f>
        <v/>
      </c>
      <c r="L1119" s="50" t="str">
        <f aca="false">IF('RAW WCH'!I14="","",'RAW WCH'!I14)</f>
        <v/>
      </c>
      <c r="M1119" s="48" t="str">
        <f aca="false">IF('RAW WCH'!J14="","",'RAW WCH'!J14)</f>
        <v/>
      </c>
    </row>
    <row r="1120" customFormat="false" ht="15" hidden="false" customHeight="false" outlineLevel="0" collapsed="false">
      <c r="A1120" s="1" t="s">
        <v>2264</v>
      </c>
      <c r="B1120" s="1" t="s">
        <v>157</v>
      </c>
      <c r="C1120" s="1" t="s">
        <v>1151</v>
      </c>
      <c r="D1120" s="1" t="n">
        <v>15</v>
      </c>
      <c r="E1120" s="48" t="str">
        <f aca="false">IF('RAW WCH'!C15="","",'RAW WCH'!C15)</f>
        <v>produce prescription</v>
      </c>
      <c r="F1120" s="48" t="str">
        <f aca="false">IF('RAW WCH'!D15="","",'RAW WCH'!D15)</f>
        <v>CHIS support</v>
      </c>
      <c r="G1120" s="49" t="n">
        <f aca="false">IF('RAW WCH'!B15="","",'RAW WCH'!B15)</f>
        <v>45869</v>
      </c>
      <c r="H1120" s="48" t="str">
        <f aca="false">IF('RAW WCH'!E15="","",'RAW WCH'!E15)</f>
        <v>Comm. Health Worker</v>
      </c>
      <c r="I1120" s="48" t="n">
        <f aca="false">IF('RAW WCH'!F15="","",'RAW WCH'!F15)</f>
        <v>30</v>
      </c>
      <c r="J1120" s="48" t="str">
        <f aca="false">IF('RAW WCH'!G15="","",'RAW WCH'!G15)</f>
        <v/>
      </c>
      <c r="K1120" s="50" t="str">
        <f aca="false">IF('RAW WCH'!H15="","",'RAW WCH'!H15)</f>
        <v/>
      </c>
      <c r="L1120" s="50" t="str">
        <f aca="false">IF('RAW WCH'!I15="","",'RAW WCH'!I15)</f>
        <v/>
      </c>
      <c r="M1120" s="48" t="str">
        <f aca="false">IF('RAW WCH'!J15="","",'RAW WCH'!J15)</f>
        <v/>
      </c>
    </row>
    <row r="1121" customFormat="false" ht="15" hidden="false" customHeight="false" outlineLevel="0" collapsed="false">
      <c r="A1121" s="1" t="s">
        <v>2265</v>
      </c>
      <c r="B1121" s="1" t="s">
        <v>157</v>
      </c>
      <c r="C1121" s="1" t="s">
        <v>1151</v>
      </c>
      <c r="D1121" s="1" t="n">
        <v>16</v>
      </c>
      <c r="E1121" s="48" t="str">
        <f aca="false">IF('RAW WCH'!C16="","",'RAW WCH'!C16)</f>
        <v>produce prescription</v>
      </c>
      <c r="F1121" s="48" t="str">
        <f aca="false">IF('RAW WCH'!D16="","",'RAW WCH'!D16)</f>
        <v>CHIS support</v>
      </c>
      <c r="G1121" s="49" t="str">
        <f aca="false">IF('RAW WCH'!B16="","",'RAW WCH'!B16)</f>
        <v>July 31, 2025</v>
      </c>
      <c r="H1121" s="48" t="str">
        <f aca="false">IF('RAW WCH'!E16="","",'RAW WCH'!E16)</f>
        <v>Nutritionist</v>
      </c>
      <c r="I1121" s="48" t="n">
        <f aca="false">IF('RAW WCH'!F16="","",'RAW WCH'!F16)</f>
        <v>17.5</v>
      </c>
      <c r="J1121" s="48" t="n">
        <f aca="false">IF('RAW WCH'!G16="","",'RAW WCH'!G16)</f>
        <v>134</v>
      </c>
      <c r="K1121" s="50" t="n">
        <f aca="false">IF('RAW WCH'!H16="","",'RAW WCH'!H16)</f>
        <v>9825</v>
      </c>
      <c r="L1121" s="50" t="n">
        <f aca="false">IF('RAW WCH'!I16="","",'RAW WCH'!I16)</f>
        <v>3165</v>
      </c>
      <c r="M1121" s="48" t="str">
        <f aca="false">IF('RAW WCH'!J16="","",'RAW WCH'!J16)</f>
        <v/>
      </c>
    </row>
    <row r="1122" customFormat="false" ht="15" hidden="false" customHeight="false" outlineLevel="0" collapsed="false">
      <c r="A1122" s="1" t="s">
        <v>2266</v>
      </c>
      <c r="B1122" s="1" t="s">
        <v>157</v>
      </c>
      <c r="C1122" s="1" t="s">
        <v>1151</v>
      </c>
      <c r="D1122" s="1" t="n">
        <v>17</v>
      </c>
      <c r="E1122" s="48" t="str">
        <f aca="false">IF('RAW WCH'!C17="","",'RAW WCH'!C17)</f>
        <v>cb admin</v>
      </c>
      <c r="F1122" s="48" t="str">
        <f aca="false">IF('RAW WCH'!D17="","",'RAW WCH'!D17)</f>
        <v>cb operations</v>
      </c>
      <c r="G1122" s="49" t="n">
        <f aca="false">IF('RAW WCH'!B17="","",'RAW WCH'!B17)</f>
        <v>45869</v>
      </c>
      <c r="H1122" s="48" t="str">
        <f aca="false">IF('RAW WCH'!E17="","",'RAW WCH'!E17)</f>
        <v>Admin Support</v>
      </c>
      <c r="I1122" s="48" t="n">
        <f aca="false">IF('RAW WCH'!F17="","",'RAW WCH'!F17)</f>
        <v>22.25</v>
      </c>
      <c r="J1122" s="48" t="str">
        <f aca="false">IF('RAW WCH'!G17="","",'RAW WCH'!G17)</f>
        <v/>
      </c>
      <c r="K1122" s="50" t="str">
        <f aca="false">IF('RAW WCH'!H17="","",'RAW WCH'!H17)</f>
        <v/>
      </c>
      <c r="L1122" s="50" t="str">
        <f aca="false">IF('RAW WCH'!I17="","",'RAW WCH'!I17)</f>
        <v/>
      </c>
      <c r="M1122" s="48" t="str">
        <f aca="false">IF('RAW WCH'!J17="","",'RAW WCH'!J17)</f>
        <v/>
      </c>
    </row>
    <row r="1123" customFormat="false" ht="15" hidden="false" customHeight="false" outlineLevel="0" collapsed="false">
      <c r="A1123" s="1" t="s">
        <v>2267</v>
      </c>
      <c r="B1123" s="1" t="s">
        <v>157</v>
      </c>
      <c r="C1123" s="1" t="s">
        <v>1151</v>
      </c>
      <c r="D1123" s="1" t="n">
        <v>18</v>
      </c>
      <c r="E1123" s="48" t="str">
        <f aca="false">IF('RAW WCH'!C18="","",'RAW WCH'!C18)</f>
        <v>cb admin</v>
      </c>
      <c r="F1123" s="48" t="str">
        <f aca="false">IF('RAW WCH'!D18="","",'RAW WCH'!D18)</f>
        <v>cb operations</v>
      </c>
      <c r="G1123" s="49" t="str">
        <f aca="false">IF('RAW WCH'!B18="","",'RAW WCH'!B18)</f>
        <v>July 31, 2025</v>
      </c>
      <c r="H1123" s="48" t="str">
        <f aca="false">IF('RAW WCH'!E18="","",'RAW WCH'!E18)</f>
        <v>Community Benefit Manager</v>
      </c>
      <c r="I1123" s="48" t="n">
        <f aca="false">IF('RAW WCH'!F18="","",'RAW WCH'!F18)</f>
        <v>50.5</v>
      </c>
      <c r="J1123" s="48" t="str">
        <f aca="false">IF('RAW WCH'!G18="","",'RAW WCH'!G18)</f>
        <v/>
      </c>
      <c r="K1123" s="50" t="n">
        <f aca="false">IF('RAW WCH'!H18="","",'RAW WCH'!H18)</f>
        <v>210</v>
      </c>
      <c r="L1123" s="50" t="str">
        <f aca="false">IF('RAW WCH'!I18="","",'RAW WCH'!I18)</f>
        <v/>
      </c>
      <c r="M1123" s="48" t="str">
        <f aca="false">IF('RAW WCH'!J18="","",'RAW WCH'!J18)</f>
        <v/>
      </c>
    </row>
    <row r="1124" customFormat="false" ht="15" hidden="false" customHeight="false" outlineLevel="0" collapsed="false">
      <c r="A1124" s="1" t="s">
        <v>2268</v>
      </c>
      <c r="B1124" s="1" t="s">
        <v>157</v>
      </c>
      <c r="C1124" s="1" t="s">
        <v>1151</v>
      </c>
      <c r="D1124" s="1" t="n">
        <v>19</v>
      </c>
      <c r="E1124" s="48" t="str">
        <f aca="false">IF('RAW WCH'!C19="","",'RAW WCH'!C19)</f>
        <v>community paramedic</v>
      </c>
      <c r="F1124" s="48" t="str">
        <f aca="false">IF('RAW WCH'!D19="","",'RAW WCH'!D19)</f>
        <v>CHIS clinical</v>
      </c>
      <c r="G1124" s="49" t="str">
        <f aca="false">IF('RAW WCH'!B19="","",'RAW WCH'!B19)</f>
        <v>July 31, 2025</v>
      </c>
      <c r="H1124" s="48" t="str">
        <f aca="false">IF('RAW WCH'!E19="","",'RAW WCH'!E19)</f>
        <v>Flight Paramedic</v>
      </c>
      <c r="I1124" s="48" t="n">
        <f aca="false">IF('RAW WCH'!F19="","",'RAW WCH'!F19)</f>
        <v>61.25</v>
      </c>
      <c r="J1124" s="48" t="n">
        <f aca="false">IF('RAW WCH'!G19="","",'RAW WCH'!G19)</f>
        <v>55</v>
      </c>
      <c r="K1124" s="50" t="n">
        <f aca="false">IF('RAW WCH'!H19="","",'RAW WCH'!H19)</f>
        <v>590</v>
      </c>
      <c r="L1124" s="50" t="str">
        <f aca="false">IF('RAW WCH'!I19="","",'RAW WCH'!I19)</f>
        <v/>
      </c>
      <c r="M1124" s="48" t="str">
        <f aca="false">IF('RAW WCH'!J19="","",'RAW WCH'!J19)</f>
        <v/>
      </c>
    </row>
    <row r="1125" customFormat="false" ht="15" hidden="false" customHeight="false" outlineLevel="0" collapsed="false">
      <c r="A1125" s="1" t="s">
        <v>2269</v>
      </c>
      <c r="B1125" s="1" t="s">
        <v>157</v>
      </c>
      <c r="C1125" s="1" t="s">
        <v>1151</v>
      </c>
      <c r="D1125" s="1" t="n">
        <v>20</v>
      </c>
      <c r="E1125" s="48" t="str">
        <f aca="false">IF('RAW WCH'!C20="","",'RAW WCH'!C20)</f>
        <v>nursing students</v>
      </c>
      <c r="F1125" s="48" t="str">
        <f aca="false">IF('RAW WCH'!D20="","",'RAW WCH'!D20)</f>
        <v>health professions ed</v>
      </c>
      <c r="G1125" s="49" t="n">
        <f aca="false">IF('RAW WCH'!B20="","",'RAW WCH'!B20)</f>
        <v>45869</v>
      </c>
      <c r="H1125" s="48" t="str">
        <f aca="false">IF('RAW WCH'!E20="","",'RAW WCH'!E20)</f>
        <v>Clin Educator</v>
      </c>
      <c r="I1125" s="48" t="n">
        <f aca="false">IF('RAW WCH'!F20="","",'RAW WCH'!F20)</f>
        <v>35.5</v>
      </c>
      <c r="J1125" s="48" t="n">
        <f aca="false">IF('RAW WCH'!G20="","",'RAW WCH'!G20)</f>
        <v>11</v>
      </c>
      <c r="K1125" s="50" t="n">
        <f aca="false">IF('RAW WCH'!H20="","",'RAW WCH'!H20)</f>
        <v>245</v>
      </c>
      <c r="L1125" s="50" t="str">
        <f aca="false">IF('RAW WCH'!I20="","",'RAW WCH'!I20)</f>
        <v/>
      </c>
      <c r="M1125" s="48" t="str">
        <f aca="false">IF('RAW WCH'!J20="","",'RAW WCH'!J20)</f>
        <v/>
      </c>
    </row>
    <row r="1126" customFormat="false" ht="15" hidden="false" customHeight="false" outlineLevel="0" collapsed="false">
      <c r="A1126" s="1" t="s">
        <v>2270</v>
      </c>
      <c r="B1126" s="1" t="s">
        <v>157</v>
      </c>
      <c r="C1126" s="1" t="s">
        <v>1151</v>
      </c>
      <c r="D1126" s="1" t="n">
        <v>21</v>
      </c>
      <c r="E1126" s="48" t="str">
        <f aca="false">IF('RAW WCH'!C21="","",'RAW WCH'!C21)</f>
        <v>nursing students</v>
      </c>
      <c r="F1126" s="48" t="str">
        <f aca="false">IF('RAW WCH'!D21="","",'RAW WCH'!D21)</f>
        <v>health professions ed</v>
      </c>
      <c r="G1126" s="49" t="n">
        <f aca="false">IF('RAW WCH'!B21="","",'RAW WCH'!B21)</f>
        <v>45869</v>
      </c>
      <c r="H1126" s="48" t="str">
        <f aca="false">IF('RAW WCH'!E21="","",'RAW WCH'!E21)</f>
        <v>Charge RN</v>
      </c>
      <c r="I1126" s="48" t="n">
        <f aca="false">IF('RAW WCH'!F21="","",'RAW WCH'!F21)</f>
        <v>51.75</v>
      </c>
      <c r="J1126" s="48" t="str">
        <f aca="false">IF('RAW WCH'!G21="","",'RAW WCH'!G21)</f>
        <v/>
      </c>
      <c r="K1126" s="50" t="str">
        <f aca="false">IF('RAW WCH'!H21="","",'RAW WCH'!H21)</f>
        <v/>
      </c>
      <c r="L1126" s="50" t="str">
        <f aca="false">IF('RAW WCH'!I21="","",'RAW WCH'!I21)</f>
        <v/>
      </c>
      <c r="M1126" s="48" t="str">
        <f aca="false">IF('RAW WCH'!J21="","",'RAW WCH'!J21)</f>
        <v/>
      </c>
    </row>
    <row r="1127" customFormat="false" ht="15" hidden="false" customHeight="false" outlineLevel="0" collapsed="false">
      <c r="A1127" s="1" t="s">
        <v>2271</v>
      </c>
      <c r="B1127" s="1" t="s">
        <v>157</v>
      </c>
      <c r="C1127" s="1" t="s">
        <v>1151</v>
      </c>
      <c r="D1127" s="1" t="n">
        <v>22</v>
      </c>
      <c r="E1127" s="48" t="str">
        <f aca="false">IF('RAW WCH'!C22="","",'RAW WCH'!C22)</f>
        <v>paramedic students</v>
      </c>
      <c r="F1127" s="48" t="str">
        <f aca="false">IF('RAW WCH'!D22="","",'RAW WCH'!D22)</f>
        <v>health professions ed</v>
      </c>
      <c r="G1127" s="49" t="n">
        <f aca="false">IF('RAW WCH'!B22="","",'RAW WCH'!B22)</f>
        <v>45869</v>
      </c>
      <c r="H1127" s="48" t="str">
        <f aca="false">IF('RAW WCH'!E22="","",'RAW WCH'!E22)</f>
        <v>EMS Paramedic</v>
      </c>
      <c r="I1127" s="48" t="n">
        <f aca="false">IF('RAW WCH'!F22="","",'RAW WCH'!F22)</f>
        <v>52.5</v>
      </c>
      <c r="J1127" s="48" t="n">
        <f aca="false">IF('RAW WCH'!G22="","",'RAW WCH'!G22)</f>
        <v>4</v>
      </c>
      <c r="K1127" s="50" t="n">
        <f aca="false">IF('RAW WCH'!H22="","",'RAW WCH'!H22)</f>
        <v>5</v>
      </c>
      <c r="L1127" s="50" t="str">
        <f aca="false">IF('RAW WCH'!I22="","",'RAW WCH'!I22)</f>
        <v/>
      </c>
      <c r="M1127" s="48" t="str">
        <f aca="false">IF('RAW WCH'!J22="","",'RAW WCH'!J22)</f>
        <v/>
      </c>
    </row>
    <row r="1128" customFormat="false" ht="15" hidden="false" customHeight="false" outlineLevel="0" collapsed="false">
      <c r="A1128" s="1" t="s">
        <v>2272</v>
      </c>
      <c r="B1128" s="1" t="s">
        <v>157</v>
      </c>
      <c r="C1128" s="1" t="s">
        <v>1151</v>
      </c>
      <c r="D1128" s="1" t="n">
        <v>23</v>
      </c>
      <c r="E1128" s="48" t="str">
        <f aca="false">IF('RAW WCH'!C23="","",'RAW WCH'!C23)</f>
        <v>rural maternal study</v>
      </c>
      <c r="F1128" s="48" t="str">
        <f aca="false">IF('RAW WCH'!D23="","",'RAW WCH'!D23)</f>
        <v>research</v>
      </c>
      <c r="G1128" s="49" t="n">
        <f aca="false">IF('RAW WCH'!B23="","",'RAW WCH'!B23)</f>
        <v>45869</v>
      </c>
      <c r="H1128" s="48" t="str">
        <f aca="false">IF('RAW WCH'!E23="","",'RAW WCH'!E23)</f>
        <v>Sr Data Analyst</v>
      </c>
      <c r="I1128" s="48" t="n">
        <f aca="false">IF('RAW WCH'!F23="","",'RAW WCH'!F23)</f>
        <v>7.25</v>
      </c>
      <c r="J1128" s="48" t="str">
        <f aca="false">IF('RAW WCH'!G23="","",'RAW WCH'!G23)</f>
        <v/>
      </c>
      <c r="K1128" s="50" t="str">
        <f aca="false">IF('RAW WCH'!H23="","",'RAW WCH'!H23)</f>
        <v/>
      </c>
      <c r="L1128" s="50" t="str">
        <f aca="false">IF('RAW WCH'!I23="","",'RAW WCH'!I23)</f>
        <v/>
      </c>
      <c r="M1128" s="48" t="str">
        <f aca="false">IF('RAW WCH'!J23="","",'RAW WCH'!J23)</f>
        <v/>
      </c>
    </row>
    <row r="1129" customFormat="false" ht="15" hidden="false" customHeight="false" outlineLevel="0" collapsed="false">
      <c r="A1129" s="1" t="s">
        <v>2273</v>
      </c>
      <c r="B1129" s="1" t="s">
        <v>157</v>
      </c>
      <c r="C1129" s="1" t="s">
        <v>1151</v>
      </c>
      <c r="D1129" s="1" t="n">
        <v>24</v>
      </c>
      <c r="E1129" s="48" t="str">
        <f aca="false">IF('RAW WCH'!C24="","",'RAW WCH'!C24)</f>
        <v>rural maternal study</v>
      </c>
      <c r="F1129" s="48" t="str">
        <f aca="false">IF('RAW WCH'!D24="","",'RAW WCH'!D24)</f>
        <v>research</v>
      </c>
      <c r="G1129" s="49" t="n">
        <f aca="false">IF('RAW WCH'!B24="","",'RAW WCH'!B24)</f>
        <v>45869</v>
      </c>
      <c r="H1129" s="48" t="str">
        <f aca="false">IF('RAW WCH'!E24="","",'RAW WCH'!E24)</f>
        <v>Research Coordinator </v>
      </c>
      <c r="I1129" s="48" t="n">
        <f aca="false">IF('RAW WCH'!F24="","",'RAW WCH'!F24)</f>
        <v>47</v>
      </c>
      <c r="J1129" s="48" t="n">
        <f aca="false">IF('RAW WCH'!G24="","",'RAW WCH'!G24)</f>
        <v>15</v>
      </c>
      <c r="K1129" s="50" t="n">
        <f aca="false">IF('RAW WCH'!H24="","",'RAW WCH'!H24)</f>
        <v>1500</v>
      </c>
      <c r="L1129" s="50" t="n">
        <f aca="false">IF('RAW WCH'!I24="","",'RAW WCH'!I24)</f>
        <v>4685</v>
      </c>
      <c r="M1129" s="48" t="str">
        <f aca="false">IF('RAW WCH'!J24="","",'RAW WCH'!J24)</f>
        <v/>
      </c>
    </row>
    <row r="1130" customFormat="false" ht="15" hidden="false" customHeight="false" outlineLevel="0" collapsed="false">
      <c r="A1130" s="1" t="s">
        <v>2274</v>
      </c>
      <c r="B1130" s="1" t="s">
        <v>157</v>
      </c>
      <c r="C1130" s="1" t="s">
        <v>1151</v>
      </c>
      <c r="D1130" s="1" t="n">
        <v>25</v>
      </c>
      <c r="E1130" s="48" t="str">
        <f aca="false">IF('RAW WCH'!C25="","",'RAW WCH'!C25)</f>
        <v>grief group</v>
      </c>
      <c r="F1130" s="48" t="str">
        <f aca="false">IF('RAW WCH'!D25="","",'RAW WCH'!D25)</f>
        <v>CHIS support</v>
      </c>
      <c r="G1130" s="49" t="str">
        <f aca="false">IF('RAW WCH'!B25="","",'RAW WCH'!B25)</f>
        <v>8/2/25</v>
      </c>
      <c r="H1130" s="48" t="str">
        <f aca="false">IF('RAW WCH'!E25="","",'RAW WCH'!E25)</f>
        <v>Chaplain</v>
      </c>
      <c r="I1130" s="48" t="str">
        <f aca="false">IF('RAW WCH'!F25="","",'RAW WCH'!F25)</f>
        <v>2.5 hr</v>
      </c>
      <c r="J1130" s="48" t="n">
        <f aca="false">IF('RAW WCH'!G25="","",'RAW WCH'!G25)</f>
        <v>10</v>
      </c>
      <c r="K1130" s="50" t="n">
        <f aca="false">IF('RAW WCH'!H25="","",'RAW WCH'!H25)</f>
        <v>20</v>
      </c>
      <c r="L1130" s="50" t="str">
        <f aca="false">IF('RAW WCH'!I25="","",'RAW WCH'!I25)</f>
        <v/>
      </c>
      <c r="M1130" s="48" t="str">
        <f aca="false">IF('RAW WCH'!J25="","",'RAW WCH'!J25)</f>
        <v/>
      </c>
    </row>
    <row r="1131" customFormat="false" ht="15" hidden="false" customHeight="false" outlineLevel="0" collapsed="false">
      <c r="A1131" s="1" t="s">
        <v>2275</v>
      </c>
      <c r="B1131" s="1" t="s">
        <v>157</v>
      </c>
      <c r="C1131" s="1" t="s">
        <v>1151</v>
      </c>
      <c r="D1131" s="1" t="n">
        <v>26</v>
      </c>
      <c r="E1131" s="48" t="str">
        <f aca="false">IF('RAW WCH'!C26="","",'RAW WCH'!C26)</f>
        <v>grief group</v>
      </c>
      <c r="F1131" s="48" t="str">
        <f aca="false">IF('RAW WCH'!D26="","",'RAW WCH'!D26)</f>
        <v>CHIS support</v>
      </c>
      <c r="G1131" s="49" t="n">
        <f aca="false">IF('RAW WCH'!B26="","",'RAW WCH'!B26)</f>
        <v>45871</v>
      </c>
      <c r="H1131" s="48" t="str">
        <f aca="false">IF('RAW WCH'!E26="","",'RAW WCH'!E26)</f>
        <v> Social Work</v>
      </c>
      <c r="I1131" s="48" t="n">
        <f aca="false">IF('RAW WCH'!F26="","",'RAW WCH'!F26)</f>
        <v>1.75</v>
      </c>
      <c r="J1131" s="48" t="str">
        <f aca="false">IF('RAW WCH'!G26="","",'RAW WCH'!G26)</f>
        <v/>
      </c>
      <c r="K1131" s="50" t="str">
        <f aca="false">IF('RAW WCH'!H26="","",'RAW WCH'!H26)</f>
        <v/>
      </c>
      <c r="L1131" s="50" t="str">
        <f aca="false">IF('RAW WCH'!I26="","",'RAW WCH'!I26)</f>
        <v/>
      </c>
      <c r="M1131" s="48" t="str">
        <f aca="false">IF('RAW WCH'!J26="","",'RAW WCH'!J26)</f>
        <v/>
      </c>
    </row>
    <row r="1132" customFormat="false" ht="15" hidden="false" customHeight="false" outlineLevel="0" collapsed="false">
      <c r="A1132" s="1" t="s">
        <v>2276</v>
      </c>
      <c r="B1132" s="1" t="s">
        <v>157</v>
      </c>
      <c r="C1132" s="1" t="s">
        <v>1151</v>
      </c>
      <c r="D1132" s="1" t="n">
        <v>27</v>
      </c>
      <c r="E1132" s="48" t="str">
        <f aca="false">IF('RAW WCH'!C27="","",'RAW WCH'!C27)</f>
        <v>car seat check</v>
      </c>
      <c r="F1132" s="48" t="str">
        <f aca="false">IF('RAW WCH'!D27="","",'RAW WCH'!D27)</f>
        <v>community health improvement services</v>
      </c>
      <c r="G1132" s="49" t="n">
        <f aca="false">IF('RAW WCH'!B27="","",'RAW WCH'!B27)</f>
        <v>45873</v>
      </c>
      <c r="H1132" s="48" t="str">
        <f aca="false">IF('RAW WCH'!E27="","",'RAW WCH'!E27)</f>
        <v>Paramedic</v>
      </c>
      <c r="I1132" s="48" t="n">
        <f aca="false">IF('RAW WCH'!F27="","",'RAW WCH'!F27)</f>
        <v>3.5</v>
      </c>
      <c r="J1132" s="48" t="n">
        <f aca="false">IF('RAW WCH'!G27="","",'RAW WCH'!G27)</f>
        <v>30</v>
      </c>
      <c r="K1132" s="50" t="n">
        <f aca="false">IF('RAW WCH'!H27="","",'RAW WCH'!H27)</f>
        <v>900</v>
      </c>
      <c r="L1132" s="50" t="n">
        <f aca="false">IF('RAW WCH'!I27="","",'RAW WCH'!I27)</f>
        <v>205</v>
      </c>
      <c r="M1132" s="48" t="str">
        <f aca="false">IF('RAW WCH'!J27="","",'RAW WCH'!J27)</f>
        <v/>
      </c>
    </row>
    <row r="1133" customFormat="false" ht="15" hidden="false" customHeight="false" outlineLevel="0" collapsed="false">
      <c r="A1133" s="1" t="s">
        <v>2277</v>
      </c>
      <c r="B1133" s="1" t="s">
        <v>157</v>
      </c>
      <c r="C1133" s="1" t="s">
        <v>1151</v>
      </c>
      <c r="D1133" s="1" t="n">
        <v>28</v>
      </c>
      <c r="E1133" s="48" t="str">
        <f aca="false">IF('RAW WCH'!C28="","",'RAW WCH'!C28)</f>
        <v>car seat check</v>
      </c>
      <c r="F1133" s="48" t="str">
        <f aca="false">IF('RAW WCH'!D28="","",'RAW WCH'!D28)</f>
        <v>community health improvement services</v>
      </c>
      <c r="G1133" s="49" t="n">
        <f aca="false">IF('RAW WCH'!B28="","",'RAW WCH'!B28)</f>
        <v>45873</v>
      </c>
      <c r="H1133" s="48" t="str">
        <f aca="false">IF('RAW WCH'!E28="","",'RAW WCH'!E28)</f>
        <v>Staff RN</v>
      </c>
      <c r="I1133" s="48" t="n">
        <f aca="false">IF('RAW WCH'!F28="","",'RAW WCH'!F28)</f>
        <v>3.25</v>
      </c>
      <c r="J1133" s="48" t="str">
        <f aca="false">IF('RAW WCH'!G28="","",'RAW WCH'!G28)</f>
        <v/>
      </c>
      <c r="K1133" s="50" t="str">
        <f aca="false">IF('RAW WCH'!H28="","",'RAW WCH'!H28)</f>
        <v/>
      </c>
      <c r="L1133" s="50" t="str">
        <f aca="false">IF('RAW WCH'!I28="","",'RAW WCH'!I28)</f>
        <v/>
      </c>
      <c r="M1133" s="48" t="str">
        <f aca="false">IF('RAW WCH'!J28="","",'RAW WCH'!J28)</f>
        <v/>
      </c>
    </row>
    <row r="1134" customFormat="false" ht="15" hidden="false" customHeight="false" outlineLevel="0" collapsed="false">
      <c r="A1134" s="1" t="s">
        <v>2278</v>
      </c>
      <c r="B1134" s="1" t="s">
        <v>157</v>
      </c>
      <c r="C1134" s="1" t="s">
        <v>1151</v>
      </c>
      <c r="D1134" s="1" t="n">
        <v>29</v>
      </c>
      <c r="E1134" s="48" t="str">
        <f aca="false">IF('RAW WCH'!C29="","",'RAW WCH'!C29)</f>
        <v>diabetes prevention class</v>
      </c>
      <c r="F1134" s="48" t="str">
        <f aca="false">IF('RAW WCH'!D29="","",'RAW WCH'!D29)</f>
        <v>community health improvement services</v>
      </c>
      <c r="G1134" s="49" t="str">
        <f aca="false">IF('RAW WCH'!B29="","",'RAW WCH'!B29)</f>
        <v>8/7/25</v>
      </c>
      <c r="H1134" s="48" t="str">
        <f aca="false">IF('RAW WCH'!E29="","",'RAW WCH'!E29)</f>
        <v>Community Educator</v>
      </c>
      <c r="I1134" s="48" t="n">
        <f aca="false">IF('RAW WCH'!F29="","",'RAW WCH'!F29)</f>
        <v>2.75</v>
      </c>
      <c r="J1134" s="48" t="n">
        <f aca="false">IF('RAW WCH'!G29="","",'RAW WCH'!G29)</f>
        <v>10</v>
      </c>
      <c r="K1134" s="50" t="n">
        <f aca="false">IF('RAW WCH'!H29="","",'RAW WCH'!H29)</f>
        <v>170</v>
      </c>
      <c r="L1134" s="50" t="str">
        <f aca="false">IF('RAW WCH'!I29="","",'RAW WCH'!I29)</f>
        <v/>
      </c>
      <c r="M1134" s="48" t="str">
        <f aca="false">IF('RAW WCH'!J29="","",'RAW WCH'!J29)</f>
        <v/>
      </c>
    </row>
    <row r="1135" customFormat="false" ht="15" hidden="false" customHeight="false" outlineLevel="0" collapsed="false">
      <c r="A1135" s="1" t="s">
        <v>2279</v>
      </c>
      <c r="B1135" s="1" t="s">
        <v>157</v>
      </c>
      <c r="C1135" s="1" t="s">
        <v>1151</v>
      </c>
      <c r="D1135" s="1" t="n">
        <v>30</v>
      </c>
      <c r="E1135" s="48" t="str">
        <f aca="false">IF('RAW WCH'!C30="","",'RAW WCH'!C30)</f>
        <v>diabetes prevention class</v>
      </c>
      <c r="F1135" s="48" t="str">
        <f aca="false">IF('RAW WCH'!D30="","",'RAW WCH'!D30)</f>
        <v>community health improvement services</v>
      </c>
      <c r="G1135" s="49" t="str">
        <f aca="false">IF('RAW WCH'!B30="","",'RAW WCH'!B30)</f>
        <v>8/7/25</v>
      </c>
      <c r="H1135" s="48" t="str">
        <f aca="false">IF('RAW WCH'!E30="","",'RAW WCH'!E30)</f>
        <v>RDN</v>
      </c>
      <c r="I1135" s="48" t="n">
        <f aca="false">IF('RAW WCH'!F30="","",'RAW WCH'!F30)</f>
        <v>1.5</v>
      </c>
      <c r="J1135" s="48" t="str">
        <f aca="false">IF('RAW WCH'!G30="","",'RAW WCH'!G30)</f>
        <v/>
      </c>
      <c r="K1135" s="50" t="str">
        <f aca="false">IF('RAW WCH'!H30="","",'RAW WCH'!H30)</f>
        <v/>
      </c>
      <c r="L1135" s="50" t="str">
        <f aca="false">IF('RAW WCH'!I30="","",'RAW WCH'!I30)</f>
        <v/>
      </c>
      <c r="M1135" s="48" t="str">
        <f aca="false">IF('RAW WCH'!J30="","",'RAW WCH'!J30)</f>
        <v/>
      </c>
    </row>
    <row r="1136" customFormat="false" ht="15" hidden="false" customHeight="false" outlineLevel="0" collapsed="false">
      <c r="A1136" s="1" t="s">
        <v>2280</v>
      </c>
      <c r="B1136" s="1" t="s">
        <v>157</v>
      </c>
      <c r="C1136" s="1" t="s">
        <v>1151</v>
      </c>
      <c r="D1136" s="1" t="n">
        <v>31</v>
      </c>
      <c r="E1136" s="48" t="str">
        <f aca="false">IF('RAW WCH'!C31="","",'RAW WCH'!C31)</f>
        <v>grief group</v>
      </c>
      <c r="F1136" s="48" t="str">
        <f aca="false">IF('RAW WCH'!D31="","",'RAW WCH'!D31)</f>
        <v>CHIS support</v>
      </c>
      <c r="G1136" s="49" t="n">
        <f aca="false">IF('RAW WCH'!B31="","",'RAW WCH'!B31)</f>
        <v>45882</v>
      </c>
      <c r="H1136" s="48" t="str">
        <f aca="false">IF('RAW WCH'!E31="","",'RAW WCH'!E31)</f>
        <v>Spiritual Care</v>
      </c>
      <c r="I1136" s="48" t="n">
        <f aca="false">IF('RAW WCH'!F31="","",'RAW WCH'!F31)</f>
        <v>2</v>
      </c>
      <c r="J1136" s="48" t="n">
        <f aca="false">IF('RAW WCH'!G31="","",'RAW WCH'!G31)</f>
        <v>10</v>
      </c>
      <c r="K1136" s="50" t="n">
        <f aca="false">IF('RAW WCH'!H31="","",'RAW WCH'!H31)</f>
        <v>40</v>
      </c>
      <c r="L1136" s="50" t="str">
        <f aca="false">IF('RAW WCH'!I31="","",'RAW WCH'!I31)</f>
        <v/>
      </c>
      <c r="M1136" s="48" t="str">
        <f aca="false">IF('RAW WCH'!J31="","",'RAW WCH'!J31)</f>
        <v/>
      </c>
    </row>
    <row r="1137" customFormat="false" ht="15" hidden="false" customHeight="false" outlineLevel="0" collapsed="false">
      <c r="A1137" s="1" t="s">
        <v>2281</v>
      </c>
      <c r="B1137" s="1" t="s">
        <v>157</v>
      </c>
      <c r="C1137" s="1" t="s">
        <v>1151</v>
      </c>
      <c r="D1137" s="1" t="n">
        <v>32</v>
      </c>
      <c r="E1137" s="48" t="str">
        <f aca="false">IF('RAW WCH'!C32="","",'RAW WCH'!C32)</f>
        <v>grief group</v>
      </c>
      <c r="F1137" s="48" t="str">
        <f aca="false">IF('RAW WCH'!D32="","",'RAW WCH'!D32)</f>
        <v>CHIS support</v>
      </c>
      <c r="G1137" s="49" t="str">
        <f aca="false">IF('RAW WCH'!B32="","",'RAW WCH'!B32)</f>
        <v>8/13/25</v>
      </c>
      <c r="H1137" s="48" t="str">
        <f aca="false">IF('RAW WCH'!E32="","",'RAW WCH'!E32)</f>
        <v>Clinical Social Worker</v>
      </c>
      <c r="I1137" s="48" t="n">
        <f aca="false">IF('RAW WCH'!F32="","",'RAW WCH'!F32)</f>
        <v>1.5</v>
      </c>
      <c r="J1137" s="48" t="str">
        <f aca="false">IF('RAW WCH'!G32="","",'RAW WCH'!G32)</f>
        <v/>
      </c>
      <c r="K1137" s="50" t="str">
        <f aca="false">IF('RAW WCH'!H32="","",'RAW WCH'!H32)</f>
        <v/>
      </c>
      <c r="L1137" s="50" t="str">
        <f aca="false">IF('RAW WCH'!I32="","",'RAW WCH'!I32)</f>
        <v/>
      </c>
      <c r="M1137" s="48" t="str">
        <f aca="false">IF('RAW WCH'!J32="","",'RAW WCH'!J32)</f>
        <v/>
      </c>
    </row>
    <row r="1138" customFormat="false" ht="15" hidden="false" customHeight="false" outlineLevel="0" collapsed="false">
      <c r="A1138" s="1" t="s">
        <v>2282</v>
      </c>
      <c r="B1138" s="1" t="s">
        <v>157</v>
      </c>
      <c r="C1138" s="1" t="s">
        <v>1151</v>
      </c>
      <c r="D1138" s="1" t="n">
        <v>33</v>
      </c>
      <c r="E1138" s="48" t="str">
        <f aca="false">IF('RAW WCH'!C33="","",'RAW WCH'!C33)</f>
        <v>sports physicals</v>
      </c>
      <c r="F1138" s="48" t="str">
        <f aca="false">IF('RAW WCH'!D33="","",'RAW WCH'!D33)</f>
        <v>CHIS clinical</v>
      </c>
      <c r="G1138" s="49" t="n">
        <f aca="false">IF('RAW WCH'!B33="","",'RAW WCH'!B33)</f>
        <v>45882</v>
      </c>
      <c r="H1138" s="48" t="str">
        <f aca="false">IF('RAW WCH'!E33="","",'RAW WCH'!E33)</f>
        <v>CMA</v>
      </c>
      <c r="I1138" s="48" t="n">
        <f aca="false">IF('RAW WCH'!F33="","",'RAW WCH'!F33)</f>
        <v>4</v>
      </c>
      <c r="J1138" s="48" t="str">
        <f aca="false">IF('RAW WCH'!G33="","",'RAW WCH'!G33)</f>
        <v/>
      </c>
      <c r="K1138" s="50" t="str">
        <f aca="false">IF('RAW WCH'!H33="","",'RAW WCH'!H33)</f>
        <v/>
      </c>
      <c r="L1138" s="50" t="str">
        <f aca="false">IF('RAW WCH'!I33="","",'RAW WCH'!I33)</f>
        <v/>
      </c>
      <c r="M1138" s="48" t="str">
        <f aca="false">IF('RAW WCH'!J33="","",'RAW WCH'!J33)</f>
        <v/>
      </c>
    </row>
    <row r="1139" customFormat="false" ht="15" hidden="false" customHeight="false" outlineLevel="0" collapsed="false">
      <c r="A1139" s="1" t="s">
        <v>2283</v>
      </c>
      <c r="B1139" s="1" t="s">
        <v>157</v>
      </c>
      <c r="C1139" s="1" t="s">
        <v>1151</v>
      </c>
      <c r="D1139" s="1" t="n">
        <v>34</v>
      </c>
      <c r="E1139" s="48" t="str">
        <f aca="false">IF('RAW WCH'!C34="","",'RAW WCH'!C34)</f>
        <v>sports physicals</v>
      </c>
      <c r="F1139" s="48" t="str">
        <f aca="false">IF('RAW WCH'!D34="","",'RAW WCH'!D34)</f>
        <v>CHIS clinical</v>
      </c>
      <c r="G1139" s="49" t="str">
        <f aca="false">IF('RAW WCH'!B34="","",'RAW WCH'!B34)</f>
        <v>August 13, 2025</v>
      </c>
      <c r="H1139" s="48" t="str">
        <f aca="false">IF('RAW WCH'!E34="","",'RAW WCH'!E34)</f>
        <v>Nurse Practitioner</v>
      </c>
      <c r="I1139" s="48" t="n">
        <f aca="false">IF('RAW WCH'!F34="","",'RAW WCH'!F34)</f>
        <v>4.5</v>
      </c>
      <c r="J1139" s="48" t="str">
        <f aca="false">IF('RAW WCH'!G34="","",'RAW WCH'!G34)</f>
        <v/>
      </c>
      <c r="K1139" s="50" t="str">
        <f aca="false">IF('RAW WCH'!H34="","",'RAW WCH'!H34)</f>
        <v/>
      </c>
      <c r="L1139" s="50" t="str">
        <f aca="false">IF('RAW WCH'!I34="","",'RAW WCH'!I34)</f>
        <v/>
      </c>
      <c r="M1139" s="48" t="str">
        <f aca="false">IF('RAW WCH'!J34="","",'RAW WCH'!J34)</f>
        <v/>
      </c>
    </row>
    <row r="1140" customFormat="false" ht="15" hidden="false" customHeight="false" outlineLevel="0" collapsed="false">
      <c r="A1140" s="1" t="s">
        <v>2284</v>
      </c>
      <c r="B1140" s="1" t="s">
        <v>157</v>
      </c>
      <c r="C1140" s="1" t="s">
        <v>1151</v>
      </c>
      <c r="D1140" s="1" t="n">
        <v>35</v>
      </c>
      <c r="E1140" s="48" t="str">
        <f aca="false">IF('RAW WCH'!C35="","",'RAW WCH'!C35)</f>
        <v>sports physicals</v>
      </c>
      <c r="F1140" s="48" t="str">
        <f aca="false">IF('RAW WCH'!D35="","",'RAW WCH'!D35)</f>
        <v>CHIS clinical</v>
      </c>
      <c r="G1140" s="49" t="str">
        <f aca="false">IF('RAW WCH'!B35="","",'RAW WCH'!B35)</f>
        <v>8/13/25</v>
      </c>
      <c r="H1140" s="48" t="str">
        <f aca="false">IF('RAW WCH'!E35="","",'RAW WCH'!E35)</f>
        <v>Staff Physician</v>
      </c>
      <c r="I1140" s="48" t="n">
        <f aca="false">IF('RAW WCH'!F35="","",'RAW WCH'!F35)</f>
        <v>5</v>
      </c>
      <c r="J1140" s="48" t="n">
        <f aca="false">IF('RAW WCH'!G35="","",'RAW WCH'!G35)</f>
        <v>59</v>
      </c>
      <c r="K1140" s="50" t="n">
        <f aca="false">IF('RAW WCH'!H35="","",'RAW WCH'!H35)</f>
        <v>310</v>
      </c>
      <c r="L1140" s="50" t="str">
        <f aca="false">IF('RAW WCH'!I35="","",'RAW WCH'!I35)</f>
        <v/>
      </c>
      <c r="M1140" s="48" t="str">
        <f aca="false">IF('RAW WCH'!J35="","",'RAW WCH'!J35)</f>
        <v/>
      </c>
    </row>
    <row r="1141" customFormat="false" ht="15" hidden="false" customHeight="false" outlineLevel="0" collapsed="false">
      <c r="A1141" s="1" t="s">
        <v>2285</v>
      </c>
      <c r="B1141" s="1" t="s">
        <v>157</v>
      </c>
      <c r="C1141" s="1" t="s">
        <v>1151</v>
      </c>
      <c r="D1141" s="1" t="n">
        <v>36</v>
      </c>
      <c r="E1141" s="48" t="str">
        <f aca="false">IF('RAW WCH'!C36="","",'RAW WCH'!C36)</f>
        <v>bp check</v>
      </c>
      <c r="F1141" s="48" t="str">
        <f aca="false">IF('RAW WCH'!D36="","",'RAW WCH'!D36)</f>
        <v>CHIS clinical</v>
      </c>
      <c r="G1141" s="49" t="n">
        <f aca="false">IF('RAW WCH'!B36="","",'RAW WCH'!B36)</f>
        <v>45890</v>
      </c>
      <c r="H1141" s="48" t="str">
        <f aca="false">IF('RAW WCH'!E36="","",'RAW WCH'!E36)</f>
        <v>Clinical RN</v>
      </c>
      <c r="I1141" s="48" t="n">
        <f aca="false">IF('RAW WCH'!F36="","",'RAW WCH'!F36)</f>
        <v>4</v>
      </c>
      <c r="J1141" s="48" t="n">
        <f aca="false">IF('RAW WCH'!G36="","",'RAW WCH'!G36)</f>
        <v>25</v>
      </c>
      <c r="K1141" s="50" t="n">
        <f aca="false">IF('RAW WCH'!H36="","",'RAW WCH'!H36)</f>
        <v>80</v>
      </c>
      <c r="L1141" s="50" t="str">
        <f aca="false">IF('RAW WCH'!I36="","",'RAW WCH'!I36)</f>
        <v/>
      </c>
      <c r="M1141" s="48" t="str">
        <f aca="false">IF('RAW WCH'!J36="","",'RAW WCH'!J36)</f>
        <v/>
      </c>
    </row>
    <row r="1142" customFormat="false" ht="15" hidden="false" customHeight="false" outlineLevel="0" collapsed="false">
      <c r="A1142" s="1" t="s">
        <v>2286</v>
      </c>
      <c r="B1142" s="1" t="s">
        <v>157</v>
      </c>
      <c r="C1142" s="1" t="s">
        <v>1151</v>
      </c>
      <c r="D1142" s="1" t="n">
        <v>37</v>
      </c>
      <c r="E1142" s="48" t="str">
        <f aca="false">IF('RAW WCH'!C37="","",'RAW WCH'!C37)</f>
        <v>car seat check</v>
      </c>
      <c r="F1142" s="48" t="str">
        <f aca="false">IF('RAW WCH'!D37="","",'RAW WCH'!D37)</f>
        <v>community health improvement services</v>
      </c>
      <c r="G1142" s="49" t="str">
        <f aca="false">IF('RAW WCH'!B37="","",'RAW WCH'!B37)</f>
        <v>August 21, 2025</v>
      </c>
      <c r="H1142" s="48" t="str">
        <f aca="false">IF('RAW WCH'!E37="","",'RAW WCH'!E37)</f>
        <v>Paramedic</v>
      </c>
      <c r="I1142" s="48" t="n">
        <f aca="false">IF('RAW WCH'!F37="","",'RAW WCH'!F37)</f>
        <v>3.5</v>
      </c>
      <c r="J1142" s="48" t="n">
        <f aca="false">IF('RAW WCH'!G37="","",'RAW WCH'!G37)</f>
        <v>26</v>
      </c>
      <c r="K1142" s="50" t="n">
        <f aca="false">IF('RAW WCH'!H37="","",'RAW WCH'!H37)</f>
        <v>875</v>
      </c>
      <c r="L1142" s="50" t="n">
        <f aca="false">IF('RAW WCH'!I37="","",'RAW WCH'!I37)</f>
        <v>355</v>
      </c>
      <c r="M1142" s="48" t="str">
        <f aca="false">IF('RAW WCH'!J37="","",'RAW WCH'!J37)</f>
        <v/>
      </c>
    </row>
    <row r="1143" customFormat="false" ht="15" hidden="false" customHeight="false" outlineLevel="0" collapsed="false">
      <c r="A1143" s="1" t="s">
        <v>2287</v>
      </c>
      <c r="B1143" s="1" t="s">
        <v>157</v>
      </c>
      <c r="C1143" s="1" t="s">
        <v>1151</v>
      </c>
      <c r="D1143" s="1" t="n">
        <v>38</v>
      </c>
      <c r="E1143" s="48" t="str">
        <f aca="false">IF('RAW WCH'!C38="","",'RAW WCH'!C38)</f>
        <v>car seat check</v>
      </c>
      <c r="F1143" s="48" t="str">
        <f aca="false">IF('RAW WCH'!D38="","",'RAW WCH'!D38)</f>
        <v>community health improvement services</v>
      </c>
      <c r="G1143" s="49" t="str">
        <f aca="false">IF('RAW WCH'!B38="","",'RAW WCH'!B38)</f>
        <v>8/21/25</v>
      </c>
      <c r="H1143" s="48" t="str">
        <f aca="false">IF('RAW WCH'!E38="","",'RAW WCH'!E38)</f>
        <v>R.N.</v>
      </c>
      <c r="I1143" s="48" t="n">
        <f aca="false">IF('RAW WCH'!F38="","",'RAW WCH'!F38)</f>
        <v>4</v>
      </c>
      <c r="J1143" s="48" t="str">
        <f aca="false">IF('RAW WCH'!G38="","",'RAW WCH'!G38)</f>
        <v/>
      </c>
      <c r="K1143" s="50" t="str">
        <f aca="false">IF('RAW WCH'!H38="","",'RAW WCH'!H38)</f>
        <v/>
      </c>
      <c r="L1143" s="50" t="str">
        <f aca="false">IF('RAW WCH'!I38="","",'RAW WCH'!I38)</f>
        <v/>
      </c>
      <c r="M1143" s="48" t="str">
        <f aca="false">IF('RAW WCH'!J38="","",'RAW WCH'!J38)</f>
        <v/>
      </c>
    </row>
    <row r="1144" customFormat="false" ht="15" hidden="false" customHeight="false" outlineLevel="0" collapsed="false">
      <c r="A1144" s="1" t="s">
        <v>2288</v>
      </c>
      <c r="B1144" s="1" t="s">
        <v>157</v>
      </c>
      <c r="C1144" s="1" t="s">
        <v>1151</v>
      </c>
      <c r="D1144" s="1" t="n">
        <v>39</v>
      </c>
      <c r="E1144" s="48" t="str">
        <f aca="false">IF('RAW WCH'!C39="","",'RAW WCH'!C39)</f>
        <v>narcan training</v>
      </c>
      <c r="F1144" s="48" t="str">
        <f aca="false">IF('RAW WCH'!D39="","",'RAW WCH'!D39)</f>
        <v>community health improvement services</v>
      </c>
      <c r="G1144" s="49" t="str">
        <f aca="false">IF('RAW WCH'!B39="","",'RAW WCH'!B39)</f>
        <v>8/30/25</v>
      </c>
      <c r="H1144" s="48" t="str">
        <f aca="false">IF('RAW WCH'!E39="","",'RAW WCH'!E39)</f>
        <v>Health Education Specialist</v>
      </c>
      <c r="I1144" s="48" t="n">
        <f aca="false">IF('RAW WCH'!F39="","",'RAW WCH'!F39)</f>
        <v>2.75</v>
      </c>
      <c r="J1144" s="48" t="str">
        <f aca="false">IF('RAW WCH'!G39="","",'RAW WCH'!G39)</f>
        <v/>
      </c>
      <c r="K1144" s="50" t="str">
        <f aca="false">IF('RAW WCH'!H39="","",'RAW WCH'!H39)</f>
        <v/>
      </c>
      <c r="L1144" s="50" t="str">
        <f aca="false">IF('RAW WCH'!I39="","",'RAW WCH'!I39)</f>
        <v/>
      </c>
      <c r="M1144" s="48" t="str">
        <f aca="false">IF('RAW WCH'!J39="","",'RAW WCH'!J39)</f>
        <v/>
      </c>
    </row>
    <row r="1145" customFormat="false" ht="15" hidden="false" customHeight="false" outlineLevel="0" collapsed="false">
      <c r="A1145" s="1" t="s">
        <v>2289</v>
      </c>
      <c r="B1145" s="1" t="s">
        <v>157</v>
      </c>
      <c r="C1145" s="1" t="s">
        <v>1151</v>
      </c>
      <c r="D1145" s="1" t="n">
        <v>40</v>
      </c>
      <c r="E1145" s="48" t="str">
        <f aca="false">IF('RAW WCH'!C40="","",'RAW WCH'!C40)</f>
        <v>narcan training</v>
      </c>
      <c r="F1145" s="48" t="str">
        <f aca="false">IF('RAW WCH'!D40="","",'RAW WCH'!D40)</f>
        <v>community health improvement services</v>
      </c>
      <c r="G1145" s="49" t="n">
        <f aca="false">IF('RAW WCH'!B40="","",'RAW WCH'!B40)</f>
        <v>45899</v>
      </c>
      <c r="H1145" s="48" t="str">
        <f aca="false">IF('RAW WCH'!E40="","",'RAW WCH'!E40)</f>
        <v>RPh</v>
      </c>
      <c r="I1145" s="48" t="n">
        <f aca="false">IF('RAW WCH'!F40="","",'RAW WCH'!F40)</f>
        <v>2</v>
      </c>
      <c r="J1145" s="48" t="n">
        <f aca="false">IF('RAW WCH'!G40="","",'RAW WCH'!G40)</f>
        <v>36</v>
      </c>
      <c r="K1145" s="50" t="n">
        <f aca="false">IF('RAW WCH'!H40="","",'RAW WCH'!H40)</f>
        <v>1005</v>
      </c>
      <c r="L1145" s="50" t="n">
        <f aca="false">IF('RAW WCH'!I40="","",'RAW WCH'!I40)</f>
        <v>565</v>
      </c>
      <c r="M1145" s="48" t="str">
        <f aca="false">IF('RAW WCH'!J40="","",'RAW WCH'!J40)</f>
        <v/>
      </c>
    </row>
    <row r="1146" customFormat="false" ht="15" hidden="false" customHeight="false" outlineLevel="0" collapsed="false">
      <c r="A1146" s="1" t="s">
        <v>2290</v>
      </c>
      <c r="B1146" s="1" t="s">
        <v>157</v>
      </c>
      <c r="C1146" s="1" t="s">
        <v>1151</v>
      </c>
      <c r="D1146" s="1" t="n">
        <v>41</v>
      </c>
      <c r="E1146" s="48" t="str">
        <f aca="false">IF('RAW WCH'!C41="","",'RAW WCH'!C41)</f>
        <v>mobile van screenings</v>
      </c>
      <c r="F1146" s="48" t="str">
        <f aca="false">IF('RAW WCH'!D41="","",'RAW WCH'!D41)</f>
        <v>CHIS clinical</v>
      </c>
      <c r="G1146" s="49" t="str">
        <f aca="false">IF('RAW WCH'!B41="","",'RAW WCH'!B41)</f>
        <v>8/31/25</v>
      </c>
      <c r="H1146" s="48" t="str">
        <f aca="false">IF('RAW WCH'!E41="","",'RAW WCH'!E41)</f>
        <v>Community Health Worker</v>
      </c>
      <c r="I1146" s="48" t="n">
        <f aca="false">IF('RAW WCH'!F41="","",'RAW WCH'!F41)</f>
        <v>70.25</v>
      </c>
      <c r="J1146" s="48" t="str">
        <f aca="false">IF('RAW WCH'!G41="","",'RAW WCH'!G41)</f>
        <v/>
      </c>
      <c r="K1146" s="50" t="str">
        <f aca="false">IF('RAW WCH'!H41="","",'RAW WCH'!H41)</f>
        <v/>
      </c>
      <c r="L1146" s="50" t="str">
        <f aca="false">IF('RAW WCH'!I41="","",'RAW WCH'!I41)</f>
        <v/>
      </c>
      <c r="M1146" s="48" t="str">
        <f aca="false">IF('RAW WCH'!J41="","",'RAW WCH'!J41)</f>
        <v/>
      </c>
    </row>
    <row r="1147" customFormat="false" ht="15" hidden="false" customHeight="false" outlineLevel="0" collapsed="false">
      <c r="A1147" s="1" t="s">
        <v>2291</v>
      </c>
      <c r="B1147" s="1" t="s">
        <v>157</v>
      </c>
      <c r="C1147" s="1" t="s">
        <v>1151</v>
      </c>
      <c r="D1147" s="1" t="n">
        <v>42</v>
      </c>
      <c r="E1147" s="48" t="str">
        <f aca="false">IF('RAW WCH'!C42="","",'RAW WCH'!C42)</f>
        <v>mobile van screenings</v>
      </c>
      <c r="F1147" s="48" t="str">
        <f aca="false">IF('RAW WCH'!D42="","",'RAW WCH'!D42)</f>
        <v>CHIS clinical</v>
      </c>
      <c r="G1147" s="49" t="str">
        <f aca="false">IF('RAW WCH'!B42="","",'RAW WCH'!B42)</f>
        <v>8/31/25</v>
      </c>
      <c r="H1147" s="48" t="str">
        <f aca="false">IF('RAW WCH'!E42="","",'RAW WCH'!E42)</f>
        <v>CMA</v>
      </c>
      <c r="I1147" s="48" t="n">
        <f aca="false">IF('RAW WCH'!F42="","",'RAW WCH'!F42)</f>
        <v>69</v>
      </c>
      <c r="J1147" s="48" t="str">
        <f aca="false">IF('RAW WCH'!G42="","",'RAW WCH'!G42)</f>
        <v/>
      </c>
      <c r="K1147" s="50" t="str">
        <f aca="false">IF('RAW WCH'!H42="","",'RAW WCH'!H42)</f>
        <v/>
      </c>
      <c r="L1147" s="50" t="str">
        <f aca="false">IF('RAW WCH'!I42="","",'RAW WCH'!I42)</f>
        <v/>
      </c>
      <c r="M1147" s="48" t="str">
        <f aca="false">IF('RAW WCH'!J42="","",'RAW WCH'!J42)</f>
        <v/>
      </c>
    </row>
    <row r="1148" customFormat="false" ht="15" hidden="false" customHeight="false" outlineLevel="0" collapsed="false">
      <c r="A1148" s="1" t="s">
        <v>2292</v>
      </c>
      <c r="B1148" s="1" t="s">
        <v>157</v>
      </c>
      <c r="C1148" s="1" t="s">
        <v>1151</v>
      </c>
      <c r="D1148" s="1" t="n">
        <v>43</v>
      </c>
      <c r="E1148" s="48" t="str">
        <f aca="false">IF('RAW WCH'!C43="","",'RAW WCH'!C43)</f>
        <v>mobile van screenings</v>
      </c>
      <c r="F1148" s="48" t="str">
        <f aca="false">IF('RAW WCH'!D43="","",'RAW WCH'!D43)</f>
        <v>CHIS clinical</v>
      </c>
      <c r="G1148" s="49" t="str">
        <f aca="false">IF('RAW WCH'!B43="","",'RAW WCH'!B43)</f>
        <v>8/31/25</v>
      </c>
      <c r="H1148" s="48" t="str">
        <f aca="false">IF('RAW WCH'!E43="","",'RAW WCH'!E43)</f>
        <v>Clinical RN</v>
      </c>
      <c r="I1148" s="48" t="n">
        <f aca="false">IF('RAW WCH'!F43="","",'RAW WCH'!F43)</f>
        <v>73.75</v>
      </c>
      <c r="J1148" s="48" t="n">
        <f aca="false">IF('RAW WCH'!G43="","",'RAW WCH'!G43)</f>
        <v>225</v>
      </c>
      <c r="K1148" s="50" t="n">
        <f aca="false">IF('RAW WCH'!H43="","",'RAW WCH'!H43)</f>
        <v>5720</v>
      </c>
      <c r="L1148" s="50" t="str">
        <f aca="false">IF('RAW WCH'!I43="","",'RAW WCH'!I43)</f>
        <v/>
      </c>
      <c r="M1148" s="48" t="str">
        <f aca="false">IF('RAW WCH'!J43="","",'RAW WCH'!J43)</f>
        <v/>
      </c>
    </row>
    <row r="1149" customFormat="false" ht="15" hidden="false" customHeight="false" outlineLevel="0" collapsed="false">
      <c r="A1149" s="1" t="s">
        <v>2293</v>
      </c>
      <c r="B1149" s="1" t="s">
        <v>157</v>
      </c>
      <c r="C1149" s="1" t="s">
        <v>1151</v>
      </c>
      <c r="D1149" s="1" t="n">
        <v>44</v>
      </c>
      <c r="E1149" s="48" t="str">
        <f aca="false">IF('RAW WCH'!C44="","",'RAW WCH'!C44)</f>
        <v>chw outreach</v>
      </c>
      <c r="F1149" s="48" t="str">
        <f aca="false">IF('RAW WCH'!D44="","",'RAW WCH'!D44)</f>
        <v>CHIS support</v>
      </c>
      <c r="G1149" s="49" t="str">
        <f aca="false">IF('RAW WCH'!B44="","",'RAW WCH'!B44)</f>
        <v>August 31, 2025</v>
      </c>
      <c r="H1149" s="48" t="str">
        <f aca="false">IF('RAW WCH'!E44="","",'RAW WCH'!E44)</f>
        <v>Community Health Worker</v>
      </c>
      <c r="I1149" s="48" t="n">
        <f aca="false">IF('RAW WCH'!F44="","",'RAW WCH'!F44)</f>
        <v>261</v>
      </c>
      <c r="J1149" s="48" t="n">
        <f aca="false">IF('RAW WCH'!G44="","",'RAW WCH'!G44)</f>
        <v>352</v>
      </c>
      <c r="K1149" s="50" t="n">
        <f aca="false">IF('RAW WCH'!H44="","",'RAW WCH'!H44)</f>
        <v>1630</v>
      </c>
      <c r="L1149" s="50" t="str">
        <f aca="false">IF('RAW WCH'!I44="","",'RAW WCH'!I44)</f>
        <v/>
      </c>
      <c r="M1149" s="48" t="str">
        <f aca="false">IF('RAW WCH'!J44="","",'RAW WCH'!J44)</f>
        <v/>
      </c>
    </row>
    <row r="1150" customFormat="false" ht="15" hidden="false" customHeight="false" outlineLevel="0" collapsed="false">
      <c r="A1150" s="1" t="s">
        <v>2294</v>
      </c>
      <c r="B1150" s="1" t="s">
        <v>157</v>
      </c>
      <c r="C1150" s="1" t="s">
        <v>1151</v>
      </c>
      <c r="D1150" s="1" t="n">
        <v>45</v>
      </c>
      <c r="E1150" s="48" t="str">
        <f aca="false">IF('RAW WCH'!C45="","",'RAW WCH'!C45)</f>
        <v>chw outreach</v>
      </c>
      <c r="F1150" s="48" t="str">
        <f aca="false">IF('RAW WCH'!D45="","",'RAW WCH'!D45)</f>
        <v>CHIS support</v>
      </c>
      <c r="G1150" s="49" t="n">
        <f aca="false">IF('RAW WCH'!B45="","",'RAW WCH'!B45)</f>
        <v>45900</v>
      </c>
      <c r="H1150" s="48" t="str">
        <f aca="false">IF('RAW WCH'!E45="","",'RAW WCH'!E45)</f>
        <v>Financial Navigator</v>
      </c>
      <c r="I1150" s="48" t="n">
        <f aca="false">IF('RAW WCH'!F45="","",'RAW WCH'!F45)</f>
        <v>117.5</v>
      </c>
      <c r="J1150" s="48" t="str">
        <f aca="false">IF('RAW WCH'!G45="","",'RAW WCH'!G45)</f>
        <v/>
      </c>
      <c r="K1150" s="50" t="str">
        <f aca="false">IF('RAW WCH'!H45="","",'RAW WCH'!H45)</f>
        <v/>
      </c>
      <c r="L1150" s="50" t="str">
        <f aca="false">IF('RAW WCH'!I45="","",'RAW WCH'!I45)</f>
        <v/>
      </c>
      <c r="M1150" s="48" t="str">
        <f aca="false">IF('RAW WCH'!J45="","",'RAW WCH'!J45)</f>
        <v/>
      </c>
    </row>
    <row r="1151" customFormat="false" ht="15" hidden="false" customHeight="false" outlineLevel="0" collapsed="false">
      <c r="A1151" s="1" t="s">
        <v>2295</v>
      </c>
      <c r="B1151" s="1" t="s">
        <v>157</v>
      </c>
      <c r="C1151" s="1" t="s">
        <v>1151</v>
      </c>
      <c r="D1151" s="1" t="n">
        <v>46</v>
      </c>
      <c r="E1151" s="48" t="str">
        <f aca="false">IF('RAW WCH'!C46="","",'RAW WCH'!C46)</f>
        <v>produce prescription</v>
      </c>
      <c r="F1151" s="48" t="str">
        <f aca="false">IF('RAW WCH'!D46="","",'RAW WCH'!D46)</f>
        <v>CHIS support</v>
      </c>
      <c r="G1151" s="49" t="n">
        <f aca="false">IF('RAW WCH'!B46="","",'RAW WCH'!B46)</f>
        <v>45900</v>
      </c>
      <c r="H1151" s="48" t="str">
        <f aca="false">IF('RAW WCH'!E46="","",'RAW WCH'!E46)</f>
        <v>Comm Health Worker</v>
      </c>
      <c r="I1151" s="48" t="n">
        <f aca="false">IF('RAW WCH'!F46="","",'RAW WCH'!F46)</f>
        <v>31.5</v>
      </c>
      <c r="J1151" s="48" t="str">
        <f aca="false">IF('RAW WCH'!G46="","",'RAW WCH'!G46)</f>
        <v/>
      </c>
      <c r="K1151" s="50" t="str">
        <f aca="false">IF('RAW WCH'!H46="","",'RAW WCH'!H46)</f>
        <v/>
      </c>
      <c r="L1151" s="50" t="str">
        <f aca="false">IF('RAW WCH'!I46="","",'RAW WCH'!I46)</f>
        <v/>
      </c>
      <c r="M1151" s="48" t="str">
        <f aca="false">IF('RAW WCH'!J46="","",'RAW WCH'!J46)</f>
        <v/>
      </c>
    </row>
    <row r="1152" customFormat="false" ht="15" hidden="false" customHeight="false" outlineLevel="0" collapsed="false">
      <c r="A1152" s="1" t="s">
        <v>2296</v>
      </c>
      <c r="B1152" s="1" t="s">
        <v>157</v>
      </c>
      <c r="C1152" s="1" t="s">
        <v>1151</v>
      </c>
      <c r="D1152" s="1" t="n">
        <v>47</v>
      </c>
      <c r="E1152" s="48" t="str">
        <f aca="false">IF('RAW WCH'!C47="","",'RAW WCH'!C47)</f>
        <v>produce prescription</v>
      </c>
      <c r="F1152" s="48" t="str">
        <f aca="false">IF('RAW WCH'!D47="","",'RAW WCH'!D47)</f>
        <v>CHIS support</v>
      </c>
      <c r="G1152" s="49" t="str">
        <f aca="false">IF('RAW WCH'!B47="","",'RAW WCH'!B47)</f>
        <v>8/31/25</v>
      </c>
      <c r="H1152" s="48" t="str">
        <f aca="false">IF('RAW WCH'!E47="","",'RAW WCH'!E47)</f>
        <v>RDN</v>
      </c>
      <c r="I1152" s="48" t="n">
        <f aca="false">IF('RAW WCH'!F47="","",'RAW WCH'!F47)</f>
        <v>16</v>
      </c>
      <c r="J1152" s="48" t="n">
        <f aca="false">IF('RAW WCH'!G47="","",'RAW WCH'!G47)</f>
        <v>99</v>
      </c>
      <c r="K1152" s="50" t="n">
        <f aca="false">IF('RAW WCH'!H47="","",'RAW WCH'!H47)</f>
        <v>8875</v>
      </c>
      <c r="L1152" s="50" t="n">
        <f aca="false">IF('RAW WCH'!I47="","",'RAW WCH'!I47)</f>
        <v>3380</v>
      </c>
      <c r="M1152" s="48" t="str">
        <f aca="false">IF('RAW WCH'!J47="","",'RAW WCH'!J47)</f>
        <v/>
      </c>
    </row>
    <row r="1153" customFormat="false" ht="15" hidden="false" customHeight="false" outlineLevel="0" collapsed="false">
      <c r="A1153" s="1" t="s">
        <v>2297</v>
      </c>
      <c r="B1153" s="1" t="s">
        <v>157</v>
      </c>
      <c r="C1153" s="1" t="s">
        <v>1151</v>
      </c>
      <c r="D1153" s="1" t="n">
        <v>48</v>
      </c>
      <c r="E1153" s="48" t="str">
        <f aca="false">IF('RAW WCH'!C48="","",'RAW WCH'!C48)</f>
        <v>cb admin</v>
      </c>
      <c r="F1153" s="48" t="str">
        <f aca="false">IF('RAW WCH'!D48="","",'RAW WCH'!D48)</f>
        <v>cb operations</v>
      </c>
      <c r="G1153" s="49" t="str">
        <f aca="false">IF('RAW WCH'!B48="","",'RAW WCH'!B48)</f>
        <v>August 31, 2025</v>
      </c>
      <c r="H1153" s="48" t="str">
        <f aca="false">IF('RAW WCH'!E48="","",'RAW WCH'!E48)</f>
        <v>Admin Support</v>
      </c>
      <c r="I1153" s="48" t="n">
        <f aca="false">IF('RAW WCH'!F48="","",'RAW WCH'!F48)</f>
        <v>30.75</v>
      </c>
      <c r="J1153" s="48" t="str">
        <f aca="false">IF('RAW WCH'!G48="","",'RAW WCH'!G48)</f>
        <v/>
      </c>
      <c r="K1153" s="50" t="str">
        <f aca="false">IF('RAW WCH'!H48="","",'RAW WCH'!H48)</f>
        <v/>
      </c>
      <c r="L1153" s="50" t="str">
        <f aca="false">IF('RAW WCH'!I48="","",'RAW WCH'!I48)</f>
        <v/>
      </c>
      <c r="M1153" s="48" t="str">
        <f aca="false">IF('RAW WCH'!J48="","",'RAW WCH'!J48)</f>
        <v/>
      </c>
    </row>
    <row r="1154" customFormat="false" ht="15" hidden="false" customHeight="false" outlineLevel="0" collapsed="false">
      <c r="A1154" s="1" t="s">
        <v>2298</v>
      </c>
      <c r="B1154" s="1" t="s">
        <v>157</v>
      </c>
      <c r="C1154" s="1" t="s">
        <v>1151</v>
      </c>
      <c r="D1154" s="1" t="n">
        <v>49</v>
      </c>
      <c r="E1154" s="48" t="str">
        <f aca="false">IF('RAW WCH'!C49="","",'RAW WCH'!C49)</f>
        <v>cb admin</v>
      </c>
      <c r="F1154" s="48" t="str">
        <f aca="false">IF('RAW WCH'!D49="","",'RAW WCH'!D49)</f>
        <v>cb operations</v>
      </c>
      <c r="G1154" s="49" t="n">
        <f aca="false">IF('RAW WCH'!B49="","",'RAW WCH'!B49)</f>
        <v>45900</v>
      </c>
      <c r="H1154" s="48" t="str">
        <f aca="false">IF('RAW WCH'!E49="","",'RAW WCH'!E49)</f>
        <v>CB Manager </v>
      </c>
      <c r="I1154" s="48" t="n">
        <f aca="false">IF('RAW WCH'!F49="","",'RAW WCH'!F49)</f>
        <v>53.5</v>
      </c>
      <c r="J1154" s="48" t="str">
        <f aca="false">IF('RAW WCH'!G49="","",'RAW WCH'!G49)</f>
        <v/>
      </c>
      <c r="K1154" s="50" t="n">
        <f aca="false">IF('RAW WCH'!H49="","",'RAW WCH'!H49)</f>
        <v>440</v>
      </c>
      <c r="L1154" s="50" t="str">
        <f aca="false">IF('RAW WCH'!I49="","",'RAW WCH'!I49)</f>
        <v/>
      </c>
      <c r="M1154" s="48" t="str">
        <f aca="false">IF('RAW WCH'!J49="","",'RAW WCH'!J49)</f>
        <v/>
      </c>
    </row>
    <row r="1155" customFormat="false" ht="15" hidden="false" customHeight="false" outlineLevel="0" collapsed="false">
      <c r="A1155" s="1" t="s">
        <v>2299</v>
      </c>
      <c r="B1155" s="1" t="s">
        <v>157</v>
      </c>
      <c r="C1155" s="1" t="s">
        <v>1151</v>
      </c>
      <c r="D1155" s="1" t="n">
        <v>50</v>
      </c>
      <c r="E1155" s="48" t="str">
        <f aca="false">IF('RAW WCH'!C50="","",'RAW WCH'!C50)</f>
        <v>community paramedic</v>
      </c>
      <c r="F1155" s="48" t="str">
        <f aca="false">IF('RAW WCH'!D50="","",'RAW WCH'!D50)</f>
        <v>CHIS clinical</v>
      </c>
      <c r="G1155" s="49" t="str">
        <f aca="false">IF('RAW WCH'!B50="","",'RAW WCH'!B50)</f>
        <v>8/31/25</v>
      </c>
      <c r="H1155" s="48" t="str">
        <f aca="false">IF('RAW WCH'!E50="","",'RAW WCH'!E50)</f>
        <v>EMT-P</v>
      </c>
      <c r="I1155" s="48" t="n">
        <f aca="false">IF('RAW WCH'!F50="","",'RAW WCH'!F50)</f>
        <v>83.75</v>
      </c>
      <c r="J1155" s="48" t="n">
        <f aca="false">IF('RAW WCH'!G50="","",'RAW WCH'!G50)</f>
        <v>34</v>
      </c>
      <c r="K1155" s="50" t="n">
        <f aca="false">IF('RAW WCH'!H50="","",'RAW WCH'!H50)</f>
        <v>795</v>
      </c>
      <c r="L1155" s="50" t="str">
        <f aca="false">IF('RAW WCH'!I50="","",'RAW WCH'!I50)</f>
        <v/>
      </c>
      <c r="M1155" s="48" t="str">
        <f aca="false">IF('RAW WCH'!J50="","",'RAW WCH'!J50)</f>
        <v/>
      </c>
    </row>
    <row r="1156" customFormat="false" ht="15" hidden="false" customHeight="false" outlineLevel="0" collapsed="false">
      <c r="A1156" s="1" t="s">
        <v>2300</v>
      </c>
      <c r="B1156" s="1" t="s">
        <v>157</v>
      </c>
      <c r="C1156" s="1" t="s">
        <v>1151</v>
      </c>
      <c r="D1156" s="1" t="n">
        <v>51</v>
      </c>
      <c r="E1156" s="48" t="str">
        <f aca="false">IF('RAW WCH'!C51="","",'RAW WCH'!C51)</f>
        <v>nursing students</v>
      </c>
      <c r="F1156" s="48" t="str">
        <f aca="false">IF('RAW WCH'!D51="","",'RAW WCH'!D51)</f>
        <v>health professions ed</v>
      </c>
      <c r="G1156" s="49" t="str">
        <f aca="false">IF('RAW WCH'!B51="","",'RAW WCH'!B51)</f>
        <v>August 31, 2025</v>
      </c>
      <c r="H1156" s="48" t="str">
        <f aca="false">IF('RAW WCH'!E51="","",'RAW WCH'!E51)</f>
        <v>RN EDUCATOR</v>
      </c>
      <c r="I1156" s="48" t="n">
        <f aca="false">IF('RAW WCH'!F51="","",'RAW WCH'!F51)</f>
        <v>68.25</v>
      </c>
      <c r="J1156" s="48" t="n">
        <f aca="false">IF('RAW WCH'!G51="","",'RAW WCH'!G51)</f>
        <v>26</v>
      </c>
      <c r="K1156" s="50" t="n">
        <f aca="false">IF('RAW WCH'!H51="","",'RAW WCH'!H51)</f>
        <v>785</v>
      </c>
      <c r="L1156" s="50" t="str">
        <f aca="false">IF('RAW WCH'!I51="","",'RAW WCH'!I51)</f>
        <v/>
      </c>
      <c r="M1156" s="48" t="str">
        <f aca="false">IF('RAW WCH'!J51="","",'RAW WCH'!J51)</f>
        <v/>
      </c>
    </row>
    <row r="1157" customFormat="false" ht="15" hidden="false" customHeight="false" outlineLevel="0" collapsed="false">
      <c r="A1157" s="1" t="s">
        <v>2301</v>
      </c>
      <c r="B1157" s="1" t="s">
        <v>157</v>
      </c>
      <c r="C1157" s="1" t="s">
        <v>1151</v>
      </c>
      <c r="D1157" s="1" t="n">
        <v>52</v>
      </c>
      <c r="E1157" s="48" t="str">
        <f aca="false">IF('RAW WCH'!C52="","",'RAW WCH'!C52)</f>
        <v>nursing students</v>
      </c>
      <c r="F1157" s="48" t="str">
        <f aca="false">IF('RAW WCH'!D52="","",'RAW WCH'!D52)</f>
        <v>health professions ed</v>
      </c>
      <c r="G1157" s="49" t="str">
        <f aca="false">IF('RAW WCH'!B52="","",'RAW WCH'!B52)</f>
        <v>8/31/25</v>
      </c>
      <c r="H1157" s="48" t="str">
        <f aca="false">IF('RAW WCH'!E52="","",'RAW WCH'!E52)</f>
        <v>RN III</v>
      </c>
      <c r="I1157" s="48" t="n">
        <f aca="false">IF('RAW WCH'!F52="","",'RAW WCH'!F52)</f>
        <v>181</v>
      </c>
      <c r="J1157" s="48" t="str">
        <f aca="false">IF('RAW WCH'!G52="","",'RAW WCH'!G52)</f>
        <v/>
      </c>
      <c r="K1157" s="50" t="str">
        <f aca="false">IF('RAW WCH'!H52="","",'RAW WCH'!H52)</f>
        <v/>
      </c>
      <c r="L1157" s="50" t="str">
        <f aca="false">IF('RAW WCH'!I52="","",'RAW WCH'!I52)</f>
        <v/>
      </c>
      <c r="M1157" s="48" t="str">
        <f aca="false">IF('RAW WCH'!J52="","",'RAW WCH'!J52)</f>
        <v/>
      </c>
    </row>
    <row r="1158" customFormat="false" ht="15" hidden="false" customHeight="false" outlineLevel="0" collapsed="false">
      <c r="A1158" s="1" t="s">
        <v>2302</v>
      </c>
      <c r="B1158" s="1" t="s">
        <v>157</v>
      </c>
      <c r="C1158" s="1" t="s">
        <v>1151</v>
      </c>
      <c r="D1158" s="1" t="n">
        <v>53</v>
      </c>
      <c r="E1158" s="48" t="str">
        <f aca="false">IF('RAW WCH'!C53="","",'RAW WCH'!C53)</f>
        <v>paramedic students</v>
      </c>
      <c r="F1158" s="48" t="str">
        <f aca="false">IF('RAW WCH'!D53="","",'RAW WCH'!D53)</f>
        <v>health professions ed</v>
      </c>
      <c r="G1158" s="49" t="str">
        <f aca="false">IF('RAW WCH'!B53="","",'RAW WCH'!B53)</f>
        <v>8/31/25</v>
      </c>
      <c r="H1158" s="48" t="str">
        <f aca="false">IF('RAW WCH'!E53="","",'RAW WCH'!E53)</f>
        <v>EMT</v>
      </c>
      <c r="I1158" s="48" t="n">
        <f aca="false">IF('RAW WCH'!F53="","",'RAW WCH'!F53)</f>
        <v>50.5</v>
      </c>
      <c r="J1158" s="48" t="n">
        <f aca="false">IF('RAW WCH'!G53="","",'RAW WCH'!G53)</f>
        <v>5</v>
      </c>
      <c r="K1158" s="50" t="n">
        <f aca="false">IF('RAW WCH'!H53="","",'RAW WCH'!H53)</f>
        <v>70</v>
      </c>
      <c r="L1158" s="50" t="str">
        <f aca="false">IF('RAW WCH'!I53="","",'RAW WCH'!I53)</f>
        <v/>
      </c>
      <c r="M1158" s="48" t="str">
        <f aca="false">IF('RAW WCH'!J53="","",'RAW WCH'!J53)</f>
        <v/>
      </c>
    </row>
    <row r="1159" customFormat="false" ht="15" hidden="false" customHeight="false" outlineLevel="0" collapsed="false">
      <c r="A1159" s="1" t="s">
        <v>2303</v>
      </c>
      <c r="B1159" s="1" t="s">
        <v>157</v>
      </c>
      <c r="C1159" s="1" t="s">
        <v>1151</v>
      </c>
      <c r="D1159" s="1" t="n">
        <v>54</v>
      </c>
      <c r="E1159" s="48" t="str">
        <f aca="false">IF('RAW WCH'!C54="","",'RAW WCH'!C54)</f>
        <v>rural maternal study</v>
      </c>
      <c r="F1159" s="48" t="str">
        <f aca="false">IF('RAW WCH'!D54="","",'RAW WCH'!D54)</f>
        <v>research</v>
      </c>
      <c r="G1159" s="49" t="str">
        <f aca="false">IF('RAW WCH'!B54="","",'RAW WCH'!B54)</f>
        <v>8/31/25</v>
      </c>
      <c r="H1159" s="48" t="str">
        <f aca="false">IF('RAW WCH'!E54="","",'RAW WCH'!E54)</f>
        <v>Decision Support Analyst</v>
      </c>
      <c r="I1159" s="48" t="n">
        <f aca="false">IF('RAW WCH'!F54="","",'RAW WCH'!F54)</f>
        <v>11.5</v>
      </c>
      <c r="J1159" s="48" t="str">
        <f aca="false">IF('RAW WCH'!G54="","",'RAW WCH'!G54)</f>
        <v/>
      </c>
      <c r="K1159" s="50" t="str">
        <f aca="false">IF('RAW WCH'!H54="","",'RAW WCH'!H54)</f>
        <v/>
      </c>
      <c r="L1159" s="50" t="str">
        <f aca="false">IF('RAW WCH'!I54="","",'RAW WCH'!I54)</f>
        <v/>
      </c>
      <c r="M1159" s="48" t="str">
        <f aca="false">IF('RAW WCH'!J54="","",'RAW WCH'!J54)</f>
        <v/>
      </c>
    </row>
    <row r="1160" customFormat="false" ht="15" hidden="false" customHeight="false" outlineLevel="0" collapsed="false">
      <c r="A1160" s="1" t="s">
        <v>2304</v>
      </c>
      <c r="B1160" s="1" t="s">
        <v>157</v>
      </c>
      <c r="C1160" s="1" t="s">
        <v>1151</v>
      </c>
      <c r="D1160" s="1" t="n">
        <v>55</v>
      </c>
      <c r="E1160" s="48" t="str">
        <f aca="false">IF('RAW WCH'!C55="","",'RAW WCH'!C55)</f>
        <v>rural maternal study</v>
      </c>
      <c r="F1160" s="48" t="str">
        <f aca="false">IF('RAW WCH'!D55="","",'RAW WCH'!D55)</f>
        <v>research</v>
      </c>
      <c r="G1160" s="49" t="str">
        <f aca="false">IF('RAW WCH'!B55="","",'RAW WCH'!B55)</f>
        <v>8/31/25</v>
      </c>
      <c r="H1160" s="48" t="str">
        <f aca="false">IF('RAW WCH'!E55="","",'RAW WCH'!E55)</f>
        <v>crc</v>
      </c>
      <c r="I1160" s="48" t="n">
        <f aca="false">IF('RAW WCH'!F55="","",'RAW WCH'!F55)</f>
        <v>51.25</v>
      </c>
      <c r="J1160" s="48" t="n">
        <f aca="false">IF('RAW WCH'!G55="","",'RAW WCH'!G55)</f>
        <v>12</v>
      </c>
      <c r="K1160" s="50" t="n">
        <f aca="false">IF('RAW WCH'!H55="","",'RAW WCH'!H55)</f>
        <v>1165</v>
      </c>
      <c r="L1160" s="50" t="n">
        <f aca="false">IF('RAW WCH'!I55="","",'RAW WCH'!I55)</f>
        <v>3505</v>
      </c>
      <c r="M1160" s="48" t="str">
        <f aca="false">IF('RAW WCH'!J55="","",'RAW WCH'!J55)</f>
        <v/>
      </c>
    </row>
    <row r="1161" customFormat="false" ht="15" hidden="false" customHeight="false" outlineLevel="0" collapsed="false">
      <c r="A1161" s="1" t="s">
        <v>2305</v>
      </c>
      <c r="B1161" s="1" t="s">
        <v>157</v>
      </c>
      <c r="C1161" s="1" t="s">
        <v>1151</v>
      </c>
      <c r="D1161" s="1" t="n">
        <v>56</v>
      </c>
      <c r="E1161" s="48" t="str">
        <f aca="false">IF('RAW WCH'!C56="","",'RAW WCH'!C56)</f>
        <v>health coalition</v>
      </c>
      <c r="F1161" s="48" t="str">
        <f aca="false">IF('RAW WCH'!D56="","",'RAW WCH'!D56)</f>
        <v>community building</v>
      </c>
      <c r="G1161" s="49" t="str">
        <f aca="false">IF('RAW WCH'!B56="","",'RAW WCH'!B56)</f>
        <v>9/2/25</v>
      </c>
      <c r="H1161" s="48" t="str">
        <f aca="false">IF('RAW WCH'!E56="","",'RAW WCH'!E56)</f>
        <v>Community Benefit Manager</v>
      </c>
      <c r="I1161" s="48" t="n">
        <f aca="false">IF('RAW WCH'!F56="","",'RAW WCH'!F56)</f>
        <v>2</v>
      </c>
      <c r="J1161" s="48" t="str">
        <f aca="false">IF('RAW WCH'!G56="","",'RAW WCH'!G56)</f>
        <v/>
      </c>
      <c r="K1161" s="50" t="str">
        <f aca="false">IF('RAW WCH'!H56="","",'RAW WCH'!H56)</f>
        <v/>
      </c>
      <c r="L1161" s="50" t="str">
        <f aca="false">IF('RAW WCH'!I56="","",'RAW WCH'!I56)</f>
        <v/>
      </c>
      <c r="M1161" s="48" t="str">
        <f aca="false">IF('RAW WCH'!J56="","",'RAW WCH'!J56)</f>
        <v/>
      </c>
    </row>
    <row r="1162" customFormat="false" ht="15" hidden="false" customHeight="false" outlineLevel="0" collapsed="false">
      <c r="A1162" s="1" t="s">
        <v>2306</v>
      </c>
      <c r="B1162" s="1" t="s">
        <v>157</v>
      </c>
      <c r="C1162" s="1" t="s">
        <v>1151</v>
      </c>
      <c r="D1162" s="1" t="n">
        <v>57</v>
      </c>
      <c r="E1162" s="48" t="str">
        <f aca="false">IF('RAW WCH'!C57="","",'RAW WCH'!C57)</f>
        <v>health coalition</v>
      </c>
      <c r="F1162" s="48" t="str">
        <f aca="false">IF('RAW WCH'!D57="","",'RAW WCH'!D57)</f>
        <v>community building</v>
      </c>
      <c r="G1162" s="49" t="str">
        <f aca="false">IF('RAW WCH'!B57="","",'RAW WCH'!B57)</f>
        <v>September 2, 2025</v>
      </c>
      <c r="H1162" s="48" t="str">
        <f aca="false">IF('RAW WCH'!E57="","",'RAW WCH'!E57)</f>
        <v>Sr Director</v>
      </c>
      <c r="I1162" s="48" t="n">
        <f aca="false">IF('RAW WCH'!F57="","",'RAW WCH'!F57)</f>
        <v>3</v>
      </c>
      <c r="J1162" s="48" t="str">
        <f aca="false">IF('RAW WCH'!G57="","",'RAW WCH'!G57)</f>
        <v/>
      </c>
      <c r="K1162" s="50" t="n">
        <f aca="false">IF('RAW WCH'!H57="","",'RAW WCH'!H57)</f>
        <v>105</v>
      </c>
      <c r="L1162" s="50" t="str">
        <f aca="false">IF('RAW WCH'!I57="","",'RAW WCH'!I57)</f>
        <v/>
      </c>
      <c r="M1162" s="48" t="str">
        <f aca="false">IF('RAW WCH'!J57="","",'RAW WCH'!J57)</f>
        <v/>
      </c>
    </row>
    <row r="1163" customFormat="false" ht="15" hidden="false" customHeight="false" outlineLevel="0" collapsed="false">
      <c r="A1163" s="1" t="s">
        <v>2307</v>
      </c>
      <c r="B1163" s="1" t="s">
        <v>157</v>
      </c>
      <c r="C1163" s="1" t="s">
        <v>1151</v>
      </c>
      <c r="D1163" s="1" t="n">
        <v>58</v>
      </c>
      <c r="E1163" s="48" t="str">
        <f aca="false">IF('RAW WCH'!C58="","",'RAW WCH'!C58)</f>
        <v>health coalition</v>
      </c>
      <c r="F1163" s="48" t="str">
        <f aca="false">IF('RAW WCH'!D58="","",'RAW WCH'!D58)</f>
        <v>community building</v>
      </c>
      <c r="G1163" s="49" t="str">
        <f aca="false">IF('RAW WCH'!B58="","",'RAW WCH'!B58)</f>
        <v>September 3, 2025</v>
      </c>
      <c r="H1163" s="48" t="str">
        <f aca="false">IF('RAW WCH'!E58="","",'RAW WCH'!E58)</f>
        <v>CB Manager </v>
      </c>
      <c r="I1163" s="48" t="str">
        <f aca="false">IF('RAW WCH'!F58="","",'RAW WCH'!F58)</f>
        <v>2.75 hr</v>
      </c>
      <c r="J1163" s="48" t="str">
        <f aca="false">IF('RAW WCH'!G58="","",'RAW WCH'!G58)</f>
        <v/>
      </c>
      <c r="K1163" s="50" t="str">
        <f aca="false">IF('RAW WCH'!H58="","",'RAW WCH'!H58)</f>
        <v/>
      </c>
      <c r="L1163" s="50" t="str">
        <f aca="false">IF('RAW WCH'!I58="","",'RAW WCH'!I58)</f>
        <v/>
      </c>
      <c r="M1163" s="48" t="str">
        <f aca="false">IF('RAW WCH'!J58="","",'RAW WCH'!J58)</f>
        <v/>
      </c>
    </row>
    <row r="1164" customFormat="false" ht="15" hidden="false" customHeight="false" outlineLevel="0" collapsed="false">
      <c r="A1164" s="1" t="s">
        <v>2308</v>
      </c>
      <c r="B1164" s="1" t="s">
        <v>157</v>
      </c>
      <c r="C1164" s="1" t="s">
        <v>1151</v>
      </c>
      <c r="D1164" s="1" t="n">
        <v>59</v>
      </c>
      <c r="E1164" s="48" t="str">
        <f aca="false">IF('RAW WCH'!C59="","",'RAW WCH'!C59)</f>
        <v>health coalition</v>
      </c>
      <c r="F1164" s="48" t="str">
        <f aca="false">IF('RAW WCH'!D59="","",'RAW WCH'!D59)</f>
        <v>community building</v>
      </c>
      <c r="G1164" s="49" t="str">
        <f aca="false">IF('RAW WCH'!B59="","",'RAW WCH'!B59)</f>
        <v>9/3/25</v>
      </c>
      <c r="H1164" s="48" t="str">
        <f aca="false">IF('RAW WCH'!E59="","",'RAW WCH'!E59)</f>
        <v> Director</v>
      </c>
      <c r="I1164" s="48" t="n">
        <f aca="false">IF('RAW WCH'!F59="","",'RAW WCH'!F59)</f>
        <v>2.75</v>
      </c>
      <c r="J1164" s="48" t="str">
        <f aca="false">IF('RAW WCH'!G59="","",'RAW WCH'!G59)</f>
        <v/>
      </c>
      <c r="K1164" s="50" t="n">
        <f aca="false">IF('RAW WCH'!H59="","",'RAW WCH'!H59)</f>
        <v>100</v>
      </c>
      <c r="L1164" s="50" t="str">
        <f aca="false">IF('RAW WCH'!I59="","",'RAW WCH'!I59)</f>
        <v/>
      </c>
      <c r="M1164" s="48" t="str">
        <f aca="false">IF('RAW WCH'!J59="","",'RAW WCH'!J59)</f>
        <v/>
      </c>
    </row>
    <row r="1165" customFormat="false" ht="15" hidden="false" customHeight="false" outlineLevel="0" collapsed="false">
      <c r="A1165" s="1" t="s">
        <v>2309</v>
      </c>
      <c r="B1165" s="1" t="s">
        <v>157</v>
      </c>
      <c r="C1165" s="1" t="s">
        <v>1151</v>
      </c>
      <c r="D1165" s="1" t="n">
        <v>60</v>
      </c>
      <c r="E1165" s="48" t="str">
        <f aca="false">IF('RAW WCH'!C60="","",'RAW WCH'!C60)</f>
        <v>diabetes prevention class</v>
      </c>
      <c r="F1165" s="48" t="str">
        <f aca="false">IF('RAW WCH'!D60="","",'RAW WCH'!D60)</f>
        <v>community health improvement services</v>
      </c>
      <c r="G1165" s="49" t="n">
        <f aca="false">IF('RAW WCH'!B60="","",'RAW WCH'!B60)</f>
        <v>45917</v>
      </c>
      <c r="H1165" s="48" t="str">
        <f aca="false">IF('RAW WCH'!E60="","",'RAW WCH'!E60)</f>
        <v>Health Educator</v>
      </c>
      <c r="I1165" s="48" t="n">
        <f aca="false">IF('RAW WCH'!F60="","",'RAW WCH'!F60)</f>
        <v>2.5</v>
      </c>
      <c r="J1165" s="48" t="n">
        <f aca="false">IF('RAW WCH'!G60="","",'RAW WCH'!G60)</f>
        <v>10</v>
      </c>
      <c r="K1165" s="50" t="n">
        <f aca="false">IF('RAW WCH'!H60="","",'RAW WCH'!H60)</f>
        <v>95</v>
      </c>
      <c r="L1165" s="50" t="str">
        <f aca="false">IF('RAW WCH'!I60="","",'RAW WCH'!I60)</f>
        <v/>
      </c>
      <c r="M1165" s="48" t="str">
        <f aca="false">IF('RAW WCH'!J60="","",'RAW WCH'!J60)</f>
        <v/>
      </c>
    </row>
    <row r="1166" customFormat="false" ht="15" hidden="false" customHeight="false" outlineLevel="0" collapsed="false">
      <c r="A1166" s="1" t="s">
        <v>2310</v>
      </c>
      <c r="B1166" s="1" t="s">
        <v>157</v>
      </c>
      <c r="C1166" s="1" t="s">
        <v>1151</v>
      </c>
      <c r="D1166" s="1" t="n">
        <v>61</v>
      </c>
      <c r="E1166" s="48" t="str">
        <f aca="false">IF('RAW WCH'!C61="","",'RAW WCH'!C61)</f>
        <v>diabetes prevention class</v>
      </c>
      <c r="F1166" s="48" t="str">
        <f aca="false">IF('RAW WCH'!D61="","",'RAW WCH'!D61)</f>
        <v>community health improvement services</v>
      </c>
      <c r="G1166" s="49" t="n">
        <f aca="false">IF('RAW WCH'!B61="","",'RAW WCH'!B61)</f>
        <v>45917</v>
      </c>
      <c r="H1166" s="48" t="str">
        <f aca="false">IF('RAW WCH'!E61="","",'RAW WCH'!E61)</f>
        <v> RDN</v>
      </c>
      <c r="I1166" s="48" t="n">
        <f aca="false">IF('RAW WCH'!F61="","",'RAW WCH'!F61)</f>
        <v>1.5</v>
      </c>
      <c r="J1166" s="48" t="str">
        <f aca="false">IF('RAW WCH'!G61="","",'RAW WCH'!G61)</f>
        <v/>
      </c>
      <c r="K1166" s="50" t="str">
        <f aca="false">IF('RAW WCH'!H61="","",'RAW WCH'!H61)</f>
        <v/>
      </c>
      <c r="L1166" s="50" t="str">
        <f aca="false">IF('RAW WCH'!I61="","",'RAW WCH'!I61)</f>
        <v/>
      </c>
      <c r="M1166" s="48" t="str">
        <f aca="false">IF('RAW WCH'!J61="","",'RAW WCH'!J61)</f>
        <v/>
      </c>
    </row>
    <row r="1167" customFormat="false" ht="15" hidden="false" customHeight="false" outlineLevel="0" collapsed="false">
      <c r="A1167" s="1" t="s">
        <v>2311</v>
      </c>
      <c r="B1167" s="1" t="s">
        <v>157</v>
      </c>
      <c r="C1167" s="1" t="s">
        <v>1151</v>
      </c>
      <c r="D1167" s="1" t="n">
        <v>62</v>
      </c>
      <c r="E1167" s="48" t="str">
        <f aca="false">IF('RAW WCH'!C62="","",'RAW WCH'!C62)</f>
        <v>narcan training</v>
      </c>
      <c r="F1167" s="48" t="str">
        <f aca="false">IF('RAW WCH'!D62="","",'RAW WCH'!D62)</f>
        <v>community health improvement services</v>
      </c>
      <c r="G1167" s="49" t="n">
        <f aca="false">IF('RAW WCH'!B62="","",'RAW WCH'!B62)</f>
        <v>45917</v>
      </c>
      <c r="H1167" s="48" t="str">
        <f aca="false">IF('RAW WCH'!E62="","",'RAW WCH'!E62)</f>
        <v>Community Educator</v>
      </c>
      <c r="I1167" s="48" t="n">
        <f aca="false">IF('RAW WCH'!F62="","",'RAW WCH'!F62)</f>
        <v>2</v>
      </c>
      <c r="J1167" s="48" t="str">
        <f aca="false">IF('RAW WCH'!G62="","",'RAW WCH'!G62)</f>
        <v/>
      </c>
      <c r="K1167" s="50" t="str">
        <f aca="false">IF('RAW WCH'!H62="","",'RAW WCH'!H62)</f>
        <v/>
      </c>
      <c r="L1167" s="50" t="str">
        <f aca="false">IF('RAW WCH'!I62="","",'RAW WCH'!I62)</f>
        <v/>
      </c>
      <c r="M1167" s="48" t="str">
        <f aca="false">IF('RAW WCH'!J62="","",'RAW WCH'!J62)</f>
        <v/>
      </c>
    </row>
    <row r="1168" customFormat="false" ht="15" hidden="false" customHeight="false" outlineLevel="0" collapsed="false">
      <c r="A1168" s="1" t="s">
        <v>2312</v>
      </c>
      <c r="B1168" s="1" t="s">
        <v>157</v>
      </c>
      <c r="C1168" s="1" t="s">
        <v>1151</v>
      </c>
      <c r="D1168" s="1" t="n">
        <v>63</v>
      </c>
      <c r="E1168" s="48" t="str">
        <f aca="false">IF('RAW WCH'!C63="","",'RAW WCH'!C63)</f>
        <v>narcan training</v>
      </c>
      <c r="F1168" s="48" t="str">
        <f aca="false">IF('RAW WCH'!D63="","",'RAW WCH'!D63)</f>
        <v>community health improvement services</v>
      </c>
      <c r="G1168" s="49" t="str">
        <f aca="false">IF('RAW WCH'!B63="","",'RAW WCH'!B63)</f>
        <v>September 17, 2025</v>
      </c>
      <c r="H1168" s="48" t="str">
        <f aca="false">IF('RAW WCH'!E63="","",'RAW WCH'!E63)</f>
        <v> PharmD</v>
      </c>
      <c r="I1168" s="48" t="n">
        <f aca="false">IF('RAW WCH'!F63="","",'RAW WCH'!F63)</f>
        <v>2.5</v>
      </c>
      <c r="J1168" s="48" t="n">
        <f aca="false">IF('RAW WCH'!G63="","",'RAW WCH'!G63)</f>
        <v>27</v>
      </c>
      <c r="K1168" s="50" t="n">
        <f aca="false">IF('RAW WCH'!H63="","",'RAW WCH'!H63)</f>
        <v>1620</v>
      </c>
      <c r="L1168" s="50" t="n">
        <f aca="false">IF('RAW WCH'!I63="","",'RAW WCH'!I63)</f>
        <v>745</v>
      </c>
      <c r="M1168" s="48" t="str">
        <f aca="false">IF('RAW WCH'!J63="","",'RAW WCH'!J63)</f>
        <v/>
      </c>
    </row>
    <row r="1169" customFormat="false" ht="15" hidden="false" customHeight="false" outlineLevel="0" collapsed="false">
      <c r="A1169" s="1" t="s">
        <v>2313</v>
      </c>
      <c r="B1169" s="1" t="s">
        <v>157</v>
      </c>
      <c r="C1169" s="1" t="s">
        <v>1151</v>
      </c>
      <c r="D1169" s="1" t="n">
        <v>64</v>
      </c>
      <c r="E1169" s="48" t="str">
        <f aca="false">IF('RAW WCH'!C64="","",'RAW WCH'!C64)</f>
        <v>diabetes prevention class</v>
      </c>
      <c r="F1169" s="48" t="str">
        <f aca="false">IF('RAW WCH'!D64="","",'RAW WCH'!D64)</f>
        <v>community health improvement services</v>
      </c>
      <c r="G1169" s="49" t="str">
        <f aca="false">IF('RAW WCH'!B64="","",'RAW WCH'!B64)</f>
        <v>9/27/25</v>
      </c>
      <c r="H1169" s="48" t="str">
        <f aca="false">IF('RAW WCH'!E64="","",'RAW WCH'!E64)</f>
        <v>Community Educator</v>
      </c>
      <c r="I1169" s="48" t="n">
        <f aca="false">IF('RAW WCH'!F64="","",'RAW WCH'!F64)</f>
        <v>2.5</v>
      </c>
      <c r="J1169" s="48" t="n">
        <f aca="false">IF('RAW WCH'!G64="","",'RAW WCH'!G64)</f>
        <v>9</v>
      </c>
      <c r="K1169" s="50" t="n">
        <f aca="false">IF('RAW WCH'!H64="","",'RAW WCH'!H64)</f>
        <v>120</v>
      </c>
      <c r="L1169" s="50" t="str">
        <f aca="false">IF('RAW WCH'!I64="","",'RAW WCH'!I64)</f>
        <v/>
      </c>
      <c r="M1169" s="48" t="str">
        <f aca="false">IF('RAW WCH'!J64="","",'RAW WCH'!J64)</f>
        <v/>
      </c>
    </row>
    <row r="1170" customFormat="false" ht="15" hidden="false" customHeight="false" outlineLevel="0" collapsed="false">
      <c r="A1170" s="1" t="s">
        <v>2314</v>
      </c>
      <c r="B1170" s="1" t="s">
        <v>157</v>
      </c>
      <c r="C1170" s="1" t="s">
        <v>1151</v>
      </c>
      <c r="D1170" s="1" t="n">
        <v>65</v>
      </c>
      <c r="E1170" s="48" t="str">
        <f aca="false">IF('RAW WCH'!C65="","",'RAW WCH'!C65)</f>
        <v>diabetes prevention class</v>
      </c>
      <c r="F1170" s="48" t="str">
        <f aca="false">IF('RAW WCH'!D65="","",'RAW WCH'!D65)</f>
        <v>community health improvement services</v>
      </c>
      <c r="G1170" s="49" t="str">
        <f aca="false">IF('RAW WCH'!B65="","",'RAW WCH'!B65)</f>
        <v>9/27/25</v>
      </c>
      <c r="H1170" s="48" t="str">
        <f aca="false">IF('RAW WCH'!E65="","",'RAW WCH'!E65)</f>
        <v>Registered Dietitian</v>
      </c>
      <c r="I1170" s="48" t="n">
        <f aca="false">IF('RAW WCH'!F65="","",'RAW WCH'!F65)</f>
        <v>1.5</v>
      </c>
      <c r="J1170" s="48" t="str">
        <f aca="false">IF('RAW WCH'!G65="","",'RAW WCH'!G65)</f>
        <v/>
      </c>
      <c r="K1170" s="50" t="str">
        <f aca="false">IF('RAW WCH'!H65="","",'RAW WCH'!H65)</f>
        <v/>
      </c>
      <c r="L1170" s="50" t="str">
        <f aca="false">IF('RAW WCH'!I65="","",'RAW WCH'!I65)</f>
        <v/>
      </c>
      <c r="M1170" s="48" t="str">
        <f aca="false">IF('RAW WCH'!J65="","",'RAW WCH'!J65)</f>
        <v/>
      </c>
    </row>
    <row r="1171" customFormat="false" ht="15" hidden="false" customHeight="false" outlineLevel="0" collapsed="false">
      <c r="A1171" s="1" t="s">
        <v>2315</v>
      </c>
      <c r="B1171" s="1" t="s">
        <v>157</v>
      </c>
      <c r="C1171" s="1" t="s">
        <v>1151</v>
      </c>
      <c r="D1171" s="1" t="n">
        <v>66</v>
      </c>
      <c r="E1171" s="48" t="str">
        <f aca="false">IF('RAW WCH'!C66="","",'RAW WCH'!C66)</f>
        <v>car seat check</v>
      </c>
      <c r="F1171" s="48" t="str">
        <f aca="false">IF('RAW WCH'!D66="","",'RAW WCH'!D66)</f>
        <v>community health improvement services</v>
      </c>
      <c r="G1171" s="49" t="str">
        <f aca="false">IF('RAW WCH'!B66="","",'RAW WCH'!B66)</f>
        <v>9/27/25</v>
      </c>
      <c r="H1171" s="48" t="str">
        <f aca="false">IF('RAW WCH'!E66="","",'RAW WCH'!E66)</f>
        <v>Flight Paramedic</v>
      </c>
      <c r="I1171" s="48" t="n">
        <f aca="false">IF('RAW WCH'!F66="","",'RAW WCH'!F66)</f>
        <v>4</v>
      </c>
      <c r="J1171" s="48" t="n">
        <f aca="false">IF('RAW WCH'!G66="","",'RAW WCH'!G66)</f>
        <v>22</v>
      </c>
      <c r="K1171" s="50" t="n">
        <f aca="false">IF('RAW WCH'!H66="","",'RAW WCH'!H66)</f>
        <v>865</v>
      </c>
      <c r="L1171" s="50" t="n">
        <f aca="false">IF('RAW WCH'!I66="","",'RAW WCH'!I66)</f>
        <v>100</v>
      </c>
      <c r="M1171" s="48" t="str">
        <f aca="false">IF('RAW WCH'!J66="","",'RAW WCH'!J66)</f>
        <v/>
      </c>
    </row>
    <row r="1172" customFormat="false" ht="15" hidden="false" customHeight="false" outlineLevel="0" collapsed="false">
      <c r="A1172" s="1" t="s">
        <v>2316</v>
      </c>
      <c r="B1172" s="1" t="s">
        <v>157</v>
      </c>
      <c r="C1172" s="1" t="s">
        <v>1151</v>
      </c>
      <c r="D1172" s="1" t="n">
        <v>67</v>
      </c>
      <c r="E1172" s="48" t="str">
        <f aca="false">IF('RAW WCH'!C67="","",'RAW WCH'!C67)</f>
        <v>car seat check</v>
      </c>
      <c r="F1172" s="48" t="str">
        <f aca="false">IF('RAW WCH'!D67="","",'RAW WCH'!D67)</f>
        <v>community health improvement services</v>
      </c>
      <c r="G1172" s="49" t="n">
        <f aca="false">IF('RAW WCH'!B67="","",'RAW WCH'!B67)</f>
        <v>45927</v>
      </c>
      <c r="H1172" s="48" t="str">
        <f aca="false">IF('RAW WCH'!E67="","",'RAW WCH'!E67)</f>
        <v>RN III </v>
      </c>
      <c r="I1172" s="48" t="n">
        <f aca="false">IF('RAW WCH'!F67="","",'RAW WCH'!F67)</f>
        <v>3.75</v>
      </c>
      <c r="J1172" s="48" t="str">
        <f aca="false">IF('RAW WCH'!G67="","",'RAW WCH'!G67)</f>
        <v/>
      </c>
      <c r="K1172" s="50" t="str">
        <f aca="false">IF('RAW WCH'!H67="","",'RAW WCH'!H67)</f>
        <v/>
      </c>
      <c r="L1172" s="50" t="str">
        <f aca="false">IF('RAW WCH'!I67="","",'RAW WCH'!I67)</f>
        <v/>
      </c>
      <c r="M1172" s="48" t="str">
        <f aca="false">IF('RAW WCH'!J67="","",'RAW WCH'!J67)</f>
        <v/>
      </c>
    </row>
    <row r="1173" customFormat="false" ht="15" hidden="false" customHeight="false" outlineLevel="0" collapsed="false">
      <c r="A1173" s="1" t="s">
        <v>2317</v>
      </c>
      <c r="B1173" s="1" t="s">
        <v>157</v>
      </c>
      <c r="C1173" s="1" t="s">
        <v>1151</v>
      </c>
      <c r="D1173" s="1" t="n">
        <v>68</v>
      </c>
      <c r="E1173" s="48" t="str">
        <f aca="false">IF('RAW WCH'!C68="","",'RAW WCH'!C68)</f>
        <v>mobile van screenings</v>
      </c>
      <c r="F1173" s="48" t="str">
        <f aca="false">IF('RAW WCH'!D68="","",'RAW WCH'!D68)</f>
        <v>CHIS clinical</v>
      </c>
      <c r="G1173" s="49" t="str">
        <f aca="false">IF('RAW WCH'!B68="","",'RAW WCH'!B68)</f>
        <v>9/30/25</v>
      </c>
      <c r="H1173" s="48" t="str">
        <f aca="false">IF('RAW WCH'!E68="","",'RAW WCH'!E68)</f>
        <v>Comm Health Worker</v>
      </c>
      <c r="I1173" s="48" t="n">
        <f aca="false">IF('RAW WCH'!F68="","",'RAW WCH'!F68)</f>
        <v>45</v>
      </c>
      <c r="J1173" s="48" t="str">
        <f aca="false">IF('RAW WCH'!G68="","",'RAW WCH'!G68)</f>
        <v/>
      </c>
      <c r="K1173" s="50" t="str">
        <f aca="false">IF('RAW WCH'!H68="","",'RAW WCH'!H68)</f>
        <v/>
      </c>
      <c r="L1173" s="50" t="str">
        <f aca="false">IF('RAW WCH'!I68="","",'RAW WCH'!I68)</f>
        <v/>
      </c>
      <c r="M1173" s="48" t="str">
        <f aca="false">IF('RAW WCH'!J68="","",'RAW WCH'!J68)</f>
        <v/>
      </c>
    </row>
    <row r="1174" customFormat="false" ht="15" hidden="false" customHeight="false" outlineLevel="0" collapsed="false">
      <c r="A1174" s="1" t="s">
        <v>2318</v>
      </c>
      <c r="B1174" s="1" t="s">
        <v>157</v>
      </c>
      <c r="C1174" s="1" t="s">
        <v>1151</v>
      </c>
      <c r="D1174" s="1" t="n">
        <v>69</v>
      </c>
      <c r="E1174" s="48" t="str">
        <f aca="false">IF('RAW WCH'!C69="","",'RAW WCH'!C69)</f>
        <v>mobile van screenings</v>
      </c>
      <c r="F1174" s="48" t="str">
        <f aca="false">IF('RAW WCH'!D69="","",'RAW WCH'!D69)</f>
        <v>CHIS clinical</v>
      </c>
      <c r="G1174" s="49" t="n">
        <f aca="false">IF('RAW WCH'!B69="","",'RAW WCH'!B69)</f>
        <v>45930</v>
      </c>
      <c r="H1174" s="48" t="str">
        <f aca="false">IF('RAW WCH'!E69="","",'RAW WCH'!E69)</f>
        <v>Certified Medical Assistant</v>
      </c>
      <c r="I1174" s="48" t="n">
        <f aca="false">IF('RAW WCH'!F69="","",'RAW WCH'!F69)</f>
        <v>71.5</v>
      </c>
      <c r="J1174" s="48" t="str">
        <f aca="false">IF('RAW WCH'!G69="","",'RAW WCH'!G69)</f>
        <v/>
      </c>
      <c r="K1174" s="50" t="str">
        <f aca="false">IF('RAW WCH'!H69="","",'RAW WCH'!H69)</f>
        <v/>
      </c>
      <c r="L1174" s="50" t="str">
        <f aca="false">IF('RAW WCH'!I69="","",'RAW WCH'!I69)</f>
        <v/>
      </c>
      <c r="M1174" s="48" t="str">
        <f aca="false">IF('RAW WCH'!J69="","",'RAW WCH'!J69)</f>
        <v/>
      </c>
    </row>
    <row r="1175" customFormat="false" ht="15" hidden="false" customHeight="false" outlineLevel="0" collapsed="false">
      <c r="A1175" s="1" t="s">
        <v>2319</v>
      </c>
      <c r="B1175" s="1" t="s">
        <v>157</v>
      </c>
      <c r="C1175" s="1" t="s">
        <v>1151</v>
      </c>
      <c r="D1175" s="1" t="n">
        <v>70</v>
      </c>
      <c r="E1175" s="48" t="str">
        <f aca="false">IF('RAW WCH'!C70="","",'RAW WCH'!C70)</f>
        <v>mobile van screenings</v>
      </c>
      <c r="F1175" s="48" t="str">
        <f aca="false">IF('RAW WCH'!D70="","",'RAW WCH'!D70)</f>
        <v>CHIS clinical</v>
      </c>
      <c r="G1175" s="49" t="n">
        <f aca="false">IF('RAW WCH'!B70="","",'RAW WCH'!B70)</f>
        <v>45930</v>
      </c>
      <c r="H1175" s="48" t="str">
        <f aca="false">IF('RAW WCH'!E70="","",'RAW WCH'!E70)</f>
        <v>Clinical RN</v>
      </c>
      <c r="I1175" s="48" t="n">
        <f aca="false">IF('RAW WCH'!F70="","",'RAW WCH'!F70)</f>
        <v>76</v>
      </c>
      <c r="J1175" s="48" t="n">
        <f aca="false">IF('RAW WCH'!G70="","",'RAW WCH'!G70)</f>
        <v>168</v>
      </c>
      <c r="K1175" s="50" t="n">
        <f aca="false">IF('RAW WCH'!H70="","",'RAW WCH'!H70)</f>
        <v>6745</v>
      </c>
      <c r="L1175" s="50" t="str">
        <f aca="false">IF('RAW WCH'!I70="","",'RAW WCH'!I70)</f>
        <v/>
      </c>
      <c r="M1175" s="48" t="str">
        <f aca="false">IF('RAW WCH'!J70="","",'RAW WCH'!J70)</f>
        <v/>
      </c>
    </row>
    <row r="1176" customFormat="false" ht="15" hidden="false" customHeight="false" outlineLevel="0" collapsed="false">
      <c r="A1176" s="1" t="s">
        <v>2320</v>
      </c>
      <c r="B1176" s="1" t="s">
        <v>157</v>
      </c>
      <c r="C1176" s="1" t="s">
        <v>1151</v>
      </c>
      <c r="D1176" s="1" t="n">
        <v>71</v>
      </c>
      <c r="E1176" s="48" t="str">
        <f aca="false">IF('RAW WCH'!C71="","",'RAW WCH'!C71)</f>
        <v>chw outreach</v>
      </c>
      <c r="F1176" s="48" t="str">
        <f aca="false">IF('RAW WCH'!D71="","",'RAW WCH'!D71)</f>
        <v>CHIS support</v>
      </c>
      <c r="G1176" s="49" t="n">
        <f aca="false">IF('RAW WCH'!B71="","",'RAW WCH'!B71)</f>
        <v>45930</v>
      </c>
      <c r="H1176" s="48" t="str">
        <f aca="false">IF('RAW WCH'!E71="","",'RAW WCH'!E71)</f>
        <v>CHW II</v>
      </c>
      <c r="I1176" s="48" t="n">
        <f aca="false">IF('RAW WCH'!F71="","",'RAW WCH'!F71)</f>
        <v>274</v>
      </c>
      <c r="J1176" s="48" t="n">
        <f aca="false">IF('RAW WCH'!G71="","",'RAW WCH'!G71)</f>
        <v>369</v>
      </c>
      <c r="K1176" s="50" t="n">
        <f aca="false">IF('RAW WCH'!H71="","",'RAW WCH'!H71)</f>
        <v>1275</v>
      </c>
      <c r="L1176" s="50" t="str">
        <f aca="false">IF('RAW WCH'!I71="","",'RAW WCH'!I71)</f>
        <v/>
      </c>
      <c r="M1176" s="48" t="str">
        <f aca="false">IF('RAW WCH'!J71="","",'RAW WCH'!J71)</f>
        <v/>
      </c>
    </row>
    <row r="1177" customFormat="false" ht="15" hidden="false" customHeight="false" outlineLevel="0" collapsed="false">
      <c r="A1177" s="1" t="s">
        <v>2321</v>
      </c>
      <c r="B1177" s="1" t="s">
        <v>157</v>
      </c>
      <c r="C1177" s="1" t="s">
        <v>1151</v>
      </c>
      <c r="D1177" s="1" t="n">
        <v>72</v>
      </c>
      <c r="E1177" s="48" t="str">
        <f aca="false">IF('RAW WCH'!C72="","",'RAW WCH'!C72)</f>
        <v>chw outreach</v>
      </c>
      <c r="F1177" s="48" t="str">
        <f aca="false">IF('RAW WCH'!D72="","",'RAW WCH'!D72)</f>
        <v>CHIS support</v>
      </c>
      <c r="G1177" s="49" t="n">
        <f aca="false">IF('RAW WCH'!B72="","",'RAW WCH'!B72)</f>
        <v>45930</v>
      </c>
      <c r="H1177" s="48" t="str">
        <f aca="false">IF('RAW WCH'!E72="","",'RAW WCH'!E72)</f>
        <v>Nurse Navigator</v>
      </c>
      <c r="I1177" s="48" t="n">
        <f aca="false">IF('RAW WCH'!F72="","",'RAW WCH'!F72)</f>
        <v>114.75</v>
      </c>
      <c r="J1177" s="48" t="str">
        <f aca="false">IF('RAW WCH'!G72="","",'RAW WCH'!G72)</f>
        <v/>
      </c>
      <c r="K1177" s="50" t="str">
        <f aca="false">IF('RAW WCH'!H72="","",'RAW WCH'!H72)</f>
        <v/>
      </c>
      <c r="L1177" s="50" t="str">
        <f aca="false">IF('RAW WCH'!I72="","",'RAW WCH'!I72)</f>
        <v/>
      </c>
      <c r="M1177" s="48" t="str">
        <f aca="false">IF('RAW WCH'!J72="","",'RAW WCH'!J72)</f>
        <v/>
      </c>
    </row>
    <row r="1178" customFormat="false" ht="15" hidden="false" customHeight="false" outlineLevel="0" collapsed="false">
      <c r="A1178" s="1" t="s">
        <v>2322</v>
      </c>
      <c r="B1178" s="1" t="s">
        <v>157</v>
      </c>
      <c r="C1178" s="1" t="s">
        <v>1151</v>
      </c>
      <c r="D1178" s="1" t="n">
        <v>73</v>
      </c>
      <c r="E1178" s="48" t="str">
        <f aca="false">IF('RAW WCH'!C73="","",'RAW WCH'!C73)</f>
        <v>produce prescription</v>
      </c>
      <c r="F1178" s="48" t="str">
        <f aca="false">IF('RAW WCH'!D73="","",'RAW WCH'!D73)</f>
        <v>CHIS support</v>
      </c>
      <c r="G1178" s="49" t="n">
        <f aca="false">IF('RAW WCH'!B73="","",'RAW WCH'!B73)</f>
        <v>45930</v>
      </c>
      <c r="H1178" s="48" t="str">
        <f aca="false">IF('RAW WCH'!E73="","",'RAW WCH'!E73)</f>
        <v>CHW</v>
      </c>
      <c r="I1178" s="48" t="n">
        <f aca="false">IF('RAW WCH'!F73="","",'RAW WCH'!F73)</f>
        <v>46.25</v>
      </c>
      <c r="J1178" s="48" t="str">
        <f aca="false">IF('RAW WCH'!G73="","",'RAW WCH'!G73)</f>
        <v/>
      </c>
      <c r="K1178" s="50" t="str">
        <f aca="false">IF('RAW WCH'!H73="","",'RAW WCH'!H73)</f>
        <v/>
      </c>
      <c r="L1178" s="50" t="str">
        <f aca="false">IF('RAW WCH'!I73="","",'RAW WCH'!I73)</f>
        <v/>
      </c>
      <c r="M1178" s="48" t="str">
        <f aca="false">IF('RAW WCH'!J73="","",'RAW WCH'!J73)</f>
        <v/>
      </c>
    </row>
    <row r="1179" customFormat="false" ht="15" hidden="false" customHeight="false" outlineLevel="0" collapsed="false">
      <c r="A1179" s="1" t="s">
        <v>2323</v>
      </c>
      <c r="B1179" s="1" t="s">
        <v>157</v>
      </c>
      <c r="C1179" s="1" t="s">
        <v>1151</v>
      </c>
      <c r="D1179" s="1" t="n">
        <v>74</v>
      </c>
      <c r="E1179" s="48" t="str">
        <f aca="false">IF('RAW WCH'!C74="","",'RAW WCH'!C74)</f>
        <v>produce prescription</v>
      </c>
      <c r="F1179" s="48" t="str">
        <f aca="false">IF('RAW WCH'!D74="","",'RAW WCH'!D74)</f>
        <v>CHIS support</v>
      </c>
      <c r="G1179" s="49" t="n">
        <f aca="false">IF('RAW WCH'!B74="","",'RAW WCH'!B74)</f>
        <v>45930</v>
      </c>
      <c r="H1179" s="48" t="str">
        <f aca="false">IF('RAW WCH'!E74="","",'RAW WCH'!E74)</f>
        <v>RDN</v>
      </c>
      <c r="I1179" s="48" t="n">
        <f aca="false">IF('RAW WCH'!F74="","",'RAW WCH'!F74)</f>
        <v>20</v>
      </c>
      <c r="J1179" s="48" t="n">
        <f aca="false">IF('RAW WCH'!G74="","",'RAW WCH'!G74)</f>
        <v>75</v>
      </c>
      <c r="K1179" s="50" t="n">
        <f aca="false">IF('RAW WCH'!H74="","",'RAW WCH'!H74)</f>
        <v>10490</v>
      </c>
      <c r="L1179" s="50" t="n">
        <f aca="false">IF('RAW WCH'!I74="","",'RAW WCH'!I74)</f>
        <v>4445</v>
      </c>
      <c r="M1179" s="48" t="str">
        <f aca="false">IF('RAW WCH'!J74="","",'RAW WCH'!J74)</f>
        <v/>
      </c>
    </row>
    <row r="1180" customFormat="false" ht="15" hidden="false" customHeight="false" outlineLevel="0" collapsed="false">
      <c r="A1180" s="1" t="s">
        <v>2324</v>
      </c>
      <c r="B1180" s="1" t="s">
        <v>157</v>
      </c>
      <c r="C1180" s="1" t="s">
        <v>1151</v>
      </c>
      <c r="D1180" s="1" t="n">
        <v>75</v>
      </c>
      <c r="E1180" s="48" t="str">
        <f aca="false">IF('RAW WCH'!C75="","",'RAW WCH'!C75)</f>
        <v>cb admin</v>
      </c>
      <c r="F1180" s="48" t="str">
        <f aca="false">IF('RAW WCH'!D75="","",'RAW WCH'!D75)</f>
        <v>cb operations</v>
      </c>
      <c r="G1180" s="49" t="str">
        <f aca="false">IF('RAW WCH'!B75="","",'RAW WCH'!B75)</f>
        <v>9/30/25</v>
      </c>
      <c r="H1180" s="48" t="str">
        <f aca="false">IF('RAW WCH'!E75="","",'RAW WCH'!E75)</f>
        <v>Secretary</v>
      </c>
      <c r="I1180" s="48" t="n">
        <f aca="false">IF('RAW WCH'!F75="","",'RAW WCH'!F75)</f>
        <v>36.75</v>
      </c>
      <c r="J1180" s="48" t="str">
        <f aca="false">IF('RAW WCH'!G75="","",'RAW WCH'!G75)</f>
        <v/>
      </c>
      <c r="K1180" s="50" t="str">
        <f aca="false">IF('RAW WCH'!H75="","",'RAW WCH'!H75)</f>
        <v/>
      </c>
      <c r="L1180" s="50" t="str">
        <f aca="false">IF('RAW WCH'!I75="","",'RAW WCH'!I75)</f>
        <v/>
      </c>
      <c r="M1180" s="48" t="str">
        <f aca="false">IF('RAW WCH'!J75="","",'RAW WCH'!J75)</f>
        <v/>
      </c>
    </row>
    <row r="1181" customFormat="false" ht="15" hidden="false" customHeight="false" outlineLevel="0" collapsed="false">
      <c r="A1181" s="1" t="s">
        <v>2325</v>
      </c>
      <c r="B1181" s="1" t="s">
        <v>157</v>
      </c>
      <c r="C1181" s="1" t="s">
        <v>1151</v>
      </c>
      <c r="D1181" s="1" t="n">
        <v>76</v>
      </c>
      <c r="E1181" s="48" t="str">
        <f aca="false">IF('RAW WCH'!C76="","",'RAW WCH'!C76)</f>
        <v>cb admin</v>
      </c>
      <c r="F1181" s="48" t="str">
        <f aca="false">IF('RAW WCH'!D76="","",'RAW WCH'!D76)</f>
        <v>cb operations</v>
      </c>
      <c r="G1181" s="49" t="n">
        <f aca="false">IF('RAW WCH'!B76="","",'RAW WCH'!B76)</f>
        <v>45930</v>
      </c>
      <c r="H1181" s="48" t="str">
        <f aca="false">IF('RAW WCH'!E76="","",'RAW WCH'!E76)</f>
        <v>Community Health Manager</v>
      </c>
      <c r="I1181" s="48" t="n">
        <f aca="false">IF('RAW WCH'!F76="","",'RAW WCH'!F76)</f>
        <v>40.25</v>
      </c>
      <c r="J1181" s="48" t="str">
        <f aca="false">IF('RAW WCH'!G76="","",'RAW WCH'!G76)</f>
        <v/>
      </c>
      <c r="K1181" s="50" t="n">
        <f aca="false">IF('RAW WCH'!H76="","",'RAW WCH'!H76)</f>
        <v>340</v>
      </c>
      <c r="L1181" s="50" t="str">
        <f aca="false">IF('RAW WCH'!I76="","",'RAW WCH'!I76)</f>
        <v/>
      </c>
      <c r="M1181" s="48" t="str">
        <f aca="false">IF('RAW WCH'!J76="","",'RAW WCH'!J76)</f>
        <v/>
      </c>
    </row>
    <row r="1182" customFormat="false" ht="15" hidden="false" customHeight="false" outlineLevel="0" collapsed="false">
      <c r="A1182" s="1" t="s">
        <v>2326</v>
      </c>
      <c r="B1182" s="1" t="s">
        <v>157</v>
      </c>
      <c r="C1182" s="1" t="s">
        <v>1151</v>
      </c>
      <c r="D1182" s="1" t="n">
        <v>77</v>
      </c>
      <c r="E1182" s="48" t="str">
        <f aca="false">IF('RAW WCH'!C77="","",'RAW WCH'!C77)</f>
        <v>community paramedic</v>
      </c>
      <c r="F1182" s="48" t="str">
        <f aca="false">IF('RAW WCH'!D77="","",'RAW WCH'!D77)</f>
        <v>CHIS clinical</v>
      </c>
      <c r="G1182" s="49" t="n">
        <f aca="false">IF('RAW WCH'!B77="","",'RAW WCH'!B77)</f>
        <v>45930</v>
      </c>
      <c r="H1182" s="48" t="str">
        <f aca="false">IF('RAW WCH'!E77="","",'RAW WCH'!E77)</f>
        <v>Paramedic </v>
      </c>
      <c r="I1182" s="48" t="n">
        <f aca="false">IF('RAW WCH'!F77="","",'RAW WCH'!F77)</f>
        <v>75.75</v>
      </c>
      <c r="J1182" s="48" t="n">
        <f aca="false">IF('RAW WCH'!G77="","",'RAW WCH'!G77)</f>
        <v>45</v>
      </c>
      <c r="K1182" s="50" t="n">
        <f aca="false">IF('RAW WCH'!H77="","",'RAW WCH'!H77)</f>
        <v>1010</v>
      </c>
      <c r="L1182" s="50" t="str">
        <f aca="false">IF('RAW WCH'!I77="","",'RAW WCH'!I77)</f>
        <v/>
      </c>
      <c r="M1182" s="48" t="str">
        <f aca="false">IF('RAW WCH'!J77="","",'RAW WCH'!J77)</f>
        <v/>
      </c>
    </row>
    <row r="1183" customFormat="false" ht="15" hidden="false" customHeight="false" outlineLevel="0" collapsed="false">
      <c r="A1183" s="1" t="s">
        <v>2327</v>
      </c>
      <c r="B1183" s="1" t="s">
        <v>157</v>
      </c>
      <c r="C1183" s="1" t="s">
        <v>1151</v>
      </c>
      <c r="D1183" s="1" t="n">
        <v>78</v>
      </c>
      <c r="E1183" s="48" t="str">
        <f aca="false">IF('RAW WCH'!C78="","",'RAW WCH'!C78)</f>
        <v>nursing students</v>
      </c>
      <c r="F1183" s="48" t="str">
        <f aca="false">IF('RAW WCH'!D78="","",'RAW WCH'!D78)</f>
        <v>health professions ed</v>
      </c>
      <c r="G1183" s="49" t="str">
        <f aca="false">IF('RAW WCH'!B78="","",'RAW WCH'!B78)</f>
        <v>September 30, 2025</v>
      </c>
      <c r="H1183" s="48" t="str">
        <f aca="false">IF('RAW WCH'!E78="","",'RAW WCH'!E78)</f>
        <v>RN Educator </v>
      </c>
      <c r="I1183" s="48" t="n">
        <f aca="false">IF('RAW WCH'!F78="","",'RAW WCH'!F78)</f>
        <v>80.75</v>
      </c>
      <c r="J1183" s="48" t="n">
        <f aca="false">IF('RAW WCH'!G78="","",'RAW WCH'!G78)</f>
        <v>22</v>
      </c>
      <c r="K1183" s="50" t="n">
        <f aca="false">IF('RAW WCH'!H78="","",'RAW WCH'!H78)</f>
        <v>575</v>
      </c>
      <c r="L1183" s="50" t="str">
        <f aca="false">IF('RAW WCH'!I78="","",'RAW WCH'!I78)</f>
        <v/>
      </c>
      <c r="M1183" s="48" t="str">
        <f aca="false">IF('RAW WCH'!J78="","",'RAW WCH'!J78)</f>
        <v/>
      </c>
    </row>
    <row r="1184" customFormat="false" ht="15" hidden="false" customHeight="false" outlineLevel="0" collapsed="false">
      <c r="A1184" s="1" t="s">
        <v>2328</v>
      </c>
      <c r="B1184" s="1" t="s">
        <v>157</v>
      </c>
      <c r="C1184" s="1" t="s">
        <v>1151</v>
      </c>
      <c r="D1184" s="1" t="n">
        <v>79</v>
      </c>
      <c r="E1184" s="48" t="str">
        <f aca="false">IF('RAW WCH'!C79="","",'RAW WCH'!C79)</f>
        <v>nursing students</v>
      </c>
      <c r="F1184" s="48" t="str">
        <f aca="false">IF('RAW WCH'!D79="","",'RAW WCH'!D79)</f>
        <v>health professions ed</v>
      </c>
      <c r="G1184" s="49" t="str">
        <f aca="false">IF('RAW WCH'!B79="","",'RAW WCH'!B79)</f>
        <v>9/30/25</v>
      </c>
      <c r="H1184" s="48" t="str">
        <f aca="false">IF('RAW WCH'!E79="","",'RAW WCH'!E79)</f>
        <v>rn ii</v>
      </c>
      <c r="I1184" s="48" t="n">
        <f aca="false">IF('RAW WCH'!F79="","",'RAW WCH'!F79)</f>
        <v>118.5</v>
      </c>
      <c r="J1184" s="48" t="str">
        <f aca="false">IF('RAW WCH'!G79="","",'RAW WCH'!G79)</f>
        <v/>
      </c>
      <c r="K1184" s="50" t="str">
        <f aca="false">IF('RAW WCH'!H79="","",'RAW WCH'!H79)</f>
        <v/>
      </c>
      <c r="L1184" s="50" t="str">
        <f aca="false">IF('RAW WCH'!I79="","",'RAW WCH'!I79)</f>
        <v/>
      </c>
      <c r="M1184" s="48" t="str">
        <f aca="false">IF('RAW WCH'!J79="","",'RAW WCH'!J79)</f>
        <v/>
      </c>
    </row>
    <row r="1185" customFormat="false" ht="15" hidden="false" customHeight="false" outlineLevel="0" collapsed="false">
      <c r="A1185" s="1" t="s">
        <v>2329</v>
      </c>
      <c r="B1185" s="1" t="s">
        <v>157</v>
      </c>
      <c r="C1185" s="1" t="s">
        <v>1151</v>
      </c>
      <c r="D1185" s="1" t="n">
        <v>80</v>
      </c>
      <c r="E1185" s="48" t="str">
        <f aca="false">IF('RAW WCH'!C80="","",'RAW WCH'!C80)</f>
        <v>paramedic students</v>
      </c>
      <c r="F1185" s="48" t="str">
        <f aca="false">IF('RAW WCH'!D80="","",'RAW WCH'!D80)</f>
        <v>health professions ed</v>
      </c>
      <c r="G1185" s="49" t="str">
        <f aca="false">IF('RAW WCH'!B80="","",'RAW WCH'!B80)</f>
        <v>9/30/25</v>
      </c>
      <c r="H1185" s="48" t="str">
        <f aca="false">IF('RAW WCH'!E80="","",'RAW WCH'!E80)</f>
        <v>Flight Paramedic</v>
      </c>
      <c r="I1185" s="48" t="n">
        <f aca="false">IF('RAW WCH'!F80="","",'RAW WCH'!F80)</f>
        <v>45.75</v>
      </c>
      <c r="J1185" s="48" t="n">
        <f aca="false">IF('RAW WCH'!G80="","",'RAW WCH'!G80)</f>
        <v>4</v>
      </c>
      <c r="K1185" s="50" t="n">
        <f aca="false">IF('RAW WCH'!H80="","",'RAW WCH'!H80)</f>
        <v>10</v>
      </c>
      <c r="L1185" s="50" t="str">
        <f aca="false">IF('RAW WCH'!I80="","",'RAW WCH'!I80)</f>
        <v/>
      </c>
      <c r="M1185" s="48" t="str">
        <f aca="false">IF('RAW WCH'!J80="","",'RAW WCH'!J80)</f>
        <v/>
      </c>
    </row>
    <row r="1186" customFormat="false" ht="15" hidden="false" customHeight="false" outlineLevel="0" collapsed="false">
      <c r="A1186" s="1" t="s">
        <v>2330</v>
      </c>
      <c r="B1186" s="1" t="s">
        <v>157</v>
      </c>
      <c r="C1186" s="1" t="s">
        <v>1151</v>
      </c>
      <c r="D1186" s="1" t="n">
        <v>81</v>
      </c>
      <c r="E1186" s="48" t="str">
        <f aca="false">IF('RAW WCH'!C81="","",'RAW WCH'!C81)</f>
        <v>rural maternal study</v>
      </c>
      <c r="F1186" s="48" t="str">
        <f aca="false">IF('RAW WCH'!D81="","",'RAW WCH'!D81)</f>
        <v>research</v>
      </c>
      <c r="G1186" s="49" t="str">
        <f aca="false">IF('RAW WCH'!B81="","",'RAW WCH'!B81)</f>
        <v>9/30/25</v>
      </c>
      <c r="H1186" s="48" t="str">
        <f aca="false">IF('RAW WCH'!E81="","",'RAW WCH'!E81)</f>
        <v>Decision Support Analyst</v>
      </c>
      <c r="I1186" s="48" t="n">
        <f aca="false">IF('RAW WCH'!F81="","",'RAW WCH'!F81)</f>
        <v>8.5</v>
      </c>
      <c r="J1186" s="48" t="str">
        <f aca="false">IF('RAW WCH'!G81="","",'RAW WCH'!G81)</f>
        <v/>
      </c>
      <c r="K1186" s="50" t="str">
        <f aca="false">IF('RAW WCH'!H81="","",'RAW WCH'!H81)</f>
        <v/>
      </c>
      <c r="L1186" s="50" t="str">
        <f aca="false">IF('RAW WCH'!I81="","",'RAW WCH'!I81)</f>
        <v/>
      </c>
      <c r="M1186" s="48" t="str">
        <f aca="false">IF('RAW WCH'!J81="","",'RAW WCH'!J81)</f>
        <v/>
      </c>
    </row>
    <row r="1187" customFormat="false" ht="15" hidden="false" customHeight="false" outlineLevel="0" collapsed="false">
      <c r="A1187" s="1" t="s">
        <v>2331</v>
      </c>
      <c r="B1187" s="1" t="s">
        <v>157</v>
      </c>
      <c r="C1187" s="1" t="s">
        <v>1151</v>
      </c>
      <c r="D1187" s="1" t="n">
        <v>82</v>
      </c>
      <c r="E1187" s="48" t="str">
        <f aca="false">IF('RAW WCH'!C82="","",'RAW WCH'!C82)</f>
        <v>rural maternal study</v>
      </c>
      <c r="F1187" s="48" t="str">
        <f aca="false">IF('RAW WCH'!D82="","",'RAW WCH'!D82)</f>
        <v>research</v>
      </c>
      <c r="G1187" s="49" t="str">
        <f aca="false">IF('RAW WCH'!B82="","",'RAW WCH'!B82)</f>
        <v>9/30/25</v>
      </c>
      <c r="H1187" s="48" t="str">
        <f aca="false">IF('RAW WCH'!E82="","",'RAW WCH'!E82)</f>
        <v> RESEARCH COORDINATOR</v>
      </c>
      <c r="I1187" s="48" t="n">
        <f aca="false">IF('RAW WCH'!F82="","",'RAW WCH'!F82)</f>
        <v>40</v>
      </c>
      <c r="J1187" s="48" t="n">
        <f aca="false">IF('RAW WCH'!G82="","",'RAW WCH'!G82)</f>
        <v>17</v>
      </c>
      <c r="K1187" s="50" t="n">
        <f aca="false">IF('RAW WCH'!H82="","",'RAW WCH'!H82)</f>
        <v>1060</v>
      </c>
      <c r="L1187" s="50" t="n">
        <f aca="false">IF('RAW WCH'!I82="","",'RAW WCH'!I82)</f>
        <v>4780</v>
      </c>
      <c r="M1187" s="48" t="str">
        <f aca="false">IF('RAW WCH'!J82="","",'RAW WCH'!J82)</f>
        <v/>
      </c>
    </row>
    <row r="1188" customFormat="false" ht="15" hidden="false" customHeight="false" outlineLevel="0" collapsed="false">
      <c r="A1188" s="1" t="s">
        <v>2332</v>
      </c>
      <c r="B1188" s="1" t="s">
        <v>157</v>
      </c>
      <c r="C1188" s="1" t="s">
        <v>1151</v>
      </c>
      <c r="D1188" s="1" t="n">
        <v>83</v>
      </c>
      <c r="E1188" s="48" t="str">
        <f aca="false">IF('RAW WCH'!C83="","",'RAW WCH'!C83)</f>
        <v>sports physicals</v>
      </c>
      <c r="F1188" s="48" t="str">
        <f aca="false">IF('RAW WCH'!D83="","",'RAW WCH'!D83)</f>
        <v>CHIS clinical</v>
      </c>
      <c r="G1188" s="49" t="str">
        <f aca="false">IF('RAW WCH'!B83="","",'RAW WCH'!B83)</f>
        <v>10/4/25</v>
      </c>
      <c r="H1188" s="48" t="str">
        <f aca="false">IF('RAW WCH'!E83="","",'RAW WCH'!E83)</f>
        <v>Med Asst</v>
      </c>
      <c r="I1188" s="48" t="n">
        <f aca="false">IF('RAW WCH'!F83="","",'RAW WCH'!F83)</f>
        <v>4.25</v>
      </c>
      <c r="J1188" s="48" t="str">
        <f aca="false">IF('RAW WCH'!G83="","",'RAW WCH'!G83)</f>
        <v/>
      </c>
      <c r="K1188" s="50" t="str">
        <f aca="false">IF('RAW WCH'!H83="","",'RAW WCH'!H83)</f>
        <v/>
      </c>
      <c r="L1188" s="50" t="str">
        <f aca="false">IF('RAW WCH'!I83="","",'RAW WCH'!I83)</f>
        <v/>
      </c>
      <c r="M1188" s="48" t="str">
        <f aca="false">IF('RAW WCH'!J83="","",'RAW WCH'!J83)</f>
        <v/>
      </c>
    </row>
    <row r="1189" customFormat="false" ht="15" hidden="false" customHeight="false" outlineLevel="0" collapsed="false">
      <c r="A1189" s="1" t="s">
        <v>2333</v>
      </c>
      <c r="B1189" s="1" t="s">
        <v>157</v>
      </c>
      <c r="C1189" s="1" t="s">
        <v>1151</v>
      </c>
      <c r="D1189" s="1" t="n">
        <v>84</v>
      </c>
      <c r="E1189" s="48" t="str">
        <f aca="false">IF('RAW WCH'!C84="","",'RAW WCH'!C84)</f>
        <v>sports physicals</v>
      </c>
      <c r="F1189" s="48" t="str">
        <f aca="false">IF('RAW WCH'!D84="","",'RAW WCH'!D84)</f>
        <v>CHIS clinical</v>
      </c>
      <c r="G1189" s="49" t="n">
        <f aca="false">IF('RAW WCH'!B84="","",'RAW WCH'!B84)</f>
        <v>45934</v>
      </c>
      <c r="H1189" s="48" t="str">
        <f aca="false">IF('RAW WCH'!E84="","",'RAW WCH'!E84)</f>
        <v>NP</v>
      </c>
      <c r="I1189" s="48" t="n">
        <f aca="false">IF('RAW WCH'!F84="","",'RAW WCH'!F84)</f>
        <v>4.75</v>
      </c>
      <c r="J1189" s="48" t="str">
        <f aca="false">IF('RAW WCH'!G84="","",'RAW WCH'!G84)</f>
        <v/>
      </c>
      <c r="K1189" s="50" t="str">
        <f aca="false">IF('RAW WCH'!H84="","",'RAW WCH'!H84)</f>
        <v/>
      </c>
      <c r="L1189" s="50" t="str">
        <f aca="false">IF('RAW WCH'!I84="","",'RAW WCH'!I84)</f>
        <v/>
      </c>
      <c r="M1189" s="48" t="str">
        <f aca="false">IF('RAW WCH'!J84="","",'RAW WCH'!J84)</f>
        <v/>
      </c>
    </row>
    <row r="1190" customFormat="false" ht="15" hidden="false" customHeight="false" outlineLevel="0" collapsed="false">
      <c r="A1190" s="1" t="s">
        <v>2334</v>
      </c>
      <c r="B1190" s="1" t="s">
        <v>157</v>
      </c>
      <c r="C1190" s="1" t="s">
        <v>1151</v>
      </c>
      <c r="D1190" s="1" t="n">
        <v>85</v>
      </c>
      <c r="E1190" s="48" t="str">
        <f aca="false">IF('RAW WCH'!C85="","",'RAW WCH'!C85)</f>
        <v>sports physicals</v>
      </c>
      <c r="F1190" s="48" t="str">
        <f aca="false">IF('RAW WCH'!D85="","",'RAW WCH'!D85)</f>
        <v>CHIS clinical</v>
      </c>
      <c r="G1190" s="49" t="n">
        <f aca="false">IF('RAW WCH'!B85="","",'RAW WCH'!B85)</f>
        <v>45934</v>
      </c>
      <c r="H1190" s="48" t="str">
        <f aca="false">IF('RAW WCH'!E85="","",'RAW WCH'!E85)</f>
        <v>MD</v>
      </c>
      <c r="I1190" s="48" t="n">
        <f aca="false">IF('RAW WCH'!F85="","",'RAW WCH'!F85)</f>
        <v>4.25</v>
      </c>
      <c r="J1190" s="48" t="n">
        <f aca="false">IF('RAW WCH'!G85="","",'RAW WCH'!G85)</f>
        <v>65</v>
      </c>
      <c r="K1190" s="50" t="n">
        <f aca="false">IF('RAW WCH'!H85="","",'RAW WCH'!H85)</f>
        <v>210</v>
      </c>
      <c r="L1190" s="50" t="str">
        <f aca="false">IF('RAW WCH'!I85="","",'RAW WCH'!I85)</f>
        <v/>
      </c>
      <c r="M1190" s="48" t="str">
        <f aca="false">IF('RAW WCH'!J85="","",'RAW WCH'!J85)</f>
        <v/>
      </c>
    </row>
    <row r="1191" customFormat="false" ht="15" hidden="false" customHeight="false" outlineLevel="0" collapsed="false">
      <c r="A1191" s="1" t="s">
        <v>2335</v>
      </c>
      <c r="B1191" s="1" t="s">
        <v>157</v>
      </c>
      <c r="C1191" s="1" t="s">
        <v>1151</v>
      </c>
      <c r="D1191" s="1" t="n">
        <v>86</v>
      </c>
      <c r="E1191" s="48" t="str">
        <f aca="false">IF('RAW WCH'!C86="","",'RAW WCH'!C86)</f>
        <v>narcan training</v>
      </c>
      <c r="F1191" s="48" t="str">
        <f aca="false">IF('RAW WCH'!D86="","",'RAW WCH'!D86)</f>
        <v>community health improvement services</v>
      </c>
      <c r="G1191" s="49" t="n">
        <f aca="false">IF('RAW WCH'!B86="","",'RAW WCH'!B86)</f>
        <v>45937</v>
      </c>
      <c r="H1191" s="48" t="str">
        <f aca="false">IF('RAW WCH'!E86="","",'RAW WCH'!E86)</f>
        <v>Community Educator</v>
      </c>
      <c r="I1191" s="48" t="n">
        <f aca="false">IF('RAW WCH'!F86="","",'RAW WCH'!F86)</f>
        <v>2.5</v>
      </c>
      <c r="J1191" s="48" t="str">
        <f aca="false">IF('RAW WCH'!G86="","",'RAW WCH'!G86)</f>
        <v/>
      </c>
      <c r="K1191" s="50" t="str">
        <f aca="false">IF('RAW WCH'!H86="","",'RAW WCH'!H86)</f>
        <v/>
      </c>
      <c r="L1191" s="50" t="str">
        <f aca="false">IF('RAW WCH'!I86="","",'RAW WCH'!I86)</f>
        <v/>
      </c>
      <c r="M1191" s="48" t="str">
        <f aca="false">IF('RAW WCH'!J86="","",'RAW WCH'!J86)</f>
        <v/>
      </c>
    </row>
    <row r="1192" customFormat="false" ht="15" hidden="false" customHeight="false" outlineLevel="0" collapsed="false">
      <c r="A1192" s="1" t="s">
        <v>2336</v>
      </c>
      <c r="B1192" s="1" t="s">
        <v>157</v>
      </c>
      <c r="C1192" s="1" t="s">
        <v>1151</v>
      </c>
      <c r="D1192" s="1" t="n">
        <v>87</v>
      </c>
      <c r="E1192" s="48" t="str">
        <f aca="false">IF('RAW WCH'!C87="","",'RAW WCH'!C87)</f>
        <v>narcan training</v>
      </c>
      <c r="F1192" s="48" t="str">
        <f aca="false">IF('RAW WCH'!D87="","",'RAW WCH'!D87)</f>
        <v>community health improvement services</v>
      </c>
      <c r="G1192" s="49" t="str">
        <f aca="false">IF('RAW WCH'!B87="","",'RAW WCH'!B87)</f>
        <v>10/7/25</v>
      </c>
      <c r="H1192" s="48" t="str">
        <f aca="false">IF('RAW WCH'!E87="","",'RAW WCH'!E87)</f>
        <v>Clinical Pharmacist</v>
      </c>
      <c r="I1192" s="48" t="n">
        <f aca="false">IF('RAW WCH'!F87="","",'RAW WCH'!F87)</f>
        <v>2</v>
      </c>
      <c r="J1192" s="48" t="n">
        <f aca="false">IF('RAW WCH'!G87="","",'RAW WCH'!G87)</f>
        <v>24</v>
      </c>
      <c r="K1192" s="50" t="n">
        <f aca="false">IF('RAW WCH'!H87="","",'RAW WCH'!H87)</f>
        <v>2475</v>
      </c>
      <c r="L1192" s="50" t="n">
        <f aca="false">IF('RAW WCH'!I87="","",'RAW WCH'!I87)</f>
        <v>1560</v>
      </c>
      <c r="M1192" s="48" t="str">
        <f aca="false">IF('RAW WCH'!J87="","",'RAW WCH'!J87)</f>
        <v/>
      </c>
    </row>
    <row r="1193" customFormat="false" ht="15" hidden="false" customHeight="false" outlineLevel="0" collapsed="false">
      <c r="A1193" s="1" t="s">
        <v>2337</v>
      </c>
      <c r="B1193" s="1" t="s">
        <v>157</v>
      </c>
      <c r="C1193" s="1" t="s">
        <v>1151</v>
      </c>
      <c r="D1193" s="1" t="n">
        <v>88</v>
      </c>
      <c r="E1193" s="48" t="str">
        <f aca="false">IF('RAW WCH'!C88="","",'RAW WCH'!C88)</f>
        <v>grief group</v>
      </c>
      <c r="F1193" s="48" t="str">
        <f aca="false">IF('RAW WCH'!D88="","",'RAW WCH'!D88)</f>
        <v>CHIS support</v>
      </c>
      <c r="G1193" s="49" t="str">
        <f aca="false">IF('RAW WCH'!B88="","",'RAW WCH'!B88)</f>
        <v>10/11/25</v>
      </c>
      <c r="H1193" s="48" t="str">
        <f aca="false">IF('RAW WCH'!E88="","",'RAW WCH'!E88)</f>
        <v>Spiritual Care</v>
      </c>
      <c r="I1193" s="48" t="n">
        <f aca="false">IF('RAW WCH'!F88="","",'RAW WCH'!F88)</f>
        <v>2.25</v>
      </c>
      <c r="J1193" s="48" t="n">
        <f aca="false">IF('RAW WCH'!G88="","",'RAW WCH'!G88)</f>
        <v>6</v>
      </c>
      <c r="K1193" s="50" t="n">
        <f aca="false">IF('RAW WCH'!H88="","",'RAW WCH'!H88)</f>
        <v>35</v>
      </c>
      <c r="L1193" s="50" t="str">
        <f aca="false">IF('RAW WCH'!I88="","",'RAW WCH'!I88)</f>
        <v/>
      </c>
      <c r="M1193" s="48" t="str">
        <f aca="false">IF('RAW WCH'!J88="","",'RAW WCH'!J88)</f>
        <v/>
      </c>
    </row>
    <row r="1194" customFormat="false" ht="15" hidden="false" customHeight="false" outlineLevel="0" collapsed="false">
      <c r="A1194" s="1" t="s">
        <v>2338</v>
      </c>
      <c r="B1194" s="1" t="s">
        <v>157</v>
      </c>
      <c r="C1194" s="1" t="s">
        <v>1151</v>
      </c>
      <c r="D1194" s="1" t="n">
        <v>89</v>
      </c>
      <c r="E1194" s="48" t="str">
        <f aca="false">IF('RAW WCH'!C89="","",'RAW WCH'!C89)</f>
        <v>grief group</v>
      </c>
      <c r="F1194" s="48" t="str">
        <f aca="false">IF('RAW WCH'!D89="","",'RAW WCH'!D89)</f>
        <v>CHIS support</v>
      </c>
      <c r="G1194" s="49" t="str">
        <f aca="false">IF('RAW WCH'!B89="","",'RAW WCH'!B89)</f>
        <v>10/11/25</v>
      </c>
      <c r="H1194" s="48" t="str">
        <f aca="false">IF('RAW WCH'!E89="","",'RAW WCH'!E89)</f>
        <v>MSW</v>
      </c>
      <c r="I1194" s="48" t="n">
        <f aca="false">IF('RAW WCH'!F89="","",'RAW WCH'!F89)</f>
        <v>1.75</v>
      </c>
      <c r="J1194" s="48" t="str">
        <f aca="false">IF('RAW WCH'!G89="","",'RAW WCH'!G89)</f>
        <v/>
      </c>
      <c r="K1194" s="50" t="str">
        <f aca="false">IF('RAW WCH'!H89="","",'RAW WCH'!H89)</f>
        <v/>
      </c>
      <c r="L1194" s="50" t="str">
        <f aca="false">IF('RAW WCH'!I89="","",'RAW WCH'!I89)</f>
        <v/>
      </c>
      <c r="M1194" s="48" t="str">
        <f aca="false">IF('RAW WCH'!J89="","",'RAW WCH'!J89)</f>
        <v/>
      </c>
    </row>
    <row r="1195" customFormat="false" ht="15" hidden="false" customHeight="false" outlineLevel="0" collapsed="false">
      <c r="A1195" s="1" t="s">
        <v>2339</v>
      </c>
      <c r="B1195" s="1" t="s">
        <v>157</v>
      </c>
      <c r="C1195" s="1" t="s">
        <v>1151</v>
      </c>
      <c r="D1195" s="1" t="n">
        <v>90</v>
      </c>
      <c r="E1195" s="48" t="str">
        <f aca="false">IF('RAW WCH'!C90="","",'RAW WCH'!C90)</f>
        <v>car seat check</v>
      </c>
      <c r="F1195" s="48" t="str">
        <f aca="false">IF('RAW WCH'!D90="","",'RAW WCH'!D90)</f>
        <v>community health improvement services</v>
      </c>
      <c r="G1195" s="49" t="n">
        <f aca="false">IF('RAW WCH'!B90="","",'RAW WCH'!B90)</f>
        <v>45959</v>
      </c>
      <c r="H1195" s="48" t="str">
        <f aca="false">IF('RAW WCH'!E90="","",'RAW WCH'!E90)</f>
        <v>Flight Paramedic</v>
      </c>
      <c r="I1195" s="48" t="n">
        <f aca="false">IF('RAW WCH'!F90="","",'RAW WCH'!F90)</f>
        <v>3.25</v>
      </c>
      <c r="J1195" s="48" t="n">
        <f aca="false">IF('RAW WCH'!G90="","",'RAW WCH'!G90)</f>
        <v>19</v>
      </c>
      <c r="K1195" s="50" t="n">
        <f aca="false">IF('RAW WCH'!H90="","",'RAW WCH'!H90)</f>
        <v>605</v>
      </c>
      <c r="L1195" s="50" t="n">
        <f aca="false">IF('RAW WCH'!I90="","",'RAW WCH'!I90)</f>
        <v>210</v>
      </c>
      <c r="M1195" s="48" t="str">
        <f aca="false">IF('RAW WCH'!J90="","",'RAW WCH'!J90)</f>
        <v/>
      </c>
    </row>
    <row r="1196" customFormat="false" ht="15" hidden="false" customHeight="false" outlineLevel="0" collapsed="false">
      <c r="A1196" s="1" t="s">
        <v>2340</v>
      </c>
      <c r="B1196" s="1" t="s">
        <v>157</v>
      </c>
      <c r="C1196" s="1" t="s">
        <v>1151</v>
      </c>
      <c r="D1196" s="1" t="n">
        <v>91</v>
      </c>
      <c r="E1196" s="48" t="str">
        <f aca="false">IF('RAW WCH'!C91="","",'RAW WCH'!C91)</f>
        <v>car seat check</v>
      </c>
      <c r="F1196" s="48" t="str">
        <f aca="false">IF('RAW WCH'!D91="","",'RAW WCH'!D91)</f>
        <v>community health improvement services</v>
      </c>
      <c r="G1196" s="49" t="str">
        <f aca="false">IF('RAW WCH'!B91="","",'RAW WCH'!B91)</f>
        <v>October 29, 2025</v>
      </c>
      <c r="H1196" s="48" t="str">
        <f aca="false">IF('RAW WCH'!E91="","",'RAW WCH'!E91)</f>
        <v>RN III</v>
      </c>
      <c r="I1196" s="48" t="str">
        <f aca="false">IF('RAW WCH'!F91="","",'RAW WCH'!F91)</f>
        <v>3.25 hr</v>
      </c>
      <c r="J1196" s="48" t="str">
        <f aca="false">IF('RAW WCH'!G91="","",'RAW WCH'!G91)</f>
        <v/>
      </c>
      <c r="K1196" s="50" t="str">
        <f aca="false">IF('RAW WCH'!H91="","",'RAW WCH'!H91)</f>
        <v/>
      </c>
      <c r="L1196" s="50" t="str">
        <f aca="false">IF('RAW WCH'!I91="","",'RAW WCH'!I91)</f>
        <v/>
      </c>
      <c r="M1196" s="48" t="str">
        <f aca="false">IF('RAW WCH'!J91="","",'RAW WCH'!J91)</f>
        <v/>
      </c>
    </row>
    <row r="1197" customFormat="false" ht="15" hidden="false" customHeight="false" outlineLevel="0" collapsed="false">
      <c r="A1197" s="1" t="s">
        <v>2341</v>
      </c>
      <c r="B1197" s="1" t="s">
        <v>157</v>
      </c>
      <c r="C1197" s="1" t="s">
        <v>1151</v>
      </c>
      <c r="D1197" s="1" t="n">
        <v>92</v>
      </c>
      <c r="E1197" s="48" t="str">
        <f aca="false">IF('RAW WCH'!C92="","",'RAW WCH'!C92)</f>
        <v>mobile van screenings</v>
      </c>
      <c r="F1197" s="48" t="str">
        <f aca="false">IF('RAW WCH'!D92="","",'RAW WCH'!D92)</f>
        <v>CHIS clinical</v>
      </c>
      <c r="G1197" s="49" t="n">
        <f aca="false">IF('RAW WCH'!B92="","",'RAW WCH'!B92)</f>
        <v>45961</v>
      </c>
      <c r="H1197" s="48" t="str">
        <f aca="false">IF('RAW WCH'!E92="","",'RAW WCH'!E92)</f>
        <v>Comm Health Worker</v>
      </c>
      <c r="I1197" s="48" t="n">
        <f aca="false">IF('RAW WCH'!F92="","",'RAW WCH'!F92)</f>
        <v>49</v>
      </c>
      <c r="J1197" s="48" t="str">
        <f aca="false">IF('RAW WCH'!G92="","",'RAW WCH'!G92)</f>
        <v/>
      </c>
      <c r="K1197" s="50" t="str">
        <f aca="false">IF('RAW WCH'!H92="","",'RAW WCH'!H92)</f>
        <v/>
      </c>
      <c r="L1197" s="50" t="str">
        <f aca="false">IF('RAW WCH'!I92="","",'RAW WCH'!I92)</f>
        <v/>
      </c>
      <c r="M1197" s="48" t="str">
        <f aca="false">IF('RAW WCH'!J92="","",'RAW WCH'!J92)</f>
        <v/>
      </c>
    </row>
    <row r="1198" customFormat="false" ht="15" hidden="false" customHeight="false" outlineLevel="0" collapsed="false">
      <c r="A1198" s="1" t="s">
        <v>2342</v>
      </c>
      <c r="B1198" s="1" t="s">
        <v>157</v>
      </c>
      <c r="C1198" s="1" t="s">
        <v>1151</v>
      </c>
      <c r="D1198" s="1" t="n">
        <v>93</v>
      </c>
      <c r="E1198" s="48" t="str">
        <f aca="false">IF('RAW WCH'!C93="","",'RAW WCH'!C93)</f>
        <v>mobile van screenings</v>
      </c>
      <c r="F1198" s="48" t="str">
        <f aca="false">IF('RAW WCH'!D93="","",'RAW WCH'!D93)</f>
        <v>CHIS clinical</v>
      </c>
      <c r="G1198" s="49" t="n">
        <f aca="false">IF('RAW WCH'!B93="","",'RAW WCH'!B93)</f>
        <v>45961</v>
      </c>
      <c r="H1198" s="48" t="str">
        <f aca="false">IF('RAW WCH'!E93="","",'RAW WCH'!E93)</f>
        <v>Certified Medical Assistant</v>
      </c>
      <c r="I1198" s="48" t="n">
        <f aca="false">IF('RAW WCH'!F93="","",'RAW WCH'!F93)</f>
        <v>69.25</v>
      </c>
      <c r="J1198" s="48" t="str">
        <f aca="false">IF('RAW WCH'!G93="","",'RAW WCH'!G93)</f>
        <v/>
      </c>
      <c r="K1198" s="50" t="str">
        <f aca="false">IF('RAW WCH'!H93="","",'RAW WCH'!H93)</f>
        <v/>
      </c>
      <c r="L1198" s="50" t="str">
        <f aca="false">IF('RAW WCH'!I93="","",'RAW WCH'!I93)</f>
        <v/>
      </c>
      <c r="M1198" s="48" t="str">
        <f aca="false">IF('RAW WCH'!J93="","",'RAW WCH'!J93)</f>
        <v/>
      </c>
    </row>
    <row r="1199" customFormat="false" ht="15" hidden="false" customHeight="false" outlineLevel="0" collapsed="false">
      <c r="A1199" s="1" t="s">
        <v>2343</v>
      </c>
      <c r="B1199" s="1" t="s">
        <v>157</v>
      </c>
      <c r="C1199" s="1" t="s">
        <v>1151</v>
      </c>
      <c r="D1199" s="1" t="n">
        <v>94</v>
      </c>
      <c r="E1199" s="48" t="str">
        <f aca="false">IF('RAW WCH'!C94="","",'RAW WCH'!C94)</f>
        <v>mobile van screenings</v>
      </c>
      <c r="F1199" s="48" t="str">
        <f aca="false">IF('RAW WCH'!D94="","",'RAW WCH'!D94)</f>
        <v>CHIS clinical</v>
      </c>
      <c r="G1199" s="49" t="n">
        <f aca="false">IF('RAW WCH'!B94="","",'RAW WCH'!B94)</f>
        <v>45961</v>
      </c>
      <c r="H1199" s="48" t="str">
        <f aca="false">IF('RAW WCH'!E94="","",'RAW WCH'!E94)</f>
        <v> RN III</v>
      </c>
      <c r="I1199" s="48" t="n">
        <f aca="false">IF('RAW WCH'!F94="","",'RAW WCH'!F94)</f>
        <v>80.75</v>
      </c>
      <c r="J1199" s="48" t="n">
        <f aca="false">IF('RAW WCH'!G94="","",'RAW WCH'!G94)</f>
        <v>147</v>
      </c>
      <c r="K1199" s="50" t="n">
        <f aca="false">IF('RAW WCH'!H94="","",'RAW WCH'!H94)</f>
        <v>4920</v>
      </c>
      <c r="L1199" s="50" t="str">
        <f aca="false">IF('RAW WCH'!I94="","",'RAW WCH'!I94)</f>
        <v/>
      </c>
      <c r="M1199" s="48" t="str">
        <f aca="false">IF('RAW WCH'!J94="","",'RAW WCH'!J94)</f>
        <v/>
      </c>
    </row>
    <row r="1200" customFormat="false" ht="15" hidden="false" customHeight="false" outlineLevel="0" collapsed="false">
      <c r="A1200" s="1" t="s">
        <v>2344</v>
      </c>
      <c r="B1200" s="1" t="s">
        <v>157</v>
      </c>
      <c r="C1200" s="1" t="s">
        <v>1151</v>
      </c>
      <c r="D1200" s="1" t="n">
        <v>95</v>
      </c>
      <c r="E1200" s="48" t="str">
        <f aca="false">IF('RAW WCH'!C95="","",'RAW WCH'!C95)</f>
        <v>chw outreach</v>
      </c>
      <c r="F1200" s="48" t="str">
        <f aca="false">IF('RAW WCH'!D95="","",'RAW WCH'!D95)</f>
        <v>CHIS support</v>
      </c>
      <c r="G1200" s="49" t="str">
        <f aca="false">IF('RAW WCH'!B95="","",'RAW WCH'!B95)</f>
        <v>October 31, 2025</v>
      </c>
      <c r="H1200" s="48" t="str">
        <f aca="false">IF('RAW WCH'!E95="","",'RAW WCH'!E95)</f>
        <v>Comm. Health Worker</v>
      </c>
      <c r="I1200" s="48" t="str">
        <f aca="false">IF('RAW WCH'!F95="","",'RAW WCH'!F95)</f>
        <v>257.75 hr</v>
      </c>
      <c r="J1200" s="48" t="n">
        <f aca="false">IF('RAW WCH'!G95="","",'RAW WCH'!G95)</f>
        <v>212</v>
      </c>
      <c r="K1200" s="50" t="n">
        <f aca="false">IF('RAW WCH'!H95="","",'RAW WCH'!H95)</f>
        <v>1490</v>
      </c>
      <c r="L1200" s="50" t="str">
        <f aca="false">IF('RAW WCH'!I95="","",'RAW WCH'!I95)</f>
        <v/>
      </c>
      <c r="M1200" s="48" t="str">
        <f aca="false">IF('RAW WCH'!J95="","",'RAW WCH'!J95)</f>
        <v/>
      </c>
    </row>
    <row r="1201" customFormat="false" ht="15" hidden="false" customHeight="false" outlineLevel="0" collapsed="false">
      <c r="A1201" s="1" t="s">
        <v>2345</v>
      </c>
      <c r="B1201" s="1" t="s">
        <v>157</v>
      </c>
      <c r="C1201" s="1" t="s">
        <v>1151</v>
      </c>
      <c r="D1201" s="1" t="n">
        <v>96</v>
      </c>
      <c r="E1201" s="48" t="str">
        <f aca="false">IF('RAW WCH'!C96="","",'RAW WCH'!C96)</f>
        <v>chw outreach</v>
      </c>
      <c r="F1201" s="48" t="str">
        <f aca="false">IF('RAW WCH'!D96="","",'RAW WCH'!D96)</f>
        <v>CHIS support</v>
      </c>
      <c r="G1201" s="49" t="str">
        <f aca="false">IF('RAW WCH'!B96="","",'RAW WCH'!B96)</f>
        <v>October 31, 2025</v>
      </c>
      <c r="H1201" s="48" t="str">
        <f aca="false">IF('RAW WCH'!E96="","",'RAW WCH'!E96)</f>
        <v>Care Navigator</v>
      </c>
      <c r="I1201" s="48" t="n">
        <f aca="false">IF('RAW WCH'!F96="","",'RAW WCH'!F96)</f>
        <v>107.5</v>
      </c>
      <c r="J1201" s="48" t="str">
        <f aca="false">IF('RAW WCH'!G96="","",'RAW WCH'!G96)</f>
        <v/>
      </c>
      <c r="K1201" s="50" t="str">
        <f aca="false">IF('RAW WCH'!H96="","",'RAW WCH'!H96)</f>
        <v/>
      </c>
      <c r="L1201" s="50" t="str">
        <f aca="false">IF('RAW WCH'!I96="","",'RAW WCH'!I96)</f>
        <v/>
      </c>
      <c r="M1201" s="48" t="str">
        <f aca="false">IF('RAW WCH'!J96="","",'RAW WCH'!J96)</f>
        <v/>
      </c>
    </row>
    <row r="1202" customFormat="false" ht="15" hidden="false" customHeight="false" outlineLevel="0" collapsed="false">
      <c r="A1202" s="1" t="s">
        <v>2346</v>
      </c>
      <c r="B1202" s="1" t="s">
        <v>157</v>
      </c>
      <c r="C1202" s="1" t="s">
        <v>1151</v>
      </c>
      <c r="D1202" s="1" t="n">
        <v>97</v>
      </c>
      <c r="E1202" s="48" t="str">
        <f aca="false">IF('RAW WCH'!C97="","",'RAW WCH'!C97)</f>
        <v>produce prescription</v>
      </c>
      <c r="F1202" s="48" t="str">
        <f aca="false">IF('RAW WCH'!D97="","",'RAW WCH'!D97)</f>
        <v>CHIS support</v>
      </c>
      <c r="G1202" s="49" t="n">
        <f aca="false">IF('RAW WCH'!B97="","",'RAW WCH'!B97)</f>
        <v>45961</v>
      </c>
      <c r="H1202" s="48" t="str">
        <f aca="false">IF('RAW WCH'!E97="","",'RAW WCH'!E97)</f>
        <v>Comm. Health Worker </v>
      </c>
      <c r="I1202" s="48" t="n">
        <f aca="false">IF('RAW WCH'!F97="","",'RAW WCH'!F97)</f>
        <v>37</v>
      </c>
      <c r="J1202" s="48" t="str">
        <f aca="false">IF('RAW WCH'!G97="","",'RAW WCH'!G97)</f>
        <v/>
      </c>
      <c r="K1202" s="50" t="str">
        <f aca="false">IF('RAW WCH'!H97="","",'RAW WCH'!H97)</f>
        <v/>
      </c>
      <c r="L1202" s="50" t="str">
        <f aca="false">IF('RAW WCH'!I97="","",'RAW WCH'!I97)</f>
        <v/>
      </c>
      <c r="M1202" s="48" t="str">
        <f aca="false">IF('RAW WCH'!J97="","",'RAW WCH'!J97)</f>
        <v/>
      </c>
    </row>
    <row r="1203" customFormat="false" ht="15" hidden="false" customHeight="false" outlineLevel="0" collapsed="false">
      <c r="A1203" s="1" t="s">
        <v>2347</v>
      </c>
      <c r="B1203" s="1" t="s">
        <v>157</v>
      </c>
      <c r="C1203" s="1" t="s">
        <v>1151</v>
      </c>
      <c r="D1203" s="1" t="n">
        <v>98</v>
      </c>
      <c r="E1203" s="48" t="str">
        <f aca="false">IF('RAW WCH'!C98="","",'RAW WCH'!C98)</f>
        <v>produce prescription</v>
      </c>
      <c r="F1203" s="48" t="str">
        <f aca="false">IF('RAW WCH'!D98="","",'RAW WCH'!D98)</f>
        <v>CHIS support</v>
      </c>
      <c r="G1203" s="49" t="n">
        <f aca="false">IF('RAW WCH'!B98="","",'RAW WCH'!B98)</f>
        <v>45961</v>
      </c>
      <c r="H1203" s="48" t="str">
        <f aca="false">IF('RAW WCH'!E98="","",'RAW WCH'!E98)</f>
        <v>RDN</v>
      </c>
      <c r="I1203" s="48" t="n">
        <f aca="false">IF('RAW WCH'!F98="","",'RAW WCH'!F98)</f>
        <v>20</v>
      </c>
      <c r="J1203" s="48" t="n">
        <f aca="false">IF('RAW WCH'!G98="","",'RAW WCH'!G98)</f>
        <v>101</v>
      </c>
      <c r="K1203" s="50" t="n">
        <f aca="false">IF('RAW WCH'!H98="","",'RAW WCH'!H98)</f>
        <v>6895</v>
      </c>
      <c r="L1203" s="50" t="n">
        <f aca="false">IF('RAW WCH'!I98="","",'RAW WCH'!I98)</f>
        <v>7970</v>
      </c>
      <c r="M1203" s="48" t="str">
        <f aca="false">IF('RAW WCH'!J98="","",'RAW WCH'!J98)</f>
        <v/>
      </c>
    </row>
    <row r="1204" customFormat="false" ht="15" hidden="false" customHeight="false" outlineLevel="0" collapsed="false">
      <c r="A1204" s="1" t="s">
        <v>2348</v>
      </c>
      <c r="B1204" s="1" t="s">
        <v>157</v>
      </c>
      <c r="C1204" s="1" t="s">
        <v>1151</v>
      </c>
      <c r="D1204" s="1" t="n">
        <v>99</v>
      </c>
      <c r="E1204" s="48" t="str">
        <f aca="false">IF('RAW WCH'!C99="","",'RAW WCH'!C99)</f>
        <v>cb admin</v>
      </c>
      <c r="F1204" s="48" t="str">
        <f aca="false">IF('RAW WCH'!D99="","",'RAW WCH'!D99)</f>
        <v>cb operations</v>
      </c>
      <c r="G1204" s="49" t="str">
        <f aca="false">IF('RAW WCH'!B99="","",'RAW WCH'!B99)</f>
        <v>October 31, 2025</v>
      </c>
      <c r="H1204" s="48" t="str">
        <f aca="false">IF('RAW WCH'!E99="","",'RAW WCH'!E99)</f>
        <v>Secretary</v>
      </c>
      <c r="I1204" s="48" t="n">
        <f aca="false">IF('RAW WCH'!F99="","",'RAW WCH'!F99)</f>
        <v>41.25</v>
      </c>
      <c r="J1204" s="48" t="str">
        <f aca="false">IF('RAW WCH'!G99="","",'RAW WCH'!G99)</f>
        <v/>
      </c>
      <c r="K1204" s="50" t="str">
        <f aca="false">IF('RAW WCH'!H99="","",'RAW WCH'!H99)</f>
        <v/>
      </c>
      <c r="L1204" s="50" t="str">
        <f aca="false">IF('RAW WCH'!I99="","",'RAW WCH'!I99)</f>
        <v/>
      </c>
      <c r="M1204" s="48" t="str">
        <f aca="false">IF('RAW WCH'!J99="","",'RAW WCH'!J99)</f>
        <v/>
      </c>
    </row>
    <row r="1205" customFormat="false" ht="15" hidden="false" customHeight="false" outlineLevel="0" collapsed="false">
      <c r="A1205" s="1" t="s">
        <v>2349</v>
      </c>
      <c r="B1205" s="1" t="s">
        <v>157</v>
      </c>
      <c r="C1205" s="1" t="s">
        <v>1151</v>
      </c>
      <c r="D1205" s="1" t="n">
        <v>100</v>
      </c>
      <c r="E1205" s="48" t="str">
        <f aca="false">IF('RAW WCH'!C100="","",'RAW WCH'!C100)</f>
        <v>cb admin</v>
      </c>
      <c r="F1205" s="48" t="str">
        <f aca="false">IF('RAW WCH'!D100="","",'RAW WCH'!D100)</f>
        <v>cb operations</v>
      </c>
      <c r="G1205" s="49" t="n">
        <f aca="false">IF('RAW WCH'!B100="","",'RAW WCH'!B100)</f>
        <v>45961</v>
      </c>
      <c r="H1205" s="48" t="str">
        <f aca="false">IF('RAW WCH'!E100="","",'RAW WCH'!E100)</f>
        <v>Community Benefit Mgr</v>
      </c>
      <c r="I1205" s="48" t="n">
        <f aca="false">IF('RAW WCH'!F100="","",'RAW WCH'!F100)</f>
        <v>46.5</v>
      </c>
      <c r="J1205" s="48" t="str">
        <f aca="false">IF('RAW WCH'!G100="","",'RAW WCH'!G100)</f>
        <v/>
      </c>
      <c r="K1205" s="50" t="n">
        <f aca="false">IF('RAW WCH'!H100="","",'RAW WCH'!H100)</f>
        <v>245</v>
      </c>
      <c r="L1205" s="50" t="str">
        <f aca="false">IF('RAW WCH'!I100="","",'RAW WCH'!I100)</f>
        <v/>
      </c>
      <c r="M1205" s="48" t="str">
        <f aca="false">IF('RAW WCH'!J100="","",'RAW WCH'!J100)</f>
        <v/>
      </c>
    </row>
    <row r="1206" customFormat="false" ht="15" hidden="false" customHeight="false" outlineLevel="0" collapsed="false">
      <c r="A1206" s="1" t="s">
        <v>2350</v>
      </c>
      <c r="B1206" s="1" t="s">
        <v>157</v>
      </c>
      <c r="C1206" s="1" t="s">
        <v>1151</v>
      </c>
      <c r="D1206" s="1" t="n">
        <v>101</v>
      </c>
      <c r="E1206" s="48" t="str">
        <f aca="false">IF('RAW WCH'!C101="","",'RAW WCH'!C101)</f>
        <v>community paramedic</v>
      </c>
      <c r="F1206" s="48" t="str">
        <f aca="false">IF('RAW WCH'!D101="","",'RAW WCH'!D101)</f>
        <v>CHIS clinical</v>
      </c>
      <c r="G1206" s="49" t="str">
        <f aca="false">IF('RAW WCH'!B101="","",'RAW WCH'!B101)</f>
        <v>10/31/25</v>
      </c>
      <c r="H1206" s="48" t="str">
        <f aca="false">IF('RAW WCH'!E101="","",'RAW WCH'!E101)</f>
        <v>Flight Paramedic</v>
      </c>
      <c r="I1206" s="48" t="n">
        <f aca="false">IF('RAW WCH'!F101="","",'RAW WCH'!F101)</f>
        <v>79.25</v>
      </c>
      <c r="J1206" s="48" t="n">
        <f aca="false">IF('RAW WCH'!G101="","",'RAW WCH'!G101)</f>
        <v>35</v>
      </c>
      <c r="K1206" s="50" t="n">
        <f aca="false">IF('RAW WCH'!H101="","",'RAW WCH'!H101)</f>
        <v>795</v>
      </c>
      <c r="L1206" s="50" t="str">
        <f aca="false">IF('RAW WCH'!I101="","",'RAW WCH'!I101)</f>
        <v/>
      </c>
      <c r="M1206" s="48" t="str">
        <f aca="false">IF('RAW WCH'!J101="","",'RAW WCH'!J101)</f>
        <v/>
      </c>
    </row>
    <row r="1207" customFormat="false" ht="15" hidden="false" customHeight="false" outlineLevel="0" collapsed="false">
      <c r="A1207" s="1" t="s">
        <v>2351</v>
      </c>
      <c r="B1207" s="1" t="s">
        <v>157</v>
      </c>
      <c r="C1207" s="1" t="s">
        <v>1151</v>
      </c>
      <c r="D1207" s="1" t="n">
        <v>102</v>
      </c>
      <c r="E1207" s="48" t="str">
        <f aca="false">IF('RAW WCH'!C102="","",'RAW WCH'!C102)</f>
        <v>nursing students</v>
      </c>
      <c r="F1207" s="48" t="str">
        <f aca="false">IF('RAW WCH'!D102="","",'RAW WCH'!D102)</f>
        <v>health professions ed</v>
      </c>
      <c r="G1207" s="49" t="str">
        <f aca="false">IF('RAW WCH'!B102="","",'RAW WCH'!B102)</f>
        <v>10/31/25</v>
      </c>
      <c r="H1207" s="48" t="str">
        <f aca="false">IF('RAW WCH'!E102="","",'RAW WCH'!E102)</f>
        <v>clin educator</v>
      </c>
      <c r="I1207" s="48" t="str">
        <f aca="false">IF('RAW WCH'!F102="","",'RAW WCH'!F102)</f>
        <v>72.75 hr</v>
      </c>
      <c r="J1207" s="48" t="n">
        <f aca="false">IF('RAW WCH'!G102="","",'RAW WCH'!G102)</f>
        <v>13</v>
      </c>
      <c r="K1207" s="50" t="n">
        <f aca="false">IF('RAW WCH'!H102="","",'RAW WCH'!H102)</f>
        <v>625</v>
      </c>
      <c r="L1207" s="50" t="str">
        <f aca="false">IF('RAW WCH'!I102="","",'RAW WCH'!I102)</f>
        <v/>
      </c>
      <c r="M1207" s="48" t="str">
        <f aca="false">IF('RAW WCH'!J102="","",'RAW WCH'!J102)</f>
        <v/>
      </c>
    </row>
    <row r="1208" customFormat="false" ht="15" hidden="false" customHeight="false" outlineLevel="0" collapsed="false">
      <c r="A1208" s="1" t="s">
        <v>2352</v>
      </c>
      <c r="B1208" s="1" t="s">
        <v>157</v>
      </c>
      <c r="C1208" s="1" t="s">
        <v>1151</v>
      </c>
      <c r="D1208" s="1" t="n">
        <v>103</v>
      </c>
      <c r="E1208" s="48" t="str">
        <f aca="false">IF('RAW WCH'!C103="","",'RAW WCH'!C103)</f>
        <v>nursing students</v>
      </c>
      <c r="F1208" s="48" t="str">
        <f aca="false">IF('RAW WCH'!D103="","",'RAW WCH'!D103)</f>
        <v>health professions ed</v>
      </c>
      <c r="G1208" s="49" t="str">
        <f aca="false">IF('RAW WCH'!B103="","",'RAW WCH'!B103)</f>
        <v>10/31/25</v>
      </c>
      <c r="H1208" s="48" t="str">
        <f aca="false">IF('RAW WCH'!E103="","",'RAW WCH'!E103)</f>
        <v>Charge RN</v>
      </c>
      <c r="I1208" s="48" t="n">
        <f aca="false">IF('RAW WCH'!F103="","",'RAW WCH'!F103)</f>
        <v>160.5</v>
      </c>
      <c r="J1208" s="48" t="str">
        <f aca="false">IF('RAW WCH'!G103="","",'RAW WCH'!G103)</f>
        <v/>
      </c>
      <c r="K1208" s="50" t="str">
        <f aca="false">IF('RAW WCH'!H103="","",'RAW WCH'!H103)</f>
        <v/>
      </c>
      <c r="L1208" s="50" t="str">
        <f aca="false">IF('RAW WCH'!I103="","",'RAW WCH'!I103)</f>
        <v/>
      </c>
      <c r="M1208" s="48" t="str">
        <f aca="false">IF('RAW WCH'!J103="","",'RAW WCH'!J103)</f>
        <v/>
      </c>
    </row>
    <row r="1209" customFormat="false" ht="15" hidden="false" customHeight="false" outlineLevel="0" collapsed="false">
      <c r="A1209" s="1" t="s">
        <v>2353</v>
      </c>
      <c r="B1209" s="1" t="s">
        <v>157</v>
      </c>
      <c r="C1209" s="1" t="s">
        <v>1151</v>
      </c>
      <c r="D1209" s="1" t="n">
        <v>104</v>
      </c>
      <c r="E1209" s="48" t="str">
        <f aca="false">IF('RAW WCH'!C104="","",'RAW WCH'!C104)</f>
        <v>paramedic students</v>
      </c>
      <c r="F1209" s="48" t="str">
        <f aca="false">IF('RAW WCH'!D104="","",'RAW WCH'!D104)</f>
        <v>health professions ed</v>
      </c>
      <c r="G1209" s="49" t="n">
        <f aca="false">IF('RAW WCH'!B104="","",'RAW WCH'!B104)</f>
        <v>45961</v>
      </c>
      <c r="H1209" s="48" t="str">
        <f aca="false">IF('RAW WCH'!E104="","",'RAW WCH'!E104)</f>
        <v> Flight Paramedic</v>
      </c>
      <c r="I1209" s="48" t="n">
        <f aca="false">IF('RAW WCH'!F104="","",'RAW WCH'!F104)</f>
        <v>58</v>
      </c>
      <c r="J1209" s="48" t="n">
        <f aca="false">IF('RAW WCH'!G104="","",'RAW WCH'!G104)</f>
        <v>3</v>
      </c>
      <c r="K1209" s="50" t="n">
        <f aca="false">IF('RAW WCH'!H104="","",'RAW WCH'!H104)</f>
        <v>90</v>
      </c>
      <c r="L1209" s="50" t="str">
        <f aca="false">IF('RAW WCH'!I104="","",'RAW WCH'!I104)</f>
        <v/>
      </c>
      <c r="M1209" s="48" t="str">
        <f aca="false">IF('RAW WCH'!J104="","",'RAW WCH'!J104)</f>
        <v/>
      </c>
    </row>
    <row r="1210" customFormat="false" ht="15" hidden="false" customHeight="false" outlineLevel="0" collapsed="false">
      <c r="A1210" s="1" t="s">
        <v>2354</v>
      </c>
      <c r="B1210" s="1" t="s">
        <v>157</v>
      </c>
      <c r="C1210" s="1" t="s">
        <v>1151</v>
      </c>
      <c r="D1210" s="1" t="n">
        <v>105</v>
      </c>
      <c r="E1210" s="48" t="str">
        <f aca="false">IF('RAW WCH'!C105="","",'RAW WCH'!C105)</f>
        <v>rural maternal study</v>
      </c>
      <c r="F1210" s="48" t="str">
        <f aca="false">IF('RAW WCH'!D105="","",'RAW WCH'!D105)</f>
        <v>research</v>
      </c>
      <c r="G1210" s="49" t="n">
        <f aca="false">IF('RAW WCH'!B105="","",'RAW WCH'!B105)</f>
        <v>45961</v>
      </c>
      <c r="H1210" s="48" t="str">
        <f aca="false">IF('RAW WCH'!E105="","",'RAW WCH'!E105)</f>
        <v>Sr Data Analyst</v>
      </c>
      <c r="I1210" s="48" t="n">
        <f aca="false">IF('RAW WCH'!F105="","",'RAW WCH'!F105)</f>
        <v>9</v>
      </c>
      <c r="J1210" s="48" t="str">
        <f aca="false">IF('RAW WCH'!G105="","",'RAW WCH'!G105)</f>
        <v/>
      </c>
      <c r="K1210" s="50" t="str">
        <f aca="false">IF('RAW WCH'!H105="","",'RAW WCH'!H105)</f>
        <v/>
      </c>
      <c r="L1210" s="50" t="str">
        <f aca="false">IF('RAW WCH'!I105="","",'RAW WCH'!I105)</f>
        <v/>
      </c>
      <c r="M1210" s="48" t="str">
        <f aca="false">IF('RAW WCH'!J105="","",'RAW WCH'!J105)</f>
        <v/>
      </c>
    </row>
    <row r="1211" customFormat="false" ht="15" hidden="false" customHeight="false" outlineLevel="0" collapsed="false">
      <c r="A1211" s="1" t="s">
        <v>2355</v>
      </c>
      <c r="B1211" s="1" t="s">
        <v>157</v>
      </c>
      <c r="C1211" s="1" t="s">
        <v>1151</v>
      </c>
      <c r="D1211" s="1" t="n">
        <v>106</v>
      </c>
      <c r="E1211" s="48" t="str">
        <f aca="false">IF('RAW WCH'!C106="","",'RAW WCH'!C106)</f>
        <v>rural maternal study</v>
      </c>
      <c r="F1211" s="48" t="str">
        <f aca="false">IF('RAW WCH'!D106="","",'RAW WCH'!D106)</f>
        <v>research</v>
      </c>
      <c r="G1211" s="49" t="str">
        <f aca="false">IF('RAW WCH'!B106="","",'RAW WCH'!B106)</f>
        <v>10/31/25</v>
      </c>
      <c r="H1211" s="48" t="str">
        <f aca="false">IF('RAW WCH'!E106="","",'RAW WCH'!E106)</f>
        <v>CRC</v>
      </c>
      <c r="I1211" s="48" t="str">
        <f aca="false">IF('RAW WCH'!F106="","",'RAW WCH'!F106)</f>
        <v>52.25 hr</v>
      </c>
      <c r="J1211" s="48" t="n">
        <f aca="false">IF('RAW WCH'!G106="","",'RAW WCH'!G106)</f>
        <v>10</v>
      </c>
      <c r="K1211" s="50" t="n">
        <f aca="false">IF('RAW WCH'!H106="","",'RAW WCH'!H106)</f>
        <v>1320</v>
      </c>
      <c r="L1211" s="50" t="n">
        <f aca="false">IF('RAW WCH'!I106="","",'RAW WCH'!I106)</f>
        <v>4205</v>
      </c>
      <c r="M1211" s="48" t="str">
        <f aca="false">IF('RAW WCH'!J106="","",'RAW WCH'!J106)</f>
        <v/>
      </c>
    </row>
    <row r="1212" customFormat="false" ht="15" hidden="false" customHeight="false" outlineLevel="0" collapsed="false">
      <c r="A1212" s="1" t="s">
        <v>2356</v>
      </c>
      <c r="B1212" s="1" t="s">
        <v>157</v>
      </c>
      <c r="C1212" s="1" t="s">
        <v>1151</v>
      </c>
      <c r="D1212" s="1" t="n">
        <v>107</v>
      </c>
      <c r="E1212" s="48" t="str">
        <f aca="false">IF('RAW WCH'!C107="","",'RAW WCH'!C107)</f>
        <v>car seat check</v>
      </c>
      <c r="F1212" s="48" t="str">
        <f aca="false">IF('RAW WCH'!D107="","",'RAW WCH'!D107)</f>
        <v>community health improvement services</v>
      </c>
      <c r="G1212" s="49" t="n">
        <f aca="false">IF('RAW WCH'!B107="","",'RAW WCH'!B107)</f>
        <v>45962</v>
      </c>
      <c r="H1212" s="48" t="str">
        <f aca="false">IF('RAW WCH'!E107="","",'RAW WCH'!E107)</f>
        <v>EMS Paramedic</v>
      </c>
      <c r="I1212" s="48" t="n">
        <f aca="false">IF('RAW WCH'!F107="","",'RAW WCH'!F107)</f>
        <v>3.75</v>
      </c>
      <c r="J1212" s="48" t="n">
        <f aca="false">IF('RAW WCH'!G107="","",'RAW WCH'!G107)</f>
        <v>24</v>
      </c>
      <c r="K1212" s="50" t="n">
        <f aca="false">IF('RAW WCH'!H107="","",'RAW WCH'!H107)</f>
        <v>620</v>
      </c>
      <c r="L1212" s="50" t="n">
        <f aca="false">IF('RAW WCH'!I107="","",'RAW WCH'!I107)</f>
        <v>500</v>
      </c>
      <c r="M1212" s="48" t="str">
        <f aca="false">IF('RAW WCH'!J107="","",'RAW WCH'!J107)</f>
        <v/>
      </c>
    </row>
    <row r="1213" customFormat="false" ht="15" hidden="false" customHeight="false" outlineLevel="0" collapsed="false">
      <c r="A1213" s="1" t="s">
        <v>2357</v>
      </c>
      <c r="B1213" s="1" t="s">
        <v>157</v>
      </c>
      <c r="C1213" s="1" t="s">
        <v>1151</v>
      </c>
      <c r="D1213" s="1" t="n">
        <v>108</v>
      </c>
      <c r="E1213" s="48" t="str">
        <f aca="false">IF('RAW WCH'!C108="","",'RAW WCH'!C108)</f>
        <v>car seat check</v>
      </c>
      <c r="F1213" s="48" t="str">
        <f aca="false">IF('RAW WCH'!D108="","",'RAW WCH'!D108)</f>
        <v>community health improvement services</v>
      </c>
      <c r="G1213" s="49" t="n">
        <f aca="false">IF('RAW WCH'!B108="","",'RAW WCH'!B108)</f>
        <v>45962</v>
      </c>
      <c r="H1213" s="48" t="str">
        <f aca="false">IF('RAW WCH'!E108="","",'RAW WCH'!E108)</f>
        <v>RN - Outreach</v>
      </c>
      <c r="I1213" s="48" t="n">
        <f aca="false">IF('RAW WCH'!F108="","",'RAW WCH'!F108)</f>
        <v>3.75</v>
      </c>
      <c r="J1213" s="48" t="str">
        <f aca="false">IF('RAW WCH'!G108="","",'RAW WCH'!G108)</f>
        <v/>
      </c>
      <c r="K1213" s="50" t="str">
        <f aca="false">IF('RAW WCH'!H108="","",'RAW WCH'!H108)</f>
        <v/>
      </c>
      <c r="L1213" s="50" t="str">
        <f aca="false">IF('RAW WCH'!I108="","",'RAW WCH'!I108)</f>
        <v/>
      </c>
      <c r="M1213" s="48" t="str">
        <f aca="false">IF('RAW WCH'!J108="","",'RAW WCH'!J108)</f>
        <v/>
      </c>
    </row>
    <row r="1214" customFormat="false" ht="15" hidden="false" customHeight="false" outlineLevel="0" collapsed="false">
      <c r="A1214" s="1" t="s">
        <v>2358</v>
      </c>
      <c r="B1214" s="1" t="s">
        <v>157</v>
      </c>
      <c r="C1214" s="1" t="s">
        <v>1151</v>
      </c>
      <c r="D1214" s="1" t="n">
        <v>109</v>
      </c>
      <c r="E1214" s="48" t="str">
        <f aca="false">IF('RAW WCH'!C109="","",'RAW WCH'!C109)</f>
        <v>grief group</v>
      </c>
      <c r="F1214" s="48" t="str">
        <f aca="false">IF('RAW WCH'!D109="","",'RAW WCH'!D109)</f>
        <v>CHIS support</v>
      </c>
      <c r="G1214" s="49" t="str">
        <f aca="false">IF('RAW WCH'!B109="","",'RAW WCH'!B109)</f>
        <v>11/6/25</v>
      </c>
      <c r="H1214" s="48" t="str">
        <f aca="false">IF('RAW WCH'!E109="","",'RAW WCH'!E109)</f>
        <v>Chaplain</v>
      </c>
      <c r="I1214" s="48" t="n">
        <f aca="false">IF('RAW WCH'!F109="","",'RAW WCH'!F109)</f>
        <v>2.5</v>
      </c>
      <c r="J1214" s="48" t="n">
        <f aca="false">IF('RAW WCH'!G109="","",'RAW WCH'!G109)</f>
        <v>9</v>
      </c>
      <c r="K1214" s="50" t="n">
        <f aca="false">IF('RAW WCH'!H109="","",'RAW WCH'!H109)</f>
        <v>20</v>
      </c>
      <c r="L1214" s="50" t="str">
        <f aca="false">IF('RAW WCH'!I109="","",'RAW WCH'!I109)</f>
        <v/>
      </c>
      <c r="M1214" s="48" t="str">
        <f aca="false">IF('RAW WCH'!J109="","",'RAW WCH'!J109)</f>
        <v/>
      </c>
    </row>
    <row r="1215" customFormat="false" ht="15" hidden="false" customHeight="false" outlineLevel="0" collapsed="false">
      <c r="A1215" s="1" t="s">
        <v>2359</v>
      </c>
      <c r="B1215" s="1" t="s">
        <v>157</v>
      </c>
      <c r="C1215" s="1" t="s">
        <v>1151</v>
      </c>
      <c r="D1215" s="1" t="n">
        <v>110</v>
      </c>
      <c r="E1215" s="48" t="str">
        <f aca="false">IF('RAW WCH'!C110="","",'RAW WCH'!C110)</f>
        <v>grief group</v>
      </c>
      <c r="F1215" s="48" t="str">
        <f aca="false">IF('RAW WCH'!D110="","",'RAW WCH'!D110)</f>
        <v>CHIS support</v>
      </c>
      <c r="G1215" s="49" t="n">
        <f aca="false">IF('RAW WCH'!B110="","",'RAW WCH'!B110)</f>
        <v>45967</v>
      </c>
      <c r="H1215" s="48" t="str">
        <f aca="false">IF('RAW WCH'!E110="","",'RAW WCH'!E110)</f>
        <v>LCSW</v>
      </c>
      <c r="I1215" s="48" t="n">
        <f aca="false">IF('RAW WCH'!F110="","",'RAW WCH'!F110)</f>
        <v>1.5</v>
      </c>
      <c r="J1215" s="48" t="str">
        <f aca="false">IF('RAW WCH'!G110="","",'RAW WCH'!G110)</f>
        <v/>
      </c>
      <c r="K1215" s="50" t="str">
        <f aca="false">IF('RAW WCH'!H110="","",'RAW WCH'!H110)</f>
        <v/>
      </c>
      <c r="L1215" s="50" t="str">
        <f aca="false">IF('RAW WCH'!I110="","",'RAW WCH'!I110)</f>
        <v/>
      </c>
      <c r="M1215" s="48" t="str">
        <f aca="false">IF('RAW WCH'!J110="","",'RAW WCH'!J110)</f>
        <v/>
      </c>
    </row>
    <row r="1216" customFormat="false" ht="15" hidden="false" customHeight="false" outlineLevel="0" collapsed="false">
      <c r="A1216" s="1" t="s">
        <v>2360</v>
      </c>
      <c r="B1216" s="1" t="s">
        <v>157</v>
      </c>
      <c r="C1216" s="1" t="s">
        <v>1151</v>
      </c>
      <c r="D1216" s="1" t="n">
        <v>111</v>
      </c>
      <c r="E1216" s="48" t="str">
        <f aca="false">IF('RAW WCH'!C111="","",'RAW WCH'!C111)</f>
        <v>diabetes prevention class</v>
      </c>
      <c r="F1216" s="48" t="str">
        <f aca="false">IF('RAW WCH'!D111="","",'RAW WCH'!D111)</f>
        <v>community health improvement services</v>
      </c>
      <c r="G1216" s="49" t="n">
        <f aca="false">IF('RAW WCH'!B111="","",'RAW WCH'!B111)</f>
        <v>45972</v>
      </c>
      <c r="H1216" s="48" t="str">
        <f aca="false">IF('RAW WCH'!E111="","",'RAW WCH'!E111)</f>
        <v>CHES</v>
      </c>
      <c r="I1216" s="48" t="n">
        <f aca="false">IF('RAW WCH'!F111="","",'RAW WCH'!F111)</f>
        <v>2.25</v>
      </c>
      <c r="J1216" s="48" t="n">
        <f aca="false">IF('RAW WCH'!G111="","",'RAW WCH'!G111)</f>
        <v>12</v>
      </c>
      <c r="K1216" s="50" t="n">
        <f aca="false">IF('RAW WCH'!H111="","",'RAW WCH'!H111)</f>
        <v>150</v>
      </c>
      <c r="L1216" s="50" t="str">
        <f aca="false">IF('RAW WCH'!I111="","",'RAW WCH'!I111)</f>
        <v/>
      </c>
      <c r="M1216" s="48" t="str">
        <f aca="false">IF('RAW WCH'!J111="","",'RAW WCH'!J111)</f>
        <v/>
      </c>
    </row>
    <row r="1217" customFormat="false" ht="15" hidden="false" customHeight="false" outlineLevel="0" collapsed="false">
      <c r="A1217" s="1" t="s">
        <v>2361</v>
      </c>
      <c r="B1217" s="1" t="s">
        <v>157</v>
      </c>
      <c r="C1217" s="1" t="s">
        <v>1151</v>
      </c>
      <c r="D1217" s="1" t="n">
        <v>112</v>
      </c>
      <c r="E1217" s="48" t="str">
        <f aca="false">IF('RAW WCH'!C112="","",'RAW WCH'!C112)</f>
        <v>diabetes prevention class</v>
      </c>
      <c r="F1217" s="48" t="str">
        <f aca="false">IF('RAW WCH'!D112="","",'RAW WCH'!D112)</f>
        <v>community health improvement services</v>
      </c>
      <c r="G1217" s="49" t="n">
        <f aca="false">IF('RAW WCH'!B112="","",'RAW WCH'!B112)</f>
        <v>45972</v>
      </c>
      <c r="H1217" s="48" t="str">
        <f aca="false">IF('RAW WCH'!E112="","",'RAW WCH'!E112)</f>
        <v>RDN</v>
      </c>
      <c r="I1217" s="48" t="n">
        <f aca="false">IF('RAW WCH'!F112="","",'RAW WCH'!F112)</f>
        <v>1.75</v>
      </c>
      <c r="J1217" s="48" t="str">
        <f aca="false">IF('RAW WCH'!G112="","",'RAW WCH'!G112)</f>
        <v/>
      </c>
      <c r="K1217" s="50" t="str">
        <f aca="false">IF('RAW WCH'!H112="","",'RAW WCH'!H112)</f>
        <v/>
      </c>
      <c r="L1217" s="50" t="str">
        <f aca="false">IF('RAW WCH'!I112="","",'RAW WCH'!I112)</f>
        <v/>
      </c>
      <c r="M1217" s="48" t="str">
        <f aca="false">IF('RAW WCH'!J112="","",'RAW WCH'!J112)</f>
        <v/>
      </c>
    </row>
    <row r="1218" customFormat="false" ht="15" hidden="false" customHeight="false" outlineLevel="0" collapsed="false">
      <c r="A1218" s="1" t="s">
        <v>2362</v>
      </c>
      <c r="B1218" s="1" t="s">
        <v>157</v>
      </c>
      <c r="C1218" s="1" t="s">
        <v>1151</v>
      </c>
      <c r="D1218" s="1" t="n">
        <v>113</v>
      </c>
      <c r="E1218" s="48" t="str">
        <f aca="false">IF('RAW WCH'!C113="","",'RAW WCH'!C113)</f>
        <v>mobile van screenings</v>
      </c>
      <c r="F1218" s="48" t="str">
        <f aca="false">IF('RAW WCH'!D113="","",'RAW WCH'!D113)</f>
        <v>CHIS clinical</v>
      </c>
      <c r="G1218" s="49" t="str">
        <f aca="false">IF('RAW WCH'!B113="","",'RAW WCH'!B113)</f>
        <v>11/30/25</v>
      </c>
      <c r="H1218" s="48" t="str">
        <f aca="false">IF('RAW WCH'!E113="","",'RAW WCH'!E113)</f>
        <v>CHW II</v>
      </c>
      <c r="I1218" s="48" t="n">
        <f aca="false">IF('RAW WCH'!F113="","",'RAW WCH'!F113)</f>
        <v>42.5</v>
      </c>
      <c r="J1218" s="48" t="str">
        <f aca="false">IF('RAW WCH'!G113="","",'RAW WCH'!G113)</f>
        <v/>
      </c>
      <c r="K1218" s="50" t="str">
        <f aca="false">IF('RAW WCH'!H113="","",'RAW WCH'!H113)</f>
        <v/>
      </c>
      <c r="L1218" s="50" t="str">
        <f aca="false">IF('RAW WCH'!I113="","",'RAW WCH'!I113)</f>
        <v/>
      </c>
      <c r="M1218" s="48" t="str">
        <f aca="false">IF('RAW WCH'!J113="","",'RAW WCH'!J113)</f>
        <v/>
      </c>
    </row>
    <row r="1219" customFormat="false" ht="15" hidden="false" customHeight="false" outlineLevel="0" collapsed="false">
      <c r="A1219" s="1" t="s">
        <v>2363</v>
      </c>
      <c r="B1219" s="1" t="s">
        <v>157</v>
      </c>
      <c r="C1219" s="1" t="s">
        <v>1151</v>
      </c>
      <c r="D1219" s="1" t="n">
        <v>114</v>
      </c>
      <c r="E1219" s="48" t="str">
        <f aca="false">IF('RAW WCH'!C114="","",'RAW WCH'!C114)</f>
        <v>mobile van screenings</v>
      </c>
      <c r="F1219" s="48" t="str">
        <f aca="false">IF('RAW WCH'!D114="","",'RAW WCH'!D114)</f>
        <v>CHIS clinical</v>
      </c>
      <c r="G1219" s="49" t="str">
        <f aca="false">IF('RAW WCH'!B114="","",'RAW WCH'!B114)</f>
        <v>November 30, 2025</v>
      </c>
      <c r="H1219" s="48" t="str">
        <f aca="false">IF('RAW WCH'!E114="","",'RAW WCH'!E114)</f>
        <v>Med Asst</v>
      </c>
      <c r="I1219" s="48" t="n">
        <f aca="false">IF('RAW WCH'!F114="","",'RAW WCH'!F114)</f>
        <v>65.75</v>
      </c>
      <c r="J1219" s="48" t="str">
        <f aca="false">IF('RAW WCH'!G114="","",'RAW WCH'!G114)</f>
        <v/>
      </c>
      <c r="K1219" s="50" t="str">
        <f aca="false">IF('RAW WCH'!H114="","",'RAW WCH'!H114)</f>
        <v/>
      </c>
      <c r="L1219" s="50" t="str">
        <f aca="false">IF('RAW WCH'!I114="","",'RAW WCH'!I114)</f>
        <v/>
      </c>
      <c r="M1219" s="48" t="str">
        <f aca="false">IF('RAW WCH'!J114="","",'RAW WCH'!J114)</f>
        <v/>
      </c>
    </row>
    <row r="1220" customFormat="false" ht="15" hidden="false" customHeight="false" outlineLevel="0" collapsed="false">
      <c r="A1220" s="1" t="s">
        <v>2364</v>
      </c>
      <c r="B1220" s="1" t="s">
        <v>157</v>
      </c>
      <c r="C1220" s="1" t="s">
        <v>1151</v>
      </c>
      <c r="D1220" s="1" t="n">
        <v>115</v>
      </c>
      <c r="E1220" s="48" t="str">
        <f aca="false">IF('RAW WCH'!C115="","",'RAW WCH'!C115)</f>
        <v>mobile van screenings</v>
      </c>
      <c r="F1220" s="48" t="str">
        <f aca="false">IF('RAW WCH'!D115="","",'RAW WCH'!D115)</f>
        <v>CHIS clinical</v>
      </c>
      <c r="G1220" s="49" t="str">
        <f aca="false">IF('RAW WCH'!B115="","",'RAW WCH'!B115)</f>
        <v>11/30/25</v>
      </c>
      <c r="H1220" s="48" t="str">
        <f aca="false">IF('RAW WCH'!E115="","",'RAW WCH'!E115)</f>
        <v>Staff RN</v>
      </c>
      <c r="I1220" s="48" t="str">
        <f aca="false">IF('RAW WCH'!F115="","",'RAW WCH'!F115)</f>
        <v>71 hr</v>
      </c>
      <c r="J1220" s="48" t="n">
        <f aca="false">IF('RAW WCH'!G115="","",'RAW WCH'!G115)</f>
        <v>115</v>
      </c>
      <c r="K1220" s="50" t="n">
        <f aca="false">IF('RAW WCH'!H115="","",'RAW WCH'!H115)</f>
        <v>6750</v>
      </c>
      <c r="L1220" s="50" t="str">
        <f aca="false">IF('RAW WCH'!I115="","",'RAW WCH'!I115)</f>
        <v/>
      </c>
      <c r="M1220" s="48" t="str">
        <f aca="false">IF('RAW WCH'!J115="","",'RAW WCH'!J115)</f>
        <v/>
      </c>
    </row>
    <row r="1221" customFormat="false" ht="15" hidden="false" customHeight="false" outlineLevel="0" collapsed="false">
      <c r="A1221" s="1" t="s">
        <v>2365</v>
      </c>
      <c r="B1221" s="1" t="s">
        <v>157</v>
      </c>
      <c r="C1221" s="1" t="s">
        <v>1151</v>
      </c>
      <c r="D1221" s="1" t="n">
        <v>116</v>
      </c>
      <c r="E1221" s="48" t="str">
        <f aca="false">IF('RAW WCH'!C116="","",'RAW WCH'!C116)</f>
        <v>chw outreach</v>
      </c>
      <c r="F1221" s="48" t="str">
        <f aca="false">IF('RAW WCH'!D116="","",'RAW WCH'!D116)</f>
        <v>CHIS support</v>
      </c>
      <c r="G1221" s="49" t="n">
        <f aca="false">IF('RAW WCH'!B116="","",'RAW WCH'!B116)</f>
        <v>45991</v>
      </c>
      <c r="H1221" s="48" t="str">
        <f aca="false">IF('RAW WCH'!E116="","",'RAW WCH'!E116)</f>
        <v>Outreach Worker</v>
      </c>
      <c r="I1221" s="48" t="n">
        <f aca="false">IF('RAW WCH'!F116="","",'RAW WCH'!F116)</f>
        <v>222</v>
      </c>
      <c r="J1221" s="48" t="n">
        <f aca="false">IF('RAW WCH'!G116="","",'RAW WCH'!G116)</f>
        <v>227</v>
      </c>
      <c r="K1221" s="50" t="n">
        <f aca="false">IF('RAW WCH'!H116="","",'RAW WCH'!H116)</f>
        <v>930</v>
      </c>
      <c r="L1221" s="50" t="str">
        <f aca="false">IF('RAW WCH'!I116="","",'RAW WCH'!I116)</f>
        <v/>
      </c>
      <c r="M1221" s="48" t="str">
        <f aca="false">IF('RAW WCH'!J116="","",'RAW WCH'!J116)</f>
        <v/>
      </c>
    </row>
    <row r="1222" customFormat="false" ht="15" hidden="false" customHeight="false" outlineLevel="0" collapsed="false">
      <c r="A1222" s="1" t="s">
        <v>2366</v>
      </c>
      <c r="B1222" s="1" t="s">
        <v>157</v>
      </c>
      <c r="C1222" s="1" t="s">
        <v>1151</v>
      </c>
      <c r="D1222" s="1" t="n">
        <v>117</v>
      </c>
      <c r="E1222" s="48" t="str">
        <f aca="false">IF('RAW WCH'!C117="","",'RAW WCH'!C117)</f>
        <v>chw outreach</v>
      </c>
      <c r="F1222" s="48" t="str">
        <f aca="false">IF('RAW WCH'!D117="","",'RAW WCH'!D117)</f>
        <v>CHIS support</v>
      </c>
      <c r="G1222" s="49" t="n">
        <f aca="false">IF('RAW WCH'!B117="","",'RAW WCH'!B117)</f>
        <v>45991</v>
      </c>
      <c r="H1222" s="48" t="str">
        <f aca="false">IF('RAW WCH'!E117="","",'RAW WCH'!E117)</f>
        <v>Care Navigator</v>
      </c>
      <c r="I1222" s="48" t="n">
        <f aca="false">IF('RAW WCH'!F117="","",'RAW WCH'!F117)</f>
        <v>104</v>
      </c>
      <c r="J1222" s="48" t="str">
        <f aca="false">IF('RAW WCH'!G117="","",'RAW WCH'!G117)</f>
        <v/>
      </c>
      <c r="K1222" s="50" t="str">
        <f aca="false">IF('RAW WCH'!H117="","",'RAW WCH'!H117)</f>
        <v/>
      </c>
      <c r="L1222" s="50" t="str">
        <f aca="false">IF('RAW WCH'!I117="","",'RAW WCH'!I117)</f>
        <v/>
      </c>
      <c r="M1222" s="48" t="str">
        <f aca="false">IF('RAW WCH'!J117="","",'RAW WCH'!J117)</f>
        <v/>
      </c>
    </row>
    <row r="1223" customFormat="false" ht="15" hidden="false" customHeight="false" outlineLevel="0" collapsed="false">
      <c r="A1223" s="1" t="s">
        <v>2367</v>
      </c>
      <c r="B1223" s="1" t="s">
        <v>157</v>
      </c>
      <c r="C1223" s="1" t="s">
        <v>1151</v>
      </c>
      <c r="D1223" s="1" t="n">
        <v>118</v>
      </c>
      <c r="E1223" s="48" t="str">
        <f aca="false">IF('RAW WCH'!C118="","",'RAW WCH'!C118)</f>
        <v>produce prescription</v>
      </c>
      <c r="F1223" s="48" t="str">
        <f aca="false">IF('RAW WCH'!D118="","",'RAW WCH'!D118)</f>
        <v>CHIS support</v>
      </c>
      <c r="G1223" s="49" t="str">
        <f aca="false">IF('RAW WCH'!B118="","",'RAW WCH'!B118)</f>
        <v>11/30/25</v>
      </c>
      <c r="H1223" s="48" t="str">
        <f aca="false">IF('RAW WCH'!E118="","",'RAW WCH'!E118)</f>
        <v>Promotora</v>
      </c>
      <c r="I1223" s="48" t="n">
        <f aca="false">IF('RAW WCH'!F118="","",'RAW WCH'!F118)</f>
        <v>44.25</v>
      </c>
      <c r="J1223" s="48" t="str">
        <f aca="false">IF('RAW WCH'!G118="","",'RAW WCH'!G118)</f>
        <v/>
      </c>
      <c r="K1223" s="50" t="str">
        <f aca="false">IF('RAW WCH'!H118="","",'RAW WCH'!H118)</f>
        <v/>
      </c>
      <c r="L1223" s="50" t="str">
        <f aca="false">IF('RAW WCH'!I118="","",'RAW WCH'!I118)</f>
        <v/>
      </c>
      <c r="M1223" s="48" t="str">
        <f aca="false">IF('RAW WCH'!J118="","",'RAW WCH'!J118)</f>
        <v/>
      </c>
    </row>
    <row r="1224" customFormat="false" ht="15" hidden="false" customHeight="false" outlineLevel="0" collapsed="false">
      <c r="A1224" s="1" t="s">
        <v>2368</v>
      </c>
      <c r="B1224" s="1" t="s">
        <v>157</v>
      </c>
      <c r="C1224" s="1" t="s">
        <v>1151</v>
      </c>
      <c r="D1224" s="1" t="n">
        <v>119</v>
      </c>
      <c r="E1224" s="48" t="str">
        <f aca="false">IF('RAW WCH'!C119="","",'RAW WCH'!C119)</f>
        <v>produce prescription</v>
      </c>
      <c r="F1224" s="48" t="str">
        <f aca="false">IF('RAW WCH'!D119="","",'RAW WCH'!D119)</f>
        <v>CHIS support</v>
      </c>
      <c r="G1224" s="49" t="n">
        <f aca="false">IF('RAW WCH'!B119="","",'RAW WCH'!B119)</f>
        <v>45991</v>
      </c>
      <c r="H1224" s="48" t="str">
        <f aca="false">IF('RAW WCH'!E119="","",'RAW WCH'!E119)</f>
        <v>Clinical Dietitian</v>
      </c>
      <c r="I1224" s="48" t="n">
        <f aca="false">IF('RAW WCH'!F119="","",'RAW WCH'!F119)</f>
        <v>19.25</v>
      </c>
      <c r="J1224" s="48" t="n">
        <f aca="false">IF('RAW WCH'!G119="","",'RAW WCH'!G119)</f>
        <v>140</v>
      </c>
      <c r="K1224" s="50" t="n">
        <f aca="false">IF('RAW WCH'!H119="","",'RAW WCH'!H119)</f>
        <v>8045</v>
      </c>
      <c r="L1224" s="50" t="n">
        <f aca="false">IF('RAW WCH'!I119="","",'RAW WCH'!I119)</f>
        <v>7130</v>
      </c>
      <c r="M1224" s="48" t="str">
        <f aca="false">IF('RAW WCH'!J119="","",'RAW WCH'!J119)</f>
        <v/>
      </c>
    </row>
    <row r="1225" customFormat="false" ht="15" hidden="false" customHeight="false" outlineLevel="0" collapsed="false">
      <c r="A1225" s="1" t="s">
        <v>2369</v>
      </c>
      <c r="B1225" s="1" t="s">
        <v>157</v>
      </c>
      <c r="C1225" s="1" t="s">
        <v>1151</v>
      </c>
      <c r="D1225" s="1" t="n">
        <v>120</v>
      </c>
      <c r="E1225" s="48" t="str">
        <f aca="false">IF('RAW WCH'!C120="","",'RAW WCH'!C120)</f>
        <v>cb admin</v>
      </c>
      <c r="F1225" s="48" t="str">
        <f aca="false">IF('RAW WCH'!D120="","",'RAW WCH'!D120)</f>
        <v>cb operations</v>
      </c>
      <c r="G1225" s="49" t="str">
        <f aca="false">IF('RAW WCH'!B120="","",'RAW WCH'!B120)</f>
        <v>November 30, 2025</v>
      </c>
      <c r="H1225" s="48" t="str">
        <f aca="false">IF('RAW WCH'!E120="","",'RAW WCH'!E120)</f>
        <v>Secretary</v>
      </c>
      <c r="I1225" s="48" t="n">
        <f aca="false">IF('RAW WCH'!F120="","",'RAW WCH'!F120)</f>
        <v>37.5</v>
      </c>
      <c r="J1225" s="48" t="str">
        <f aca="false">IF('RAW WCH'!G120="","",'RAW WCH'!G120)</f>
        <v/>
      </c>
      <c r="K1225" s="50" t="str">
        <f aca="false">IF('RAW WCH'!H120="","",'RAW WCH'!H120)</f>
        <v/>
      </c>
      <c r="L1225" s="50" t="str">
        <f aca="false">IF('RAW WCH'!I120="","",'RAW WCH'!I120)</f>
        <v/>
      </c>
      <c r="M1225" s="48" t="str">
        <f aca="false">IF('RAW WCH'!J120="","",'RAW WCH'!J120)</f>
        <v/>
      </c>
    </row>
    <row r="1226" customFormat="false" ht="15" hidden="false" customHeight="false" outlineLevel="0" collapsed="false">
      <c r="A1226" s="1" t="s">
        <v>2370</v>
      </c>
      <c r="B1226" s="1" t="s">
        <v>157</v>
      </c>
      <c r="C1226" s="1" t="s">
        <v>1151</v>
      </c>
      <c r="D1226" s="1" t="n">
        <v>121</v>
      </c>
      <c r="E1226" s="48" t="str">
        <f aca="false">IF('RAW WCH'!C121="","",'RAW WCH'!C121)</f>
        <v>cb admin</v>
      </c>
      <c r="F1226" s="48" t="str">
        <f aca="false">IF('RAW WCH'!D121="","",'RAW WCH'!D121)</f>
        <v>cb operations</v>
      </c>
      <c r="G1226" s="49" t="str">
        <f aca="false">IF('RAW WCH'!B121="","",'RAW WCH'!B121)</f>
        <v>November 30, 2025</v>
      </c>
      <c r="H1226" s="48" t="str">
        <f aca="false">IF('RAW WCH'!E121="","",'RAW WCH'!E121)</f>
        <v>Manager Community Benefit</v>
      </c>
      <c r="I1226" s="48" t="n">
        <f aca="false">IF('RAW WCH'!F121="","",'RAW WCH'!F121)</f>
        <v>43</v>
      </c>
      <c r="J1226" s="48" t="str">
        <f aca="false">IF('RAW WCH'!G121="","",'RAW WCH'!G121)</f>
        <v/>
      </c>
      <c r="K1226" s="50" t="n">
        <f aca="false">IF('RAW WCH'!H121="","",'RAW WCH'!H121)</f>
        <v>435</v>
      </c>
      <c r="L1226" s="50" t="str">
        <f aca="false">IF('RAW WCH'!I121="","",'RAW WCH'!I121)</f>
        <v/>
      </c>
      <c r="M1226" s="48" t="str">
        <f aca="false">IF('RAW WCH'!J121="","",'RAW WCH'!J121)</f>
        <v/>
      </c>
    </row>
    <row r="1227" customFormat="false" ht="15" hidden="false" customHeight="false" outlineLevel="0" collapsed="false">
      <c r="A1227" s="1" t="s">
        <v>2371</v>
      </c>
      <c r="B1227" s="1" t="s">
        <v>157</v>
      </c>
      <c r="C1227" s="1" t="s">
        <v>1151</v>
      </c>
      <c r="D1227" s="1" t="n">
        <v>122</v>
      </c>
      <c r="E1227" s="48" t="str">
        <f aca="false">IF('RAW WCH'!C122="","",'RAW WCH'!C122)</f>
        <v>community paramedic</v>
      </c>
      <c r="F1227" s="48" t="str">
        <f aca="false">IF('RAW WCH'!D122="","",'RAW WCH'!D122)</f>
        <v>CHIS clinical</v>
      </c>
      <c r="G1227" s="49" t="str">
        <f aca="false">IF('RAW WCH'!B122="","",'RAW WCH'!B122)</f>
        <v>November 30, 2025</v>
      </c>
      <c r="H1227" s="48" t="str">
        <f aca="false">IF('RAW WCH'!E122="","",'RAW WCH'!E122)</f>
        <v>EMS Paramedic</v>
      </c>
      <c r="I1227" s="48" t="n">
        <f aca="false">IF('RAW WCH'!F122="","",'RAW WCH'!F122)</f>
        <v>66</v>
      </c>
      <c r="J1227" s="48" t="n">
        <f aca="false">IF('RAW WCH'!G122="","",'RAW WCH'!G122)</f>
        <v>50</v>
      </c>
      <c r="K1227" s="50" t="n">
        <f aca="false">IF('RAW WCH'!H122="","",'RAW WCH'!H122)</f>
        <v>640</v>
      </c>
      <c r="L1227" s="50" t="str">
        <f aca="false">IF('RAW WCH'!I122="","",'RAW WCH'!I122)</f>
        <v/>
      </c>
      <c r="M1227" s="48" t="str">
        <f aca="false">IF('RAW WCH'!J122="","",'RAW WCH'!J122)</f>
        <v/>
      </c>
    </row>
    <row r="1228" customFormat="false" ht="15" hidden="false" customHeight="false" outlineLevel="0" collapsed="false">
      <c r="A1228" s="1" t="s">
        <v>2372</v>
      </c>
      <c r="B1228" s="1" t="s">
        <v>157</v>
      </c>
      <c r="C1228" s="1" t="s">
        <v>1151</v>
      </c>
      <c r="D1228" s="1" t="n">
        <v>123</v>
      </c>
      <c r="E1228" s="48" t="str">
        <f aca="false">IF('RAW WCH'!C123="","",'RAW WCH'!C123)</f>
        <v>nursing students</v>
      </c>
      <c r="F1228" s="48" t="str">
        <f aca="false">IF('RAW WCH'!D123="","",'RAW WCH'!D123)</f>
        <v>health professions ed</v>
      </c>
      <c r="G1228" s="49" t="str">
        <f aca="false">IF('RAW WCH'!B123="","",'RAW WCH'!B123)</f>
        <v>November 30, 2025</v>
      </c>
      <c r="H1228" s="48" t="str">
        <f aca="false">IF('RAW WCH'!E123="","",'RAW WCH'!E123)</f>
        <v>Clin Educator</v>
      </c>
      <c r="I1228" s="48" t="str">
        <f aca="false">IF('RAW WCH'!F123="","",'RAW WCH'!F123)</f>
        <v/>
      </c>
      <c r="J1228" s="48" t="n">
        <f aca="false">IF('RAW WCH'!G123="","",'RAW WCH'!G123)</f>
        <v>21</v>
      </c>
      <c r="K1228" s="50" t="n">
        <f aca="false">IF('RAW WCH'!H123="","",'RAW WCH'!H123)</f>
        <v>575</v>
      </c>
      <c r="L1228" s="50" t="str">
        <f aca="false">IF('RAW WCH'!I123="","",'RAW WCH'!I123)</f>
        <v/>
      </c>
      <c r="M1228" s="48" t="str">
        <f aca="false">IF('RAW WCH'!J123="","",'RAW WCH'!J123)</f>
        <v/>
      </c>
    </row>
    <row r="1229" customFormat="false" ht="15" hidden="false" customHeight="false" outlineLevel="0" collapsed="false">
      <c r="A1229" s="1" t="s">
        <v>2373</v>
      </c>
      <c r="B1229" s="1" t="s">
        <v>157</v>
      </c>
      <c r="C1229" s="1" t="s">
        <v>1151</v>
      </c>
      <c r="D1229" s="1" t="n">
        <v>124</v>
      </c>
      <c r="E1229" s="48" t="str">
        <f aca="false">IF('RAW WCH'!C124="","",'RAW WCH'!C124)</f>
        <v>nursing students</v>
      </c>
      <c r="F1229" s="48" t="str">
        <f aca="false">IF('RAW WCH'!D124="","",'RAW WCH'!D124)</f>
        <v>health professions ed</v>
      </c>
      <c r="G1229" s="49" t="str">
        <f aca="false">IF('RAW WCH'!B124="","",'RAW WCH'!B124)</f>
        <v>11/30/25</v>
      </c>
      <c r="H1229" s="48" t="str">
        <f aca="false">IF('RAW WCH'!E124="","",'RAW WCH'!E124)</f>
        <v>RN III</v>
      </c>
      <c r="I1229" s="48" t="n">
        <f aca="false">IF('RAW WCH'!F124="","",'RAW WCH'!F124)</f>
        <v>153.25</v>
      </c>
      <c r="J1229" s="48" t="str">
        <f aca="false">IF('RAW WCH'!G124="","",'RAW WCH'!G124)</f>
        <v/>
      </c>
      <c r="K1229" s="50" t="str">
        <f aca="false">IF('RAW WCH'!H124="","",'RAW WCH'!H124)</f>
        <v/>
      </c>
      <c r="L1229" s="50" t="str">
        <f aca="false">IF('RAW WCH'!I124="","",'RAW WCH'!I124)</f>
        <v/>
      </c>
      <c r="M1229" s="48" t="str">
        <f aca="false">IF('RAW WCH'!J124="","",'RAW WCH'!J124)</f>
        <v/>
      </c>
    </row>
    <row r="1230" customFormat="false" ht="15" hidden="false" customHeight="false" outlineLevel="0" collapsed="false">
      <c r="A1230" s="1" t="s">
        <v>2374</v>
      </c>
      <c r="B1230" s="1" t="s">
        <v>157</v>
      </c>
      <c r="C1230" s="1" t="s">
        <v>1151</v>
      </c>
      <c r="D1230" s="1" t="n">
        <v>125</v>
      </c>
      <c r="E1230" s="48" t="str">
        <f aca="false">IF('RAW WCH'!C125="","",'RAW WCH'!C125)</f>
        <v>paramedic students</v>
      </c>
      <c r="F1230" s="48" t="str">
        <f aca="false">IF('RAW WCH'!D125="","",'RAW WCH'!D125)</f>
        <v>health professions ed</v>
      </c>
      <c r="G1230" s="49" t="str">
        <f aca="false">IF('RAW WCH'!B125="","",'RAW WCH'!B125)</f>
        <v>11/30/25</v>
      </c>
      <c r="H1230" s="48" t="str">
        <f aca="false">IF('RAW WCH'!E125="","",'RAW WCH'!E125)</f>
        <v>Flight Paramedic</v>
      </c>
      <c r="I1230" s="48" t="n">
        <f aca="false">IF('RAW WCH'!F125="","",'RAW WCH'!F125)</f>
        <v>41.25</v>
      </c>
      <c r="J1230" s="48" t="n">
        <f aca="false">IF('RAW WCH'!G125="","",'RAW WCH'!G125)</f>
        <v>3</v>
      </c>
      <c r="K1230" s="50" t="n">
        <f aca="false">IF('RAW WCH'!H125="","",'RAW WCH'!H125)</f>
        <v>25</v>
      </c>
      <c r="L1230" s="50" t="str">
        <f aca="false">IF('RAW WCH'!I125="","",'RAW WCH'!I125)</f>
        <v/>
      </c>
      <c r="M1230" s="48" t="str">
        <f aca="false">IF('RAW WCH'!J125="","",'RAW WCH'!J125)</f>
        <v/>
      </c>
    </row>
    <row r="1231" customFormat="false" ht="15" hidden="false" customHeight="false" outlineLevel="0" collapsed="false">
      <c r="A1231" s="1" t="s">
        <v>2375</v>
      </c>
      <c r="B1231" s="1" t="s">
        <v>157</v>
      </c>
      <c r="C1231" s="1" t="s">
        <v>1151</v>
      </c>
      <c r="D1231" s="1" t="n">
        <v>126</v>
      </c>
      <c r="E1231" s="48" t="str">
        <f aca="false">IF('RAW WCH'!C126="","",'RAW WCH'!C126)</f>
        <v>rural maternal study</v>
      </c>
      <c r="F1231" s="48" t="str">
        <f aca="false">IF('RAW WCH'!D126="","",'RAW WCH'!D126)</f>
        <v>research</v>
      </c>
      <c r="G1231" s="49" t="str">
        <f aca="false">IF('RAW WCH'!B126="","",'RAW WCH'!B126)</f>
        <v>11/30/25</v>
      </c>
      <c r="H1231" s="48" t="str">
        <f aca="false">IF('RAW WCH'!E126="","",'RAW WCH'!E126)</f>
        <v>BI Analyst</v>
      </c>
      <c r="I1231" s="48" t="n">
        <f aca="false">IF('RAW WCH'!F126="","",'RAW WCH'!F126)</f>
        <v>13.25</v>
      </c>
      <c r="J1231" s="48" t="str">
        <f aca="false">IF('RAW WCH'!G126="","",'RAW WCH'!G126)</f>
        <v/>
      </c>
      <c r="K1231" s="50" t="str">
        <f aca="false">IF('RAW WCH'!H126="","",'RAW WCH'!H126)</f>
        <v/>
      </c>
      <c r="L1231" s="50" t="str">
        <f aca="false">IF('RAW WCH'!I126="","",'RAW WCH'!I126)</f>
        <v/>
      </c>
      <c r="M1231" s="48" t="str">
        <f aca="false">IF('RAW WCH'!J126="","",'RAW WCH'!J126)</f>
        <v/>
      </c>
    </row>
    <row r="1232" customFormat="false" ht="15" hidden="false" customHeight="false" outlineLevel="0" collapsed="false">
      <c r="A1232" s="1" t="s">
        <v>2376</v>
      </c>
      <c r="B1232" s="1" t="s">
        <v>157</v>
      </c>
      <c r="C1232" s="1" t="s">
        <v>1151</v>
      </c>
      <c r="D1232" s="1" t="n">
        <v>127</v>
      </c>
      <c r="E1232" s="48" t="str">
        <f aca="false">IF('RAW WCH'!C127="","",'RAW WCH'!C127)</f>
        <v>rural maternal study</v>
      </c>
      <c r="F1232" s="48" t="str">
        <f aca="false">IF('RAW WCH'!D127="","",'RAW WCH'!D127)</f>
        <v>research</v>
      </c>
      <c r="G1232" s="49" t="n">
        <f aca="false">IF('RAW WCH'!B127="","",'RAW WCH'!B127)</f>
        <v>45991</v>
      </c>
      <c r="H1232" s="48" t="str">
        <f aca="false">IF('RAW WCH'!E127="","",'RAW WCH'!E127)</f>
        <v>Research Nurse</v>
      </c>
      <c r="I1232" s="48" t="n">
        <f aca="false">IF('RAW WCH'!F127="","",'RAW WCH'!F127)</f>
        <v>47.25</v>
      </c>
      <c r="J1232" s="48" t="n">
        <f aca="false">IF('RAW WCH'!G127="","",'RAW WCH'!G127)</f>
        <v>12</v>
      </c>
      <c r="K1232" s="50" t="n">
        <f aca="false">IF('RAW WCH'!H127="","",'RAW WCH'!H127)</f>
        <v>1270</v>
      </c>
      <c r="L1232" s="50" t="n">
        <f aca="false">IF('RAW WCH'!I127="","",'RAW WCH'!I127)</f>
        <v>3930</v>
      </c>
      <c r="M1232" s="48" t="str">
        <f aca="false">IF('RAW WCH'!J127="","",'RAW WCH'!J127)</f>
        <v/>
      </c>
    </row>
    <row r="1233" customFormat="false" ht="15" hidden="false" customHeight="false" outlineLevel="0" collapsed="false">
      <c r="A1233" s="1" t="s">
        <v>2377</v>
      </c>
      <c r="B1233" s="1" t="s">
        <v>157</v>
      </c>
      <c r="C1233" s="1" t="s">
        <v>1151</v>
      </c>
      <c r="D1233" s="1" t="n">
        <v>128</v>
      </c>
      <c r="E1233" s="48" t="str">
        <f aca="false">IF('RAW WCH'!C128="","",'RAW WCH'!C128)</f>
        <v>youth pathway</v>
      </c>
      <c r="F1233" s="48" t="str">
        <f aca="false">IF('RAW WCH'!D128="","",'RAW WCH'!D128)</f>
        <v>community building</v>
      </c>
      <c r="G1233" s="49" t="str">
        <f aca="false">IF('RAW WCH'!B128="","",'RAW WCH'!B128)</f>
        <v>12/6/25</v>
      </c>
      <c r="H1233" s="48" t="str">
        <f aca="false">IF('RAW WCH'!E128="","",'RAW WCH'!E128)</f>
        <v>Clin Educator</v>
      </c>
      <c r="I1233" s="48" t="n">
        <f aca="false">IF('RAW WCH'!F128="","",'RAW WCH'!F128)</f>
        <v>4</v>
      </c>
      <c r="J1233" s="48" t="str">
        <f aca="false">IF('RAW WCH'!G128="","",'RAW WCH'!G128)</f>
        <v/>
      </c>
      <c r="K1233" s="50" t="str">
        <f aca="false">IF('RAW WCH'!H128="","",'RAW WCH'!H128)</f>
        <v/>
      </c>
      <c r="L1233" s="50" t="str">
        <f aca="false">IF('RAW WCH'!I128="","",'RAW WCH'!I128)</f>
        <v/>
      </c>
      <c r="M1233" s="48" t="str">
        <f aca="false">IF('RAW WCH'!J128="","",'RAW WCH'!J128)</f>
        <v/>
      </c>
    </row>
    <row r="1234" customFormat="false" ht="15" hidden="false" customHeight="false" outlineLevel="0" collapsed="false">
      <c r="A1234" s="1" t="s">
        <v>2378</v>
      </c>
      <c r="B1234" s="1" t="s">
        <v>157</v>
      </c>
      <c r="C1234" s="1" t="s">
        <v>1151</v>
      </c>
      <c r="D1234" s="1" t="n">
        <v>129</v>
      </c>
      <c r="E1234" s="48" t="str">
        <f aca="false">IF('RAW WCH'!C129="","",'RAW WCH'!C129)</f>
        <v>youth pathway</v>
      </c>
      <c r="F1234" s="48" t="str">
        <f aca="false">IF('RAW WCH'!D129="","",'RAW WCH'!D129)</f>
        <v>community building</v>
      </c>
      <c r="G1234" s="49" t="str">
        <f aca="false">IF('RAW WCH'!B129="","",'RAW WCH'!B129)</f>
        <v>December 6, 2025</v>
      </c>
      <c r="H1234" s="48" t="str">
        <f aca="false">IF('RAW WCH'!E129="","",'RAW WCH'!E129)</f>
        <v>Outreach Coordinator</v>
      </c>
      <c r="I1234" s="48" t="n">
        <f aca="false">IF('RAW WCH'!F129="","",'RAW WCH'!F129)</f>
        <v>7</v>
      </c>
      <c r="J1234" s="48" t="n">
        <f aca="false">IF('RAW WCH'!G129="","",'RAW WCH'!G129)</f>
        <v>37</v>
      </c>
      <c r="K1234" s="50" t="n">
        <f aca="false">IF('RAW WCH'!H129="","",'RAW WCH'!H129)</f>
        <v>1515</v>
      </c>
      <c r="L1234" s="50" t="str">
        <f aca="false">IF('RAW WCH'!I129="","",'RAW WCH'!I129)</f>
        <v/>
      </c>
      <c r="M1234" s="48" t="str">
        <f aca="false">IF('RAW WCH'!J129="","",'RAW WCH'!J129)</f>
        <v/>
      </c>
    </row>
    <row r="1235" customFormat="false" ht="15" hidden="false" customHeight="false" outlineLevel="0" collapsed="false">
      <c r="A1235" s="1" t="s">
        <v>2379</v>
      </c>
      <c r="B1235" s="1" t="s">
        <v>157</v>
      </c>
      <c r="C1235" s="1" t="s">
        <v>1151</v>
      </c>
      <c r="D1235" s="1" t="n">
        <v>130</v>
      </c>
      <c r="E1235" s="48" t="str">
        <f aca="false">IF('RAW WCH'!C130="","",'RAW WCH'!C130)</f>
        <v>bp check</v>
      </c>
      <c r="F1235" s="48" t="str">
        <f aca="false">IF('RAW WCH'!D130="","",'RAW WCH'!D130)</f>
        <v>CHIS clinical</v>
      </c>
      <c r="G1235" s="49" t="str">
        <f aca="false">IF('RAW WCH'!B130="","",'RAW WCH'!B130)</f>
        <v>12/8/25</v>
      </c>
      <c r="H1235" s="48" t="str">
        <f aca="false">IF('RAW WCH'!E130="","",'RAW WCH'!E130)</f>
        <v>Charge RN</v>
      </c>
      <c r="I1235" s="48" t="n">
        <f aca="false">IF('RAW WCH'!F130="","",'RAW WCH'!F130)</f>
        <v>3.5</v>
      </c>
      <c r="J1235" s="48" t="n">
        <f aca="false">IF('RAW WCH'!G130="","",'RAW WCH'!G130)</f>
        <v>71</v>
      </c>
      <c r="K1235" s="50" t="n">
        <f aca="false">IF('RAW WCH'!H130="","",'RAW WCH'!H130)</f>
        <v>65</v>
      </c>
      <c r="L1235" s="50" t="str">
        <f aca="false">IF('RAW WCH'!I130="","",'RAW WCH'!I130)</f>
        <v/>
      </c>
      <c r="M1235" s="48" t="str">
        <f aca="false">IF('RAW WCH'!J130="","",'RAW WCH'!J130)</f>
        <v/>
      </c>
    </row>
    <row r="1236" customFormat="false" ht="15" hidden="false" customHeight="false" outlineLevel="0" collapsed="false">
      <c r="A1236" s="1" t="s">
        <v>2380</v>
      </c>
      <c r="B1236" s="1" t="s">
        <v>157</v>
      </c>
      <c r="C1236" s="1" t="s">
        <v>1151</v>
      </c>
      <c r="D1236" s="1" t="n">
        <v>131</v>
      </c>
      <c r="E1236" s="48" t="str">
        <f aca="false">IF('RAW WCH'!C131="","",'RAW WCH'!C131)</f>
        <v>diabetes prevention class</v>
      </c>
      <c r="F1236" s="48" t="str">
        <f aca="false">IF('RAW WCH'!D131="","",'RAW WCH'!D131)</f>
        <v>community health improvement services</v>
      </c>
      <c r="G1236" s="49" t="str">
        <f aca="false">IF('RAW WCH'!B131="","",'RAW WCH'!B131)</f>
        <v>December 20, 2025</v>
      </c>
      <c r="H1236" s="48" t="str">
        <f aca="false">IF('RAW WCH'!E131="","",'RAW WCH'!E131)</f>
        <v>Health Ed</v>
      </c>
      <c r="I1236" s="48" t="n">
        <f aca="false">IF('RAW WCH'!F131="","",'RAW WCH'!F131)</f>
        <v>2.25</v>
      </c>
      <c r="J1236" s="48" t="n">
        <f aca="false">IF('RAW WCH'!G131="","",'RAW WCH'!G131)</f>
        <v>18</v>
      </c>
      <c r="K1236" s="50" t="n">
        <f aca="false">IF('RAW WCH'!H131="","",'RAW WCH'!H131)</f>
        <v>155</v>
      </c>
      <c r="L1236" s="50" t="str">
        <f aca="false">IF('RAW WCH'!I131="","",'RAW WCH'!I131)</f>
        <v/>
      </c>
      <c r="M1236" s="48" t="str">
        <f aca="false">IF('RAW WCH'!J131="","",'RAW WCH'!J131)</f>
        <v/>
      </c>
    </row>
    <row r="1237" customFormat="false" ht="15" hidden="false" customHeight="false" outlineLevel="0" collapsed="false">
      <c r="A1237" s="1" t="s">
        <v>2381</v>
      </c>
      <c r="B1237" s="1" t="s">
        <v>157</v>
      </c>
      <c r="C1237" s="1" t="s">
        <v>1151</v>
      </c>
      <c r="D1237" s="1" t="n">
        <v>132</v>
      </c>
      <c r="E1237" s="48" t="str">
        <f aca="false">IF('RAW WCH'!C132="","",'RAW WCH'!C132)</f>
        <v>diabetes prevention class</v>
      </c>
      <c r="F1237" s="48" t="str">
        <f aca="false">IF('RAW WCH'!D132="","",'RAW WCH'!D132)</f>
        <v>community health improvement services</v>
      </c>
      <c r="G1237" s="49" t="n">
        <f aca="false">IF('RAW WCH'!B132="","",'RAW WCH'!B132)</f>
        <v>46011</v>
      </c>
      <c r="H1237" s="48" t="str">
        <f aca="false">IF('RAW WCH'!E132="","",'RAW WCH'!E132)</f>
        <v>Dietitian</v>
      </c>
      <c r="I1237" s="48" t="n">
        <f aca="false">IF('RAW WCH'!F132="","",'RAW WCH'!F132)</f>
        <v>1.75</v>
      </c>
      <c r="J1237" s="48" t="str">
        <f aca="false">IF('RAW WCH'!G132="","",'RAW WCH'!G132)</f>
        <v/>
      </c>
      <c r="K1237" s="50" t="str">
        <f aca="false">IF('RAW WCH'!H132="","",'RAW WCH'!H132)</f>
        <v/>
      </c>
      <c r="L1237" s="50" t="str">
        <f aca="false">IF('RAW WCH'!I132="","",'RAW WCH'!I132)</f>
        <v/>
      </c>
      <c r="M1237" s="48" t="str">
        <f aca="false">IF('RAW WCH'!J132="","",'RAW WCH'!J132)</f>
        <v/>
      </c>
    </row>
    <row r="1238" customFormat="false" ht="15" hidden="false" customHeight="false" outlineLevel="0" collapsed="false">
      <c r="A1238" s="1" t="s">
        <v>2382</v>
      </c>
      <c r="B1238" s="1" t="s">
        <v>157</v>
      </c>
      <c r="C1238" s="1" t="s">
        <v>1151</v>
      </c>
      <c r="D1238" s="1" t="n">
        <v>133</v>
      </c>
      <c r="E1238" s="48" t="str">
        <f aca="false">IF('RAW WCH'!C133="","",'RAW WCH'!C133)</f>
        <v>health coalition</v>
      </c>
      <c r="F1238" s="48" t="str">
        <f aca="false">IF('RAW WCH'!D133="","",'RAW WCH'!D133)</f>
        <v>community building</v>
      </c>
      <c r="G1238" s="49" t="str">
        <f aca="false">IF('RAW WCH'!B133="","",'RAW WCH'!B133)</f>
        <v>12/23/25</v>
      </c>
      <c r="H1238" s="48" t="str">
        <f aca="false">IF('RAW WCH'!E133="","",'RAW WCH'!E133)</f>
        <v>Manager Community Benefit</v>
      </c>
      <c r="I1238" s="48" t="n">
        <f aca="false">IF('RAW WCH'!F133="","",'RAW WCH'!F133)</f>
        <v>2.25</v>
      </c>
      <c r="J1238" s="48" t="str">
        <f aca="false">IF('RAW WCH'!G133="","",'RAW WCH'!G133)</f>
        <v/>
      </c>
      <c r="K1238" s="50" t="str">
        <f aca="false">IF('RAW WCH'!H133="","",'RAW WCH'!H133)</f>
        <v/>
      </c>
      <c r="L1238" s="50" t="str">
        <f aca="false">IF('RAW WCH'!I133="","",'RAW WCH'!I133)</f>
        <v/>
      </c>
      <c r="M1238" s="48" t="str">
        <f aca="false">IF('RAW WCH'!J133="","",'RAW WCH'!J133)</f>
        <v/>
      </c>
    </row>
    <row r="1239" customFormat="false" ht="15" hidden="false" customHeight="false" outlineLevel="0" collapsed="false">
      <c r="A1239" s="1" t="s">
        <v>2383</v>
      </c>
      <c r="B1239" s="1" t="s">
        <v>157</v>
      </c>
      <c r="C1239" s="1" t="s">
        <v>1151</v>
      </c>
      <c r="D1239" s="1" t="n">
        <v>134</v>
      </c>
      <c r="E1239" s="48" t="str">
        <f aca="false">IF('RAW WCH'!C134="","",'RAW WCH'!C134)</f>
        <v>health coalition</v>
      </c>
      <c r="F1239" s="48" t="str">
        <f aca="false">IF('RAW WCH'!D134="","",'RAW WCH'!D134)</f>
        <v>community building</v>
      </c>
      <c r="G1239" s="49" t="n">
        <f aca="false">IF('RAW WCH'!B134="","",'RAW WCH'!B134)</f>
        <v>46014</v>
      </c>
      <c r="H1239" s="48" t="str">
        <f aca="false">IF('RAW WCH'!E134="","",'RAW WCH'!E134)</f>
        <v>VP</v>
      </c>
      <c r="I1239" s="48" t="str">
        <f aca="false">IF('RAW WCH'!F134="","",'RAW WCH'!F134)</f>
        <v>2.5 hr</v>
      </c>
      <c r="J1239" s="48" t="str">
        <f aca="false">IF('RAW WCH'!G134="","",'RAW WCH'!G134)</f>
        <v/>
      </c>
      <c r="K1239" s="50" t="n">
        <f aca="false">IF('RAW WCH'!H134="","",'RAW WCH'!H134)</f>
        <v>70</v>
      </c>
      <c r="L1239" s="50" t="str">
        <f aca="false">IF('RAW WCH'!I134="","",'RAW WCH'!I134)</f>
        <v/>
      </c>
      <c r="M1239" s="48" t="str">
        <f aca="false">IF('RAW WCH'!J134="","",'RAW WCH'!J134)</f>
        <v/>
      </c>
    </row>
    <row r="1240" customFormat="false" ht="15" hidden="false" customHeight="false" outlineLevel="0" collapsed="false">
      <c r="A1240" s="1" t="s">
        <v>2384</v>
      </c>
      <c r="B1240" s="1" t="s">
        <v>157</v>
      </c>
      <c r="C1240" s="1" t="s">
        <v>1151</v>
      </c>
      <c r="D1240" s="1" t="n">
        <v>135</v>
      </c>
      <c r="E1240" s="48" t="str">
        <f aca="false">IF('RAW WCH'!C135="","",'RAW WCH'!C135)</f>
        <v>mobile van screenings</v>
      </c>
      <c r="F1240" s="48" t="str">
        <f aca="false">IF('RAW WCH'!D135="","",'RAW WCH'!D135)</f>
        <v>CHIS clinical</v>
      </c>
      <c r="G1240" s="49" t="n">
        <f aca="false">IF('RAW WCH'!B135="","",'RAW WCH'!B135)</f>
        <v>46022</v>
      </c>
      <c r="H1240" s="48" t="str">
        <f aca="false">IF('RAW WCH'!E135="","",'RAW WCH'!E135)</f>
        <v>Comm Health Worker</v>
      </c>
      <c r="I1240" s="48" t="n">
        <f aca="false">IF('RAW WCH'!F135="","",'RAW WCH'!F135)</f>
        <v>37.25</v>
      </c>
      <c r="J1240" s="48" t="str">
        <f aca="false">IF('RAW WCH'!G135="","",'RAW WCH'!G135)</f>
        <v/>
      </c>
      <c r="K1240" s="50" t="str">
        <f aca="false">IF('RAW WCH'!H135="","",'RAW WCH'!H135)</f>
        <v/>
      </c>
      <c r="L1240" s="50" t="str">
        <f aca="false">IF('RAW WCH'!I135="","",'RAW WCH'!I135)</f>
        <v/>
      </c>
      <c r="M1240" s="48" t="str">
        <f aca="false">IF('RAW WCH'!J135="","",'RAW WCH'!J135)</f>
        <v/>
      </c>
    </row>
    <row r="1241" customFormat="false" ht="15" hidden="false" customHeight="false" outlineLevel="0" collapsed="false">
      <c r="A1241" s="1" t="s">
        <v>2385</v>
      </c>
      <c r="B1241" s="1" t="s">
        <v>157</v>
      </c>
      <c r="C1241" s="1" t="s">
        <v>1151</v>
      </c>
      <c r="D1241" s="1" t="n">
        <v>136</v>
      </c>
      <c r="E1241" s="48" t="str">
        <f aca="false">IF('RAW WCH'!C136="","",'RAW WCH'!C136)</f>
        <v>mobile van screenings</v>
      </c>
      <c r="F1241" s="48" t="str">
        <f aca="false">IF('RAW WCH'!D136="","",'RAW WCH'!D136)</f>
        <v>CHIS clinical</v>
      </c>
      <c r="G1241" s="49" t="n">
        <f aca="false">IF('RAW WCH'!B136="","",'RAW WCH'!B136)</f>
        <v>46022</v>
      </c>
      <c r="H1241" s="48" t="str">
        <f aca="false">IF('RAW WCH'!E136="","",'RAW WCH'!E136)</f>
        <v>CMA</v>
      </c>
      <c r="I1241" s="48" t="n">
        <f aca="false">IF('RAW WCH'!F136="","",'RAW WCH'!F136)</f>
        <v>63</v>
      </c>
      <c r="J1241" s="48" t="str">
        <f aca="false">IF('RAW WCH'!G136="","",'RAW WCH'!G136)</f>
        <v/>
      </c>
      <c r="K1241" s="50" t="str">
        <f aca="false">IF('RAW WCH'!H136="","",'RAW WCH'!H136)</f>
        <v/>
      </c>
      <c r="L1241" s="50" t="str">
        <f aca="false">IF('RAW WCH'!I136="","",'RAW WCH'!I136)</f>
        <v/>
      </c>
      <c r="M1241" s="48" t="str">
        <f aca="false">IF('RAW WCH'!J136="","",'RAW WCH'!J136)</f>
        <v/>
      </c>
    </row>
    <row r="1242" customFormat="false" ht="15" hidden="false" customHeight="false" outlineLevel="0" collapsed="false">
      <c r="A1242" s="1" t="s">
        <v>2386</v>
      </c>
      <c r="B1242" s="1" t="s">
        <v>157</v>
      </c>
      <c r="C1242" s="1" t="s">
        <v>1151</v>
      </c>
      <c r="D1242" s="1" t="n">
        <v>137</v>
      </c>
      <c r="E1242" s="48" t="str">
        <f aca="false">IF('RAW WCH'!C137="","",'RAW WCH'!C137)</f>
        <v>mobile van screenings</v>
      </c>
      <c r="F1242" s="48" t="str">
        <f aca="false">IF('RAW WCH'!D137="","",'RAW WCH'!D137)</f>
        <v>CHIS clinical</v>
      </c>
      <c r="G1242" s="49" t="str">
        <f aca="false">IF('RAW WCH'!B137="","",'RAW WCH'!B137)</f>
        <v>12/31/25</v>
      </c>
      <c r="H1242" s="48" t="str">
        <f aca="false">IF('RAW WCH'!E137="","",'RAW WCH'!E137)</f>
        <v>Clinical RN</v>
      </c>
      <c r="I1242" s="48" t="n">
        <f aca="false">IF('RAW WCH'!F137="","",'RAW WCH'!F137)</f>
        <v>44.5</v>
      </c>
      <c r="J1242" s="48" t="n">
        <f aca="false">IF('RAW WCH'!G137="","",'RAW WCH'!G137)</f>
        <v>103</v>
      </c>
      <c r="K1242" s="50" t="n">
        <f aca="false">IF('RAW WCH'!H137="","",'RAW WCH'!H137)</f>
        <v>4985</v>
      </c>
      <c r="L1242" s="50" t="str">
        <f aca="false">IF('RAW WCH'!I137="","",'RAW WCH'!I137)</f>
        <v/>
      </c>
      <c r="M1242" s="48" t="str">
        <f aca="false">IF('RAW WCH'!J137="","",'RAW WCH'!J137)</f>
        <v/>
      </c>
    </row>
    <row r="1243" customFormat="false" ht="15" hidden="false" customHeight="false" outlineLevel="0" collapsed="false">
      <c r="A1243" s="1" t="s">
        <v>2387</v>
      </c>
      <c r="B1243" s="1" t="s">
        <v>157</v>
      </c>
      <c r="C1243" s="1" t="s">
        <v>1151</v>
      </c>
      <c r="D1243" s="1" t="n">
        <v>138</v>
      </c>
      <c r="E1243" s="48" t="str">
        <f aca="false">IF('RAW WCH'!C138="","",'RAW WCH'!C138)</f>
        <v>chw outreach</v>
      </c>
      <c r="F1243" s="48" t="str">
        <f aca="false">IF('RAW WCH'!D138="","",'RAW WCH'!D138)</f>
        <v>CHIS support</v>
      </c>
      <c r="G1243" s="49" t="str">
        <f aca="false">IF('RAW WCH'!B138="","",'RAW WCH'!B138)</f>
        <v>12/31/25</v>
      </c>
      <c r="H1243" s="48" t="str">
        <f aca="false">IF('RAW WCH'!E138="","",'RAW WCH'!E138)</f>
        <v>Comm Health Worker</v>
      </c>
      <c r="I1243" s="48" t="n">
        <f aca="false">IF('RAW WCH'!F138="","",'RAW WCH'!F138)</f>
        <v>197.25</v>
      </c>
      <c r="J1243" s="48" t="n">
        <f aca="false">IF('RAW WCH'!G138="","",'RAW WCH'!G138)</f>
        <v>168</v>
      </c>
      <c r="K1243" s="50" t="n">
        <f aca="false">IF('RAW WCH'!H138="","",'RAW WCH'!H138)</f>
        <v>845</v>
      </c>
      <c r="L1243" s="50" t="str">
        <f aca="false">IF('RAW WCH'!I138="","",'RAW WCH'!I138)</f>
        <v/>
      </c>
      <c r="M1243" s="48" t="str">
        <f aca="false">IF('RAW WCH'!J138="","",'RAW WCH'!J138)</f>
        <v/>
      </c>
    </row>
    <row r="1244" customFormat="false" ht="15" hidden="false" customHeight="false" outlineLevel="0" collapsed="false">
      <c r="A1244" s="1" t="s">
        <v>2388</v>
      </c>
      <c r="B1244" s="1" t="s">
        <v>157</v>
      </c>
      <c r="C1244" s="1" t="s">
        <v>1151</v>
      </c>
      <c r="D1244" s="1" t="n">
        <v>139</v>
      </c>
      <c r="E1244" s="48" t="str">
        <f aca="false">IF('RAW WCH'!C139="","",'RAW WCH'!C139)</f>
        <v>chw outreach</v>
      </c>
      <c r="F1244" s="48" t="str">
        <f aca="false">IF('RAW WCH'!D139="","",'RAW WCH'!D139)</f>
        <v>CHIS support</v>
      </c>
      <c r="G1244" s="49" t="n">
        <f aca="false">IF('RAW WCH'!B139="","",'RAW WCH'!B139)</f>
        <v>46022</v>
      </c>
      <c r="H1244" s="48" t="str">
        <f aca="false">IF('RAW WCH'!E139="","",'RAW WCH'!E139)</f>
        <v>NAVIGATOR </v>
      </c>
      <c r="I1244" s="48" t="n">
        <f aca="false">IF('RAW WCH'!F139="","",'RAW WCH'!F139)</f>
        <v>105.75</v>
      </c>
      <c r="J1244" s="48" t="str">
        <f aca="false">IF('RAW WCH'!G139="","",'RAW WCH'!G139)</f>
        <v/>
      </c>
      <c r="K1244" s="50" t="str">
        <f aca="false">IF('RAW WCH'!H139="","",'RAW WCH'!H139)</f>
        <v/>
      </c>
      <c r="L1244" s="50" t="str">
        <f aca="false">IF('RAW WCH'!I139="","",'RAW WCH'!I139)</f>
        <v/>
      </c>
      <c r="M1244" s="48" t="str">
        <f aca="false">IF('RAW WCH'!J139="","",'RAW WCH'!J139)</f>
        <v/>
      </c>
    </row>
    <row r="1245" customFormat="false" ht="15" hidden="false" customHeight="false" outlineLevel="0" collapsed="false">
      <c r="A1245" s="1" t="s">
        <v>2389</v>
      </c>
      <c r="B1245" s="1" t="s">
        <v>157</v>
      </c>
      <c r="C1245" s="1" t="s">
        <v>1151</v>
      </c>
      <c r="D1245" s="1" t="n">
        <v>140</v>
      </c>
      <c r="E1245" s="48" t="str">
        <f aca="false">IF('RAW WCH'!C140="","",'RAW WCH'!C140)</f>
        <v>produce prescription</v>
      </c>
      <c r="F1245" s="48" t="str">
        <f aca="false">IF('RAW WCH'!D140="","",'RAW WCH'!D140)</f>
        <v>CHIS support</v>
      </c>
      <c r="G1245" s="49" t="n">
        <f aca="false">IF('RAW WCH'!B140="","",'RAW WCH'!B140)</f>
        <v>46022</v>
      </c>
      <c r="H1245" s="48" t="str">
        <f aca="false">IF('RAW WCH'!E140="","",'RAW WCH'!E140)</f>
        <v>Comm Health Worker</v>
      </c>
      <c r="I1245" s="48" t="n">
        <f aca="false">IF('RAW WCH'!F140="","",'RAW WCH'!F140)</f>
        <v>30.25</v>
      </c>
      <c r="J1245" s="48" t="str">
        <f aca="false">IF('RAW WCH'!G140="","",'RAW WCH'!G140)</f>
        <v/>
      </c>
      <c r="K1245" s="50" t="str">
        <f aca="false">IF('RAW WCH'!H140="","",'RAW WCH'!H140)</f>
        <v/>
      </c>
      <c r="L1245" s="50" t="str">
        <f aca="false">IF('RAW WCH'!I140="","",'RAW WCH'!I140)</f>
        <v/>
      </c>
      <c r="M1245" s="48" t="str">
        <f aca="false">IF('RAW WCH'!J140="","",'RAW WCH'!J140)</f>
        <v/>
      </c>
    </row>
    <row r="1246" customFormat="false" ht="15" hidden="false" customHeight="false" outlineLevel="0" collapsed="false">
      <c r="A1246" s="1" t="s">
        <v>2390</v>
      </c>
      <c r="B1246" s="1" t="s">
        <v>157</v>
      </c>
      <c r="C1246" s="1" t="s">
        <v>1151</v>
      </c>
      <c r="D1246" s="1" t="n">
        <v>141</v>
      </c>
      <c r="E1246" s="48" t="str">
        <f aca="false">IF('RAW WCH'!C141="","",'RAW WCH'!C141)</f>
        <v>produce prescription</v>
      </c>
      <c r="F1246" s="48" t="str">
        <f aca="false">IF('RAW WCH'!D141="","",'RAW WCH'!D141)</f>
        <v>CHIS support</v>
      </c>
      <c r="G1246" s="49" t="n">
        <f aca="false">IF('RAW WCH'!B141="","",'RAW WCH'!B141)</f>
        <v>46022</v>
      </c>
      <c r="H1246" s="48" t="str">
        <f aca="false">IF('RAW WCH'!E141="","",'RAW WCH'!E141)</f>
        <v>Nutritionist</v>
      </c>
      <c r="I1246" s="48" t="n">
        <f aca="false">IF('RAW WCH'!F141="","",'RAW WCH'!F141)</f>
        <v>20.75</v>
      </c>
      <c r="J1246" s="48" t="n">
        <f aca="false">IF('RAW WCH'!G141="","",'RAW WCH'!G141)</f>
        <v>139</v>
      </c>
      <c r="K1246" s="50" t="n">
        <f aca="false">IF('RAW WCH'!H141="","",'RAW WCH'!H141)</f>
        <v>6370</v>
      </c>
      <c r="L1246" s="50" t="n">
        <f aca="false">IF('RAW WCH'!I141="","",'RAW WCH'!I141)</f>
        <v>3925</v>
      </c>
      <c r="M1246" s="48" t="str">
        <f aca="false">IF('RAW WCH'!J141="","",'RAW WCH'!J141)</f>
        <v/>
      </c>
    </row>
    <row r="1247" customFormat="false" ht="15" hidden="false" customHeight="false" outlineLevel="0" collapsed="false">
      <c r="A1247" s="1" t="s">
        <v>2391</v>
      </c>
      <c r="B1247" s="1" t="s">
        <v>157</v>
      </c>
      <c r="C1247" s="1" t="s">
        <v>1151</v>
      </c>
      <c r="D1247" s="1" t="n">
        <v>142</v>
      </c>
      <c r="E1247" s="48" t="str">
        <f aca="false">IF('RAW WCH'!C142="","",'RAW WCH'!C142)</f>
        <v>cb admin</v>
      </c>
      <c r="F1247" s="48" t="str">
        <f aca="false">IF('RAW WCH'!D142="","",'RAW WCH'!D142)</f>
        <v>cb operations</v>
      </c>
      <c r="G1247" s="49" t="n">
        <f aca="false">IF('RAW WCH'!B142="","",'RAW WCH'!B142)</f>
        <v>46022</v>
      </c>
      <c r="H1247" s="48" t="str">
        <f aca="false">IF('RAW WCH'!E142="","",'RAW WCH'!E142)</f>
        <v>Admin </v>
      </c>
      <c r="I1247" s="48" t="n">
        <f aca="false">IF('RAW WCH'!F142="","",'RAW WCH'!F142)</f>
        <v>21</v>
      </c>
      <c r="J1247" s="48" t="str">
        <f aca="false">IF('RAW WCH'!G142="","",'RAW WCH'!G142)</f>
        <v/>
      </c>
      <c r="K1247" s="50" t="str">
        <f aca="false">IF('RAW WCH'!H142="","",'RAW WCH'!H142)</f>
        <v/>
      </c>
      <c r="L1247" s="50" t="str">
        <f aca="false">IF('RAW WCH'!I142="","",'RAW WCH'!I142)</f>
        <v/>
      </c>
      <c r="M1247" s="48" t="str">
        <f aca="false">IF('RAW WCH'!J142="","",'RAW WCH'!J142)</f>
        <v/>
      </c>
    </row>
    <row r="1248" customFormat="false" ht="15" hidden="false" customHeight="false" outlineLevel="0" collapsed="false">
      <c r="A1248" s="1" t="s">
        <v>2392</v>
      </c>
      <c r="B1248" s="1" t="s">
        <v>157</v>
      </c>
      <c r="C1248" s="1" t="s">
        <v>1151</v>
      </c>
      <c r="D1248" s="1" t="n">
        <v>143</v>
      </c>
      <c r="E1248" s="48" t="str">
        <f aca="false">IF('RAW WCH'!C143="","",'RAW WCH'!C143)</f>
        <v>cb admin</v>
      </c>
      <c r="F1248" s="48" t="str">
        <f aca="false">IF('RAW WCH'!D143="","",'RAW WCH'!D143)</f>
        <v>cb operations</v>
      </c>
      <c r="G1248" s="49" t="n">
        <f aca="false">IF('RAW WCH'!B143="","",'RAW WCH'!B143)</f>
        <v>46022</v>
      </c>
      <c r="H1248" s="48" t="str">
        <f aca="false">IF('RAW WCH'!E143="","",'RAW WCH'!E143)</f>
        <v>Community Health Manager</v>
      </c>
      <c r="I1248" s="48" t="n">
        <f aca="false">IF('RAW WCH'!F143="","",'RAW WCH'!F143)</f>
        <v>55</v>
      </c>
      <c r="J1248" s="48" t="str">
        <f aca="false">IF('RAW WCH'!G143="","",'RAW WCH'!G143)</f>
        <v/>
      </c>
      <c r="K1248" s="50" t="n">
        <f aca="false">IF('RAW WCH'!H143="","",'RAW WCH'!H143)</f>
        <v>505</v>
      </c>
      <c r="L1248" s="50" t="str">
        <f aca="false">IF('RAW WCH'!I143="","",'RAW WCH'!I143)</f>
        <v/>
      </c>
      <c r="M1248" s="48" t="str">
        <f aca="false">IF('RAW WCH'!J143="","",'RAW WCH'!J143)</f>
        <v/>
      </c>
    </row>
    <row r="1249" customFormat="false" ht="15" hidden="false" customHeight="false" outlineLevel="0" collapsed="false">
      <c r="A1249" s="1" t="s">
        <v>2393</v>
      </c>
      <c r="B1249" s="1" t="s">
        <v>157</v>
      </c>
      <c r="C1249" s="1" t="s">
        <v>1151</v>
      </c>
      <c r="D1249" s="1" t="n">
        <v>144</v>
      </c>
      <c r="E1249" s="48" t="str">
        <f aca="false">IF('RAW WCH'!C144="","",'RAW WCH'!C144)</f>
        <v>community paramedic</v>
      </c>
      <c r="F1249" s="48" t="str">
        <f aca="false">IF('RAW WCH'!D144="","",'RAW WCH'!D144)</f>
        <v>CHIS clinical</v>
      </c>
      <c r="G1249" s="49" t="str">
        <f aca="false">IF('RAW WCH'!B144="","",'RAW WCH'!B144)</f>
        <v>12/31/25</v>
      </c>
      <c r="H1249" s="48" t="str">
        <f aca="false">IF('RAW WCH'!E144="","",'RAW WCH'!E144)</f>
        <v>EMS Paramedic</v>
      </c>
      <c r="I1249" s="48" t="n">
        <f aca="false">IF('RAW WCH'!F144="","",'RAW WCH'!F144)</f>
        <v>57.5</v>
      </c>
      <c r="J1249" s="48" t="n">
        <f aca="false">IF('RAW WCH'!G144="","",'RAW WCH'!G144)</f>
        <v>47</v>
      </c>
      <c r="K1249" s="50" t="n">
        <f aca="false">IF('RAW WCH'!H144="","",'RAW WCH'!H144)</f>
        <v>440</v>
      </c>
      <c r="L1249" s="50" t="str">
        <f aca="false">IF('RAW WCH'!I144="","",'RAW WCH'!I144)</f>
        <v/>
      </c>
      <c r="M1249" s="48" t="str">
        <f aca="false">IF('RAW WCH'!J144="","",'RAW WCH'!J144)</f>
        <v/>
      </c>
    </row>
    <row r="1250" customFormat="false" ht="15" hidden="false" customHeight="false" outlineLevel="0" collapsed="false">
      <c r="A1250" s="1" t="s">
        <v>2394</v>
      </c>
      <c r="B1250" s="1" t="s">
        <v>157</v>
      </c>
      <c r="C1250" s="1" t="s">
        <v>1151</v>
      </c>
      <c r="D1250" s="1" t="n">
        <v>145</v>
      </c>
      <c r="E1250" s="48" t="str">
        <f aca="false">IF('RAW WCH'!C145="","",'RAW WCH'!C145)</f>
        <v>nursing students</v>
      </c>
      <c r="F1250" s="48" t="str">
        <f aca="false">IF('RAW WCH'!D145="","",'RAW WCH'!D145)</f>
        <v>health professions ed</v>
      </c>
      <c r="G1250" s="49" t="str">
        <f aca="false">IF('RAW WCH'!B145="","",'RAW WCH'!B145)</f>
        <v>12/31/25</v>
      </c>
      <c r="H1250" s="48" t="str">
        <f aca="false">IF('RAW WCH'!E145="","",'RAW WCH'!E145)</f>
        <v>Nurse Educator</v>
      </c>
      <c r="I1250" s="48" t="n">
        <f aca="false">IF('RAW WCH'!F145="","",'RAW WCH'!F145)</f>
        <v>40.5</v>
      </c>
      <c r="J1250" s="48" t="n">
        <f aca="false">IF('RAW WCH'!G145="","",'RAW WCH'!G145)</f>
        <v>10</v>
      </c>
      <c r="K1250" s="50" t="n">
        <f aca="false">IF('RAW WCH'!H145="","",'RAW WCH'!H145)</f>
        <v>95</v>
      </c>
      <c r="L1250" s="50" t="str">
        <f aca="false">IF('RAW WCH'!I145="","",'RAW WCH'!I145)</f>
        <v/>
      </c>
      <c r="M1250" s="48" t="str">
        <f aca="false">IF('RAW WCH'!J145="","",'RAW WCH'!J145)</f>
        <v/>
      </c>
    </row>
    <row r="1251" customFormat="false" ht="15" hidden="false" customHeight="false" outlineLevel="0" collapsed="false">
      <c r="A1251" s="1" t="s">
        <v>2395</v>
      </c>
      <c r="B1251" s="1" t="s">
        <v>157</v>
      </c>
      <c r="C1251" s="1" t="s">
        <v>1151</v>
      </c>
      <c r="D1251" s="1" t="n">
        <v>146</v>
      </c>
      <c r="E1251" s="48" t="str">
        <f aca="false">IF('RAW WCH'!C146="","",'RAW WCH'!C146)</f>
        <v>nursing students</v>
      </c>
      <c r="F1251" s="48" t="str">
        <f aca="false">IF('RAW WCH'!D146="","",'RAW WCH'!D146)</f>
        <v>health professions ed</v>
      </c>
      <c r="G1251" s="49" t="str">
        <f aca="false">IF('RAW WCH'!B146="","",'RAW WCH'!B146)</f>
        <v>December 31, 2025</v>
      </c>
      <c r="H1251" s="48" t="str">
        <f aca="false">IF('RAW WCH'!E146="","",'RAW WCH'!E146)</f>
        <v>RN III</v>
      </c>
      <c r="I1251" s="48" t="n">
        <f aca="false">IF('RAW WCH'!F146="","",'RAW WCH'!F146)</f>
        <v>45.75</v>
      </c>
      <c r="J1251" s="48" t="str">
        <f aca="false">IF('RAW WCH'!G146="","",'RAW WCH'!G146)</f>
        <v/>
      </c>
      <c r="K1251" s="50" t="str">
        <f aca="false">IF('RAW WCH'!H146="","",'RAW WCH'!H146)</f>
        <v/>
      </c>
      <c r="L1251" s="50" t="str">
        <f aca="false">IF('RAW WCH'!I146="","",'RAW WCH'!I146)</f>
        <v/>
      </c>
      <c r="M1251" s="48" t="str">
        <f aca="false">IF('RAW WCH'!J146="","",'RAW WCH'!J146)</f>
        <v/>
      </c>
    </row>
    <row r="1252" customFormat="false" ht="15" hidden="false" customHeight="false" outlineLevel="0" collapsed="false">
      <c r="A1252" s="1" t="s">
        <v>2396</v>
      </c>
      <c r="B1252" s="1" t="s">
        <v>157</v>
      </c>
      <c r="C1252" s="1" t="s">
        <v>1151</v>
      </c>
      <c r="D1252" s="1" t="n">
        <v>147</v>
      </c>
      <c r="E1252" s="48" t="str">
        <f aca="false">IF('RAW WCH'!C147="","",'RAW WCH'!C147)</f>
        <v>paramedic students</v>
      </c>
      <c r="F1252" s="48" t="str">
        <f aca="false">IF('RAW WCH'!D147="","",'RAW WCH'!D147)</f>
        <v>health professions ed</v>
      </c>
      <c r="G1252" s="49" t="n">
        <f aca="false">IF('RAW WCH'!B147="","",'RAW WCH'!B147)</f>
        <v>46022</v>
      </c>
      <c r="H1252" s="48" t="str">
        <f aca="false">IF('RAW WCH'!E147="","",'RAW WCH'!E147)</f>
        <v>Flight Paramedic</v>
      </c>
      <c r="I1252" s="48" t="n">
        <f aca="false">IF('RAW WCH'!F147="","",'RAW WCH'!F147)</f>
        <v>54</v>
      </c>
      <c r="J1252" s="48" t="n">
        <f aca="false">IF('RAW WCH'!G147="","",'RAW WCH'!G147)</f>
        <v>3</v>
      </c>
      <c r="K1252" s="50" t="n">
        <f aca="false">IF('RAW WCH'!H147="","",'RAW WCH'!H147)</f>
        <v>70</v>
      </c>
      <c r="L1252" s="50" t="str">
        <f aca="false">IF('RAW WCH'!I147="","",'RAW WCH'!I147)</f>
        <v/>
      </c>
      <c r="M1252" s="48" t="str">
        <f aca="false">IF('RAW WCH'!J147="","",'RAW WCH'!J147)</f>
        <v/>
      </c>
    </row>
    <row r="1253" customFormat="false" ht="15" hidden="false" customHeight="false" outlineLevel="0" collapsed="false">
      <c r="A1253" s="1" t="s">
        <v>2397</v>
      </c>
      <c r="B1253" s="1" t="s">
        <v>157</v>
      </c>
      <c r="C1253" s="1" t="s">
        <v>1151</v>
      </c>
      <c r="D1253" s="1" t="n">
        <v>148</v>
      </c>
      <c r="E1253" s="48" t="str">
        <f aca="false">IF('RAW WCH'!C148="","",'RAW WCH'!C148)</f>
        <v>rural maternal study</v>
      </c>
      <c r="F1253" s="48" t="str">
        <f aca="false">IF('RAW WCH'!D148="","",'RAW WCH'!D148)</f>
        <v>research</v>
      </c>
      <c r="G1253" s="49" t="str">
        <f aca="false">IF('RAW WCH'!B148="","",'RAW WCH'!B148)</f>
        <v>12/31/25</v>
      </c>
      <c r="H1253" s="48" t="str">
        <f aca="false">IF('RAW WCH'!E148="","",'RAW WCH'!E148)</f>
        <v>Decision Support Analyst</v>
      </c>
      <c r="I1253" s="48" t="n">
        <f aca="false">IF('RAW WCH'!F148="","",'RAW WCH'!F148)</f>
        <v>11.75</v>
      </c>
      <c r="J1253" s="48" t="str">
        <f aca="false">IF('RAW WCH'!G148="","",'RAW WCH'!G148)</f>
        <v/>
      </c>
      <c r="K1253" s="50" t="str">
        <f aca="false">IF('RAW WCH'!H148="","",'RAW WCH'!H148)</f>
        <v/>
      </c>
      <c r="L1253" s="50" t="str">
        <f aca="false">IF('RAW WCH'!I148="","",'RAW WCH'!I148)</f>
        <v/>
      </c>
      <c r="M1253" s="48" t="str">
        <f aca="false">IF('RAW WCH'!J148="","",'RAW WCH'!J148)</f>
        <v/>
      </c>
    </row>
    <row r="1254" customFormat="false" ht="15" hidden="false" customHeight="false" outlineLevel="0" collapsed="false">
      <c r="A1254" s="1" t="s">
        <v>2398</v>
      </c>
      <c r="B1254" s="1" t="s">
        <v>157</v>
      </c>
      <c r="C1254" s="1" t="s">
        <v>1151</v>
      </c>
      <c r="D1254" s="1" t="n">
        <v>149</v>
      </c>
      <c r="E1254" s="48" t="str">
        <f aca="false">IF('RAW WCH'!C149="","",'RAW WCH'!C149)</f>
        <v>rural maternal study</v>
      </c>
      <c r="F1254" s="48" t="str">
        <f aca="false">IF('RAW WCH'!D149="","",'RAW WCH'!D149)</f>
        <v>research</v>
      </c>
      <c r="G1254" s="49" t="n">
        <f aca="false">IF('RAW WCH'!B149="","",'RAW WCH'!B149)</f>
        <v>46022</v>
      </c>
      <c r="H1254" s="48" t="str">
        <f aca="false">IF('RAW WCH'!E149="","",'RAW WCH'!E149)</f>
        <v>Study Coordinator</v>
      </c>
      <c r="I1254" s="48" t="n">
        <f aca="false">IF('RAW WCH'!F149="","",'RAW WCH'!F149)</f>
        <v>47.75</v>
      </c>
      <c r="J1254" s="48" t="n">
        <f aca="false">IF('RAW WCH'!G149="","",'RAW WCH'!G149)</f>
        <v>7</v>
      </c>
      <c r="K1254" s="50" t="n">
        <f aca="false">IF('RAW WCH'!H149="","",'RAW WCH'!H149)</f>
        <v>1700</v>
      </c>
      <c r="L1254" s="50" t="n">
        <f aca="false">IF('RAW WCH'!I149="","",'RAW WCH'!I149)</f>
        <v>4140</v>
      </c>
      <c r="M1254" s="48" t="str">
        <f aca="false">IF('RAW WCH'!J149="","",'RAW WCH'!J149)</f>
        <v/>
      </c>
    </row>
    <row r="1255" customFormat="false" ht="15" hidden="false" customHeight="false" outlineLevel="0" collapsed="false">
      <c r="A1255" s="1" t="s">
        <v>2399</v>
      </c>
      <c r="B1255" s="1" t="s">
        <v>157</v>
      </c>
      <c r="C1255" s="1" t="s">
        <v>1151</v>
      </c>
      <c r="D1255" s="1" t="n">
        <v>150</v>
      </c>
      <c r="E1255" s="48" t="str">
        <f aca="false">IF('RAW WCH'!C150="","",'RAW WCH'!C150)</f>
        <v>youth pathway</v>
      </c>
      <c r="F1255" s="48" t="str">
        <f aca="false">IF('RAW WCH'!D150="","",'RAW WCH'!D150)</f>
        <v>community building</v>
      </c>
      <c r="G1255" s="49" t="str">
        <f aca="false">IF('RAW WCH'!B150="","",'RAW WCH'!B150)</f>
        <v>1/3/26</v>
      </c>
      <c r="H1255" s="48" t="str">
        <f aca="false">IF('RAW WCH'!E150="","",'RAW WCH'!E150)</f>
        <v>Clin Educator</v>
      </c>
      <c r="I1255" s="48" t="n">
        <f aca="false">IF('RAW WCH'!F150="","",'RAW WCH'!F150)</f>
        <v>4</v>
      </c>
      <c r="J1255" s="48" t="str">
        <f aca="false">IF('RAW WCH'!G150="","",'RAW WCH'!G150)</f>
        <v/>
      </c>
      <c r="K1255" s="50" t="str">
        <f aca="false">IF('RAW WCH'!H150="","",'RAW WCH'!H150)</f>
        <v/>
      </c>
      <c r="L1255" s="50" t="str">
        <f aca="false">IF('RAW WCH'!I150="","",'RAW WCH'!I150)</f>
        <v/>
      </c>
      <c r="M1255" s="48" t="str">
        <f aca="false">IF('RAW WCH'!J150="","",'RAW WCH'!J150)</f>
        <v/>
      </c>
    </row>
    <row r="1256" customFormat="false" ht="15" hidden="false" customHeight="false" outlineLevel="0" collapsed="false">
      <c r="A1256" s="1" t="s">
        <v>2400</v>
      </c>
      <c r="B1256" s="1" t="s">
        <v>157</v>
      </c>
      <c r="C1256" s="1" t="s">
        <v>1151</v>
      </c>
      <c r="D1256" s="1" t="n">
        <v>151</v>
      </c>
      <c r="E1256" s="48" t="str">
        <f aca="false">IF('RAW WCH'!C151="","",'RAW WCH'!C151)</f>
        <v>youth pathway</v>
      </c>
      <c r="F1256" s="48" t="str">
        <f aca="false">IF('RAW WCH'!D151="","",'RAW WCH'!D151)</f>
        <v>community building</v>
      </c>
      <c r="G1256" s="49" t="n">
        <f aca="false">IF('RAW WCH'!B151="","",'RAW WCH'!B151)</f>
        <v>46025</v>
      </c>
      <c r="H1256" s="48" t="str">
        <f aca="false">IF('RAW WCH'!E151="","",'RAW WCH'!E151)</f>
        <v> Residency Coordinator</v>
      </c>
      <c r="I1256" s="48" t="str">
        <f aca="false">IF('RAW WCH'!F151="","",'RAW WCH'!F151)</f>
        <v>6.75 hr</v>
      </c>
      <c r="J1256" s="48" t="n">
        <f aca="false">IF('RAW WCH'!G151="","",'RAW WCH'!G151)</f>
        <v>35</v>
      </c>
      <c r="K1256" s="50" t="n">
        <f aca="false">IF('RAW WCH'!H151="","",'RAW WCH'!H151)</f>
        <v>1030</v>
      </c>
      <c r="L1256" s="50" t="str">
        <f aca="false">IF('RAW WCH'!I151="","",'RAW WCH'!I151)</f>
        <v/>
      </c>
      <c r="M1256" s="48" t="str">
        <f aca="false">IF('RAW WCH'!J151="","",'RAW WCH'!J151)</f>
        <v/>
      </c>
    </row>
    <row r="1257" customFormat="false" ht="15" hidden="false" customHeight="false" outlineLevel="0" collapsed="false">
      <c r="A1257" s="1" t="s">
        <v>2401</v>
      </c>
      <c r="B1257" s="1" t="s">
        <v>157</v>
      </c>
      <c r="C1257" s="1" t="s">
        <v>1151</v>
      </c>
      <c r="D1257" s="1" t="n">
        <v>152</v>
      </c>
      <c r="E1257" s="48" t="str">
        <f aca="false">IF('RAW WCH'!C152="","",'RAW WCH'!C152)</f>
        <v>bp check</v>
      </c>
      <c r="F1257" s="48" t="str">
        <f aca="false">IF('RAW WCH'!D152="","",'RAW WCH'!D152)</f>
        <v>CHIS clinical</v>
      </c>
      <c r="G1257" s="49" t="n">
        <f aca="false">IF('RAW WCH'!B152="","",'RAW WCH'!B152)</f>
        <v>46030</v>
      </c>
      <c r="H1257" s="48" t="str">
        <f aca="false">IF('RAW WCH'!E152="","",'RAW WCH'!E152)</f>
        <v>RN III</v>
      </c>
      <c r="I1257" s="48" t="n">
        <f aca="false">IF('RAW WCH'!F152="","",'RAW WCH'!F152)</f>
        <v>4.5</v>
      </c>
      <c r="J1257" s="48" t="n">
        <f aca="false">IF('RAW WCH'!G152="","",'RAW WCH'!G152)</f>
        <v>55</v>
      </c>
      <c r="K1257" s="50" t="n">
        <f aca="false">IF('RAW WCH'!H152="","",'RAW WCH'!H152)</f>
        <v>55</v>
      </c>
      <c r="L1257" s="50" t="str">
        <f aca="false">IF('RAW WCH'!I152="","",'RAW WCH'!I152)</f>
        <v/>
      </c>
      <c r="M1257" s="48" t="str">
        <f aca="false">IF('RAW WCH'!J152="","",'RAW WCH'!J152)</f>
        <v/>
      </c>
    </row>
    <row r="1258" customFormat="false" ht="15" hidden="false" customHeight="false" outlineLevel="0" collapsed="false">
      <c r="A1258" s="1" t="s">
        <v>2402</v>
      </c>
      <c r="B1258" s="1" t="s">
        <v>157</v>
      </c>
      <c r="C1258" s="1" t="s">
        <v>1151</v>
      </c>
      <c r="D1258" s="1" t="n">
        <v>153</v>
      </c>
      <c r="E1258" s="48" t="str">
        <f aca="false">IF('RAW WCH'!C153="","",'RAW WCH'!C153)</f>
        <v>bp check</v>
      </c>
      <c r="F1258" s="48" t="str">
        <f aca="false">IF('RAW WCH'!D153="","",'RAW WCH'!D153)</f>
        <v>CHIS clinical</v>
      </c>
      <c r="G1258" s="49" t="n">
        <f aca="false">IF('RAW WCH'!B153="","",'RAW WCH'!B153)</f>
        <v>46031</v>
      </c>
      <c r="H1258" s="48" t="str">
        <f aca="false">IF('RAW WCH'!E153="","",'RAW WCH'!E153)</f>
        <v>RN III</v>
      </c>
      <c r="I1258" s="48" t="n">
        <f aca="false">IF('RAW WCH'!F153="","",'RAW WCH'!F153)</f>
        <v>3.5</v>
      </c>
      <c r="J1258" s="48" t="n">
        <f aca="false">IF('RAW WCH'!G153="","",'RAW WCH'!G153)</f>
        <v>41</v>
      </c>
      <c r="K1258" s="50" t="n">
        <f aca="false">IF('RAW WCH'!H153="","",'RAW WCH'!H153)</f>
        <v>90</v>
      </c>
      <c r="L1258" s="50" t="str">
        <f aca="false">IF('RAW WCH'!I153="","",'RAW WCH'!I153)</f>
        <v/>
      </c>
      <c r="M1258" s="48" t="str">
        <f aca="false">IF('RAW WCH'!J153="","",'RAW WCH'!J153)</f>
        <v/>
      </c>
    </row>
    <row r="1259" customFormat="false" ht="15" hidden="false" customHeight="false" outlineLevel="0" collapsed="false">
      <c r="A1259" s="1" t="s">
        <v>2403</v>
      </c>
      <c r="B1259" s="1" t="s">
        <v>157</v>
      </c>
      <c r="C1259" s="1" t="s">
        <v>1151</v>
      </c>
      <c r="D1259" s="1" t="n">
        <v>154</v>
      </c>
      <c r="E1259" s="48" t="str">
        <f aca="false">IF('RAW WCH'!C154="","",'RAW WCH'!C154)</f>
        <v>food bank donation</v>
      </c>
      <c r="F1259" s="48" t="str">
        <f aca="false">IF('RAW WCH'!D154="","",'RAW WCH'!D154)</f>
        <v>cash/in-kind</v>
      </c>
      <c r="G1259" s="49" t="str">
        <f aca="false">IF('RAW WCH'!B154="","",'RAW WCH'!B154)</f>
        <v>1/11/26</v>
      </c>
      <c r="H1259" s="48" t="str">
        <f aca="false">IF('RAW WCH'!E154="","",'RAW WCH'!E154)</f>
        <v>n.a.</v>
      </c>
      <c r="I1259" s="48" t="str">
        <f aca="false">IF('RAW WCH'!F154="","",'RAW WCH'!F154)</f>
        <v/>
      </c>
      <c r="J1259" s="48" t="str">
        <f aca="false">IF('RAW WCH'!G154="","",'RAW WCH'!G154)</f>
        <v/>
      </c>
      <c r="K1259" s="50" t="n">
        <f aca="false">IF('RAW WCH'!H154="","",'RAW WCH'!H154)</f>
        <v>32145</v>
      </c>
      <c r="L1259" s="50" t="str">
        <f aca="false">IF('RAW WCH'!I154="","",'RAW WCH'!I154)</f>
        <v/>
      </c>
      <c r="M1259" s="48" t="str">
        <f aca="false">IF('RAW WCH'!J154="","",'RAW WCH'!J154)</f>
        <v/>
      </c>
    </row>
    <row r="1260" customFormat="false" ht="15" hidden="false" customHeight="false" outlineLevel="0" collapsed="false">
      <c r="A1260" s="1" t="s">
        <v>2404</v>
      </c>
      <c r="B1260" s="1" t="s">
        <v>157</v>
      </c>
      <c r="C1260" s="1" t="s">
        <v>1151</v>
      </c>
      <c r="D1260" s="1" t="n">
        <v>155</v>
      </c>
      <c r="E1260" s="48" t="str">
        <f aca="false">IF('RAW WCH'!C155="","",'RAW WCH'!C155)</f>
        <v>bp check</v>
      </c>
      <c r="F1260" s="48" t="str">
        <f aca="false">IF('RAW WCH'!D155="","",'RAW WCH'!D155)</f>
        <v>CHIS clinical</v>
      </c>
      <c r="G1260" s="49" t="n">
        <f aca="false">IF('RAW WCH'!B155="","",'RAW WCH'!B155)</f>
        <v>46052</v>
      </c>
      <c r="H1260" s="48" t="str">
        <f aca="false">IF('RAW WCH'!E155="","",'RAW WCH'!E155)</f>
        <v>RN</v>
      </c>
      <c r="I1260" s="48" t="n">
        <f aca="false">IF('RAW WCH'!F155="","",'RAW WCH'!F155)</f>
        <v>3.5</v>
      </c>
      <c r="J1260" s="48" t="n">
        <f aca="false">IF('RAW WCH'!G155="","",'RAW WCH'!G155)</f>
        <v>45</v>
      </c>
      <c r="K1260" s="50" t="n">
        <f aca="false">IF('RAW WCH'!H155="","",'RAW WCH'!H155)</f>
        <v>60</v>
      </c>
      <c r="L1260" s="50" t="str">
        <f aca="false">IF('RAW WCH'!I155="","",'RAW WCH'!I155)</f>
        <v/>
      </c>
      <c r="M1260" s="48" t="str">
        <f aca="false">IF('RAW WCH'!J155="","",'RAW WCH'!J155)</f>
        <v/>
      </c>
    </row>
    <row r="1261" customFormat="false" ht="15" hidden="false" customHeight="false" outlineLevel="0" collapsed="false">
      <c r="A1261" s="1" t="s">
        <v>2405</v>
      </c>
      <c r="B1261" s="1" t="s">
        <v>157</v>
      </c>
      <c r="C1261" s="1" t="s">
        <v>1151</v>
      </c>
      <c r="D1261" s="1" t="n">
        <v>156</v>
      </c>
      <c r="E1261" s="48" t="str">
        <f aca="false">IF('RAW WCH'!C156="","",'RAW WCH'!C156)</f>
        <v>mobile van screenings</v>
      </c>
      <c r="F1261" s="48" t="str">
        <f aca="false">IF('RAW WCH'!D156="","",'RAW WCH'!D156)</f>
        <v>CHIS clinical</v>
      </c>
      <c r="G1261" s="49" t="str">
        <f aca="false">IF('RAW WCH'!B156="","",'RAW WCH'!B156)</f>
        <v>1/31/26</v>
      </c>
      <c r="H1261" s="48" t="str">
        <f aca="false">IF('RAW WCH'!E156="","",'RAW WCH'!E156)</f>
        <v>Comm Health Worker</v>
      </c>
      <c r="I1261" s="48" t="n">
        <f aca="false">IF('RAW WCH'!F156="","",'RAW WCH'!F156)</f>
        <v>33.5</v>
      </c>
      <c r="J1261" s="48" t="str">
        <f aca="false">IF('RAW WCH'!G156="","",'RAW WCH'!G156)</f>
        <v/>
      </c>
      <c r="K1261" s="50" t="str">
        <f aca="false">IF('RAW WCH'!H156="","",'RAW WCH'!H156)</f>
        <v/>
      </c>
      <c r="L1261" s="50" t="str">
        <f aca="false">IF('RAW WCH'!I156="","",'RAW WCH'!I156)</f>
        <v/>
      </c>
      <c r="M1261" s="48" t="str">
        <f aca="false">IF('RAW WCH'!J156="","",'RAW WCH'!J156)</f>
        <v/>
      </c>
    </row>
    <row r="1262" customFormat="false" ht="15" hidden="false" customHeight="false" outlineLevel="0" collapsed="false">
      <c r="A1262" s="1" t="s">
        <v>2406</v>
      </c>
      <c r="B1262" s="1" t="s">
        <v>157</v>
      </c>
      <c r="C1262" s="1" t="s">
        <v>1151</v>
      </c>
      <c r="D1262" s="1" t="n">
        <v>157</v>
      </c>
      <c r="E1262" s="48" t="str">
        <f aca="false">IF('RAW WCH'!C157="","",'RAW WCH'!C157)</f>
        <v>mobile van screenings</v>
      </c>
      <c r="F1262" s="48" t="str">
        <f aca="false">IF('RAW WCH'!D157="","",'RAW WCH'!D157)</f>
        <v>CHIS clinical</v>
      </c>
      <c r="G1262" s="49" t="str">
        <f aca="false">IF('RAW WCH'!B157="","",'RAW WCH'!B157)</f>
        <v>1/31/26</v>
      </c>
      <c r="H1262" s="48" t="str">
        <f aca="false">IF('RAW WCH'!E157="","",'RAW WCH'!E157)</f>
        <v>Medical Assistant</v>
      </c>
      <c r="I1262" s="48" t="n">
        <f aca="false">IF('RAW WCH'!F157="","",'RAW WCH'!F157)</f>
        <v>64</v>
      </c>
      <c r="J1262" s="48" t="str">
        <f aca="false">IF('RAW WCH'!G157="","",'RAW WCH'!G157)</f>
        <v/>
      </c>
      <c r="K1262" s="50" t="str">
        <f aca="false">IF('RAW WCH'!H157="","",'RAW WCH'!H157)</f>
        <v/>
      </c>
      <c r="L1262" s="50" t="str">
        <f aca="false">IF('RAW WCH'!I157="","",'RAW WCH'!I157)</f>
        <v/>
      </c>
      <c r="M1262" s="48" t="str">
        <f aca="false">IF('RAW WCH'!J157="","",'RAW WCH'!J157)</f>
        <v/>
      </c>
    </row>
    <row r="1263" customFormat="false" ht="15" hidden="false" customHeight="false" outlineLevel="0" collapsed="false">
      <c r="A1263" s="1" t="s">
        <v>2407</v>
      </c>
      <c r="B1263" s="1" t="s">
        <v>157</v>
      </c>
      <c r="C1263" s="1" t="s">
        <v>1151</v>
      </c>
      <c r="D1263" s="1" t="n">
        <v>158</v>
      </c>
      <c r="E1263" s="48" t="str">
        <f aca="false">IF('RAW WCH'!C158="","",'RAW WCH'!C158)</f>
        <v>mobile van screenings</v>
      </c>
      <c r="F1263" s="48" t="str">
        <f aca="false">IF('RAW WCH'!D158="","",'RAW WCH'!D158)</f>
        <v>CHIS clinical</v>
      </c>
      <c r="G1263" s="49" t="str">
        <f aca="false">IF('RAW WCH'!B158="","",'RAW WCH'!B158)</f>
        <v>1/31/26</v>
      </c>
      <c r="H1263" s="48" t="str">
        <f aca="false">IF('RAW WCH'!E158="","",'RAW WCH'!E158)</f>
        <v>RN II</v>
      </c>
      <c r="I1263" s="48" t="n">
        <f aca="false">IF('RAW WCH'!F158="","",'RAW WCH'!F158)</f>
        <v>47.5</v>
      </c>
      <c r="J1263" s="48" t="n">
        <f aca="false">IF('RAW WCH'!G158="","",'RAW WCH'!G158)</f>
        <v>153</v>
      </c>
      <c r="K1263" s="50" t="n">
        <f aca="false">IF('RAW WCH'!H158="","",'RAW WCH'!H158)</f>
        <v>4970</v>
      </c>
      <c r="L1263" s="50" t="str">
        <f aca="false">IF('RAW WCH'!I158="","",'RAW WCH'!I158)</f>
        <v/>
      </c>
      <c r="M1263" s="48" t="str">
        <f aca="false">IF('RAW WCH'!J158="","",'RAW WCH'!J158)</f>
        <v/>
      </c>
    </row>
    <row r="1264" customFormat="false" ht="15" hidden="false" customHeight="false" outlineLevel="0" collapsed="false">
      <c r="A1264" s="1" t="s">
        <v>2408</v>
      </c>
      <c r="B1264" s="1" t="s">
        <v>157</v>
      </c>
      <c r="C1264" s="1" t="s">
        <v>1151</v>
      </c>
      <c r="D1264" s="1" t="n">
        <v>159</v>
      </c>
      <c r="E1264" s="48" t="str">
        <f aca="false">IF('RAW WCH'!C159="","",'RAW WCH'!C159)</f>
        <v>chw outreach</v>
      </c>
      <c r="F1264" s="48" t="str">
        <f aca="false">IF('RAW WCH'!D159="","",'RAW WCH'!D159)</f>
        <v>CHIS support</v>
      </c>
      <c r="G1264" s="49" t="str">
        <f aca="false">IF('RAW WCH'!B159="","",'RAW WCH'!B159)</f>
        <v>January 31, 2026</v>
      </c>
      <c r="H1264" s="48" t="str">
        <f aca="false">IF('RAW WCH'!E159="","",'RAW WCH'!E159)</f>
        <v>Outreach Worker</v>
      </c>
      <c r="I1264" s="48" t="n">
        <f aca="false">IF('RAW WCH'!F159="","",'RAW WCH'!F159)</f>
        <v>197</v>
      </c>
      <c r="J1264" s="48" t="n">
        <f aca="false">IF('RAW WCH'!G159="","",'RAW WCH'!G159)</f>
        <v>259</v>
      </c>
      <c r="K1264" s="50" t="n">
        <f aca="false">IF('RAW WCH'!H159="","",'RAW WCH'!H159)</f>
        <v>710</v>
      </c>
      <c r="L1264" s="50" t="str">
        <f aca="false">IF('RAW WCH'!I159="","",'RAW WCH'!I159)</f>
        <v/>
      </c>
      <c r="M1264" s="48" t="str">
        <f aca="false">IF('RAW WCH'!J159="","",'RAW WCH'!J159)</f>
        <v/>
      </c>
    </row>
    <row r="1265" customFormat="false" ht="15" hidden="false" customHeight="false" outlineLevel="0" collapsed="false">
      <c r="A1265" s="1" t="s">
        <v>2409</v>
      </c>
      <c r="B1265" s="1" t="s">
        <v>157</v>
      </c>
      <c r="C1265" s="1" t="s">
        <v>1151</v>
      </c>
      <c r="D1265" s="1" t="n">
        <v>160</v>
      </c>
      <c r="E1265" s="48" t="str">
        <f aca="false">IF('RAW WCH'!C160="","",'RAW WCH'!C160)</f>
        <v>chw outreach</v>
      </c>
      <c r="F1265" s="48" t="str">
        <f aca="false">IF('RAW WCH'!D160="","",'RAW WCH'!D160)</f>
        <v>CHIS support</v>
      </c>
      <c r="G1265" s="49" t="n">
        <f aca="false">IF('RAW WCH'!B160="","",'RAW WCH'!B160)</f>
        <v>46053</v>
      </c>
      <c r="H1265" s="48" t="str">
        <f aca="false">IF('RAW WCH'!E160="","",'RAW WCH'!E160)</f>
        <v>Care Navigator</v>
      </c>
      <c r="I1265" s="48" t="n">
        <f aca="false">IF('RAW WCH'!F160="","",'RAW WCH'!F160)</f>
        <v>90.25</v>
      </c>
      <c r="J1265" s="48" t="str">
        <f aca="false">IF('RAW WCH'!G160="","",'RAW WCH'!G160)</f>
        <v/>
      </c>
      <c r="K1265" s="50" t="str">
        <f aca="false">IF('RAW WCH'!H160="","",'RAW WCH'!H160)</f>
        <v/>
      </c>
      <c r="L1265" s="50" t="str">
        <f aca="false">IF('RAW WCH'!I160="","",'RAW WCH'!I160)</f>
        <v/>
      </c>
      <c r="M1265" s="48" t="str">
        <f aca="false">IF('RAW WCH'!J160="","",'RAW WCH'!J160)</f>
        <v/>
      </c>
    </row>
    <row r="1266" customFormat="false" ht="15" hidden="false" customHeight="false" outlineLevel="0" collapsed="false">
      <c r="A1266" s="1" t="s">
        <v>2410</v>
      </c>
      <c r="B1266" s="1" t="s">
        <v>157</v>
      </c>
      <c r="C1266" s="1" t="s">
        <v>1151</v>
      </c>
      <c r="D1266" s="1" t="n">
        <v>161</v>
      </c>
      <c r="E1266" s="48" t="str">
        <f aca="false">IF('RAW WCH'!C161="","",'RAW WCH'!C161)</f>
        <v>produce prescription</v>
      </c>
      <c r="F1266" s="48" t="str">
        <f aca="false">IF('RAW WCH'!D161="","",'RAW WCH'!D161)</f>
        <v>CHIS support</v>
      </c>
      <c r="G1266" s="49" t="n">
        <f aca="false">IF('RAW WCH'!B161="","",'RAW WCH'!B161)</f>
        <v>46053</v>
      </c>
      <c r="H1266" s="48" t="str">
        <f aca="false">IF('RAW WCH'!E161="","",'RAW WCH'!E161)</f>
        <v>Comm Health Worker</v>
      </c>
      <c r="I1266" s="48" t="n">
        <f aca="false">IF('RAW WCH'!F161="","",'RAW WCH'!F161)</f>
        <v>46</v>
      </c>
      <c r="J1266" s="48" t="str">
        <f aca="false">IF('RAW WCH'!G161="","",'RAW WCH'!G161)</f>
        <v/>
      </c>
      <c r="K1266" s="50" t="str">
        <f aca="false">IF('RAW WCH'!H161="","",'RAW WCH'!H161)</f>
        <v/>
      </c>
      <c r="L1266" s="50" t="str">
        <f aca="false">IF('RAW WCH'!I161="","",'RAW WCH'!I161)</f>
        <v/>
      </c>
      <c r="M1266" s="48" t="str">
        <f aca="false">IF('RAW WCH'!J161="","",'RAW WCH'!J161)</f>
        <v/>
      </c>
    </row>
    <row r="1267" customFormat="false" ht="15" hidden="false" customHeight="false" outlineLevel="0" collapsed="false">
      <c r="A1267" s="1" t="s">
        <v>2411</v>
      </c>
      <c r="B1267" s="1" t="s">
        <v>157</v>
      </c>
      <c r="C1267" s="1" t="s">
        <v>1151</v>
      </c>
      <c r="D1267" s="1" t="n">
        <v>162</v>
      </c>
      <c r="E1267" s="48" t="str">
        <f aca="false">IF('RAW WCH'!C162="","",'RAW WCH'!C162)</f>
        <v>produce prescription</v>
      </c>
      <c r="F1267" s="48" t="str">
        <f aca="false">IF('RAW WCH'!D162="","",'RAW WCH'!D162)</f>
        <v>CHIS support</v>
      </c>
      <c r="G1267" s="49" t="n">
        <f aca="false">IF('RAW WCH'!B162="","",'RAW WCH'!B162)</f>
        <v>46053</v>
      </c>
      <c r="H1267" s="48" t="str">
        <f aca="false">IF('RAW WCH'!E162="","",'RAW WCH'!E162)</f>
        <v>Dietitian</v>
      </c>
      <c r="I1267" s="48" t="str">
        <f aca="false">IF('RAW WCH'!F162="","",'RAW WCH'!F162)</f>
        <v/>
      </c>
      <c r="J1267" s="48" t="n">
        <f aca="false">IF('RAW WCH'!G162="","",'RAW WCH'!G162)</f>
        <v>89</v>
      </c>
      <c r="K1267" s="50" t="n">
        <f aca="false">IF('RAW WCH'!H162="","",'RAW WCH'!H162)</f>
        <v>11410</v>
      </c>
      <c r="L1267" s="50" t="n">
        <f aca="false">IF('RAW WCH'!I162="","",'RAW WCH'!I162)</f>
        <v>3095</v>
      </c>
      <c r="M1267" s="48" t="str">
        <f aca="false">IF('RAW WCH'!J162="","",'RAW WCH'!J162)</f>
        <v/>
      </c>
    </row>
    <row r="1268" customFormat="false" ht="15" hidden="false" customHeight="false" outlineLevel="0" collapsed="false">
      <c r="A1268" s="1" t="s">
        <v>2412</v>
      </c>
      <c r="B1268" s="1" t="s">
        <v>157</v>
      </c>
      <c r="C1268" s="1" t="s">
        <v>1151</v>
      </c>
      <c r="D1268" s="1" t="n">
        <v>163</v>
      </c>
      <c r="E1268" s="48" t="str">
        <f aca="false">IF('RAW WCH'!C163="","",'RAW WCH'!C163)</f>
        <v>cb admin</v>
      </c>
      <c r="F1268" s="48" t="str">
        <f aca="false">IF('RAW WCH'!D163="","",'RAW WCH'!D163)</f>
        <v>cb operations</v>
      </c>
      <c r="G1268" s="49" t="n">
        <f aca="false">IF('RAW WCH'!B163="","",'RAW WCH'!B163)</f>
        <v>46053</v>
      </c>
      <c r="H1268" s="48" t="str">
        <f aca="false">IF('RAW WCH'!E163="","",'RAW WCH'!E163)</f>
        <v>Admin</v>
      </c>
      <c r="I1268" s="48" t="n">
        <f aca="false">IF('RAW WCH'!F163="","",'RAW WCH'!F163)</f>
        <v>33.5</v>
      </c>
      <c r="J1268" s="48" t="str">
        <f aca="false">IF('RAW WCH'!G163="","",'RAW WCH'!G163)</f>
        <v/>
      </c>
      <c r="K1268" s="50" t="str">
        <f aca="false">IF('RAW WCH'!H163="","",'RAW WCH'!H163)</f>
        <v/>
      </c>
      <c r="L1268" s="50" t="str">
        <f aca="false">IF('RAW WCH'!I163="","",'RAW WCH'!I163)</f>
        <v/>
      </c>
      <c r="M1268" s="48" t="str">
        <f aca="false">IF('RAW WCH'!J163="","",'RAW WCH'!J163)</f>
        <v/>
      </c>
    </row>
    <row r="1269" customFormat="false" ht="15" hidden="false" customHeight="false" outlineLevel="0" collapsed="false">
      <c r="A1269" s="1" t="s">
        <v>2413</v>
      </c>
      <c r="B1269" s="1" t="s">
        <v>157</v>
      </c>
      <c r="C1269" s="1" t="s">
        <v>1151</v>
      </c>
      <c r="D1269" s="1" t="n">
        <v>164</v>
      </c>
      <c r="E1269" s="48" t="str">
        <f aca="false">IF('RAW WCH'!C164="","",'RAW WCH'!C164)</f>
        <v>cb admin</v>
      </c>
      <c r="F1269" s="48" t="str">
        <f aca="false">IF('RAW WCH'!D164="","",'RAW WCH'!D164)</f>
        <v>cb operations</v>
      </c>
      <c r="G1269" s="49" t="n">
        <f aca="false">IF('RAW WCH'!B164="","",'RAW WCH'!B164)</f>
        <v>46053</v>
      </c>
      <c r="H1269" s="48" t="str">
        <f aca="false">IF('RAW WCH'!E164="","",'RAW WCH'!E164)</f>
        <v>CB Manager</v>
      </c>
      <c r="I1269" s="48" t="n">
        <f aca="false">IF('RAW WCH'!F164="","",'RAW WCH'!F164)</f>
        <v>41.75</v>
      </c>
      <c r="J1269" s="48" t="str">
        <f aca="false">IF('RAW WCH'!G164="","",'RAW WCH'!G164)</f>
        <v/>
      </c>
      <c r="K1269" s="50" t="n">
        <f aca="false">IF('RAW WCH'!H164="","",'RAW WCH'!H164)</f>
        <v>210</v>
      </c>
      <c r="L1269" s="50" t="str">
        <f aca="false">IF('RAW WCH'!I164="","",'RAW WCH'!I164)</f>
        <v/>
      </c>
      <c r="M1269" s="48" t="str">
        <f aca="false">IF('RAW WCH'!J164="","",'RAW WCH'!J164)</f>
        <v/>
      </c>
    </row>
    <row r="1270" customFormat="false" ht="15" hidden="false" customHeight="false" outlineLevel="0" collapsed="false">
      <c r="A1270" s="1" t="s">
        <v>2414</v>
      </c>
      <c r="B1270" s="1" t="s">
        <v>157</v>
      </c>
      <c r="C1270" s="1" t="s">
        <v>1151</v>
      </c>
      <c r="D1270" s="1" t="n">
        <v>165</v>
      </c>
      <c r="E1270" s="48" t="str">
        <f aca="false">IF('RAW WCH'!C165="","",'RAW WCH'!C165)</f>
        <v>narcan training</v>
      </c>
      <c r="F1270" s="48" t="str">
        <f aca="false">IF('RAW WCH'!D165="","",'RAW WCH'!D165)</f>
        <v>community health improvement services</v>
      </c>
      <c r="G1270" s="49" t="str">
        <f aca="false">IF('RAW WCH'!B165="","",'RAW WCH'!B165)</f>
        <v>1/31/26</v>
      </c>
      <c r="H1270" s="48" t="str">
        <f aca="false">IF('RAW WCH'!E165="","",'RAW WCH'!E165)</f>
        <v>Hlth Educator</v>
      </c>
      <c r="I1270" s="48" t="n">
        <f aca="false">IF('RAW WCH'!F165="","",'RAW WCH'!F165)</f>
        <v>2.5</v>
      </c>
      <c r="J1270" s="48" t="str">
        <f aca="false">IF('RAW WCH'!G165="","",'RAW WCH'!G165)</f>
        <v/>
      </c>
      <c r="K1270" s="50" t="str">
        <f aca="false">IF('RAW WCH'!H165="","",'RAW WCH'!H165)</f>
        <v/>
      </c>
      <c r="L1270" s="50" t="str">
        <f aca="false">IF('RAW WCH'!I165="","",'RAW WCH'!I165)</f>
        <v/>
      </c>
      <c r="M1270" s="48" t="str">
        <f aca="false">IF('RAW WCH'!J165="","",'RAW WCH'!J165)</f>
        <v/>
      </c>
    </row>
    <row r="1271" customFormat="false" ht="15" hidden="false" customHeight="false" outlineLevel="0" collapsed="false">
      <c r="A1271" s="1" t="s">
        <v>2415</v>
      </c>
      <c r="B1271" s="1" t="s">
        <v>157</v>
      </c>
      <c r="C1271" s="1" t="s">
        <v>1151</v>
      </c>
      <c r="D1271" s="1" t="n">
        <v>166</v>
      </c>
      <c r="E1271" s="48" t="str">
        <f aca="false">IF('RAW WCH'!C166="","",'RAW WCH'!C166)</f>
        <v>narcan training</v>
      </c>
      <c r="F1271" s="48" t="str">
        <f aca="false">IF('RAW WCH'!D166="","",'RAW WCH'!D166)</f>
        <v>community health improvement services</v>
      </c>
      <c r="G1271" s="49" t="str">
        <f aca="false">IF('RAW WCH'!B166="","",'RAW WCH'!B166)</f>
        <v>1/31/26</v>
      </c>
      <c r="H1271" s="48" t="str">
        <f aca="false">IF('RAW WCH'!E166="","",'RAW WCH'!E166)</f>
        <v>Pharm.D.</v>
      </c>
      <c r="I1271" s="48" t="n">
        <f aca="false">IF('RAW WCH'!F166="","",'RAW WCH'!F166)</f>
        <v>2.5</v>
      </c>
      <c r="J1271" s="48" t="n">
        <f aca="false">IF('RAW WCH'!G166="","",'RAW WCH'!G166)</f>
        <v>19</v>
      </c>
      <c r="K1271" s="50" t="n">
        <f aca="false">IF('RAW WCH'!H166="","",'RAW WCH'!H166)</f>
        <v>1360</v>
      </c>
      <c r="L1271" s="50" t="n">
        <f aca="false">IF('RAW WCH'!I166="","",'RAW WCH'!I166)</f>
        <v>655</v>
      </c>
      <c r="M1271" s="48" t="str">
        <f aca="false">IF('RAW WCH'!J166="","",'RAW WCH'!J166)</f>
        <v/>
      </c>
    </row>
    <row r="1272" customFormat="false" ht="15" hidden="false" customHeight="false" outlineLevel="0" collapsed="false">
      <c r="A1272" s="1" t="s">
        <v>2416</v>
      </c>
      <c r="B1272" s="1" t="s">
        <v>157</v>
      </c>
      <c r="C1272" s="1" t="s">
        <v>1151</v>
      </c>
      <c r="D1272" s="1" t="n">
        <v>167</v>
      </c>
      <c r="E1272" s="48" t="str">
        <f aca="false">IF('RAW WCH'!C167="","",'RAW WCH'!C167)</f>
        <v>community paramedic</v>
      </c>
      <c r="F1272" s="48" t="str">
        <f aca="false">IF('RAW WCH'!D167="","",'RAW WCH'!D167)</f>
        <v>CHIS clinical</v>
      </c>
      <c r="G1272" s="49" t="str">
        <f aca="false">IF('RAW WCH'!B167="","",'RAW WCH'!B167)</f>
        <v>1/31/26</v>
      </c>
      <c r="H1272" s="48" t="str">
        <f aca="false">IF('RAW WCH'!E167="","",'RAW WCH'!E167)</f>
        <v>Flight Paramedic</v>
      </c>
      <c r="I1272" s="48" t="str">
        <f aca="false">IF('RAW WCH'!F167="","",'RAW WCH'!F167)</f>
        <v>53.25 hr</v>
      </c>
      <c r="J1272" s="48" t="n">
        <f aca="false">IF('RAW WCH'!G167="","",'RAW WCH'!G167)</f>
        <v>37</v>
      </c>
      <c r="K1272" s="50" t="n">
        <f aca="false">IF('RAW WCH'!H167="","",'RAW WCH'!H167)</f>
        <v>505</v>
      </c>
      <c r="L1272" s="50" t="str">
        <f aca="false">IF('RAW WCH'!I167="","",'RAW WCH'!I167)</f>
        <v/>
      </c>
      <c r="M1272" s="48" t="str">
        <f aca="false">IF('RAW WCH'!J167="","",'RAW WCH'!J167)</f>
        <v/>
      </c>
    </row>
    <row r="1273" customFormat="false" ht="15" hidden="false" customHeight="false" outlineLevel="0" collapsed="false">
      <c r="A1273" s="1" t="s">
        <v>2417</v>
      </c>
      <c r="B1273" s="1" t="s">
        <v>157</v>
      </c>
      <c r="C1273" s="1" t="s">
        <v>1151</v>
      </c>
      <c r="D1273" s="1" t="n">
        <v>168</v>
      </c>
      <c r="E1273" s="48" t="str">
        <f aca="false">IF('RAW WCH'!C168="","",'RAW WCH'!C168)</f>
        <v>nursing students</v>
      </c>
      <c r="F1273" s="48" t="str">
        <f aca="false">IF('RAW WCH'!D168="","",'RAW WCH'!D168)</f>
        <v>health professions ed</v>
      </c>
      <c r="G1273" s="49" t="n">
        <f aca="false">IF('RAW WCH'!B168="","",'RAW WCH'!B168)</f>
        <v>46053</v>
      </c>
      <c r="H1273" s="48" t="str">
        <f aca="false">IF('RAW WCH'!E168="","",'RAW WCH'!E168)</f>
        <v>Preceptor RN</v>
      </c>
      <c r="I1273" s="48" t="n">
        <f aca="false">IF('RAW WCH'!F168="","",'RAW WCH'!F168)</f>
        <v>89.75</v>
      </c>
      <c r="J1273" s="48" t="n">
        <f aca="false">IF('RAW WCH'!G168="","",'RAW WCH'!G168)</f>
        <v>31</v>
      </c>
      <c r="K1273" s="50" t="n">
        <f aca="false">IF('RAW WCH'!H168="","",'RAW WCH'!H168)</f>
        <v>240</v>
      </c>
      <c r="L1273" s="50" t="str">
        <f aca="false">IF('RAW WCH'!I168="","",'RAW WCH'!I168)</f>
        <v/>
      </c>
      <c r="M1273" s="48" t="str">
        <f aca="false">IF('RAW WCH'!J168="","",'RAW WCH'!J168)</f>
        <v/>
      </c>
    </row>
    <row r="1274" customFormat="false" ht="15" hidden="false" customHeight="false" outlineLevel="0" collapsed="false">
      <c r="A1274" s="1" t="s">
        <v>2418</v>
      </c>
      <c r="B1274" s="1" t="s">
        <v>157</v>
      </c>
      <c r="C1274" s="1" t="s">
        <v>1151</v>
      </c>
      <c r="D1274" s="1" t="n">
        <v>169</v>
      </c>
      <c r="E1274" s="48" t="str">
        <f aca="false">IF('RAW WCH'!C169="","",'RAW WCH'!C169)</f>
        <v>nursing students</v>
      </c>
      <c r="F1274" s="48" t="str">
        <f aca="false">IF('RAW WCH'!D169="","",'RAW WCH'!D169)</f>
        <v>health professions ed</v>
      </c>
      <c r="G1274" s="49" t="n">
        <f aca="false">IF('RAW WCH'!B169="","",'RAW WCH'!B169)</f>
        <v>46053</v>
      </c>
      <c r="H1274" s="48" t="str">
        <f aca="false">IF('RAW WCH'!E169="","",'RAW WCH'!E169)</f>
        <v> Charge RN</v>
      </c>
      <c r="I1274" s="48" t="n">
        <f aca="false">IF('RAW WCH'!F169="","",'RAW WCH'!F169)</f>
        <v>179</v>
      </c>
      <c r="J1274" s="48" t="str">
        <f aca="false">IF('RAW WCH'!G169="","",'RAW WCH'!G169)</f>
        <v/>
      </c>
      <c r="K1274" s="50" t="str">
        <f aca="false">IF('RAW WCH'!H169="","",'RAW WCH'!H169)</f>
        <v/>
      </c>
      <c r="L1274" s="50" t="str">
        <f aca="false">IF('RAW WCH'!I169="","",'RAW WCH'!I169)</f>
        <v/>
      </c>
      <c r="M1274" s="48" t="str">
        <f aca="false">IF('RAW WCH'!J169="","",'RAW WCH'!J169)</f>
        <v/>
      </c>
    </row>
    <row r="1275" customFormat="false" ht="15" hidden="false" customHeight="false" outlineLevel="0" collapsed="false">
      <c r="A1275" s="1" t="s">
        <v>2419</v>
      </c>
      <c r="B1275" s="1" t="s">
        <v>157</v>
      </c>
      <c r="C1275" s="1" t="s">
        <v>1151</v>
      </c>
      <c r="D1275" s="1" t="n">
        <v>170</v>
      </c>
      <c r="E1275" s="48" t="str">
        <f aca="false">IF('RAW WCH'!C170="","",'RAW WCH'!C170)</f>
        <v>paramedic students</v>
      </c>
      <c r="F1275" s="48" t="str">
        <f aca="false">IF('RAW WCH'!D170="","",'RAW WCH'!D170)</f>
        <v>health professions ed</v>
      </c>
      <c r="G1275" s="49" t="n">
        <f aca="false">IF('RAW WCH'!B170="","",'RAW WCH'!B170)</f>
        <v>46053</v>
      </c>
      <c r="H1275" s="48" t="str">
        <f aca="false">IF('RAW WCH'!E170="","",'RAW WCH'!E170)</f>
        <v>Flight Paramedic</v>
      </c>
      <c r="I1275" s="48" t="n">
        <f aca="false">IF('RAW WCH'!F170="","",'RAW WCH'!F170)</f>
        <v>59</v>
      </c>
      <c r="J1275" s="48" t="n">
        <f aca="false">IF('RAW WCH'!G170="","",'RAW WCH'!G170)</f>
        <v>3</v>
      </c>
      <c r="K1275" s="50" t="n">
        <f aca="false">IF('RAW WCH'!H170="","",'RAW WCH'!H170)</f>
        <v>85</v>
      </c>
      <c r="L1275" s="50" t="str">
        <f aca="false">IF('RAW WCH'!I170="","",'RAW WCH'!I170)</f>
        <v/>
      </c>
      <c r="M1275" s="48" t="str">
        <f aca="false">IF('RAW WCH'!J170="","",'RAW WCH'!J170)</f>
        <v/>
      </c>
    </row>
    <row r="1276" customFormat="false" ht="15" hidden="false" customHeight="false" outlineLevel="0" collapsed="false">
      <c r="A1276" s="1" t="s">
        <v>2420</v>
      </c>
      <c r="B1276" s="1" t="s">
        <v>157</v>
      </c>
      <c r="C1276" s="1" t="s">
        <v>1151</v>
      </c>
      <c r="D1276" s="1" t="n">
        <v>171</v>
      </c>
      <c r="E1276" s="48" t="str">
        <f aca="false">IF('RAW WCH'!C171="","",'RAW WCH'!C171)</f>
        <v>rural maternal study</v>
      </c>
      <c r="F1276" s="48" t="str">
        <f aca="false">IF('RAW WCH'!D171="","",'RAW WCH'!D171)</f>
        <v>research</v>
      </c>
      <c r="G1276" s="49" t="str">
        <f aca="false">IF('RAW WCH'!B171="","",'RAW WCH'!B171)</f>
        <v>January 31, 2026</v>
      </c>
      <c r="H1276" s="48" t="str">
        <f aca="false">IF('RAW WCH'!E171="","",'RAW WCH'!E171)</f>
        <v>Decision Support Analyst</v>
      </c>
      <c r="I1276" s="48" t="n">
        <f aca="false">IF('RAW WCH'!F171="","",'RAW WCH'!F171)</f>
        <v>12.75</v>
      </c>
      <c r="J1276" s="48" t="str">
        <f aca="false">IF('RAW WCH'!G171="","",'RAW WCH'!G171)</f>
        <v/>
      </c>
      <c r="K1276" s="50" t="str">
        <f aca="false">IF('RAW WCH'!H171="","",'RAW WCH'!H171)</f>
        <v/>
      </c>
      <c r="L1276" s="50" t="str">
        <f aca="false">IF('RAW WCH'!I171="","",'RAW WCH'!I171)</f>
        <v/>
      </c>
      <c r="M1276" s="48" t="str">
        <f aca="false">IF('RAW WCH'!J171="","",'RAW WCH'!J171)</f>
        <v/>
      </c>
    </row>
    <row r="1277" customFormat="false" ht="15" hidden="false" customHeight="false" outlineLevel="0" collapsed="false">
      <c r="A1277" s="1" t="s">
        <v>2421</v>
      </c>
      <c r="B1277" s="1" t="s">
        <v>157</v>
      </c>
      <c r="C1277" s="1" t="s">
        <v>1151</v>
      </c>
      <c r="D1277" s="1" t="n">
        <v>172</v>
      </c>
      <c r="E1277" s="48" t="str">
        <f aca="false">IF('RAW WCH'!C172="","",'RAW WCH'!C172)</f>
        <v>rural maternal study</v>
      </c>
      <c r="F1277" s="48" t="str">
        <f aca="false">IF('RAW WCH'!D172="","",'RAW WCH'!D172)</f>
        <v>research</v>
      </c>
      <c r="G1277" s="49" t="n">
        <f aca="false">IF('RAW WCH'!B172="","",'RAW WCH'!B172)</f>
        <v>46053</v>
      </c>
      <c r="H1277" s="48" t="str">
        <f aca="false">IF('RAW WCH'!E172="","",'RAW WCH'!E172)</f>
        <v>research nurse</v>
      </c>
      <c r="I1277" s="48" t="n">
        <f aca="false">IF('RAW WCH'!F172="","",'RAW WCH'!F172)</f>
        <v>54</v>
      </c>
      <c r="J1277" s="48" t="n">
        <f aca="false">IF('RAW WCH'!G172="","",'RAW WCH'!G172)</f>
        <v>9</v>
      </c>
      <c r="K1277" s="50" t="n">
        <f aca="false">IF('RAW WCH'!H172="","",'RAW WCH'!H172)</f>
        <v>1645</v>
      </c>
      <c r="L1277" s="50" t="n">
        <f aca="false">IF('RAW WCH'!I172="","",'RAW WCH'!I172)</f>
        <v>4450</v>
      </c>
      <c r="M1277" s="48" t="str">
        <f aca="false">IF('RAW WCH'!J172="","",'RAW WCH'!J172)</f>
        <v/>
      </c>
    </row>
    <row r="1278" customFormat="false" ht="15" hidden="false" customHeight="false" outlineLevel="0" collapsed="false">
      <c r="A1278" s="1" t="s">
        <v>2422</v>
      </c>
      <c r="B1278" s="1" t="s">
        <v>157</v>
      </c>
      <c r="C1278" s="1" t="s">
        <v>1151</v>
      </c>
      <c r="D1278" s="1" t="n">
        <v>173</v>
      </c>
      <c r="E1278" s="48" t="str">
        <f aca="false">IF('RAW WCH'!C173="","",'RAW WCH'!C173)</f>
        <v>narcan training</v>
      </c>
      <c r="F1278" s="48" t="str">
        <f aca="false">IF('RAW WCH'!D173="","",'RAW WCH'!D173)</f>
        <v>community health improvement services</v>
      </c>
      <c r="G1278" s="49" t="str">
        <f aca="false">IF('RAW WCH'!B173="","",'RAW WCH'!B173)</f>
        <v>2/14/26</v>
      </c>
      <c r="H1278" s="48" t="str">
        <f aca="false">IF('RAW WCH'!E173="","",'RAW WCH'!E173)</f>
        <v>Health Ed</v>
      </c>
      <c r="I1278" s="48" t="n">
        <f aca="false">IF('RAW WCH'!F173="","",'RAW WCH'!F173)</f>
        <v>2.25</v>
      </c>
      <c r="J1278" s="48" t="str">
        <f aca="false">IF('RAW WCH'!G173="","",'RAW WCH'!G173)</f>
        <v/>
      </c>
      <c r="K1278" s="50" t="str">
        <f aca="false">IF('RAW WCH'!H173="","",'RAW WCH'!H173)</f>
        <v/>
      </c>
      <c r="L1278" s="50" t="str">
        <f aca="false">IF('RAW WCH'!I173="","",'RAW WCH'!I173)</f>
        <v/>
      </c>
      <c r="M1278" s="48" t="str">
        <f aca="false">IF('RAW WCH'!J173="","",'RAW WCH'!J173)</f>
        <v/>
      </c>
    </row>
    <row r="1279" customFormat="false" ht="15" hidden="false" customHeight="false" outlineLevel="0" collapsed="false">
      <c r="A1279" s="1" t="s">
        <v>2423</v>
      </c>
      <c r="B1279" s="1" t="s">
        <v>157</v>
      </c>
      <c r="C1279" s="1" t="s">
        <v>1151</v>
      </c>
      <c r="D1279" s="1" t="n">
        <v>174</v>
      </c>
      <c r="E1279" s="48" t="str">
        <f aca="false">IF('RAW WCH'!C174="","",'RAW WCH'!C174)</f>
        <v>narcan training</v>
      </c>
      <c r="F1279" s="48" t="str">
        <f aca="false">IF('RAW WCH'!D174="","",'RAW WCH'!D174)</f>
        <v>community health improvement services</v>
      </c>
      <c r="G1279" s="49" t="str">
        <f aca="false">IF('RAW WCH'!B174="","",'RAW WCH'!B174)</f>
        <v>2/14/26</v>
      </c>
      <c r="H1279" s="48" t="str">
        <f aca="false">IF('RAW WCH'!E174="","",'RAW WCH'!E174)</f>
        <v>Health Ed</v>
      </c>
      <c r="I1279" s="48" t="n">
        <f aca="false">IF('RAW WCH'!F174="","",'RAW WCH'!F174)</f>
        <v>2.5</v>
      </c>
      <c r="J1279" s="48" t="str">
        <f aca="false">IF('RAW WCH'!G174="","",'RAW WCH'!G174)</f>
        <v/>
      </c>
      <c r="K1279" s="50" t="str">
        <f aca="false">IF('RAW WCH'!H174="","",'RAW WCH'!H174)</f>
        <v/>
      </c>
      <c r="L1279" s="50" t="str">
        <f aca="false">IF('RAW WCH'!I174="","",'RAW WCH'!I174)</f>
        <v/>
      </c>
      <c r="M1279" s="48" t="str">
        <f aca="false">IF('RAW WCH'!J174="","",'RAW WCH'!J174)</f>
        <v/>
      </c>
    </row>
    <row r="1280" customFormat="false" ht="15" hidden="false" customHeight="false" outlineLevel="0" collapsed="false">
      <c r="A1280" s="1" t="s">
        <v>2424</v>
      </c>
      <c r="B1280" s="1" t="s">
        <v>157</v>
      </c>
      <c r="C1280" s="1" t="s">
        <v>1151</v>
      </c>
      <c r="D1280" s="1" t="n">
        <v>175</v>
      </c>
      <c r="E1280" s="48" t="str">
        <f aca="false">IF('RAW WCH'!C175="","",'RAW WCH'!C175)</f>
        <v>narcan training</v>
      </c>
      <c r="F1280" s="48" t="str">
        <f aca="false">IF('RAW WCH'!D175="","",'RAW WCH'!D175)</f>
        <v>community health improvement services</v>
      </c>
      <c r="G1280" s="49" t="n">
        <f aca="false">IF('RAW WCH'!B175="","",'RAW WCH'!B175)</f>
        <v>46067</v>
      </c>
      <c r="H1280" s="48" t="str">
        <f aca="false">IF('RAW WCH'!E175="","",'RAW WCH'!E175)</f>
        <v>RPh</v>
      </c>
      <c r="I1280" s="48" t="n">
        <f aca="false">IF('RAW WCH'!F175="","",'RAW WCH'!F175)</f>
        <v>3</v>
      </c>
      <c r="J1280" s="48" t="n">
        <f aca="false">IF('RAW WCH'!G175="","",'RAW WCH'!G175)</f>
        <v>32</v>
      </c>
      <c r="K1280" s="50" t="n">
        <f aca="false">IF('RAW WCH'!H175="","",'RAW WCH'!H175)</f>
        <v>1980</v>
      </c>
      <c r="L1280" s="50" t="n">
        <f aca="false">IF('RAW WCH'!I175="","",'RAW WCH'!I175)</f>
        <v>1565</v>
      </c>
      <c r="M1280" s="48" t="str">
        <f aca="false">IF('RAW WCH'!J175="","",'RAW WCH'!J175)</f>
        <v/>
      </c>
    </row>
    <row r="1281" customFormat="false" ht="15" hidden="false" customHeight="false" outlineLevel="0" collapsed="false">
      <c r="A1281" s="1" t="s">
        <v>2425</v>
      </c>
      <c r="B1281" s="1" t="s">
        <v>157</v>
      </c>
      <c r="C1281" s="1" t="s">
        <v>1151</v>
      </c>
      <c r="D1281" s="1" t="n">
        <v>176</v>
      </c>
      <c r="E1281" s="48" t="str">
        <f aca="false">IF('RAW WCH'!C176="","",'RAW WCH'!C176)</f>
        <v>narcan training</v>
      </c>
      <c r="F1281" s="48" t="str">
        <f aca="false">IF('RAW WCH'!D176="","",'RAW WCH'!D176)</f>
        <v>community health improvement services</v>
      </c>
      <c r="G1281" s="49" t="str">
        <f aca="false">IF('RAW WCH'!B176="","",'RAW WCH'!B176)</f>
        <v>2/14/26</v>
      </c>
      <c r="H1281" s="48" t="str">
        <f aca="false">IF('RAW WCH'!E176="","",'RAW WCH'!E176)</f>
        <v>Clinical Pharmacist</v>
      </c>
      <c r="I1281" s="48" t="n">
        <f aca="false">IF('RAW WCH'!F176="","",'RAW WCH'!F176)</f>
        <v>2.75</v>
      </c>
      <c r="J1281" s="48" t="n">
        <f aca="false">IF('RAW WCH'!G176="","",'RAW WCH'!G176)</f>
        <v>24</v>
      </c>
      <c r="K1281" s="50" t="n">
        <f aca="false">IF('RAW WCH'!H176="","",'RAW WCH'!H176)</f>
        <v>1175</v>
      </c>
      <c r="L1281" s="50" t="n">
        <f aca="false">IF('RAW WCH'!I176="","",'RAW WCH'!I176)</f>
        <v>1505</v>
      </c>
      <c r="M1281" s="48" t="str">
        <f aca="false">IF('RAW WCH'!J176="","",'RAW WCH'!J176)</f>
        <v/>
      </c>
    </row>
    <row r="1282" customFormat="false" ht="15" hidden="false" customHeight="false" outlineLevel="0" collapsed="false">
      <c r="A1282" s="1" t="s">
        <v>2426</v>
      </c>
      <c r="B1282" s="1" t="s">
        <v>157</v>
      </c>
      <c r="C1282" s="1" t="s">
        <v>1151</v>
      </c>
      <c r="D1282" s="1" t="n">
        <v>177</v>
      </c>
      <c r="E1282" s="48" t="str">
        <f aca="false">IF('RAW WCH'!C177="","",'RAW WCH'!C177)</f>
        <v>grief group</v>
      </c>
      <c r="F1282" s="48" t="str">
        <f aca="false">IF('RAW WCH'!D177="","",'RAW WCH'!D177)</f>
        <v>CHIS support</v>
      </c>
      <c r="G1282" s="49" t="str">
        <f aca="false">IF('RAW WCH'!B177="","",'RAW WCH'!B177)</f>
        <v>2/26/26</v>
      </c>
      <c r="H1282" s="48" t="str">
        <f aca="false">IF('RAW WCH'!E177="","",'RAW WCH'!E177)</f>
        <v>Chaplain Resident</v>
      </c>
      <c r="I1282" s="48" t="n">
        <f aca="false">IF('RAW WCH'!F177="","",'RAW WCH'!F177)</f>
        <v>2.25</v>
      </c>
      <c r="J1282" s="48" t="n">
        <f aca="false">IF('RAW WCH'!G177="","",'RAW WCH'!G177)</f>
        <v>7</v>
      </c>
      <c r="K1282" s="50" t="n">
        <f aca="false">IF('RAW WCH'!H177="","",'RAW WCH'!H177)</f>
        <v>30</v>
      </c>
      <c r="L1282" s="50" t="str">
        <f aca="false">IF('RAW WCH'!I177="","",'RAW WCH'!I177)</f>
        <v/>
      </c>
      <c r="M1282" s="48" t="str">
        <f aca="false">IF('RAW WCH'!J177="","",'RAW WCH'!J177)</f>
        <v/>
      </c>
    </row>
    <row r="1283" customFormat="false" ht="15" hidden="false" customHeight="false" outlineLevel="0" collapsed="false">
      <c r="A1283" s="1" t="s">
        <v>2427</v>
      </c>
      <c r="B1283" s="1" t="s">
        <v>157</v>
      </c>
      <c r="C1283" s="1" t="s">
        <v>1151</v>
      </c>
      <c r="D1283" s="1" t="n">
        <v>178</v>
      </c>
      <c r="E1283" s="48" t="str">
        <f aca="false">IF('RAW WCH'!C178="","",'RAW WCH'!C178)</f>
        <v>grief group</v>
      </c>
      <c r="F1283" s="48" t="str">
        <f aca="false">IF('RAW WCH'!D178="","",'RAW WCH'!D178)</f>
        <v>CHIS support</v>
      </c>
      <c r="G1283" s="49" t="str">
        <f aca="false">IF('RAW WCH'!B178="","",'RAW WCH'!B178)</f>
        <v>2/26/26</v>
      </c>
      <c r="H1283" s="48" t="str">
        <f aca="false">IF('RAW WCH'!E178="","",'RAW WCH'!E178)</f>
        <v>LMSW</v>
      </c>
      <c r="I1283" s="48" t="str">
        <f aca="false">IF('RAW WCH'!F178="","",'RAW WCH'!F178)</f>
        <v>1.5 hr</v>
      </c>
      <c r="J1283" s="48" t="str">
        <f aca="false">IF('RAW WCH'!G178="","",'RAW WCH'!G178)</f>
        <v/>
      </c>
      <c r="K1283" s="50" t="str">
        <f aca="false">IF('RAW WCH'!H178="","",'RAW WCH'!H178)</f>
        <v/>
      </c>
      <c r="L1283" s="50" t="str">
        <f aca="false">IF('RAW WCH'!I178="","",'RAW WCH'!I178)</f>
        <v/>
      </c>
      <c r="M1283" s="48" t="str">
        <f aca="false">IF('RAW WCH'!J178="","",'RAW WCH'!J178)</f>
        <v/>
      </c>
    </row>
    <row r="1284" customFormat="false" ht="15" hidden="false" customHeight="false" outlineLevel="0" collapsed="false">
      <c r="A1284" s="1" t="s">
        <v>2428</v>
      </c>
      <c r="B1284" s="1" t="s">
        <v>157</v>
      </c>
      <c r="C1284" s="1" t="s">
        <v>1151</v>
      </c>
      <c r="D1284" s="1" t="n">
        <v>179</v>
      </c>
      <c r="E1284" s="48" t="str">
        <f aca="false">IF('RAW WCH'!C179="","",'RAW WCH'!C179)</f>
        <v>mobile van screenings</v>
      </c>
      <c r="F1284" s="48" t="str">
        <f aca="false">IF('RAW WCH'!D179="","",'RAW WCH'!D179)</f>
        <v>CHIS clinical</v>
      </c>
      <c r="G1284" s="49" t="n">
        <f aca="false">IF('RAW WCH'!B179="","",'RAW WCH'!B179)</f>
        <v>46081</v>
      </c>
      <c r="H1284" s="48" t="str">
        <f aca="false">IF('RAW WCH'!E179="","",'RAW WCH'!E179)</f>
        <v>Comm Health Worker</v>
      </c>
      <c r="I1284" s="48" t="n">
        <f aca="false">IF('RAW WCH'!F179="","",'RAW WCH'!F179)</f>
        <v>61.5</v>
      </c>
      <c r="J1284" s="48" t="str">
        <f aca="false">IF('RAW WCH'!G179="","",'RAW WCH'!G179)</f>
        <v/>
      </c>
      <c r="K1284" s="50" t="str">
        <f aca="false">IF('RAW WCH'!H179="","",'RAW WCH'!H179)</f>
        <v/>
      </c>
      <c r="L1284" s="50" t="str">
        <f aca="false">IF('RAW WCH'!I179="","",'RAW WCH'!I179)</f>
        <v/>
      </c>
      <c r="M1284" s="48" t="str">
        <f aca="false">IF('RAW WCH'!J179="","",'RAW WCH'!J179)</f>
        <v/>
      </c>
    </row>
    <row r="1285" customFormat="false" ht="15" hidden="false" customHeight="false" outlineLevel="0" collapsed="false">
      <c r="A1285" s="1" t="s">
        <v>2429</v>
      </c>
      <c r="B1285" s="1" t="s">
        <v>157</v>
      </c>
      <c r="C1285" s="1" t="s">
        <v>1151</v>
      </c>
      <c r="D1285" s="1" t="n">
        <v>180</v>
      </c>
      <c r="E1285" s="48" t="str">
        <f aca="false">IF('RAW WCH'!C180="","",'RAW WCH'!C180)</f>
        <v>mobile van screenings</v>
      </c>
      <c r="F1285" s="48" t="str">
        <f aca="false">IF('RAW WCH'!D180="","",'RAW WCH'!D180)</f>
        <v>CHIS clinical</v>
      </c>
      <c r="G1285" s="49" t="str">
        <f aca="false">IF('RAW WCH'!B180="","",'RAW WCH'!B180)</f>
        <v>2/28/26</v>
      </c>
      <c r="H1285" s="48" t="str">
        <f aca="false">IF('RAW WCH'!E180="","",'RAW WCH'!E180)</f>
        <v> Med Asst</v>
      </c>
      <c r="I1285" s="48" t="n">
        <f aca="false">IF('RAW WCH'!F180="","",'RAW WCH'!F180)</f>
        <v>75.25</v>
      </c>
      <c r="J1285" s="48" t="str">
        <f aca="false">IF('RAW WCH'!G180="","",'RAW WCH'!G180)</f>
        <v/>
      </c>
      <c r="K1285" s="50" t="str">
        <f aca="false">IF('RAW WCH'!H180="","",'RAW WCH'!H180)</f>
        <v/>
      </c>
      <c r="L1285" s="50" t="str">
        <f aca="false">IF('RAW WCH'!I180="","",'RAW WCH'!I180)</f>
        <v/>
      </c>
      <c r="M1285" s="48" t="str">
        <f aca="false">IF('RAW WCH'!J180="","",'RAW WCH'!J180)</f>
        <v/>
      </c>
    </row>
    <row r="1286" customFormat="false" ht="15" hidden="false" customHeight="false" outlineLevel="0" collapsed="false">
      <c r="A1286" s="1" t="s">
        <v>2430</v>
      </c>
      <c r="B1286" s="1" t="s">
        <v>157</v>
      </c>
      <c r="C1286" s="1" t="s">
        <v>1151</v>
      </c>
      <c r="D1286" s="1" t="n">
        <v>181</v>
      </c>
      <c r="E1286" s="48" t="str">
        <f aca="false">IF('RAW WCH'!C181="","",'RAW WCH'!C181)</f>
        <v>mobile van screenings</v>
      </c>
      <c r="F1286" s="48" t="str">
        <f aca="false">IF('RAW WCH'!D181="","",'RAW WCH'!D181)</f>
        <v>CHIS clinical</v>
      </c>
      <c r="G1286" s="49" t="n">
        <f aca="false">IF('RAW WCH'!B181="","",'RAW WCH'!B181)</f>
        <v>46081</v>
      </c>
      <c r="H1286" s="48" t="str">
        <f aca="false">IF('RAW WCH'!E181="","",'RAW WCH'!E181)</f>
        <v>RN II</v>
      </c>
      <c r="I1286" s="48" t="n">
        <f aca="false">IF('RAW WCH'!F181="","",'RAW WCH'!F181)</f>
        <v>71.75</v>
      </c>
      <c r="J1286" s="48" t="n">
        <f aca="false">IF('RAW WCH'!G181="","",'RAW WCH'!G181)</f>
        <v>119</v>
      </c>
      <c r="K1286" s="50" t="n">
        <f aca="false">IF('RAW WCH'!H181="","",'RAW WCH'!H181)</f>
        <v>4475</v>
      </c>
      <c r="L1286" s="50" t="str">
        <f aca="false">IF('RAW WCH'!I181="","",'RAW WCH'!I181)</f>
        <v/>
      </c>
      <c r="M1286" s="48" t="str">
        <f aca="false">IF('RAW WCH'!J181="","",'RAW WCH'!J181)</f>
        <v/>
      </c>
    </row>
    <row r="1287" customFormat="false" ht="15" hidden="false" customHeight="false" outlineLevel="0" collapsed="false">
      <c r="A1287" s="1" t="s">
        <v>2431</v>
      </c>
      <c r="B1287" s="1" t="s">
        <v>157</v>
      </c>
      <c r="C1287" s="1" t="s">
        <v>1151</v>
      </c>
      <c r="D1287" s="1" t="n">
        <v>182</v>
      </c>
      <c r="E1287" s="48" t="str">
        <f aca="false">IF('RAW WCH'!C182="","",'RAW WCH'!C182)</f>
        <v>chw outreach</v>
      </c>
      <c r="F1287" s="48" t="str">
        <f aca="false">IF('RAW WCH'!D182="","",'RAW WCH'!D182)</f>
        <v>CHIS support</v>
      </c>
      <c r="G1287" s="49" t="str">
        <f aca="false">IF('RAW WCH'!B182="","",'RAW WCH'!B182)</f>
        <v>2/28/26</v>
      </c>
      <c r="H1287" s="48" t="str">
        <f aca="false">IF('RAW WCH'!E182="","",'RAW WCH'!E182)</f>
        <v>Staff</v>
      </c>
      <c r="I1287" s="48" t="n">
        <f aca="false">IF('RAW WCH'!F182="","",'RAW WCH'!F182)</f>
        <v>248.75</v>
      </c>
      <c r="J1287" s="48" t="n">
        <f aca="false">IF('RAW WCH'!G182="","",'RAW WCH'!G182)</f>
        <v>235</v>
      </c>
      <c r="K1287" s="50" t="n">
        <f aca="false">IF('RAW WCH'!H182="","",'RAW WCH'!H182)</f>
        <v>735</v>
      </c>
      <c r="L1287" s="50" t="str">
        <f aca="false">IF('RAW WCH'!I182="","",'RAW WCH'!I182)</f>
        <v/>
      </c>
      <c r="M1287" s="48" t="str">
        <f aca="false">IF('RAW WCH'!J182="","",'RAW WCH'!J182)</f>
        <v/>
      </c>
    </row>
    <row r="1288" customFormat="false" ht="15" hidden="false" customHeight="false" outlineLevel="0" collapsed="false">
      <c r="A1288" s="1" t="s">
        <v>2432</v>
      </c>
      <c r="B1288" s="1" t="s">
        <v>157</v>
      </c>
      <c r="C1288" s="1" t="s">
        <v>1151</v>
      </c>
      <c r="D1288" s="1" t="n">
        <v>183</v>
      </c>
      <c r="E1288" s="48" t="str">
        <f aca="false">IF('RAW WCH'!C183="","",'RAW WCH'!C183)</f>
        <v>chw outreach</v>
      </c>
      <c r="F1288" s="48" t="str">
        <f aca="false">IF('RAW WCH'!D183="","",'RAW WCH'!D183)</f>
        <v>CHIS support</v>
      </c>
      <c r="G1288" s="49" t="n">
        <f aca="false">IF('RAW WCH'!B183="","",'RAW WCH'!B183)</f>
        <v>46081</v>
      </c>
      <c r="H1288" s="48" t="str">
        <f aca="false">IF('RAW WCH'!E183="","",'RAW WCH'!E183)</f>
        <v>Financial Navigator</v>
      </c>
      <c r="I1288" s="48" t="n">
        <f aca="false">IF('RAW WCH'!F183="","",'RAW WCH'!F183)</f>
        <v>93.25</v>
      </c>
      <c r="J1288" s="48" t="str">
        <f aca="false">IF('RAW WCH'!G183="","",'RAW WCH'!G183)</f>
        <v/>
      </c>
      <c r="K1288" s="50" t="str">
        <f aca="false">IF('RAW WCH'!H183="","",'RAW WCH'!H183)</f>
        <v/>
      </c>
      <c r="L1288" s="50" t="str">
        <f aca="false">IF('RAW WCH'!I183="","",'RAW WCH'!I183)</f>
        <v/>
      </c>
      <c r="M1288" s="48" t="str">
        <f aca="false">IF('RAW WCH'!J183="","",'RAW WCH'!J183)</f>
        <v/>
      </c>
    </row>
    <row r="1289" customFormat="false" ht="15" hidden="false" customHeight="false" outlineLevel="0" collapsed="false">
      <c r="A1289" s="1" t="s">
        <v>2433</v>
      </c>
      <c r="B1289" s="1" t="s">
        <v>157</v>
      </c>
      <c r="C1289" s="1" t="s">
        <v>1151</v>
      </c>
      <c r="D1289" s="1" t="n">
        <v>184</v>
      </c>
      <c r="E1289" s="48" t="str">
        <f aca="false">IF('RAW WCH'!C184="","",'RAW WCH'!C184)</f>
        <v>produce prescription</v>
      </c>
      <c r="F1289" s="48" t="str">
        <f aca="false">IF('RAW WCH'!D184="","",'RAW WCH'!D184)</f>
        <v>CHIS support</v>
      </c>
      <c r="G1289" s="49" t="str">
        <f aca="false">IF('RAW WCH'!B184="","",'RAW WCH'!B184)</f>
        <v>February 28, 2026</v>
      </c>
      <c r="H1289" s="48" t="str">
        <f aca="false">IF('RAW WCH'!E184="","",'RAW WCH'!E184)</f>
        <v>Comm Health Worker</v>
      </c>
      <c r="I1289" s="48" t="str">
        <f aca="false">IF('RAW WCH'!F184="","",'RAW WCH'!F184)</f>
        <v>34 hr</v>
      </c>
      <c r="J1289" s="48" t="str">
        <f aca="false">IF('RAW WCH'!G184="","",'RAW WCH'!G184)</f>
        <v/>
      </c>
      <c r="K1289" s="50" t="str">
        <f aca="false">IF('RAW WCH'!H184="","",'RAW WCH'!H184)</f>
        <v/>
      </c>
      <c r="L1289" s="50" t="str">
        <f aca="false">IF('RAW WCH'!I184="","",'RAW WCH'!I184)</f>
        <v/>
      </c>
      <c r="M1289" s="48" t="str">
        <f aca="false">IF('RAW WCH'!J184="","",'RAW WCH'!J184)</f>
        <v/>
      </c>
    </row>
    <row r="1290" customFormat="false" ht="15" hidden="false" customHeight="false" outlineLevel="0" collapsed="false">
      <c r="A1290" s="1" t="s">
        <v>2434</v>
      </c>
      <c r="B1290" s="1" t="s">
        <v>157</v>
      </c>
      <c r="C1290" s="1" t="s">
        <v>1151</v>
      </c>
      <c r="D1290" s="1" t="n">
        <v>185</v>
      </c>
      <c r="E1290" s="48" t="str">
        <f aca="false">IF('RAW WCH'!C185="","",'RAW WCH'!C185)</f>
        <v>produce prescription</v>
      </c>
      <c r="F1290" s="48" t="str">
        <f aca="false">IF('RAW WCH'!D185="","",'RAW WCH'!D185)</f>
        <v>CHIS support</v>
      </c>
      <c r="G1290" s="49" t="n">
        <f aca="false">IF('RAW WCH'!B185="","",'RAW WCH'!B185)</f>
        <v>46081</v>
      </c>
      <c r="H1290" s="48" t="str">
        <f aca="false">IF('RAW WCH'!E185="","",'RAW WCH'!E185)</f>
        <v>RDN</v>
      </c>
      <c r="I1290" s="48" t="n">
        <f aca="false">IF('RAW WCH'!F185="","",'RAW WCH'!F185)</f>
        <v>16</v>
      </c>
      <c r="J1290" s="48" t="n">
        <f aca="false">IF('RAW WCH'!G185="","",'RAW WCH'!G185)</f>
        <v>136</v>
      </c>
      <c r="K1290" s="50" t="n">
        <f aca="false">IF('RAW WCH'!H185="","",'RAW WCH'!H185)</f>
        <v>6490</v>
      </c>
      <c r="L1290" s="50" t="n">
        <f aca="false">IF('RAW WCH'!I185="","",'RAW WCH'!I185)</f>
        <v>3335</v>
      </c>
      <c r="M1290" s="48" t="str">
        <f aca="false">IF('RAW WCH'!J185="","",'RAW WCH'!J185)</f>
        <v/>
      </c>
    </row>
    <row r="1291" customFormat="false" ht="15" hidden="false" customHeight="false" outlineLevel="0" collapsed="false">
      <c r="A1291" s="1" t="s">
        <v>2435</v>
      </c>
      <c r="B1291" s="1" t="s">
        <v>157</v>
      </c>
      <c r="C1291" s="1" t="s">
        <v>1151</v>
      </c>
      <c r="D1291" s="1" t="n">
        <v>186</v>
      </c>
      <c r="E1291" s="48" t="str">
        <f aca="false">IF('RAW WCH'!C186="","",'RAW WCH'!C186)</f>
        <v>cb admin</v>
      </c>
      <c r="F1291" s="48" t="str">
        <f aca="false">IF('RAW WCH'!D186="","",'RAW WCH'!D186)</f>
        <v>cb operations</v>
      </c>
      <c r="G1291" s="49" t="str">
        <f aca="false">IF('RAW WCH'!B186="","",'RAW WCH'!B186)</f>
        <v>2/28/26</v>
      </c>
      <c r="H1291" s="48" t="str">
        <f aca="false">IF('RAW WCH'!E186="","",'RAW WCH'!E186)</f>
        <v>Secretary</v>
      </c>
      <c r="I1291" s="48" t="n">
        <f aca="false">IF('RAW WCH'!F186="","",'RAW WCH'!F186)</f>
        <v>21.25</v>
      </c>
      <c r="J1291" s="48" t="str">
        <f aca="false">IF('RAW WCH'!G186="","",'RAW WCH'!G186)</f>
        <v/>
      </c>
      <c r="K1291" s="50" t="str">
        <f aca="false">IF('RAW WCH'!H186="","",'RAW WCH'!H186)</f>
        <v/>
      </c>
      <c r="L1291" s="50" t="str">
        <f aca="false">IF('RAW WCH'!I186="","",'RAW WCH'!I186)</f>
        <v/>
      </c>
      <c r="M1291" s="48" t="str">
        <f aca="false">IF('RAW WCH'!J186="","",'RAW WCH'!J186)</f>
        <v/>
      </c>
    </row>
    <row r="1292" customFormat="false" ht="15" hidden="false" customHeight="false" outlineLevel="0" collapsed="false">
      <c r="A1292" s="1" t="s">
        <v>2436</v>
      </c>
      <c r="B1292" s="1" t="s">
        <v>157</v>
      </c>
      <c r="C1292" s="1" t="s">
        <v>1151</v>
      </c>
      <c r="D1292" s="1" t="n">
        <v>187</v>
      </c>
      <c r="E1292" s="48" t="str">
        <f aca="false">IF('RAW WCH'!C187="","",'RAW WCH'!C187)</f>
        <v>cb admin</v>
      </c>
      <c r="F1292" s="48" t="str">
        <f aca="false">IF('RAW WCH'!D187="","",'RAW WCH'!D187)</f>
        <v>cb operations</v>
      </c>
      <c r="G1292" s="49" t="str">
        <f aca="false">IF('RAW WCH'!B187="","",'RAW WCH'!B187)</f>
        <v>February 28, 2026</v>
      </c>
      <c r="H1292" s="48" t="str">
        <f aca="false">IF('RAW WCH'!E187="","",'RAW WCH'!E187)</f>
        <v>Manager Community Benefit</v>
      </c>
      <c r="I1292" s="48" t="n">
        <f aca="false">IF('RAW WCH'!F187="","",'RAW WCH'!F187)</f>
        <v>55.25</v>
      </c>
      <c r="J1292" s="48" t="str">
        <f aca="false">IF('RAW WCH'!G187="","",'RAW WCH'!G187)</f>
        <v/>
      </c>
      <c r="K1292" s="50" t="n">
        <f aca="false">IF('RAW WCH'!H187="","",'RAW WCH'!H187)</f>
        <v>550</v>
      </c>
      <c r="L1292" s="50" t="str">
        <f aca="false">IF('RAW WCH'!I187="","",'RAW WCH'!I187)</f>
        <v/>
      </c>
      <c r="M1292" s="48" t="str">
        <f aca="false">IF('RAW WCH'!J187="","",'RAW WCH'!J187)</f>
        <v/>
      </c>
    </row>
    <row r="1293" customFormat="false" ht="15" hidden="false" customHeight="false" outlineLevel="0" collapsed="false">
      <c r="A1293" s="1" t="s">
        <v>2437</v>
      </c>
      <c r="B1293" s="1" t="s">
        <v>157</v>
      </c>
      <c r="C1293" s="1" t="s">
        <v>1151</v>
      </c>
      <c r="D1293" s="1" t="n">
        <v>188</v>
      </c>
      <c r="E1293" s="48" t="str">
        <f aca="false">IF('RAW WCH'!C188="","",'RAW WCH'!C188)</f>
        <v>community paramedic</v>
      </c>
      <c r="F1293" s="48" t="str">
        <f aca="false">IF('RAW WCH'!D188="","",'RAW WCH'!D188)</f>
        <v>CHIS clinical</v>
      </c>
      <c r="G1293" s="49" t="str">
        <f aca="false">IF('RAW WCH'!B188="","",'RAW WCH'!B188)</f>
        <v>February 28, 2026</v>
      </c>
      <c r="H1293" s="48" t="str">
        <f aca="false">IF('RAW WCH'!E188="","",'RAW WCH'!E188)</f>
        <v>EMT</v>
      </c>
      <c r="I1293" s="48" t="n">
        <f aca="false">IF('RAW WCH'!F188="","",'RAW WCH'!F188)</f>
        <v>63.75</v>
      </c>
      <c r="J1293" s="48" t="n">
        <f aca="false">IF('RAW WCH'!G188="","",'RAW WCH'!G188)</f>
        <v>36</v>
      </c>
      <c r="K1293" s="50" t="n">
        <f aca="false">IF('RAW WCH'!H188="","",'RAW WCH'!H188)</f>
        <v>560</v>
      </c>
      <c r="L1293" s="50" t="str">
        <f aca="false">IF('RAW WCH'!I188="","",'RAW WCH'!I188)</f>
        <v/>
      </c>
      <c r="M1293" s="48" t="str">
        <f aca="false">IF('RAW WCH'!J188="","",'RAW WCH'!J188)</f>
        <v/>
      </c>
    </row>
    <row r="1294" customFormat="false" ht="15" hidden="false" customHeight="false" outlineLevel="0" collapsed="false">
      <c r="A1294" s="1" t="s">
        <v>2438</v>
      </c>
      <c r="B1294" s="1" t="s">
        <v>157</v>
      </c>
      <c r="C1294" s="1" t="s">
        <v>1151</v>
      </c>
      <c r="D1294" s="1" t="n">
        <v>189</v>
      </c>
      <c r="E1294" s="48" t="str">
        <f aca="false">IF('RAW WCH'!C189="","",'RAW WCH'!C189)</f>
        <v>nursing students</v>
      </c>
      <c r="F1294" s="48" t="str">
        <f aca="false">IF('RAW WCH'!D189="","",'RAW WCH'!D189)</f>
        <v>health professions ed</v>
      </c>
      <c r="G1294" s="49" t="str">
        <f aca="false">IF('RAW WCH'!B189="","",'RAW WCH'!B189)</f>
        <v>2/28/26</v>
      </c>
      <c r="H1294" s="48" t="str">
        <f aca="false">IF('RAW WCH'!E189="","",'RAW WCH'!E189)</f>
        <v>Clin Educator</v>
      </c>
      <c r="I1294" s="48" t="n">
        <f aca="false">IF('RAW WCH'!F189="","",'RAW WCH'!F189)</f>
        <v>83</v>
      </c>
      <c r="J1294" s="48" t="n">
        <f aca="false">IF('RAW WCH'!G189="","",'RAW WCH'!G189)</f>
        <v>21</v>
      </c>
      <c r="K1294" s="50" t="n">
        <f aca="false">IF('RAW WCH'!H189="","",'RAW WCH'!H189)</f>
        <v>390</v>
      </c>
      <c r="L1294" s="50" t="str">
        <f aca="false">IF('RAW WCH'!I189="","",'RAW WCH'!I189)</f>
        <v/>
      </c>
      <c r="M1294" s="48" t="str">
        <f aca="false">IF('RAW WCH'!J189="","",'RAW WCH'!J189)</f>
        <v/>
      </c>
    </row>
    <row r="1295" customFormat="false" ht="15" hidden="false" customHeight="false" outlineLevel="0" collapsed="false">
      <c r="A1295" s="1" t="s">
        <v>2439</v>
      </c>
      <c r="B1295" s="1" t="s">
        <v>157</v>
      </c>
      <c r="C1295" s="1" t="s">
        <v>1151</v>
      </c>
      <c r="D1295" s="1" t="n">
        <v>190</v>
      </c>
      <c r="E1295" s="48" t="str">
        <f aca="false">IF('RAW WCH'!C190="","",'RAW WCH'!C190)</f>
        <v>nursing students</v>
      </c>
      <c r="F1295" s="48" t="str">
        <f aca="false">IF('RAW WCH'!D190="","",'RAW WCH'!D190)</f>
        <v>health professions ed</v>
      </c>
      <c r="G1295" s="49" t="str">
        <f aca="false">IF('RAW WCH'!B190="","",'RAW WCH'!B190)</f>
        <v>2/28/26</v>
      </c>
      <c r="H1295" s="48" t="str">
        <f aca="false">IF('RAW WCH'!E190="","",'RAW WCH'!E190)</f>
        <v>RN - Outreach</v>
      </c>
      <c r="I1295" s="48" t="n">
        <f aca="false">IF('RAW WCH'!F190="","",'RAW WCH'!F190)</f>
        <v>179</v>
      </c>
      <c r="J1295" s="48" t="str">
        <f aca="false">IF('RAW WCH'!G190="","",'RAW WCH'!G190)</f>
        <v/>
      </c>
      <c r="K1295" s="50" t="str">
        <f aca="false">IF('RAW WCH'!H190="","",'RAW WCH'!H190)</f>
        <v/>
      </c>
      <c r="L1295" s="50" t="str">
        <f aca="false">IF('RAW WCH'!I190="","",'RAW WCH'!I190)</f>
        <v/>
      </c>
      <c r="M1295" s="48" t="str">
        <f aca="false">IF('RAW WCH'!J190="","",'RAW WCH'!J190)</f>
        <v/>
      </c>
    </row>
    <row r="1296" customFormat="false" ht="15" hidden="false" customHeight="false" outlineLevel="0" collapsed="false">
      <c r="A1296" s="1" t="s">
        <v>2440</v>
      </c>
      <c r="B1296" s="1" t="s">
        <v>157</v>
      </c>
      <c r="C1296" s="1" t="s">
        <v>1151</v>
      </c>
      <c r="D1296" s="1" t="n">
        <v>191</v>
      </c>
      <c r="E1296" s="48" t="str">
        <f aca="false">IF('RAW WCH'!C191="","",'RAW WCH'!C191)</f>
        <v>paramedic students</v>
      </c>
      <c r="F1296" s="48" t="str">
        <f aca="false">IF('RAW WCH'!D191="","",'RAW WCH'!D191)</f>
        <v>health professions ed</v>
      </c>
      <c r="G1296" s="49" t="str">
        <f aca="false">IF('RAW WCH'!B191="","",'RAW WCH'!B191)</f>
        <v>2/28/26</v>
      </c>
      <c r="H1296" s="48" t="str">
        <f aca="false">IF('RAW WCH'!E191="","",'RAW WCH'!E191)</f>
        <v>Flight Paramedic</v>
      </c>
      <c r="I1296" s="48" t="n">
        <f aca="false">IF('RAW WCH'!F191="","",'RAW WCH'!F191)</f>
        <v>49.25</v>
      </c>
      <c r="J1296" s="48" t="n">
        <f aca="false">IF('RAW WCH'!G191="","",'RAW WCH'!G191)</f>
        <v>3</v>
      </c>
      <c r="K1296" s="50" t="n">
        <f aca="false">IF('RAW WCH'!H191="","",'RAW WCH'!H191)</f>
        <v>85</v>
      </c>
      <c r="L1296" s="50" t="str">
        <f aca="false">IF('RAW WCH'!I191="","",'RAW WCH'!I191)</f>
        <v/>
      </c>
      <c r="M1296" s="48" t="str">
        <f aca="false">IF('RAW WCH'!J191="","",'RAW WCH'!J191)</f>
        <v/>
      </c>
    </row>
    <row r="1297" customFormat="false" ht="15" hidden="false" customHeight="false" outlineLevel="0" collapsed="false">
      <c r="A1297" s="1" t="s">
        <v>2441</v>
      </c>
      <c r="B1297" s="1" t="s">
        <v>157</v>
      </c>
      <c r="C1297" s="1" t="s">
        <v>1151</v>
      </c>
      <c r="D1297" s="1" t="n">
        <v>192</v>
      </c>
      <c r="E1297" s="48" t="str">
        <f aca="false">IF('RAW WCH'!C192="","",'RAW WCH'!C192)</f>
        <v>rural maternal study</v>
      </c>
      <c r="F1297" s="48" t="str">
        <f aca="false">IF('RAW WCH'!D192="","",'RAW WCH'!D192)</f>
        <v>research</v>
      </c>
      <c r="G1297" s="49" t="n">
        <f aca="false">IF('RAW WCH'!B192="","",'RAW WCH'!B192)</f>
        <v>46081</v>
      </c>
      <c r="H1297" s="48" t="str">
        <f aca="false">IF('RAW WCH'!E192="","",'RAW WCH'!E192)</f>
        <v>BI Analyst</v>
      </c>
      <c r="I1297" s="48" t="n">
        <f aca="false">IF('RAW WCH'!F192="","",'RAW WCH'!F192)</f>
        <v>12.25</v>
      </c>
      <c r="J1297" s="48" t="str">
        <f aca="false">IF('RAW WCH'!G192="","",'RAW WCH'!G192)</f>
        <v/>
      </c>
      <c r="K1297" s="50" t="str">
        <f aca="false">IF('RAW WCH'!H192="","",'RAW WCH'!H192)</f>
        <v/>
      </c>
      <c r="L1297" s="50" t="str">
        <f aca="false">IF('RAW WCH'!I192="","",'RAW WCH'!I192)</f>
        <v/>
      </c>
      <c r="M1297" s="48" t="str">
        <f aca="false">IF('RAW WCH'!J192="","",'RAW WCH'!J192)</f>
        <v/>
      </c>
    </row>
    <row r="1298" customFormat="false" ht="15" hidden="false" customHeight="false" outlineLevel="0" collapsed="false">
      <c r="A1298" s="1" t="s">
        <v>2442</v>
      </c>
      <c r="B1298" s="1" t="s">
        <v>157</v>
      </c>
      <c r="C1298" s="1" t="s">
        <v>1151</v>
      </c>
      <c r="D1298" s="1" t="n">
        <v>193</v>
      </c>
      <c r="E1298" s="48" t="str">
        <f aca="false">IF('RAW WCH'!C193="","",'RAW WCH'!C193)</f>
        <v>rural maternal study</v>
      </c>
      <c r="F1298" s="48" t="str">
        <f aca="false">IF('RAW WCH'!D193="","",'RAW WCH'!D193)</f>
        <v>research</v>
      </c>
      <c r="G1298" s="49" t="n">
        <f aca="false">IF('RAW WCH'!B193="","",'RAW WCH'!B193)</f>
        <v>46081</v>
      </c>
      <c r="H1298" s="48" t="str">
        <f aca="false">IF('RAW WCH'!E193="","",'RAW WCH'!E193)</f>
        <v>Research Nurse</v>
      </c>
      <c r="I1298" s="48" t="n">
        <f aca="false">IF('RAW WCH'!F193="","",'RAW WCH'!F193)</f>
        <v>35.5</v>
      </c>
      <c r="J1298" s="48" t="n">
        <f aca="false">IF('RAW WCH'!G193="","",'RAW WCH'!G193)</f>
        <v>9</v>
      </c>
      <c r="K1298" s="50" t="n">
        <f aca="false">IF('RAW WCH'!H193="","",'RAW WCH'!H193)</f>
        <v>1500</v>
      </c>
      <c r="L1298" s="50" t="n">
        <f aca="false">IF('RAW WCH'!I193="","",'RAW WCH'!I193)</f>
        <v>5170</v>
      </c>
      <c r="M1298" s="48" t="str">
        <f aca="false">IF('RAW WCH'!J193="","",'RAW WCH'!J193)</f>
        <v/>
      </c>
    </row>
    <row r="1299" customFormat="false" ht="15" hidden="false" customHeight="false" outlineLevel="0" collapsed="false">
      <c r="A1299" s="1" t="s">
        <v>2443</v>
      </c>
      <c r="B1299" s="1" t="s">
        <v>157</v>
      </c>
      <c r="C1299" s="1" t="s">
        <v>1151</v>
      </c>
      <c r="D1299" s="1" t="n">
        <v>194</v>
      </c>
      <c r="E1299" s="48" t="str">
        <f aca="false">IF('RAW WCH'!C194="","",'RAW WCH'!C194)</f>
        <v>narcan training</v>
      </c>
      <c r="F1299" s="48" t="str">
        <f aca="false">IF('RAW WCH'!D194="","",'RAW WCH'!D194)</f>
        <v>community health improvement services</v>
      </c>
      <c r="G1299" s="49" t="str">
        <f aca="false">IF('RAW WCH'!B194="","",'RAW WCH'!B194)</f>
        <v>3/7/26</v>
      </c>
      <c r="H1299" s="48" t="str">
        <f aca="false">IF('RAW WCH'!E194="","",'RAW WCH'!E194)</f>
        <v>Hlth Educator</v>
      </c>
      <c r="I1299" s="48" t="n">
        <f aca="false">IF('RAW WCH'!F194="","",'RAW WCH'!F194)</f>
        <v>2.25</v>
      </c>
      <c r="J1299" s="48" t="str">
        <f aca="false">IF('RAW WCH'!G194="","",'RAW WCH'!G194)</f>
        <v/>
      </c>
      <c r="K1299" s="50" t="str">
        <f aca="false">IF('RAW WCH'!H194="","",'RAW WCH'!H194)</f>
        <v/>
      </c>
      <c r="L1299" s="50" t="str">
        <f aca="false">IF('RAW WCH'!I194="","",'RAW WCH'!I194)</f>
        <v/>
      </c>
      <c r="M1299" s="48" t="str">
        <f aca="false">IF('RAW WCH'!J194="","",'RAW WCH'!J194)</f>
        <v/>
      </c>
    </row>
    <row r="1300" customFormat="false" ht="15" hidden="false" customHeight="false" outlineLevel="0" collapsed="false">
      <c r="A1300" s="1" t="s">
        <v>2444</v>
      </c>
      <c r="B1300" s="1" t="s">
        <v>157</v>
      </c>
      <c r="C1300" s="1" t="s">
        <v>1151</v>
      </c>
      <c r="D1300" s="1" t="n">
        <v>195</v>
      </c>
      <c r="E1300" s="48" t="str">
        <f aca="false">IF('RAW WCH'!C195="","",'RAW WCH'!C195)</f>
        <v>narcan training</v>
      </c>
      <c r="F1300" s="48" t="str">
        <f aca="false">IF('RAW WCH'!D195="","",'RAW WCH'!D195)</f>
        <v>community health improvement services</v>
      </c>
      <c r="G1300" s="49" t="str">
        <f aca="false">IF('RAW WCH'!B195="","",'RAW WCH'!B195)</f>
        <v>3/7/26</v>
      </c>
      <c r="H1300" s="48" t="str">
        <f aca="false">IF('RAW WCH'!E195="","",'RAW WCH'!E195)</f>
        <v>Staff Pharmacist </v>
      </c>
      <c r="I1300" s="48" t="n">
        <f aca="false">IF('RAW WCH'!F195="","",'RAW WCH'!F195)</f>
        <v>2.5</v>
      </c>
      <c r="J1300" s="48" t="n">
        <f aca="false">IF('RAW WCH'!G195="","",'RAW WCH'!G195)</f>
        <v>44</v>
      </c>
      <c r="K1300" s="50" t="n">
        <f aca="false">IF('RAW WCH'!H195="","",'RAW WCH'!H195)</f>
        <v>1695</v>
      </c>
      <c r="L1300" s="50" t="n">
        <f aca="false">IF('RAW WCH'!I195="","",'RAW WCH'!I195)</f>
        <v>1795</v>
      </c>
      <c r="M1300" s="48" t="str">
        <f aca="false">IF('RAW WCH'!J195="","",'RAW WCH'!J195)</f>
        <v/>
      </c>
    </row>
    <row r="1301" customFormat="false" ht="15" hidden="false" customHeight="false" outlineLevel="0" collapsed="false">
      <c r="A1301" s="1" t="s">
        <v>2445</v>
      </c>
      <c r="B1301" s="1" t="s">
        <v>157</v>
      </c>
      <c r="C1301" s="1" t="s">
        <v>1151</v>
      </c>
      <c r="D1301" s="1" t="n">
        <v>196</v>
      </c>
      <c r="E1301" s="48" t="str">
        <f aca="false">IF('RAW WCH'!C196="","",'RAW WCH'!C196)</f>
        <v>sports physicals</v>
      </c>
      <c r="F1301" s="48" t="str">
        <f aca="false">IF('RAW WCH'!D196="","",'RAW WCH'!D196)</f>
        <v>CHIS clinical</v>
      </c>
      <c r="G1301" s="49" t="str">
        <f aca="false">IF('RAW WCH'!B196="","",'RAW WCH'!B196)</f>
        <v>3/11/26</v>
      </c>
      <c r="H1301" s="48" t="str">
        <f aca="false">IF('RAW WCH'!E196="","",'RAW WCH'!E196)</f>
        <v>Med Asst</v>
      </c>
      <c r="I1301" s="48" t="n">
        <f aca="false">IF('RAW WCH'!F196="","",'RAW WCH'!F196)</f>
        <v>4.5</v>
      </c>
      <c r="J1301" s="48" t="str">
        <f aca="false">IF('RAW WCH'!G196="","",'RAW WCH'!G196)</f>
        <v/>
      </c>
      <c r="K1301" s="50" t="str">
        <f aca="false">IF('RAW WCH'!H196="","",'RAW WCH'!H196)</f>
        <v/>
      </c>
      <c r="L1301" s="50" t="str">
        <f aca="false">IF('RAW WCH'!I196="","",'RAW WCH'!I196)</f>
        <v/>
      </c>
      <c r="M1301" s="48" t="str">
        <f aca="false">IF('RAW WCH'!J196="","",'RAW WCH'!J196)</f>
        <v/>
      </c>
    </row>
    <row r="1302" customFormat="false" ht="15" hidden="false" customHeight="false" outlineLevel="0" collapsed="false">
      <c r="A1302" s="1" t="s">
        <v>2446</v>
      </c>
      <c r="B1302" s="1" t="s">
        <v>157</v>
      </c>
      <c r="C1302" s="1" t="s">
        <v>1151</v>
      </c>
      <c r="D1302" s="1" t="n">
        <v>197</v>
      </c>
      <c r="E1302" s="48" t="str">
        <f aca="false">IF('RAW WCH'!C197="","",'RAW WCH'!C197)</f>
        <v>sports physicals</v>
      </c>
      <c r="F1302" s="48" t="str">
        <f aca="false">IF('RAW WCH'!D197="","",'RAW WCH'!D197)</f>
        <v>CHIS clinical</v>
      </c>
      <c r="G1302" s="49" t="str">
        <f aca="false">IF('RAW WCH'!B197="","",'RAW WCH'!B197)</f>
        <v>March 11, 2026</v>
      </c>
      <c r="H1302" s="48" t="str">
        <f aca="false">IF('RAW WCH'!E197="","",'RAW WCH'!E197)</f>
        <v>N.P.</v>
      </c>
      <c r="I1302" s="48" t="n">
        <f aca="false">IF('RAW WCH'!F197="","",'RAW WCH'!F197)</f>
        <v>4.25</v>
      </c>
      <c r="J1302" s="48" t="str">
        <f aca="false">IF('RAW WCH'!G197="","",'RAW WCH'!G197)</f>
        <v/>
      </c>
      <c r="K1302" s="50" t="str">
        <f aca="false">IF('RAW WCH'!H197="","",'RAW WCH'!H197)</f>
        <v/>
      </c>
      <c r="L1302" s="50" t="str">
        <f aca="false">IF('RAW WCH'!I197="","",'RAW WCH'!I197)</f>
        <v/>
      </c>
      <c r="M1302" s="48" t="str">
        <f aca="false">IF('RAW WCH'!J197="","",'RAW WCH'!J197)</f>
        <v/>
      </c>
    </row>
    <row r="1303" customFormat="false" ht="15" hidden="false" customHeight="false" outlineLevel="0" collapsed="false">
      <c r="A1303" s="1" t="s">
        <v>2447</v>
      </c>
      <c r="B1303" s="1" t="s">
        <v>157</v>
      </c>
      <c r="C1303" s="1" t="s">
        <v>1151</v>
      </c>
      <c r="D1303" s="1" t="n">
        <v>198</v>
      </c>
      <c r="E1303" s="48" t="str">
        <f aca="false">IF('RAW WCH'!C198="","",'RAW WCH'!C198)</f>
        <v>sports physicals</v>
      </c>
      <c r="F1303" s="48" t="str">
        <f aca="false">IF('RAW WCH'!D198="","",'RAW WCH'!D198)</f>
        <v>CHIS clinical</v>
      </c>
      <c r="G1303" s="49" t="n">
        <f aca="false">IF('RAW WCH'!B198="","",'RAW WCH'!B198)</f>
        <v>46092</v>
      </c>
      <c r="H1303" s="48" t="str">
        <f aca="false">IF('RAW WCH'!E198="","",'RAW WCH'!E198)</f>
        <v>Attending Physician</v>
      </c>
      <c r="I1303" s="48" t="n">
        <f aca="false">IF('RAW WCH'!F198="","",'RAW WCH'!F198)</f>
        <v>4.75</v>
      </c>
      <c r="J1303" s="48" t="n">
        <f aca="false">IF('RAW WCH'!G198="","",'RAW WCH'!G198)</f>
        <v>68</v>
      </c>
      <c r="K1303" s="50" t="n">
        <f aca="false">IF('RAW WCH'!H198="","",'RAW WCH'!H198)</f>
        <v>250</v>
      </c>
      <c r="L1303" s="50" t="str">
        <f aca="false">IF('RAW WCH'!I198="","",'RAW WCH'!I198)</f>
        <v/>
      </c>
      <c r="M1303" s="48" t="str">
        <f aca="false">IF('RAW WCH'!J198="","",'RAW WCH'!J198)</f>
        <v/>
      </c>
    </row>
    <row r="1304" customFormat="false" ht="15" hidden="false" customHeight="false" outlineLevel="0" collapsed="false">
      <c r="A1304" s="1" t="s">
        <v>2448</v>
      </c>
      <c r="B1304" s="1" t="s">
        <v>157</v>
      </c>
      <c r="C1304" s="1" t="s">
        <v>1151</v>
      </c>
      <c r="D1304" s="1" t="n">
        <v>199</v>
      </c>
      <c r="E1304" s="48" t="str">
        <f aca="false">IF('RAW WCH'!C199="","",'RAW WCH'!C199)</f>
        <v>mobile van screenings</v>
      </c>
      <c r="F1304" s="48" t="str">
        <f aca="false">IF('RAW WCH'!D199="","",'RAW WCH'!D199)</f>
        <v>CHIS clinical</v>
      </c>
      <c r="G1304" s="49" t="n">
        <f aca="false">IF('RAW WCH'!B199="","",'RAW WCH'!B199)</f>
        <v>46112</v>
      </c>
      <c r="H1304" s="48" t="str">
        <f aca="false">IF('RAW WCH'!E199="","",'RAW WCH'!E199)</f>
        <v>Comm Health Worker</v>
      </c>
      <c r="I1304" s="48" t="n">
        <f aca="false">IF('RAW WCH'!F199="","",'RAW WCH'!F199)</f>
        <v>50.75</v>
      </c>
      <c r="J1304" s="48" t="str">
        <f aca="false">IF('RAW WCH'!G199="","",'RAW WCH'!G199)</f>
        <v/>
      </c>
      <c r="K1304" s="50" t="str">
        <f aca="false">IF('RAW WCH'!H199="","",'RAW WCH'!H199)</f>
        <v/>
      </c>
      <c r="L1304" s="50" t="str">
        <f aca="false">IF('RAW WCH'!I199="","",'RAW WCH'!I199)</f>
        <v/>
      </c>
      <c r="M1304" s="48" t="str">
        <f aca="false">IF('RAW WCH'!J199="","",'RAW WCH'!J199)</f>
        <v/>
      </c>
    </row>
    <row r="1305" customFormat="false" ht="15" hidden="false" customHeight="false" outlineLevel="0" collapsed="false">
      <c r="A1305" s="1" t="s">
        <v>2449</v>
      </c>
      <c r="B1305" s="1" t="s">
        <v>157</v>
      </c>
      <c r="C1305" s="1" t="s">
        <v>1151</v>
      </c>
      <c r="D1305" s="1" t="n">
        <v>200</v>
      </c>
      <c r="E1305" s="48" t="str">
        <f aca="false">IF('RAW WCH'!C200="","",'RAW WCH'!C200)</f>
        <v>mobile van screenings</v>
      </c>
      <c r="F1305" s="48" t="str">
        <f aca="false">IF('RAW WCH'!D200="","",'RAW WCH'!D200)</f>
        <v>CHIS clinical</v>
      </c>
      <c r="G1305" s="49" t="str">
        <f aca="false">IF('RAW WCH'!B200="","",'RAW WCH'!B200)</f>
        <v>3/31/26</v>
      </c>
      <c r="H1305" s="48" t="str">
        <f aca="false">IF('RAW WCH'!E200="","",'RAW WCH'!E200)</f>
        <v>Med Asst</v>
      </c>
      <c r="I1305" s="48" t="n">
        <f aca="false">IF('RAW WCH'!F200="","",'RAW WCH'!F200)</f>
        <v>69.25</v>
      </c>
      <c r="J1305" s="48" t="str">
        <f aca="false">IF('RAW WCH'!G200="","",'RAW WCH'!G200)</f>
        <v/>
      </c>
      <c r="K1305" s="50" t="str">
        <f aca="false">IF('RAW WCH'!H200="","",'RAW WCH'!H200)</f>
        <v/>
      </c>
      <c r="L1305" s="50" t="str">
        <f aca="false">IF('RAW WCH'!I200="","",'RAW WCH'!I200)</f>
        <v/>
      </c>
      <c r="M1305" s="48" t="str">
        <f aca="false">IF('RAW WCH'!J200="","",'RAW WCH'!J200)</f>
        <v/>
      </c>
    </row>
    <row r="1306" customFormat="false" ht="15" hidden="false" customHeight="false" outlineLevel="0" collapsed="false">
      <c r="A1306" s="1" t="s">
        <v>2450</v>
      </c>
      <c r="B1306" s="1" t="s">
        <v>157</v>
      </c>
      <c r="C1306" s="1" t="s">
        <v>1151</v>
      </c>
      <c r="D1306" s="1" t="n">
        <v>201</v>
      </c>
      <c r="E1306" s="48" t="str">
        <f aca="false">IF('RAW WCH'!C201="","",'RAW WCH'!C201)</f>
        <v>mobile van screenings</v>
      </c>
      <c r="F1306" s="48" t="str">
        <f aca="false">IF('RAW WCH'!D201="","",'RAW WCH'!D201)</f>
        <v>CHIS clinical</v>
      </c>
      <c r="G1306" s="49" t="n">
        <f aca="false">IF('RAW WCH'!B201="","",'RAW WCH'!B201)</f>
        <v>46112</v>
      </c>
      <c r="H1306" s="48" t="str">
        <f aca="false">IF('RAW WCH'!E201="","",'RAW WCH'!E201)</f>
        <v>Staff RN</v>
      </c>
      <c r="I1306" s="48" t="n">
        <f aca="false">IF('RAW WCH'!F201="","",'RAW WCH'!F201)</f>
        <v>75</v>
      </c>
      <c r="J1306" s="48" t="n">
        <f aca="false">IF('RAW WCH'!G201="","",'RAW WCH'!G201)</f>
        <v>165</v>
      </c>
      <c r="K1306" s="50" t="n">
        <f aca="false">IF('RAW WCH'!H201="","",'RAW WCH'!H201)</f>
        <v>6120</v>
      </c>
      <c r="L1306" s="50" t="str">
        <f aca="false">IF('RAW WCH'!I201="","",'RAW WCH'!I201)</f>
        <v/>
      </c>
      <c r="M1306" s="48" t="str">
        <f aca="false">IF('RAW WCH'!J201="","",'RAW WCH'!J201)</f>
        <v/>
      </c>
    </row>
    <row r="1307" customFormat="false" ht="15" hidden="false" customHeight="false" outlineLevel="0" collapsed="false">
      <c r="A1307" s="1" t="s">
        <v>2451</v>
      </c>
      <c r="B1307" s="1" t="s">
        <v>157</v>
      </c>
      <c r="C1307" s="1" t="s">
        <v>1151</v>
      </c>
      <c r="D1307" s="1" t="n">
        <v>202</v>
      </c>
      <c r="E1307" s="48" t="str">
        <f aca="false">IF('RAW WCH'!C202="","",'RAW WCH'!C202)</f>
        <v>chw outreach</v>
      </c>
      <c r="F1307" s="48" t="str">
        <f aca="false">IF('RAW WCH'!D202="","",'RAW WCH'!D202)</f>
        <v>CHIS support</v>
      </c>
      <c r="G1307" s="49" t="str">
        <f aca="false">IF('RAW WCH'!B202="","",'RAW WCH'!B202)</f>
        <v>3/31/26</v>
      </c>
      <c r="H1307" s="48" t="str">
        <f aca="false">IF('RAW WCH'!E202="","",'RAW WCH'!E202)</f>
        <v>Community Health Worker</v>
      </c>
      <c r="I1307" s="48" t="n">
        <f aca="false">IF('RAW WCH'!F202="","",'RAW WCH'!F202)</f>
        <v>227.5</v>
      </c>
      <c r="J1307" s="48" t="n">
        <f aca="false">IF('RAW WCH'!G202="","",'RAW WCH'!G202)</f>
        <v>240</v>
      </c>
      <c r="K1307" s="50" t="n">
        <f aca="false">IF('RAW WCH'!H202="","",'RAW WCH'!H202)</f>
        <v>1515</v>
      </c>
      <c r="L1307" s="50" t="str">
        <f aca="false">IF('RAW WCH'!I202="","",'RAW WCH'!I202)</f>
        <v/>
      </c>
      <c r="M1307" s="48" t="str">
        <f aca="false">IF('RAW WCH'!J202="","",'RAW WCH'!J202)</f>
        <v/>
      </c>
    </row>
    <row r="1308" customFormat="false" ht="15" hidden="false" customHeight="false" outlineLevel="0" collapsed="false">
      <c r="A1308" s="1" t="s">
        <v>2452</v>
      </c>
      <c r="B1308" s="1" t="s">
        <v>157</v>
      </c>
      <c r="C1308" s="1" t="s">
        <v>1151</v>
      </c>
      <c r="D1308" s="1" t="n">
        <v>203</v>
      </c>
      <c r="E1308" s="48" t="str">
        <f aca="false">IF('RAW WCH'!C203="","",'RAW WCH'!C203)</f>
        <v>chw outreach</v>
      </c>
      <c r="F1308" s="48" t="str">
        <f aca="false">IF('RAW WCH'!D203="","",'RAW WCH'!D203)</f>
        <v>CHIS support</v>
      </c>
      <c r="G1308" s="49" t="n">
        <f aca="false">IF('RAW WCH'!B203="","",'RAW WCH'!B203)</f>
        <v>46112</v>
      </c>
      <c r="H1308" s="48" t="str">
        <f aca="false">IF('RAW WCH'!E203="","",'RAW WCH'!E203)</f>
        <v> Care Navigator</v>
      </c>
      <c r="I1308" s="48" t="n">
        <f aca="false">IF('RAW WCH'!F203="","",'RAW WCH'!F203)</f>
        <v>111.5</v>
      </c>
      <c r="J1308" s="48" t="str">
        <f aca="false">IF('RAW WCH'!G203="","",'RAW WCH'!G203)</f>
        <v/>
      </c>
      <c r="K1308" s="50" t="str">
        <f aca="false">IF('RAW WCH'!H203="","",'RAW WCH'!H203)</f>
        <v/>
      </c>
      <c r="L1308" s="50" t="str">
        <f aca="false">IF('RAW WCH'!I203="","",'RAW WCH'!I203)</f>
        <v/>
      </c>
      <c r="M1308" s="48" t="str">
        <f aca="false">IF('RAW WCH'!J203="","",'RAW WCH'!J203)</f>
        <v/>
      </c>
    </row>
    <row r="1309" customFormat="false" ht="15" hidden="false" customHeight="false" outlineLevel="0" collapsed="false">
      <c r="A1309" s="1" t="s">
        <v>2453</v>
      </c>
      <c r="B1309" s="1" t="s">
        <v>157</v>
      </c>
      <c r="C1309" s="1" t="s">
        <v>1151</v>
      </c>
      <c r="D1309" s="1" t="n">
        <v>204</v>
      </c>
      <c r="E1309" s="48" t="str">
        <f aca="false">IF('RAW WCH'!C204="","",'RAW WCH'!C204)</f>
        <v>produce prescription</v>
      </c>
      <c r="F1309" s="48" t="str">
        <f aca="false">IF('RAW WCH'!D204="","",'RAW WCH'!D204)</f>
        <v>CHIS support</v>
      </c>
      <c r="G1309" s="49" t="str">
        <f aca="false">IF('RAW WCH'!B204="","",'RAW WCH'!B204)</f>
        <v>March 31, 2026</v>
      </c>
      <c r="H1309" s="48" t="str">
        <f aca="false">IF('RAW WCH'!E204="","",'RAW WCH'!E204)</f>
        <v>Comm. Health Worker </v>
      </c>
      <c r="I1309" s="48" t="n">
        <f aca="false">IF('RAW WCH'!F204="","",'RAW WCH'!F204)</f>
        <v>49</v>
      </c>
      <c r="J1309" s="48" t="str">
        <f aca="false">IF('RAW WCH'!G204="","",'RAW WCH'!G204)</f>
        <v/>
      </c>
      <c r="K1309" s="50" t="str">
        <f aca="false">IF('RAW WCH'!H204="","",'RAW WCH'!H204)</f>
        <v/>
      </c>
      <c r="L1309" s="50" t="str">
        <f aca="false">IF('RAW WCH'!I204="","",'RAW WCH'!I204)</f>
        <v/>
      </c>
      <c r="M1309" s="48" t="str">
        <f aca="false">IF('RAW WCH'!J204="","",'RAW WCH'!J204)</f>
        <v/>
      </c>
    </row>
    <row r="1310" customFormat="false" ht="15" hidden="false" customHeight="false" outlineLevel="0" collapsed="false">
      <c r="A1310" s="1" t="s">
        <v>2454</v>
      </c>
      <c r="B1310" s="1" t="s">
        <v>157</v>
      </c>
      <c r="C1310" s="1" t="s">
        <v>1151</v>
      </c>
      <c r="D1310" s="1" t="n">
        <v>205</v>
      </c>
      <c r="E1310" s="48" t="str">
        <f aca="false">IF('RAW WCH'!C205="","",'RAW WCH'!C205)</f>
        <v>produce prescription</v>
      </c>
      <c r="F1310" s="48" t="str">
        <f aca="false">IF('RAW WCH'!D205="","",'RAW WCH'!D205)</f>
        <v>CHIS support</v>
      </c>
      <c r="G1310" s="49" t="n">
        <f aca="false">IF('RAW WCH'!B205="","",'RAW WCH'!B205)</f>
        <v>46112</v>
      </c>
      <c r="H1310" s="48" t="str">
        <f aca="false">IF('RAW WCH'!E205="","",'RAW WCH'!E205)</f>
        <v>NUTRITIONIST</v>
      </c>
      <c r="I1310" s="48" t="n">
        <f aca="false">IF('RAW WCH'!F205="","",'RAW WCH'!F205)</f>
        <v>22</v>
      </c>
      <c r="J1310" s="48" t="n">
        <f aca="false">IF('RAW WCH'!G205="","",'RAW WCH'!G205)</f>
        <v>109</v>
      </c>
      <c r="K1310" s="50" t="n">
        <f aca="false">IF('RAW WCH'!H205="","",'RAW WCH'!H205)</f>
        <v>7590</v>
      </c>
      <c r="L1310" s="50" t="n">
        <f aca="false">IF('RAW WCH'!I205="","",'RAW WCH'!I205)</f>
        <v>7275</v>
      </c>
      <c r="M1310" s="48" t="str">
        <f aca="false">IF('RAW WCH'!J205="","",'RAW WCH'!J205)</f>
        <v/>
      </c>
    </row>
    <row r="1311" customFormat="false" ht="15" hidden="false" customHeight="false" outlineLevel="0" collapsed="false">
      <c r="A1311" s="1" t="s">
        <v>2455</v>
      </c>
      <c r="B1311" s="1" t="s">
        <v>157</v>
      </c>
      <c r="C1311" s="1" t="s">
        <v>1151</v>
      </c>
      <c r="D1311" s="1" t="n">
        <v>206</v>
      </c>
      <c r="E1311" s="48" t="str">
        <f aca="false">IF('RAW WCH'!C206="","",'RAW WCH'!C206)</f>
        <v>cb admin</v>
      </c>
      <c r="F1311" s="48" t="str">
        <f aca="false">IF('RAW WCH'!D206="","",'RAW WCH'!D206)</f>
        <v>cb operations</v>
      </c>
      <c r="G1311" s="49" t="str">
        <f aca="false">IF('RAW WCH'!B206="","",'RAW WCH'!B206)</f>
        <v>3/31/26</v>
      </c>
      <c r="H1311" s="48" t="str">
        <f aca="false">IF('RAW WCH'!E206="","",'RAW WCH'!E206)</f>
        <v>Administrative Assistant</v>
      </c>
      <c r="I1311" s="48" t="n">
        <f aca="false">IF('RAW WCH'!F206="","",'RAW WCH'!F206)</f>
        <v>42</v>
      </c>
      <c r="J1311" s="48" t="str">
        <f aca="false">IF('RAW WCH'!G206="","",'RAW WCH'!G206)</f>
        <v/>
      </c>
      <c r="K1311" s="50" t="str">
        <f aca="false">IF('RAW WCH'!H206="","",'RAW WCH'!H206)</f>
        <v/>
      </c>
      <c r="L1311" s="50" t="str">
        <f aca="false">IF('RAW WCH'!I206="","",'RAW WCH'!I206)</f>
        <v/>
      </c>
      <c r="M1311" s="48" t="str">
        <f aca="false">IF('RAW WCH'!J206="","",'RAW WCH'!J206)</f>
        <v/>
      </c>
    </row>
    <row r="1312" customFormat="false" ht="15" hidden="false" customHeight="false" outlineLevel="0" collapsed="false">
      <c r="A1312" s="1" t="s">
        <v>2456</v>
      </c>
      <c r="B1312" s="1" t="s">
        <v>157</v>
      </c>
      <c r="C1312" s="1" t="s">
        <v>1151</v>
      </c>
      <c r="D1312" s="1" t="n">
        <v>207</v>
      </c>
      <c r="E1312" s="48" t="str">
        <f aca="false">IF('RAW WCH'!C207="","",'RAW WCH'!C207)</f>
        <v>cb admin</v>
      </c>
      <c r="F1312" s="48" t="str">
        <f aca="false">IF('RAW WCH'!D207="","",'RAW WCH'!D207)</f>
        <v>cb operations</v>
      </c>
      <c r="G1312" s="49" t="n">
        <f aca="false">IF('RAW WCH'!B207="","",'RAW WCH'!B207)</f>
        <v>46112</v>
      </c>
      <c r="H1312" s="48" t="str">
        <f aca="false">IF('RAW WCH'!E207="","",'RAW WCH'!E207)</f>
        <v>Community Benefit Mgr</v>
      </c>
      <c r="I1312" s="48" t="n">
        <f aca="false">IF('RAW WCH'!F207="","",'RAW WCH'!F207)</f>
        <v>52.25</v>
      </c>
      <c r="J1312" s="48" t="str">
        <f aca="false">IF('RAW WCH'!G207="","",'RAW WCH'!G207)</f>
        <v/>
      </c>
      <c r="K1312" s="50" t="n">
        <f aca="false">IF('RAW WCH'!H207="","",'RAW WCH'!H207)</f>
        <v>615</v>
      </c>
      <c r="L1312" s="50" t="str">
        <f aca="false">IF('RAW WCH'!I207="","",'RAW WCH'!I207)</f>
        <v/>
      </c>
      <c r="M1312" s="48" t="str">
        <f aca="false">IF('RAW WCH'!J207="","",'RAW WCH'!J207)</f>
        <v/>
      </c>
    </row>
    <row r="1313" customFormat="false" ht="15" hidden="false" customHeight="false" outlineLevel="0" collapsed="false">
      <c r="A1313" s="1" t="s">
        <v>2457</v>
      </c>
      <c r="B1313" s="1" t="s">
        <v>157</v>
      </c>
      <c r="C1313" s="1" t="s">
        <v>1151</v>
      </c>
      <c r="D1313" s="1" t="n">
        <v>208</v>
      </c>
      <c r="E1313" s="48" t="str">
        <f aca="false">IF('RAW WCH'!C208="","",'RAW WCH'!C208)</f>
        <v>community paramedic</v>
      </c>
      <c r="F1313" s="48" t="str">
        <f aca="false">IF('RAW WCH'!D208="","",'RAW WCH'!D208)</f>
        <v>CHIS clinical</v>
      </c>
      <c r="G1313" s="49" t="str">
        <f aca="false">IF('RAW WCH'!B208="","",'RAW WCH'!B208)</f>
        <v>3/31/26</v>
      </c>
      <c r="H1313" s="48" t="str">
        <f aca="false">IF('RAW WCH'!E208="","",'RAW WCH'!E208)</f>
        <v>Flight Paramedic</v>
      </c>
      <c r="I1313" s="48" t="n">
        <f aca="false">IF('RAW WCH'!F208="","",'RAW WCH'!F208)</f>
        <v>59.25</v>
      </c>
      <c r="J1313" s="48" t="n">
        <f aca="false">IF('RAW WCH'!G208="","",'RAW WCH'!G208)</f>
        <v>37</v>
      </c>
      <c r="K1313" s="50" t="n">
        <f aca="false">IF('RAW WCH'!H208="","",'RAW WCH'!H208)</f>
        <v>730</v>
      </c>
      <c r="L1313" s="50" t="str">
        <f aca="false">IF('RAW WCH'!I208="","",'RAW WCH'!I208)</f>
        <v/>
      </c>
      <c r="M1313" s="48" t="str">
        <f aca="false">IF('RAW WCH'!J208="","",'RAW WCH'!J208)</f>
        <v/>
      </c>
    </row>
    <row r="1314" customFormat="false" ht="15" hidden="false" customHeight="false" outlineLevel="0" collapsed="false">
      <c r="A1314" s="1" t="s">
        <v>2458</v>
      </c>
      <c r="B1314" s="1" t="s">
        <v>157</v>
      </c>
      <c r="C1314" s="1" t="s">
        <v>1151</v>
      </c>
      <c r="D1314" s="1" t="n">
        <v>209</v>
      </c>
      <c r="E1314" s="48" t="str">
        <f aca="false">IF('RAW WCH'!C209="","",'RAW WCH'!C209)</f>
        <v>nursing students</v>
      </c>
      <c r="F1314" s="48" t="str">
        <f aca="false">IF('RAW WCH'!D209="","",'RAW WCH'!D209)</f>
        <v>health professions ed</v>
      </c>
      <c r="G1314" s="49" t="n">
        <f aca="false">IF('RAW WCH'!B209="","",'RAW WCH'!B209)</f>
        <v>46112</v>
      </c>
      <c r="H1314" s="48" t="str">
        <f aca="false">IF('RAW WCH'!E209="","",'RAW WCH'!E209)</f>
        <v>Clin Educator </v>
      </c>
      <c r="I1314" s="48" t="n">
        <f aca="false">IF('RAW WCH'!F209="","",'RAW WCH'!F209)</f>
        <v>68.75</v>
      </c>
      <c r="J1314" s="48" t="n">
        <f aca="false">IF('RAW WCH'!G209="","",'RAW WCH'!G209)</f>
        <v>26</v>
      </c>
      <c r="K1314" s="50" t="n">
        <f aca="false">IF('RAW WCH'!H209="","",'RAW WCH'!H209)</f>
        <v>530</v>
      </c>
      <c r="L1314" s="50" t="str">
        <f aca="false">IF('RAW WCH'!I209="","",'RAW WCH'!I209)</f>
        <v/>
      </c>
      <c r="M1314" s="48" t="str">
        <f aca="false">IF('RAW WCH'!J209="","",'RAW WCH'!J209)</f>
        <v/>
      </c>
    </row>
    <row r="1315" customFormat="false" ht="15" hidden="false" customHeight="false" outlineLevel="0" collapsed="false">
      <c r="A1315" s="1" t="s">
        <v>2459</v>
      </c>
      <c r="B1315" s="1" t="s">
        <v>157</v>
      </c>
      <c r="C1315" s="1" t="s">
        <v>1151</v>
      </c>
      <c r="D1315" s="1" t="n">
        <v>210</v>
      </c>
      <c r="E1315" s="48" t="str">
        <f aca="false">IF('RAW WCH'!C210="","",'RAW WCH'!C210)</f>
        <v>nursing students</v>
      </c>
      <c r="F1315" s="48" t="str">
        <f aca="false">IF('RAW WCH'!D210="","",'RAW WCH'!D210)</f>
        <v>health professions ed</v>
      </c>
      <c r="G1315" s="49" t="str">
        <f aca="false">IF('RAW WCH'!B210="","",'RAW WCH'!B210)</f>
        <v>March 31, 2026</v>
      </c>
      <c r="H1315" s="48" t="str">
        <f aca="false">IF('RAW WCH'!E210="","",'RAW WCH'!E210)</f>
        <v>RN III</v>
      </c>
      <c r="I1315" s="48" t="n">
        <f aca="false">IF('RAW WCH'!F210="","",'RAW WCH'!F210)</f>
        <v>145</v>
      </c>
      <c r="J1315" s="48" t="str">
        <f aca="false">IF('RAW WCH'!G210="","",'RAW WCH'!G210)</f>
        <v/>
      </c>
      <c r="K1315" s="50" t="str">
        <f aca="false">IF('RAW WCH'!H210="","",'RAW WCH'!H210)</f>
        <v/>
      </c>
      <c r="L1315" s="50" t="str">
        <f aca="false">IF('RAW WCH'!I210="","",'RAW WCH'!I210)</f>
        <v/>
      </c>
      <c r="M1315" s="48" t="str">
        <f aca="false">IF('RAW WCH'!J210="","",'RAW WCH'!J210)</f>
        <v/>
      </c>
    </row>
    <row r="1316" customFormat="false" ht="15" hidden="false" customHeight="false" outlineLevel="0" collapsed="false">
      <c r="A1316" s="1" t="s">
        <v>2460</v>
      </c>
      <c r="B1316" s="1" t="s">
        <v>157</v>
      </c>
      <c r="C1316" s="1" t="s">
        <v>1151</v>
      </c>
      <c r="D1316" s="1" t="n">
        <v>211</v>
      </c>
      <c r="E1316" s="48" t="str">
        <f aca="false">IF('RAW WCH'!C211="","",'RAW WCH'!C211)</f>
        <v>paramedic students</v>
      </c>
      <c r="F1316" s="48" t="str">
        <f aca="false">IF('RAW WCH'!D211="","",'RAW WCH'!D211)</f>
        <v>health professions ed</v>
      </c>
      <c r="G1316" s="49" t="str">
        <f aca="false">IF('RAW WCH'!B211="","",'RAW WCH'!B211)</f>
        <v>March 31, 2026</v>
      </c>
      <c r="H1316" s="48" t="str">
        <f aca="false">IF('RAW WCH'!E211="","",'RAW WCH'!E211)</f>
        <v>EMS Paramedic</v>
      </c>
      <c r="I1316" s="48" t="n">
        <f aca="false">IF('RAW WCH'!F211="","",'RAW WCH'!F211)</f>
        <v>48</v>
      </c>
      <c r="J1316" s="48" t="n">
        <f aca="false">IF('RAW WCH'!G211="","",'RAW WCH'!G211)</f>
        <v>2</v>
      </c>
      <c r="K1316" s="50" t="n">
        <f aca="false">IF('RAW WCH'!H211="","",'RAW WCH'!H211)</f>
        <v>15</v>
      </c>
      <c r="L1316" s="50" t="str">
        <f aca="false">IF('RAW WCH'!I211="","",'RAW WCH'!I211)</f>
        <v/>
      </c>
      <c r="M1316" s="48" t="str">
        <f aca="false">IF('RAW WCH'!J211="","",'RAW WCH'!J211)</f>
        <v/>
      </c>
    </row>
    <row r="1317" customFormat="false" ht="15" hidden="false" customHeight="false" outlineLevel="0" collapsed="false">
      <c r="A1317" s="1" t="s">
        <v>2461</v>
      </c>
      <c r="B1317" s="1" t="s">
        <v>157</v>
      </c>
      <c r="C1317" s="1" t="s">
        <v>1151</v>
      </c>
      <c r="D1317" s="1" t="n">
        <v>212</v>
      </c>
      <c r="E1317" s="48" t="str">
        <f aca="false">IF('RAW WCH'!C212="","",'RAW WCH'!C212)</f>
        <v>rural maternal study</v>
      </c>
      <c r="F1317" s="48" t="str">
        <f aca="false">IF('RAW WCH'!D212="","",'RAW WCH'!D212)</f>
        <v>research</v>
      </c>
      <c r="G1317" s="49" t="n">
        <f aca="false">IF('RAW WCH'!B212="","",'RAW WCH'!B212)</f>
        <v>46112</v>
      </c>
      <c r="H1317" s="48" t="str">
        <f aca="false">IF('RAW WCH'!E212="","",'RAW WCH'!E212)</f>
        <v> Sr Data Analyst</v>
      </c>
      <c r="I1317" s="48" t="n">
        <f aca="false">IF('RAW WCH'!F212="","",'RAW WCH'!F212)</f>
        <v>8.5</v>
      </c>
      <c r="J1317" s="48" t="str">
        <f aca="false">IF('RAW WCH'!G212="","",'RAW WCH'!G212)</f>
        <v/>
      </c>
      <c r="K1317" s="50" t="str">
        <f aca="false">IF('RAW WCH'!H212="","",'RAW WCH'!H212)</f>
        <v/>
      </c>
      <c r="L1317" s="50" t="str">
        <f aca="false">IF('RAW WCH'!I212="","",'RAW WCH'!I212)</f>
        <v/>
      </c>
      <c r="M1317" s="48" t="str">
        <f aca="false">IF('RAW WCH'!J212="","",'RAW WCH'!J212)</f>
        <v/>
      </c>
    </row>
    <row r="1318" customFormat="false" ht="15" hidden="false" customHeight="false" outlineLevel="0" collapsed="false">
      <c r="A1318" s="1" t="s">
        <v>2462</v>
      </c>
      <c r="B1318" s="1" t="s">
        <v>157</v>
      </c>
      <c r="C1318" s="1" t="s">
        <v>1151</v>
      </c>
      <c r="D1318" s="1" t="n">
        <v>213</v>
      </c>
      <c r="E1318" s="48" t="str">
        <f aca="false">IF('RAW WCH'!C213="","",'RAW WCH'!C213)</f>
        <v>rural maternal study</v>
      </c>
      <c r="F1318" s="48" t="str">
        <f aca="false">IF('RAW WCH'!D213="","",'RAW WCH'!D213)</f>
        <v>research</v>
      </c>
      <c r="G1318" s="49" t="n">
        <f aca="false">IF('RAW WCH'!B213="","",'RAW WCH'!B213)</f>
        <v>46112</v>
      </c>
      <c r="H1318" s="48" t="str">
        <f aca="false">IF('RAW WCH'!E213="","",'RAW WCH'!E213)</f>
        <v>Research Coordinator</v>
      </c>
      <c r="I1318" s="48" t="n">
        <f aca="false">IF('RAW WCH'!F213="","",'RAW WCH'!F213)</f>
        <v>50.5</v>
      </c>
      <c r="J1318" s="48" t="n">
        <f aca="false">IF('RAW WCH'!G213="","",'RAW WCH'!G213)</f>
        <v>9</v>
      </c>
      <c r="K1318" s="50" t="n">
        <f aca="false">IF('RAW WCH'!H213="","",'RAW WCH'!H213)</f>
        <v>1430</v>
      </c>
      <c r="L1318" s="50" t="n">
        <f aca="false">IF('RAW WCH'!I213="","",'RAW WCH'!I213)</f>
        <v>4380</v>
      </c>
      <c r="M1318" s="48" t="str">
        <f aca="false">IF('RAW WCH'!J213="","",'RAW WCH'!J213)</f>
        <v/>
      </c>
    </row>
    <row r="1319" customFormat="false" ht="15" hidden="false" customHeight="false" outlineLevel="0" collapsed="false">
      <c r="A1319" s="1" t="s">
        <v>2463</v>
      </c>
      <c r="B1319" s="1" t="s">
        <v>157</v>
      </c>
      <c r="C1319" s="1" t="s">
        <v>1151</v>
      </c>
      <c r="D1319" s="1" t="n">
        <v>214</v>
      </c>
      <c r="E1319" s="48" t="str">
        <f aca="false">IF('RAW WCH'!C214="","",'RAW WCH'!C214)</f>
        <v>diabetes prevention class</v>
      </c>
      <c r="F1319" s="48" t="str">
        <f aca="false">IF('RAW WCH'!D214="","",'RAW WCH'!D214)</f>
        <v>community health improvement services</v>
      </c>
      <c r="G1319" s="49" t="str">
        <f aca="false">IF('RAW WCH'!B214="","",'RAW WCH'!B214)</f>
        <v>April 3, 2026</v>
      </c>
      <c r="H1319" s="48" t="str">
        <f aca="false">IF('RAW WCH'!E214="","",'RAW WCH'!E214)</f>
        <v>Community Educator</v>
      </c>
      <c r="I1319" s="48" t="n">
        <f aca="false">IF('RAW WCH'!F214="","",'RAW WCH'!F214)</f>
        <v>2.5</v>
      </c>
      <c r="J1319" s="48" t="n">
        <f aca="false">IF('RAW WCH'!G214="","",'RAW WCH'!G214)</f>
        <v>13</v>
      </c>
      <c r="K1319" s="50" t="n">
        <f aca="false">IF('RAW WCH'!H214="","",'RAW WCH'!H214)</f>
        <v>60</v>
      </c>
      <c r="L1319" s="50" t="str">
        <f aca="false">IF('RAW WCH'!I214="","",'RAW WCH'!I214)</f>
        <v/>
      </c>
      <c r="M1319" s="48" t="str">
        <f aca="false">IF('RAW WCH'!J214="","",'RAW WCH'!J214)</f>
        <v/>
      </c>
    </row>
    <row r="1320" customFormat="false" ht="15" hidden="false" customHeight="false" outlineLevel="0" collapsed="false">
      <c r="A1320" s="1" t="s">
        <v>2464</v>
      </c>
      <c r="B1320" s="1" t="s">
        <v>157</v>
      </c>
      <c r="C1320" s="1" t="s">
        <v>1151</v>
      </c>
      <c r="D1320" s="1" t="n">
        <v>215</v>
      </c>
      <c r="E1320" s="48" t="str">
        <f aca="false">IF('RAW WCH'!C215="","",'RAW WCH'!C215)</f>
        <v>diabetes prevention class</v>
      </c>
      <c r="F1320" s="48" t="str">
        <f aca="false">IF('RAW WCH'!D215="","",'RAW WCH'!D215)</f>
        <v>community health improvement services</v>
      </c>
      <c r="G1320" s="49" t="str">
        <f aca="false">IF('RAW WCH'!B215="","",'RAW WCH'!B215)</f>
        <v>4/3/26</v>
      </c>
      <c r="H1320" s="48" t="str">
        <f aca="false">IF('RAW WCH'!E215="","",'RAW WCH'!E215)</f>
        <v>Dietitian</v>
      </c>
      <c r="I1320" s="48" t="str">
        <f aca="false">IF('RAW WCH'!F215="","",'RAW WCH'!F215)</f>
        <v>1.75 hr</v>
      </c>
      <c r="J1320" s="48" t="str">
        <f aca="false">IF('RAW WCH'!G215="","",'RAW WCH'!G215)</f>
        <v/>
      </c>
      <c r="K1320" s="50" t="str">
        <f aca="false">IF('RAW WCH'!H215="","",'RAW WCH'!H215)</f>
        <v/>
      </c>
      <c r="L1320" s="50" t="str">
        <f aca="false">IF('RAW WCH'!I215="","",'RAW WCH'!I215)</f>
        <v/>
      </c>
      <c r="M1320" s="48" t="str">
        <f aca="false">IF('RAW WCH'!J215="","",'RAW WCH'!J215)</f>
        <v/>
      </c>
    </row>
    <row r="1321" customFormat="false" ht="15" hidden="false" customHeight="false" outlineLevel="0" collapsed="false">
      <c r="A1321" s="1" t="s">
        <v>2465</v>
      </c>
      <c r="B1321" s="1" t="s">
        <v>157</v>
      </c>
      <c r="C1321" s="1" t="s">
        <v>1151</v>
      </c>
      <c r="D1321" s="1" t="n">
        <v>216</v>
      </c>
      <c r="E1321" s="48" t="str">
        <f aca="false">IF('RAW WCH'!C216="","",'RAW WCH'!C216)</f>
        <v>diabetes prevention class</v>
      </c>
      <c r="F1321" s="48" t="str">
        <f aca="false">IF('RAW WCH'!D216="","",'RAW WCH'!D216)</f>
        <v>community health improvement services</v>
      </c>
      <c r="G1321" s="49" t="str">
        <f aca="false">IF('RAW WCH'!B216="","",'RAW WCH'!B216)</f>
        <v>April 6, 2026</v>
      </c>
      <c r="H1321" s="48" t="str">
        <f aca="false">IF('RAW WCH'!E216="","",'RAW WCH'!E216)</f>
        <v>Health Ed</v>
      </c>
      <c r="I1321" s="48" t="n">
        <f aca="false">IF('RAW WCH'!F216="","",'RAW WCH'!F216)</f>
        <v>2.5</v>
      </c>
      <c r="J1321" s="48" t="n">
        <f aca="false">IF('RAW WCH'!G216="","",'RAW WCH'!G216)</f>
        <v>12</v>
      </c>
      <c r="K1321" s="50" t="n">
        <f aca="false">IF('RAW WCH'!H216="","",'RAW WCH'!H216)</f>
        <v>115</v>
      </c>
      <c r="L1321" s="50" t="str">
        <f aca="false">IF('RAW WCH'!I216="","",'RAW WCH'!I216)</f>
        <v/>
      </c>
      <c r="M1321" s="48" t="str">
        <f aca="false">IF('RAW WCH'!J216="","",'RAW WCH'!J216)</f>
        <v/>
      </c>
    </row>
    <row r="1322" customFormat="false" ht="15" hidden="false" customHeight="false" outlineLevel="0" collapsed="false">
      <c r="A1322" s="1" t="s">
        <v>2466</v>
      </c>
      <c r="B1322" s="1" t="s">
        <v>157</v>
      </c>
      <c r="C1322" s="1" t="s">
        <v>1151</v>
      </c>
      <c r="D1322" s="1" t="n">
        <v>217</v>
      </c>
      <c r="E1322" s="48" t="str">
        <f aca="false">IF('RAW WCH'!C217="","",'RAW WCH'!C217)</f>
        <v>diabetes prevention class</v>
      </c>
      <c r="F1322" s="48" t="str">
        <f aca="false">IF('RAW WCH'!D217="","",'RAW WCH'!D217)</f>
        <v>community health improvement services</v>
      </c>
      <c r="G1322" s="49" t="n">
        <f aca="false">IF('RAW WCH'!B217="","",'RAW WCH'!B217)</f>
        <v>46118</v>
      </c>
      <c r="H1322" s="48" t="str">
        <f aca="false">IF('RAW WCH'!E217="","",'RAW WCH'!E217)</f>
        <v>Registered Dietitian</v>
      </c>
      <c r="I1322" s="48" t="n">
        <f aca="false">IF('RAW WCH'!F217="","",'RAW WCH'!F217)</f>
        <v>1.75</v>
      </c>
      <c r="J1322" s="48" t="str">
        <f aca="false">IF('RAW WCH'!G217="","",'RAW WCH'!G217)</f>
        <v/>
      </c>
      <c r="K1322" s="50" t="str">
        <f aca="false">IF('RAW WCH'!H217="","",'RAW WCH'!H217)</f>
        <v/>
      </c>
      <c r="L1322" s="50" t="str">
        <f aca="false">IF('RAW WCH'!I217="","",'RAW WCH'!I217)</f>
        <v/>
      </c>
      <c r="M1322" s="48" t="str">
        <f aca="false">IF('RAW WCH'!J217="","",'RAW WCH'!J217)</f>
        <v/>
      </c>
    </row>
    <row r="1323" customFormat="false" ht="15" hidden="false" customHeight="false" outlineLevel="0" collapsed="false">
      <c r="A1323" s="1" t="s">
        <v>2467</v>
      </c>
      <c r="B1323" s="1" t="s">
        <v>157</v>
      </c>
      <c r="C1323" s="1" t="s">
        <v>1151</v>
      </c>
      <c r="D1323" s="1" t="n">
        <v>218</v>
      </c>
      <c r="E1323" s="48" t="str">
        <f aca="false">IF('RAW WCH'!C218="","",'RAW WCH'!C218)</f>
        <v>grief group</v>
      </c>
      <c r="F1323" s="48" t="str">
        <f aca="false">IF('RAW WCH'!D218="","",'RAW WCH'!D218)</f>
        <v>CHIS support</v>
      </c>
      <c r="G1323" s="49" t="n">
        <f aca="false">IF('RAW WCH'!B218="","",'RAW WCH'!B218)</f>
        <v>46135</v>
      </c>
      <c r="H1323" s="48" t="str">
        <f aca="false">IF('RAW WCH'!E218="","",'RAW WCH'!E218)</f>
        <v>Spiritual Care</v>
      </c>
      <c r="I1323" s="48" t="n">
        <f aca="false">IF('RAW WCH'!F218="","",'RAW WCH'!F218)</f>
        <v>2.5</v>
      </c>
      <c r="J1323" s="48" t="n">
        <f aca="false">IF('RAW WCH'!G218="","",'RAW WCH'!G218)</f>
        <v>7</v>
      </c>
      <c r="K1323" s="50" t="n">
        <f aca="false">IF('RAW WCH'!H218="","",'RAW WCH'!H218)</f>
        <v>20</v>
      </c>
      <c r="L1323" s="50" t="str">
        <f aca="false">IF('RAW WCH'!I218="","",'RAW WCH'!I218)</f>
        <v/>
      </c>
      <c r="M1323" s="48" t="str">
        <f aca="false">IF('RAW WCH'!J218="","",'RAW WCH'!J218)</f>
        <v/>
      </c>
    </row>
    <row r="1324" customFormat="false" ht="15" hidden="false" customHeight="false" outlineLevel="0" collapsed="false">
      <c r="A1324" s="1" t="s">
        <v>2468</v>
      </c>
      <c r="B1324" s="1" t="s">
        <v>157</v>
      </c>
      <c r="C1324" s="1" t="s">
        <v>1151</v>
      </c>
      <c r="D1324" s="1" t="n">
        <v>219</v>
      </c>
      <c r="E1324" s="48" t="str">
        <f aca="false">IF('RAW WCH'!C219="","",'RAW WCH'!C219)</f>
        <v>grief group</v>
      </c>
      <c r="F1324" s="48" t="str">
        <f aca="false">IF('RAW WCH'!D219="","",'RAW WCH'!D219)</f>
        <v>CHIS support</v>
      </c>
      <c r="G1324" s="49" t="n">
        <f aca="false">IF('RAW WCH'!B219="","",'RAW WCH'!B219)</f>
        <v>46135</v>
      </c>
      <c r="H1324" s="48" t="str">
        <f aca="false">IF('RAW WCH'!E219="","",'RAW WCH'!E219)</f>
        <v>Clinical Social Worker</v>
      </c>
      <c r="I1324" s="48" t="n">
        <f aca="false">IF('RAW WCH'!F219="","",'RAW WCH'!F219)</f>
        <v>1.75</v>
      </c>
      <c r="J1324" s="48" t="str">
        <f aca="false">IF('RAW WCH'!G219="","",'RAW WCH'!G219)</f>
        <v/>
      </c>
      <c r="K1324" s="50" t="str">
        <f aca="false">IF('RAW WCH'!H219="","",'RAW WCH'!H219)</f>
        <v/>
      </c>
      <c r="L1324" s="50" t="str">
        <f aca="false">IF('RAW WCH'!I219="","",'RAW WCH'!I219)</f>
        <v/>
      </c>
      <c r="M1324" s="48" t="str">
        <f aca="false">IF('RAW WCH'!J219="","",'RAW WCH'!J219)</f>
        <v/>
      </c>
    </row>
    <row r="1325" customFormat="false" ht="15" hidden="false" customHeight="false" outlineLevel="0" collapsed="false">
      <c r="A1325" s="1" t="s">
        <v>2469</v>
      </c>
      <c r="B1325" s="1" t="s">
        <v>157</v>
      </c>
      <c r="C1325" s="1" t="s">
        <v>1151</v>
      </c>
      <c r="D1325" s="1" t="n">
        <v>220</v>
      </c>
      <c r="E1325" s="48" t="str">
        <f aca="false">IF('RAW WCH'!C220="","",'RAW WCH'!C220)</f>
        <v>grief group</v>
      </c>
      <c r="F1325" s="48" t="str">
        <f aca="false">IF('RAW WCH'!D220="","",'RAW WCH'!D220)</f>
        <v>CHIS support</v>
      </c>
      <c r="G1325" s="49" t="n">
        <f aca="false">IF('RAW WCH'!B220="","",'RAW WCH'!B220)</f>
        <v>46137</v>
      </c>
      <c r="H1325" s="48" t="str">
        <f aca="false">IF('RAW WCH'!E220="","",'RAW WCH'!E220)</f>
        <v>Pastoral Care</v>
      </c>
      <c r="I1325" s="48" t="n">
        <f aca="false">IF('RAW WCH'!F220="","",'RAW WCH'!F220)</f>
        <v>2.25</v>
      </c>
      <c r="J1325" s="48" t="n">
        <f aca="false">IF('RAW WCH'!G220="","",'RAW WCH'!G220)</f>
        <v>6</v>
      </c>
      <c r="K1325" s="50" t="n">
        <f aca="false">IF('RAW WCH'!H220="","",'RAW WCH'!H220)</f>
        <v>45</v>
      </c>
      <c r="L1325" s="50" t="str">
        <f aca="false">IF('RAW WCH'!I220="","",'RAW WCH'!I220)</f>
        <v/>
      </c>
      <c r="M1325" s="48" t="str">
        <f aca="false">IF('RAW WCH'!J220="","",'RAW WCH'!J220)</f>
        <v/>
      </c>
    </row>
    <row r="1326" customFormat="false" ht="15" hidden="false" customHeight="false" outlineLevel="0" collapsed="false">
      <c r="A1326" s="1" t="s">
        <v>2470</v>
      </c>
      <c r="B1326" s="1" t="s">
        <v>157</v>
      </c>
      <c r="C1326" s="1" t="s">
        <v>1151</v>
      </c>
      <c r="D1326" s="1" t="n">
        <v>221</v>
      </c>
      <c r="E1326" s="48" t="str">
        <f aca="false">IF('RAW WCH'!C221="","",'RAW WCH'!C221)</f>
        <v>grief group</v>
      </c>
      <c r="F1326" s="48" t="str">
        <f aca="false">IF('RAW WCH'!D221="","",'RAW WCH'!D221)</f>
        <v>CHIS support</v>
      </c>
      <c r="G1326" s="49" t="str">
        <f aca="false">IF('RAW WCH'!B221="","",'RAW WCH'!B221)</f>
        <v>4/25/26</v>
      </c>
      <c r="H1326" s="48" t="str">
        <f aca="false">IF('RAW WCH'!E221="","",'RAW WCH'!E221)</f>
        <v>Social Work</v>
      </c>
      <c r="I1326" s="48" t="n">
        <f aca="false">IF('RAW WCH'!F221="","",'RAW WCH'!F221)</f>
        <v>1.75</v>
      </c>
      <c r="J1326" s="48" t="str">
        <f aca="false">IF('RAW WCH'!G221="","",'RAW WCH'!G221)</f>
        <v/>
      </c>
      <c r="K1326" s="50" t="str">
        <f aca="false">IF('RAW WCH'!H221="","",'RAW WCH'!H221)</f>
        <v/>
      </c>
      <c r="L1326" s="50" t="str">
        <f aca="false">IF('RAW WCH'!I221="","",'RAW WCH'!I221)</f>
        <v/>
      </c>
      <c r="M1326" s="48" t="str">
        <f aca="false">IF('RAW WCH'!J221="","",'RAW WCH'!J221)</f>
        <v/>
      </c>
    </row>
    <row r="1327" customFormat="false" ht="15" hidden="false" customHeight="false" outlineLevel="0" collapsed="false">
      <c r="A1327" s="1" t="s">
        <v>2471</v>
      </c>
      <c r="B1327" s="1" t="s">
        <v>157</v>
      </c>
      <c r="C1327" s="1" t="s">
        <v>1151</v>
      </c>
      <c r="D1327" s="1" t="n">
        <v>222</v>
      </c>
      <c r="E1327" s="48" t="str">
        <f aca="false">IF('RAW WCH'!C222="","",'RAW WCH'!C222)</f>
        <v>mobile van screenings</v>
      </c>
      <c r="F1327" s="48" t="str">
        <f aca="false">IF('RAW WCH'!D222="","",'RAW WCH'!D222)</f>
        <v>CHIS clinical</v>
      </c>
      <c r="G1327" s="49" t="n">
        <f aca="false">IF('RAW WCH'!B222="","",'RAW WCH'!B222)</f>
        <v>46142</v>
      </c>
      <c r="H1327" s="48" t="str">
        <f aca="false">IF('RAW WCH'!E222="","",'RAW WCH'!E222)</f>
        <v>Comm Health Worker</v>
      </c>
      <c r="I1327" s="48" t="n">
        <f aca="false">IF('RAW WCH'!F222="","",'RAW WCH'!F222)</f>
        <v>36.5</v>
      </c>
      <c r="J1327" s="48" t="str">
        <f aca="false">IF('RAW WCH'!G222="","",'RAW WCH'!G222)</f>
        <v/>
      </c>
      <c r="K1327" s="50" t="str">
        <f aca="false">IF('RAW WCH'!H222="","",'RAW WCH'!H222)</f>
        <v/>
      </c>
      <c r="L1327" s="50" t="str">
        <f aca="false">IF('RAW WCH'!I222="","",'RAW WCH'!I222)</f>
        <v/>
      </c>
      <c r="M1327" s="48" t="str">
        <f aca="false">IF('RAW WCH'!J222="","",'RAW WCH'!J222)</f>
        <v/>
      </c>
    </row>
    <row r="1328" customFormat="false" ht="15" hidden="false" customHeight="false" outlineLevel="0" collapsed="false">
      <c r="A1328" s="1" t="s">
        <v>2472</v>
      </c>
      <c r="B1328" s="1" t="s">
        <v>157</v>
      </c>
      <c r="C1328" s="1" t="s">
        <v>1151</v>
      </c>
      <c r="D1328" s="1" t="n">
        <v>223</v>
      </c>
      <c r="E1328" s="48" t="str">
        <f aca="false">IF('RAW WCH'!C223="","",'RAW WCH'!C223)</f>
        <v>mobile van screenings</v>
      </c>
      <c r="F1328" s="48" t="str">
        <f aca="false">IF('RAW WCH'!D223="","",'RAW WCH'!D223)</f>
        <v>CHIS clinical</v>
      </c>
      <c r="G1328" s="49" t="n">
        <f aca="false">IF('RAW WCH'!B223="","",'RAW WCH'!B223)</f>
        <v>46142</v>
      </c>
      <c r="H1328" s="48" t="str">
        <f aca="false">IF('RAW WCH'!E223="","",'RAW WCH'!E223)</f>
        <v>Med Asst</v>
      </c>
      <c r="I1328" s="48" t="n">
        <f aca="false">IF('RAW WCH'!F223="","",'RAW WCH'!F223)</f>
        <v>50.75</v>
      </c>
      <c r="J1328" s="48" t="str">
        <f aca="false">IF('RAW WCH'!G223="","",'RAW WCH'!G223)</f>
        <v/>
      </c>
      <c r="K1328" s="50" t="str">
        <f aca="false">IF('RAW WCH'!H223="","",'RAW WCH'!H223)</f>
        <v/>
      </c>
      <c r="L1328" s="50" t="str">
        <f aca="false">IF('RAW WCH'!I223="","",'RAW WCH'!I223)</f>
        <v/>
      </c>
      <c r="M1328" s="48" t="str">
        <f aca="false">IF('RAW WCH'!J223="","",'RAW WCH'!J223)</f>
        <v/>
      </c>
    </row>
    <row r="1329" customFormat="false" ht="15" hidden="false" customHeight="false" outlineLevel="0" collapsed="false">
      <c r="A1329" s="1" t="s">
        <v>2473</v>
      </c>
      <c r="B1329" s="1" t="s">
        <v>157</v>
      </c>
      <c r="C1329" s="1" t="s">
        <v>1151</v>
      </c>
      <c r="D1329" s="1" t="n">
        <v>224</v>
      </c>
      <c r="E1329" s="48" t="str">
        <f aca="false">IF('RAW WCH'!C224="","",'RAW WCH'!C224)</f>
        <v>mobile van screenings</v>
      </c>
      <c r="F1329" s="48" t="str">
        <f aca="false">IF('RAW WCH'!D224="","",'RAW WCH'!D224)</f>
        <v>CHIS clinical</v>
      </c>
      <c r="G1329" s="49" t="str">
        <f aca="false">IF('RAW WCH'!B224="","",'RAW WCH'!B224)</f>
        <v>4/30/26</v>
      </c>
      <c r="H1329" s="48" t="str">
        <f aca="false">IF('RAW WCH'!E224="","",'RAW WCH'!E224)</f>
        <v>R.N.</v>
      </c>
      <c r="I1329" s="48" t="n">
        <f aca="false">IF('RAW WCH'!F224="","",'RAW WCH'!F224)</f>
        <v>54.5</v>
      </c>
      <c r="J1329" s="48" t="n">
        <f aca="false">IF('RAW WCH'!G224="","",'RAW WCH'!G224)</f>
        <v>145</v>
      </c>
      <c r="K1329" s="50" t="n">
        <f aca="false">IF('RAW WCH'!H224="","",'RAW WCH'!H224)</f>
        <v>4080</v>
      </c>
      <c r="L1329" s="50" t="str">
        <f aca="false">IF('RAW WCH'!I224="","",'RAW WCH'!I224)</f>
        <v/>
      </c>
      <c r="M1329" s="48" t="str">
        <f aca="false">IF('RAW WCH'!J224="","",'RAW WCH'!J224)</f>
        <v/>
      </c>
    </row>
    <row r="1330" customFormat="false" ht="15" hidden="false" customHeight="false" outlineLevel="0" collapsed="false">
      <c r="A1330" s="1" t="s">
        <v>2474</v>
      </c>
      <c r="B1330" s="1" t="s">
        <v>157</v>
      </c>
      <c r="C1330" s="1" t="s">
        <v>1151</v>
      </c>
      <c r="D1330" s="1" t="n">
        <v>225</v>
      </c>
      <c r="E1330" s="48" t="str">
        <f aca="false">IF('RAW WCH'!C225="","",'RAW WCH'!C225)</f>
        <v>chw outreach</v>
      </c>
      <c r="F1330" s="48" t="str">
        <f aca="false">IF('RAW WCH'!D225="","",'RAW WCH'!D225)</f>
        <v>CHIS support</v>
      </c>
      <c r="G1330" s="49" t="n">
        <f aca="false">IF('RAW WCH'!B225="","",'RAW WCH'!B225)</f>
        <v>46142</v>
      </c>
      <c r="H1330" s="48" t="str">
        <f aca="false">IF('RAW WCH'!E225="","",'RAW WCH'!E225)</f>
        <v>CHW</v>
      </c>
      <c r="I1330" s="48" t="n">
        <f aca="false">IF('RAW WCH'!F225="","",'RAW WCH'!F225)</f>
        <v>231</v>
      </c>
      <c r="J1330" s="48" t="n">
        <f aca="false">IF('RAW WCH'!G225="","",'RAW WCH'!G225)</f>
        <v>305</v>
      </c>
      <c r="K1330" s="50" t="n">
        <f aca="false">IF('RAW WCH'!H225="","",'RAW WCH'!H225)</f>
        <v>1055</v>
      </c>
      <c r="L1330" s="50" t="str">
        <f aca="false">IF('RAW WCH'!I225="","",'RAW WCH'!I225)</f>
        <v/>
      </c>
      <c r="M1330" s="48" t="str">
        <f aca="false">IF('RAW WCH'!J225="","",'RAW WCH'!J225)</f>
        <v/>
      </c>
    </row>
    <row r="1331" customFormat="false" ht="15" hidden="false" customHeight="false" outlineLevel="0" collapsed="false">
      <c r="A1331" s="1" t="s">
        <v>2475</v>
      </c>
      <c r="B1331" s="1" t="s">
        <v>157</v>
      </c>
      <c r="C1331" s="1" t="s">
        <v>1151</v>
      </c>
      <c r="D1331" s="1" t="n">
        <v>226</v>
      </c>
      <c r="E1331" s="48" t="str">
        <f aca="false">IF('RAW WCH'!C226="","",'RAW WCH'!C226)</f>
        <v>chw outreach</v>
      </c>
      <c r="F1331" s="48" t="str">
        <f aca="false">IF('RAW WCH'!D226="","",'RAW WCH'!D226)</f>
        <v>CHIS support</v>
      </c>
      <c r="G1331" s="49" t="str">
        <f aca="false">IF('RAW WCH'!B226="","",'RAW WCH'!B226)</f>
        <v>4/30/26</v>
      </c>
      <c r="H1331" s="48" t="str">
        <f aca="false">IF('RAW WCH'!E226="","",'RAW WCH'!E226)</f>
        <v>Care Navigator</v>
      </c>
      <c r="I1331" s="48" t="n">
        <f aca="false">IF('RAW WCH'!F226="","",'RAW WCH'!F226)</f>
        <v>94.5</v>
      </c>
      <c r="J1331" s="48" t="str">
        <f aca="false">IF('RAW WCH'!G226="","",'RAW WCH'!G226)</f>
        <v/>
      </c>
      <c r="K1331" s="50" t="str">
        <f aca="false">IF('RAW WCH'!H226="","",'RAW WCH'!H226)</f>
        <v/>
      </c>
      <c r="L1331" s="50" t="str">
        <f aca="false">IF('RAW WCH'!I226="","",'RAW WCH'!I226)</f>
        <v/>
      </c>
      <c r="M1331" s="48" t="str">
        <f aca="false">IF('RAW WCH'!J226="","",'RAW WCH'!J226)</f>
        <v/>
      </c>
    </row>
    <row r="1332" customFormat="false" ht="15" hidden="false" customHeight="false" outlineLevel="0" collapsed="false">
      <c r="A1332" s="1" t="s">
        <v>2476</v>
      </c>
      <c r="B1332" s="1" t="s">
        <v>157</v>
      </c>
      <c r="C1332" s="1" t="s">
        <v>1151</v>
      </c>
      <c r="D1332" s="1" t="n">
        <v>227</v>
      </c>
      <c r="E1332" s="48" t="str">
        <f aca="false">IF('RAW WCH'!C227="","",'RAW WCH'!C227)</f>
        <v>produce prescription</v>
      </c>
      <c r="F1332" s="48" t="str">
        <f aca="false">IF('RAW WCH'!D227="","",'RAW WCH'!D227)</f>
        <v>CHIS support</v>
      </c>
      <c r="G1332" s="49" t="str">
        <f aca="false">IF('RAW WCH'!B227="","",'RAW WCH'!B227)</f>
        <v>4/30/26</v>
      </c>
      <c r="H1332" s="48" t="str">
        <f aca="false">IF('RAW WCH'!E227="","",'RAW WCH'!E227)</f>
        <v>Comm Health Worker</v>
      </c>
      <c r="I1332" s="48" t="n">
        <f aca="false">IF('RAW WCH'!F227="","",'RAW WCH'!F227)</f>
        <v>37.5</v>
      </c>
      <c r="J1332" s="48" t="str">
        <f aca="false">IF('RAW WCH'!G227="","",'RAW WCH'!G227)</f>
        <v/>
      </c>
      <c r="K1332" s="50" t="str">
        <f aca="false">IF('RAW WCH'!H227="","",'RAW WCH'!H227)</f>
        <v/>
      </c>
      <c r="L1332" s="50" t="str">
        <f aca="false">IF('RAW WCH'!I227="","",'RAW WCH'!I227)</f>
        <v/>
      </c>
      <c r="M1332" s="48" t="str">
        <f aca="false">IF('RAW WCH'!J227="","",'RAW WCH'!J227)</f>
        <v/>
      </c>
    </row>
    <row r="1333" customFormat="false" ht="15" hidden="false" customHeight="false" outlineLevel="0" collapsed="false">
      <c r="A1333" s="1" t="s">
        <v>2477</v>
      </c>
      <c r="B1333" s="1" t="s">
        <v>157</v>
      </c>
      <c r="C1333" s="1" t="s">
        <v>1151</v>
      </c>
      <c r="D1333" s="1" t="n">
        <v>228</v>
      </c>
      <c r="E1333" s="48" t="str">
        <f aca="false">IF('RAW WCH'!C228="","",'RAW WCH'!C228)</f>
        <v>produce prescription</v>
      </c>
      <c r="F1333" s="48" t="str">
        <f aca="false">IF('RAW WCH'!D228="","",'RAW WCH'!D228)</f>
        <v>CHIS support</v>
      </c>
      <c r="G1333" s="49" t="n">
        <f aca="false">IF('RAW WCH'!B228="","",'RAW WCH'!B228)</f>
        <v>46142</v>
      </c>
      <c r="H1333" s="48" t="str">
        <f aca="false">IF('RAW WCH'!E228="","",'RAW WCH'!E228)</f>
        <v>Clinical Dietitian</v>
      </c>
      <c r="I1333" s="48" t="str">
        <f aca="false">IF('RAW WCH'!F228="","",'RAW WCH'!F228)</f>
        <v/>
      </c>
      <c r="J1333" s="48" t="n">
        <f aca="false">IF('RAW WCH'!G228="","",'RAW WCH'!G228)</f>
        <v>112</v>
      </c>
      <c r="K1333" s="50" t="n">
        <f aca="false">IF('RAW WCH'!H228="","",'RAW WCH'!H228)</f>
        <v>10065</v>
      </c>
      <c r="L1333" s="50" t="n">
        <f aca="false">IF('RAW WCH'!I228="","",'RAW WCH'!I228)</f>
        <v>6360</v>
      </c>
      <c r="M1333" s="48" t="str">
        <f aca="false">IF('RAW WCH'!J228="","",'RAW WCH'!J228)</f>
        <v/>
      </c>
    </row>
    <row r="1334" customFormat="false" ht="15" hidden="false" customHeight="false" outlineLevel="0" collapsed="false">
      <c r="A1334" s="1" t="s">
        <v>2478</v>
      </c>
      <c r="B1334" s="1" t="s">
        <v>157</v>
      </c>
      <c r="C1334" s="1" t="s">
        <v>1151</v>
      </c>
      <c r="D1334" s="1" t="n">
        <v>229</v>
      </c>
      <c r="E1334" s="48" t="str">
        <f aca="false">IF('RAW WCH'!C229="","",'RAW WCH'!C229)</f>
        <v>cb admin</v>
      </c>
      <c r="F1334" s="48" t="str">
        <f aca="false">IF('RAW WCH'!D229="","",'RAW WCH'!D229)</f>
        <v>cb operations</v>
      </c>
      <c r="G1334" s="49" t="str">
        <f aca="false">IF('RAW WCH'!B229="","",'RAW WCH'!B229)</f>
        <v>4/30/26</v>
      </c>
      <c r="H1334" s="48" t="str">
        <f aca="false">IF('RAW WCH'!E229="","",'RAW WCH'!E229)</f>
        <v>Secretary</v>
      </c>
      <c r="I1334" s="48" t="n">
        <f aca="false">IF('RAW WCH'!F229="","",'RAW WCH'!F229)</f>
        <v>21.25</v>
      </c>
      <c r="J1334" s="48" t="str">
        <f aca="false">IF('RAW WCH'!G229="","",'RAW WCH'!G229)</f>
        <v/>
      </c>
      <c r="K1334" s="50" t="str">
        <f aca="false">IF('RAW WCH'!H229="","",'RAW WCH'!H229)</f>
        <v/>
      </c>
      <c r="L1334" s="50" t="str">
        <f aca="false">IF('RAW WCH'!I229="","",'RAW WCH'!I229)</f>
        <v/>
      </c>
      <c r="M1334" s="48" t="str">
        <f aca="false">IF('RAW WCH'!J229="","",'RAW WCH'!J229)</f>
        <v/>
      </c>
    </row>
    <row r="1335" customFormat="false" ht="15" hidden="false" customHeight="false" outlineLevel="0" collapsed="false">
      <c r="A1335" s="1" t="s">
        <v>2479</v>
      </c>
      <c r="B1335" s="1" t="s">
        <v>157</v>
      </c>
      <c r="C1335" s="1" t="s">
        <v>1151</v>
      </c>
      <c r="D1335" s="1" t="n">
        <v>230</v>
      </c>
      <c r="E1335" s="48" t="str">
        <f aca="false">IF('RAW WCH'!C230="","",'RAW WCH'!C230)</f>
        <v>cb admin</v>
      </c>
      <c r="F1335" s="48" t="str">
        <f aca="false">IF('RAW WCH'!D230="","",'RAW WCH'!D230)</f>
        <v>cb operations</v>
      </c>
      <c r="G1335" s="49" t="n">
        <f aca="false">IF('RAW WCH'!B230="","",'RAW WCH'!B230)</f>
        <v>46142</v>
      </c>
      <c r="H1335" s="48" t="str">
        <f aca="false">IF('RAW WCH'!E230="","",'RAW WCH'!E230)</f>
        <v>Community Benefit Mgr</v>
      </c>
      <c r="I1335" s="48" t="n">
        <f aca="false">IF('RAW WCH'!F230="","",'RAW WCH'!F230)</f>
        <v>41</v>
      </c>
      <c r="J1335" s="48" t="str">
        <f aca="false">IF('RAW WCH'!G230="","",'RAW WCH'!G230)</f>
        <v/>
      </c>
      <c r="K1335" s="50" t="n">
        <f aca="false">IF('RAW WCH'!H230="","",'RAW WCH'!H230)</f>
        <v>600</v>
      </c>
      <c r="L1335" s="50" t="str">
        <f aca="false">IF('RAW WCH'!I230="","",'RAW WCH'!I230)</f>
        <v/>
      </c>
      <c r="M1335" s="48" t="str">
        <f aca="false">IF('RAW WCH'!J230="","",'RAW WCH'!J230)</f>
        <v/>
      </c>
    </row>
    <row r="1336" customFormat="false" ht="15" hidden="false" customHeight="false" outlineLevel="0" collapsed="false">
      <c r="A1336" s="1" t="s">
        <v>2480</v>
      </c>
      <c r="B1336" s="1" t="s">
        <v>157</v>
      </c>
      <c r="C1336" s="1" t="s">
        <v>1151</v>
      </c>
      <c r="D1336" s="1" t="n">
        <v>231</v>
      </c>
      <c r="E1336" s="48" t="str">
        <f aca="false">IF('RAW WCH'!C231="","",'RAW WCH'!C231)</f>
        <v>community paramedic</v>
      </c>
      <c r="F1336" s="48" t="str">
        <f aca="false">IF('RAW WCH'!D231="","",'RAW WCH'!D231)</f>
        <v>CHIS clinical</v>
      </c>
      <c r="G1336" s="49" t="str">
        <f aca="false">IF('RAW WCH'!B231="","",'RAW WCH'!B231)</f>
        <v>April 30, 2026</v>
      </c>
      <c r="H1336" s="48" t="str">
        <f aca="false">IF('RAW WCH'!E231="","",'RAW WCH'!E231)</f>
        <v>Flight Paramedic</v>
      </c>
      <c r="I1336" s="48" t="str">
        <f aca="false">IF('RAW WCH'!F231="","",'RAW WCH'!F231)</f>
        <v>62.25 hr</v>
      </c>
      <c r="J1336" s="48" t="n">
        <f aca="false">IF('RAW WCH'!G231="","",'RAW WCH'!G231)</f>
        <v>51</v>
      </c>
      <c r="K1336" s="50" t="n">
        <f aca="false">IF('RAW WCH'!H231="","",'RAW WCH'!H231)</f>
        <v>490</v>
      </c>
      <c r="L1336" s="50" t="str">
        <f aca="false">IF('RAW WCH'!I231="","",'RAW WCH'!I231)</f>
        <v/>
      </c>
      <c r="M1336" s="48" t="str">
        <f aca="false">IF('RAW WCH'!J231="","",'RAW WCH'!J231)</f>
        <v/>
      </c>
    </row>
    <row r="1337" customFormat="false" ht="15" hidden="false" customHeight="false" outlineLevel="0" collapsed="false">
      <c r="A1337" s="1" t="s">
        <v>2481</v>
      </c>
      <c r="B1337" s="1" t="s">
        <v>157</v>
      </c>
      <c r="C1337" s="1" t="s">
        <v>1151</v>
      </c>
      <c r="D1337" s="1" t="n">
        <v>232</v>
      </c>
      <c r="E1337" s="48" t="str">
        <f aca="false">IF('RAW WCH'!C232="","",'RAW WCH'!C232)</f>
        <v>nursing students</v>
      </c>
      <c r="F1337" s="48" t="str">
        <f aca="false">IF('RAW WCH'!D232="","",'RAW WCH'!D232)</f>
        <v>health professions ed</v>
      </c>
      <c r="G1337" s="49" t="str">
        <f aca="false">IF('RAW WCH'!B232="","",'RAW WCH'!B232)</f>
        <v>April 30, 2026</v>
      </c>
      <c r="H1337" s="48" t="str">
        <f aca="false">IF('RAW WCH'!E232="","",'RAW WCH'!E232)</f>
        <v>Nurse Educator </v>
      </c>
      <c r="I1337" s="48" t="n">
        <f aca="false">IF('RAW WCH'!F232="","",'RAW WCH'!F232)</f>
        <v>104</v>
      </c>
      <c r="J1337" s="48" t="n">
        <f aca="false">IF('RAW WCH'!G232="","",'RAW WCH'!G232)</f>
        <v>26</v>
      </c>
      <c r="K1337" s="50" t="n">
        <f aca="false">IF('RAW WCH'!H232="","",'RAW WCH'!H232)</f>
        <v>340</v>
      </c>
      <c r="L1337" s="50" t="str">
        <f aca="false">IF('RAW WCH'!I232="","",'RAW WCH'!I232)</f>
        <v/>
      </c>
      <c r="M1337" s="48" t="str">
        <f aca="false">IF('RAW WCH'!J232="","",'RAW WCH'!J232)</f>
        <v/>
      </c>
    </row>
    <row r="1338" customFormat="false" ht="15" hidden="false" customHeight="false" outlineLevel="0" collapsed="false">
      <c r="A1338" s="1" t="s">
        <v>2482</v>
      </c>
      <c r="B1338" s="1" t="s">
        <v>157</v>
      </c>
      <c r="C1338" s="1" t="s">
        <v>1151</v>
      </c>
      <c r="D1338" s="1" t="n">
        <v>233</v>
      </c>
      <c r="E1338" s="48" t="str">
        <f aca="false">IF('RAW WCH'!C233="","",'RAW WCH'!C233)</f>
        <v>nursing students</v>
      </c>
      <c r="F1338" s="48" t="str">
        <f aca="false">IF('RAW WCH'!D233="","",'RAW WCH'!D233)</f>
        <v>health professions ed</v>
      </c>
      <c r="G1338" s="49" t="n">
        <f aca="false">IF('RAW WCH'!B233="","",'RAW WCH'!B233)</f>
        <v>46142</v>
      </c>
      <c r="H1338" s="48" t="str">
        <f aca="false">IF('RAW WCH'!E233="","",'RAW WCH'!E233)</f>
        <v>Staff RN</v>
      </c>
      <c r="I1338" s="48" t="n">
        <f aca="false">IF('RAW WCH'!F233="","",'RAW WCH'!F233)</f>
        <v>165.25</v>
      </c>
      <c r="J1338" s="48" t="str">
        <f aca="false">IF('RAW WCH'!G233="","",'RAW WCH'!G233)</f>
        <v/>
      </c>
      <c r="K1338" s="50" t="str">
        <f aca="false">IF('RAW WCH'!H233="","",'RAW WCH'!H233)</f>
        <v/>
      </c>
      <c r="L1338" s="50" t="str">
        <f aca="false">IF('RAW WCH'!I233="","",'RAW WCH'!I233)</f>
        <v/>
      </c>
      <c r="M1338" s="48" t="str">
        <f aca="false">IF('RAW WCH'!J233="","",'RAW WCH'!J233)</f>
        <v/>
      </c>
    </row>
    <row r="1339" customFormat="false" ht="15" hidden="false" customHeight="false" outlineLevel="0" collapsed="false">
      <c r="A1339" s="1" t="s">
        <v>2483</v>
      </c>
      <c r="B1339" s="1" t="s">
        <v>157</v>
      </c>
      <c r="C1339" s="1" t="s">
        <v>1151</v>
      </c>
      <c r="D1339" s="1" t="n">
        <v>234</v>
      </c>
      <c r="E1339" s="48" t="str">
        <f aca="false">IF('RAW WCH'!C234="","",'RAW WCH'!C234)</f>
        <v>paramedic students</v>
      </c>
      <c r="F1339" s="48" t="str">
        <f aca="false">IF('RAW WCH'!D234="","",'RAW WCH'!D234)</f>
        <v>health professions ed</v>
      </c>
      <c r="G1339" s="49" t="str">
        <f aca="false">IF('RAW WCH'!B234="","",'RAW WCH'!B234)</f>
        <v>4/30/26</v>
      </c>
      <c r="H1339" s="48" t="str">
        <f aca="false">IF('RAW WCH'!E234="","",'RAW WCH'!E234)</f>
        <v>Flight Paramedic</v>
      </c>
      <c r="I1339" s="48" t="n">
        <f aca="false">IF('RAW WCH'!F234="","",'RAW WCH'!F234)</f>
        <v>62.25</v>
      </c>
      <c r="J1339" s="48" t="n">
        <f aca="false">IF('RAW WCH'!G234="","",'RAW WCH'!G234)</f>
        <v>5</v>
      </c>
      <c r="K1339" s="50" t="n">
        <f aca="false">IF('RAW WCH'!H234="","",'RAW WCH'!H234)</f>
        <v>60</v>
      </c>
      <c r="L1339" s="50" t="str">
        <f aca="false">IF('RAW WCH'!I234="","",'RAW WCH'!I234)</f>
        <v/>
      </c>
      <c r="M1339" s="48" t="str">
        <f aca="false">IF('RAW WCH'!J234="","",'RAW WCH'!J234)</f>
        <v/>
      </c>
    </row>
    <row r="1340" customFormat="false" ht="15" hidden="false" customHeight="false" outlineLevel="0" collapsed="false">
      <c r="A1340" s="1" t="s">
        <v>2484</v>
      </c>
      <c r="B1340" s="1" t="s">
        <v>157</v>
      </c>
      <c r="C1340" s="1" t="s">
        <v>1151</v>
      </c>
      <c r="D1340" s="1" t="n">
        <v>235</v>
      </c>
      <c r="E1340" s="48" t="str">
        <f aca="false">IF('RAW WCH'!C235="","",'RAW WCH'!C235)</f>
        <v>rural maternal study</v>
      </c>
      <c r="F1340" s="48" t="str">
        <f aca="false">IF('RAW WCH'!D235="","",'RAW WCH'!D235)</f>
        <v>research</v>
      </c>
      <c r="G1340" s="49" t="n">
        <f aca="false">IF('RAW WCH'!B235="","",'RAW WCH'!B235)</f>
        <v>46142</v>
      </c>
      <c r="H1340" s="48" t="str">
        <f aca="false">IF('RAW WCH'!E235="","",'RAW WCH'!E235)</f>
        <v>Analyst</v>
      </c>
      <c r="I1340" s="48" t="n">
        <f aca="false">IF('RAW WCH'!F235="","",'RAW WCH'!F235)</f>
        <v>11.25</v>
      </c>
      <c r="J1340" s="48" t="str">
        <f aca="false">IF('RAW WCH'!G235="","",'RAW WCH'!G235)</f>
        <v/>
      </c>
      <c r="K1340" s="50" t="str">
        <f aca="false">IF('RAW WCH'!H235="","",'RAW WCH'!H235)</f>
        <v/>
      </c>
      <c r="L1340" s="50" t="str">
        <f aca="false">IF('RAW WCH'!I235="","",'RAW WCH'!I235)</f>
        <v/>
      </c>
      <c r="M1340" s="48" t="str">
        <f aca="false">IF('RAW WCH'!J235="","",'RAW WCH'!J235)</f>
        <v/>
      </c>
    </row>
    <row r="1341" customFormat="false" ht="15" hidden="false" customHeight="false" outlineLevel="0" collapsed="false">
      <c r="A1341" s="1" t="s">
        <v>2485</v>
      </c>
      <c r="B1341" s="1" t="s">
        <v>157</v>
      </c>
      <c r="C1341" s="1" t="s">
        <v>1151</v>
      </c>
      <c r="D1341" s="1" t="n">
        <v>236</v>
      </c>
      <c r="E1341" s="48" t="str">
        <f aca="false">IF('RAW WCH'!C236="","",'RAW WCH'!C236)</f>
        <v>rural maternal study</v>
      </c>
      <c r="F1341" s="48" t="str">
        <f aca="false">IF('RAW WCH'!D236="","",'RAW WCH'!D236)</f>
        <v>research</v>
      </c>
      <c r="G1341" s="49" t="str">
        <f aca="false">IF('RAW WCH'!B236="","",'RAW WCH'!B236)</f>
        <v>April 30, 2026</v>
      </c>
      <c r="H1341" s="48" t="str">
        <f aca="false">IF('RAW WCH'!E236="","",'RAW WCH'!E236)</f>
        <v>Clinical Research Coord</v>
      </c>
      <c r="I1341" s="48" t="n">
        <f aca="false">IF('RAW WCH'!F236="","",'RAW WCH'!F236)</f>
        <v>41.75</v>
      </c>
      <c r="J1341" s="48" t="n">
        <f aca="false">IF('RAW WCH'!G236="","",'RAW WCH'!G236)</f>
        <v>17</v>
      </c>
      <c r="K1341" s="50" t="n">
        <f aca="false">IF('RAW WCH'!H236="","",'RAW WCH'!H236)</f>
        <v>1780</v>
      </c>
      <c r="L1341" s="50" t="n">
        <f aca="false">IF('RAW WCH'!I236="","",'RAW WCH'!I236)</f>
        <v>4585</v>
      </c>
      <c r="M1341" s="48" t="str">
        <f aca="false">IF('RAW WCH'!J236="","",'RAW WCH'!J236)</f>
        <v/>
      </c>
    </row>
    <row r="1342" customFormat="false" ht="15" hidden="false" customHeight="false" outlineLevel="0" collapsed="false">
      <c r="A1342" s="1" t="s">
        <v>2486</v>
      </c>
      <c r="B1342" s="1" t="s">
        <v>157</v>
      </c>
      <c r="C1342" s="1" t="s">
        <v>1151</v>
      </c>
      <c r="D1342" s="1" t="n">
        <v>237</v>
      </c>
      <c r="E1342" s="48" t="str">
        <f aca="false">IF('RAW WCH'!C237="","",'RAW WCH'!C237)</f>
        <v>youth pathway</v>
      </c>
      <c r="F1342" s="48" t="str">
        <f aca="false">IF('RAW WCH'!D237="","",'RAW WCH'!D237)</f>
        <v>community building</v>
      </c>
      <c r="G1342" s="49" t="str">
        <f aca="false">IF('RAW WCH'!B237="","",'RAW WCH'!B237)</f>
        <v>5/16/26</v>
      </c>
      <c r="H1342" s="48" t="str">
        <f aca="false">IF('RAW WCH'!E237="","",'RAW WCH'!E237)</f>
        <v>Nurse Educator</v>
      </c>
      <c r="I1342" s="48" t="n">
        <f aca="false">IF('RAW WCH'!F237="","",'RAW WCH'!F237)</f>
        <v>3.75</v>
      </c>
      <c r="J1342" s="48" t="str">
        <f aca="false">IF('RAW WCH'!G237="","",'RAW WCH'!G237)</f>
        <v/>
      </c>
      <c r="K1342" s="50" t="str">
        <f aca="false">IF('RAW WCH'!H237="","",'RAW WCH'!H237)</f>
        <v/>
      </c>
      <c r="L1342" s="50" t="str">
        <f aca="false">IF('RAW WCH'!I237="","",'RAW WCH'!I237)</f>
        <v/>
      </c>
      <c r="M1342" s="48" t="str">
        <f aca="false">IF('RAW WCH'!J237="","",'RAW WCH'!J237)</f>
        <v/>
      </c>
    </row>
    <row r="1343" customFormat="false" ht="15" hidden="false" customHeight="false" outlineLevel="0" collapsed="false">
      <c r="A1343" s="1" t="s">
        <v>2487</v>
      </c>
      <c r="B1343" s="1" t="s">
        <v>157</v>
      </c>
      <c r="C1343" s="1" t="s">
        <v>1151</v>
      </c>
      <c r="D1343" s="1" t="n">
        <v>238</v>
      </c>
      <c r="E1343" s="48" t="str">
        <f aca="false">IF('RAW WCH'!C238="","",'RAW WCH'!C238)</f>
        <v>youth pathway</v>
      </c>
      <c r="F1343" s="48" t="str">
        <f aca="false">IF('RAW WCH'!D238="","",'RAW WCH'!D238)</f>
        <v>community building</v>
      </c>
      <c r="G1343" s="49" t="n">
        <f aca="false">IF('RAW WCH'!B238="","",'RAW WCH'!B238)</f>
        <v>46158</v>
      </c>
      <c r="H1343" s="48" t="str">
        <f aca="false">IF('RAW WCH'!E238="","",'RAW WCH'!E238)</f>
        <v>Program Coordinator</v>
      </c>
      <c r="I1343" s="48" t="str">
        <f aca="false">IF('RAW WCH'!F238="","",'RAW WCH'!F238)</f>
        <v>7.25 hr</v>
      </c>
      <c r="J1343" s="48" t="n">
        <f aca="false">IF('RAW WCH'!G238="","",'RAW WCH'!G238)</f>
        <v>37</v>
      </c>
      <c r="K1343" s="50" t="n">
        <f aca="false">IF('RAW WCH'!H238="","",'RAW WCH'!H238)</f>
        <v>1710</v>
      </c>
      <c r="L1343" s="50" t="str">
        <f aca="false">IF('RAW WCH'!I238="","",'RAW WCH'!I238)</f>
        <v/>
      </c>
      <c r="M1343" s="48" t="str">
        <f aca="false">IF('RAW WCH'!J238="","",'RAW WCH'!J238)</f>
        <v/>
      </c>
    </row>
    <row r="1344" customFormat="false" ht="15" hidden="false" customHeight="false" outlineLevel="0" collapsed="false">
      <c r="A1344" s="1" t="s">
        <v>2488</v>
      </c>
      <c r="B1344" s="1" t="s">
        <v>157</v>
      </c>
      <c r="C1344" s="1" t="s">
        <v>1151</v>
      </c>
      <c r="D1344" s="1" t="n">
        <v>239</v>
      </c>
      <c r="E1344" s="48" t="str">
        <f aca="false">IF('RAW WCH'!C239="","",'RAW WCH'!C239)</f>
        <v>narcan training</v>
      </c>
      <c r="F1344" s="48" t="str">
        <f aca="false">IF('RAW WCH'!D239="","",'RAW WCH'!D239)</f>
        <v>community health improvement services</v>
      </c>
      <c r="G1344" s="49" t="str">
        <f aca="false">IF('RAW WCH'!B239="","",'RAW WCH'!B239)</f>
        <v>May 23, 2026</v>
      </c>
      <c r="H1344" s="48" t="str">
        <f aca="false">IF('RAW WCH'!E239="","",'RAW WCH'!E239)</f>
        <v>Health Educator</v>
      </c>
      <c r="I1344" s="48" t="n">
        <f aca="false">IF('RAW WCH'!F239="","",'RAW WCH'!F239)</f>
        <v>2.25</v>
      </c>
      <c r="J1344" s="48" t="str">
        <f aca="false">IF('RAW WCH'!G239="","",'RAW WCH'!G239)</f>
        <v/>
      </c>
      <c r="K1344" s="50" t="str">
        <f aca="false">IF('RAW WCH'!H239="","",'RAW WCH'!H239)</f>
        <v/>
      </c>
      <c r="L1344" s="50" t="str">
        <f aca="false">IF('RAW WCH'!I239="","",'RAW WCH'!I239)</f>
        <v/>
      </c>
      <c r="M1344" s="48" t="str">
        <f aca="false">IF('RAW WCH'!J239="","",'RAW WCH'!J239)</f>
        <v/>
      </c>
    </row>
    <row r="1345" customFormat="false" ht="15" hidden="false" customHeight="false" outlineLevel="0" collapsed="false">
      <c r="A1345" s="1" t="s">
        <v>2489</v>
      </c>
      <c r="B1345" s="1" t="s">
        <v>157</v>
      </c>
      <c r="C1345" s="1" t="s">
        <v>1151</v>
      </c>
      <c r="D1345" s="1" t="n">
        <v>240</v>
      </c>
      <c r="E1345" s="48" t="str">
        <f aca="false">IF('RAW WCH'!C240="","",'RAW WCH'!C240)</f>
        <v>narcan training</v>
      </c>
      <c r="F1345" s="48" t="str">
        <f aca="false">IF('RAW WCH'!D240="","",'RAW WCH'!D240)</f>
        <v>community health improvement services</v>
      </c>
      <c r="G1345" s="49" t="n">
        <f aca="false">IF('RAW WCH'!B240="","",'RAW WCH'!B240)</f>
        <v>46165</v>
      </c>
      <c r="H1345" s="48" t="str">
        <f aca="false">IF('RAW WCH'!E240="","",'RAW WCH'!E240)</f>
        <v>Clinical Pharmacist</v>
      </c>
      <c r="I1345" s="48" t="n">
        <f aca="false">IF('RAW WCH'!F240="","",'RAW WCH'!F240)</f>
        <v>2.5</v>
      </c>
      <c r="J1345" s="48" t="n">
        <f aca="false">IF('RAW WCH'!G240="","",'RAW WCH'!G240)</f>
        <v>25</v>
      </c>
      <c r="K1345" s="50" t="n">
        <f aca="false">IF('RAW WCH'!H240="","",'RAW WCH'!H240)</f>
        <v>1385</v>
      </c>
      <c r="L1345" s="50" t="n">
        <f aca="false">IF('RAW WCH'!I240="","",'RAW WCH'!I240)</f>
        <v>670</v>
      </c>
      <c r="M1345" s="48" t="str">
        <f aca="false">IF('RAW WCH'!J240="","",'RAW WCH'!J240)</f>
        <v/>
      </c>
    </row>
    <row r="1346" customFormat="false" ht="15" hidden="false" customHeight="false" outlineLevel="0" collapsed="false">
      <c r="A1346" s="1" t="s">
        <v>2490</v>
      </c>
      <c r="B1346" s="1" t="s">
        <v>157</v>
      </c>
      <c r="C1346" s="1" t="s">
        <v>1151</v>
      </c>
      <c r="D1346" s="1" t="n">
        <v>241</v>
      </c>
      <c r="E1346" s="48" t="str">
        <f aca="false">IF('RAW WCH'!C241="","",'RAW WCH'!C241)</f>
        <v>grief group</v>
      </c>
      <c r="F1346" s="48" t="str">
        <f aca="false">IF('RAW WCH'!D241="","",'RAW WCH'!D241)</f>
        <v>CHIS support</v>
      </c>
      <c r="G1346" s="49" t="str">
        <f aca="false">IF('RAW WCH'!B241="","",'RAW WCH'!B241)</f>
        <v>May 26, 2026</v>
      </c>
      <c r="H1346" s="48" t="str">
        <f aca="false">IF('RAW WCH'!E241="","",'RAW WCH'!E241)</f>
        <v>Pastoral Care</v>
      </c>
      <c r="I1346" s="48" t="str">
        <f aca="false">IF('RAW WCH'!F241="","",'RAW WCH'!F241)</f>
        <v>2.25 hr</v>
      </c>
      <c r="J1346" s="48" t="n">
        <f aca="false">IF('RAW WCH'!G241="","",'RAW WCH'!G241)</f>
        <v>9</v>
      </c>
      <c r="K1346" s="50" t="n">
        <f aca="false">IF('RAW WCH'!H241="","",'RAW WCH'!H241)</f>
        <v>55</v>
      </c>
      <c r="L1346" s="50" t="str">
        <f aca="false">IF('RAW WCH'!I241="","",'RAW WCH'!I241)</f>
        <v/>
      </c>
      <c r="M1346" s="48" t="str">
        <f aca="false">IF('RAW WCH'!J241="","",'RAW WCH'!J241)</f>
        <v/>
      </c>
    </row>
    <row r="1347" customFormat="false" ht="15" hidden="false" customHeight="false" outlineLevel="0" collapsed="false">
      <c r="A1347" s="1" t="s">
        <v>2491</v>
      </c>
      <c r="B1347" s="1" t="s">
        <v>157</v>
      </c>
      <c r="C1347" s="1" t="s">
        <v>1151</v>
      </c>
      <c r="D1347" s="1" t="n">
        <v>242</v>
      </c>
      <c r="E1347" s="48" t="str">
        <f aca="false">IF('RAW WCH'!C242="","",'RAW WCH'!C242)</f>
        <v>grief group</v>
      </c>
      <c r="F1347" s="48" t="str">
        <f aca="false">IF('RAW WCH'!D242="","",'RAW WCH'!D242)</f>
        <v>CHIS support</v>
      </c>
      <c r="G1347" s="49" t="str">
        <f aca="false">IF('RAW WCH'!B242="","",'RAW WCH'!B242)</f>
        <v>May 26, 2026</v>
      </c>
      <c r="H1347" s="48" t="str">
        <f aca="false">IF('RAW WCH'!E242="","",'RAW WCH'!E242)</f>
        <v>LCSW</v>
      </c>
      <c r="I1347" s="48" t="n">
        <f aca="false">IF('RAW WCH'!F242="","",'RAW WCH'!F242)</f>
        <v>2</v>
      </c>
      <c r="J1347" s="48" t="str">
        <f aca="false">IF('RAW WCH'!G242="","",'RAW WCH'!G242)</f>
        <v/>
      </c>
      <c r="K1347" s="50" t="str">
        <f aca="false">IF('RAW WCH'!H242="","",'RAW WCH'!H242)</f>
        <v/>
      </c>
      <c r="L1347" s="50" t="str">
        <f aca="false">IF('RAW WCH'!I242="","",'RAW WCH'!I242)</f>
        <v/>
      </c>
      <c r="M1347" s="48" t="str">
        <f aca="false">IF('RAW WCH'!J242="","",'RAW WCH'!J242)</f>
        <v/>
      </c>
    </row>
    <row r="1348" customFormat="false" ht="15" hidden="false" customHeight="false" outlineLevel="0" collapsed="false">
      <c r="A1348" s="1" t="s">
        <v>2492</v>
      </c>
      <c r="B1348" s="1" t="s">
        <v>157</v>
      </c>
      <c r="C1348" s="1" t="s">
        <v>1151</v>
      </c>
      <c r="D1348" s="1" t="n">
        <v>243</v>
      </c>
      <c r="E1348" s="48" t="str">
        <f aca="false">IF('RAW WCH'!C243="","",'RAW WCH'!C243)</f>
        <v>mobile van screenings</v>
      </c>
      <c r="F1348" s="48" t="str">
        <f aca="false">IF('RAW WCH'!D243="","",'RAW WCH'!D243)</f>
        <v>CHIS clinical</v>
      </c>
      <c r="G1348" s="49" t="str">
        <f aca="false">IF('RAW WCH'!B243="","",'RAW WCH'!B243)</f>
        <v>5/31/26</v>
      </c>
      <c r="H1348" s="48" t="str">
        <f aca="false">IF('RAW WCH'!E243="","",'RAW WCH'!E243)</f>
        <v>Comm Health Worker</v>
      </c>
      <c r="I1348" s="48" t="n">
        <f aca="false">IF('RAW WCH'!F243="","",'RAW WCH'!F243)</f>
        <v>50.25</v>
      </c>
      <c r="J1348" s="48" t="str">
        <f aca="false">IF('RAW WCH'!G243="","",'RAW WCH'!G243)</f>
        <v/>
      </c>
      <c r="K1348" s="50" t="str">
        <f aca="false">IF('RAW WCH'!H243="","",'RAW WCH'!H243)</f>
        <v/>
      </c>
      <c r="L1348" s="50" t="str">
        <f aca="false">IF('RAW WCH'!I243="","",'RAW WCH'!I243)</f>
        <v/>
      </c>
      <c r="M1348" s="48" t="str">
        <f aca="false">IF('RAW WCH'!J243="","",'RAW WCH'!J243)</f>
        <v/>
      </c>
    </row>
    <row r="1349" customFormat="false" ht="15" hidden="false" customHeight="false" outlineLevel="0" collapsed="false">
      <c r="A1349" s="1" t="s">
        <v>2493</v>
      </c>
      <c r="B1349" s="1" t="s">
        <v>157</v>
      </c>
      <c r="C1349" s="1" t="s">
        <v>1151</v>
      </c>
      <c r="D1349" s="1" t="n">
        <v>244</v>
      </c>
      <c r="E1349" s="48" t="str">
        <f aca="false">IF('RAW WCH'!C244="","",'RAW WCH'!C244)</f>
        <v>mobile van screenings</v>
      </c>
      <c r="F1349" s="48" t="str">
        <f aca="false">IF('RAW WCH'!D244="","",'RAW WCH'!D244)</f>
        <v>CHIS clinical</v>
      </c>
      <c r="G1349" s="49" t="str">
        <f aca="false">IF('RAW WCH'!B244="","",'RAW WCH'!B244)</f>
        <v>5/31/26</v>
      </c>
      <c r="H1349" s="48" t="str">
        <f aca="false">IF('RAW WCH'!E244="","",'RAW WCH'!E244)</f>
        <v>Medical Assistant</v>
      </c>
      <c r="I1349" s="48" t="n">
        <f aca="false">IF('RAW WCH'!F244="","",'RAW WCH'!F244)</f>
        <v>51</v>
      </c>
      <c r="J1349" s="48" t="str">
        <f aca="false">IF('RAW WCH'!G244="","",'RAW WCH'!G244)</f>
        <v/>
      </c>
      <c r="K1349" s="50" t="str">
        <f aca="false">IF('RAW WCH'!H244="","",'RAW WCH'!H244)</f>
        <v/>
      </c>
      <c r="L1349" s="50" t="str">
        <f aca="false">IF('RAW WCH'!I244="","",'RAW WCH'!I244)</f>
        <v/>
      </c>
      <c r="M1349" s="48" t="str">
        <f aca="false">IF('RAW WCH'!J244="","",'RAW WCH'!J244)</f>
        <v/>
      </c>
    </row>
    <row r="1350" customFormat="false" ht="15" hidden="false" customHeight="false" outlineLevel="0" collapsed="false">
      <c r="A1350" s="1" t="s">
        <v>2494</v>
      </c>
      <c r="B1350" s="1" t="s">
        <v>157</v>
      </c>
      <c r="C1350" s="1" t="s">
        <v>1151</v>
      </c>
      <c r="D1350" s="1" t="n">
        <v>245</v>
      </c>
      <c r="E1350" s="48" t="str">
        <f aca="false">IF('RAW WCH'!C245="","",'RAW WCH'!C245)</f>
        <v>mobile van screenings</v>
      </c>
      <c r="F1350" s="48" t="str">
        <f aca="false">IF('RAW WCH'!D245="","",'RAW WCH'!D245)</f>
        <v>CHIS clinical</v>
      </c>
      <c r="G1350" s="49" t="str">
        <f aca="false">IF('RAW WCH'!B245="","",'RAW WCH'!B245)</f>
        <v>5/31/26</v>
      </c>
      <c r="H1350" s="48" t="str">
        <f aca="false">IF('RAW WCH'!E245="","",'RAW WCH'!E245)</f>
        <v>RN III</v>
      </c>
      <c r="I1350" s="48" t="n">
        <f aca="false">IF('RAW WCH'!F245="","",'RAW WCH'!F245)</f>
        <v>70.5</v>
      </c>
      <c r="J1350" s="48" t="n">
        <f aca="false">IF('RAW WCH'!G245="","",'RAW WCH'!G245)</f>
        <v>184</v>
      </c>
      <c r="K1350" s="50" t="n">
        <f aca="false">IF('RAW WCH'!H245="","",'RAW WCH'!H245)</f>
        <v>3975</v>
      </c>
      <c r="L1350" s="50" t="str">
        <f aca="false">IF('RAW WCH'!I245="","",'RAW WCH'!I245)</f>
        <v/>
      </c>
      <c r="M1350" s="48" t="str">
        <f aca="false">IF('RAW WCH'!J245="","",'RAW WCH'!J245)</f>
        <v/>
      </c>
    </row>
    <row r="1351" customFormat="false" ht="15" hidden="false" customHeight="false" outlineLevel="0" collapsed="false">
      <c r="A1351" s="1" t="s">
        <v>2495</v>
      </c>
      <c r="B1351" s="1" t="s">
        <v>157</v>
      </c>
      <c r="C1351" s="1" t="s">
        <v>1151</v>
      </c>
      <c r="D1351" s="1" t="n">
        <v>246</v>
      </c>
      <c r="E1351" s="48" t="str">
        <f aca="false">IF('RAW WCH'!C246="","",'RAW WCH'!C246)</f>
        <v>chw outreach</v>
      </c>
      <c r="F1351" s="48" t="str">
        <f aca="false">IF('RAW WCH'!D246="","",'RAW WCH'!D246)</f>
        <v>CHIS support</v>
      </c>
      <c r="G1351" s="49" t="n">
        <f aca="false">IF('RAW WCH'!B246="","",'RAW WCH'!B246)</f>
        <v>46173</v>
      </c>
      <c r="H1351" s="48" t="str">
        <f aca="false">IF('RAW WCH'!E246="","",'RAW WCH'!E246)</f>
        <v>Promotora</v>
      </c>
      <c r="I1351" s="48" t="n">
        <f aca="false">IF('RAW WCH'!F246="","",'RAW WCH'!F246)</f>
        <v>244.5</v>
      </c>
      <c r="J1351" s="48" t="n">
        <f aca="false">IF('RAW WCH'!G246="","",'RAW WCH'!G246)</f>
        <v>232</v>
      </c>
      <c r="K1351" s="50" t="n">
        <f aca="false">IF('RAW WCH'!H246="","",'RAW WCH'!H246)</f>
        <v>1030</v>
      </c>
      <c r="L1351" s="50" t="str">
        <f aca="false">IF('RAW WCH'!I246="","",'RAW WCH'!I246)</f>
        <v/>
      </c>
      <c r="M1351" s="48" t="str">
        <f aca="false">IF('RAW WCH'!J246="","",'RAW WCH'!J246)</f>
        <v/>
      </c>
    </row>
    <row r="1352" customFormat="false" ht="15" hidden="false" customHeight="false" outlineLevel="0" collapsed="false">
      <c r="A1352" s="1" t="s">
        <v>2496</v>
      </c>
      <c r="B1352" s="1" t="s">
        <v>157</v>
      </c>
      <c r="C1352" s="1" t="s">
        <v>1151</v>
      </c>
      <c r="D1352" s="1" t="n">
        <v>247</v>
      </c>
      <c r="E1352" s="48" t="str">
        <f aca="false">IF('RAW WCH'!C247="","",'RAW WCH'!C247)</f>
        <v>chw outreach</v>
      </c>
      <c r="F1352" s="48" t="str">
        <f aca="false">IF('RAW WCH'!D247="","",'RAW WCH'!D247)</f>
        <v>CHIS support</v>
      </c>
      <c r="G1352" s="49" t="str">
        <f aca="false">IF('RAW WCH'!B247="","",'RAW WCH'!B247)</f>
        <v>5/31/26</v>
      </c>
      <c r="H1352" s="48" t="str">
        <f aca="false">IF('RAW WCH'!E247="","",'RAW WCH'!E247)</f>
        <v>Patient Navigator</v>
      </c>
      <c r="I1352" s="48" t="n">
        <f aca="false">IF('RAW WCH'!F247="","",'RAW WCH'!F247)</f>
        <v>112.75</v>
      </c>
      <c r="J1352" s="48" t="str">
        <f aca="false">IF('RAW WCH'!G247="","",'RAW WCH'!G247)</f>
        <v/>
      </c>
      <c r="K1352" s="50" t="str">
        <f aca="false">IF('RAW WCH'!H247="","",'RAW WCH'!H247)</f>
        <v/>
      </c>
      <c r="L1352" s="50" t="str">
        <f aca="false">IF('RAW WCH'!I247="","",'RAW WCH'!I247)</f>
        <v/>
      </c>
      <c r="M1352" s="48" t="str">
        <f aca="false">IF('RAW WCH'!J247="","",'RAW WCH'!J247)</f>
        <v/>
      </c>
    </row>
    <row r="1353" customFormat="false" ht="15" hidden="false" customHeight="false" outlineLevel="0" collapsed="false">
      <c r="A1353" s="1" t="s">
        <v>2497</v>
      </c>
      <c r="B1353" s="1" t="s">
        <v>157</v>
      </c>
      <c r="C1353" s="1" t="s">
        <v>1151</v>
      </c>
      <c r="D1353" s="1" t="n">
        <v>248</v>
      </c>
      <c r="E1353" s="48" t="str">
        <f aca="false">IF('RAW WCH'!C248="","",'RAW WCH'!C248)</f>
        <v>produce prescription</v>
      </c>
      <c r="F1353" s="48" t="str">
        <f aca="false">IF('RAW WCH'!D248="","",'RAW WCH'!D248)</f>
        <v>CHIS support</v>
      </c>
      <c r="G1353" s="49" t="str">
        <f aca="false">IF('RAW WCH'!B248="","",'RAW WCH'!B248)</f>
        <v>5/31/26</v>
      </c>
      <c r="H1353" s="48" t="str">
        <f aca="false">IF('RAW WCH'!E248="","",'RAW WCH'!E248)</f>
        <v>Promotora</v>
      </c>
      <c r="I1353" s="48" t="n">
        <f aca="false">IF('RAW WCH'!F248="","",'RAW WCH'!F248)</f>
        <v>37</v>
      </c>
      <c r="J1353" s="48" t="str">
        <f aca="false">IF('RAW WCH'!G248="","",'RAW WCH'!G248)</f>
        <v/>
      </c>
      <c r="K1353" s="50" t="str">
        <f aca="false">IF('RAW WCH'!H248="","",'RAW WCH'!H248)</f>
        <v/>
      </c>
      <c r="L1353" s="50" t="str">
        <f aca="false">IF('RAW WCH'!I248="","",'RAW WCH'!I248)</f>
        <v/>
      </c>
      <c r="M1353" s="48" t="str">
        <f aca="false">IF('RAW WCH'!J248="","",'RAW WCH'!J248)</f>
        <v/>
      </c>
    </row>
    <row r="1354" customFormat="false" ht="15" hidden="false" customHeight="false" outlineLevel="0" collapsed="false">
      <c r="A1354" s="1" t="s">
        <v>2498</v>
      </c>
      <c r="B1354" s="1" t="s">
        <v>157</v>
      </c>
      <c r="C1354" s="1" t="s">
        <v>1151</v>
      </c>
      <c r="D1354" s="1" t="n">
        <v>249</v>
      </c>
      <c r="E1354" s="48" t="str">
        <f aca="false">IF('RAW WCH'!C249="","",'RAW WCH'!C249)</f>
        <v>produce prescription</v>
      </c>
      <c r="F1354" s="48" t="str">
        <f aca="false">IF('RAW WCH'!D249="","",'RAW WCH'!D249)</f>
        <v>CHIS support</v>
      </c>
      <c r="G1354" s="49" t="n">
        <f aca="false">IF('RAW WCH'!B249="","",'RAW WCH'!B249)</f>
        <v>46173</v>
      </c>
      <c r="H1354" s="48" t="str">
        <f aca="false">IF('RAW WCH'!E249="","",'RAW WCH'!E249)</f>
        <v>RDN</v>
      </c>
      <c r="I1354" s="48" t="n">
        <f aca="false">IF('RAW WCH'!F249="","",'RAW WCH'!F249)</f>
        <v>20.25</v>
      </c>
      <c r="J1354" s="48" t="n">
        <f aca="false">IF('RAW WCH'!G249="","",'RAW WCH'!G249)</f>
        <v>141</v>
      </c>
      <c r="K1354" s="50" t="n">
        <f aca="false">IF('RAW WCH'!H249="","",'RAW WCH'!H249)</f>
        <v>6970</v>
      </c>
      <c r="L1354" s="50" t="n">
        <f aca="false">IF('RAW WCH'!I249="","",'RAW WCH'!I249)</f>
        <v>5720</v>
      </c>
      <c r="M1354" s="48" t="str">
        <f aca="false">IF('RAW WCH'!J249="","",'RAW WCH'!J249)</f>
        <v/>
      </c>
    </row>
    <row r="1355" customFormat="false" ht="15" hidden="false" customHeight="false" outlineLevel="0" collapsed="false">
      <c r="A1355" s="1" t="s">
        <v>2499</v>
      </c>
      <c r="B1355" s="1" t="s">
        <v>157</v>
      </c>
      <c r="C1355" s="1" t="s">
        <v>1151</v>
      </c>
      <c r="D1355" s="1" t="n">
        <v>250</v>
      </c>
      <c r="E1355" s="48" t="str">
        <f aca="false">IF('RAW WCH'!C250="","",'RAW WCH'!C250)</f>
        <v>cb admin</v>
      </c>
      <c r="F1355" s="48" t="str">
        <f aca="false">IF('RAW WCH'!D250="","",'RAW WCH'!D250)</f>
        <v>cb operations</v>
      </c>
      <c r="G1355" s="49" t="n">
        <f aca="false">IF('RAW WCH'!B250="","",'RAW WCH'!B250)</f>
        <v>46173</v>
      </c>
      <c r="H1355" s="48" t="str">
        <f aca="false">IF('RAW WCH'!E250="","",'RAW WCH'!E250)</f>
        <v>Admin Support</v>
      </c>
      <c r="I1355" s="48" t="n">
        <f aca="false">IF('RAW WCH'!F250="","",'RAW WCH'!F250)</f>
        <v>22.25</v>
      </c>
      <c r="J1355" s="48" t="str">
        <f aca="false">IF('RAW WCH'!G250="","",'RAW WCH'!G250)</f>
        <v/>
      </c>
      <c r="K1355" s="50" t="str">
        <f aca="false">IF('RAW WCH'!H250="","",'RAW WCH'!H250)</f>
        <v/>
      </c>
      <c r="L1355" s="50" t="str">
        <f aca="false">IF('RAW WCH'!I250="","",'RAW WCH'!I250)</f>
        <v/>
      </c>
      <c r="M1355" s="48" t="str">
        <f aca="false">IF('RAW WCH'!J250="","",'RAW WCH'!J250)</f>
        <v/>
      </c>
    </row>
    <row r="1356" customFormat="false" ht="15" hidden="false" customHeight="false" outlineLevel="0" collapsed="false">
      <c r="A1356" s="1" t="s">
        <v>2500</v>
      </c>
      <c r="B1356" s="1" t="s">
        <v>157</v>
      </c>
      <c r="C1356" s="1" t="s">
        <v>1151</v>
      </c>
      <c r="D1356" s="1" t="n">
        <v>251</v>
      </c>
      <c r="E1356" s="48" t="str">
        <f aca="false">IF('RAW WCH'!C251="","",'RAW WCH'!C251)</f>
        <v>cb admin</v>
      </c>
      <c r="F1356" s="48" t="str">
        <f aca="false">IF('RAW WCH'!D251="","",'RAW WCH'!D251)</f>
        <v>cb operations</v>
      </c>
      <c r="G1356" s="49" t="n">
        <f aca="false">IF('RAW WCH'!B251="","",'RAW WCH'!B251)</f>
        <v>46173</v>
      </c>
      <c r="H1356" s="48" t="str">
        <f aca="false">IF('RAW WCH'!E251="","",'RAW WCH'!E251)</f>
        <v>Community Health Manager</v>
      </c>
      <c r="I1356" s="48" t="n">
        <f aca="false">IF('RAW WCH'!F251="","",'RAW WCH'!F251)</f>
        <v>38</v>
      </c>
      <c r="J1356" s="48" t="str">
        <f aca="false">IF('RAW WCH'!G251="","",'RAW WCH'!G251)</f>
        <v/>
      </c>
      <c r="K1356" s="50" t="n">
        <f aca="false">IF('RAW WCH'!H251="","",'RAW WCH'!H251)</f>
        <v>380</v>
      </c>
      <c r="L1356" s="50" t="str">
        <f aca="false">IF('RAW WCH'!I251="","",'RAW WCH'!I251)</f>
        <v/>
      </c>
      <c r="M1356" s="48" t="str">
        <f aca="false">IF('RAW WCH'!J251="","",'RAW WCH'!J251)</f>
        <v/>
      </c>
    </row>
    <row r="1357" customFormat="false" ht="15" hidden="false" customHeight="false" outlineLevel="0" collapsed="false">
      <c r="A1357" s="1" t="s">
        <v>2501</v>
      </c>
      <c r="B1357" s="1" t="s">
        <v>157</v>
      </c>
      <c r="C1357" s="1" t="s">
        <v>1151</v>
      </c>
      <c r="D1357" s="1" t="n">
        <v>252</v>
      </c>
      <c r="E1357" s="48" t="str">
        <f aca="false">IF('RAW WCH'!C252="","",'RAW WCH'!C252)</f>
        <v>community paramedic</v>
      </c>
      <c r="F1357" s="48" t="str">
        <f aca="false">IF('RAW WCH'!D252="","",'RAW WCH'!D252)</f>
        <v>CHIS clinical</v>
      </c>
      <c r="G1357" s="49" t="str">
        <f aca="false">IF('RAW WCH'!B252="","",'RAW WCH'!B252)</f>
        <v>5/31/26</v>
      </c>
      <c r="H1357" s="48" t="str">
        <f aca="false">IF('RAW WCH'!E252="","",'RAW WCH'!E252)</f>
        <v>Flight Paramedic</v>
      </c>
      <c r="I1357" s="48" t="n">
        <f aca="false">IF('RAW WCH'!F252="","",'RAW WCH'!F252)</f>
        <v>71.75</v>
      </c>
      <c r="J1357" s="48" t="n">
        <f aca="false">IF('RAW WCH'!G252="","",'RAW WCH'!G252)</f>
        <v>30</v>
      </c>
      <c r="K1357" s="50" t="n">
        <f aca="false">IF('RAW WCH'!H252="","",'RAW WCH'!H252)</f>
        <v>705</v>
      </c>
      <c r="L1357" s="50" t="str">
        <f aca="false">IF('RAW WCH'!I252="","",'RAW WCH'!I252)</f>
        <v/>
      </c>
      <c r="M1357" s="48" t="str">
        <f aca="false">IF('RAW WCH'!J252="","",'RAW WCH'!J252)</f>
        <v/>
      </c>
    </row>
    <row r="1358" customFormat="false" ht="15" hidden="false" customHeight="false" outlineLevel="0" collapsed="false">
      <c r="A1358" s="1" t="s">
        <v>2502</v>
      </c>
      <c r="B1358" s="1" t="s">
        <v>157</v>
      </c>
      <c r="C1358" s="1" t="s">
        <v>1151</v>
      </c>
      <c r="D1358" s="1" t="n">
        <v>253</v>
      </c>
      <c r="E1358" s="48" t="str">
        <f aca="false">IF('RAW WCH'!C253="","",'RAW WCH'!C253)</f>
        <v>nursing students</v>
      </c>
      <c r="F1358" s="48" t="str">
        <f aca="false">IF('RAW WCH'!D253="","",'RAW WCH'!D253)</f>
        <v>health professions ed</v>
      </c>
      <c r="G1358" s="49" t="n">
        <f aca="false">IF('RAW WCH'!B253="","",'RAW WCH'!B253)</f>
        <v>46173</v>
      </c>
      <c r="H1358" s="48" t="str">
        <f aca="false">IF('RAW WCH'!E253="","",'RAW WCH'!E253)</f>
        <v>Clinical Nurse Educator</v>
      </c>
      <c r="I1358" s="48" t="n">
        <f aca="false">IF('RAW WCH'!F253="","",'RAW WCH'!F253)</f>
        <v>70.75</v>
      </c>
      <c r="J1358" s="48" t="n">
        <f aca="false">IF('RAW WCH'!G253="","",'RAW WCH'!G253)</f>
        <v>14</v>
      </c>
      <c r="K1358" s="50" t="n">
        <f aca="false">IF('RAW WCH'!H253="","",'RAW WCH'!H253)</f>
        <v>595</v>
      </c>
      <c r="L1358" s="50" t="str">
        <f aca="false">IF('RAW WCH'!I253="","",'RAW WCH'!I253)</f>
        <v/>
      </c>
      <c r="M1358" s="48" t="str">
        <f aca="false">IF('RAW WCH'!J253="","",'RAW WCH'!J253)</f>
        <v/>
      </c>
    </row>
    <row r="1359" customFormat="false" ht="15" hidden="false" customHeight="false" outlineLevel="0" collapsed="false">
      <c r="A1359" s="1" t="s">
        <v>2503</v>
      </c>
      <c r="B1359" s="1" t="s">
        <v>157</v>
      </c>
      <c r="C1359" s="1" t="s">
        <v>1151</v>
      </c>
      <c r="D1359" s="1" t="n">
        <v>254</v>
      </c>
      <c r="E1359" s="48" t="str">
        <f aca="false">IF('RAW WCH'!C254="","",'RAW WCH'!C254)</f>
        <v>nursing students</v>
      </c>
      <c r="F1359" s="48" t="str">
        <f aca="false">IF('RAW WCH'!D254="","",'RAW WCH'!D254)</f>
        <v>health professions ed</v>
      </c>
      <c r="G1359" s="49" t="str">
        <f aca="false">IF('RAW WCH'!B254="","",'RAW WCH'!B254)</f>
        <v>May 31, 2026</v>
      </c>
      <c r="H1359" s="48" t="str">
        <f aca="false">IF('RAW WCH'!E254="","",'RAW WCH'!E254)</f>
        <v>Registered Nurse</v>
      </c>
      <c r="I1359" s="48" t="n">
        <f aca="false">IF('RAW WCH'!F254="","",'RAW WCH'!F254)</f>
        <v>179.75</v>
      </c>
      <c r="J1359" s="48" t="str">
        <f aca="false">IF('RAW WCH'!G254="","",'RAW WCH'!G254)</f>
        <v/>
      </c>
      <c r="K1359" s="50" t="str">
        <f aca="false">IF('RAW WCH'!H254="","",'RAW WCH'!H254)</f>
        <v/>
      </c>
      <c r="L1359" s="50" t="str">
        <f aca="false">IF('RAW WCH'!I254="","",'RAW WCH'!I254)</f>
        <v/>
      </c>
      <c r="M1359" s="48" t="str">
        <f aca="false">IF('RAW WCH'!J254="","",'RAW WCH'!J254)</f>
        <v/>
      </c>
    </row>
    <row r="1360" customFormat="false" ht="15" hidden="false" customHeight="false" outlineLevel="0" collapsed="false">
      <c r="A1360" s="1" t="s">
        <v>2504</v>
      </c>
      <c r="B1360" s="1" t="s">
        <v>157</v>
      </c>
      <c r="C1360" s="1" t="s">
        <v>1151</v>
      </c>
      <c r="D1360" s="1" t="n">
        <v>255</v>
      </c>
      <c r="E1360" s="48" t="str">
        <f aca="false">IF('RAW WCH'!C255="","",'RAW WCH'!C255)</f>
        <v>paramedic students</v>
      </c>
      <c r="F1360" s="48" t="str">
        <f aca="false">IF('RAW WCH'!D255="","",'RAW WCH'!D255)</f>
        <v>health professions ed</v>
      </c>
      <c r="G1360" s="49" t="str">
        <f aca="false">IF('RAW WCH'!B255="","",'RAW WCH'!B255)</f>
        <v>5/31/26</v>
      </c>
      <c r="H1360" s="48" t="str">
        <f aca="false">IF('RAW WCH'!E255="","",'RAW WCH'!E255)</f>
        <v>Flight Paramedic</v>
      </c>
      <c r="I1360" s="48" t="str">
        <f aca="false">IF('RAW WCH'!F255="","",'RAW WCH'!F255)</f>
        <v>36.75 hr</v>
      </c>
      <c r="J1360" s="48" t="n">
        <f aca="false">IF('RAW WCH'!G255="","",'RAW WCH'!G255)</f>
        <v>4</v>
      </c>
      <c r="K1360" s="50" t="n">
        <f aca="false">IF('RAW WCH'!H255="","",'RAW WCH'!H255)</f>
        <v>45</v>
      </c>
      <c r="L1360" s="50" t="str">
        <f aca="false">IF('RAW WCH'!I255="","",'RAW WCH'!I255)</f>
        <v/>
      </c>
      <c r="M1360" s="48" t="str">
        <f aca="false">IF('RAW WCH'!J255="","",'RAW WCH'!J255)</f>
        <v/>
      </c>
    </row>
    <row r="1361" customFormat="false" ht="15" hidden="false" customHeight="false" outlineLevel="0" collapsed="false">
      <c r="A1361" s="1" t="s">
        <v>2505</v>
      </c>
      <c r="B1361" s="1" t="s">
        <v>157</v>
      </c>
      <c r="C1361" s="1" t="s">
        <v>1151</v>
      </c>
      <c r="D1361" s="1" t="n">
        <v>256</v>
      </c>
      <c r="E1361" s="48" t="str">
        <f aca="false">IF('RAW WCH'!C256="","",'RAW WCH'!C256)</f>
        <v>rural maternal study</v>
      </c>
      <c r="F1361" s="48" t="str">
        <f aca="false">IF('RAW WCH'!D256="","",'RAW WCH'!D256)</f>
        <v>research</v>
      </c>
      <c r="G1361" s="49" t="n">
        <f aca="false">IF('RAW WCH'!B256="","",'RAW WCH'!B256)</f>
        <v>46173</v>
      </c>
      <c r="H1361" s="48" t="str">
        <f aca="false">IF('RAW WCH'!E256="","",'RAW WCH'!E256)</f>
        <v>Data Analyst</v>
      </c>
      <c r="I1361" s="48" t="n">
        <f aca="false">IF('RAW WCH'!F256="","",'RAW WCH'!F256)</f>
        <v>14</v>
      </c>
      <c r="J1361" s="48" t="str">
        <f aca="false">IF('RAW WCH'!G256="","",'RAW WCH'!G256)</f>
        <v/>
      </c>
      <c r="K1361" s="50" t="str">
        <f aca="false">IF('RAW WCH'!H256="","",'RAW WCH'!H256)</f>
        <v/>
      </c>
      <c r="L1361" s="50" t="str">
        <f aca="false">IF('RAW WCH'!I256="","",'RAW WCH'!I256)</f>
        <v/>
      </c>
      <c r="M1361" s="48" t="str">
        <f aca="false">IF('RAW WCH'!J256="","",'RAW WCH'!J256)</f>
        <v/>
      </c>
    </row>
    <row r="1362" customFormat="false" ht="15" hidden="false" customHeight="false" outlineLevel="0" collapsed="false">
      <c r="A1362" s="1" t="s">
        <v>2506</v>
      </c>
      <c r="B1362" s="1" t="s">
        <v>157</v>
      </c>
      <c r="C1362" s="1" t="s">
        <v>1151</v>
      </c>
      <c r="D1362" s="1" t="n">
        <v>257</v>
      </c>
      <c r="E1362" s="48" t="str">
        <f aca="false">IF('RAW WCH'!C257="","",'RAW WCH'!C257)</f>
        <v>rural maternal study</v>
      </c>
      <c r="F1362" s="48" t="str">
        <f aca="false">IF('RAW WCH'!D257="","",'RAW WCH'!D257)</f>
        <v>research</v>
      </c>
      <c r="G1362" s="49" t="str">
        <f aca="false">IF('RAW WCH'!B257="","",'RAW WCH'!B257)</f>
        <v>5/31/26</v>
      </c>
      <c r="H1362" s="48" t="str">
        <f aca="false">IF('RAW WCH'!E257="","",'RAW WCH'!E257)</f>
        <v>Research Coordinator</v>
      </c>
      <c r="I1362" s="48" t="str">
        <f aca="false">IF('RAW WCH'!F257="","",'RAW WCH'!F257)</f>
        <v>42 hr</v>
      </c>
      <c r="J1362" s="48" t="n">
        <f aca="false">IF('RAW WCH'!G257="","",'RAW WCH'!G257)</f>
        <v>16</v>
      </c>
      <c r="K1362" s="50" t="n">
        <f aca="false">IF('RAW WCH'!H257="","",'RAW WCH'!H257)</f>
        <v>1760</v>
      </c>
      <c r="L1362" s="50" t="n">
        <f aca="false">IF('RAW WCH'!I257="","",'RAW WCH'!I257)</f>
        <v>3635</v>
      </c>
      <c r="M1362" s="48" t="str">
        <f aca="false">IF('RAW WCH'!J257="","",'RAW WCH'!J257)</f>
        <v/>
      </c>
    </row>
    <row r="1363" customFormat="false" ht="15" hidden="false" customHeight="false" outlineLevel="0" collapsed="false">
      <c r="A1363" s="1" t="s">
        <v>2507</v>
      </c>
      <c r="B1363" s="1" t="s">
        <v>157</v>
      </c>
      <c r="C1363" s="1" t="s">
        <v>1151</v>
      </c>
      <c r="D1363" s="1" t="n">
        <v>258</v>
      </c>
      <c r="E1363" s="48" t="str">
        <f aca="false">IF('RAW WCH'!C258="","",'RAW WCH'!C258)</f>
        <v>grief group</v>
      </c>
      <c r="F1363" s="48" t="str">
        <f aca="false">IF('RAW WCH'!D258="","",'RAW WCH'!D258)</f>
        <v>CHIS support</v>
      </c>
      <c r="G1363" s="49" t="n">
        <f aca="false">IF('RAW WCH'!B258="","",'RAW WCH'!B258)</f>
        <v>46178</v>
      </c>
      <c r="H1363" s="48" t="str">
        <f aca="false">IF('RAW WCH'!E258="","",'RAW WCH'!E258)</f>
        <v>Spiritual Care</v>
      </c>
      <c r="I1363" s="48" t="n">
        <f aca="false">IF('RAW WCH'!F258="","",'RAW WCH'!F258)</f>
        <v>2</v>
      </c>
      <c r="J1363" s="48" t="n">
        <f aca="false">IF('RAW WCH'!G258="","",'RAW WCH'!G258)</f>
        <v>8</v>
      </c>
      <c r="K1363" s="50" t="n">
        <f aca="false">IF('RAW WCH'!H258="","",'RAW WCH'!H258)</f>
        <v>55</v>
      </c>
      <c r="L1363" s="50" t="str">
        <f aca="false">IF('RAW WCH'!I258="","",'RAW WCH'!I258)</f>
        <v/>
      </c>
      <c r="M1363" s="48" t="str">
        <f aca="false">IF('RAW WCH'!J258="","",'RAW WCH'!J258)</f>
        <v/>
      </c>
    </row>
    <row r="1364" customFormat="false" ht="15" hidden="false" customHeight="false" outlineLevel="0" collapsed="false">
      <c r="A1364" s="1" t="s">
        <v>2508</v>
      </c>
      <c r="B1364" s="1" t="s">
        <v>157</v>
      </c>
      <c r="C1364" s="1" t="s">
        <v>1151</v>
      </c>
      <c r="D1364" s="1" t="n">
        <v>259</v>
      </c>
      <c r="E1364" s="48" t="str">
        <f aca="false">IF('RAW WCH'!C259="","",'RAW WCH'!C259)</f>
        <v>grief group</v>
      </c>
      <c r="F1364" s="48" t="str">
        <f aca="false">IF('RAW WCH'!D259="","",'RAW WCH'!D259)</f>
        <v>CHIS support</v>
      </c>
      <c r="G1364" s="49" t="n">
        <f aca="false">IF('RAW WCH'!B259="","",'RAW WCH'!B259)</f>
        <v>46178</v>
      </c>
      <c r="H1364" s="48" t="str">
        <f aca="false">IF('RAW WCH'!E259="","",'RAW WCH'!E259)</f>
        <v>MSW</v>
      </c>
      <c r="I1364" s="48" t="n">
        <f aca="false">IF('RAW WCH'!F259="","",'RAW WCH'!F259)</f>
        <v>1.75</v>
      </c>
      <c r="J1364" s="48" t="str">
        <f aca="false">IF('RAW WCH'!G259="","",'RAW WCH'!G259)</f>
        <v/>
      </c>
      <c r="K1364" s="50" t="str">
        <f aca="false">IF('RAW WCH'!H259="","",'RAW WCH'!H259)</f>
        <v/>
      </c>
      <c r="L1364" s="50" t="str">
        <f aca="false">IF('RAW WCH'!I259="","",'RAW WCH'!I259)</f>
        <v/>
      </c>
      <c r="M1364" s="48" t="str">
        <f aca="false">IF('RAW WCH'!J259="","",'RAW WCH'!J259)</f>
        <v/>
      </c>
    </row>
    <row r="1365" customFormat="false" ht="15" hidden="false" customHeight="false" outlineLevel="0" collapsed="false">
      <c r="A1365" s="1" t="s">
        <v>2509</v>
      </c>
      <c r="B1365" s="1" t="s">
        <v>157</v>
      </c>
      <c r="C1365" s="1" t="s">
        <v>1151</v>
      </c>
      <c r="D1365" s="1" t="n">
        <v>260</v>
      </c>
      <c r="E1365" s="48" t="str">
        <f aca="false">IF('RAW WCH'!C260="","",'RAW WCH'!C260)</f>
        <v>diabetes prevention class</v>
      </c>
      <c r="F1365" s="48" t="str">
        <f aca="false">IF('RAW WCH'!D260="","",'RAW WCH'!D260)</f>
        <v>community health improvement services</v>
      </c>
      <c r="G1365" s="49" t="n">
        <f aca="false">IF('RAW WCH'!B260="","",'RAW WCH'!B260)</f>
        <v>46198</v>
      </c>
      <c r="H1365" s="48" t="str">
        <f aca="false">IF('RAW WCH'!E260="","",'RAW WCH'!E260)</f>
        <v>CHES</v>
      </c>
      <c r="I1365" s="48" t="n">
        <f aca="false">IF('RAW WCH'!F260="","",'RAW WCH'!F260)</f>
        <v>3</v>
      </c>
      <c r="J1365" s="48" t="n">
        <f aca="false">IF('RAW WCH'!G260="","",'RAW WCH'!G260)</f>
        <v>17</v>
      </c>
      <c r="K1365" s="50" t="n">
        <f aca="false">IF('RAW WCH'!H260="","",'RAW WCH'!H260)</f>
        <v>125</v>
      </c>
      <c r="L1365" s="50" t="str">
        <f aca="false">IF('RAW WCH'!I260="","",'RAW WCH'!I260)</f>
        <v/>
      </c>
      <c r="M1365" s="48" t="str">
        <f aca="false">IF('RAW WCH'!J260="","",'RAW WCH'!J260)</f>
        <v/>
      </c>
    </row>
    <row r="1366" customFormat="false" ht="15" hidden="false" customHeight="false" outlineLevel="0" collapsed="false">
      <c r="A1366" s="1" t="s">
        <v>2510</v>
      </c>
      <c r="B1366" s="1" t="s">
        <v>157</v>
      </c>
      <c r="C1366" s="1" t="s">
        <v>1151</v>
      </c>
      <c r="D1366" s="1" t="n">
        <v>261</v>
      </c>
      <c r="E1366" s="48" t="str">
        <f aca="false">IF('RAW WCH'!C261="","",'RAW WCH'!C261)</f>
        <v>diabetes prevention class</v>
      </c>
      <c r="F1366" s="48" t="str">
        <f aca="false">IF('RAW WCH'!D261="","",'RAW WCH'!D261)</f>
        <v>community health improvement services</v>
      </c>
      <c r="G1366" s="49" t="n">
        <f aca="false">IF('RAW WCH'!B261="","",'RAW WCH'!B261)</f>
        <v>46198</v>
      </c>
      <c r="H1366" s="48" t="str">
        <f aca="false">IF('RAW WCH'!E261="","",'RAW WCH'!E261)</f>
        <v>RD</v>
      </c>
      <c r="I1366" s="48" t="n">
        <f aca="false">IF('RAW WCH'!F261="","",'RAW WCH'!F261)</f>
        <v>2</v>
      </c>
      <c r="J1366" s="48" t="str">
        <f aca="false">IF('RAW WCH'!G261="","",'RAW WCH'!G261)</f>
        <v/>
      </c>
      <c r="K1366" s="50" t="str">
        <f aca="false">IF('RAW WCH'!H261="","",'RAW WCH'!H261)</f>
        <v/>
      </c>
      <c r="L1366" s="50" t="str">
        <f aca="false">IF('RAW WCH'!I261="","",'RAW WCH'!I261)</f>
        <v/>
      </c>
      <c r="M1366" s="48" t="str">
        <f aca="false">IF('RAW WCH'!J261="","",'RAW WCH'!J261)</f>
        <v/>
      </c>
    </row>
    <row r="1367" customFormat="false" ht="15" hidden="false" customHeight="false" outlineLevel="0" collapsed="false">
      <c r="A1367" s="1" t="s">
        <v>2511</v>
      </c>
      <c r="B1367" s="1" t="s">
        <v>157</v>
      </c>
      <c r="C1367" s="1" t="s">
        <v>1151</v>
      </c>
      <c r="D1367" s="1" t="n">
        <v>262</v>
      </c>
      <c r="E1367" s="48" t="str">
        <f aca="false">IF('RAW WCH'!C262="","",'RAW WCH'!C262)</f>
        <v>mobile van screenings</v>
      </c>
      <c r="F1367" s="48" t="str">
        <f aca="false">IF('RAW WCH'!D262="","",'RAW WCH'!D262)</f>
        <v>CHIS clinical</v>
      </c>
      <c r="G1367" s="49" t="str">
        <f aca="false">IF('RAW WCH'!B262="","",'RAW WCH'!B262)</f>
        <v>6/30/26</v>
      </c>
      <c r="H1367" s="48" t="str">
        <f aca="false">IF('RAW WCH'!E262="","",'RAW WCH'!E262)</f>
        <v>Promotora</v>
      </c>
      <c r="I1367" s="48" t="n">
        <f aca="false">IF('RAW WCH'!F262="","",'RAW WCH'!F262)</f>
        <v>40.5</v>
      </c>
      <c r="J1367" s="48" t="str">
        <f aca="false">IF('RAW WCH'!G262="","",'RAW WCH'!G262)</f>
        <v/>
      </c>
      <c r="K1367" s="50" t="str">
        <f aca="false">IF('RAW WCH'!H262="","",'RAW WCH'!H262)</f>
        <v/>
      </c>
      <c r="L1367" s="50" t="str">
        <f aca="false">IF('RAW WCH'!I262="","",'RAW WCH'!I262)</f>
        <v/>
      </c>
      <c r="M1367" s="48" t="str">
        <f aca="false">IF('RAW WCH'!J262="","",'RAW WCH'!J262)</f>
        <v/>
      </c>
    </row>
    <row r="1368" customFormat="false" ht="15" hidden="false" customHeight="false" outlineLevel="0" collapsed="false">
      <c r="A1368" s="1" t="s">
        <v>2512</v>
      </c>
      <c r="B1368" s="1" t="s">
        <v>157</v>
      </c>
      <c r="C1368" s="1" t="s">
        <v>1151</v>
      </c>
      <c r="D1368" s="1" t="n">
        <v>263</v>
      </c>
      <c r="E1368" s="48" t="str">
        <f aca="false">IF('RAW WCH'!C263="","",'RAW WCH'!C263)</f>
        <v>mobile van screenings</v>
      </c>
      <c r="F1368" s="48" t="str">
        <f aca="false">IF('RAW WCH'!D263="","",'RAW WCH'!D263)</f>
        <v>CHIS clinical</v>
      </c>
      <c r="G1368" s="49" t="n">
        <f aca="false">IF('RAW WCH'!B263="","",'RAW WCH'!B263)</f>
        <v>46203</v>
      </c>
      <c r="H1368" s="48" t="str">
        <f aca="false">IF('RAW WCH'!E263="","",'RAW WCH'!E263)</f>
        <v>CMA</v>
      </c>
      <c r="I1368" s="48" t="n">
        <f aca="false">IF('RAW WCH'!F263="","",'RAW WCH'!F263)</f>
        <v>73.25</v>
      </c>
      <c r="J1368" s="48" t="str">
        <f aca="false">IF('RAW WCH'!G263="","",'RAW WCH'!G263)</f>
        <v/>
      </c>
      <c r="K1368" s="50" t="str">
        <f aca="false">IF('RAW WCH'!H263="","",'RAW WCH'!H263)</f>
        <v/>
      </c>
      <c r="L1368" s="50" t="str">
        <f aca="false">IF('RAW WCH'!I263="","",'RAW WCH'!I263)</f>
        <v/>
      </c>
      <c r="M1368" s="48" t="str">
        <f aca="false">IF('RAW WCH'!J263="","",'RAW WCH'!J263)</f>
        <v/>
      </c>
    </row>
    <row r="1369" customFormat="false" ht="15" hidden="false" customHeight="false" outlineLevel="0" collapsed="false">
      <c r="A1369" s="1" t="s">
        <v>2513</v>
      </c>
      <c r="B1369" s="1" t="s">
        <v>157</v>
      </c>
      <c r="C1369" s="1" t="s">
        <v>1151</v>
      </c>
      <c r="D1369" s="1" t="n">
        <v>264</v>
      </c>
      <c r="E1369" s="48" t="str">
        <f aca="false">IF('RAW WCH'!C264="","",'RAW WCH'!C264)</f>
        <v>mobile van screenings</v>
      </c>
      <c r="F1369" s="48" t="str">
        <f aca="false">IF('RAW WCH'!D264="","",'RAW WCH'!D264)</f>
        <v>CHIS clinical</v>
      </c>
      <c r="G1369" s="49" t="str">
        <f aca="false">IF('RAW WCH'!B264="","",'RAW WCH'!B264)</f>
        <v>6/30/26</v>
      </c>
      <c r="H1369" s="48" t="str">
        <f aca="false">IF('RAW WCH'!E264="","",'RAW WCH'!E264)</f>
        <v>RN III</v>
      </c>
      <c r="I1369" s="48" t="n">
        <f aca="false">IF('RAW WCH'!F264="","",'RAW WCH'!F264)</f>
        <v>56</v>
      </c>
      <c r="J1369" s="48" t="n">
        <f aca="false">IF('RAW WCH'!G264="","",'RAW WCH'!G264)</f>
        <v>195</v>
      </c>
      <c r="K1369" s="50" t="n">
        <f aca="false">IF('RAW WCH'!H264="","",'RAW WCH'!H264)</f>
        <v>5965</v>
      </c>
      <c r="L1369" s="50" t="str">
        <f aca="false">IF('RAW WCH'!I264="","",'RAW WCH'!I264)</f>
        <v/>
      </c>
      <c r="M1369" s="48" t="str">
        <f aca="false">IF('RAW WCH'!J264="","",'RAW WCH'!J264)</f>
        <v/>
      </c>
    </row>
    <row r="1370" customFormat="false" ht="15" hidden="false" customHeight="false" outlineLevel="0" collapsed="false">
      <c r="A1370" s="1" t="s">
        <v>2514</v>
      </c>
      <c r="B1370" s="1" t="s">
        <v>157</v>
      </c>
      <c r="C1370" s="1" t="s">
        <v>1151</v>
      </c>
      <c r="D1370" s="1" t="n">
        <v>265</v>
      </c>
      <c r="E1370" s="48" t="str">
        <f aca="false">IF('RAW WCH'!C265="","",'RAW WCH'!C265)</f>
        <v>chw outreach</v>
      </c>
      <c r="F1370" s="48" t="str">
        <f aca="false">IF('RAW WCH'!D265="","",'RAW WCH'!D265)</f>
        <v>CHIS support</v>
      </c>
      <c r="G1370" s="49" t="str">
        <f aca="false">IF('RAW WCH'!B265="","",'RAW WCH'!B265)</f>
        <v>6/30/26</v>
      </c>
      <c r="H1370" s="48" t="str">
        <f aca="false">IF('RAW WCH'!E265="","",'RAW WCH'!E265)</f>
        <v>Community Health Worker</v>
      </c>
      <c r="I1370" s="48" t="n">
        <f aca="false">IF('RAW WCH'!F265="","",'RAW WCH'!F265)</f>
        <v>234</v>
      </c>
      <c r="J1370" s="48" t="n">
        <f aca="false">IF('RAW WCH'!G265="","",'RAW WCH'!G265)</f>
        <v>282</v>
      </c>
      <c r="K1370" s="50" t="n">
        <f aca="false">IF('RAW WCH'!H265="","",'RAW WCH'!H265)</f>
        <v>1180</v>
      </c>
      <c r="L1370" s="50" t="str">
        <f aca="false">IF('RAW WCH'!I265="","",'RAW WCH'!I265)</f>
        <v/>
      </c>
      <c r="M1370" s="48" t="str">
        <f aca="false">IF('RAW WCH'!J265="","",'RAW WCH'!J265)</f>
        <v/>
      </c>
    </row>
    <row r="1371" customFormat="false" ht="15" hidden="false" customHeight="false" outlineLevel="0" collapsed="false">
      <c r="A1371" s="1" t="s">
        <v>2515</v>
      </c>
      <c r="B1371" s="1" t="s">
        <v>157</v>
      </c>
      <c r="C1371" s="1" t="s">
        <v>1151</v>
      </c>
      <c r="D1371" s="1" t="n">
        <v>266</v>
      </c>
      <c r="E1371" s="48" t="str">
        <f aca="false">IF('RAW WCH'!C266="","",'RAW WCH'!C266)</f>
        <v>chw outreach</v>
      </c>
      <c r="F1371" s="48" t="str">
        <f aca="false">IF('RAW WCH'!D266="","",'RAW WCH'!D266)</f>
        <v>CHIS support</v>
      </c>
      <c r="G1371" s="49" t="n">
        <f aca="false">IF('RAW WCH'!B266="","",'RAW WCH'!B266)</f>
        <v>46203</v>
      </c>
      <c r="H1371" s="48" t="str">
        <f aca="false">IF('RAW WCH'!E266="","",'RAW WCH'!E266)</f>
        <v>Financial Navigator</v>
      </c>
      <c r="I1371" s="48" t="n">
        <f aca="false">IF('RAW WCH'!F266="","",'RAW WCH'!F266)</f>
        <v>107.75</v>
      </c>
      <c r="J1371" s="48" t="str">
        <f aca="false">IF('RAW WCH'!G266="","",'RAW WCH'!G266)</f>
        <v/>
      </c>
      <c r="K1371" s="50" t="str">
        <f aca="false">IF('RAW WCH'!H266="","",'RAW WCH'!H266)</f>
        <v/>
      </c>
      <c r="L1371" s="50" t="str">
        <f aca="false">IF('RAW WCH'!I266="","",'RAW WCH'!I266)</f>
        <v/>
      </c>
      <c r="M1371" s="48" t="str">
        <f aca="false">IF('RAW WCH'!J266="","",'RAW WCH'!J266)</f>
        <v/>
      </c>
    </row>
    <row r="1372" customFormat="false" ht="15" hidden="false" customHeight="false" outlineLevel="0" collapsed="false">
      <c r="A1372" s="1" t="s">
        <v>2516</v>
      </c>
      <c r="B1372" s="1" t="s">
        <v>157</v>
      </c>
      <c r="C1372" s="1" t="s">
        <v>1151</v>
      </c>
      <c r="D1372" s="1" t="n">
        <v>267</v>
      </c>
      <c r="E1372" s="48" t="str">
        <f aca="false">IF('RAW WCH'!C267="","",'RAW WCH'!C267)</f>
        <v>produce prescription</v>
      </c>
      <c r="F1372" s="48" t="str">
        <f aca="false">IF('RAW WCH'!D267="","",'RAW WCH'!D267)</f>
        <v>CHIS support</v>
      </c>
      <c r="G1372" s="49" t="str">
        <f aca="false">IF('RAW WCH'!B267="","",'RAW WCH'!B267)</f>
        <v>6/30/26</v>
      </c>
      <c r="H1372" s="48" t="str">
        <f aca="false">IF('RAW WCH'!E267="","",'RAW WCH'!E267)</f>
        <v>Outreach Worker </v>
      </c>
      <c r="I1372" s="48" t="n">
        <f aca="false">IF('RAW WCH'!F267="","",'RAW WCH'!F267)</f>
        <v>30.5</v>
      </c>
      <c r="J1372" s="48" t="str">
        <f aca="false">IF('RAW WCH'!G267="","",'RAW WCH'!G267)</f>
        <v/>
      </c>
      <c r="K1372" s="50" t="str">
        <f aca="false">IF('RAW WCH'!H267="","",'RAW WCH'!H267)</f>
        <v/>
      </c>
      <c r="L1372" s="50" t="str">
        <f aca="false">IF('RAW WCH'!I267="","",'RAW WCH'!I267)</f>
        <v/>
      </c>
      <c r="M1372" s="48" t="str">
        <f aca="false">IF('RAW WCH'!J267="","",'RAW WCH'!J267)</f>
        <v/>
      </c>
    </row>
    <row r="1373" customFormat="false" ht="15" hidden="false" customHeight="false" outlineLevel="0" collapsed="false">
      <c r="A1373" s="1" t="s">
        <v>2517</v>
      </c>
      <c r="B1373" s="1" t="s">
        <v>157</v>
      </c>
      <c r="C1373" s="1" t="s">
        <v>1151</v>
      </c>
      <c r="D1373" s="1" t="n">
        <v>268</v>
      </c>
      <c r="E1373" s="48" t="str">
        <f aca="false">IF('RAW WCH'!C268="","",'RAW WCH'!C268)</f>
        <v>produce prescription</v>
      </c>
      <c r="F1373" s="48" t="str">
        <f aca="false">IF('RAW WCH'!D268="","",'RAW WCH'!D268)</f>
        <v>CHIS support</v>
      </c>
      <c r="G1373" s="49" t="n">
        <f aca="false">IF('RAW WCH'!B268="","",'RAW WCH'!B268)</f>
        <v>46203</v>
      </c>
      <c r="H1373" s="48" t="str">
        <f aca="false">IF('RAW WCH'!E268="","",'RAW WCH'!E268)</f>
        <v>RDN</v>
      </c>
      <c r="I1373" s="48" t="n">
        <f aca="false">IF('RAW WCH'!F268="","",'RAW WCH'!F268)</f>
        <v>22.5</v>
      </c>
      <c r="J1373" s="48" t="n">
        <f aca="false">IF('RAW WCH'!G268="","",'RAW WCH'!G268)</f>
        <v>141</v>
      </c>
      <c r="K1373" s="50" t="n">
        <f aca="false">IF('RAW WCH'!H268="","",'RAW WCH'!H268)</f>
        <v>8130</v>
      </c>
      <c r="L1373" s="50" t="n">
        <f aca="false">IF('RAW WCH'!I268="","",'RAW WCH'!I268)</f>
        <v>5570</v>
      </c>
      <c r="M1373" s="48" t="str">
        <f aca="false">IF('RAW WCH'!J268="","",'RAW WCH'!J268)</f>
        <v/>
      </c>
    </row>
    <row r="1374" customFormat="false" ht="15" hidden="false" customHeight="false" outlineLevel="0" collapsed="false">
      <c r="A1374" s="1" t="s">
        <v>2518</v>
      </c>
      <c r="B1374" s="1" t="s">
        <v>157</v>
      </c>
      <c r="C1374" s="1" t="s">
        <v>1151</v>
      </c>
      <c r="D1374" s="1" t="n">
        <v>269</v>
      </c>
      <c r="E1374" s="48" t="str">
        <f aca="false">IF('RAW WCH'!C269="","",'RAW WCH'!C269)</f>
        <v>cb admin</v>
      </c>
      <c r="F1374" s="48" t="str">
        <f aca="false">IF('RAW WCH'!D269="","",'RAW WCH'!D269)</f>
        <v>cb operations</v>
      </c>
      <c r="G1374" s="49" t="n">
        <f aca="false">IF('RAW WCH'!B269="","",'RAW WCH'!B269)</f>
        <v>46203</v>
      </c>
      <c r="H1374" s="48" t="str">
        <f aca="false">IF('RAW WCH'!E269="","",'RAW WCH'!E269)</f>
        <v>Secretary</v>
      </c>
      <c r="I1374" s="48" t="n">
        <f aca="false">IF('RAW WCH'!F269="","",'RAW WCH'!F269)</f>
        <v>27.5</v>
      </c>
      <c r="J1374" s="48" t="str">
        <f aca="false">IF('RAW WCH'!G269="","",'RAW WCH'!G269)</f>
        <v/>
      </c>
      <c r="K1374" s="50" t="str">
        <f aca="false">IF('RAW WCH'!H269="","",'RAW WCH'!H269)</f>
        <v/>
      </c>
      <c r="L1374" s="50" t="str">
        <f aca="false">IF('RAW WCH'!I269="","",'RAW WCH'!I269)</f>
        <v/>
      </c>
      <c r="M1374" s="48" t="str">
        <f aca="false">IF('RAW WCH'!J269="","",'RAW WCH'!J269)</f>
        <v/>
      </c>
    </row>
    <row r="1375" customFormat="false" ht="15" hidden="false" customHeight="false" outlineLevel="0" collapsed="false">
      <c r="A1375" s="1" t="s">
        <v>2519</v>
      </c>
      <c r="B1375" s="1" t="s">
        <v>157</v>
      </c>
      <c r="C1375" s="1" t="s">
        <v>1151</v>
      </c>
      <c r="D1375" s="1" t="n">
        <v>270</v>
      </c>
      <c r="E1375" s="48" t="str">
        <f aca="false">IF('RAW WCH'!C270="","",'RAW WCH'!C270)</f>
        <v>cb admin</v>
      </c>
      <c r="F1375" s="48" t="str">
        <f aca="false">IF('RAW WCH'!D270="","",'RAW WCH'!D270)</f>
        <v>cb operations</v>
      </c>
      <c r="G1375" s="49" t="n">
        <f aca="false">IF('RAW WCH'!B270="","",'RAW WCH'!B270)</f>
        <v>46203</v>
      </c>
      <c r="H1375" s="48" t="str">
        <f aca="false">IF('RAW WCH'!E270="","",'RAW WCH'!E270)</f>
        <v>Community Health Manager</v>
      </c>
      <c r="I1375" s="48" t="n">
        <f aca="false">IF('RAW WCH'!F270="","",'RAW WCH'!F270)</f>
        <v>54.25</v>
      </c>
      <c r="J1375" s="48" t="str">
        <f aca="false">IF('RAW WCH'!G270="","",'RAW WCH'!G270)</f>
        <v/>
      </c>
      <c r="K1375" s="50" t="n">
        <f aca="false">IF('RAW WCH'!H270="","",'RAW WCH'!H270)</f>
        <v>175</v>
      </c>
      <c r="L1375" s="50" t="str">
        <f aca="false">IF('RAW WCH'!I270="","",'RAW WCH'!I270)</f>
        <v/>
      </c>
      <c r="M1375" s="48" t="str">
        <f aca="false">IF('RAW WCH'!J270="","",'RAW WCH'!J270)</f>
        <v/>
      </c>
    </row>
    <row r="1376" customFormat="false" ht="15" hidden="false" customHeight="false" outlineLevel="0" collapsed="false">
      <c r="A1376" s="1" t="s">
        <v>2520</v>
      </c>
      <c r="B1376" s="1" t="s">
        <v>157</v>
      </c>
      <c r="C1376" s="1" t="s">
        <v>1151</v>
      </c>
      <c r="D1376" s="1" t="n">
        <v>271</v>
      </c>
      <c r="E1376" s="48" t="str">
        <f aca="false">IF('RAW WCH'!C271="","",'RAW WCH'!C271)</f>
        <v>community paramedic</v>
      </c>
      <c r="F1376" s="48" t="str">
        <f aca="false">IF('RAW WCH'!D271="","",'RAW WCH'!D271)</f>
        <v>CHIS clinical</v>
      </c>
      <c r="G1376" s="49" t="str">
        <f aca="false">IF('RAW WCH'!B271="","",'RAW WCH'!B271)</f>
        <v>6/30/26</v>
      </c>
      <c r="H1376" s="48" t="str">
        <f aca="false">IF('RAW WCH'!E271="","",'RAW WCH'!E271)</f>
        <v>Flight Paramedic</v>
      </c>
      <c r="I1376" s="48" t="n">
        <f aca="false">IF('RAW WCH'!F271="","",'RAW WCH'!F271)</f>
        <v>59.25</v>
      </c>
      <c r="J1376" s="48" t="n">
        <f aca="false">IF('RAW WCH'!G271="","",'RAW WCH'!G271)</f>
        <v>42</v>
      </c>
      <c r="K1376" s="50" t="n">
        <f aca="false">IF('RAW WCH'!H271="","",'RAW WCH'!H271)</f>
        <v>975</v>
      </c>
      <c r="L1376" s="50" t="str">
        <f aca="false">IF('RAW WCH'!I271="","",'RAW WCH'!I271)</f>
        <v/>
      </c>
      <c r="M1376" s="48" t="str">
        <f aca="false">IF('RAW WCH'!J271="","",'RAW WCH'!J271)</f>
        <v/>
      </c>
    </row>
    <row r="1377" customFormat="false" ht="15" hidden="false" customHeight="false" outlineLevel="0" collapsed="false">
      <c r="A1377" s="1" t="s">
        <v>2521</v>
      </c>
      <c r="B1377" s="1" t="s">
        <v>157</v>
      </c>
      <c r="C1377" s="1" t="s">
        <v>1151</v>
      </c>
      <c r="D1377" s="1" t="n">
        <v>272</v>
      </c>
      <c r="E1377" s="48" t="str">
        <f aca="false">IF('RAW WCH'!C272="","",'RAW WCH'!C272)</f>
        <v>nursing students</v>
      </c>
      <c r="F1377" s="48" t="str">
        <f aca="false">IF('RAW WCH'!D272="","",'RAW WCH'!D272)</f>
        <v>health professions ed</v>
      </c>
      <c r="G1377" s="49" t="str">
        <f aca="false">IF('RAW WCH'!B272="","",'RAW WCH'!B272)</f>
        <v>June 30, 2026</v>
      </c>
      <c r="H1377" s="48" t="str">
        <f aca="false">IF('RAW WCH'!E272="","",'RAW WCH'!E272)</f>
        <v>Clin Educator</v>
      </c>
      <c r="I1377" s="48" t="n">
        <f aca="false">IF('RAW WCH'!F272="","",'RAW WCH'!F272)</f>
        <v>40.75</v>
      </c>
      <c r="J1377" s="48" t="n">
        <f aca="false">IF('RAW WCH'!G272="","",'RAW WCH'!G272)</f>
        <v>8</v>
      </c>
      <c r="K1377" s="50" t="n">
        <f aca="false">IF('RAW WCH'!H272="","",'RAW WCH'!H272)</f>
        <v>210</v>
      </c>
      <c r="L1377" s="50" t="str">
        <f aca="false">IF('RAW WCH'!I272="","",'RAW WCH'!I272)</f>
        <v/>
      </c>
      <c r="M1377" s="48" t="str">
        <f aca="false">IF('RAW WCH'!J272="","",'RAW WCH'!J272)</f>
        <v/>
      </c>
    </row>
    <row r="1378" customFormat="false" ht="15" hidden="false" customHeight="false" outlineLevel="0" collapsed="false">
      <c r="A1378" s="1" t="s">
        <v>2522</v>
      </c>
      <c r="B1378" s="1" t="s">
        <v>157</v>
      </c>
      <c r="C1378" s="1" t="s">
        <v>1151</v>
      </c>
      <c r="D1378" s="1" t="n">
        <v>273</v>
      </c>
      <c r="E1378" s="48" t="str">
        <f aca="false">IF('RAW WCH'!C273="","",'RAW WCH'!C273)</f>
        <v>nursing students</v>
      </c>
      <c r="F1378" s="48" t="str">
        <f aca="false">IF('RAW WCH'!D273="","",'RAW WCH'!D273)</f>
        <v>health professions ed</v>
      </c>
      <c r="G1378" s="49" t="n">
        <f aca="false">IF('RAW WCH'!B273="","",'RAW WCH'!B273)</f>
        <v>46203</v>
      </c>
      <c r="H1378" s="48" t="str">
        <f aca="false">IF('RAW WCH'!E273="","",'RAW WCH'!E273)</f>
        <v>RN - Outreach</v>
      </c>
      <c r="I1378" s="48" t="n">
        <f aca="false">IF('RAW WCH'!F273="","",'RAW WCH'!F273)</f>
        <v>51.25</v>
      </c>
      <c r="J1378" s="48" t="str">
        <f aca="false">IF('RAW WCH'!G273="","",'RAW WCH'!G273)</f>
        <v/>
      </c>
      <c r="K1378" s="50" t="str">
        <f aca="false">IF('RAW WCH'!H273="","",'RAW WCH'!H273)</f>
        <v/>
      </c>
      <c r="L1378" s="50" t="str">
        <f aca="false">IF('RAW WCH'!I273="","",'RAW WCH'!I273)</f>
        <v/>
      </c>
      <c r="M1378" s="48" t="str">
        <f aca="false">IF('RAW WCH'!J273="","",'RAW WCH'!J273)</f>
        <v/>
      </c>
    </row>
    <row r="1379" customFormat="false" ht="15" hidden="false" customHeight="false" outlineLevel="0" collapsed="false">
      <c r="A1379" s="1" t="s">
        <v>2523</v>
      </c>
      <c r="B1379" s="1" t="s">
        <v>157</v>
      </c>
      <c r="C1379" s="1" t="s">
        <v>1151</v>
      </c>
      <c r="D1379" s="1" t="n">
        <v>274</v>
      </c>
      <c r="E1379" s="48" t="str">
        <f aca="false">IF('RAW WCH'!C274="","",'RAW WCH'!C274)</f>
        <v>paramedic students</v>
      </c>
      <c r="F1379" s="48" t="str">
        <f aca="false">IF('RAW WCH'!D274="","",'RAW WCH'!D274)</f>
        <v>health professions ed</v>
      </c>
      <c r="G1379" s="49" t="str">
        <f aca="false">IF('RAW WCH'!B274="","",'RAW WCH'!B274)</f>
        <v>6/30/26</v>
      </c>
      <c r="H1379" s="48" t="str">
        <f aca="false">IF('RAW WCH'!E274="","",'RAW WCH'!E274)</f>
        <v>EMT-P</v>
      </c>
      <c r="I1379" s="48" t="n">
        <f aca="false">IF('RAW WCH'!F274="","",'RAW WCH'!F274)</f>
        <v>45.25</v>
      </c>
      <c r="J1379" s="48" t="n">
        <f aca="false">IF('RAW WCH'!G274="","",'RAW WCH'!G274)</f>
        <v>5</v>
      </c>
      <c r="K1379" s="50" t="n">
        <f aca="false">IF('RAW WCH'!H274="","",'RAW WCH'!H274)</f>
        <v>20</v>
      </c>
      <c r="L1379" s="50" t="str">
        <f aca="false">IF('RAW WCH'!I274="","",'RAW WCH'!I274)</f>
        <v/>
      </c>
      <c r="M1379" s="48" t="str">
        <f aca="false">IF('RAW WCH'!J274="","",'RAW WCH'!J274)</f>
        <v/>
      </c>
    </row>
    <row r="1380" customFormat="false" ht="15" hidden="false" customHeight="false" outlineLevel="0" collapsed="false">
      <c r="A1380" s="1" t="s">
        <v>2524</v>
      </c>
      <c r="B1380" s="1" t="s">
        <v>157</v>
      </c>
      <c r="C1380" s="1" t="s">
        <v>1151</v>
      </c>
      <c r="D1380" s="1" t="n">
        <v>275</v>
      </c>
      <c r="E1380" s="48" t="str">
        <f aca="false">IF('RAW WCH'!C275="","",'RAW WCH'!C275)</f>
        <v>rural maternal study</v>
      </c>
      <c r="F1380" s="48" t="str">
        <f aca="false">IF('RAW WCH'!D275="","",'RAW WCH'!D275)</f>
        <v>research</v>
      </c>
      <c r="G1380" s="49" t="str">
        <f aca="false">IF('RAW WCH'!B275="","",'RAW WCH'!B275)</f>
        <v>6/30/26</v>
      </c>
      <c r="H1380" s="48" t="str">
        <f aca="false">IF('RAW WCH'!E275="","",'RAW WCH'!E275)</f>
        <v>Analyst</v>
      </c>
      <c r="I1380" s="48" t="n">
        <f aca="false">IF('RAW WCH'!F275="","",'RAW WCH'!F275)</f>
        <v>12</v>
      </c>
      <c r="J1380" s="48" t="str">
        <f aca="false">IF('RAW WCH'!G275="","",'RAW WCH'!G275)</f>
        <v/>
      </c>
      <c r="K1380" s="50" t="str">
        <f aca="false">IF('RAW WCH'!H275="","",'RAW WCH'!H275)</f>
        <v/>
      </c>
      <c r="L1380" s="50" t="str">
        <f aca="false">IF('RAW WCH'!I275="","",'RAW WCH'!I275)</f>
        <v/>
      </c>
      <c r="M1380" s="48" t="str">
        <f aca="false">IF('RAW WCH'!J275="","",'RAW WCH'!J275)</f>
        <v/>
      </c>
    </row>
    <row r="1381" customFormat="false" ht="15" hidden="false" customHeight="false" outlineLevel="0" collapsed="false">
      <c r="A1381" s="1" t="s">
        <v>2525</v>
      </c>
      <c r="B1381" s="1" t="s">
        <v>157</v>
      </c>
      <c r="C1381" s="1" t="s">
        <v>1151</v>
      </c>
      <c r="D1381" s="1" t="n">
        <v>276</v>
      </c>
      <c r="E1381" s="48" t="str">
        <f aca="false">IF('RAW WCH'!C276="","",'RAW WCH'!C276)</f>
        <v>rural maternal study</v>
      </c>
      <c r="F1381" s="48" t="str">
        <f aca="false">IF('RAW WCH'!D276="","",'RAW WCH'!D276)</f>
        <v>research</v>
      </c>
      <c r="G1381" s="49" t="n">
        <f aca="false">IF('RAW WCH'!B276="","",'RAW WCH'!B276)</f>
        <v>46203</v>
      </c>
      <c r="H1381" s="48" t="str">
        <f aca="false">IF('RAW WCH'!E276="","",'RAW WCH'!E276)</f>
        <v>Research Nurse</v>
      </c>
      <c r="I1381" s="48" t="n">
        <f aca="false">IF('RAW WCH'!F276="","",'RAW WCH'!F276)</f>
        <v>43</v>
      </c>
      <c r="J1381" s="48" t="n">
        <f aca="false">IF('RAW WCH'!G276="","",'RAW WCH'!G276)</f>
        <v>14</v>
      </c>
      <c r="K1381" s="50" t="n">
        <f aca="false">IF('RAW WCH'!H276="","",'RAW WCH'!H276)</f>
        <v>1475</v>
      </c>
      <c r="L1381" s="50" t="n">
        <f aca="false">IF('RAW WCH'!I276="","",'RAW WCH'!I276)</f>
        <v>3670</v>
      </c>
      <c r="M1381" s="48" t="str">
        <f aca="false">IF('RAW WCH'!J276="","",'RAW WCH'!J276)</f>
        <v/>
      </c>
    </row>
    <row r="1382" customFormat="false" ht="15" hidden="false" customHeight="false" outlineLevel="0" collapsed="false">
      <c r="A1382" s="1" t="s">
        <v>2526</v>
      </c>
      <c r="B1382" s="1" t="s">
        <v>158</v>
      </c>
      <c r="C1382" s="1" t="s">
        <v>1153</v>
      </c>
      <c r="D1382" s="1" t="n">
        <v>2</v>
      </c>
      <c r="E1382" s="48" t="str">
        <f aca="false">IF('RAW QHH'!A2="","",'RAW QHH'!A2)</f>
        <v>Regional Coalition</v>
      </c>
      <c r="F1382" s="48" t="str">
        <f aca="false">IF('RAW QHH'!B2="","",'RAW QHH'!B2)</f>
        <v>Coalition (CB)</v>
      </c>
      <c r="G1382" s="49" t="str">
        <f aca="false">IF('RAW QHH'!C2="","",'RAW QHH'!C2)</f>
        <v>02-Jul-2025</v>
      </c>
      <c r="H1382" s="48" t="str">
        <f aca="false">IF('RAW QHH'!D2="","",'RAW QHH'!D2)</f>
        <v>Community Benefit Manager</v>
      </c>
      <c r="I1382" s="48" t="n">
        <f aca="false">IF('RAW QHH'!E2="","",'RAW QHH'!E2)</f>
        <v>2.25</v>
      </c>
      <c r="J1382" s="48" t="str">
        <f aca="false">IF('RAW QHH'!F2="","",'RAW QHH'!F2)</f>
        <v/>
      </c>
      <c r="K1382" s="50" t="n">
        <f aca="false">IF('RAW QHH'!G2="","",'RAW QHH'!G2)</f>
        <v>0</v>
      </c>
      <c r="L1382" s="50" t="n">
        <f aca="false">IF('RAW QHH'!H2="","",'RAW QHH'!H2)</f>
        <v>0</v>
      </c>
      <c r="M1382" s="48" t="str">
        <f aca="false">IF('RAW QHH'!I2="","",'RAW QHH'!I2)</f>
        <v/>
      </c>
    </row>
    <row r="1383" customFormat="false" ht="15" hidden="false" customHeight="false" outlineLevel="0" collapsed="false">
      <c r="A1383" s="1" t="s">
        <v>2527</v>
      </c>
      <c r="B1383" s="1" t="s">
        <v>158</v>
      </c>
      <c r="C1383" s="1" t="s">
        <v>1153</v>
      </c>
      <c r="D1383" s="1" t="n">
        <v>3</v>
      </c>
      <c r="E1383" s="48" t="str">
        <f aca="false">IF('RAW QHH'!A3="","",'RAW QHH'!A3)</f>
        <v>Regional Coalition</v>
      </c>
      <c r="F1383" s="48" t="str">
        <f aca="false">IF('RAW QHH'!B3="","",'RAW QHH'!B3)</f>
        <v>Coalition (CB)</v>
      </c>
      <c r="G1383" s="49" t="str">
        <f aca="false">IF('RAW QHH'!C3="","",'RAW QHH'!C3)</f>
        <v>02-Jul-2025</v>
      </c>
      <c r="H1383" s="48" t="str">
        <f aca="false">IF('RAW QHH'!D3="","",'RAW QHH'!D3)</f>
        <v>Director</v>
      </c>
      <c r="I1383" s="48" t="n">
        <f aca="false">IF('RAW QHH'!E3="","",'RAW QHH'!E3)</f>
        <v>2.75</v>
      </c>
      <c r="J1383" s="48" t="str">
        <f aca="false">IF('RAW QHH'!F3="","",'RAW QHH'!F3)</f>
        <v/>
      </c>
      <c r="K1383" s="50" t="n">
        <f aca="false">IF('RAW QHH'!G3="","",'RAW QHH'!G3)</f>
        <v>115</v>
      </c>
      <c r="L1383" s="50" t="n">
        <f aca="false">IF('RAW QHH'!H3="","",'RAW QHH'!H3)</f>
        <v>0</v>
      </c>
      <c r="M1383" s="48" t="str">
        <f aca="false">IF('RAW QHH'!I3="","",'RAW QHH'!I3)</f>
        <v/>
      </c>
    </row>
    <row r="1384" customFormat="false" ht="15" hidden="false" customHeight="false" outlineLevel="0" collapsed="false">
      <c r="A1384" s="1" t="s">
        <v>2528</v>
      </c>
      <c r="B1384" s="1" t="s">
        <v>158</v>
      </c>
      <c r="C1384" s="1" t="s">
        <v>1153</v>
      </c>
      <c r="D1384" s="1" t="n">
        <v>4</v>
      </c>
      <c r="E1384" s="48" t="str">
        <f aca="false">IF('RAW QHH'!A4="","",'RAW QHH'!A4)</f>
        <v>Fall Prevention Class</v>
      </c>
      <c r="F1384" s="48" t="str">
        <f aca="false">IF('RAW QHH'!B4="","",'RAW QHH'!B4)</f>
        <v>CHIS - Education</v>
      </c>
      <c r="G1384" s="49" t="str">
        <f aca="false">IF('RAW QHH'!C4="","",'RAW QHH'!C4)</f>
        <v>05-Jul-2025</v>
      </c>
      <c r="H1384" s="48" t="str">
        <f aca="false">IF('RAW QHH'!D4="","",'RAW QHH'!D4)</f>
        <v>Physical Therapy</v>
      </c>
      <c r="I1384" s="48" t="n">
        <f aca="false">IF('RAW QHH'!E4="","",'RAW QHH'!E4)</f>
        <v>2</v>
      </c>
      <c r="J1384" s="48" t="n">
        <f aca="false">IF('RAW QHH'!F4="","",'RAW QHH'!F4)</f>
        <v>21</v>
      </c>
      <c r="K1384" s="50" t="n">
        <f aca="false">IF('RAW QHH'!G4="","",'RAW QHH'!G4)</f>
        <v>100</v>
      </c>
      <c r="L1384" s="50" t="n">
        <f aca="false">IF('RAW QHH'!H4="","",'RAW QHH'!H4)</f>
        <v>0</v>
      </c>
      <c r="M1384" s="48" t="str">
        <f aca="false">IF('RAW QHH'!I4="","",'RAW QHH'!I4)</f>
        <v/>
      </c>
    </row>
    <row r="1385" customFormat="false" ht="15" hidden="false" customHeight="false" outlineLevel="0" collapsed="false">
      <c r="A1385" s="1" t="s">
        <v>2529</v>
      </c>
      <c r="B1385" s="1" t="s">
        <v>158</v>
      </c>
      <c r="C1385" s="1" t="s">
        <v>1153</v>
      </c>
      <c r="D1385" s="1" t="n">
        <v>5</v>
      </c>
      <c r="E1385" s="48" t="str">
        <f aca="false">IF('RAW QHH'!A5="","",'RAW QHH'!A5)</f>
        <v>Emergency Prep Drill</v>
      </c>
      <c r="F1385" s="48" t="str">
        <f aca="false">IF('RAW QHH'!B5="","",'RAW QHH'!B5)</f>
        <v>Community Support (CB)</v>
      </c>
      <c r="G1385" s="49" t="str">
        <f aca="false">IF('RAW QHH'!C5="","",'RAW QHH'!C5)</f>
        <v>12-Jul-2025</v>
      </c>
      <c r="H1385" s="48" t="str">
        <f aca="false">IF('RAW QHH'!D5="","",'RAW QHH'!D5)</f>
        <v>EMT</v>
      </c>
      <c r="I1385" s="48" t="n">
        <f aca="false">IF('RAW QHH'!E5="","",'RAW QHH'!E5)</f>
        <v>7.25</v>
      </c>
      <c r="J1385" s="48" t="n">
        <f aca="false">IF('RAW QHH'!F5="","",'RAW QHH'!F5)</f>
        <v>130</v>
      </c>
      <c r="K1385" s="50" t="n">
        <f aca="false">IF('RAW QHH'!G5="","",'RAW QHH'!G5)</f>
        <v>1315</v>
      </c>
      <c r="L1385" s="50" t="n">
        <f aca="false">IF('RAW QHH'!H5="","",'RAW QHH'!H5)</f>
        <v>0</v>
      </c>
      <c r="M1385" s="48" t="str">
        <f aca="false">IF('RAW QHH'!I5="","",'RAW QHH'!I5)</f>
        <v/>
      </c>
    </row>
    <row r="1386" customFormat="false" ht="15" hidden="false" customHeight="false" outlineLevel="0" collapsed="false">
      <c r="A1386" s="1" t="s">
        <v>2530</v>
      </c>
      <c r="B1386" s="1" t="s">
        <v>158</v>
      </c>
      <c r="C1386" s="1" t="s">
        <v>1153</v>
      </c>
      <c r="D1386" s="1" t="n">
        <v>6</v>
      </c>
      <c r="E1386" s="48" t="str">
        <f aca="false">IF('RAW QHH'!A6="","",'RAW QHH'!A6)</f>
        <v>Emergency Prep Drill</v>
      </c>
      <c r="F1386" s="48" t="str">
        <f aca="false">IF('RAW QHH'!B6="","",'RAW QHH'!B6)</f>
        <v>Community Support (CB)</v>
      </c>
      <c r="G1386" s="49" t="str">
        <f aca="false">IF('RAW QHH'!C6="","",'RAW QHH'!C6)</f>
        <v>12-Jul-2025</v>
      </c>
      <c r="H1386" s="48" t="str">
        <f aca="false">IF('RAW QHH'!D6="","",'RAW QHH'!D6)</f>
        <v> Event Coordinator</v>
      </c>
      <c r="I1386" s="48" t="n">
        <f aca="false">IF('RAW QHH'!E6="","",'RAW QHH'!E6)</f>
        <v>4</v>
      </c>
      <c r="J1386" s="48" t="str">
        <f aca="false">IF('RAW QHH'!F6="","",'RAW QHH'!F6)</f>
        <v/>
      </c>
      <c r="K1386" s="50" t="n">
        <f aca="false">IF('RAW QHH'!G6="","",'RAW QHH'!G6)</f>
        <v>0</v>
      </c>
      <c r="L1386" s="50" t="n">
        <f aca="false">IF('RAW QHH'!H6="","",'RAW QHH'!H6)</f>
        <v>0</v>
      </c>
      <c r="M1386" s="48" t="str">
        <f aca="false">IF('RAW QHH'!I6="","",'RAW QHH'!I6)</f>
        <v/>
      </c>
    </row>
    <row r="1387" customFormat="false" ht="15" hidden="false" customHeight="false" outlineLevel="0" collapsed="false">
      <c r="A1387" s="1" t="s">
        <v>2531</v>
      </c>
      <c r="B1387" s="1" t="s">
        <v>158</v>
      </c>
      <c r="C1387" s="1" t="s">
        <v>1153</v>
      </c>
      <c r="D1387" s="1" t="n">
        <v>7</v>
      </c>
      <c r="E1387" s="48" t="str">
        <f aca="false">IF('RAW QHH'!A7="","",'RAW QHH'!A7)</f>
        <v>Emergency Prep Drill</v>
      </c>
      <c r="F1387" s="48" t="str">
        <f aca="false">IF('RAW QHH'!B7="","",'RAW QHH'!B7)</f>
        <v>Community Support (CB)</v>
      </c>
      <c r="G1387" s="49" t="str">
        <f aca="false">IF('RAW QHH'!C7="","",'RAW QHH'!C7)</f>
        <v>12-Jul-2025</v>
      </c>
      <c r="H1387" s="48" t="str">
        <f aca="false">IF('RAW QHH'!D7="","",'RAW QHH'!D7)</f>
        <v>Charge RN</v>
      </c>
      <c r="I1387" s="48" t="n">
        <f aca="false">IF('RAW QHH'!E7="","",'RAW QHH'!E7)</f>
        <v>6.25</v>
      </c>
      <c r="J1387" s="48" t="str">
        <f aca="false">IF('RAW QHH'!F7="","",'RAW QHH'!F7)</f>
        <v/>
      </c>
      <c r="K1387" s="50" t="n">
        <f aca="false">IF('RAW QHH'!G7="","",'RAW QHH'!G7)</f>
        <v>0</v>
      </c>
      <c r="L1387" s="50" t="n">
        <f aca="false">IF('RAW QHH'!H7="","",'RAW QHH'!H7)</f>
        <v>0</v>
      </c>
      <c r="M1387" s="48" t="str">
        <f aca="false">IF('RAW QHH'!I7="","",'RAW QHH'!I7)</f>
        <v/>
      </c>
    </row>
    <row r="1388" customFormat="false" ht="15" hidden="false" customHeight="false" outlineLevel="0" collapsed="false">
      <c r="A1388" s="1" t="s">
        <v>2532</v>
      </c>
      <c r="B1388" s="1" t="s">
        <v>158</v>
      </c>
      <c r="C1388" s="1" t="s">
        <v>1153</v>
      </c>
      <c r="D1388" s="1" t="n">
        <v>8</v>
      </c>
      <c r="E1388" s="48" t="str">
        <f aca="false">IF('RAW QHH'!A8="","",'RAW QHH'!A8)</f>
        <v>Green Space Project</v>
      </c>
      <c r="F1388" s="48" t="str">
        <f aca="false">IF('RAW QHH'!B8="","",'RAW QHH'!B8)</f>
        <v>Environmental (CB)</v>
      </c>
      <c r="G1388" s="49" t="str">
        <f aca="false">IF('RAW QHH'!C8="","",'RAW QHH'!C8)</f>
        <v>19-Jul-2025</v>
      </c>
      <c r="H1388" s="48" t="str">
        <f aca="false">IF('RAW QHH'!D8="","",'RAW QHH'!D8)</f>
        <v>Volunteer Coordinator</v>
      </c>
      <c r="I1388" s="48" t="n">
        <f aca="false">IF('RAW QHH'!E8="","",'RAW QHH'!E8)</f>
        <v>8</v>
      </c>
      <c r="J1388" s="48" t="n">
        <f aca="false">IF('RAW QHH'!F8="","",'RAW QHH'!F8)</f>
        <v>36</v>
      </c>
      <c r="K1388" s="50" t="n">
        <f aca="false">IF('RAW QHH'!G8="","",'RAW QHH'!G8)</f>
        <v>2910</v>
      </c>
      <c r="L1388" s="50" t="n">
        <f aca="false">IF('RAW QHH'!H8="","",'RAW QHH'!H8)</f>
        <v>0</v>
      </c>
      <c r="M1388" s="48" t="str">
        <f aca="false">IF('RAW QHH'!I8="","",'RAW QHH'!I8)</f>
        <v/>
      </c>
    </row>
    <row r="1389" customFormat="false" ht="15" hidden="false" customHeight="false" outlineLevel="0" collapsed="false">
      <c r="A1389" s="1" t="s">
        <v>2533</v>
      </c>
      <c r="B1389" s="1" t="s">
        <v>158</v>
      </c>
      <c r="C1389" s="1" t="s">
        <v>1153</v>
      </c>
      <c r="D1389" s="1" t="n">
        <v>9</v>
      </c>
      <c r="E1389" s="48" t="str">
        <f aca="false">IF('RAW QHH'!A9="","",'RAW QHH'!A9)</f>
        <v>Quit Tobacco Class</v>
      </c>
      <c r="F1389" s="48" t="str">
        <f aca="false">IF('RAW QHH'!B9="","",'RAW QHH'!B9)</f>
        <v>CHIS - Education</v>
      </c>
      <c r="G1389" s="49" t="str">
        <f aca="false">IF('RAW QHH'!C9="","",'RAW QHH'!C9)</f>
        <v>24-Jul-2025</v>
      </c>
      <c r="H1389" s="48" t="str">
        <f aca="false">IF('RAW QHH'!D9="","",'RAW QHH'!D9)</f>
        <v>Respiratory Therapist</v>
      </c>
      <c r="I1389" s="48" t="n">
        <f aca="false">IF('RAW QHH'!E9="","",'RAW QHH'!E9)</f>
        <v>2</v>
      </c>
      <c r="J1389" s="48" t="n">
        <f aca="false">IF('RAW QHH'!F9="","",'RAW QHH'!F9)</f>
        <v>10</v>
      </c>
      <c r="K1389" s="50" t="n">
        <f aca="false">IF('RAW QHH'!G9="","",'RAW QHH'!G9)</f>
        <v>155</v>
      </c>
      <c r="L1389" s="50" t="n">
        <f aca="false">IF('RAW QHH'!H9="","",'RAW QHH'!H9)</f>
        <v>0</v>
      </c>
      <c r="M1389" s="48" t="str">
        <f aca="false">IF('RAW QHH'!I9="","",'RAW QHH'!I9)</f>
        <v/>
      </c>
    </row>
    <row r="1390" customFormat="false" ht="15" hidden="false" customHeight="false" outlineLevel="0" collapsed="false">
      <c r="A1390" s="1" t="s">
        <v>2534</v>
      </c>
      <c r="B1390" s="1" t="s">
        <v>158</v>
      </c>
      <c r="C1390" s="1" t="s">
        <v>1153</v>
      </c>
      <c r="D1390" s="1" t="n">
        <v>10</v>
      </c>
      <c r="E1390" s="48" t="str">
        <f aca="false">IF('RAW QHH'!A10="","",'RAW QHH'!A10)</f>
        <v>Sports Physicals</v>
      </c>
      <c r="F1390" s="48" t="str">
        <f aca="false">IF('RAW QHH'!B10="","",'RAW QHH'!B10)</f>
        <v>CHIS - Clinical</v>
      </c>
      <c r="G1390" s="49" t="str">
        <f aca="false">IF('RAW QHH'!C10="","",'RAW QHH'!C10)</f>
        <v>25-Jul-2025</v>
      </c>
      <c r="H1390" s="48" t="str">
        <f aca="false">IF('RAW QHH'!D10="","",'RAW QHH'!D10)</f>
        <v>Temp</v>
      </c>
      <c r="I1390" s="48" t="n">
        <f aca="false">IF('RAW QHH'!E10="","",'RAW QHH'!E10)</f>
        <v>4.5</v>
      </c>
      <c r="J1390" s="48" t="str">
        <f aca="false">IF('RAW QHH'!F10="","",'RAW QHH'!F10)</f>
        <v/>
      </c>
      <c r="K1390" s="50" t="n">
        <f aca="false">IF('RAW QHH'!G10="","",'RAW QHH'!G10)</f>
        <v>0</v>
      </c>
      <c r="L1390" s="50" t="n">
        <f aca="false">IF('RAW QHH'!H10="","",'RAW QHH'!H10)</f>
        <v>0</v>
      </c>
      <c r="M1390" s="48" t="str">
        <f aca="false">IF('RAW QHH'!I10="","",'RAW QHH'!I10)</f>
        <v/>
      </c>
    </row>
    <row r="1391" customFormat="false" ht="15" hidden="false" customHeight="false" outlineLevel="0" collapsed="false">
      <c r="A1391" s="1" t="s">
        <v>2535</v>
      </c>
      <c r="B1391" s="1" t="s">
        <v>158</v>
      </c>
      <c r="C1391" s="1" t="s">
        <v>1153</v>
      </c>
      <c r="D1391" s="1" t="n">
        <v>11</v>
      </c>
      <c r="E1391" s="48" t="str">
        <f aca="false">IF('RAW QHH'!A11="","",'RAW QHH'!A11)</f>
        <v>Sports Physicals</v>
      </c>
      <c r="F1391" s="48" t="str">
        <f aca="false">IF('RAW QHH'!B11="","",'RAW QHH'!B11)</f>
        <v>CHIS - Clinical</v>
      </c>
      <c r="G1391" s="49" t="str">
        <f aca="false">IF('RAW QHH'!C11="","",'RAW QHH'!C11)</f>
        <v>25-Jul-2025</v>
      </c>
      <c r="H1391" s="48" t="str">
        <f aca="false">IF('RAW QHH'!D11="","",'RAW QHH'!D11)</f>
        <v>Nurse Practitioner</v>
      </c>
      <c r="I1391" s="48" t="n">
        <f aca="false">IF('RAW QHH'!E11="","",'RAW QHH'!E11)</f>
        <v>4.5</v>
      </c>
      <c r="J1391" s="48" t="str">
        <f aca="false">IF('RAW QHH'!F11="","",'RAW QHH'!F11)</f>
        <v/>
      </c>
      <c r="K1391" s="50" t="n">
        <f aca="false">IF('RAW QHH'!G11="","",'RAW QHH'!G11)</f>
        <v>0</v>
      </c>
      <c r="L1391" s="50" t="n">
        <f aca="false">IF('RAW QHH'!H11="","",'RAW QHH'!H11)</f>
        <v>0</v>
      </c>
      <c r="M1391" s="48" t="str">
        <f aca="false">IF('RAW QHH'!I11="","",'RAW QHH'!I11)</f>
        <v/>
      </c>
    </row>
    <row r="1392" customFormat="false" ht="15" hidden="false" customHeight="false" outlineLevel="0" collapsed="false">
      <c r="A1392" s="1" t="s">
        <v>2536</v>
      </c>
      <c r="B1392" s="1" t="s">
        <v>158</v>
      </c>
      <c r="C1392" s="1" t="s">
        <v>1153</v>
      </c>
      <c r="D1392" s="1" t="n">
        <v>12</v>
      </c>
      <c r="E1392" s="48" t="str">
        <f aca="false">IF('RAW QHH'!A12="","",'RAW QHH'!A12)</f>
        <v>Sports Physicals</v>
      </c>
      <c r="F1392" s="48" t="str">
        <f aca="false">IF('RAW QHH'!B12="","",'RAW QHH'!B12)</f>
        <v>CHIS - Clinical</v>
      </c>
      <c r="G1392" s="49" t="str">
        <f aca="false">IF('RAW QHH'!C12="","",'RAW QHH'!C12)</f>
        <v>25-Jul-2025</v>
      </c>
      <c r="H1392" s="48" t="str">
        <f aca="false">IF('RAW QHH'!D12="","",'RAW QHH'!D12)</f>
        <v>Physician</v>
      </c>
      <c r="I1392" s="48" t="n">
        <f aca="false">IF('RAW QHH'!E12="","",'RAW QHH'!E12)</f>
        <v>4.75</v>
      </c>
      <c r="J1392" s="48" t="n">
        <f aca="false">IF('RAW QHH'!F12="","",'RAW QHH'!F12)</f>
        <v>72</v>
      </c>
      <c r="K1392" s="50" t="n">
        <f aca="false">IF('RAW QHH'!G12="","",'RAW QHH'!G12)</f>
        <v>425</v>
      </c>
      <c r="L1392" s="50" t="n">
        <f aca="false">IF('RAW QHH'!H12="","",'RAW QHH'!H12)</f>
        <v>0</v>
      </c>
      <c r="M1392" s="48" t="str">
        <f aca="false">IF('RAW QHH'!I12="","",'RAW QHH'!I12)</f>
        <v/>
      </c>
    </row>
    <row r="1393" customFormat="false" ht="15" hidden="false" customHeight="false" outlineLevel="0" collapsed="false">
      <c r="A1393" s="1" t="s">
        <v>2537</v>
      </c>
      <c r="B1393" s="1" t="s">
        <v>158</v>
      </c>
      <c r="C1393" s="1" t="s">
        <v>1153</v>
      </c>
      <c r="D1393" s="1" t="n">
        <v>13</v>
      </c>
      <c r="E1393" s="48" t="str">
        <f aca="false">IF('RAW QHH'!A13="","",'RAW QHH'!A13)</f>
        <v>Medication Assistance</v>
      </c>
      <c r="F1393" s="48" t="str">
        <f aca="false">IF('RAW QHH'!B13="","",'RAW QHH'!B13)</f>
        <v>CHIS - Support</v>
      </c>
      <c r="G1393" s="49" t="str">
        <f aca="false">IF('RAW QHH'!C13="","",'RAW QHH'!C13)</f>
        <v>31-Jul-2025</v>
      </c>
      <c r="H1393" s="48" t="str">
        <f aca="false">IF('RAW QHH'!D13="","",'RAW QHH'!D13)</f>
        <v>Care Navigator</v>
      </c>
      <c r="I1393" s="48" t="n">
        <f aca="false">IF('RAW QHH'!E13="","",'RAW QHH'!E13)</f>
        <v>69.75</v>
      </c>
      <c r="J1393" s="48" t="str">
        <f aca="false">IF('RAW QHH'!F13="","",'RAW QHH'!F13)</f>
        <v/>
      </c>
      <c r="K1393" s="50" t="n">
        <f aca="false">IF('RAW QHH'!G13="","",'RAW QHH'!G13)</f>
        <v>0</v>
      </c>
      <c r="L1393" s="50" t="n">
        <f aca="false">IF('RAW QHH'!H13="","",'RAW QHH'!H13)</f>
        <v>0</v>
      </c>
      <c r="M1393" s="48" t="str">
        <f aca="false">IF('RAW QHH'!I13="","",'RAW QHH'!I13)</f>
        <v/>
      </c>
    </row>
    <row r="1394" customFormat="false" ht="15" hidden="false" customHeight="false" outlineLevel="0" collapsed="false">
      <c r="A1394" s="1" t="s">
        <v>2538</v>
      </c>
      <c r="B1394" s="1" t="s">
        <v>158</v>
      </c>
      <c r="C1394" s="1" t="s">
        <v>1153</v>
      </c>
      <c r="D1394" s="1" t="n">
        <v>14</v>
      </c>
      <c r="E1394" s="48" t="str">
        <f aca="false">IF('RAW QHH'!A14="","",'RAW QHH'!A14)</f>
        <v>Medication Assistance</v>
      </c>
      <c r="F1394" s="48" t="str">
        <f aca="false">IF('RAW QHH'!B14="","",'RAW QHH'!B14)</f>
        <v>CHIS - Support</v>
      </c>
      <c r="G1394" s="49" t="str">
        <f aca="false">IF('RAW QHH'!C14="","",'RAW QHH'!C14)</f>
        <v>31-Jul-2025</v>
      </c>
      <c r="H1394" s="48" t="str">
        <f aca="false">IF('RAW QHH'!D14="","",'RAW QHH'!D14)</f>
        <v>Staff Pharmacist </v>
      </c>
      <c r="I1394" s="48" t="n">
        <f aca="false">IF('RAW QHH'!E14="","",'RAW QHH'!E14)</f>
        <v>14.75</v>
      </c>
      <c r="J1394" s="48" t="n">
        <f aca="false">IF('RAW QHH'!F14="","",'RAW QHH'!F14)</f>
        <v>95</v>
      </c>
      <c r="K1394" s="50" t="n">
        <f aca="false">IF('RAW QHH'!G14="","",'RAW QHH'!G14)</f>
        <v>18050</v>
      </c>
      <c r="L1394" s="50" t="n">
        <f aca="false">IF('RAW QHH'!H14="","",'RAW QHH'!H14)</f>
        <v>0</v>
      </c>
      <c r="M1394" s="48" t="str">
        <f aca="false">IF('RAW QHH'!I14="","",'RAW QHH'!I14)</f>
        <v/>
      </c>
    </row>
    <row r="1395" customFormat="false" ht="15" hidden="false" customHeight="false" outlineLevel="0" collapsed="false">
      <c r="A1395" s="1" t="s">
        <v>2539</v>
      </c>
      <c r="B1395" s="1" t="s">
        <v>158</v>
      </c>
      <c r="C1395" s="1" t="s">
        <v>1153</v>
      </c>
      <c r="D1395" s="1" t="n">
        <v>15</v>
      </c>
      <c r="E1395" s="48" t="str">
        <f aca="false">IF('RAW QHH'!A15="","",'RAW QHH'!A15)</f>
        <v>Community Benefit Admin.</v>
      </c>
      <c r="F1395" s="48" t="str">
        <f aca="false">IF('RAW QHH'!B15="","",'RAW QHH'!B15)</f>
        <v>CBO</v>
      </c>
      <c r="G1395" s="49" t="str">
        <f aca="false">IF('RAW QHH'!C15="","",'RAW QHH'!C15)</f>
        <v>31-Jul-2025</v>
      </c>
      <c r="H1395" s="48" t="str">
        <f aca="false">IF('RAW QHH'!D15="","",'RAW QHH'!D15)</f>
        <v>Office Coordinator</v>
      </c>
      <c r="I1395" s="48" t="n">
        <f aca="false">IF('RAW QHH'!E15="","",'RAW QHH'!E15)</f>
        <v>48.5</v>
      </c>
      <c r="J1395" s="48" t="str">
        <f aca="false">IF('RAW QHH'!F15="","",'RAW QHH'!F15)</f>
        <v/>
      </c>
      <c r="K1395" s="50" t="n">
        <f aca="false">IF('RAW QHH'!G15="","",'RAW QHH'!G15)</f>
        <v>0</v>
      </c>
      <c r="L1395" s="50" t="n">
        <f aca="false">IF('RAW QHH'!H15="","",'RAW QHH'!H15)</f>
        <v>0</v>
      </c>
      <c r="M1395" s="48" t="str">
        <f aca="false">IF('RAW QHH'!I15="","",'RAW QHH'!I15)</f>
        <v/>
      </c>
    </row>
    <row r="1396" customFormat="false" ht="15" hidden="false" customHeight="false" outlineLevel="0" collapsed="false">
      <c r="A1396" s="1" t="s">
        <v>2540</v>
      </c>
      <c r="B1396" s="1" t="s">
        <v>158</v>
      </c>
      <c r="C1396" s="1" t="s">
        <v>1153</v>
      </c>
      <c r="D1396" s="1" t="n">
        <v>16</v>
      </c>
      <c r="E1396" s="48" t="str">
        <f aca="false">IF('RAW QHH'!A16="","",'RAW QHH'!A16)</f>
        <v>Community Benefit Admin.</v>
      </c>
      <c r="F1396" s="48" t="str">
        <f aca="false">IF('RAW QHH'!B16="","",'RAW QHH'!B16)</f>
        <v>CBO</v>
      </c>
      <c r="G1396" s="49" t="str">
        <f aca="false">IF('RAW QHH'!C16="","",'RAW QHH'!C16)</f>
        <v>31-Jul-2025</v>
      </c>
      <c r="H1396" s="48" t="str">
        <f aca="false">IF('RAW QHH'!D16="","",'RAW QHH'!D16)</f>
        <v>Manager Community Benefit </v>
      </c>
      <c r="I1396" s="48" t="n">
        <f aca="false">IF('RAW QHH'!E16="","",'RAW QHH'!E16)</f>
        <v>55.25</v>
      </c>
      <c r="J1396" s="48" t="str">
        <f aca="false">IF('RAW QHH'!F16="","",'RAW QHH'!F16)</f>
        <v/>
      </c>
      <c r="K1396" s="50" t="n">
        <f aca="false">IF('RAW QHH'!G16="","",'RAW QHH'!G16)</f>
        <v>545</v>
      </c>
      <c r="L1396" s="50" t="n">
        <f aca="false">IF('RAW QHH'!H16="","",'RAW QHH'!H16)</f>
        <v>0</v>
      </c>
      <c r="M1396" s="48" t="str">
        <f aca="false">IF('RAW QHH'!I16="","",'RAW QHH'!I16)</f>
        <v/>
      </c>
    </row>
    <row r="1397" customFormat="false" ht="15" hidden="false" customHeight="false" outlineLevel="0" collapsed="false">
      <c r="A1397" s="1" t="s">
        <v>2541</v>
      </c>
      <c r="B1397" s="1" t="s">
        <v>158</v>
      </c>
      <c r="C1397" s="1" t="s">
        <v>1153</v>
      </c>
      <c r="D1397" s="1" t="n">
        <v>17</v>
      </c>
      <c r="E1397" s="48" t="str">
        <f aca="false">IF('RAW QHH'!A17="","",'RAW QHH'!A17)</f>
        <v>Community Paramedicine</v>
      </c>
      <c r="F1397" s="48" t="str">
        <f aca="false">IF('RAW QHH'!B17="","",'RAW QHH'!B17)</f>
        <v>CHIS - Clinical</v>
      </c>
      <c r="G1397" s="49" t="str">
        <f aca="false">IF('RAW QHH'!C17="","",'RAW QHH'!C17)</f>
        <v>31-Jul-2025</v>
      </c>
      <c r="H1397" s="48" t="str">
        <f aca="false">IF('RAW QHH'!D17="","",'RAW QHH'!D17)</f>
        <v>EMT</v>
      </c>
      <c r="I1397" s="48" t="n">
        <f aca="false">IF('RAW QHH'!E17="","",'RAW QHH'!E17)</f>
        <v>69.5</v>
      </c>
      <c r="J1397" s="48" t="n">
        <f aca="false">IF('RAW QHH'!F17="","",'RAW QHH'!F17)</f>
        <v>68</v>
      </c>
      <c r="K1397" s="50" t="n">
        <f aca="false">IF('RAW QHH'!G17="","",'RAW QHH'!G17)</f>
        <v>955</v>
      </c>
      <c r="L1397" s="50" t="n">
        <f aca="false">IF('RAW QHH'!H17="","",'RAW QHH'!H17)</f>
        <v>0</v>
      </c>
      <c r="M1397" s="48" t="str">
        <f aca="false">IF('RAW QHH'!I17="","",'RAW QHH'!I17)</f>
        <v/>
      </c>
    </row>
    <row r="1398" customFormat="false" ht="15" hidden="false" customHeight="false" outlineLevel="0" collapsed="false">
      <c r="A1398" s="1" t="s">
        <v>2542</v>
      </c>
      <c r="B1398" s="1" t="s">
        <v>158</v>
      </c>
      <c r="C1398" s="1" t="s">
        <v>1153</v>
      </c>
      <c r="D1398" s="1" t="n">
        <v>18</v>
      </c>
      <c r="E1398" s="48" t="str">
        <f aca="false">IF('RAW QHH'!A18="","",'RAW QHH'!A18)</f>
        <v>Nursing Clinical Rotations</v>
      </c>
      <c r="F1398" s="48" t="str">
        <f aca="false">IF('RAW QHH'!B18="","",'RAW QHH'!B18)</f>
        <v>HPE - Students</v>
      </c>
      <c r="G1398" s="49" t="str">
        <f aca="false">IF('RAW QHH'!C18="","",'RAW QHH'!C18)</f>
        <v>31-Jul-2025</v>
      </c>
      <c r="H1398" s="48" t="str">
        <f aca="false">IF('RAW QHH'!D18="","",'RAW QHH'!D18)</f>
        <v>Preceptor RN</v>
      </c>
      <c r="I1398" s="48" t="n">
        <f aca="false">IF('RAW QHH'!E18="","",'RAW QHH'!E18)</f>
        <v>37</v>
      </c>
      <c r="J1398" s="48" t="n">
        <f aca="false">IF('RAW QHH'!F18="","",'RAW QHH'!F18)</f>
        <v>8</v>
      </c>
      <c r="K1398" s="50" t="n">
        <f aca="false">IF('RAW QHH'!G18="","",'RAW QHH'!G18)</f>
        <v>200</v>
      </c>
      <c r="L1398" s="50" t="n">
        <f aca="false">IF('RAW QHH'!H18="","",'RAW QHH'!H18)</f>
        <v>0</v>
      </c>
      <c r="M1398" s="48" t="str">
        <f aca="false">IF('RAW QHH'!I18="","",'RAW QHH'!I18)</f>
        <v/>
      </c>
    </row>
    <row r="1399" customFormat="false" ht="15" hidden="false" customHeight="false" outlineLevel="0" collapsed="false">
      <c r="A1399" s="1" t="s">
        <v>2543</v>
      </c>
      <c r="B1399" s="1" t="s">
        <v>158</v>
      </c>
      <c r="C1399" s="1" t="s">
        <v>1153</v>
      </c>
      <c r="D1399" s="1" t="n">
        <v>19</v>
      </c>
      <c r="E1399" s="48" t="str">
        <f aca="false">IF('RAW QHH'!A19="","",'RAW QHH'!A19)</f>
        <v>Nursing Clinical Rotations</v>
      </c>
      <c r="F1399" s="48" t="str">
        <f aca="false">IF('RAW QHH'!B19="","",'RAW QHH'!B19)</f>
        <v>HPE - Students</v>
      </c>
      <c r="G1399" s="49" t="str">
        <f aca="false">IF('RAW QHH'!C19="","",'RAW QHH'!C19)</f>
        <v>31-Jul-2025</v>
      </c>
      <c r="H1399" s="48" t="str">
        <f aca="false">IF('RAW QHH'!D19="","",'RAW QHH'!D19)</f>
        <v>RN II</v>
      </c>
      <c r="I1399" s="48" t="n">
        <f aca="false">IF('RAW QHH'!E19="","",'RAW QHH'!E19)</f>
        <v>70.25</v>
      </c>
      <c r="J1399" s="48" t="str">
        <f aca="false">IF('RAW QHH'!F19="","",'RAW QHH'!F19)</f>
        <v/>
      </c>
      <c r="K1399" s="50" t="n">
        <f aca="false">IF('RAW QHH'!G19="","",'RAW QHH'!G19)</f>
        <v>0</v>
      </c>
      <c r="L1399" s="50" t="n">
        <f aca="false">IF('RAW QHH'!H19="","",'RAW QHH'!H19)</f>
        <v>0</v>
      </c>
      <c r="M1399" s="48" t="str">
        <f aca="false">IF('RAW QHH'!I19="","",'RAW QHH'!I19)</f>
        <v/>
      </c>
    </row>
    <row r="1400" customFormat="false" ht="15" hidden="false" customHeight="false" outlineLevel="0" collapsed="false">
      <c r="A1400" s="1" t="s">
        <v>2544</v>
      </c>
      <c r="B1400" s="1" t="s">
        <v>158</v>
      </c>
      <c r="C1400" s="1" t="s">
        <v>1153</v>
      </c>
      <c r="D1400" s="1" t="n">
        <v>20</v>
      </c>
      <c r="E1400" s="48" t="str">
        <f aca="false">IF('RAW QHH'!A20="","",'RAW QHH'!A20)</f>
        <v>Quit Tobacco Class</v>
      </c>
      <c r="F1400" s="48" t="str">
        <f aca="false">IF('RAW QHH'!B20="","",'RAW QHH'!B20)</f>
        <v>CHIS - Education</v>
      </c>
      <c r="G1400" s="49" t="str">
        <f aca="false">IF('RAW QHH'!C20="","",'RAW QHH'!C20)</f>
        <v>07-Aug-2025</v>
      </c>
      <c r="H1400" s="48" t="str">
        <f aca="false">IF('RAW QHH'!D20="","",'RAW QHH'!D20)</f>
        <v>Physical Therapist</v>
      </c>
      <c r="I1400" s="48" t="n">
        <f aca="false">IF('RAW QHH'!E20="","",'RAW QHH'!E20)</f>
        <v>2</v>
      </c>
      <c r="J1400" s="48" t="n">
        <f aca="false">IF('RAW QHH'!F20="","",'RAW QHH'!F20)</f>
        <v>7</v>
      </c>
      <c r="K1400" s="50" t="n">
        <f aca="false">IF('RAW QHH'!G20="","",'RAW QHH'!G20)</f>
        <v>255</v>
      </c>
      <c r="L1400" s="50" t="n">
        <f aca="false">IF('RAW QHH'!H20="","",'RAW QHH'!H20)</f>
        <v>0</v>
      </c>
      <c r="M1400" s="48" t="str">
        <f aca="false">IF('RAW QHH'!I20="","",'RAW QHH'!I20)</f>
        <v/>
      </c>
    </row>
    <row r="1401" customFormat="false" ht="15" hidden="false" customHeight="false" outlineLevel="0" collapsed="false">
      <c r="A1401" s="1" t="s">
        <v>2545</v>
      </c>
      <c r="B1401" s="1" t="s">
        <v>158</v>
      </c>
      <c r="C1401" s="1" t="s">
        <v>1153</v>
      </c>
      <c r="D1401" s="1" t="n">
        <v>21</v>
      </c>
      <c r="E1401" s="48" t="str">
        <f aca="false">IF('RAW QHH'!A21="","",'RAW QHH'!A21)</f>
        <v>Fall Prevention Class</v>
      </c>
      <c r="F1401" s="48" t="str">
        <f aca="false">IF('RAW QHH'!B21="","",'RAW QHH'!B21)</f>
        <v>CHIS - Education</v>
      </c>
      <c r="G1401" s="49" t="str">
        <f aca="false">IF('RAW QHH'!C21="","",'RAW QHH'!C21)</f>
        <v>12-Aug-2025</v>
      </c>
      <c r="H1401" s="48" t="str">
        <f aca="false">IF('RAW QHH'!D21="","",'RAW QHH'!D21)</f>
        <v>Phys Therapist</v>
      </c>
      <c r="I1401" s="48" t="n">
        <f aca="false">IF('RAW QHH'!E21="","",'RAW QHH'!E21)</f>
        <v>2</v>
      </c>
      <c r="J1401" s="48" t="n">
        <f aca="false">IF('RAW QHH'!F21="","",'RAW QHH'!F21)</f>
        <v>9</v>
      </c>
      <c r="K1401" s="50" t="n">
        <f aca="false">IF('RAW QHH'!G21="","",'RAW QHH'!G21)</f>
        <v>85</v>
      </c>
      <c r="L1401" s="50" t="n">
        <f aca="false">IF('RAW QHH'!H21="","",'RAW QHH'!H21)</f>
        <v>0</v>
      </c>
      <c r="M1401" s="48" t="str">
        <f aca="false">IF('RAW QHH'!I21="","",'RAW QHH'!I21)</f>
        <v/>
      </c>
    </row>
    <row r="1402" customFormat="false" ht="15" hidden="false" customHeight="false" outlineLevel="0" collapsed="false">
      <c r="A1402" s="1" t="s">
        <v>2546</v>
      </c>
      <c r="B1402" s="1" t="s">
        <v>158</v>
      </c>
      <c r="C1402" s="1" t="s">
        <v>1153</v>
      </c>
      <c r="D1402" s="1" t="n">
        <v>22</v>
      </c>
      <c r="E1402" s="48" t="str">
        <f aca="false">IF('RAW QHH'!A22="","",'RAW QHH'!A22)</f>
        <v>Emergency Prep Drill</v>
      </c>
      <c r="F1402" s="48" t="str">
        <f aca="false">IF('RAW QHH'!B22="","",'RAW QHH'!B22)</f>
        <v>Community Support (CB)</v>
      </c>
      <c r="G1402" s="49" t="str">
        <f aca="false">IF('RAW QHH'!C22="","",'RAW QHH'!C22)</f>
        <v>18-Aug-2025</v>
      </c>
      <c r="H1402" s="48" t="str">
        <f aca="false">IF('RAW QHH'!D22="","",'RAW QHH'!D22)</f>
        <v>EMT</v>
      </c>
      <c r="I1402" s="48" t="n">
        <f aca="false">IF('RAW QHH'!E22="","",'RAW QHH'!E22)</f>
        <v>6.25</v>
      </c>
      <c r="J1402" s="48" t="n">
        <f aca="false">IF('RAW QHH'!F22="","",'RAW QHH'!F22)</f>
        <v>66</v>
      </c>
      <c r="K1402" s="50" t="n">
        <f aca="false">IF('RAW QHH'!G22="","",'RAW QHH'!G22)</f>
        <v>1205</v>
      </c>
      <c r="L1402" s="50" t="n">
        <f aca="false">IF('RAW QHH'!H22="","",'RAW QHH'!H22)</f>
        <v>0</v>
      </c>
      <c r="M1402" s="48" t="str">
        <f aca="false">IF('RAW QHH'!I22="","",'RAW QHH'!I22)</f>
        <v/>
      </c>
    </row>
    <row r="1403" customFormat="false" ht="15" hidden="false" customHeight="false" outlineLevel="0" collapsed="false">
      <c r="A1403" s="1" t="s">
        <v>2547</v>
      </c>
      <c r="B1403" s="1" t="s">
        <v>158</v>
      </c>
      <c r="C1403" s="1" t="s">
        <v>1153</v>
      </c>
      <c r="D1403" s="1" t="n">
        <v>23</v>
      </c>
      <c r="E1403" s="48" t="str">
        <f aca="false">IF('RAW QHH'!A23="","",'RAW QHH'!A23)</f>
        <v>Emergency Prep Drill</v>
      </c>
      <c r="F1403" s="48" t="str">
        <f aca="false">IF('RAW QHH'!B23="","",'RAW QHH'!B23)</f>
        <v>Community Support (CB)</v>
      </c>
      <c r="G1403" s="49" t="str">
        <f aca="false">IF('RAW QHH'!C23="","",'RAW QHH'!C23)</f>
        <v>18-Aug-2025</v>
      </c>
      <c r="H1403" s="48" t="str">
        <f aca="false">IF('RAW QHH'!D23="","",'RAW QHH'!D23)</f>
        <v>event coordinator</v>
      </c>
      <c r="I1403" s="48" t="n">
        <f aca="false">IF('RAW QHH'!E23="","",'RAW QHH'!E23)</f>
        <v>5.5</v>
      </c>
      <c r="J1403" s="48" t="str">
        <f aca="false">IF('RAW QHH'!F23="","",'RAW QHH'!F23)</f>
        <v/>
      </c>
      <c r="K1403" s="50" t="n">
        <f aca="false">IF('RAW QHH'!G23="","",'RAW QHH'!G23)</f>
        <v>0</v>
      </c>
      <c r="L1403" s="50" t="n">
        <f aca="false">IF('RAW QHH'!H23="","",'RAW QHH'!H23)</f>
        <v>0</v>
      </c>
      <c r="M1403" s="48" t="str">
        <f aca="false">IF('RAW QHH'!I23="","",'RAW QHH'!I23)</f>
        <v/>
      </c>
    </row>
    <row r="1404" customFormat="false" ht="15" hidden="false" customHeight="false" outlineLevel="0" collapsed="false">
      <c r="A1404" s="1" t="s">
        <v>2548</v>
      </c>
      <c r="B1404" s="1" t="s">
        <v>158</v>
      </c>
      <c r="C1404" s="1" t="s">
        <v>1153</v>
      </c>
      <c r="D1404" s="1" t="n">
        <v>24</v>
      </c>
      <c r="E1404" s="48" t="str">
        <f aca="false">IF('RAW QHH'!A24="","",'RAW QHH'!A24)</f>
        <v>Emergency Prep Drill</v>
      </c>
      <c r="F1404" s="48" t="str">
        <f aca="false">IF('RAW QHH'!B24="","",'RAW QHH'!B24)</f>
        <v>Community Support (CB)</v>
      </c>
      <c r="G1404" s="49" t="str">
        <f aca="false">IF('RAW QHH'!C24="","",'RAW QHH'!C24)</f>
        <v>18-Aug-2025</v>
      </c>
      <c r="H1404" s="48" t="str">
        <f aca="false">IF('RAW QHH'!D24="","",'RAW QHH'!D24)</f>
        <v>RN - Outreach</v>
      </c>
      <c r="I1404" s="48" t="n">
        <f aca="false">IF('RAW QHH'!E24="","",'RAW QHH'!E24)</f>
        <v>7.75</v>
      </c>
      <c r="J1404" s="48" t="str">
        <f aca="false">IF('RAW QHH'!F24="","",'RAW QHH'!F24)</f>
        <v/>
      </c>
      <c r="K1404" s="50" t="n">
        <f aca="false">IF('RAW QHH'!G24="","",'RAW QHH'!G24)</f>
        <v>0</v>
      </c>
      <c r="L1404" s="50" t="n">
        <f aca="false">IF('RAW QHH'!H24="","",'RAW QHH'!H24)</f>
        <v>0</v>
      </c>
      <c r="M1404" s="48" t="str">
        <f aca="false">IF('RAW QHH'!I24="","",'RAW QHH'!I24)</f>
        <v/>
      </c>
    </row>
    <row r="1405" customFormat="false" ht="15" hidden="false" customHeight="false" outlineLevel="0" collapsed="false">
      <c r="A1405" s="1" t="s">
        <v>2549</v>
      </c>
      <c r="B1405" s="1" t="s">
        <v>158</v>
      </c>
      <c r="C1405" s="1" t="s">
        <v>1153</v>
      </c>
      <c r="D1405" s="1" t="n">
        <v>25</v>
      </c>
      <c r="E1405" s="48" t="str">
        <f aca="false">IF('RAW QHH'!A25="","",'RAW QHH'!A25)</f>
        <v>Diabetes Prevention Program</v>
      </c>
      <c r="F1405" s="48" t="str">
        <f aca="false">IF('RAW QHH'!B25="","",'RAW QHH'!B25)</f>
        <v>CHIS - Education</v>
      </c>
      <c r="G1405" s="49" t="str">
        <f aca="false">IF('RAW QHH'!C25="","",'RAW QHH'!C25)</f>
        <v>20-Aug-2025</v>
      </c>
      <c r="H1405" s="48" t="str">
        <f aca="false">IF('RAW QHH'!D25="","",'RAW QHH'!D25)</f>
        <v>CHES</v>
      </c>
      <c r="I1405" s="48" t="n">
        <f aca="false">IF('RAW QHH'!E25="","",'RAW QHH'!E25)</f>
        <v>2.25</v>
      </c>
      <c r="J1405" s="48" t="n">
        <f aca="false">IF('RAW QHH'!F25="","",'RAW QHH'!F25)</f>
        <v>10</v>
      </c>
      <c r="K1405" s="50" t="n">
        <f aca="false">IF('RAW QHH'!G25="","",'RAW QHH'!G25)</f>
        <v>75</v>
      </c>
      <c r="L1405" s="50" t="n">
        <f aca="false">IF('RAW QHH'!H25="","",'RAW QHH'!H25)</f>
        <v>0</v>
      </c>
      <c r="M1405" s="48" t="str">
        <f aca="false">IF('RAW QHH'!I25="","",'RAW QHH'!I25)</f>
        <v/>
      </c>
    </row>
    <row r="1406" customFormat="false" ht="15" hidden="false" customHeight="false" outlineLevel="0" collapsed="false">
      <c r="A1406" s="1" t="s">
        <v>2550</v>
      </c>
      <c r="B1406" s="1" t="s">
        <v>158</v>
      </c>
      <c r="C1406" s="1" t="s">
        <v>1153</v>
      </c>
      <c r="D1406" s="1" t="n">
        <v>26</v>
      </c>
      <c r="E1406" s="48" t="str">
        <f aca="false">IF('RAW QHH'!A26="","",'RAW QHH'!A26)</f>
        <v>Diabetes Prevention Program</v>
      </c>
      <c r="F1406" s="48" t="str">
        <f aca="false">IF('RAW QHH'!B26="","",'RAW QHH'!B26)</f>
        <v>CHIS - Education</v>
      </c>
      <c r="G1406" s="49" t="str">
        <f aca="false">IF('RAW QHH'!C26="","",'RAW QHH'!C26)</f>
        <v>20-Aug-2025</v>
      </c>
      <c r="H1406" s="48" t="str">
        <f aca="false">IF('RAW QHH'!D26="","",'RAW QHH'!D26)</f>
        <v>RDN</v>
      </c>
      <c r="I1406" s="48" t="n">
        <f aca="false">IF('RAW QHH'!E26="","",'RAW QHH'!E26)</f>
        <v>1.75</v>
      </c>
      <c r="J1406" s="48" t="str">
        <f aca="false">IF('RAW QHH'!F26="","",'RAW QHH'!F26)</f>
        <v/>
      </c>
      <c r="K1406" s="50" t="n">
        <f aca="false">IF('RAW QHH'!G26="","",'RAW QHH'!G26)</f>
        <v>0</v>
      </c>
      <c r="L1406" s="50" t="n">
        <f aca="false">IF('RAW QHH'!H26="","",'RAW QHH'!H26)</f>
        <v>0</v>
      </c>
      <c r="M1406" s="48" t="str">
        <f aca="false">IF('RAW QHH'!I26="","",'RAW QHH'!I26)</f>
        <v/>
      </c>
    </row>
    <row r="1407" customFormat="false" ht="15" hidden="false" customHeight="false" outlineLevel="0" collapsed="false">
      <c r="A1407" s="1" t="s">
        <v>2551</v>
      </c>
      <c r="B1407" s="1" t="s">
        <v>158</v>
      </c>
      <c r="C1407" s="1" t="s">
        <v>1153</v>
      </c>
      <c r="D1407" s="1" t="n">
        <v>27</v>
      </c>
      <c r="E1407" s="48" t="str">
        <f aca="false">IF('RAW QHH'!A27="","",'RAW QHH'!A27)</f>
        <v>Car Seat Safety</v>
      </c>
      <c r="F1407" s="48" t="str">
        <f aca="false">IF('RAW QHH'!B27="","",'RAW QHH'!B27)</f>
        <v>CHIS - Education</v>
      </c>
      <c r="G1407" s="49" t="str">
        <f aca="false">IF('RAW QHH'!C27="","",'RAW QHH'!C27)</f>
        <v>20-Aug-2025</v>
      </c>
      <c r="H1407" s="48" t="str">
        <f aca="false">IF('RAW QHH'!D27="","",'RAW QHH'!D27)</f>
        <v>EMS Paramedic</v>
      </c>
      <c r="I1407" s="48" t="n">
        <f aca="false">IF('RAW QHH'!E27="","",'RAW QHH'!E27)</f>
        <v>3.5</v>
      </c>
      <c r="J1407" s="48" t="n">
        <f aca="false">IF('RAW QHH'!F27="","",'RAW QHH'!F27)</f>
        <v>31</v>
      </c>
      <c r="K1407" s="50" t="n">
        <f aca="false">IF('RAW QHH'!G27="","",'RAW QHH'!G27)</f>
        <v>700</v>
      </c>
      <c r="L1407" s="50" t="n">
        <f aca="false">IF('RAW QHH'!H27="","",'RAW QHH'!H27)</f>
        <v>470</v>
      </c>
      <c r="M1407" s="48" t="str">
        <f aca="false">IF('RAW QHH'!I27="","",'RAW QHH'!I27)</f>
        <v>AM session</v>
      </c>
    </row>
    <row r="1408" customFormat="false" ht="15" hidden="false" customHeight="false" outlineLevel="0" collapsed="false">
      <c r="A1408" s="1" t="s">
        <v>2552</v>
      </c>
      <c r="B1408" s="1" t="s">
        <v>158</v>
      </c>
      <c r="C1408" s="1" t="s">
        <v>1153</v>
      </c>
      <c r="D1408" s="1" t="n">
        <v>28</v>
      </c>
      <c r="E1408" s="48" t="str">
        <f aca="false">IF('RAW QHH'!A28="","",'RAW QHH'!A28)</f>
        <v>Car Seat Safety</v>
      </c>
      <c r="F1408" s="48" t="str">
        <f aca="false">IF('RAW QHH'!B28="","",'RAW QHH'!B28)</f>
        <v>CHIS - Education</v>
      </c>
      <c r="G1408" s="49" t="str">
        <f aca="false">IF('RAW QHH'!C28="","",'RAW QHH'!C28)</f>
        <v>20-Aug-2025</v>
      </c>
      <c r="H1408" s="48" t="str">
        <f aca="false">IF('RAW QHH'!D28="","",'RAW QHH'!D28)</f>
        <v>EMS Paramedic</v>
      </c>
      <c r="I1408" s="48" t="n">
        <f aca="false">IF('RAW QHH'!E28="","",'RAW QHH'!E28)</f>
        <v>3.5</v>
      </c>
      <c r="J1408" s="48" t="n">
        <f aca="false">IF('RAW QHH'!F28="","",'RAW QHH'!F28)</f>
        <v>27</v>
      </c>
      <c r="K1408" s="50" t="n">
        <f aca="false">IF('RAW QHH'!G28="","",'RAW QHH'!G28)</f>
        <v>700</v>
      </c>
      <c r="L1408" s="50" t="n">
        <f aca="false">IF('RAW QHH'!H28="","",'RAW QHH'!H28)</f>
        <v>470</v>
      </c>
      <c r="M1408" s="48" t="str">
        <f aca="false">IF('RAW QHH'!I28="","",'RAW QHH'!I28)</f>
        <v>PM session</v>
      </c>
    </row>
    <row r="1409" customFormat="false" ht="15" hidden="false" customHeight="false" outlineLevel="0" collapsed="false">
      <c r="A1409" s="1" t="s">
        <v>2553</v>
      </c>
      <c r="B1409" s="1" t="s">
        <v>158</v>
      </c>
      <c r="C1409" s="1" t="s">
        <v>1153</v>
      </c>
      <c r="D1409" s="1" t="n">
        <v>29</v>
      </c>
      <c r="E1409" s="48" t="str">
        <f aca="false">IF('RAW QHH'!A29="","",'RAW QHH'!A29)</f>
        <v>Car Seat Safety</v>
      </c>
      <c r="F1409" s="48" t="str">
        <f aca="false">IF('RAW QHH'!B29="","",'RAW QHH'!B29)</f>
        <v>CHIS - Education</v>
      </c>
      <c r="G1409" s="49" t="str">
        <f aca="false">IF('RAW QHH'!C29="","",'RAW QHH'!C29)</f>
        <v>20-Aug-2025</v>
      </c>
      <c r="H1409" s="48" t="str">
        <f aca="false">IF('RAW QHH'!D29="","",'RAW QHH'!D29)</f>
        <v>RN II </v>
      </c>
      <c r="I1409" s="48" t="n">
        <f aca="false">IF('RAW QHH'!E29="","",'RAW QHH'!E29)</f>
        <v>3.25</v>
      </c>
      <c r="J1409" s="48" t="str">
        <f aca="false">IF('RAW QHH'!F29="","",'RAW QHH'!F29)</f>
        <v/>
      </c>
      <c r="K1409" s="50" t="n">
        <f aca="false">IF('RAW QHH'!G29="","",'RAW QHH'!G29)</f>
        <v>0</v>
      </c>
      <c r="L1409" s="50" t="n">
        <f aca="false">IF('RAW QHH'!H29="","",'RAW QHH'!H29)</f>
        <v>0</v>
      </c>
      <c r="M1409" s="48" t="str">
        <f aca="false">IF('RAW QHH'!I29="","",'RAW QHH'!I29)</f>
        <v>AM session</v>
      </c>
    </row>
    <row r="1410" customFormat="false" ht="15" hidden="false" customHeight="false" outlineLevel="0" collapsed="false">
      <c r="A1410" s="1" t="s">
        <v>2554</v>
      </c>
      <c r="B1410" s="1" t="s">
        <v>158</v>
      </c>
      <c r="C1410" s="1" t="s">
        <v>1153</v>
      </c>
      <c r="D1410" s="1" t="n">
        <v>30</v>
      </c>
      <c r="E1410" s="48" t="str">
        <f aca="false">IF('RAW QHH'!A30="","",'RAW QHH'!A30)</f>
        <v>Car Seat Safety</v>
      </c>
      <c r="F1410" s="48" t="str">
        <f aca="false">IF('RAW QHH'!B30="","",'RAW QHH'!B30)</f>
        <v>CHIS - Education</v>
      </c>
      <c r="G1410" s="49" t="str">
        <f aca="false">IF('RAW QHH'!C30="","",'RAW QHH'!C30)</f>
        <v>20-Aug-2025</v>
      </c>
      <c r="H1410" s="48" t="str">
        <f aca="false">IF('RAW QHH'!D30="","",'RAW QHH'!D30)</f>
        <v>rn ii</v>
      </c>
      <c r="I1410" s="48" t="n">
        <f aca="false">IF('RAW QHH'!E30="","",'RAW QHH'!E30)</f>
        <v>3.25</v>
      </c>
      <c r="J1410" s="48" t="str">
        <f aca="false">IF('RAW QHH'!F30="","",'RAW QHH'!F30)</f>
        <v/>
      </c>
      <c r="K1410" s="50" t="n">
        <f aca="false">IF('RAW QHH'!G30="","",'RAW QHH'!G30)</f>
        <v>0</v>
      </c>
      <c r="L1410" s="50" t="n">
        <f aca="false">IF('RAW QHH'!H30="","",'RAW QHH'!H30)</f>
        <v>0</v>
      </c>
      <c r="M1410" s="48" t="str">
        <f aca="false">IF('RAW QHH'!I30="","",'RAW QHH'!I30)</f>
        <v>PM session</v>
      </c>
    </row>
    <row r="1411" customFormat="false" ht="15" hidden="false" customHeight="false" outlineLevel="0" collapsed="false">
      <c r="A1411" s="1" t="s">
        <v>2555</v>
      </c>
      <c r="B1411" s="1" t="s">
        <v>158</v>
      </c>
      <c r="C1411" s="1" t="s">
        <v>1153</v>
      </c>
      <c r="D1411" s="1" t="n">
        <v>31</v>
      </c>
      <c r="E1411" s="48" t="str">
        <f aca="false">IF('RAW QHH'!A31="","",'RAW QHH'!A31)</f>
        <v>Blood Pressure Clinic</v>
      </c>
      <c r="F1411" s="48" t="str">
        <f aca="false">IF('RAW QHH'!B31="","",'RAW QHH'!B31)</f>
        <v>CHIS - Clinical</v>
      </c>
      <c r="G1411" s="49" t="str">
        <f aca="false">IF('RAW QHH'!C31="","",'RAW QHH'!C31)</f>
        <v>21-Aug-2025</v>
      </c>
      <c r="H1411" s="48" t="str">
        <f aca="false">IF('RAW QHH'!D31="","",'RAW QHH'!D31)</f>
        <v>RN - Outreach</v>
      </c>
      <c r="I1411" s="48" t="n">
        <f aca="false">IF('RAW QHH'!E31="","",'RAW QHH'!E31)</f>
        <v>4.5</v>
      </c>
      <c r="J1411" s="48" t="n">
        <f aca="false">IF('RAW QHH'!F31="","",'RAW QHH'!F31)</f>
        <v>30</v>
      </c>
      <c r="K1411" s="50" t="n">
        <f aca="false">IF('RAW QHH'!G31="","",'RAW QHH'!G31)</f>
        <v>75</v>
      </c>
      <c r="L1411" s="50" t="n">
        <f aca="false">IF('RAW QHH'!H31="","",'RAW QHH'!H31)</f>
        <v>0</v>
      </c>
      <c r="M1411" s="48" t="str">
        <f aca="false">IF('RAW QHH'!I31="","",'RAW QHH'!I31)</f>
        <v/>
      </c>
    </row>
    <row r="1412" customFormat="false" ht="15" hidden="false" customHeight="false" outlineLevel="0" collapsed="false">
      <c r="A1412" s="1" t="s">
        <v>2556</v>
      </c>
      <c r="B1412" s="1" t="s">
        <v>158</v>
      </c>
      <c r="C1412" s="1" t="s">
        <v>1153</v>
      </c>
      <c r="D1412" s="1" t="n">
        <v>32</v>
      </c>
      <c r="E1412" s="48" t="str">
        <f aca="false">IF('RAW QHH'!A32="","",'RAW QHH'!A32)</f>
        <v>Fall Prevention Class</v>
      </c>
      <c r="F1412" s="48" t="str">
        <f aca="false">IF('RAW QHH'!B32="","",'RAW QHH'!B32)</f>
        <v>CHIS - Education</v>
      </c>
      <c r="G1412" s="49" t="str">
        <f aca="false">IF('RAW QHH'!C32="","",'RAW QHH'!C32)</f>
        <v>25-Aug-2025</v>
      </c>
      <c r="H1412" s="48" t="str">
        <f aca="false">IF('RAW QHH'!D32="","",'RAW QHH'!D32)</f>
        <v>Respiratory Therapist</v>
      </c>
      <c r="I1412" s="48" t="n">
        <f aca="false">IF('RAW QHH'!E32="","",'RAW QHH'!E32)</f>
        <v>2</v>
      </c>
      <c r="J1412" s="48" t="n">
        <f aca="false">IF('RAW QHH'!F32="","",'RAW QHH'!F32)</f>
        <v>12</v>
      </c>
      <c r="K1412" s="50" t="n">
        <f aca="false">IF('RAW QHH'!G32="","",'RAW QHH'!G32)</f>
        <v>45</v>
      </c>
      <c r="L1412" s="50" t="n">
        <f aca="false">IF('RAW QHH'!H32="","",'RAW QHH'!H32)</f>
        <v>0</v>
      </c>
      <c r="M1412" s="48" t="str">
        <f aca="false">IF('RAW QHH'!I32="","",'RAW QHH'!I32)</f>
        <v/>
      </c>
    </row>
    <row r="1413" customFormat="false" ht="15" hidden="false" customHeight="false" outlineLevel="0" collapsed="false">
      <c r="A1413" s="1" t="s">
        <v>2557</v>
      </c>
      <c r="B1413" s="1" t="s">
        <v>158</v>
      </c>
      <c r="C1413" s="1" t="s">
        <v>1153</v>
      </c>
      <c r="D1413" s="1" t="n">
        <v>33</v>
      </c>
      <c r="E1413" s="48" t="str">
        <f aca="false">IF('RAW QHH'!A33="","",'RAW QHH'!A33)</f>
        <v>Regional Coalition</v>
      </c>
      <c r="F1413" s="48" t="str">
        <f aca="false">IF('RAW QHH'!B33="","",'RAW QHH'!B33)</f>
        <v>Coalition (CB)</v>
      </c>
      <c r="G1413" s="49" t="str">
        <f aca="false">IF('RAW QHH'!C33="","",'RAW QHH'!C33)</f>
        <v>25-Aug-2025</v>
      </c>
      <c r="H1413" s="48" t="str">
        <f aca="false">IF('RAW QHH'!D33="","",'RAW QHH'!D33)</f>
        <v>Manager Community Benefit</v>
      </c>
      <c r="I1413" s="48" t="n">
        <f aca="false">IF('RAW QHH'!E33="","",'RAW QHH'!E33)</f>
        <v>3</v>
      </c>
      <c r="J1413" s="48" t="str">
        <f aca="false">IF('RAW QHH'!F33="","",'RAW QHH'!F33)</f>
        <v/>
      </c>
      <c r="K1413" s="50" t="n">
        <f aca="false">IF('RAW QHH'!G33="","",'RAW QHH'!G33)</f>
        <v>0</v>
      </c>
      <c r="L1413" s="50" t="n">
        <f aca="false">IF('RAW QHH'!H33="","",'RAW QHH'!H33)</f>
        <v>0</v>
      </c>
      <c r="M1413" s="48" t="str">
        <f aca="false">IF('RAW QHH'!I33="","",'RAW QHH'!I33)</f>
        <v/>
      </c>
    </row>
    <row r="1414" customFormat="false" ht="15" hidden="false" customHeight="false" outlineLevel="0" collapsed="false">
      <c r="A1414" s="1" t="s">
        <v>2558</v>
      </c>
      <c r="B1414" s="1" t="s">
        <v>158</v>
      </c>
      <c r="C1414" s="1" t="s">
        <v>1153</v>
      </c>
      <c r="D1414" s="1" t="n">
        <v>34</v>
      </c>
      <c r="E1414" s="48" t="str">
        <f aca="false">IF('RAW QHH'!A34="","",'RAW QHH'!A34)</f>
        <v>Regional Coalition</v>
      </c>
      <c r="F1414" s="48" t="str">
        <f aca="false">IF('RAW QHH'!B34="","",'RAW QHH'!B34)</f>
        <v>Coalition (CB)</v>
      </c>
      <c r="G1414" s="49" t="str">
        <f aca="false">IF('RAW QHH'!C34="","",'RAW QHH'!C34)</f>
        <v>25-Aug-2025</v>
      </c>
      <c r="H1414" s="48" t="str">
        <f aca="false">IF('RAW QHH'!D34="","",'RAW QHH'!D34)</f>
        <v>Director</v>
      </c>
      <c r="I1414" s="48" t="n">
        <f aca="false">IF('RAW QHH'!E34="","",'RAW QHH'!E34)</f>
        <v>2.25</v>
      </c>
      <c r="J1414" s="48" t="str">
        <f aca="false">IF('RAW QHH'!F34="","",'RAW QHH'!F34)</f>
        <v/>
      </c>
      <c r="K1414" s="50" t="n">
        <f aca="false">IF('RAW QHH'!G34="","",'RAW QHH'!G34)</f>
        <v>65</v>
      </c>
      <c r="L1414" s="50" t="n">
        <f aca="false">IF('RAW QHH'!H34="","",'RAW QHH'!H34)</f>
        <v>0</v>
      </c>
      <c r="M1414" s="48" t="str">
        <f aca="false">IF('RAW QHH'!I34="","",'RAW QHH'!I34)</f>
        <v/>
      </c>
    </row>
    <row r="1415" customFormat="false" ht="15" hidden="false" customHeight="false" outlineLevel="0" collapsed="false">
      <c r="A1415" s="1" t="s">
        <v>2559</v>
      </c>
      <c r="B1415" s="1" t="s">
        <v>158</v>
      </c>
      <c r="C1415" s="1" t="s">
        <v>1153</v>
      </c>
      <c r="D1415" s="1" t="n">
        <v>35</v>
      </c>
      <c r="E1415" s="48" t="str">
        <f aca="false">IF('RAW QHH'!A35="","",'RAW QHH'!A35)</f>
        <v>Medication Assistance</v>
      </c>
      <c r="F1415" s="48" t="str">
        <f aca="false">IF('RAW QHH'!B35="","",'RAW QHH'!B35)</f>
        <v>CHIS - Support</v>
      </c>
      <c r="G1415" s="49" t="str">
        <f aca="false">IF('RAW QHH'!C35="","",'RAW QHH'!C35)</f>
        <v>31-Aug-2025</v>
      </c>
      <c r="H1415" s="48" t="str">
        <f aca="false">IF('RAW QHH'!D35="","",'RAW QHH'!D35)</f>
        <v>Pt Navigator</v>
      </c>
      <c r="I1415" s="48" t="n">
        <f aca="false">IF('RAW QHH'!E35="","",'RAW QHH'!E35)</f>
        <v>53.5</v>
      </c>
      <c r="J1415" s="48" t="str">
        <f aca="false">IF('RAW QHH'!F35="","",'RAW QHH'!F35)</f>
        <v/>
      </c>
      <c r="K1415" s="50" t="n">
        <f aca="false">IF('RAW QHH'!G35="","",'RAW QHH'!G35)</f>
        <v>0</v>
      </c>
      <c r="L1415" s="50" t="n">
        <f aca="false">IF('RAW QHH'!H35="","",'RAW QHH'!H35)</f>
        <v>0</v>
      </c>
      <c r="M1415" s="48" t="str">
        <f aca="false">IF('RAW QHH'!I35="","",'RAW QHH'!I35)</f>
        <v/>
      </c>
    </row>
    <row r="1416" customFormat="false" ht="15" hidden="false" customHeight="false" outlineLevel="0" collapsed="false">
      <c r="A1416" s="1" t="s">
        <v>2560</v>
      </c>
      <c r="B1416" s="1" t="s">
        <v>158</v>
      </c>
      <c r="C1416" s="1" t="s">
        <v>1153</v>
      </c>
      <c r="D1416" s="1" t="n">
        <v>36</v>
      </c>
      <c r="E1416" s="48" t="str">
        <f aca="false">IF('RAW QHH'!A36="","",'RAW QHH'!A36)</f>
        <v>Medication Assistance</v>
      </c>
      <c r="F1416" s="48" t="str">
        <f aca="false">IF('RAW QHH'!B36="","",'RAW QHH'!B36)</f>
        <v>CHIS - Support</v>
      </c>
      <c r="G1416" s="49" t="str">
        <f aca="false">IF('RAW QHH'!C36="","",'RAW QHH'!C36)</f>
        <v>31-Aug-2025</v>
      </c>
      <c r="H1416" s="48" t="str">
        <f aca="false">IF('RAW QHH'!D36="","",'RAW QHH'!D36)</f>
        <v>Pt Navigator</v>
      </c>
      <c r="I1416" s="48" t="n">
        <f aca="false">IF('RAW QHH'!E36="","",'RAW QHH'!E36)</f>
        <v>53.5</v>
      </c>
      <c r="J1416" s="48" t="str">
        <f aca="false">IF('RAW QHH'!F36="","",'RAW QHH'!F36)</f>
        <v/>
      </c>
      <c r="K1416" s="50" t="n">
        <f aca="false">IF('RAW QHH'!G36="","",'RAW QHH'!G36)</f>
        <v>0</v>
      </c>
      <c r="L1416" s="50" t="n">
        <f aca="false">IF('RAW QHH'!H36="","",'RAW QHH'!H36)</f>
        <v>0</v>
      </c>
      <c r="M1416" s="48" t="str">
        <f aca="false">IF('RAW QHH'!I36="","",'RAW QHH'!I36)</f>
        <v/>
      </c>
    </row>
    <row r="1417" customFormat="false" ht="15" hidden="false" customHeight="false" outlineLevel="0" collapsed="false">
      <c r="A1417" s="1" t="s">
        <v>2561</v>
      </c>
      <c r="B1417" s="1" t="s">
        <v>158</v>
      </c>
      <c r="C1417" s="1" t="s">
        <v>1153</v>
      </c>
      <c r="D1417" s="1" t="n">
        <v>37</v>
      </c>
      <c r="E1417" s="48" t="str">
        <f aca="false">IF('RAW QHH'!A37="","",'RAW QHH'!A37)</f>
        <v>Medication Assistance</v>
      </c>
      <c r="F1417" s="48" t="str">
        <f aca="false">IF('RAW QHH'!B37="","",'RAW QHH'!B37)</f>
        <v>CHIS - Support</v>
      </c>
      <c r="G1417" s="49" t="str">
        <f aca="false">IF('RAW QHH'!C37="","",'RAW QHH'!C37)</f>
        <v>31-Aug-2025</v>
      </c>
      <c r="H1417" s="48" t="str">
        <f aca="false">IF('RAW QHH'!D37="","",'RAW QHH'!D37)</f>
        <v>RPh</v>
      </c>
      <c r="I1417" s="48" t="n">
        <f aca="false">IF('RAW QHH'!E37="","",'RAW QHH'!E37)</f>
        <v>20.5</v>
      </c>
      <c r="J1417" s="48" t="n">
        <f aca="false">IF('RAW QHH'!F37="","",'RAW QHH'!F37)</f>
        <v>107</v>
      </c>
      <c r="K1417" s="50" t="n">
        <f aca="false">IF('RAW QHH'!G37="","",'RAW QHH'!G37)</f>
        <v>19865</v>
      </c>
      <c r="L1417" s="50" t="n">
        <f aca="false">IF('RAW QHH'!H37="","",'RAW QHH'!H37)</f>
        <v>0</v>
      </c>
      <c r="M1417" s="48" t="str">
        <f aca="false">IF('RAW QHH'!I37="","",'RAW QHH'!I37)</f>
        <v/>
      </c>
    </row>
    <row r="1418" customFormat="false" ht="15" hidden="false" customHeight="false" outlineLevel="0" collapsed="false">
      <c r="A1418" s="1" t="s">
        <v>2562</v>
      </c>
      <c r="B1418" s="1" t="s">
        <v>158</v>
      </c>
      <c r="C1418" s="1" t="s">
        <v>1153</v>
      </c>
      <c r="D1418" s="1" t="n">
        <v>38</v>
      </c>
      <c r="E1418" s="48" t="str">
        <f aca="false">IF('RAW QHH'!A38="","",'RAW QHH'!A38)</f>
        <v>Medication Assistance</v>
      </c>
      <c r="F1418" s="48" t="str">
        <f aca="false">IF('RAW QHH'!B38="","",'RAW QHH'!B38)</f>
        <v>CHIS - Support</v>
      </c>
      <c r="G1418" s="49" t="str">
        <f aca="false">IF('RAW QHH'!C38="","",'RAW QHH'!C38)</f>
        <v>31-Aug-2025</v>
      </c>
      <c r="H1418" s="48" t="str">
        <f aca="false">IF('RAW QHH'!D38="","",'RAW QHH'!D38)</f>
        <v>RPh</v>
      </c>
      <c r="I1418" s="48" t="n">
        <f aca="false">IF('RAW QHH'!E38="","",'RAW QHH'!E38)</f>
        <v>20.5</v>
      </c>
      <c r="J1418" s="48" t="n">
        <f aca="false">IF('RAW QHH'!F38="","",'RAW QHH'!F38)</f>
        <v>107</v>
      </c>
      <c r="K1418" s="50" t="n">
        <f aca="false">IF('RAW QHH'!G38="","",'RAW QHH'!G38)</f>
        <v>19865</v>
      </c>
      <c r="L1418" s="50" t="n">
        <f aca="false">IF('RAW QHH'!H38="","",'RAW QHH'!H38)</f>
        <v>0</v>
      </c>
      <c r="M1418" s="48" t="str">
        <f aca="false">IF('RAW QHH'!I38="","",'RAW QHH'!I38)</f>
        <v/>
      </c>
    </row>
    <row r="1419" customFormat="false" ht="15" hidden="false" customHeight="false" outlineLevel="0" collapsed="false">
      <c r="A1419" s="1" t="s">
        <v>2563</v>
      </c>
      <c r="B1419" s="1" t="s">
        <v>158</v>
      </c>
      <c r="C1419" s="1" t="s">
        <v>1153</v>
      </c>
      <c r="D1419" s="1" t="n">
        <v>39</v>
      </c>
      <c r="E1419" s="48" t="str">
        <f aca="false">IF('RAW QHH'!A39="","",'RAW QHH'!A39)</f>
        <v>Community Benefit Admin.</v>
      </c>
      <c r="F1419" s="48" t="str">
        <f aca="false">IF('RAW QHH'!B39="","",'RAW QHH'!B39)</f>
        <v>CBO</v>
      </c>
      <c r="G1419" s="49" t="str">
        <f aca="false">IF('RAW QHH'!C39="","",'RAW QHH'!C39)</f>
        <v>31-Aug-2025</v>
      </c>
      <c r="H1419" s="48" t="str">
        <f aca="false">IF('RAW QHH'!D39="","",'RAW QHH'!D39)</f>
        <v>Unit Secretary</v>
      </c>
      <c r="I1419" s="48" t="n">
        <f aca="false">IF('RAW QHH'!E39="","",'RAW QHH'!E39)</f>
        <v>32.75</v>
      </c>
      <c r="J1419" s="48" t="str">
        <f aca="false">IF('RAW QHH'!F39="","",'RAW QHH'!F39)</f>
        <v/>
      </c>
      <c r="K1419" s="50" t="n">
        <f aca="false">IF('RAW QHH'!G39="","",'RAW QHH'!G39)</f>
        <v>0</v>
      </c>
      <c r="L1419" s="50" t="n">
        <f aca="false">IF('RAW QHH'!H39="","",'RAW QHH'!H39)</f>
        <v>0</v>
      </c>
      <c r="M1419" s="48" t="str">
        <f aca="false">IF('RAW QHH'!I39="","",'RAW QHH'!I39)</f>
        <v/>
      </c>
    </row>
    <row r="1420" customFormat="false" ht="15" hidden="false" customHeight="false" outlineLevel="0" collapsed="false">
      <c r="A1420" s="1" t="s">
        <v>2564</v>
      </c>
      <c r="B1420" s="1" t="s">
        <v>158</v>
      </c>
      <c r="C1420" s="1" t="s">
        <v>1153</v>
      </c>
      <c r="D1420" s="1" t="n">
        <v>40</v>
      </c>
      <c r="E1420" s="48" t="str">
        <f aca="false">IF('RAW QHH'!A40="","",'RAW QHH'!A40)</f>
        <v>Community Benefit Admin.</v>
      </c>
      <c r="F1420" s="48" t="str">
        <f aca="false">IF('RAW QHH'!B40="","",'RAW QHH'!B40)</f>
        <v>CBO</v>
      </c>
      <c r="G1420" s="49" t="str">
        <f aca="false">IF('RAW QHH'!C40="","",'RAW QHH'!C40)</f>
        <v>31-Aug-2025</v>
      </c>
      <c r="H1420" s="48" t="str">
        <f aca="false">IF('RAW QHH'!D40="","",'RAW QHH'!D40)</f>
        <v>Community Benefit Mgr</v>
      </c>
      <c r="I1420" s="48" t="n">
        <f aca="false">IF('RAW QHH'!E40="","",'RAW QHH'!E40)</f>
        <v>61.25</v>
      </c>
      <c r="J1420" s="48" t="str">
        <f aca="false">IF('RAW QHH'!F40="","",'RAW QHH'!F40)</f>
        <v/>
      </c>
      <c r="K1420" s="50" t="n">
        <f aca="false">IF('RAW QHH'!G40="","",'RAW QHH'!G40)</f>
        <v>485</v>
      </c>
      <c r="L1420" s="50" t="n">
        <f aca="false">IF('RAW QHH'!H40="","",'RAW QHH'!H40)</f>
        <v>0</v>
      </c>
      <c r="M1420" s="48" t="str">
        <f aca="false">IF('RAW QHH'!I40="","",'RAW QHH'!I40)</f>
        <v/>
      </c>
    </row>
    <row r="1421" customFormat="false" ht="15" hidden="false" customHeight="false" outlineLevel="0" collapsed="false">
      <c r="A1421" s="1" t="s">
        <v>2565</v>
      </c>
      <c r="B1421" s="1" t="s">
        <v>158</v>
      </c>
      <c r="C1421" s="1" t="s">
        <v>1153</v>
      </c>
      <c r="D1421" s="1" t="n">
        <v>41</v>
      </c>
      <c r="E1421" s="48" t="str">
        <f aca="false">IF('RAW QHH'!A41="","",'RAW QHH'!A41)</f>
        <v>Community Paramedicine</v>
      </c>
      <c r="F1421" s="48" t="str">
        <f aca="false">IF('RAW QHH'!B41="","",'RAW QHH'!B41)</f>
        <v>CHIS - Clinical</v>
      </c>
      <c r="G1421" s="49" t="str">
        <f aca="false">IF('RAW QHH'!C41="","",'RAW QHH'!C41)</f>
        <v>31-Aug-2025</v>
      </c>
      <c r="H1421" s="48" t="str">
        <f aca="false">IF('RAW QHH'!D41="","",'RAW QHH'!D41)</f>
        <v>EMS Paramedic</v>
      </c>
      <c r="I1421" s="48" t="n">
        <f aca="false">IF('RAW QHH'!E41="","",'RAW QHH'!E41)</f>
        <v>67</v>
      </c>
      <c r="J1421" s="48" t="n">
        <f aca="false">IF('RAW QHH'!F41="","",'RAW QHH'!F41)</f>
        <v>76</v>
      </c>
      <c r="K1421" s="50" t="n">
        <f aca="false">IF('RAW QHH'!G41="","",'RAW QHH'!G41)</f>
        <v>1290</v>
      </c>
      <c r="L1421" s="50" t="n">
        <f aca="false">IF('RAW QHH'!H41="","",'RAW QHH'!H41)</f>
        <v>0</v>
      </c>
      <c r="M1421" s="48" t="str">
        <f aca="false">IF('RAW QHH'!I41="","",'RAW QHH'!I41)</f>
        <v/>
      </c>
    </row>
    <row r="1422" customFormat="false" ht="15" hidden="false" customHeight="false" outlineLevel="0" collapsed="false">
      <c r="A1422" s="1" t="s">
        <v>2566</v>
      </c>
      <c r="B1422" s="1" t="s">
        <v>158</v>
      </c>
      <c r="C1422" s="1" t="s">
        <v>1153</v>
      </c>
      <c r="D1422" s="1" t="n">
        <v>42</v>
      </c>
      <c r="E1422" s="48" t="str">
        <f aca="false">IF('RAW QHH'!A42="","",'RAW QHH'!A42)</f>
        <v>Nursing Clinical Rotations</v>
      </c>
      <c r="F1422" s="48" t="str">
        <f aca="false">IF('RAW QHH'!B42="","",'RAW QHH'!B42)</f>
        <v>HPE - Students</v>
      </c>
      <c r="G1422" s="49" t="str">
        <f aca="false">IF('RAW QHH'!C42="","",'RAW QHH'!C42)</f>
        <v>31-Aug-2025</v>
      </c>
      <c r="H1422" s="48" t="str">
        <f aca="false">IF('RAW QHH'!D42="","",'RAW QHH'!D42)</f>
        <v>Educator, Nursing</v>
      </c>
      <c r="I1422" s="48" t="n">
        <f aca="false">IF('RAW QHH'!E42="","",'RAW QHH'!E42)</f>
        <v>92.5</v>
      </c>
      <c r="J1422" s="48" t="n">
        <f aca="false">IF('RAW QHH'!F42="","",'RAW QHH'!F42)</f>
        <v>16</v>
      </c>
      <c r="K1422" s="50" t="n">
        <f aca="false">IF('RAW QHH'!G42="","",'RAW QHH'!G42)</f>
        <v>480</v>
      </c>
      <c r="L1422" s="50" t="n">
        <f aca="false">IF('RAW QHH'!H42="","",'RAW QHH'!H42)</f>
        <v>0</v>
      </c>
      <c r="M1422" s="48" t="str">
        <f aca="false">IF('RAW QHH'!I42="","",'RAW QHH'!I42)</f>
        <v/>
      </c>
    </row>
    <row r="1423" customFormat="false" ht="15" hidden="false" customHeight="false" outlineLevel="0" collapsed="false">
      <c r="A1423" s="1" t="s">
        <v>2567</v>
      </c>
      <c r="B1423" s="1" t="s">
        <v>158</v>
      </c>
      <c r="C1423" s="1" t="s">
        <v>1153</v>
      </c>
      <c r="D1423" s="1" t="n">
        <v>43</v>
      </c>
      <c r="E1423" s="48" t="str">
        <f aca="false">IF('RAW QHH'!A43="","",'RAW QHH'!A43)</f>
        <v>Nursing Clinical Rotations</v>
      </c>
      <c r="F1423" s="48" t="str">
        <f aca="false">IF('RAW QHH'!B43="","",'RAW QHH'!B43)</f>
        <v>HPE - Students</v>
      </c>
      <c r="G1423" s="49" t="str">
        <f aca="false">IF('RAW QHH'!C43="","",'RAW QHH'!C43)</f>
        <v>31-Aug-2025</v>
      </c>
      <c r="H1423" s="48" t="str">
        <f aca="false">IF('RAW QHH'!D43="","",'RAW QHH'!D43)</f>
        <v>Clinical RN</v>
      </c>
      <c r="I1423" s="48" t="n">
        <f aca="false">IF('RAW QHH'!E43="","",'RAW QHH'!E43)</f>
        <v>141.25</v>
      </c>
      <c r="J1423" s="48" t="str">
        <f aca="false">IF('RAW QHH'!F43="","",'RAW QHH'!F43)</f>
        <v/>
      </c>
      <c r="K1423" s="50" t="n">
        <f aca="false">IF('RAW QHH'!G43="","",'RAW QHH'!G43)</f>
        <v>0</v>
      </c>
      <c r="L1423" s="50" t="n">
        <f aca="false">IF('RAW QHH'!H43="","",'RAW QHH'!H43)</f>
        <v>0</v>
      </c>
      <c r="M1423" s="48" t="str">
        <f aca="false">IF('RAW QHH'!I43="","",'RAW QHH'!I43)</f>
        <v/>
      </c>
    </row>
    <row r="1424" customFormat="false" ht="15" hidden="false" customHeight="false" outlineLevel="0" collapsed="false">
      <c r="A1424" s="1" t="s">
        <v>2568</v>
      </c>
      <c r="B1424" s="1" t="s">
        <v>158</v>
      </c>
      <c r="C1424" s="1" t="s">
        <v>1153</v>
      </c>
      <c r="D1424" s="1" t="n">
        <v>44</v>
      </c>
      <c r="E1424" s="48" t="str">
        <f aca="false">IF('RAW QHH'!A44="","",'RAW QHH'!A44)</f>
        <v>Sports Physicals</v>
      </c>
      <c r="F1424" s="48" t="str">
        <f aca="false">IF('RAW QHH'!B44="","",'RAW QHH'!B44)</f>
        <v>CHIS - Clinical</v>
      </c>
      <c r="G1424" s="49" t="str">
        <f aca="false">IF('RAW QHH'!C44="","",'RAW QHH'!C44)</f>
        <v>02-Sep-2025</v>
      </c>
      <c r="H1424" s="48" t="str">
        <f aca="false">IF('RAW QHH'!D44="","",'RAW QHH'!D44)</f>
        <v>CMA</v>
      </c>
      <c r="I1424" s="48" t="n">
        <f aca="false">IF('RAW QHH'!E44="","",'RAW QHH'!E44)</f>
        <v>4.5</v>
      </c>
      <c r="J1424" s="48" t="str">
        <f aca="false">IF('RAW QHH'!F44="","",'RAW QHH'!F44)</f>
        <v/>
      </c>
      <c r="K1424" s="50" t="n">
        <f aca="false">IF('RAW QHH'!G44="","",'RAW QHH'!G44)</f>
        <v>0</v>
      </c>
      <c r="L1424" s="50" t="n">
        <f aca="false">IF('RAW QHH'!H44="","",'RAW QHH'!H44)</f>
        <v>0</v>
      </c>
      <c r="M1424" s="48" t="str">
        <f aca="false">IF('RAW QHH'!I44="","",'RAW QHH'!I44)</f>
        <v/>
      </c>
    </row>
    <row r="1425" customFormat="false" ht="15" hidden="false" customHeight="false" outlineLevel="0" collapsed="false">
      <c r="A1425" s="1" t="s">
        <v>2569</v>
      </c>
      <c r="B1425" s="1" t="s">
        <v>158</v>
      </c>
      <c r="C1425" s="1" t="s">
        <v>1153</v>
      </c>
      <c r="D1425" s="1" t="n">
        <v>45</v>
      </c>
      <c r="E1425" s="48" t="str">
        <f aca="false">IF('RAW QHH'!A45="","",'RAW QHH'!A45)</f>
        <v>Sports Physicals</v>
      </c>
      <c r="F1425" s="48" t="str">
        <f aca="false">IF('RAW QHH'!B45="","",'RAW QHH'!B45)</f>
        <v>CHIS - Clinical</v>
      </c>
      <c r="G1425" s="49" t="str">
        <f aca="false">IF('RAW QHH'!C45="","",'RAW QHH'!C45)</f>
        <v>02-Sep-2025</v>
      </c>
      <c r="H1425" s="48" t="str">
        <f aca="false">IF('RAW QHH'!D45="","",'RAW QHH'!D45)</f>
        <v>APRN</v>
      </c>
      <c r="I1425" s="48" t="n">
        <f aca="false">IF('RAW QHH'!E45="","",'RAW QHH'!E45)</f>
        <v>4.25</v>
      </c>
      <c r="J1425" s="48" t="str">
        <f aca="false">IF('RAW QHH'!F45="","",'RAW QHH'!F45)</f>
        <v/>
      </c>
      <c r="K1425" s="50" t="n">
        <f aca="false">IF('RAW QHH'!G45="","",'RAW QHH'!G45)</f>
        <v>0</v>
      </c>
      <c r="L1425" s="50" t="n">
        <f aca="false">IF('RAW QHH'!H45="","",'RAW QHH'!H45)</f>
        <v>0</v>
      </c>
      <c r="M1425" s="48" t="str">
        <f aca="false">IF('RAW QHH'!I45="","",'RAW QHH'!I45)</f>
        <v/>
      </c>
    </row>
    <row r="1426" customFormat="false" ht="15" hidden="false" customHeight="false" outlineLevel="0" collapsed="false">
      <c r="A1426" s="1" t="s">
        <v>2570</v>
      </c>
      <c r="B1426" s="1" t="s">
        <v>158</v>
      </c>
      <c r="C1426" s="1" t="s">
        <v>1153</v>
      </c>
      <c r="D1426" s="1" t="n">
        <v>46</v>
      </c>
      <c r="E1426" s="48" t="str">
        <f aca="false">IF('RAW QHH'!A46="","",'RAW QHH'!A46)</f>
        <v>Sports Physicals</v>
      </c>
      <c r="F1426" s="48" t="str">
        <f aca="false">IF('RAW QHH'!B46="","",'RAW QHH'!B46)</f>
        <v>CHIS - Clinical</v>
      </c>
      <c r="G1426" s="49" t="str">
        <f aca="false">IF('RAW QHH'!C46="","",'RAW QHH'!C46)</f>
        <v>02-Sep-2025</v>
      </c>
      <c r="H1426" s="48" t="str">
        <f aca="false">IF('RAW QHH'!D46="","",'RAW QHH'!D46)</f>
        <v>Attending Physician</v>
      </c>
      <c r="I1426" s="48" t="n">
        <f aca="false">IF('RAW QHH'!E46="","",'RAW QHH'!E46)</f>
        <v>4.25</v>
      </c>
      <c r="J1426" s="48" t="n">
        <f aca="false">IF('RAW QHH'!F46="","",'RAW QHH'!F46)</f>
        <v>116</v>
      </c>
      <c r="K1426" s="50" t="n">
        <f aca="false">IF('RAW QHH'!G46="","",'RAW QHH'!G46)</f>
        <v>275</v>
      </c>
      <c r="L1426" s="50" t="n">
        <f aca="false">IF('RAW QHH'!H46="","",'RAW QHH'!H46)</f>
        <v>0</v>
      </c>
      <c r="M1426" s="48" t="str">
        <f aca="false">IF('RAW QHH'!I46="","",'RAW QHH'!I46)</f>
        <v/>
      </c>
    </row>
    <row r="1427" customFormat="false" ht="15" hidden="false" customHeight="false" outlineLevel="0" collapsed="false">
      <c r="A1427" s="1" t="s">
        <v>2571</v>
      </c>
      <c r="B1427" s="1" t="s">
        <v>158</v>
      </c>
      <c r="C1427" s="1" t="s">
        <v>1153</v>
      </c>
      <c r="D1427" s="1" t="n">
        <v>47</v>
      </c>
      <c r="E1427" s="48" t="str">
        <f aca="false">IF('RAW QHH'!A47="","",'RAW QHH'!A47)</f>
        <v>Blood Pressure Clinic</v>
      </c>
      <c r="F1427" s="48" t="str">
        <f aca="false">IF('RAW QHH'!B47="","",'RAW QHH'!B47)</f>
        <v>CHIS - Clinical</v>
      </c>
      <c r="G1427" s="49" t="str">
        <f aca="false">IF('RAW QHH'!C47="","",'RAW QHH'!C47)</f>
        <v>13-Sep-2025</v>
      </c>
      <c r="H1427" s="48" t="str">
        <f aca="false">IF('RAW QHH'!D47="","",'RAW QHH'!D47)</f>
        <v>RN - Outreach</v>
      </c>
      <c r="I1427" s="48" t="n">
        <f aca="false">IF('RAW QHH'!E47="","",'RAW QHH'!E47)</f>
        <v>4</v>
      </c>
      <c r="J1427" s="48" t="n">
        <f aca="false">IF('RAW QHH'!F47="","",'RAW QHH'!F47)</f>
        <v>43</v>
      </c>
      <c r="K1427" s="50" t="n">
        <f aca="false">IF('RAW QHH'!G47="","",'RAW QHH'!G47)</f>
        <v>110</v>
      </c>
      <c r="L1427" s="50" t="n">
        <f aca="false">IF('RAW QHH'!H47="","",'RAW QHH'!H47)</f>
        <v>0</v>
      </c>
      <c r="M1427" s="48" t="str">
        <f aca="false">IF('RAW QHH'!I47="","",'RAW QHH'!I47)</f>
        <v/>
      </c>
    </row>
    <row r="1428" customFormat="false" ht="15" hidden="false" customHeight="false" outlineLevel="0" collapsed="false">
      <c r="A1428" s="1" t="s">
        <v>2572</v>
      </c>
      <c r="B1428" s="1" t="s">
        <v>158</v>
      </c>
      <c r="C1428" s="1" t="s">
        <v>1153</v>
      </c>
      <c r="D1428" s="1" t="n">
        <v>48</v>
      </c>
      <c r="E1428" s="48" t="str">
        <f aca="false">IF('RAW QHH'!A48="","",'RAW QHH'!A48)</f>
        <v>Diabetes Prevention Program</v>
      </c>
      <c r="F1428" s="48" t="str">
        <f aca="false">IF('RAW QHH'!B48="","",'RAW QHH'!B48)</f>
        <v>CHIS - Education</v>
      </c>
      <c r="G1428" s="49" t="str">
        <f aca="false">IF('RAW QHH'!C48="","",'RAW QHH'!C48)</f>
        <v>20-Sep-2025</v>
      </c>
      <c r="H1428" s="48" t="str">
        <f aca="false">IF('RAW QHH'!D48="","",'RAW QHH'!D48)</f>
        <v>CHES</v>
      </c>
      <c r="I1428" s="48" t="n">
        <f aca="false">IF('RAW QHH'!E48="","",'RAW QHH'!E48)</f>
        <v>2.5</v>
      </c>
      <c r="J1428" s="48" t="n">
        <f aca="false">IF('RAW QHH'!F48="","",'RAW QHH'!F48)</f>
        <v>16</v>
      </c>
      <c r="K1428" s="50" t="n">
        <f aca="false">IF('RAW QHH'!G48="","",'RAW QHH'!G48)</f>
        <v>100</v>
      </c>
      <c r="L1428" s="50" t="n">
        <f aca="false">IF('RAW QHH'!H48="","",'RAW QHH'!H48)</f>
        <v>0</v>
      </c>
      <c r="M1428" s="48" t="str">
        <f aca="false">IF('RAW QHH'!I48="","",'RAW QHH'!I48)</f>
        <v/>
      </c>
    </row>
    <row r="1429" customFormat="false" ht="15" hidden="false" customHeight="false" outlineLevel="0" collapsed="false">
      <c r="A1429" s="1" t="s">
        <v>2573</v>
      </c>
      <c r="B1429" s="1" t="s">
        <v>158</v>
      </c>
      <c r="C1429" s="1" t="s">
        <v>1153</v>
      </c>
      <c r="D1429" s="1" t="n">
        <v>49</v>
      </c>
      <c r="E1429" s="48" t="str">
        <f aca="false">IF('RAW QHH'!A49="","",'RAW QHH'!A49)</f>
        <v>Diabetes Prevention Program</v>
      </c>
      <c r="F1429" s="48" t="str">
        <f aca="false">IF('RAW QHH'!B49="","",'RAW QHH'!B49)</f>
        <v>CHIS - Education</v>
      </c>
      <c r="G1429" s="49" t="str">
        <f aca="false">IF('RAW QHH'!C49="","",'RAW QHH'!C49)</f>
        <v>20-Sep-2025</v>
      </c>
      <c r="H1429" s="48" t="str">
        <f aca="false">IF('RAW QHH'!D49="","",'RAW QHH'!D49)</f>
        <v>RDN</v>
      </c>
      <c r="I1429" s="48" t="n">
        <f aca="false">IF('RAW QHH'!E49="","",'RAW QHH'!E49)</f>
        <v>2</v>
      </c>
      <c r="J1429" s="48" t="str">
        <f aca="false">IF('RAW QHH'!F49="","",'RAW QHH'!F49)</f>
        <v/>
      </c>
      <c r="K1429" s="50" t="n">
        <f aca="false">IF('RAW QHH'!G49="","",'RAW QHH'!G49)</f>
        <v>0</v>
      </c>
      <c r="L1429" s="50" t="n">
        <f aca="false">IF('RAW QHH'!H49="","",'RAW QHH'!H49)</f>
        <v>0</v>
      </c>
      <c r="M1429" s="48" t="str">
        <f aca="false">IF('RAW QHH'!I49="","",'RAW QHH'!I49)</f>
        <v/>
      </c>
    </row>
    <row r="1430" customFormat="false" ht="15" hidden="false" customHeight="false" outlineLevel="0" collapsed="false">
      <c r="A1430" s="1" t="s">
        <v>2574</v>
      </c>
      <c r="B1430" s="1" t="s">
        <v>158</v>
      </c>
      <c r="C1430" s="1" t="s">
        <v>1153</v>
      </c>
      <c r="D1430" s="1" t="n">
        <v>50</v>
      </c>
      <c r="E1430" s="48" t="str">
        <f aca="false">IF('RAW QHH'!A50="","",'RAW QHH'!A50)</f>
        <v>Supply Donations</v>
      </c>
      <c r="F1430" s="48" t="str">
        <f aca="false">IF('RAW QHH'!B50="","",'RAW QHH'!B50)</f>
        <v>Cash Contribution</v>
      </c>
      <c r="G1430" s="49" t="str">
        <f aca="false">IF('RAW QHH'!C50="","",'RAW QHH'!C50)</f>
        <v>26-Sep-2025</v>
      </c>
      <c r="H1430" s="48" t="str">
        <f aca="false">IF('RAW QHH'!D50="","",'RAW QHH'!D50)</f>
        <v>n.a.</v>
      </c>
      <c r="I1430" s="48" t="n">
        <f aca="false">IF('RAW QHH'!E50="","",'RAW QHH'!E50)</f>
        <v>0</v>
      </c>
      <c r="J1430" s="48" t="str">
        <f aca="false">IF('RAW QHH'!F50="","",'RAW QHH'!F50)</f>
        <v/>
      </c>
      <c r="K1430" s="50" t="n">
        <f aca="false">IF('RAW QHH'!G50="","",'RAW QHH'!G50)</f>
        <v>8260</v>
      </c>
      <c r="L1430" s="50" t="n">
        <f aca="false">IF('RAW QHH'!H50="","",'RAW QHH'!H50)</f>
        <v>0</v>
      </c>
      <c r="M1430" s="48" t="str">
        <f aca="false">IF('RAW QHH'!I50="","",'RAW QHH'!I50)</f>
        <v/>
      </c>
    </row>
    <row r="1431" customFormat="false" ht="15" hidden="false" customHeight="false" outlineLevel="0" collapsed="false">
      <c r="A1431" s="1" t="s">
        <v>2575</v>
      </c>
      <c r="B1431" s="1" t="s">
        <v>158</v>
      </c>
      <c r="C1431" s="1" t="s">
        <v>1153</v>
      </c>
      <c r="D1431" s="1" t="n">
        <v>51</v>
      </c>
      <c r="E1431" s="48" t="str">
        <f aca="false">IF('RAW QHH'!A51="","",'RAW QHH'!A51)</f>
        <v>Diabetes Prevention Program</v>
      </c>
      <c r="F1431" s="48" t="str">
        <f aca="false">IF('RAW QHH'!B51="","",'RAW QHH'!B51)</f>
        <v>CHIS - Education</v>
      </c>
      <c r="G1431" s="49" t="str">
        <f aca="false">IF('RAW QHH'!C51="","",'RAW QHH'!C51)</f>
        <v>30-Sep-2025</v>
      </c>
      <c r="H1431" s="48" t="str">
        <f aca="false">IF('RAW QHH'!D51="","",'RAW QHH'!D51)</f>
        <v>Health Educator</v>
      </c>
      <c r="I1431" s="48" t="n">
        <f aca="false">IF('RAW QHH'!E51="","",'RAW QHH'!E51)</f>
        <v>3</v>
      </c>
      <c r="J1431" s="48" t="n">
        <f aca="false">IF('RAW QHH'!F51="","",'RAW QHH'!F51)</f>
        <v>19</v>
      </c>
      <c r="K1431" s="50" t="n">
        <f aca="false">IF('RAW QHH'!G51="","",'RAW QHH'!G51)</f>
        <v>95</v>
      </c>
      <c r="L1431" s="50" t="n">
        <f aca="false">IF('RAW QHH'!H51="","",'RAW QHH'!H51)</f>
        <v>0</v>
      </c>
      <c r="M1431" s="48" t="str">
        <f aca="false">IF('RAW QHH'!I51="","",'RAW QHH'!I51)</f>
        <v/>
      </c>
    </row>
    <row r="1432" customFormat="false" ht="15" hidden="false" customHeight="false" outlineLevel="0" collapsed="false">
      <c r="A1432" s="1" t="s">
        <v>2576</v>
      </c>
      <c r="B1432" s="1" t="s">
        <v>158</v>
      </c>
      <c r="C1432" s="1" t="s">
        <v>1153</v>
      </c>
      <c r="D1432" s="1" t="n">
        <v>52</v>
      </c>
      <c r="E1432" s="48" t="str">
        <f aca="false">IF('RAW QHH'!A52="","",'RAW QHH'!A52)</f>
        <v>Diabetes Prevention Program</v>
      </c>
      <c r="F1432" s="48" t="str">
        <f aca="false">IF('RAW QHH'!B52="","",'RAW QHH'!B52)</f>
        <v>CHIS - Education</v>
      </c>
      <c r="G1432" s="49" t="str">
        <f aca="false">IF('RAW QHH'!C52="","",'RAW QHH'!C52)</f>
        <v>30-Sep-2025</v>
      </c>
      <c r="H1432" s="48" t="str">
        <f aca="false">IF('RAW QHH'!D52="","",'RAW QHH'!D52)</f>
        <v>Clinical Dietitian </v>
      </c>
      <c r="I1432" s="48" t="n">
        <f aca="false">IF('RAW QHH'!E52="","",'RAW QHH'!E52)</f>
        <v>1.75</v>
      </c>
      <c r="J1432" s="48" t="str">
        <f aca="false">IF('RAW QHH'!F52="","",'RAW QHH'!F52)</f>
        <v/>
      </c>
      <c r="K1432" s="50" t="n">
        <f aca="false">IF('RAW QHH'!G52="","",'RAW QHH'!G52)</f>
        <v>0</v>
      </c>
      <c r="L1432" s="50" t="n">
        <f aca="false">IF('RAW QHH'!H52="","",'RAW QHH'!H52)</f>
        <v>0</v>
      </c>
      <c r="M1432" s="48" t="str">
        <f aca="false">IF('RAW QHH'!I52="","",'RAW QHH'!I52)</f>
        <v/>
      </c>
    </row>
    <row r="1433" customFormat="false" ht="15" hidden="false" customHeight="false" outlineLevel="0" collapsed="false">
      <c r="A1433" s="1" t="s">
        <v>2577</v>
      </c>
      <c r="B1433" s="1" t="s">
        <v>158</v>
      </c>
      <c r="C1433" s="1" t="s">
        <v>1153</v>
      </c>
      <c r="D1433" s="1" t="n">
        <v>53</v>
      </c>
      <c r="E1433" s="48" t="str">
        <f aca="false">IF('RAW QHH'!A53="","",'RAW QHH'!A53)</f>
        <v>Medication Assistance</v>
      </c>
      <c r="F1433" s="48" t="str">
        <f aca="false">IF('RAW QHH'!B53="","",'RAW QHH'!B53)</f>
        <v>CHIS - Support</v>
      </c>
      <c r="G1433" s="49" t="str">
        <f aca="false">IF('RAW QHH'!C53="","",'RAW QHH'!C53)</f>
        <v>30-Sep-2025</v>
      </c>
      <c r="H1433" s="48" t="str">
        <f aca="false">IF('RAW QHH'!D53="","",'RAW QHH'!D53)</f>
        <v>Patient Navigator </v>
      </c>
      <c r="I1433" s="48" t="n">
        <f aca="false">IF('RAW QHH'!E53="","",'RAW QHH'!E53)</f>
        <v>76.25</v>
      </c>
      <c r="J1433" s="48" t="str">
        <f aca="false">IF('RAW QHH'!F53="","",'RAW QHH'!F53)</f>
        <v/>
      </c>
      <c r="K1433" s="50" t="n">
        <f aca="false">IF('RAW QHH'!G53="","",'RAW QHH'!G53)</f>
        <v>0</v>
      </c>
      <c r="L1433" s="50" t="n">
        <f aca="false">IF('RAW QHH'!H53="","",'RAW QHH'!H53)</f>
        <v>0</v>
      </c>
      <c r="M1433" s="48" t="str">
        <f aca="false">IF('RAW QHH'!I53="","",'RAW QHH'!I53)</f>
        <v/>
      </c>
    </row>
    <row r="1434" customFormat="false" ht="15" hidden="false" customHeight="false" outlineLevel="0" collapsed="false">
      <c r="A1434" s="1" t="s">
        <v>2578</v>
      </c>
      <c r="B1434" s="1" t="s">
        <v>158</v>
      </c>
      <c r="C1434" s="1" t="s">
        <v>1153</v>
      </c>
      <c r="D1434" s="1" t="n">
        <v>54</v>
      </c>
      <c r="E1434" s="48" t="str">
        <f aca="false">IF('RAW QHH'!A54="","",'RAW QHH'!A54)</f>
        <v>Medication Assistance</v>
      </c>
      <c r="F1434" s="48" t="str">
        <f aca="false">IF('RAW QHH'!B54="","",'RAW QHH'!B54)</f>
        <v>CHIS - Support</v>
      </c>
      <c r="G1434" s="49" t="str">
        <f aca="false">IF('RAW QHH'!C54="","",'RAW QHH'!C54)</f>
        <v>30-Sep-2025</v>
      </c>
      <c r="H1434" s="48" t="str">
        <f aca="false">IF('RAW QHH'!D54="","",'RAW QHH'!D54)</f>
        <v>PharmD</v>
      </c>
      <c r="I1434" s="48" t="n">
        <f aca="false">IF('RAW QHH'!E54="","",'RAW QHH'!E54)</f>
        <v>19.75</v>
      </c>
      <c r="J1434" s="48" t="n">
        <f aca="false">IF('RAW QHH'!F54="","",'RAW QHH'!F54)</f>
        <v>74</v>
      </c>
      <c r="K1434" s="50" t="n">
        <f aca="false">IF('RAW QHH'!G54="","",'RAW QHH'!G54)</f>
        <v>19915</v>
      </c>
      <c r="L1434" s="50" t="n">
        <f aca="false">IF('RAW QHH'!H54="","",'RAW QHH'!H54)</f>
        <v>0</v>
      </c>
      <c r="M1434" s="48" t="str">
        <f aca="false">IF('RAW QHH'!I54="","",'RAW QHH'!I54)</f>
        <v/>
      </c>
    </row>
    <row r="1435" customFormat="false" ht="15" hidden="false" customHeight="false" outlineLevel="0" collapsed="false">
      <c r="A1435" s="1" t="s">
        <v>2579</v>
      </c>
      <c r="B1435" s="1" t="s">
        <v>158</v>
      </c>
      <c r="C1435" s="1" t="s">
        <v>1153</v>
      </c>
      <c r="D1435" s="1" t="n">
        <v>55</v>
      </c>
      <c r="E1435" s="48" t="str">
        <f aca="false">IF('RAW QHH'!A55="","",'RAW QHH'!A55)</f>
        <v>Community Benefit Admin.</v>
      </c>
      <c r="F1435" s="48" t="str">
        <f aca="false">IF('RAW QHH'!B55="","",'RAW QHH'!B55)</f>
        <v>CBO</v>
      </c>
      <c r="G1435" s="49" t="str">
        <f aca="false">IF('RAW QHH'!C55="","",'RAW QHH'!C55)</f>
        <v>30-Sep-2025</v>
      </c>
      <c r="H1435" s="48" t="str">
        <f aca="false">IF('RAW QHH'!D55="","",'RAW QHH'!D55)</f>
        <v>Secretary</v>
      </c>
      <c r="I1435" s="48" t="n">
        <f aca="false">IF('RAW QHH'!E55="","",'RAW QHH'!E55)</f>
        <v>40</v>
      </c>
      <c r="J1435" s="48" t="str">
        <f aca="false">IF('RAW QHH'!F55="","",'RAW QHH'!F55)</f>
        <v/>
      </c>
      <c r="K1435" s="50" t="n">
        <f aca="false">IF('RAW QHH'!G55="","",'RAW QHH'!G55)</f>
        <v>0</v>
      </c>
      <c r="L1435" s="50" t="n">
        <f aca="false">IF('RAW QHH'!H55="","",'RAW QHH'!H55)</f>
        <v>0</v>
      </c>
      <c r="M1435" s="48" t="str">
        <f aca="false">IF('RAW QHH'!I55="","",'RAW QHH'!I55)</f>
        <v/>
      </c>
    </row>
    <row r="1436" customFormat="false" ht="15" hidden="false" customHeight="false" outlineLevel="0" collapsed="false">
      <c r="A1436" s="1" t="s">
        <v>2580</v>
      </c>
      <c r="B1436" s="1" t="s">
        <v>158</v>
      </c>
      <c r="C1436" s="1" t="s">
        <v>1153</v>
      </c>
      <c r="D1436" s="1" t="n">
        <v>56</v>
      </c>
      <c r="E1436" s="48" t="str">
        <f aca="false">IF('RAW QHH'!A56="","",'RAW QHH'!A56)</f>
        <v>Community Benefit Admin.</v>
      </c>
      <c r="F1436" s="48" t="str">
        <f aca="false">IF('RAW QHH'!B56="","",'RAW QHH'!B56)</f>
        <v>CBO</v>
      </c>
      <c r="G1436" s="49" t="str">
        <f aca="false">IF('RAW QHH'!C56="","",'RAW QHH'!C56)</f>
        <v>30-Sep-2025</v>
      </c>
      <c r="H1436" s="48" t="str">
        <f aca="false">IF('RAW QHH'!D56="","",'RAW QHH'!D56)</f>
        <v> Mgr, Community Benefit</v>
      </c>
      <c r="I1436" s="48" t="n">
        <f aca="false">IF('RAW QHH'!E56="","",'RAW QHH'!E56)</f>
        <v>50.5</v>
      </c>
      <c r="J1436" s="48" t="str">
        <f aca="false">IF('RAW QHH'!F56="","",'RAW QHH'!F56)</f>
        <v/>
      </c>
      <c r="K1436" s="50" t="n">
        <f aca="false">IF('RAW QHH'!G56="","",'RAW QHH'!G56)</f>
        <v>605</v>
      </c>
      <c r="L1436" s="50" t="n">
        <f aca="false">IF('RAW QHH'!H56="","",'RAW QHH'!H56)</f>
        <v>0</v>
      </c>
      <c r="M1436" s="48" t="str">
        <f aca="false">IF('RAW QHH'!I56="","",'RAW QHH'!I56)</f>
        <v/>
      </c>
    </row>
    <row r="1437" customFormat="false" ht="15" hidden="false" customHeight="false" outlineLevel="0" collapsed="false">
      <c r="A1437" s="1" t="s">
        <v>2581</v>
      </c>
      <c r="B1437" s="1" t="s">
        <v>158</v>
      </c>
      <c r="C1437" s="1" t="s">
        <v>1153</v>
      </c>
      <c r="D1437" s="1" t="n">
        <v>57</v>
      </c>
      <c r="E1437" s="48" t="str">
        <f aca="false">IF('RAW QHH'!A57="","",'RAW QHH'!A57)</f>
        <v>Community Paramedicine</v>
      </c>
      <c r="F1437" s="48" t="str">
        <f aca="false">IF('RAW QHH'!B57="","",'RAW QHH'!B57)</f>
        <v>CHIS - Clinical</v>
      </c>
      <c r="G1437" s="49" t="str">
        <f aca="false">IF('RAW QHH'!C57="","",'RAW QHH'!C57)</f>
        <v>30-Sep-2025</v>
      </c>
      <c r="H1437" s="48" t="str">
        <f aca="false">IF('RAW QHH'!D57="","",'RAW QHH'!D57)</f>
        <v>EMS Paramedic</v>
      </c>
      <c r="I1437" s="48" t="n">
        <f aca="false">IF('RAW QHH'!E57="","",'RAW QHH'!E57)</f>
        <v>102.5</v>
      </c>
      <c r="J1437" s="48" t="n">
        <f aca="false">IF('RAW QHH'!F57="","",'RAW QHH'!F57)</f>
        <v>72</v>
      </c>
      <c r="K1437" s="50" t="n">
        <f aca="false">IF('RAW QHH'!G57="","",'RAW QHH'!G57)</f>
        <v>1235</v>
      </c>
      <c r="L1437" s="50" t="n">
        <f aca="false">IF('RAW QHH'!H57="","",'RAW QHH'!H57)</f>
        <v>0</v>
      </c>
      <c r="M1437" s="48" t="str">
        <f aca="false">IF('RAW QHH'!I57="","",'RAW QHH'!I57)</f>
        <v/>
      </c>
    </row>
    <row r="1438" customFormat="false" ht="15" hidden="false" customHeight="false" outlineLevel="0" collapsed="false">
      <c r="A1438" s="1" t="s">
        <v>2582</v>
      </c>
      <c r="B1438" s="1" t="s">
        <v>158</v>
      </c>
      <c r="C1438" s="1" t="s">
        <v>1153</v>
      </c>
      <c r="D1438" s="1" t="n">
        <v>58</v>
      </c>
      <c r="E1438" s="48" t="str">
        <f aca="false">IF('RAW QHH'!A58="","",'RAW QHH'!A58)</f>
        <v>Nursing Clinical Rotations</v>
      </c>
      <c r="F1438" s="48" t="str">
        <f aca="false">IF('RAW QHH'!B58="","",'RAW QHH'!B58)</f>
        <v>HPE - Students</v>
      </c>
      <c r="G1438" s="49" t="str">
        <f aca="false">IF('RAW QHH'!C58="","",'RAW QHH'!C58)</f>
        <v>30-Sep-2025</v>
      </c>
      <c r="H1438" s="48" t="str">
        <f aca="false">IF('RAW QHH'!D58="","",'RAW QHH'!D58)</f>
        <v>Educator, Nursing</v>
      </c>
      <c r="I1438" s="48" t="n">
        <f aca="false">IF('RAW QHH'!E58="","",'RAW QHH'!E58)</f>
        <v>88.5</v>
      </c>
      <c r="J1438" s="48" t="n">
        <f aca="false">IF('RAW QHH'!F58="","",'RAW QHH'!F58)</f>
        <v>38</v>
      </c>
      <c r="K1438" s="50" t="n">
        <f aca="false">IF('RAW QHH'!G58="","",'RAW QHH'!G58)</f>
        <v>725</v>
      </c>
      <c r="L1438" s="50" t="n">
        <f aca="false">IF('RAW QHH'!H58="","",'RAW QHH'!H58)</f>
        <v>0</v>
      </c>
      <c r="M1438" s="48" t="str">
        <f aca="false">IF('RAW QHH'!I58="","",'RAW QHH'!I58)</f>
        <v/>
      </c>
    </row>
    <row r="1439" customFormat="false" ht="15" hidden="false" customHeight="false" outlineLevel="0" collapsed="false">
      <c r="A1439" s="1" t="s">
        <v>2583</v>
      </c>
      <c r="B1439" s="1" t="s">
        <v>158</v>
      </c>
      <c r="C1439" s="1" t="s">
        <v>1153</v>
      </c>
      <c r="D1439" s="1" t="n">
        <v>59</v>
      </c>
      <c r="E1439" s="48" t="str">
        <f aca="false">IF('RAW QHH'!A59="","",'RAW QHH'!A59)</f>
        <v>Nursing Clinical Rotations</v>
      </c>
      <c r="F1439" s="48" t="str">
        <f aca="false">IF('RAW QHH'!B59="","",'RAW QHH'!B59)</f>
        <v>HPE - Students</v>
      </c>
      <c r="G1439" s="49" t="str">
        <f aca="false">IF('RAW QHH'!C59="","",'RAW QHH'!C59)</f>
        <v>30-Sep-2025</v>
      </c>
      <c r="H1439" s="48" t="str">
        <f aca="false">IF('RAW QHH'!D59="","",'RAW QHH'!D59)</f>
        <v>RN - Outreach</v>
      </c>
      <c r="I1439" s="48" t="n">
        <f aca="false">IF('RAW QHH'!E59="","",'RAW QHH'!E59)</f>
        <v>141.5</v>
      </c>
      <c r="J1439" s="48" t="str">
        <f aca="false">IF('RAW QHH'!F59="","",'RAW QHH'!F59)</f>
        <v/>
      </c>
      <c r="K1439" s="50" t="n">
        <f aca="false">IF('RAW QHH'!G59="","",'RAW QHH'!G59)</f>
        <v>0</v>
      </c>
      <c r="L1439" s="50" t="n">
        <f aca="false">IF('RAW QHH'!H59="","",'RAW QHH'!H59)</f>
        <v>0</v>
      </c>
      <c r="M1439" s="48" t="str">
        <f aca="false">IF('RAW QHH'!I59="","",'RAW QHH'!I59)</f>
        <v/>
      </c>
    </row>
    <row r="1440" customFormat="false" ht="15" hidden="false" customHeight="false" outlineLevel="0" collapsed="false">
      <c r="A1440" s="1" t="s">
        <v>2584</v>
      </c>
      <c r="B1440" s="1" t="s">
        <v>158</v>
      </c>
      <c r="C1440" s="1" t="s">
        <v>1153</v>
      </c>
      <c r="D1440" s="1" t="n">
        <v>60</v>
      </c>
      <c r="E1440" s="48" t="str">
        <f aca="false">IF('RAW QHH'!A60="","",'RAW QHH'!A60)</f>
        <v>Quit Tobacco Class</v>
      </c>
      <c r="F1440" s="48" t="str">
        <f aca="false">IF('RAW QHH'!B60="","",'RAW QHH'!B60)</f>
        <v>CHIS - Education</v>
      </c>
      <c r="G1440" s="49" t="str">
        <f aca="false">IF('RAW QHH'!C60="","",'RAW QHH'!C60)</f>
        <v>04-Oct-2025</v>
      </c>
      <c r="H1440" s="48" t="str">
        <f aca="false">IF('RAW QHH'!D60="","",'RAW QHH'!D60)</f>
        <v>Respiratory Therapist</v>
      </c>
      <c r="I1440" s="48" t="n">
        <f aca="false">IF('RAW QHH'!E60="","",'RAW QHH'!E60)</f>
        <v>2</v>
      </c>
      <c r="J1440" s="48" t="n">
        <f aca="false">IF('RAW QHH'!F60="","",'RAW QHH'!F60)</f>
        <v>15</v>
      </c>
      <c r="K1440" s="50" t="n">
        <f aca="false">IF('RAW QHH'!G60="","",'RAW QHH'!G60)</f>
        <v>210</v>
      </c>
      <c r="L1440" s="50" t="n">
        <f aca="false">IF('RAW QHH'!H60="","",'RAW QHH'!H60)</f>
        <v>0</v>
      </c>
      <c r="M1440" s="48" t="str">
        <f aca="false">IF('RAW QHH'!I60="","",'RAW QHH'!I60)</f>
        <v/>
      </c>
    </row>
    <row r="1441" customFormat="false" ht="15" hidden="false" customHeight="false" outlineLevel="0" collapsed="false">
      <c r="A1441" s="1" t="s">
        <v>2585</v>
      </c>
      <c r="B1441" s="1" t="s">
        <v>158</v>
      </c>
      <c r="C1441" s="1" t="s">
        <v>1153</v>
      </c>
      <c r="D1441" s="1" t="n">
        <v>61</v>
      </c>
      <c r="E1441" s="48" t="str">
        <f aca="false">IF('RAW QHH'!A61="","",'RAW QHH'!A61)</f>
        <v>Childbirth Education</v>
      </c>
      <c r="F1441" s="48" t="str">
        <f aca="false">IF('RAW QHH'!B61="","",'RAW QHH'!B61)</f>
        <v>CHIS - Education</v>
      </c>
      <c r="G1441" s="49" t="str">
        <f aca="false">IF('RAW QHH'!C61="","",'RAW QHH'!C61)</f>
        <v>06-Oct-2025</v>
      </c>
      <c r="H1441" s="48" t="str">
        <f aca="false">IF('RAW QHH'!D61="","",'RAW QHH'!D61)</f>
        <v>RN EDUCATOR</v>
      </c>
      <c r="I1441" s="48" t="n">
        <f aca="false">IF('RAW QHH'!E61="","",'RAW QHH'!E61)</f>
        <v>3.25</v>
      </c>
      <c r="J1441" s="48" t="n">
        <f aca="false">IF('RAW QHH'!F61="","",'RAW QHH'!F61)</f>
        <v>14</v>
      </c>
      <c r="K1441" s="50" t="n">
        <f aca="false">IF('RAW QHH'!G61="","",'RAW QHH'!G61)</f>
        <v>200</v>
      </c>
      <c r="L1441" s="50" t="n">
        <f aca="false">IF('RAW QHH'!H61="","",'RAW QHH'!H61)</f>
        <v>280</v>
      </c>
      <c r="M1441" s="48" t="str">
        <f aca="false">IF('RAW QHH'!I61="","",'RAW QHH'!I61)</f>
        <v/>
      </c>
    </row>
    <row r="1442" customFormat="false" ht="15" hidden="false" customHeight="false" outlineLevel="0" collapsed="false">
      <c r="A1442" s="1" t="s">
        <v>2586</v>
      </c>
      <c r="B1442" s="1" t="s">
        <v>158</v>
      </c>
      <c r="C1442" s="1" t="s">
        <v>1153</v>
      </c>
      <c r="D1442" s="1" t="n">
        <v>62</v>
      </c>
      <c r="E1442" s="48" t="str">
        <f aca="false">IF('RAW QHH'!A62="","",'RAW QHH'!A62)</f>
        <v>Car Seat Safety</v>
      </c>
      <c r="F1442" s="48" t="str">
        <f aca="false">IF('RAW QHH'!B62="","",'RAW QHH'!B62)</f>
        <v>CHIS - Education</v>
      </c>
      <c r="G1442" s="49" t="str">
        <f aca="false">IF('RAW QHH'!C62="","",'RAW QHH'!C62)</f>
        <v>14-Oct-2025</v>
      </c>
      <c r="H1442" s="48" t="str">
        <f aca="false">IF('RAW QHH'!D62="","",'RAW QHH'!D62)</f>
        <v>Paramedic</v>
      </c>
      <c r="I1442" s="48" t="n">
        <f aca="false">IF('RAW QHH'!E62="","",'RAW QHH'!E62)</f>
        <v>3.25</v>
      </c>
      <c r="J1442" s="48" t="n">
        <f aca="false">IF('RAW QHH'!F62="","",'RAW QHH'!F62)</f>
        <v>27</v>
      </c>
      <c r="K1442" s="50" t="n">
        <f aca="false">IF('RAW QHH'!G62="","",'RAW QHH'!G62)</f>
        <v>350</v>
      </c>
      <c r="L1442" s="50" t="n">
        <f aca="false">IF('RAW QHH'!H62="","",'RAW QHH'!H62)</f>
        <v>315</v>
      </c>
      <c r="M1442" s="48" t="str">
        <f aca="false">IF('RAW QHH'!I62="","",'RAW QHH'!I62)</f>
        <v/>
      </c>
    </row>
    <row r="1443" customFormat="false" ht="15" hidden="false" customHeight="false" outlineLevel="0" collapsed="false">
      <c r="A1443" s="1" t="s">
        <v>2587</v>
      </c>
      <c r="B1443" s="1" t="s">
        <v>158</v>
      </c>
      <c r="C1443" s="1" t="s">
        <v>1153</v>
      </c>
      <c r="D1443" s="1" t="n">
        <v>63</v>
      </c>
      <c r="E1443" s="48" t="str">
        <f aca="false">IF('RAW QHH'!A63="","",'RAW QHH'!A63)</f>
        <v>Car Seat Safety</v>
      </c>
      <c r="F1443" s="48" t="str">
        <f aca="false">IF('RAW QHH'!B63="","",'RAW QHH'!B63)</f>
        <v>CHIS - Education</v>
      </c>
      <c r="G1443" s="49" t="str">
        <f aca="false">IF('RAW QHH'!C63="","",'RAW QHH'!C63)</f>
        <v>14-Oct-2025</v>
      </c>
      <c r="H1443" s="48" t="str">
        <f aca="false">IF('RAW QHH'!D63="","",'RAW QHH'!D63)</f>
        <v>RN - Outreach</v>
      </c>
      <c r="I1443" s="48" t="n">
        <f aca="false">IF('RAW QHH'!E63="","",'RAW QHH'!E63)</f>
        <v>4</v>
      </c>
      <c r="J1443" s="48" t="str">
        <f aca="false">IF('RAW QHH'!F63="","",'RAW QHH'!F63)</f>
        <v/>
      </c>
      <c r="K1443" s="50" t="n">
        <f aca="false">IF('RAW QHH'!G63="","",'RAW QHH'!G63)</f>
        <v>0</v>
      </c>
      <c r="L1443" s="50" t="n">
        <f aca="false">IF('RAW QHH'!H63="","",'RAW QHH'!H63)</f>
        <v>0</v>
      </c>
      <c r="M1443" s="48" t="str">
        <f aca="false">IF('RAW QHH'!I63="","",'RAW QHH'!I63)</f>
        <v/>
      </c>
    </row>
    <row r="1444" customFormat="false" ht="15" hidden="false" customHeight="false" outlineLevel="0" collapsed="false">
      <c r="A1444" s="1" t="s">
        <v>2588</v>
      </c>
      <c r="B1444" s="1" t="s">
        <v>158</v>
      </c>
      <c r="C1444" s="1" t="s">
        <v>1153</v>
      </c>
      <c r="D1444" s="1" t="n">
        <v>64</v>
      </c>
      <c r="E1444" s="48" t="str">
        <f aca="false">IF('RAW QHH'!A64="","",'RAW QHH'!A64)</f>
        <v>Quit Tobacco Class</v>
      </c>
      <c r="F1444" s="48" t="str">
        <f aca="false">IF('RAW QHH'!B64="","",'RAW QHH'!B64)</f>
        <v>CHIS - Education</v>
      </c>
      <c r="G1444" s="49" t="str">
        <f aca="false">IF('RAW QHH'!C64="","",'RAW QHH'!C64)</f>
        <v>14-Oct-2025</v>
      </c>
      <c r="H1444" s="48" t="str">
        <f aca="false">IF('RAW QHH'!D64="","",'RAW QHH'!D64)</f>
        <v>Resp Therapist</v>
      </c>
      <c r="I1444" s="48" t="n">
        <f aca="false">IF('RAW QHH'!E64="","",'RAW QHH'!E64)</f>
        <v>2</v>
      </c>
      <c r="J1444" s="48" t="n">
        <f aca="false">IF('RAW QHH'!F64="","",'RAW QHH'!F64)</f>
        <v>12</v>
      </c>
      <c r="K1444" s="50" t="n">
        <f aca="false">IF('RAW QHH'!G64="","",'RAW QHH'!G64)</f>
        <v>205</v>
      </c>
      <c r="L1444" s="50" t="n">
        <f aca="false">IF('RAW QHH'!H64="","",'RAW QHH'!H64)</f>
        <v>0</v>
      </c>
      <c r="M1444" s="48" t="str">
        <f aca="false">IF('RAW QHH'!I64="","",'RAW QHH'!I64)</f>
        <v/>
      </c>
    </row>
    <row r="1445" customFormat="false" ht="15" hidden="false" customHeight="false" outlineLevel="0" collapsed="false">
      <c r="A1445" s="1" t="s">
        <v>2589</v>
      </c>
      <c r="B1445" s="1" t="s">
        <v>158</v>
      </c>
      <c r="C1445" s="1" t="s">
        <v>1153</v>
      </c>
      <c r="D1445" s="1" t="n">
        <v>65</v>
      </c>
      <c r="E1445" s="48" t="str">
        <f aca="false">IF('RAW QHH'!A65="","",'RAW QHH'!A65)</f>
        <v>Childbirth Education</v>
      </c>
      <c r="F1445" s="48" t="str">
        <f aca="false">IF('RAW QHH'!B65="","",'RAW QHH'!B65)</f>
        <v>CHIS - Education</v>
      </c>
      <c r="G1445" s="49" t="str">
        <f aca="false">IF('RAW QHH'!C65="","",'RAW QHH'!C65)</f>
        <v>17-Oct-2025</v>
      </c>
      <c r="H1445" s="48" t="str">
        <f aca="false">IF('RAW QHH'!D65="","",'RAW QHH'!D65)</f>
        <v>Educator, Nursing</v>
      </c>
      <c r="I1445" s="48" t="n">
        <f aca="false">IF('RAW QHH'!E65="","",'RAW QHH'!E65)</f>
        <v>3.25</v>
      </c>
      <c r="J1445" s="48" t="n">
        <f aca="false">IF('RAW QHH'!F65="","",'RAW QHH'!F65)</f>
        <v>16</v>
      </c>
      <c r="K1445" s="50" t="n">
        <f aca="false">IF('RAW QHH'!G65="","",'RAW QHH'!G65)</f>
        <v>200</v>
      </c>
      <c r="L1445" s="50" t="n">
        <f aca="false">IF('RAW QHH'!H65="","",'RAW QHH'!H65)</f>
        <v>320</v>
      </c>
      <c r="M1445" s="48" t="str">
        <f aca="false">IF('RAW QHH'!I65="","",'RAW QHH'!I65)</f>
        <v/>
      </c>
    </row>
    <row r="1446" customFormat="false" ht="15" hidden="false" customHeight="false" outlineLevel="0" collapsed="false">
      <c r="A1446" s="1" t="s">
        <v>2590</v>
      </c>
      <c r="B1446" s="1" t="s">
        <v>158</v>
      </c>
      <c r="C1446" s="1" t="s">
        <v>1153</v>
      </c>
      <c r="D1446" s="1" t="n">
        <v>66</v>
      </c>
      <c r="E1446" s="48" t="str">
        <f aca="false">IF('RAW QHH'!A66="","",'RAW QHH'!A66)</f>
        <v>Car Seat Safety</v>
      </c>
      <c r="F1446" s="48" t="str">
        <f aca="false">IF('RAW QHH'!B66="","",'RAW QHH'!B66)</f>
        <v>CHIS - Education</v>
      </c>
      <c r="G1446" s="49" t="str">
        <f aca="false">IF('RAW QHH'!C66="","",'RAW QHH'!C66)</f>
        <v>17-Oct-2025</v>
      </c>
      <c r="H1446" s="48" t="str">
        <f aca="false">IF('RAW QHH'!D66="","",'RAW QHH'!D66)</f>
        <v>EMS Paramedic</v>
      </c>
      <c r="I1446" s="48" t="n">
        <f aca="false">IF('RAW QHH'!E66="","",'RAW QHH'!E66)</f>
        <v>3.5</v>
      </c>
      <c r="J1446" s="48" t="n">
        <f aca="false">IF('RAW QHH'!F66="","",'RAW QHH'!F66)</f>
        <v>27</v>
      </c>
      <c r="K1446" s="50" t="n">
        <f aca="false">IF('RAW QHH'!G66="","",'RAW QHH'!G66)</f>
        <v>870</v>
      </c>
      <c r="L1446" s="50" t="n">
        <f aca="false">IF('RAW QHH'!H66="","",'RAW QHH'!H66)</f>
        <v>320</v>
      </c>
      <c r="M1446" s="48" t="str">
        <f aca="false">IF('RAW QHH'!I66="","",'RAW QHH'!I66)</f>
        <v/>
      </c>
    </row>
    <row r="1447" customFormat="false" ht="15" hidden="false" customHeight="false" outlineLevel="0" collapsed="false">
      <c r="A1447" s="1" t="s">
        <v>2591</v>
      </c>
      <c r="B1447" s="1" t="s">
        <v>158</v>
      </c>
      <c r="C1447" s="1" t="s">
        <v>1153</v>
      </c>
      <c r="D1447" s="1" t="n">
        <v>67</v>
      </c>
      <c r="E1447" s="48" t="str">
        <f aca="false">IF('RAW QHH'!A67="","",'RAW QHH'!A67)</f>
        <v>Car Seat Safety</v>
      </c>
      <c r="F1447" s="48" t="str">
        <f aca="false">IF('RAW QHH'!B67="","",'RAW QHH'!B67)</f>
        <v>CHIS - Education</v>
      </c>
      <c r="G1447" s="49" t="str">
        <f aca="false">IF('RAW QHH'!C67="","",'RAW QHH'!C67)</f>
        <v>17-Oct-2025</v>
      </c>
      <c r="H1447" s="48" t="str">
        <f aca="false">IF('RAW QHH'!D67="","",'RAW QHH'!D67)</f>
        <v> Registered Nurse</v>
      </c>
      <c r="I1447" s="48" t="n">
        <f aca="false">IF('RAW QHH'!E67="","",'RAW QHH'!E67)</f>
        <v>3</v>
      </c>
      <c r="J1447" s="48" t="str">
        <f aca="false">IF('RAW QHH'!F67="","",'RAW QHH'!F67)</f>
        <v/>
      </c>
      <c r="K1447" s="50" t="n">
        <f aca="false">IF('RAW QHH'!G67="","",'RAW QHH'!G67)</f>
        <v>0</v>
      </c>
      <c r="L1447" s="50" t="n">
        <f aca="false">IF('RAW QHH'!H67="","",'RAW QHH'!H67)</f>
        <v>0</v>
      </c>
      <c r="M1447" s="48" t="str">
        <f aca="false">IF('RAW QHH'!I67="","",'RAW QHH'!I67)</f>
        <v/>
      </c>
    </row>
    <row r="1448" customFormat="false" ht="15" hidden="false" customHeight="false" outlineLevel="0" collapsed="false">
      <c r="A1448" s="1" t="s">
        <v>2592</v>
      </c>
      <c r="B1448" s="1" t="s">
        <v>158</v>
      </c>
      <c r="C1448" s="1" t="s">
        <v>1153</v>
      </c>
      <c r="D1448" s="1" t="n">
        <v>68</v>
      </c>
      <c r="E1448" s="48" t="str">
        <f aca="false">IF('RAW QHH'!A68="","",'RAW QHH'!A68)</f>
        <v>Green Space Project</v>
      </c>
      <c r="F1448" s="48" t="str">
        <f aca="false">IF('RAW QHH'!B68="","",'RAW QHH'!B68)</f>
        <v>Environmental (CB)</v>
      </c>
      <c r="G1448" s="49" t="str">
        <f aca="false">IF('RAW QHH'!C68="","",'RAW QHH'!C68)</f>
        <v>17-Oct-2025</v>
      </c>
      <c r="H1448" s="48" t="str">
        <f aca="false">IF('RAW QHH'!D68="","",'RAW QHH'!D68)</f>
        <v>Event Coordinator</v>
      </c>
      <c r="I1448" s="48" t="n">
        <f aca="false">IF('RAW QHH'!E68="","",'RAW QHH'!E68)</f>
        <v>7.75</v>
      </c>
      <c r="J1448" s="48" t="n">
        <f aca="false">IF('RAW QHH'!F68="","",'RAW QHH'!F68)</f>
        <v>51</v>
      </c>
      <c r="K1448" s="50" t="n">
        <f aca="false">IF('RAW QHH'!G68="","",'RAW QHH'!G68)</f>
        <v>3105</v>
      </c>
      <c r="L1448" s="50" t="n">
        <f aca="false">IF('RAW QHH'!H68="","",'RAW QHH'!H68)</f>
        <v>0</v>
      </c>
      <c r="M1448" s="48" t="str">
        <f aca="false">IF('RAW QHH'!I68="","",'RAW QHH'!I68)</f>
        <v/>
      </c>
    </row>
    <row r="1449" customFormat="false" ht="15" hidden="false" customHeight="false" outlineLevel="0" collapsed="false">
      <c r="A1449" s="1" t="s">
        <v>2593</v>
      </c>
      <c r="B1449" s="1" t="s">
        <v>158</v>
      </c>
      <c r="C1449" s="1" t="s">
        <v>1153</v>
      </c>
      <c r="D1449" s="1" t="n">
        <v>69</v>
      </c>
      <c r="E1449" s="48" t="str">
        <f aca="false">IF('RAW QHH'!A69="","",'RAW QHH'!A69)</f>
        <v>Blood Pressure Clinic</v>
      </c>
      <c r="F1449" s="48" t="str">
        <f aca="false">IF('RAW QHH'!B69="","",'RAW QHH'!B69)</f>
        <v>CHIS - Clinical</v>
      </c>
      <c r="G1449" s="49" t="str">
        <f aca="false">IF('RAW QHH'!C69="","",'RAW QHH'!C69)</f>
        <v>31-Oct-2025</v>
      </c>
      <c r="H1449" s="48" t="str">
        <f aca="false">IF('RAW QHH'!D69="","",'RAW QHH'!D69)</f>
        <v>Clinical RN</v>
      </c>
      <c r="I1449" s="48" t="n">
        <f aca="false">IF('RAW QHH'!E69="","",'RAW QHH'!E69)</f>
        <v>3.5</v>
      </c>
      <c r="J1449" s="48" t="n">
        <f aca="false">IF('RAW QHH'!F69="","",'RAW QHH'!F69)</f>
        <v>66</v>
      </c>
      <c r="K1449" s="50" t="n">
        <f aca="false">IF('RAW QHH'!G69="","",'RAW QHH'!G69)</f>
        <v>115</v>
      </c>
      <c r="L1449" s="50" t="n">
        <f aca="false">IF('RAW QHH'!H69="","",'RAW QHH'!H69)</f>
        <v>0</v>
      </c>
      <c r="M1449" s="48" t="str">
        <f aca="false">IF('RAW QHH'!I69="","",'RAW QHH'!I69)</f>
        <v/>
      </c>
    </row>
    <row r="1450" customFormat="false" ht="15" hidden="false" customHeight="false" outlineLevel="0" collapsed="false">
      <c r="A1450" s="1" t="s">
        <v>2594</v>
      </c>
      <c r="B1450" s="1" t="s">
        <v>158</v>
      </c>
      <c r="C1450" s="1" t="s">
        <v>1153</v>
      </c>
      <c r="D1450" s="1" t="n">
        <v>70</v>
      </c>
      <c r="E1450" s="48" t="str">
        <f aca="false">IF('RAW QHH'!A70="","",'RAW QHH'!A70)</f>
        <v>Car Seat Safety</v>
      </c>
      <c r="F1450" s="48" t="str">
        <f aca="false">IF('RAW QHH'!B70="","",'RAW QHH'!B70)</f>
        <v>CHIS - Education</v>
      </c>
      <c r="G1450" s="49" t="str">
        <f aca="false">IF('RAW QHH'!C70="","",'RAW QHH'!C70)</f>
        <v>31-Oct-2025</v>
      </c>
      <c r="H1450" s="48" t="str">
        <f aca="false">IF('RAW QHH'!D70="","",'RAW QHH'!D70)</f>
        <v>EMT-P</v>
      </c>
      <c r="I1450" s="48" t="n">
        <f aca="false">IF('RAW QHH'!E70="","",'RAW QHH'!E70)</f>
        <v>3.75</v>
      </c>
      <c r="J1450" s="48" t="n">
        <f aca="false">IF('RAW QHH'!F70="","",'RAW QHH'!F70)</f>
        <v>24</v>
      </c>
      <c r="K1450" s="50" t="n">
        <f aca="false">IF('RAW QHH'!G70="","",'RAW QHH'!G70)</f>
        <v>885</v>
      </c>
      <c r="L1450" s="50" t="n">
        <f aca="false">IF('RAW QHH'!H70="","",'RAW QHH'!H70)</f>
        <v>15</v>
      </c>
      <c r="M1450" s="48" t="str">
        <f aca="false">IF('RAW QHH'!I70="","",'RAW QHH'!I70)</f>
        <v/>
      </c>
    </row>
    <row r="1451" customFormat="false" ht="15" hidden="false" customHeight="false" outlineLevel="0" collapsed="false">
      <c r="A1451" s="1" t="s">
        <v>2595</v>
      </c>
      <c r="B1451" s="1" t="s">
        <v>158</v>
      </c>
      <c r="C1451" s="1" t="s">
        <v>1153</v>
      </c>
      <c r="D1451" s="1" t="n">
        <v>71</v>
      </c>
      <c r="E1451" s="48" t="str">
        <f aca="false">IF('RAW QHH'!A71="","",'RAW QHH'!A71)</f>
        <v>Car Seat Safety</v>
      </c>
      <c r="F1451" s="48" t="str">
        <f aca="false">IF('RAW QHH'!B71="","",'RAW QHH'!B71)</f>
        <v>CHIS - Education</v>
      </c>
      <c r="G1451" s="49" t="str">
        <f aca="false">IF('RAW QHH'!C71="","",'RAW QHH'!C71)</f>
        <v>31-Oct-2025</v>
      </c>
      <c r="H1451" s="48" t="str">
        <f aca="false">IF('RAW QHH'!D71="","",'RAW QHH'!D71)</f>
        <v>RN II</v>
      </c>
      <c r="I1451" s="48" t="n">
        <f aca="false">IF('RAW QHH'!E71="","",'RAW QHH'!E71)</f>
        <v>3.25</v>
      </c>
      <c r="J1451" s="48" t="str">
        <f aca="false">IF('RAW QHH'!F71="","",'RAW QHH'!F71)</f>
        <v/>
      </c>
      <c r="K1451" s="50" t="n">
        <f aca="false">IF('RAW QHH'!G71="","",'RAW QHH'!G71)</f>
        <v>0</v>
      </c>
      <c r="L1451" s="50" t="n">
        <f aca="false">IF('RAW QHH'!H71="","",'RAW QHH'!H71)</f>
        <v>0</v>
      </c>
      <c r="M1451" s="48" t="str">
        <f aca="false">IF('RAW QHH'!I71="","",'RAW QHH'!I71)</f>
        <v/>
      </c>
    </row>
    <row r="1452" customFormat="false" ht="15" hidden="false" customHeight="false" outlineLevel="0" collapsed="false">
      <c r="A1452" s="1" t="s">
        <v>2596</v>
      </c>
      <c r="B1452" s="1" t="s">
        <v>158</v>
      </c>
      <c r="C1452" s="1" t="s">
        <v>1153</v>
      </c>
      <c r="D1452" s="1" t="n">
        <v>72</v>
      </c>
      <c r="E1452" s="48" t="str">
        <f aca="false">IF('RAW QHH'!A72="","",'RAW QHH'!A72)</f>
        <v>Grief Support Group</v>
      </c>
      <c r="F1452" s="48" t="str">
        <f aca="false">IF('RAW QHH'!B72="","",'RAW QHH'!B72)</f>
        <v>CHIS - Support</v>
      </c>
      <c r="G1452" s="49" t="str">
        <f aca="false">IF('RAW QHH'!C72="","",'RAW QHH'!C72)</f>
        <v>31-Oct-2025</v>
      </c>
      <c r="H1452" s="48" t="str">
        <f aca="false">IF('RAW QHH'!D72="","",'RAW QHH'!D72)</f>
        <v>Pastoral Care</v>
      </c>
      <c r="I1452" s="48" t="n">
        <f aca="false">IF('RAW QHH'!E72="","",'RAW QHH'!E72)</f>
        <v>2.25</v>
      </c>
      <c r="J1452" s="48" t="n">
        <f aca="false">IF('RAW QHH'!F72="","",'RAW QHH'!F72)</f>
        <v>11</v>
      </c>
      <c r="K1452" s="50" t="n">
        <f aca="false">IF('RAW QHH'!G72="","",'RAW QHH'!G72)</f>
        <v>45</v>
      </c>
      <c r="L1452" s="50" t="n">
        <f aca="false">IF('RAW QHH'!H72="","",'RAW QHH'!H72)</f>
        <v>0</v>
      </c>
      <c r="M1452" s="48" t="str">
        <f aca="false">IF('RAW QHH'!I72="","",'RAW QHH'!I72)</f>
        <v/>
      </c>
    </row>
    <row r="1453" customFormat="false" ht="15" hidden="false" customHeight="false" outlineLevel="0" collapsed="false">
      <c r="A1453" s="1" t="s">
        <v>2597</v>
      </c>
      <c r="B1453" s="1" t="s">
        <v>158</v>
      </c>
      <c r="C1453" s="1" t="s">
        <v>1153</v>
      </c>
      <c r="D1453" s="1" t="n">
        <v>73</v>
      </c>
      <c r="E1453" s="48" t="str">
        <f aca="false">IF('RAW QHH'!A73="","",'RAW QHH'!A73)</f>
        <v>Grief Support Group</v>
      </c>
      <c r="F1453" s="48" t="str">
        <f aca="false">IF('RAW QHH'!B73="","",'RAW QHH'!B73)</f>
        <v>CHIS - Support</v>
      </c>
      <c r="G1453" s="49" t="str">
        <f aca="false">IF('RAW QHH'!C73="","",'RAW QHH'!C73)</f>
        <v>31-Oct-2025</v>
      </c>
      <c r="H1453" s="48" t="str">
        <f aca="false">IF('RAW QHH'!D73="","",'RAW QHH'!D73)</f>
        <v>Social Worker</v>
      </c>
      <c r="I1453" s="48" t="n">
        <f aca="false">IF('RAW QHH'!E73="","",'RAW QHH'!E73)</f>
        <v>1.75</v>
      </c>
      <c r="J1453" s="48" t="str">
        <f aca="false">IF('RAW QHH'!F73="","",'RAW QHH'!F73)</f>
        <v/>
      </c>
      <c r="K1453" s="50" t="n">
        <f aca="false">IF('RAW QHH'!G73="","",'RAW QHH'!G73)</f>
        <v>0</v>
      </c>
      <c r="L1453" s="50" t="n">
        <f aca="false">IF('RAW QHH'!H73="","",'RAW QHH'!H73)</f>
        <v>0</v>
      </c>
      <c r="M1453" s="48" t="str">
        <f aca="false">IF('RAW QHH'!I73="","",'RAW QHH'!I73)</f>
        <v/>
      </c>
    </row>
    <row r="1454" customFormat="false" ht="15" hidden="false" customHeight="false" outlineLevel="0" collapsed="false">
      <c r="A1454" s="1" t="s">
        <v>2598</v>
      </c>
      <c r="B1454" s="1" t="s">
        <v>158</v>
      </c>
      <c r="C1454" s="1" t="s">
        <v>1153</v>
      </c>
      <c r="D1454" s="1" t="n">
        <v>74</v>
      </c>
      <c r="E1454" s="48" t="str">
        <f aca="false">IF('RAW QHH'!A74="","",'RAW QHH'!A74)</f>
        <v>Medication Assistance</v>
      </c>
      <c r="F1454" s="48" t="str">
        <f aca="false">IF('RAW QHH'!B74="","",'RAW QHH'!B74)</f>
        <v>CHIS - Support</v>
      </c>
      <c r="G1454" s="49" t="str">
        <f aca="false">IF('RAW QHH'!C74="","",'RAW QHH'!C74)</f>
        <v>31-Oct-2025</v>
      </c>
      <c r="H1454" s="48" t="str">
        <f aca="false">IF('RAW QHH'!D74="","",'RAW QHH'!D74)</f>
        <v>Pt Navigator</v>
      </c>
      <c r="I1454" s="48" t="n">
        <f aca="false">IF('RAW QHH'!E74="","",'RAW QHH'!E74)</f>
        <v>63</v>
      </c>
      <c r="J1454" s="48" t="str">
        <f aca="false">IF('RAW QHH'!F74="","",'RAW QHH'!F74)</f>
        <v/>
      </c>
      <c r="K1454" s="50" t="n">
        <f aca="false">IF('RAW QHH'!G74="","",'RAW QHH'!G74)</f>
        <v>0</v>
      </c>
      <c r="L1454" s="50" t="n">
        <f aca="false">IF('RAW QHH'!H74="","",'RAW QHH'!H74)</f>
        <v>0</v>
      </c>
      <c r="M1454" s="48" t="str">
        <f aca="false">IF('RAW QHH'!I74="","",'RAW QHH'!I74)</f>
        <v/>
      </c>
    </row>
    <row r="1455" customFormat="false" ht="15" hidden="false" customHeight="false" outlineLevel="0" collapsed="false">
      <c r="A1455" s="1" t="s">
        <v>2599</v>
      </c>
      <c r="B1455" s="1" t="s">
        <v>158</v>
      </c>
      <c r="C1455" s="1" t="s">
        <v>1153</v>
      </c>
      <c r="D1455" s="1" t="n">
        <v>75</v>
      </c>
      <c r="E1455" s="48" t="str">
        <f aca="false">IF('RAW QHH'!A75="","",'RAW QHH'!A75)</f>
        <v>Medication Assistance</v>
      </c>
      <c r="F1455" s="48" t="str">
        <f aca="false">IF('RAW QHH'!B75="","",'RAW QHH'!B75)</f>
        <v>CHIS - Support</v>
      </c>
      <c r="G1455" s="49" t="str">
        <f aca="false">IF('RAW QHH'!C75="","",'RAW QHH'!C75)</f>
        <v>31-Oct-2025</v>
      </c>
      <c r="H1455" s="48" t="str">
        <f aca="false">IF('RAW QHH'!D75="","",'RAW QHH'!D75)</f>
        <v> Pharm.D.</v>
      </c>
      <c r="I1455" s="48" t="n">
        <f aca="false">IF('RAW QHH'!E75="","",'RAW QHH'!E75)</f>
        <v>20</v>
      </c>
      <c r="J1455" s="48" t="n">
        <f aca="false">IF('RAW QHH'!F75="","",'RAW QHH'!F75)</f>
        <v>79</v>
      </c>
      <c r="K1455" s="50" t="n">
        <f aca="false">IF('RAW QHH'!G75="","",'RAW QHH'!G75)</f>
        <v>14055</v>
      </c>
      <c r="L1455" s="50" t="n">
        <f aca="false">IF('RAW QHH'!H75="","",'RAW QHH'!H75)</f>
        <v>0</v>
      </c>
      <c r="M1455" s="48" t="str">
        <f aca="false">IF('RAW QHH'!I75="","",'RAW QHH'!I75)</f>
        <v/>
      </c>
    </row>
    <row r="1456" customFormat="false" ht="15" hidden="false" customHeight="false" outlineLevel="0" collapsed="false">
      <c r="A1456" s="1" t="s">
        <v>2600</v>
      </c>
      <c r="B1456" s="1" t="s">
        <v>158</v>
      </c>
      <c r="C1456" s="1" t="s">
        <v>1153</v>
      </c>
      <c r="D1456" s="1" t="n">
        <v>76</v>
      </c>
      <c r="E1456" s="48" t="str">
        <f aca="false">IF('RAW QHH'!A76="","",'RAW QHH'!A76)</f>
        <v>Community Benefit Admin.</v>
      </c>
      <c r="F1456" s="48" t="str">
        <f aca="false">IF('RAW QHH'!B76="","",'RAW QHH'!B76)</f>
        <v>CBO</v>
      </c>
      <c r="G1456" s="49" t="str">
        <f aca="false">IF('RAW QHH'!C76="","",'RAW QHH'!C76)</f>
        <v>31-Oct-2025</v>
      </c>
      <c r="H1456" s="48" t="str">
        <f aca="false">IF('RAW QHH'!D76="","",'RAW QHH'!D76)</f>
        <v>Admin Asst</v>
      </c>
      <c r="I1456" s="48" t="n">
        <f aca="false">IF('RAW QHH'!E76="","",'RAW QHH'!E76)</f>
        <v>34.75</v>
      </c>
      <c r="J1456" s="48" t="str">
        <f aca="false">IF('RAW QHH'!F76="","",'RAW QHH'!F76)</f>
        <v/>
      </c>
      <c r="K1456" s="50" t="n">
        <f aca="false">IF('RAW QHH'!G76="","",'RAW QHH'!G76)</f>
        <v>0</v>
      </c>
      <c r="L1456" s="50" t="n">
        <f aca="false">IF('RAW QHH'!H76="","",'RAW QHH'!H76)</f>
        <v>0</v>
      </c>
      <c r="M1456" s="48" t="str">
        <f aca="false">IF('RAW QHH'!I76="","",'RAW QHH'!I76)</f>
        <v/>
      </c>
    </row>
    <row r="1457" customFormat="false" ht="15" hidden="false" customHeight="false" outlineLevel="0" collapsed="false">
      <c r="A1457" s="1" t="s">
        <v>2601</v>
      </c>
      <c r="B1457" s="1" t="s">
        <v>158</v>
      </c>
      <c r="C1457" s="1" t="s">
        <v>1153</v>
      </c>
      <c r="D1457" s="1" t="n">
        <v>77</v>
      </c>
      <c r="E1457" s="48" t="str">
        <f aca="false">IF('RAW QHH'!A77="","",'RAW QHH'!A77)</f>
        <v>Community Benefit Admin.</v>
      </c>
      <c r="F1457" s="48" t="str">
        <f aca="false">IF('RAW QHH'!B77="","",'RAW QHH'!B77)</f>
        <v>CBO</v>
      </c>
      <c r="G1457" s="49" t="str">
        <f aca="false">IF('RAW QHH'!C77="","",'RAW QHH'!C77)</f>
        <v>31-Oct-2025</v>
      </c>
      <c r="H1457" s="48" t="str">
        <f aca="false">IF('RAW QHH'!D77="","",'RAW QHH'!D77)</f>
        <v>Manager Community Benefit</v>
      </c>
      <c r="I1457" s="48" t="n">
        <f aca="false">IF('RAW QHH'!E77="","",'RAW QHH'!E77)</f>
        <v>52.25</v>
      </c>
      <c r="J1457" s="48" t="str">
        <f aca="false">IF('RAW QHH'!F77="","",'RAW QHH'!F77)</f>
        <v/>
      </c>
      <c r="K1457" s="50" t="n">
        <f aca="false">IF('RAW QHH'!G77="","",'RAW QHH'!G77)</f>
        <v>260</v>
      </c>
      <c r="L1457" s="50" t="n">
        <f aca="false">IF('RAW QHH'!H77="","",'RAW QHH'!H77)</f>
        <v>0</v>
      </c>
      <c r="M1457" s="48" t="str">
        <f aca="false">IF('RAW QHH'!I77="","",'RAW QHH'!I77)</f>
        <v/>
      </c>
    </row>
    <row r="1458" customFormat="false" ht="15" hidden="false" customHeight="false" outlineLevel="0" collapsed="false">
      <c r="A1458" s="1" t="s">
        <v>2602</v>
      </c>
      <c r="B1458" s="1" t="s">
        <v>158</v>
      </c>
      <c r="C1458" s="1" t="s">
        <v>1153</v>
      </c>
      <c r="D1458" s="1" t="n">
        <v>78</v>
      </c>
      <c r="E1458" s="48" t="str">
        <f aca="false">IF('RAW QHH'!A78="","",'RAW QHH'!A78)</f>
        <v>Community Paramedicine</v>
      </c>
      <c r="F1458" s="48" t="str">
        <f aca="false">IF('RAW QHH'!B78="","",'RAW QHH'!B78)</f>
        <v>CHIS - Clinical</v>
      </c>
      <c r="G1458" s="49" t="str">
        <f aca="false">IF('RAW QHH'!C78="","",'RAW QHH'!C78)</f>
        <v>31-Oct-2025</v>
      </c>
      <c r="H1458" s="48" t="str">
        <f aca="false">IF('RAW QHH'!D78="","",'RAW QHH'!D78)</f>
        <v>Flight Paramedic</v>
      </c>
      <c r="I1458" s="48" t="n">
        <f aca="false">IF('RAW QHH'!E78="","",'RAW QHH'!E78)</f>
        <v>104.5</v>
      </c>
      <c r="J1458" s="48" t="n">
        <f aca="false">IF('RAW QHH'!F78="","",'RAW QHH'!F78)</f>
        <v>49</v>
      </c>
      <c r="K1458" s="50" t="n">
        <f aca="false">IF('RAW QHH'!G78="","",'RAW QHH'!G78)</f>
        <v>860</v>
      </c>
      <c r="L1458" s="50" t="n">
        <f aca="false">IF('RAW QHH'!H78="","",'RAW QHH'!H78)</f>
        <v>0</v>
      </c>
      <c r="M1458" s="48" t="str">
        <f aca="false">IF('RAW QHH'!I78="","",'RAW QHH'!I78)</f>
        <v/>
      </c>
    </row>
    <row r="1459" customFormat="false" ht="15" hidden="false" customHeight="false" outlineLevel="0" collapsed="false">
      <c r="A1459" s="1" t="s">
        <v>2603</v>
      </c>
      <c r="B1459" s="1" t="s">
        <v>158</v>
      </c>
      <c r="C1459" s="1" t="s">
        <v>1153</v>
      </c>
      <c r="D1459" s="1" t="n">
        <v>79</v>
      </c>
      <c r="E1459" s="48" t="str">
        <f aca="false">IF('RAW QHH'!A79="","",'RAW QHH'!A79)</f>
        <v>Nursing Clinical Rotations</v>
      </c>
      <c r="F1459" s="48" t="str">
        <f aca="false">IF('RAW QHH'!B79="","",'RAW QHH'!B79)</f>
        <v>HPE - Students</v>
      </c>
      <c r="G1459" s="49" t="str">
        <f aca="false">IF('RAW QHH'!C79="","",'RAW QHH'!C79)</f>
        <v>31-Oct-2025</v>
      </c>
      <c r="H1459" s="48" t="str">
        <f aca="false">IF('RAW QHH'!D79="","",'RAW QHH'!D79)</f>
        <v>Clinical Nurse Educator</v>
      </c>
      <c r="I1459" s="48" t="n">
        <f aca="false">IF('RAW QHH'!E79="","",'RAW QHH'!E79)</f>
        <v>112.5</v>
      </c>
      <c r="J1459" s="48" t="n">
        <f aca="false">IF('RAW QHH'!F79="","",'RAW QHH'!F79)</f>
        <v>17</v>
      </c>
      <c r="K1459" s="50" t="n">
        <f aca="false">IF('RAW QHH'!G79="","",'RAW QHH'!G79)</f>
        <v>980</v>
      </c>
      <c r="L1459" s="50" t="n">
        <f aca="false">IF('RAW QHH'!H79="","",'RAW QHH'!H79)</f>
        <v>0</v>
      </c>
      <c r="M1459" s="48" t="str">
        <f aca="false">IF('RAW QHH'!I79="","",'RAW QHH'!I79)</f>
        <v/>
      </c>
    </row>
    <row r="1460" customFormat="false" ht="15" hidden="false" customHeight="false" outlineLevel="0" collapsed="false">
      <c r="A1460" s="1" t="s">
        <v>2604</v>
      </c>
      <c r="B1460" s="1" t="s">
        <v>158</v>
      </c>
      <c r="C1460" s="1" t="s">
        <v>1153</v>
      </c>
      <c r="D1460" s="1" t="n">
        <v>80</v>
      </c>
      <c r="E1460" s="48" t="str">
        <f aca="false">IF('RAW QHH'!A80="","",'RAW QHH'!A80)</f>
        <v>Nursing Clinical Rotations</v>
      </c>
      <c r="F1460" s="48" t="str">
        <f aca="false">IF('RAW QHH'!B80="","",'RAW QHH'!B80)</f>
        <v>HPE - Students</v>
      </c>
      <c r="G1460" s="49" t="str">
        <f aca="false">IF('RAW QHH'!C80="","",'RAW QHH'!C80)</f>
        <v>31-Oct-2025</v>
      </c>
      <c r="H1460" s="48" t="str">
        <f aca="false">IF('RAW QHH'!D80="","",'RAW QHH'!D80)</f>
        <v>Reg Nurse</v>
      </c>
      <c r="I1460" s="48" t="n">
        <f aca="false">IF('RAW QHH'!E80="","",'RAW QHH'!E80)</f>
        <v>185</v>
      </c>
      <c r="J1460" s="48" t="str">
        <f aca="false">IF('RAW QHH'!F80="","",'RAW QHH'!F80)</f>
        <v/>
      </c>
      <c r="K1460" s="50" t="n">
        <f aca="false">IF('RAW QHH'!G80="","",'RAW QHH'!G80)</f>
        <v>0</v>
      </c>
      <c r="L1460" s="50" t="n">
        <f aca="false">IF('RAW QHH'!H80="","",'RAW QHH'!H80)</f>
        <v>0</v>
      </c>
      <c r="M1460" s="48" t="str">
        <f aca="false">IF('RAW QHH'!I80="","",'RAW QHH'!I80)</f>
        <v/>
      </c>
    </row>
    <row r="1461" customFormat="false" ht="15" hidden="false" customHeight="false" outlineLevel="0" collapsed="false">
      <c r="A1461" s="1" t="s">
        <v>2605</v>
      </c>
      <c r="B1461" s="1" t="s">
        <v>158</v>
      </c>
      <c r="C1461" s="1" t="s">
        <v>1153</v>
      </c>
      <c r="D1461" s="1" t="n">
        <v>81</v>
      </c>
      <c r="E1461" s="48" t="str">
        <f aca="false">IF('RAW QHH'!A81="","",'RAW QHH'!A81)</f>
        <v>Grief Support Group</v>
      </c>
      <c r="F1461" s="48" t="str">
        <f aca="false">IF('RAW QHH'!B81="","",'RAW QHH'!B81)</f>
        <v>CHIS - Support</v>
      </c>
      <c r="G1461" s="49" t="str">
        <f aca="false">IF('RAW QHH'!C81="","",'RAW QHH'!C81)</f>
        <v>01-Nov-2025</v>
      </c>
      <c r="H1461" s="48" t="str">
        <f aca="false">IF('RAW QHH'!D81="","",'RAW QHH'!D81)</f>
        <v>Chaplain Resident</v>
      </c>
      <c r="I1461" s="48" t="n">
        <f aca="false">IF('RAW QHH'!E81="","",'RAW QHH'!E81)</f>
        <v>2</v>
      </c>
      <c r="J1461" s="48" t="n">
        <f aca="false">IF('RAW QHH'!F81="","",'RAW QHH'!F81)</f>
        <v>9</v>
      </c>
      <c r="K1461" s="50" t="n">
        <f aca="false">IF('RAW QHH'!G81="","",'RAW QHH'!G81)</f>
        <v>35</v>
      </c>
      <c r="L1461" s="50" t="n">
        <f aca="false">IF('RAW QHH'!H81="","",'RAW QHH'!H81)</f>
        <v>0</v>
      </c>
      <c r="M1461" s="48" t="str">
        <f aca="false">IF('RAW QHH'!I81="","",'RAW QHH'!I81)</f>
        <v/>
      </c>
    </row>
    <row r="1462" customFormat="false" ht="15" hidden="false" customHeight="false" outlineLevel="0" collapsed="false">
      <c r="A1462" s="1" t="s">
        <v>2606</v>
      </c>
      <c r="B1462" s="1" t="s">
        <v>158</v>
      </c>
      <c r="C1462" s="1" t="s">
        <v>1153</v>
      </c>
      <c r="D1462" s="1" t="n">
        <v>82</v>
      </c>
      <c r="E1462" s="48" t="str">
        <f aca="false">IF('RAW QHH'!A82="","",'RAW QHH'!A82)</f>
        <v>Grief Support Group</v>
      </c>
      <c r="F1462" s="48" t="str">
        <f aca="false">IF('RAW QHH'!B82="","",'RAW QHH'!B82)</f>
        <v>CHIS - Support</v>
      </c>
      <c r="G1462" s="49" t="str">
        <f aca="false">IF('RAW QHH'!C82="","",'RAW QHH'!C82)</f>
        <v>01-Nov-2025</v>
      </c>
      <c r="H1462" s="48" t="str">
        <f aca="false">IF('RAW QHH'!D82="","",'RAW QHH'!D82)</f>
        <v>Social Work</v>
      </c>
      <c r="I1462" s="48" t="n">
        <f aca="false">IF('RAW QHH'!E82="","",'RAW QHH'!E82)</f>
        <v>1.5</v>
      </c>
      <c r="J1462" s="48" t="str">
        <f aca="false">IF('RAW QHH'!F82="","",'RAW QHH'!F82)</f>
        <v/>
      </c>
      <c r="K1462" s="50" t="n">
        <f aca="false">IF('RAW QHH'!G82="","",'RAW QHH'!G82)</f>
        <v>0</v>
      </c>
      <c r="L1462" s="50" t="n">
        <f aca="false">IF('RAW QHH'!H82="","",'RAW QHH'!H82)</f>
        <v>0</v>
      </c>
      <c r="M1462" s="48" t="str">
        <f aca="false">IF('RAW QHH'!I82="","",'RAW QHH'!I82)</f>
        <v/>
      </c>
    </row>
    <row r="1463" customFormat="false" ht="15" hidden="false" customHeight="false" outlineLevel="0" collapsed="false">
      <c r="A1463" s="1" t="s">
        <v>2607</v>
      </c>
      <c r="B1463" s="1" t="s">
        <v>158</v>
      </c>
      <c r="C1463" s="1" t="s">
        <v>1153</v>
      </c>
      <c r="D1463" s="1" t="n">
        <v>83</v>
      </c>
      <c r="E1463" s="48" t="str">
        <f aca="false">IF('RAW QHH'!A83="","",'RAW QHH'!A83)</f>
        <v>Youth Pathway Program</v>
      </c>
      <c r="F1463" s="48" t="str">
        <f aca="false">IF('RAW QHH'!B83="","",'RAW QHH'!B83)</f>
        <v>Workforce Dev (CB)</v>
      </c>
      <c r="G1463" s="49" t="str">
        <f aca="false">IF('RAW QHH'!C83="","",'RAW QHH'!C83)</f>
        <v>05-Nov-2025</v>
      </c>
      <c r="H1463" s="48" t="str">
        <f aca="false">IF('RAW QHH'!D83="","",'RAW QHH'!D83)</f>
        <v>RN Educator</v>
      </c>
      <c r="I1463" s="48" t="n">
        <f aca="false">IF('RAW QHH'!E83="","",'RAW QHH'!E83)</f>
        <v>3.25</v>
      </c>
      <c r="J1463" s="48" t="str">
        <f aca="false">IF('RAW QHH'!F83="","",'RAW QHH'!F83)</f>
        <v/>
      </c>
      <c r="K1463" s="50" t="n">
        <f aca="false">IF('RAW QHH'!G83="","",'RAW QHH'!G83)</f>
        <v>0</v>
      </c>
      <c r="L1463" s="50" t="n">
        <f aca="false">IF('RAW QHH'!H83="","",'RAW QHH'!H83)</f>
        <v>0</v>
      </c>
      <c r="M1463" s="48" t="str">
        <f aca="false">IF('RAW QHH'!I83="","",'RAW QHH'!I83)</f>
        <v/>
      </c>
    </row>
    <row r="1464" customFormat="false" ht="15" hidden="false" customHeight="false" outlineLevel="0" collapsed="false">
      <c r="A1464" s="1" t="s">
        <v>2608</v>
      </c>
      <c r="B1464" s="1" t="s">
        <v>158</v>
      </c>
      <c r="C1464" s="1" t="s">
        <v>1153</v>
      </c>
      <c r="D1464" s="1" t="n">
        <v>84</v>
      </c>
      <c r="E1464" s="48" t="str">
        <f aca="false">IF('RAW QHH'!A84="","",'RAW QHH'!A84)</f>
        <v>Youth Pathway Program</v>
      </c>
      <c r="F1464" s="48" t="str">
        <f aca="false">IF('RAW QHH'!B84="","",'RAW QHH'!B84)</f>
        <v>Workforce Dev (CB)</v>
      </c>
      <c r="G1464" s="49" t="str">
        <f aca="false">IF('RAW QHH'!C84="","",'RAW QHH'!C84)</f>
        <v>05-Nov-2025</v>
      </c>
      <c r="H1464" s="48" t="str">
        <f aca="false">IF('RAW QHH'!D84="","",'RAW QHH'!D84)</f>
        <v>Residency Coordinator</v>
      </c>
      <c r="I1464" s="48" t="n">
        <f aca="false">IF('RAW QHH'!E84="","",'RAW QHH'!E84)</f>
        <v>6.75</v>
      </c>
      <c r="J1464" s="48" t="n">
        <f aca="false">IF('RAW QHH'!F84="","",'RAW QHH'!F84)</f>
        <v>21</v>
      </c>
      <c r="K1464" s="50" t="n">
        <f aca="false">IF('RAW QHH'!G84="","",'RAW QHH'!G84)</f>
        <v>615</v>
      </c>
      <c r="L1464" s="50" t="n">
        <f aca="false">IF('RAW QHH'!H84="","",'RAW QHH'!H84)</f>
        <v>0</v>
      </c>
      <c r="M1464" s="48" t="str">
        <f aca="false">IF('RAW QHH'!I84="","",'RAW QHH'!I84)</f>
        <v/>
      </c>
    </row>
    <row r="1465" customFormat="false" ht="15" hidden="false" customHeight="false" outlineLevel="0" collapsed="false">
      <c r="A1465" s="1" t="s">
        <v>2609</v>
      </c>
      <c r="B1465" s="1" t="s">
        <v>158</v>
      </c>
      <c r="C1465" s="1" t="s">
        <v>1153</v>
      </c>
      <c r="D1465" s="1" t="n">
        <v>85</v>
      </c>
      <c r="E1465" s="48" t="str">
        <f aca="false">IF('RAW QHH'!A85="","",'RAW QHH'!A85)</f>
        <v>Childbirth Education</v>
      </c>
      <c r="F1465" s="48" t="str">
        <f aca="false">IF('RAW QHH'!B85="","",'RAW QHH'!B85)</f>
        <v>CHIS - Education</v>
      </c>
      <c r="G1465" s="49" t="str">
        <f aca="false">IF('RAW QHH'!C85="","",'RAW QHH'!C85)</f>
        <v>10-Nov-2025</v>
      </c>
      <c r="H1465" s="48" t="str">
        <f aca="false">IF('RAW QHH'!D85="","",'RAW QHH'!D85)</f>
        <v>Educator, Nursing</v>
      </c>
      <c r="I1465" s="48" t="n">
        <f aca="false">IF('RAW QHH'!E85="","",'RAW QHH'!E85)</f>
        <v>3.25</v>
      </c>
      <c r="J1465" s="48" t="n">
        <f aca="false">IF('RAW QHH'!F85="","",'RAW QHH'!F85)</f>
        <v>20</v>
      </c>
      <c r="K1465" s="50" t="n">
        <f aca="false">IF('RAW QHH'!G85="","",'RAW QHH'!G85)</f>
        <v>115</v>
      </c>
      <c r="L1465" s="50" t="n">
        <f aca="false">IF('RAW QHH'!H85="","",'RAW QHH'!H85)</f>
        <v>400</v>
      </c>
      <c r="M1465" s="48" t="str">
        <f aca="false">IF('RAW QHH'!I85="","",'RAW QHH'!I85)</f>
        <v/>
      </c>
    </row>
    <row r="1466" customFormat="false" ht="15" hidden="false" customHeight="false" outlineLevel="0" collapsed="false">
      <c r="A1466" s="1" t="s">
        <v>2610</v>
      </c>
      <c r="B1466" s="1" t="s">
        <v>158</v>
      </c>
      <c r="C1466" s="1" t="s">
        <v>1153</v>
      </c>
      <c r="D1466" s="1" t="n">
        <v>86</v>
      </c>
      <c r="E1466" s="48" t="str">
        <f aca="false">IF('RAW QHH'!A86="","",'RAW QHH'!A86)</f>
        <v>Blood Pressure Clinic</v>
      </c>
      <c r="F1466" s="48" t="str">
        <f aca="false">IF('RAW QHH'!B86="","",'RAW QHH'!B86)</f>
        <v>CHIS - Clinical</v>
      </c>
      <c r="G1466" s="49" t="str">
        <f aca="false">IF('RAW QHH'!C86="","",'RAW QHH'!C86)</f>
        <v>12-Nov-2025</v>
      </c>
      <c r="H1466" s="48" t="str">
        <f aca="false">IF('RAW QHH'!D86="","",'RAW QHH'!D86)</f>
        <v>Clinical RN</v>
      </c>
      <c r="I1466" s="48" t="n">
        <f aca="false">IF('RAW QHH'!E86="","",'RAW QHH'!E86)</f>
        <v>3.75</v>
      </c>
      <c r="J1466" s="48" t="n">
        <f aca="false">IF('RAW QHH'!F86="","",'RAW QHH'!F86)</f>
        <v>67</v>
      </c>
      <c r="K1466" s="50" t="n">
        <f aca="false">IF('RAW QHH'!G86="","",'RAW QHH'!G86)</f>
        <v>95</v>
      </c>
      <c r="L1466" s="50" t="n">
        <f aca="false">IF('RAW QHH'!H86="","",'RAW QHH'!H86)</f>
        <v>0</v>
      </c>
      <c r="M1466" s="48" t="str">
        <f aca="false">IF('RAW QHH'!I86="","",'RAW QHH'!I86)</f>
        <v/>
      </c>
    </row>
    <row r="1467" customFormat="false" ht="15" hidden="false" customHeight="false" outlineLevel="0" collapsed="false">
      <c r="A1467" s="1" t="s">
        <v>2611</v>
      </c>
      <c r="B1467" s="1" t="s">
        <v>158</v>
      </c>
      <c r="C1467" s="1" t="s">
        <v>1153</v>
      </c>
      <c r="D1467" s="1" t="n">
        <v>87</v>
      </c>
      <c r="E1467" s="48" t="str">
        <f aca="false">IF('RAW QHH'!A87="","",'RAW QHH'!A87)</f>
        <v>Blood Pressure Clinic</v>
      </c>
      <c r="F1467" s="48" t="str">
        <f aca="false">IF('RAW QHH'!B87="","",'RAW QHH'!B87)</f>
        <v>CHIS - Clinical</v>
      </c>
      <c r="G1467" s="49" t="str">
        <f aca="false">IF('RAW QHH'!C87="","",'RAW QHH'!C87)</f>
        <v>19-Nov-2025</v>
      </c>
      <c r="H1467" s="48" t="str">
        <f aca="false">IF('RAW QHH'!D87="","",'RAW QHH'!D87)</f>
        <v>Clinical RN</v>
      </c>
      <c r="I1467" s="48" t="n">
        <f aca="false">IF('RAW QHH'!E87="","",'RAW QHH'!E87)</f>
        <v>4.5</v>
      </c>
      <c r="J1467" s="48" t="n">
        <f aca="false">IF('RAW QHH'!F87="","",'RAW QHH'!F87)</f>
        <v>33</v>
      </c>
      <c r="K1467" s="50" t="n">
        <f aca="false">IF('RAW QHH'!G87="","",'RAW QHH'!G87)</f>
        <v>90</v>
      </c>
      <c r="L1467" s="50" t="n">
        <f aca="false">IF('RAW QHH'!H87="","",'RAW QHH'!H87)</f>
        <v>0</v>
      </c>
      <c r="M1467" s="48" t="str">
        <f aca="false">IF('RAW QHH'!I87="","",'RAW QHH'!I87)</f>
        <v/>
      </c>
    </row>
    <row r="1468" customFormat="false" ht="15" hidden="false" customHeight="false" outlineLevel="0" collapsed="false">
      <c r="A1468" s="1" t="s">
        <v>2612</v>
      </c>
      <c r="B1468" s="1" t="s">
        <v>158</v>
      </c>
      <c r="C1468" s="1" t="s">
        <v>1153</v>
      </c>
      <c r="D1468" s="1" t="n">
        <v>88</v>
      </c>
      <c r="E1468" s="48" t="str">
        <f aca="false">IF('RAW QHH'!A88="","",'RAW QHH'!A88)</f>
        <v>Diabetes Prevention Program</v>
      </c>
      <c r="F1468" s="48" t="str">
        <f aca="false">IF('RAW QHH'!B88="","",'RAW QHH'!B88)</f>
        <v>CHIS - Education</v>
      </c>
      <c r="G1468" s="49" t="str">
        <f aca="false">IF('RAW QHH'!C88="","",'RAW QHH'!C88)</f>
        <v>22-Nov-2025</v>
      </c>
      <c r="H1468" s="48" t="str">
        <f aca="false">IF('RAW QHH'!D88="","",'RAW QHH'!D88)</f>
        <v>Health Education Specialist</v>
      </c>
      <c r="I1468" s="48" t="n">
        <f aca="false">IF('RAW QHH'!E88="","",'RAW QHH'!E88)</f>
        <v>2.25</v>
      </c>
      <c r="J1468" s="48" t="n">
        <f aca="false">IF('RAW QHH'!F88="","",'RAW QHH'!F88)</f>
        <v>16</v>
      </c>
      <c r="K1468" s="50" t="n">
        <f aca="false">IF('RAW QHH'!G88="","",'RAW QHH'!G88)</f>
        <v>170</v>
      </c>
      <c r="L1468" s="50" t="n">
        <f aca="false">IF('RAW QHH'!H88="","",'RAW QHH'!H88)</f>
        <v>0</v>
      </c>
      <c r="M1468" s="48" t="str">
        <f aca="false">IF('RAW QHH'!I88="","",'RAW QHH'!I88)</f>
        <v/>
      </c>
    </row>
    <row r="1469" customFormat="false" ht="15" hidden="false" customHeight="false" outlineLevel="0" collapsed="false">
      <c r="A1469" s="1" t="s">
        <v>2613</v>
      </c>
      <c r="B1469" s="1" t="s">
        <v>158</v>
      </c>
      <c r="C1469" s="1" t="s">
        <v>1153</v>
      </c>
      <c r="D1469" s="1" t="n">
        <v>89</v>
      </c>
      <c r="E1469" s="48" t="str">
        <f aca="false">IF('RAW QHH'!A89="","",'RAW QHH'!A89)</f>
        <v>Diabetes Prevention Program</v>
      </c>
      <c r="F1469" s="48" t="str">
        <f aca="false">IF('RAW QHH'!B89="","",'RAW QHH'!B89)</f>
        <v>CHIS - Education</v>
      </c>
      <c r="G1469" s="49" t="str">
        <f aca="false">IF('RAW QHH'!C89="","",'RAW QHH'!C89)</f>
        <v>22-Nov-2025</v>
      </c>
      <c r="H1469" s="48" t="str">
        <f aca="false">IF('RAW QHH'!D89="","",'RAW QHH'!D89)</f>
        <v>Nutritionist</v>
      </c>
      <c r="I1469" s="48" t="n">
        <f aca="false">IF('RAW QHH'!E89="","",'RAW QHH'!E89)</f>
        <v>1.5</v>
      </c>
      <c r="J1469" s="48" t="str">
        <f aca="false">IF('RAW QHH'!F89="","",'RAW QHH'!F89)</f>
        <v/>
      </c>
      <c r="K1469" s="50" t="n">
        <f aca="false">IF('RAW QHH'!G89="","",'RAW QHH'!G89)</f>
        <v>0</v>
      </c>
      <c r="L1469" s="50" t="n">
        <f aca="false">IF('RAW QHH'!H89="","",'RAW QHH'!H89)</f>
        <v>0</v>
      </c>
      <c r="M1469" s="48" t="str">
        <f aca="false">IF('RAW QHH'!I89="","",'RAW QHH'!I89)</f>
        <v/>
      </c>
    </row>
    <row r="1470" customFormat="false" ht="15" hidden="false" customHeight="false" outlineLevel="0" collapsed="false">
      <c r="A1470" s="1" t="s">
        <v>2614</v>
      </c>
      <c r="B1470" s="1" t="s">
        <v>158</v>
      </c>
      <c r="C1470" s="1" t="s">
        <v>1153</v>
      </c>
      <c r="D1470" s="1" t="n">
        <v>90</v>
      </c>
      <c r="E1470" s="48" t="str">
        <f aca="false">IF('RAW QHH'!A90="","",'RAW QHH'!A90)</f>
        <v>Grief Support Group</v>
      </c>
      <c r="F1470" s="48" t="str">
        <f aca="false">IF('RAW QHH'!B90="","",'RAW QHH'!B90)</f>
        <v>CHIS - Support</v>
      </c>
      <c r="G1470" s="49" t="str">
        <f aca="false">IF('RAW QHH'!C90="","",'RAW QHH'!C90)</f>
        <v>22-Nov-2025</v>
      </c>
      <c r="H1470" s="48" t="str">
        <f aca="false">IF('RAW QHH'!D90="","",'RAW QHH'!D90)</f>
        <v>Chaplain Resident</v>
      </c>
      <c r="I1470" s="48" t="n">
        <f aca="false">IF('RAW QHH'!E90="","",'RAW QHH'!E90)</f>
        <v>2</v>
      </c>
      <c r="J1470" s="48" t="n">
        <f aca="false">IF('RAW QHH'!F90="","",'RAW QHH'!F90)</f>
        <v>14</v>
      </c>
      <c r="K1470" s="50" t="n">
        <f aca="false">IF('RAW QHH'!G90="","",'RAW QHH'!G90)</f>
        <v>25</v>
      </c>
      <c r="L1470" s="50" t="n">
        <f aca="false">IF('RAW QHH'!H90="","",'RAW QHH'!H90)</f>
        <v>0</v>
      </c>
      <c r="M1470" s="48" t="str">
        <f aca="false">IF('RAW QHH'!I90="","",'RAW QHH'!I90)</f>
        <v/>
      </c>
    </row>
    <row r="1471" customFormat="false" ht="15" hidden="false" customHeight="false" outlineLevel="0" collapsed="false">
      <c r="A1471" s="1" t="s">
        <v>2615</v>
      </c>
      <c r="B1471" s="1" t="s">
        <v>158</v>
      </c>
      <c r="C1471" s="1" t="s">
        <v>1153</v>
      </c>
      <c r="D1471" s="1" t="n">
        <v>91</v>
      </c>
      <c r="E1471" s="48" t="str">
        <f aca="false">IF('RAW QHH'!A91="","",'RAW QHH'!A91)</f>
        <v>Grief Support Group</v>
      </c>
      <c r="F1471" s="48" t="str">
        <f aca="false">IF('RAW QHH'!B91="","",'RAW QHH'!B91)</f>
        <v>CHIS - Support</v>
      </c>
      <c r="G1471" s="49" t="str">
        <f aca="false">IF('RAW QHH'!C91="","",'RAW QHH'!C91)</f>
        <v>22-Nov-2025</v>
      </c>
      <c r="H1471" s="48" t="str">
        <f aca="false">IF('RAW QHH'!D91="","",'RAW QHH'!D91)</f>
        <v>LCSW</v>
      </c>
      <c r="I1471" s="48" t="n">
        <f aca="false">IF('RAW QHH'!E91="","",'RAW QHH'!E91)</f>
        <v>1.75</v>
      </c>
      <c r="J1471" s="48" t="str">
        <f aca="false">IF('RAW QHH'!F91="","",'RAW QHH'!F91)</f>
        <v/>
      </c>
      <c r="K1471" s="50" t="n">
        <f aca="false">IF('RAW QHH'!G91="","",'RAW QHH'!G91)</f>
        <v>0</v>
      </c>
      <c r="L1471" s="50" t="n">
        <f aca="false">IF('RAW QHH'!H91="","",'RAW QHH'!H91)</f>
        <v>0</v>
      </c>
      <c r="M1471" s="48" t="str">
        <f aca="false">IF('RAW QHH'!I91="","",'RAW QHH'!I91)</f>
        <v/>
      </c>
    </row>
    <row r="1472" customFormat="false" ht="15" hidden="false" customHeight="false" outlineLevel="0" collapsed="false">
      <c r="A1472" s="1" t="s">
        <v>2616</v>
      </c>
      <c r="B1472" s="1" t="s">
        <v>158</v>
      </c>
      <c r="C1472" s="1" t="s">
        <v>1153</v>
      </c>
      <c r="D1472" s="1" t="n">
        <v>92</v>
      </c>
      <c r="E1472" s="48" t="str">
        <f aca="false">IF('RAW QHH'!A92="","",'RAW QHH'!A92)</f>
        <v>Grief Support Group</v>
      </c>
      <c r="F1472" s="48" t="str">
        <f aca="false">IF('RAW QHH'!B92="","",'RAW QHH'!B92)</f>
        <v>CHIS - Support</v>
      </c>
      <c r="G1472" s="49" t="str">
        <f aca="false">IF('RAW QHH'!C92="","",'RAW QHH'!C92)</f>
        <v>24-Nov-2025</v>
      </c>
      <c r="H1472" s="48" t="str">
        <f aca="false">IF('RAW QHH'!D92="","",'RAW QHH'!D92)</f>
        <v>Chaplain Resident</v>
      </c>
      <c r="I1472" s="48" t="n">
        <f aca="false">IF('RAW QHH'!E92="","",'RAW QHH'!E92)</f>
        <v>2.5</v>
      </c>
      <c r="J1472" s="48" t="n">
        <f aca="false">IF('RAW QHH'!F92="","",'RAW QHH'!F92)</f>
        <v>13</v>
      </c>
      <c r="K1472" s="50" t="n">
        <f aca="false">IF('RAW QHH'!G92="","",'RAW QHH'!G92)</f>
        <v>35</v>
      </c>
      <c r="L1472" s="50" t="n">
        <f aca="false">IF('RAW QHH'!H92="","",'RAW QHH'!H92)</f>
        <v>0</v>
      </c>
      <c r="M1472" s="48" t="str">
        <f aca="false">IF('RAW QHH'!I92="","",'RAW QHH'!I92)</f>
        <v/>
      </c>
    </row>
    <row r="1473" customFormat="false" ht="15" hidden="false" customHeight="false" outlineLevel="0" collapsed="false">
      <c r="A1473" s="1" t="s">
        <v>2617</v>
      </c>
      <c r="B1473" s="1" t="s">
        <v>158</v>
      </c>
      <c r="C1473" s="1" t="s">
        <v>1153</v>
      </c>
      <c r="D1473" s="1" t="n">
        <v>93</v>
      </c>
      <c r="E1473" s="48" t="str">
        <f aca="false">IF('RAW QHH'!A93="","",'RAW QHH'!A93)</f>
        <v>Grief Support Group</v>
      </c>
      <c r="F1473" s="48" t="str">
        <f aca="false">IF('RAW QHH'!B93="","",'RAW QHH'!B93)</f>
        <v>CHIS - Support</v>
      </c>
      <c r="G1473" s="49" t="str">
        <f aca="false">IF('RAW QHH'!C93="","",'RAW QHH'!C93)</f>
        <v>24-Nov-2025</v>
      </c>
      <c r="H1473" s="48" t="str">
        <f aca="false">IF('RAW QHH'!D93="","",'RAW QHH'!D93)</f>
        <v>Clinical Social Worker</v>
      </c>
      <c r="I1473" s="48" t="n">
        <f aca="false">IF('RAW QHH'!E93="","",'RAW QHH'!E93)</f>
        <v>2</v>
      </c>
      <c r="J1473" s="48" t="str">
        <f aca="false">IF('RAW QHH'!F93="","",'RAW QHH'!F93)</f>
        <v/>
      </c>
      <c r="K1473" s="50" t="n">
        <f aca="false">IF('RAW QHH'!G93="","",'RAW QHH'!G93)</f>
        <v>0</v>
      </c>
      <c r="L1473" s="50" t="n">
        <f aca="false">IF('RAW QHH'!H93="","",'RAW QHH'!H93)</f>
        <v>0</v>
      </c>
      <c r="M1473" s="48" t="str">
        <f aca="false">IF('RAW QHH'!I93="","",'RAW QHH'!I93)</f>
        <v/>
      </c>
    </row>
    <row r="1474" customFormat="false" ht="15" hidden="false" customHeight="false" outlineLevel="0" collapsed="false">
      <c r="A1474" s="1" t="s">
        <v>2618</v>
      </c>
      <c r="B1474" s="1" t="s">
        <v>158</v>
      </c>
      <c r="C1474" s="1" t="s">
        <v>1153</v>
      </c>
      <c r="D1474" s="1" t="n">
        <v>94</v>
      </c>
      <c r="E1474" s="48" t="str">
        <f aca="false">IF('RAW QHH'!A94="","",'RAW QHH'!A94)</f>
        <v>Diabetes Prevention Program</v>
      </c>
      <c r="F1474" s="48" t="str">
        <f aca="false">IF('RAW QHH'!B94="","",'RAW QHH'!B94)</f>
        <v>CHIS - Education</v>
      </c>
      <c r="G1474" s="49" t="str">
        <f aca="false">IF('RAW QHH'!C94="","",'RAW QHH'!C94)</f>
        <v>25-Nov-2025</v>
      </c>
      <c r="H1474" s="48" t="str">
        <f aca="false">IF('RAW QHH'!D94="","",'RAW QHH'!D94)</f>
        <v>Wellness Educator</v>
      </c>
      <c r="I1474" s="48" t="n">
        <f aca="false">IF('RAW QHH'!E94="","",'RAW QHH'!E94)</f>
        <v>2.25</v>
      </c>
      <c r="J1474" s="48" t="n">
        <f aca="false">IF('RAW QHH'!F94="","",'RAW QHH'!F94)</f>
        <v>10</v>
      </c>
      <c r="K1474" s="50" t="n">
        <f aca="false">IF('RAW QHH'!G94="","",'RAW QHH'!G94)</f>
        <v>95</v>
      </c>
      <c r="L1474" s="50" t="n">
        <f aca="false">IF('RAW QHH'!H94="","",'RAW QHH'!H94)</f>
        <v>0</v>
      </c>
      <c r="M1474" s="48" t="str">
        <f aca="false">IF('RAW QHH'!I94="","",'RAW QHH'!I94)</f>
        <v/>
      </c>
    </row>
    <row r="1475" customFormat="false" ht="15" hidden="false" customHeight="false" outlineLevel="0" collapsed="false">
      <c r="A1475" s="1" t="s">
        <v>2619</v>
      </c>
      <c r="B1475" s="1" t="s">
        <v>158</v>
      </c>
      <c r="C1475" s="1" t="s">
        <v>1153</v>
      </c>
      <c r="D1475" s="1" t="n">
        <v>95</v>
      </c>
      <c r="E1475" s="48" t="str">
        <f aca="false">IF('RAW QHH'!A95="","",'RAW QHH'!A95)</f>
        <v>Diabetes Prevention Program</v>
      </c>
      <c r="F1475" s="48" t="str">
        <f aca="false">IF('RAW QHH'!B95="","",'RAW QHH'!B95)</f>
        <v>CHIS - Education</v>
      </c>
      <c r="G1475" s="49" t="str">
        <f aca="false">IF('RAW QHH'!C95="","",'RAW QHH'!C95)</f>
        <v>25-Nov-2025</v>
      </c>
      <c r="H1475" s="48" t="str">
        <f aca="false">IF('RAW QHH'!D95="","",'RAW QHH'!D95)</f>
        <v>RDN</v>
      </c>
      <c r="I1475" s="48" t="n">
        <f aca="false">IF('RAW QHH'!E95="","",'RAW QHH'!E95)</f>
        <v>2</v>
      </c>
      <c r="J1475" s="48" t="str">
        <f aca="false">IF('RAW QHH'!F95="","",'RAW QHH'!F95)</f>
        <v/>
      </c>
      <c r="K1475" s="50" t="n">
        <f aca="false">IF('RAW QHH'!G95="","",'RAW QHH'!G95)</f>
        <v>0</v>
      </c>
      <c r="L1475" s="50" t="n">
        <f aca="false">IF('RAW QHH'!H95="","",'RAW QHH'!H95)</f>
        <v>0</v>
      </c>
      <c r="M1475" s="48" t="str">
        <f aca="false">IF('RAW QHH'!I95="","",'RAW QHH'!I95)</f>
        <v/>
      </c>
    </row>
    <row r="1476" customFormat="false" ht="15" hidden="false" customHeight="false" outlineLevel="0" collapsed="false">
      <c r="A1476" s="1" t="s">
        <v>2620</v>
      </c>
      <c r="B1476" s="1" t="s">
        <v>158</v>
      </c>
      <c r="C1476" s="1" t="s">
        <v>1153</v>
      </c>
      <c r="D1476" s="1" t="n">
        <v>96</v>
      </c>
      <c r="E1476" s="48" t="str">
        <f aca="false">IF('RAW QHH'!A96="","",'RAW QHH'!A96)</f>
        <v>Medication Assistance</v>
      </c>
      <c r="F1476" s="48" t="str">
        <f aca="false">IF('RAW QHH'!B96="","",'RAW QHH'!B96)</f>
        <v>CHIS - Support</v>
      </c>
      <c r="G1476" s="49" t="str">
        <f aca="false">IF('RAW QHH'!C96="","",'RAW QHH'!C96)</f>
        <v>30-Nov-2025</v>
      </c>
      <c r="H1476" s="48" t="str">
        <f aca="false">IF('RAW QHH'!D96="","",'RAW QHH'!D96)</f>
        <v>Care Navigator</v>
      </c>
      <c r="I1476" s="48" t="n">
        <f aca="false">IF('RAW QHH'!E96="","",'RAW QHH'!E96)</f>
        <v>71.25</v>
      </c>
      <c r="J1476" s="48" t="str">
        <f aca="false">IF('RAW QHH'!F96="","",'RAW QHH'!F96)</f>
        <v/>
      </c>
      <c r="K1476" s="50" t="n">
        <f aca="false">IF('RAW QHH'!G96="","",'RAW QHH'!G96)</f>
        <v>0</v>
      </c>
      <c r="L1476" s="50" t="n">
        <f aca="false">IF('RAW QHH'!H96="","",'RAW QHH'!H96)</f>
        <v>0</v>
      </c>
      <c r="M1476" s="48" t="str">
        <f aca="false">IF('RAW QHH'!I96="","",'RAW QHH'!I96)</f>
        <v/>
      </c>
    </row>
    <row r="1477" customFormat="false" ht="15" hidden="false" customHeight="false" outlineLevel="0" collapsed="false">
      <c r="A1477" s="1" t="s">
        <v>2621</v>
      </c>
      <c r="B1477" s="1" t="s">
        <v>158</v>
      </c>
      <c r="C1477" s="1" t="s">
        <v>1153</v>
      </c>
      <c r="D1477" s="1" t="n">
        <v>97</v>
      </c>
      <c r="E1477" s="48" t="str">
        <f aca="false">IF('RAW QHH'!A97="","",'RAW QHH'!A97)</f>
        <v>Medication Assistance</v>
      </c>
      <c r="F1477" s="48" t="str">
        <f aca="false">IF('RAW QHH'!B97="","",'RAW QHH'!B97)</f>
        <v>CHIS - Support</v>
      </c>
      <c r="G1477" s="49" t="str">
        <f aca="false">IF('RAW QHH'!C97="","",'RAW QHH'!C97)</f>
        <v>30-Nov-2025</v>
      </c>
      <c r="H1477" s="48" t="str">
        <f aca="false">IF('RAW QHH'!D97="","",'RAW QHH'!D97)</f>
        <v>Staff Pharmacist</v>
      </c>
      <c r="I1477" s="48" t="n">
        <f aca="false">IF('RAW QHH'!E97="","",'RAW QHH'!E97)</f>
        <v>21</v>
      </c>
      <c r="J1477" s="48" t="n">
        <f aca="false">IF('RAW QHH'!F97="","",'RAW QHH'!F97)</f>
        <v>105</v>
      </c>
      <c r="K1477" s="50" t="n">
        <f aca="false">IF('RAW QHH'!G97="","",'RAW QHH'!G97)</f>
        <v>14115</v>
      </c>
      <c r="L1477" s="50" t="n">
        <f aca="false">IF('RAW QHH'!H97="","",'RAW QHH'!H97)</f>
        <v>0</v>
      </c>
      <c r="M1477" s="48" t="str">
        <f aca="false">IF('RAW QHH'!I97="","",'RAW QHH'!I97)</f>
        <v/>
      </c>
    </row>
    <row r="1478" customFormat="false" ht="15" hidden="false" customHeight="false" outlineLevel="0" collapsed="false">
      <c r="A1478" s="1" t="s">
        <v>2622</v>
      </c>
      <c r="B1478" s="1" t="s">
        <v>158</v>
      </c>
      <c r="C1478" s="1" t="s">
        <v>1153</v>
      </c>
      <c r="D1478" s="1" t="n">
        <v>98</v>
      </c>
      <c r="E1478" s="48" t="str">
        <f aca="false">IF('RAW QHH'!A98="","",'RAW QHH'!A98)</f>
        <v>Community Benefit Admin.</v>
      </c>
      <c r="F1478" s="48" t="str">
        <f aca="false">IF('RAW QHH'!B98="","",'RAW QHH'!B98)</f>
        <v>CBO</v>
      </c>
      <c r="G1478" s="49" t="str">
        <f aca="false">IF('RAW QHH'!C98="","",'RAW QHH'!C98)</f>
        <v>30-Nov-2025</v>
      </c>
      <c r="H1478" s="48" t="str">
        <f aca="false">IF('RAW QHH'!D98="","",'RAW QHH'!D98)</f>
        <v>Office Coordinator</v>
      </c>
      <c r="I1478" s="48" t="n">
        <f aca="false">IF('RAW QHH'!E98="","",'RAW QHH'!E98)</f>
        <v>29.75</v>
      </c>
      <c r="J1478" s="48" t="str">
        <f aca="false">IF('RAW QHH'!F98="","",'RAW QHH'!F98)</f>
        <v/>
      </c>
      <c r="K1478" s="50" t="n">
        <f aca="false">IF('RAW QHH'!G98="","",'RAW QHH'!G98)</f>
        <v>0</v>
      </c>
      <c r="L1478" s="50" t="n">
        <f aca="false">IF('RAW QHH'!H98="","",'RAW QHH'!H98)</f>
        <v>0</v>
      </c>
      <c r="M1478" s="48" t="str">
        <f aca="false">IF('RAW QHH'!I98="","",'RAW QHH'!I98)</f>
        <v/>
      </c>
    </row>
    <row r="1479" customFormat="false" ht="15" hidden="false" customHeight="false" outlineLevel="0" collapsed="false">
      <c r="A1479" s="1" t="s">
        <v>2623</v>
      </c>
      <c r="B1479" s="1" t="s">
        <v>158</v>
      </c>
      <c r="C1479" s="1" t="s">
        <v>1153</v>
      </c>
      <c r="D1479" s="1" t="n">
        <v>99</v>
      </c>
      <c r="E1479" s="48" t="str">
        <f aca="false">IF('RAW QHH'!A99="","",'RAW QHH'!A99)</f>
        <v>Community Benefit Admin.</v>
      </c>
      <c r="F1479" s="48" t="str">
        <f aca="false">IF('RAW QHH'!B99="","",'RAW QHH'!B99)</f>
        <v>CBO</v>
      </c>
      <c r="G1479" s="49" t="str">
        <f aca="false">IF('RAW QHH'!C99="","",'RAW QHH'!C99)</f>
        <v>30-Nov-2025</v>
      </c>
      <c r="H1479" s="48" t="str">
        <f aca="false">IF('RAW QHH'!D99="","",'RAW QHH'!D99)</f>
        <v>Manager Community Benefit</v>
      </c>
      <c r="I1479" s="48" t="n">
        <f aca="false">IF('RAW QHH'!E99="","",'RAW QHH'!E99)</f>
        <v>50</v>
      </c>
      <c r="J1479" s="48" t="str">
        <f aca="false">IF('RAW QHH'!F99="","",'RAW QHH'!F99)</f>
        <v/>
      </c>
      <c r="K1479" s="50" t="n">
        <f aca="false">IF('RAW QHH'!G99="","",'RAW QHH'!G99)</f>
        <v>500</v>
      </c>
      <c r="L1479" s="50" t="n">
        <f aca="false">IF('RAW QHH'!H99="","",'RAW QHH'!H99)</f>
        <v>0</v>
      </c>
      <c r="M1479" s="48" t="str">
        <f aca="false">IF('RAW QHH'!I99="","",'RAW QHH'!I99)</f>
        <v/>
      </c>
    </row>
    <row r="1480" customFormat="false" ht="15" hidden="false" customHeight="false" outlineLevel="0" collapsed="false">
      <c r="A1480" s="1" t="s">
        <v>2624</v>
      </c>
      <c r="B1480" s="1" t="s">
        <v>158</v>
      </c>
      <c r="C1480" s="1" t="s">
        <v>1153</v>
      </c>
      <c r="D1480" s="1" t="n">
        <v>100</v>
      </c>
      <c r="E1480" s="48" t="str">
        <f aca="false">IF('RAW QHH'!A100="","",'RAW QHH'!A100)</f>
        <v>Community Paramedicine</v>
      </c>
      <c r="F1480" s="48" t="str">
        <f aca="false">IF('RAW QHH'!B100="","",'RAW QHH'!B100)</f>
        <v>CHIS - Clinical</v>
      </c>
      <c r="G1480" s="49" t="str">
        <f aca="false">IF('RAW QHH'!C100="","",'RAW QHH'!C100)</f>
        <v>30-Nov-2025</v>
      </c>
      <c r="H1480" s="48" t="str">
        <f aca="false">IF('RAW QHH'!D100="","",'RAW QHH'!D100)</f>
        <v>Paramedic</v>
      </c>
      <c r="I1480" s="48" t="n">
        <f aca="false">IF('RAW QHH'!E100="","",'RAW QHH'!E100)</f>
        <v>69</v>
      </c>
      <c r="J1480" s="48" t="n">
        <f aca="false">IF('RAW QHH'!F100="","",'RAW QHH'!F100)</f>
        <v>69</v>
      </c>
      <c r="K1480" s="50" t="n">
        <f aca="false">IF('RAW QHH'!G100="","",'RAW QHH'!G100)</f>
        <v>625</v>
      </c>
      <c r="L1480" s="50" t="n">
        <f aca="false">IF('RAW QHH'!H100="","",'RAW QHH'!H100)</f>
        <v>0</v>
      </c>
      <c r="M1480" s="48" t="str">
        <f aca="false">IF('RAW QHH'!I100="","",'RAW QHH'!I100)</f>
        <v/>
      </c>
    </row>
    <row r="1481" customFormat="false" ht="15" hidden="false" customHeight="false" outlineLevel="0" collapsed="false">
      <c r="A1481" s="1" t="s">
        <v>2625</v>
      </c>
      <c r="B1481" s="1" t="s">
        <v>158</v>
      </c>
      <c r="C1481" s="1" t="s">
        <v>1153</v>
      </c>
      <c r="D1481" s="1" t="n">
        <v>101</v>
      </c>
      <c r="E1481" s="48" t="str">
        <f aca="false">IF('RAW QHH'!A101="","",'RAW QHH'!A101)</f>
        <v>Nursing Clinical Rotations</v>
      </c>
      <c r="F1481" s="48" t="str">
        <f aca="false">IF('RAW QHH'!B101="","",'RAW QHH'!B101)</f>
        <v>HPE - Students</v>
      </c>
      <c r="G1481" s="49" t="str">
        <f aca="false">IF('RAW QHH'!C101="","",'RAW QHH'!C101)</f>
        <v>30-Nov-2025</v>
      </c>
      <c r="H1481" s="48" t="str">
        <f aca="false">IF('RAW QHH'!D101="","",'RAW QHH'!D101)</f>
        <v>Educator, Nursing</v>
      </c>
      <c r="I1481" s="48" t="n">
        <f aca="false">IF('RAW QHH'!E101="","",'RAW QHH'!E101)</f>
        <v>91.5</v>
      </c>
      <c r="J1481" s="48" t="n">
        <f aca="false">IF('RAW QHH'!F101="","",'RAW QHH'!F101)</f>
        <v>28</v>
      </c>
      <c r="K1481" s="50" t="n">
        <f aca="false">IF('RAW QHH'!G101="","",'RAW QHH'!G101)</f>
        <v>820</v>
      </c>
      <c r="L1481" s="50" t="n">
        <f aca="false">IF('RAW QHH'!H101="","",'RAW QHH'!H101)</f>
        <v>0</v>
      </c>
      <c r="M1481" s="48" t="str">
        <f aca="false">IF('RAW QHH'!I101="","",'RAW QHH'!I101)</f>
        <v/>
      </c>
    </row>
    <row r="1482" customFormat="false" ht="15" hidden="false" customHeight="false" outlineLevel="0" collapsed="false">
      <c r="A1482" s="1" t="s">
        <v>2626</v>
      </c>
      <c r="B1482" s="1" t="s">
        <v>158</v>
      </c>
      <c r="C1482" s="1" t="s">
        <v>1153</v>
      </c>
      <c r="D1482" s="1" t="n">
        <v>102</v>
      </c>
      <c r="E1482" s="48" t="str">
        <f aca="false">IF('RAW QHH'!A102="","",'RAW QHH'!A102)</f>
        <v>Nursing Clinical Rotations</v>
      </c>
      <c r="F1482" s="48" t="str">
        <f aca="false">IF('RAW QHH'!B102="","",'RAW QHH'!B102)</f>
        <v>HPE - Students</v>
      </c>
      <c r="G1482" s="49" t="str">
        <f aca="false">IF('RAW QHH'!C102="","",'RAW QHH'!C102)</f>
        <v>30-Nov-2025</v>
      </c>
      <c r="H1482" s="48" t="str">
        <f aca="false">IF('RAW QHH'!D102="","",'RAW QHH'!D102)</f>
        <v>Clinical RN</v>
      </c>
      <c r="I1482" s="48" t="n">
        <f aca="false">IF('RAW QHH'!E102="","",'RAW QHH'!E102)</f>
        <v>162.5</v>
      </c>
      <c r="J1482" s="48" t="str">
        <f aca="false">IF('RAW QHH'!F102="","",'RAW QHH'!F102)</f>
        <v/>
      </c>
      <c r="K1482" s="50" t="n">
        <f aca="false">IF('RAW QHH'!G102="","",'RAW QHH'!G102)</f>
        <v>0</v>
      </c>
      <c r="L1482" s="50" t="n">
        <f aca="false">IF('RAW QHH'!H102="","",'RAW QHH'!H102)</f>
        <v>0</v>
      </c>
      <c r="M1482" s="48" t="str">
        <f aca="false">IF('RAW QHH'!I102="","",'RAW QHH'!I102)</f>
        <v/>
      </c>
    </row>
    <row r="1483" customFormat="false" ht="15" hidden="false" customHeight="false" outlineLevel="0" collapsed="false">
      <c r="A1483" s="1" t="s">
        <v>2627</v>
      </c>
      <c r="B1483" s="1" t="s">
        <v>158</v>
      </c>
      <c r="C1483" s="1" t="s">
        <v>1153</v>
      </c>
      <c r="D1483" s="1" t="n">
        <v>103</v>
      </c>
      <c r="E1483" s="48" t="str">
        <f aca="false">IF('RAW QHH'!A103="","",'RAW QHH'!A103)</f>
        <v>Regional Coalition</v>
      </c>
      <c r="F1483" s="48" t="str">
        <f aca="false">IF('RAW QHH'!B103="","",'RAW QHH'!B103)</f>
        <v>Coalition (CB)</v>
      </c>
      <c r="G1483" s="49" t="str">
        <f aca="false">IF('RAW QHH'!C103="","",'RAW QHH'!C103)</f>
        <v>03-Dec-2025</v>
      </c>
      <c r="H1483" s="48" t="str">
        <f aca="false">IF('RAW QHH'!D103="","",'RAW QHH'!D103)</f>
        <v>Manager Community Benefit</v>
      </c>
      <c r="I1483" s="48" t="n">
        <f aca="false">IF('RAW QHH'!E103="","",'RAW QHH'!E103)</f>
        <v>2.75</v>
      </c>
      <c r="J1483" s="48" t="str">
        <f aca="false">IF('RAW QHH'!F103="","",'RAW QHH'!F103)</f>
        <v/>
      </c>
      <c r="K1483" s="50" t="n">
        <f aca="false">IF('RAW QHH'!G103="","",'RAW QHH'!G103)</f>
        <v>0</v>
      </c>
      <c r="L1483" s="50" t="n">
        <f aca="false">IF('RAW QHH'!H103="","",'RAW QHH'!H103)</f>
        <v>0</v>
      </c>
      <c r="M1483" s="48" t="str">
        <f aca="false">IF('RAW QHH'!I103="","",'RAW QHH'!I103)</f>
        <v/>
      </c>
    </row>
    <row r="1484" customFormat="false" ht="15" hidden="false" customHeight="false" outlineLevel="0" collapsed="false">
      <c r="A1484" s="1" t="s">
        <v>2628</v>
      </c>
      <c r="B1484" s="1" t="s">
        <v>158</v>
      </c>
      <c r="C1484" s="1" t="s">
        <v>1153</v>
      </c>
      <c r="D1484" s="1" t="n">
        <v>104</v>
      </c>
      <c r="E1484" s="48" t="str">
        <f aca="false">IF('RAW QHH'!A104="","",'RAW QHH'!A104)</f>
        <v>Regional Coalition</v>
      </c>
      <c r="F1484" s="48" t="str">
        <f aca="false">IF('RAW QHH'!B104="","",'RAW QHH'!B104)</f>
        <v>Coalition (CB)</v>
      </c>
      <c r="G1484" s="49" t="str">
        <f aca="false">IF('RAW QHH'!C104="","",'RAW QHH'!C104)</f>
        <v>03-Dec-2025</v>
      </c>
      <c r="H1484" s="48" t="str">
        <f aca="false">IF('RAW QHH'!D104="","",'RAW QHH'!D104)</f>
        <v>Executive Director</v>
      </c>
      <c r="I1484" s="48" t="n">
        <f aca="false">IF('RAW QHH'!E104="","",'RAW QHH'!E104)</f>
        <v>2.75</v>
      </c>
      <c r="J1484" s="48" t="str">
        <f aca="false">IF('RAW QHH'!F104="","",'RAW QHH'!F104)</f>
        <v/>
      </c>
      <c r="K1484" s="50" t="n">
        <f aca="false">IF('RAW QHH'!G104="","",'RAW QHH'!G104)</f>
        <v>45</v>
      </c>
      <c r="L1484" s="50" t="n">
        <f aca="false">IF('RAW QHH'!H104="","",'RAW QHH'!H104)</f>
        <v>0</v>
      </c>
      <c r="M1484" s="48" t="str">
        <f aca="false">IF('RAW QHH'!I104="","",'RAW QHH'!I104)</f>
        <v/>
      </c>
    </row>
    <row r="1485" customFormat="false" ht="15" hidden="false" customHeight="false" outlineLevel="0" collapsed="false">
      <c r="A1485" s="1" t="s">
        <v>2629</v>
      </c>
      <c r="B1485" s="1" t="s">
        <v>158</v>
      </c>
      <c r="C1485" s="1" t="s">
        <v>1153</v>
      </c>
      <c r="D1485" s="1" t="n">
        <v>105</v>
      </c>
      <c r="E1485" s="48" t="str">
        <f aca="false">IF('RAW QHH'!A105="","",'RAW QHH'!A105)</f>
        <v>Youth Pathway Program</v>
      </c>
      <c r="F1485" s="48" t="str">
        <f aca="false">IF('RAW QHH'!B105="","",'RAW QHH'!B105)</f>
        <v>Workforce Dev (CB)</v>
      </c>
      <c r="G1485" s="49" t="str">
        <f aca="false">IF('RAW QHH'!C105="","",'RAW QHH'!C105)</f>
        <v>08-Dec-2025</v>
      </c>
      <c r="H1485" s="48" t="str">
        <f aca="false">IF('RAW QHH'!D105="","",'RAW QHH'!D105)</f>
        <v>RN Educator</v>
      </c>
      <c r="I1485" s="48" t="n">
        <f aca="false">IF('RAW QHH'!E105="","",'RAW QHH'!E105)</f>
        <v>4.5</v>
      </c>
      <c r="J1485" s="48" t="str">
        <f aca="false">IF('RAW QHH'!F105="","",'RAW QHH'!F105)</f>
        <v/>
      </c>
      <c r="K1485" s="50" t="n">
        <f aca="false">IF('RAW QHH'!G105="","",'RAW QHH'!G105)</f>
        <v>0</v>
      </c>
      <c r="L1485" s="50" t="n">
        <f aca="false">IF('RAW QHH'!H105="","",'RAW QHH'!H105)</f>
        <v>0</v>
      </c>
      <c r="M1485" s="48" t="str">
        <f aca="false">IF('RAW QHH'!I105="","",'RAW QHH'!I105)</f>
        <v/>
      </c>
    </row>
    <row r="1486" customFormat="false" ht="15" hidden="false" customHeight="false" outlineLevel="0" collapsed="false">
      <c r="A1486" s="1" t="s">
        <v>2630</v>
      </c>
      <c r="B1486" s="1" t="s">
        <v>158</v>
      </c>
      <c r="C1486" s="1" t="s">
        <v>1153</v>
      </c>
      <c r="D1486" s="1" t="n">
        <v>106</v>
      </c>
      <c r="E1486" s="48" t="str">
        <f aca="false">IF('RAW QHH'!A106="","",'RAW QHH'!A106)</f>
        <v>Youth Pathway Program</v>
      </c>
      <c r="F1486" s="48" t="str">
        <f aca="false">IF('RAW QHH'!B106="","",'RAW QHH'!B106)</f>
        <v>Workforce Dev (CB)</v>
      </c>
      <c r="G1486" s="49" t="str">
        <f aca="false">IF('RAW QHH'!C106="","",'RAW QHH'!C106)</f>
        <v>08-Dec-2025</v>
      </c>
      <c r="H1486" s="48" t="str">
        <f aca="false">IF('RAW QHH'!D106="","",'RAW QHH'!D106)</f>
        <v>Program Coordinator</v>
      </c>
      <c r="I1486" s="48" t="n">
        <f aca="false">IF('RAW QHH'!E106="","",'RAW QHH'!E106)</f>
        <v>6.25</v>
      </c>
      <c r="J1486" s="48" t="n">
        <f aca="false">IF('RAW QHH'!F106="","",'RAW QHH'!F106)</f>
        <v>35</v>
      </c>
      <c r="K1486" s="50" t="n">
        <f aca="false">IF('RAW QHH'!G106="","",'RAW QHH'!G106)</f>
        <v>700</v>
      </c>
      <c r="L1486" s="50" t="n">
        <f aca="false">IF('RAW QHH'!H106="","",'RAW QHH'!H106)</f>
        <v>0</v>
      </c>
      <c r="M1486" s="48" t="str">
        <f aca="false">IF('RAW QHH'!I106="","",'RAW QHH'!I106)</f>
        <v/>
      </c>
    </row>
    <row r="1487" customFormat="false" ht="15" hidden="false" customHeight="false" outlineLevel="0" collapsed="false">
      <c r="A1487" s="1" t="s">
        <v>2631</v>
      </c>
      <c r="B1487" s="1" t="s">
        <v>158</v>
      </c>
      <c r="C1487" s="1" t="s">
        <v>1153</v>
      </c>
      <c r="D1487" s="1" t="n">
        <v>107</v>
      </c>
      <c r="E1487" s="48" t="str">
        <f aca="false">IF('RAW QHH'!A107="","",'RAW QHH'!A107)</f>
        <v>Grief Support Group</v>
      </c>
      <c r="F1487" s="48" t="str">
        <f aca="false">IF('RAW QHH'!B107="","",'RAW QHH'!B107)</f>
        <v>CHIS - Support</v>
      </c>
      <c r="G1487" s="49" t="str">
        <f aca="false">IF('RAW QHH'!C107="","",'RAW QHH'!C107)</f>
        <v>11-Dec-2025</v>
      </c>
      <c r="H1487" s="48" t="str">
        <f aca="false">IF('RAW QHH'!D107="","",'RAW QHH'!D107)</f>
        <v>Chaplain Resident</v>
      </c>
      <c r="I1487" s="48" t="n">
        <f aca="false">IF('RAW QHH'!E107="","",'RAW QHH'!E107)</f>
        <v>2.5</v>
      </c>
      <c r="J1487" s="48" t="n">
        <f aca="false">IF('RAW QHH'!F107="","",'RAW QHH'!F107)</f>
        <v>8</v>
      </c>
      <c r="K1487" s="50" t="n">
        <f aca="false">IF('RAW QHH'!G107="","",'RAW QHH'!G107)</f>
        <v>50</v>
      </c>
      <c r="L1487" s="50" t="n">
        <f aca="false">IF('RAW QHH'!H107="","",'RAW QHH'!H107)</f>
        <v>0</v>
      </c>
      <c r="M1487" s="48" t="str">
        <f aca="false">IF('RAW QHH'!I107="","",'RAW QHH'!I107)</f>
        <v/>
      </c>
    </row>
    <row r="1488" customFormat="false" ht="15" hidden="false" customHeight="false" outlineLevel="0" collapsed="false">
      <c r="A1488" s="1" t="s">
        <v>2632</v>
      </c>
      <c r="B1488" s="1" t="s">
        <v>158</v>
      </c>
      <c r="C1488" s="1" t="s">
        <v>1153</v>
      </c>
      <c r="D1488" s="1" t="n">
        <v>108</v>
      </c>
      <c r="E1488" s="48" t="str">
        <f aca="false">IF('RAW QHH'!A108="","",'RAW QHH'!A108)</f>
        <v>Grief Support Group</v>
      </c>
      <c r="F1488" s="48" t="str">
        <f aca="false">IF('RAW QHH'!B108="","",'RAW QHH'!B108)</f>
        <v>CHIS - Support</v>
      </c>
      <c r="G1488" s="49" t="str">
        <f aca="false">IF('RAW QHH'!C108="","",'RAW QHH'!C108)</f>
        <v>11-Dec-2025</v>
      </c>
      <c r="H1488" s="48" t="str">
        <f aca="false">IF('RAW QHH'!D108="","",'RAW QHH'!D108)</f>
        <v>Clinical Social Worker</v>
      </c>
      <c r="I1488" s="48" t="n">
        <f aca="false">IF('RAW QHH'!E108="","",'RAW QHH'!E108)</f>
        <v>1.75</v>
      </c>
      <c r="J1488" s="48" t="str">
        <f aca="false">IF('RAW QHH'!F108="","",'RAW QHH'!F108)</f>
        <v/>
      </c>
      <c r="K1488" s="50" t="n">
        <f aca="false">IF('RAW QHH'!G108="","",'RAW QHH'!G108)</f>
        <v>0</v>
      </c>
      <c r="L1488" s="50" t="n">
        <f aca="false">IF('RAW QHH'!H108="","",'RAW QHH'!H108)</f>
        <v>0</v>
      </c>
      <c r="M1488" s="48" t="str">
        <f aca="false">IF('RAW QHH'!I108="","",'RAW QHH'!I108)</f>
        <v/>
      </c>
    </row>
    <row r="1489" customFormat="false" ht="15" hidden="false" customHeight="false" outlineLevel="0" collapsed="false">
      <c r="A1489" s="1" t="s">
        <v>2633</v>
      </c>
      <c r="B1489" s="1" t="s">
        <v>158</v>
      </c>
      <c r="C1489" s="1" t="s">
        <v>1153</v>
      </c>
      <c r="D1489" s="1" t="n">
        <v>109</v>
      </c>
      <c r="E1489" s="48" t="str">
        <f aca="false">IF('RAW QHH'!A109="","",'RAW QHH'!A109)</f>
        <v>Sports Physicals</v>
      </c>
      <c r="F1489" s="48" t="str">
        <f aca="false">IF('RAW QHH'!B109="","",'RAW QHH'!B109)</f>
        <v>CHIS - Clinical</v>
      </c>
      <c r="G1489" s="49" t="str">
        <f aca="false">IF('RAW QHH'!C109="","",'RAW QHH'!C109)</f>
        <v>11-Dec-2025</v>
      </c>
      <c r="H1489" s="48" t="str">
        <f aca="false">IF('RAW QHH'!D109="","",'RAW QHH'!D109)</f>
        <v>CMA</v>
      </c>
      <c r="I1489" s="48" t="n">
        <f aca="false">IF('RAW QHH'!E109="","",'RAW QHH'!E109)</f>
        <v>4.5</v>
      </c>
      <c r="J1489" s="48" t="str">
        <f aca="false">IF('RAW QHH'!F109="","",'RAW QHH'!F109)</f>
        <v/>
      </c>
      <c r="K1489" s="50" t="n">
        <f aca="false">IF('RAW QHH'!G109="","",'RAW QHH'!G109)</f>
        <v>0</v>
      </c>
      <c r="L1489" s="50" t="n">
        <f aca="false">IF('RAW QHH'!H109="","",'RAW QHH'!H109)</f>
        <v>0</v>
      </c>
      <c r="M1489" s="48" t="str">
        <f aca="false">IF('RAW QHH'!I109="","",'RAW QHH'!I109)</f>
        <v/>
      </c>
    </row>
    <row r="1490" customFormat="false" ht="15" hidden="false" customHeight="false" outlineLevel="0" collapsed="false">
      <c r="A1490" s="1" t="s">
        <v>2634</v>
      </c>
      <c r="B1490" s="1" t="s">
        <v>158</v>
      </c>
      <c r="C1490" s="1" t="s">
        <v>1153</v>
      </c>
      <c r="D1490" s="1" t="n">
        <v>110</v>
      </c>
      <c r="E1490" s="48" t="str">
        <f aca="false">IF('RAW QHH'!A110="","",'RAW QHH'!A110)</f>
        <v>Sports Physicals</v>
      </c>
      <c r="F1490" s="48" t="str">
        <f aca="false">IF('RAW QHH'!B110="","",'RAW QHH'!B110)</f>
        <v>CHIS - Clinical</v>
      </c>
      <c r="G1490" s="49" t="str">
        <f aca="false">IF('RAW QHH'!C110="","",'RAW QHH'!C110)</f>
        <v>11-Dec-2025</v>
      </c>
      <c r="H1490" s="48" t="str">
        <f aca="false">IF('RAW QHH'!D110="","",'RAW QHH'!D110)</f>
        <v>Family NP</v>
      </c>
      <c r="I1490" s="48" t="n">
        <f aca="false">IF('RAW QHH'!E110="","",'RAW QHH'!E110)</f>
        <v>4.75</v>
      </c>
      <c r="J1490" s="48" t="str">
        <f aca="false">IF('RAW QHH'!F110="","",'RAW QHH'!F110)</f>
        <v/>
      </c>
      <c r="K1490" s="50" t="n">
        <f aca="false">IF('RAW QHH'!G110="","",'RAW QHH'!G110)</f>
        <v>0</v>
      </c>
      <c r="L1490" s="50" t="n">
        <f aca="false">IF('RAW QHH'!H110="","",'RAW QHH'!H110)</f>
        <v>0</v>
      </c>
      <c r="M1490" s="48" t="str">
        <f aca="false">IF('RAW QHH'!I110="","",'RAW QHH'!I110)</f>
        <v/>
      </c>
    </row>
    <row r="1491" customFormat="false" ht="15" hidden="false" customHeight="false" outlineLevel="0" collapsed="false">
      <c r="A1491" s="1" t="s">
        <v>2635</v>
      </c>
      <c r="B1491" s="1" t="s">
        <v>158</v>
      </c>
      <c r="C1491" s="1" t="s">
        <v>1153</v>
      </c>
      <c r="D1491" s="1" t="n">
        <v>111</v>
      </c>
      <c r="E1491" s="48" t="str">
        <f aca="false">IF('RAW QHH'!A111="","",'RAW QHH'!A111)</f>
        <v>Sports Physicals</v>
      </c>
      <c r="F1491" s="48" t="str">
        <f aca="false">IF('RAW QHH'!B111="","",'RAW QHH'!B111)</f>
        <v>CHIS - Clinical</v>
      </c>
      <c r="G1491" s="49" t="str">
        <f aca="false">IF('RAW QHH'!C111="","",'RAW QHH'!C111)</f>
        <v>11-Dec-2025</v>
      </c>
      <c r="H1491" s="48" t="str">
        <f aca="false">IF('RAW QHH'!D111="","",'RAW QHH'!D111)</f>
        <v>Faculty Physician</v>
      </c>
      <c r="I1491" s="48" t="n">
        <f aca="false">IF('RAW QHH'!E111="","",'RAW QHH'!E111)</f>
        <v>4.25</v>
      </c>
      <c r="J1491" s="48" t="n">
        <f aca="false">IF('RAW QHH'!F111="","",'RAW QHH'!F111)</f>
        <v>116</v>
      </c>
      <c r="K1491" s="50" t="n">
        <f aca="false">IF('RAW QHH'!G111="","",'RAW QHH'!G111)</f>
        <v>460</v>
      </c>
      <c r="L1491" s="50" t="n">
        <f aca="false">IF('RAW QHH'!H111="","",'RAW QHH'!H111)</f>
        <v>0</v>
      </c>
      <c r="M1491" s="48" t="str">
        <f aca="false">IF('RAW QHH'!I111="","",'RAW QHH'!I111)</f>
        <v/>
      </c>
    </row>
    <row r="1492" customFormat="false" ht="15" hidden="false" customHeight="false" outlineLevel="0" collapsed="false">
      <c r="A1492" s="1" t="s">
        <v>2636</v>
      </c>
      <c r="B1492" s="1" t="s">
        <v>158</v>
      </c>
      <c r="C1492" s="1" t="s">
        <v>1153</v>
      </c>
      <c r="D1492" s="1" t="n">
        <v>112</v>
      </c>
      <c r="E1492" s="48" t="str">
        <f aca="false">IF('RAW QHH'!A112="","",'RAW QHH'!A112)</f>
        <v>Grief Support Group</v>
      </c>
      <c r="F1492" s="48" t="str">
        <f aca="false">IF('RAW QHH'!B112="","",'RAW QHH'!B112)</f>
        <v>CHIS - Support</v>
      </c>
      <c r="G1492" s="49" t="str">
        <f aca="false">IF('RAW QHH'!C112="","",'RAW QHH'!C112)</f>
        <v>16-Dec-2025</v>
      </c>
      <c r="H1492" s="48" t="str">
        <f aca="false">IF('RAW QHH'!D112="","",'RAW QHH'!D112)</f>
        <v>Chaplain Resident</v>
      </c>
      <c r="I1492" s="48" t="n">
        <f aca="false">IF('RAW QHH'!E112="","",'RAW QHH'!E112)</f>
        <v>2</v>
      </c>
      <c r="J1492" s="48" t="n">
        <f aca="false">IF('RAW QHH'!F112="","",'RAW QHH'!F112)</f>
        <v>11</v>
      </c>
      <c r="K1492" s="50" t="n">
        <f aca="false">IF('RAW QHH'!G112="","",'RAW QHH'!G112)</f>
        <v>20</v>
      </c>
      <c r="L1492" s="50" t="n">
        <f aca="false">IF('RAW QHH'!H112="","",'RAW QHH'!H112)</f>
        <v>0</v>
      </c>
      <c r="M1492" s="48" t="str">
        <f aca="false">IF('RAW QHH'!I112="","",'RAW QHH'!I112)</f>
        <v/>
      </c>
    </row>
    <row r="1493" customFormat="false" ht="15" hidden="false" customHeight="false" outlineLevel="0" collapsed="false">
      <c r="A1493" s="1" t="s">
        <v>2637</v>
      </c>
      <c r="B1493" s="1" t="s">
        <v>158</v>
      </c>
      <c r="C1493" s="1" t="s">
        <v>1153</v>
      </c>
      <c r="D1493" s="1" t="n">
        <v>113</v>
      </c>
      <c r="E1493" s="48" t="str">
        <f aca="false">IF('RAW QHH'!A113="","",'RAW QHH'!A113)</f>
        <v>Grief Support Group</v>
      </c>
      <c r="F1493" s="48" t="str">
        <f aca="false">IF('RAW QHH'!B113="","",'RAW QHH'!B113)</f>
        <v>CHIS - Support</v>
      </c>
      <c r="G1493" s="49" t="str">
        <f aca="false">IF('RAW QHH'!C113="","",'RAW QHH'!C113)</f>
        <v>16-Dec-2025</v>
      </c>
      <c r="H1493" s="48" t="str">
        <f aca="false">IF('RAW QHH'!D113="","",'RAW QHH'!D113)</f>
        <v>MSW</v>
      </c>
      <c r="I1493" s="48" t="n">
        <f aca="false">IF('RAW QHH'!E113="","",'RAW QHH'!E113)</f>
        <v>1.75</v>
      </c>
      <c r="J1493" s="48" t="str">
        <f aca="false">IF('RAW QHH'!F113="","",'RAW QHH'!F113)</f>
        <v/>
      </c>
      <c r="K1493" s="50" t="n">
        <f aca="false">IF('RAW QHH'!G113="","",'RAW QHH'!G113)</f>
        <v>0</v>
      </c>
      <c r="L1493" s="50" t="n">
        <f aca="false">IF('RAW QHH'!H113="","",'RAW QHH'!H113)</f>
        <v>0</v>
      </c>
      <c r="M1493" s="48" t="str">
        <f aca="false">IF('RAW QHH'!I113="","",'RAW QHH'!I113)</f>
        <v/>
      </c>
    </row>
    <row r="1494" customFormat="false" ht="15" hidden="false" customHeight="false" outlineLevel="0" collapsed="false">
      <c r="A1494" s="1" t="s">
        <v>2638</v>
      </c>
      <c r="B1494" s="1" t="s">
        <v>158</v>
      </c>
      <c r="C1494" s="1" t="s">
        <v>1153</v>
      </c>
      <c r="D1494" s="1" t="n">
        <v>114</v>
      </c>
      <c r="E1494" s="48" t="str">
        <f aca="false">IF('RAW QHH'!A114="","",'RAW QHH'!A114)</f>
        <v>Grief Support Group</v>
      </c>
      <c r="F1494" s="48" t="str">
        <f aca="false">IF('RAW QHH'!B114="","",'RAW QHH'!B114)</f>
        <v>CHIS - Support</v>
      </c>
      <c r="G1494" s="49" t="str">
        <f aca="false">IF('RAW QHH'!C114="","",'RAW QHH'!C114)</f>
        <v>20-Dec-2025</v>
      </c>
      <c r="H1494" s="48" t="str">
        <f aca="false">IF('RAW QHH'!D114="","",'RAW QHH'!D114)</f>
        <v>Chaplain Resident</v>
      </c>
      <c r="I1494" s="48" t="n">
        <f aca="false">IF('RAW QHH'!E114="","",'RAW QHH'!E114)</f>
        <v>2</v>
      </c>
      <c r="J1494" s="48" t="n">
        <f aca="false">IF('RAW QHH'!F114="","",'RAW QHH'!F114)</f>
        <v>11</v>
      </c>
      <c r="K1494" s="50" t="n">
        <f aca="false">IF('RAW QHH'!G114="","",'RAW QHH'!G114)</f>
        <v>45</v>
      </c>
      <c r="L1494" s="50" t="n">
        <f aca="false">IF('RAW QHH'!H114="","",'RAW QHH'!H114)</f>
        <v>0</v>
      </c>
      <c r="M1494" s="48" t="str">
        <f aca="false">IF('RAW QHH'!I114="","",'RAW QHH'!I114)</f>
        <v/>
      </c>
    </row>
    <row r="1495" customFormat="false" ht="15" hidden="false" customHeight="false" outlineLevel="0" collapsed="false">
      <c r="A1495" s="1" t="s">
        <v>2639</v>
      </c>
      <c r="B1495" s="1" t="s">
        <v>158</v>
      </c>
      <c r="C1495" s="1" t="s">
        <v>1153</v>
      </c>
      <c r="D1495" s="1" t="n">
        <v>115</v>
      </c>
      <c r="E1495" s="48" t="str">
        <f aca="false">IF('RAW QHH'!A115="","",'RAW QHH'!A115)</f>
        <v>Grief Support Group</v>
      </c>
      <c r="F1495" s="48" t="str">
        <f aca="false">IF('RAW QHH'!B115="","",'RAW QHH'!B115)</f>
        <v>CHIS - Support</v>
      </c>
      <c r="G1495" s="49" t="str">
        <f aca="false">IF('RAW QHH'!C115="","",'RAW QHH'!C115)</f>
        <v>20-Dec-2025</v>
      </c>
      <c r="H1495" s="48" t="str">
        <f aca="false">IF('RAW QHH'!D115="","",'RAW QHH'!D115)</f>
        <v>Clinical Social Worker</v>
      </c>
      <c r="I1495" s="48" t="n">
        <f aca="false">IF('RAW QHH'!E115="","",'RAW QHH'!E115)</f>
        <v>1.75</v>
      </c>
      <c r="J1495" s="48" t="str">
        <f aca="false">IF('RAW QHH'!F115="","",'RAW QHH'!F115)</f>
        <v/>
      </c>
      <c r="K1495" s="50" t="n">
        <f aca="false">IF('RAW QHH'!G115="","",'RAW QHH'!G115)</f>
        <v>0</v>
      </c>
      <c r="L1495" s="50" t="n">
        <f aca="false">IF('RAW QHH'!H115="","",'RAW QHH'!H115)</f>
        <v>0</v>
      </c>
      <c r="M1495" s="48" t="str">
        <f aca="false">IF('RAW QHH'!I115="","",'RAW QHH'!I115)</f>
        <v/>
      </c>
    </row>
    <row r="1496" customFormat="false" ht="15" hidden="false" customHeight="false" outlineLevel="0" collapsed="false">
      <c r="A1496" s="1" t="s">
        <v>2640</v>
      </c>
      <c r="B1496" s="1" t="s">
        <v>158</v>
      </c>
      <c r="C1496" s="1" t="s">
        <v>1153</v>
      </c>
      <c r="D1496" s="1" t="n">
        <v>116</v>
      </c>
      <c r="E1496" s="48" t="str">
        <f aca="false">IF('RAW QHH'!A116="","",'RAW QHH'!A116)</f>
        <v>Food Bank Contribution</v>
      </c>
      <c r="F1496" s="48" t="str">
        <f aca="false">IF('RAW QHH'!B116="","",'RAW QHH'!B116)</f>
        <v>Cash Contribution</v>
      </c>
      <c r="G1496" s="49" t="str">
        <f aca="false">IF('RAW QHH'!C116="","",'RAW QHH'!C116)</f>
        <v>23-Dec-2025</v>
      </c>
      <c r="H1496" s="48" t="str">
        <f aca="false">IF('RAW QHH'!D116="","",'RAW QHH'!D116)</f>
        <v> -</v>
      </c>
      <c r="I1496" s="48" t="n">
        <f aca="false">IF('RAW QHH'!E116="","",'RAW QHH'!E116)</f>
        <v>0</v>
      </c>
      <c r="J1496" s="48" t="str">
        <f aca="false">IF('RAW QHH'!F116="","",'RAW QHH'!F116)</f>
        <v/>
      </c>
      <c r="K1496" s="50" t="n">
        <f aca="false">IF('RAW QHH'!G116="","",'RAW QHH'!G116)</f>
        <v>50745</v>
      </c>
      <c r="L1496" s="50" t="n">
        <f aca="false">IF('RAW QHH'!H116="","",'RAW QHH'!H116)</f>
        <v>0</v>
      </c>
      <c r="M1496" s="48" t="str">
        <f aca="false">IF('RAW QHH'!I116="","",'RAW QHH'!I116)</f>
        <v/>
      </c>
    </row>
    <row r="1497" customFormat="false" ht="15" hidden="false" customHeight="false" outlineLevel="0" collapsed="false">
      <c r="A1497" s="1" t="s">
        <v>2641</v>
      </c>
      <c r="B1497" s="1" t="s">
        <v>158</v>
      </c>
      <c r="C1497" s="1" t="s">
        <v>1153</v>
      </c>
      <c r="D1497" s="1" t="n">
        <v>117</v>
      </c>
      <c r="E1497" s="48" t="str">
        <f aca="false">IF('RAW QHH'!A117="","",'RAW QHH'!A117)</f>
        <v>Youth Pathway Program</v>
      </c>
      <c r="F1497" s="48" t="str">
        <f aca="false">IF('RAW QHH'!B117="","",'RAW QHH'!B117)</f>
        <v>Workforce Dev (CB)</v>
      </c>
      <c r="G1497" s="49" t="str">
        <f aca="false">IF('RAW QHH'!C117="","",'RAW QHH'!C117)</f>
        <v>26-Dec-2025</v>
      </c>
      <c r="H1497" s="48" t="str">
        <f aca="false">IF('RAW QHH'!D117="","",'RAW QHH'!D117)</f>
        <v>Educator, Nursing</v>
      </c>
      <c r="I1497" s="48" t="n">
        <f aca="false">IF('RAW QHH'!E117="","",'RAW QHH'!E117)</f>
        <v>5</v>
      </c>
      <c r="J1497" s="48" t="str">
        <f aca="false">IF('RAW QHH'!F117="","",'RAW QHH'!F117)</f>
        <v/>
      </c>
      <c r="K1497" s="50" t="n">
        <f aca="false">IF('RAW QHH'!G117="","",'RAW QHH'!G117)</f>
        <v>0</v>
      </c>
      <c r="L1497" s="50" t="n">
        <f aca="false">IF('RAW QHH'!H117="","",'RAW QHH'!H117)</f>
        <v>0</v>
      </c>
      <c r="M1497" s="48" t="str">
        <f aca="false">IF('RAW QHH'!I117="","",'RAW QHH'!I117)</f>
        <v/>
      </c>
    </row>
    <row r="1498" customFormat="false" ht="15" hidden="false" customHeight="false" outlineLevel="0" collapsed="false">
      <c r="A1498" s="1" t="s">
        <v>2642</v>
      </c>
      <c r="B1498" s="1" t="s">
        <v>158</v>
      </c>
      <c r="C1498" s="1" t="s">
        <v>1153</v>
      </c>
      <c r="D1498" s="1" t="n">
        <v>118</v>
      </c>
      <c r="E1498" s="48" t="str">
        <f aca="false">IF('RAW QHH'!A118="","",'RAW QHH'!A118)</f>
        <v>Youth Pathway Program</v>
      </c>
      <c r="F1498" s="48" t="str">
        <f aca="false">IF('RAW QHH'!B118="","",'RAW QHH'!B118)</f>
        <v>Workforce Dev (CB)</v>
      </c>
      <c r="G1498" s="49" t="str">
        <f aca="false">IF('RAW QHH'!C118="","",'RAW QHH'!C118)</f>
        <v>26-Dec-2025</v>
      </c>
      <c r="H1498" s="48" t="str">
        <f aca="false">IF('RAW QHH'!D118="","",'RAW QHH'!D118)</f>
        <v>Volunteer Coordinator</v>
      </c>
      <c r="I1498" s="48" t="n">
        <f aca="false">IF('RAW QHH'!E118="","",'RAW QHH'!E118)</f>
        <v>6.5</v>
      </c>
      <c r="J1498" s="48" t="n">
        <f aca="false">IF('RAW QHH'!F118="","",'RAW QHH'!F118)</f>
        <v>35</v>
      </c>
      <c r="K1498" s="50" t="n">
        <f aca="false">IF('RAW QHH'!G118="","",'RAW QHH'!G118)</f>
        <v>670</v>
      </c>
      <c r="L1498" s="50" t="n">
        <f aca="false">IF('RAW QHH'!H118="","",'RAW QHH'!H118)</f>
        <v>0</v>
      </c>
      <c r="M1498" s="48" t="str">
        <f aca="false">IF('RAW QHH'!I118="","",'RAW QHH'!I118)</f>
        <v/>
      </c>
    </row>
    <row r="1499" customFormat="false" ht="15" hidden="false" customHeight="false" outlineLevel="0" collapsed="false">
      <c r="A1499" s="1" t="s">
        <v>2643</v>
      </c>
      <c r="B1499" s="1" t="s">
        <v>158</v>
      </c>
      <c r="C1499" s="1" t="s">
        <v>1153</v>
      </c>
      <c r="D1499" s="1" t="n">
        <v>119</v>
      </c>
      <c r="E1499" s="48" t="str">
        <f aca="false">IF('RAW QHH'!A119="","",'RAW QHH'!A119)</f>
        <v>Diabetes Prevention Program</v>
      </c>
      <c r="F1499" s="48" t="str">
        <f aca="false">IF('RAW QHH'!B119="","",'RAW QHH'!B119)</f>
        <v>CHIS - Education</v>
      </c>
      <c r="G1499" s="49" t="str">
        <f aca="false">IF('RAW QHH'!C119="","",'RAW QHH'!C119)</f>
        <v>27-Dec-2025</v>
      </c>
      <c r="H1499" s="48" t="str">
        <f aca="false">IF('RAW QHH'!D119="","",'RAW QHH'!D119)</f>
        <v>Health Education Specialist</v>
      </c>
      <c r="I1499" s="48" t="n">
        <f aca="false">IF('RAW QHH'!E119="","",'RAW QHH'!E119)</f>
        <v>3</v>
      </c>
      <c r="J1499" s="48" t="n">
        <f aca="false">IF('RAW QHH'!F119="","",'RAW QHH'!F119)</f>
        <v>14</v>
      </c>
      <c r="K1499" s="50" t="n">
        <f aca="false">IF('RAW QHH'!G119="","",'RAW QHH'!G119)</f>
        <v>140</v>
      </c>
      <c r="L1499" s="50" t="n">
        <f aca="false">IF('RAW QHH'!H119="","",'RAW QHH'!H119)</f>
        <v>0</v>
      </c>
      <c r="M1499" s="48" t="str">
        <f aca="false">IF('RAW QHH'!I119="","",'RAW QHH'!I119)</f>
        <v/>
      </c>
    </row>
    <row r="1500" customFormat="false" ht="15" hidden="false" customHeight="false" outlineLevel="0" collapsed="false">
      <c r="A1500" s="1" t="s">
        <v>2644</v>
      </c>
      <c r="B1500" s="1" t="s">
        <v>158</v>
      </c>
      <c r="C1500" s="1" t="s">
        <v>1153</v>
      </c>
      <c r="D1500" s="1" t="n">
        <v>120</v>
      </c>
      <c r="E1500" s="48" t="str">
        <f aca="false">IF('RAW QHH'!A120="","",'RAW QHH'!A120)</f>
        <v>Diabetes Prevention Program</v>
      </c>
      <c r="F1500" s="48" t="str">
        <f aca="false">IF('RAW QHH'!B120="","",'RAW QHH'!B120)</f>
        <v>CHIS - Education</v>
      </c>
      <c r="G1500" s="49" t="str">
        <f aca="false">IF('RAW QHH'!C120="","",'RAW QHH'!C120)</f>
        <v>27-Dec-2025</v>
      </c>
      <c r="H1500" s="48" t="str">
        <f aca="false">IF('RAW QHH'!D120="","",'RAW QHH'!D120)</f>
        <v>Dietitian</v>
      </c>
      <c r="I1500" s="48" t="n">
        <f aca="false">IF('RAW QHH'!E120="","",'RAW QHH'!E120)</f>
        <v>2</v>
      </c>
      <c r="J1500" s="48" t="str">
        <f aca="false">IF('RAW QHH'!F120="","",'RAW QHH'!F120)</f>
        <v/>
      </c>
      <c r="K1500" s="50" t="n">
        <f aca="false">IF('RAW QHH'!G120="","",'RAW QHH'!G120)</f>
        <v>0</v>
      </c>
      <c r="L1500" s="50" t="n">
        <f aca="false">IF('RAW QHH'!H120="","",'RAW QHH'!H120)</f>
        <v>0</v>
      </c>
      <c r="M1500" s="48" t="str">
        <f aca="false">IF('RAW QHH'!I120="","",'RAW QHH'!I120)</f>
        <v/>
      </c>
    </row>
    <row r="1501" customFormat="false" ht="15" hidden="false" customHeight="false" outlineLevel="0" collapsed="false">
      <c r="A1501" s="1" t="s">
        <v>2645</v>
      </c>
      <c r="B1501" s="1" t="s">
        <v>158</v>
      </c>
      <c r="C1501" s="1" t="s">
        <v>1153</v>
      </c>
      <c r="D1501" s="1" t="n">
        <v>121</v>
      </c>
      <c r="E1501" s="48" t="str">
        <f aca="false">IF('RAW QHH'!A121="","",'RAW QHH'!A121)</f>
        <v>Fall Prevention Class</v>
      </c>
      <c r="F1501" s="48" t="str">
        <f aca="false">IF('RAW QHH'!B121="","",'RAW QHH'!B121)</f>
        <v>CHIS - Education</v>
      </c>
      <c r="G1501" s="49" t="str">
        <f aca="false">IF('RAW QHH'!C121="","",'RAW QHH'!C121)</f>
        <v>27-Dec-2025</v>
      </c>
      <c r="H1501" s="48" t="str">
        <f aca="false">IF('RAW QHH'!D121="","",'RAW QHH'!D121)</f>
        <v>RRT</v>
      </c>
      <c r="I1501" s="48" t="n">
        <f aca="false">IF('RAW QHH'!E121="","",'RAW QHH'!E121)</f>
        <v>2</v>
      </c>
      <c r="J1501" s="48" t="n">
        <f aca="false">IF('RAW QHH'!F121="","",'RAW QHH'!F121)</f>
        <v>16</v>
      </c>
      <c r="K1501" s="50" t="n">
        <f aca="false">IF('RAW QHH'!G121="","",'RAW QHH'!G121)</f>
        <v>60</v>
      </c>
      <c r="L1501" s="50" t="n">
        <f aca="false">IF('RAW QHH'!H121="","",'RAW QHH'!H121)</f>
        <v>0</v>
      </c>
      <c r="M1501" s="48" t="str">
        <f aca="false">IF('RAW QHH'!I121="","",'RAW QHH'!I121)</f>
        <v/>
      </c>
    </row>
    <row r="1502" customFormat="false" ht="15" hidden="false" customHeight="false" outlineLevel="0" collapsed="false">
      <c r="A1502" s="1" t="s">
        <v>2646</v>
      </c>
      <c r="B1502" s="1" t="s">
        <v>158</v>
      </c>
      <c r="C1502" s="1" t="s">
        <v>1153</v>
      </c>
      <c r="D1502" s="1" t="n">
        <v>122</v>
      </c>
      <c r="E1502" s="48" t="str">
        <f aca="false">IF('RAW QHH'!A122="","",'RAW QHH'!A122)</f>
        <v>Blood Pressure Clinic</v>
      </c>
      <c r="F1502" s="48" t="str">
        <f aca="false">IF('RAW QHH'!B122="","",'RAW QHH'!B122)</f>
        <v>CHIS - Clinical</v>
      </c>
      <c r="G1502" s="49" t="str">
        <f aca="false">IF('RAW QHH'!C122="","",'RAW QHH'!C122)</f>
        <v>30-Dec-2025</v>
      </c>
      <c r="H1502" s="48" t="str">
        <f aca="false">IF('RAW QHH'!D122="","",'RAW QHH'!D122)</f>
        <v>Clinical RN</v>
      </c>
      <c r="I1502" s="48" t="n">
        <f aca="false">IF('RAW QHH'!E122="","",'RAW QHH'!E122)</f>
        <v>3.25</v>
      </c>
      <c r="J1502" s="48" t="n">
        <f aca="false">IF('RAW QHH'!F122="","",'RAW QHH'!F122)</f>
        <v>36</v>
      </c>
      <c r="K1502" s="50" t="n">
        <f aca="false">IF('RAW QHH'!G122="","",'RAW QHH'!G122)</f>
        <v>100</v>
      </c>
      <c r="L1502" s="50" t="n">
        <f aca="false">IF('RAW QHH'!H122="","",'RAW QHH'!H122)</f>
        <v>0</v>
      </c>
      <c r="M1502" s="48" t="str">
        <f aca="false">IF('RAW QHH'!I122="","",'RAW QHH'!I122)</f>
        <v/>
      </c>
    </row>
    <row r="1503" customFormat="false" ht="15" hidden="false" customHeight="false" outlineLevel="0" collapsed="false">
      <c r="A1503" s="1" t="s">
        <v>2647</v>
      </c>
      <c r="B1503" s="1" t="s">
        <v>158</v>
      </c>
      <c r="C1503" s="1" t="s">
        <v>1153</v>
      </c>
      <c r="D1503" s="1" t="n">
        <v>123</v>
      </c>
      <c r="E1503" s="48" t="str">
        <f aca="false">IF('RAW QHH'!A123="","",'RAW QHH'!A123)</f>
        <v>Medication Assistance</v>
      </c>
      <c r="F1503" s="48" t="str">
        <f aca="false">IF('RAW QHH'!B123="","",'RAW QHH'!B123)</f>
        <v>CHIS - Support</v>
      </c>
      <c r="G1503" s="49" t="str">
        <f aca="false">IF('RAW QHH'!C123="","",'RAW QHH'!C123)</f>
        <v>31-Dec-2025</v>
      </c>
      <c r="H1503" s="48" t="str">
        <f aca="false">IF('RAW QHH'!D123="","",'RAW QHH'!D123)</f>
        <v>Patient Navigator</v>
      </c>
      <c r="I1503" s="48" t="n">
        <f aca="false">IF('RAW QHH'!E123="","",'RAW QHH'!E123)</f>
        <v>72.25</v>
      </c>
      <c r="J1503" s="48" t="str">
        <f aca="false">IF('RAW QHH'!F123="","",'RAW QHH'!F123)</f>
        <v/>
      </c>
      <c r="K1503" s="50" t="n">
        <f aca="false">IF('RAW QHH'!G123="","",'RAW QHH'!G123)</f>
        <v>0</v>
      </c>
      <c r="L1503" s="50" t="n">
        <f aca="false">IF('RAW QHH'!H123="","",'RAW QHH'!H123)</f>
        <v>0</v>
      </c>
      <c r="M1503" s="48" t="str">
        <f aca="false">IF('RAW QHH'!I123="","",'RAW QHH'!I123)</f>
        <v/>
      </c>
    </row>
    <row r="1504" customFormat="false" ht="15" hidden="false" customHeight="false" outlineLevel="0" collapsed="false">
      <c r="A1504" s="1" t="s">
        <v>2648</v>
      </c>
      <c r="B1504" s="1" t="s">
        <v>158</v>
      </c>
      <c r="C1504" s="1" t="s">
        <v>1153</v>
      </c>
      <c r="D1504" s="1" t="n">
        <v>124</v>
      </c>
      <c r="E1504" s="48" t="str">
        <f aca="false">IF('RAW QHH'!A124="","",'RAW QHH'!A124)</f>
        <v>Medication Assistance</v>
      </c>
      <c r="F1504" s="48" t="str">
        <f aca="false">IF('RAW QHH'!B124="","",'RAW QHH'!B124)</f>
        <v>CHIS - Support</v>
      </c>
      <c r="G1504" s="49" t="str">
        <f aca="false">IF('RAW QHH'!C124="","",'RAW QHH'!C124)</f>
        <v>31-Dec-2025</v>
      </c>
      <c r="H1504" s="48" t="str">
        <f aca="false">IF('RAW QHH'!D124="","",'RAW QHH'!D124)</f>
        <v>Staff Pharmacist</v>
      </c>
      <c r="I1504" s="48" t="n">
        <f aca="false">IF('RAW QHH'!E124="","",'RAW QHH'!E124)</f>
        <v>19.75</v>
      </c>
      <c r="J1504" s="48" t="n">
        <f aca="false">IF('RAW QHH'!F124="","",'RAW QHH'!F124)</f>
        <v>72</v>
      </c>
      <c r="K1504" s="50" t="n">
        <f aca="false">IF('RAW QHH'!G124="","",'RAW QHH'!G124)</f>
        <v>16040</v>
      </c>
      <c r="L1504" s="50" t="n">
        <f aca="false">IF('RAW QHH'!H124="","",'RAW QHH'!H124)</f>
        <v>0</v>
      </c>
      <c r="M1504" s="48" t="str">
        <f aca="false">IF('RAW QHH'!I124="","",'RAW QHH'!I124)</f>
        <v/>
      </c>
    </row>
    <row r="1505" customFormat="false" ht="15" hidden="false" customHeight="false" outlineLevel="0" collapsed="false">
      <c r="A1505" s="1" t="s">
        <v>2649</v>
      </c>
      <c r="B1505" s="1" t="s">
        <v>158</v>
      </c>
      <c r="C1505" s="1" t="s">
        <v>1153</v>
      </c>
      <c r="D1505" s="1" t="n">
        <v>125</v>
      </c>
      <c r="E1505" s="48" t="str">
        <f aca="false">IF('RAW QHH'!A125="","",'RAW QHH'!A125)</f>
        <v>Community Benefit Admin.</v>
      </c>
      <c r="F1505" s="48" t="str">
        <f aca="false">IF('RAW QHH'!B125="","",'RAW QHH'!B125)</f>
        <v>CBO</v>
      </c>
      <c r="G1505" s="49" t="str">
        <f aca="false">IF('RAW QHH'!C125="","",'RAW QHH'!C125)</f>
        <v>31-Dec-2025</v>
      </c>
      <c r="H1505" s="48" t="str">
        <f aca="false">IF('RAW QHH'!D125="","",'RAW QHH'!D125)</f>
        <v>Admin. Assistant</v>
      </c>
      <c r="I1505" s="48" t="n">
        <f aca="false">IF('RAW QHH'!E125="","",'RAW QHH'!E125)</f>
        <v>49.75</v>
      </c>
      <c r="J1505" s="48" t="str">
        <f aca="false">IF('RAW QHH'!F125="","",'RAW QHH'!F125)</f>
        <v/>
      </c>
      <c r="K1505" s="50" t="n">
        <f aca="false">IF('RAW QHH'!G125="","",'RAW QHH'!G125)</f>
        <v>0</v>
      </c>
      <c r="L1505" s="50" t="n">
        <f aca="false">IF('RAW QHH'!H125="","",'RAW QHH'!H125)</f>
        <v>0</v>
      </c>
      <c r="M1505" s="48" t="str">
        <f aca="false">IF('RAW QHH'!I125="","",'RAW QHH'!I125)</f>
        <v/>
      </c>
    </row>
    <row r="1506" customFormat="false" ht="15" hidden="false" customHeight="false" outlineLevel="0" collapsed="false">
      <c r="A1506" s="1" t="s">
        <v>2650</v>
      </c>
      <c r="B1506" s="1" t="s">
        <v>158</v>
      </c>
      <c r="C1506" s="1" t="s">
        <v>1153</v>
      </c>
      <c r="D1506" s="1" t="n">
        <v>126</v>
      </c>
      <c r="E1506" s="48" t="str">
        <f aca="false">IF('RAW QHH'!A126="","",'RAW QHH'!A126)</f>
        <v>Community Benefit Admin.</v>
      </c>
      <c r="F1506" s="48" t="str">
        <f aca="false">IF('RAW QHH'!B126="","",'RAW QHH'!B126)</f>
        <v>CBO</v>
      </c>
      <c r="G1506" s="49" t="str">
        <f aca="false">IF('RAW QHH'!C126="","",'RAW QHH'!C126)</f>
        <v>31-Dec-2025</v>
      </c>
      <c r="H1506" s="48" t="str">
        <f aca="false">IF('RAW QHH'!D126="","",'RAW QHH'!D126)</f>
        <v>Community Benefit Mgr</v>
      </c>
      <c r="I1506" s="48" t="n">
        <f aca="false">IF('RAW QHH'!E126="","",'RAW QHH'!E126)</f>
        <v>48.75</v>
      </c>
      <c r="J1506" s="48" t="str">
        <f aca="false">IF('RAW QHH'!F126="","",'RAW QHH'!F126)</f>
        <v/>
      </c>
      <c r="K1506" s="50" t="n">
        <f aca="false">IF('RAW QHH'!G126="","",'RAW QHH'!G126)</f>
        <v>635</v>
      </c>
      <c r="L1506" s="50" t="n">
        <f aca="false">IF('RAW QHH'!H126="","",'RAW QHH'!H126)</f>
        <v>0</v>
      </c>
      <c r="M1506" s="48" t="str">
        <f aca="false">IF('RAW QHH'!I126="","",'RAW QHH'!I126)</f>
        <v/>
      </c>
    </row>
    <row r="1507" customFormat="false" ht="15" hidden="false" customHeight="false" outlineLevel="0" collapsed="false">
      <c r="A1507" s="1" t="s">
        <v>2651</v>
      </c>
      <c r="B1507" s="1" t="s">
        <v>158</v>
      </c>
      <c r="C1507" s="1" t="s">
        <v>1153</v>
      </c>
      <c r="D1507" s="1" t="n">
        <v>127</v>
      </c>
      <c r="E1507" s="48" t="str">
        <f aca="false">IF('RAW QHH'!A127="","",'RAW QHH'!A127)</f>
        <v>Community Paramedicine</v>
      </c>
      <c r="F1507" s="48" t="str">
        <f aca="false">IF('RAW QHH'!B127="","",'RAW QHH'!B127)</f>
        <v>CHIS - Clinical</v>
      </c>
      <c r="G1507" s="49" t="str">
        <f aca="false">IF('RAW QHH'!C127="","",'RAW QHH'!C127)</f>
        <v>31-Dec-2025</v>
      </c>
      <c r="H1507" s="48" t="str">
        <f aca="false">IF('RAW QHH'!D127="","",'RAW QHH'!D127)</f>
        <v>Paramedic</v>
      </c>
      <c r="I1507" s="48" t="n">
        <f aca="false">IF('RAW QHH'!E127="","",'RAW QHH'!E127)</f>
        <v>63.75</v>
      </c>
      <c r="J1507" s="48" t="n">
        <f aca="false">IF('RAW QHH'!F127="","",'RAW QHH'!F127)</f>
        <v>53</v>
      </c>
      <c r="K1507" s="50" t="n">
        <f aca="false">IF('RAW QHH'!G127="","",'RAW QHH'!G127)</f>
        <v>460</v>
      </c>
      <c r="L1507" s="50" t="n">
        <f aca="false">IF('RAW QHH'!H127="","",'RAW QHH'!H127)</f>
        <v>0</v>
      </c>
      <c r="M1507" s="48" t="str">
        <f aca="false">IF('RAW QHH'!I127="","",'RAW QHH'!I127)</f>
        <v/>
      </c>
    </row>
    <row r="1508" customFormat="false" ht="15" hidden="false" customHeight="false" outlineLevel="0" collapsed="false">
      <c r="A1508" s="1" t="s">
        <v>2652</v>
      </c>
      <c r="B1508" s="1" t="s">
        <v>158</v>
      </c>
      <c r="C1508" s="1" t="s">
        <v>1153</v>
      </c>
      <c r="D1508" s="1" t="n">
        <v>128</v>
      </c>
      <c r="E1508" s="48" t="str">
        <f aca="false">IF('RAW QHH'!A128="","",'RAW QHH'!A128)</f>
        <v>Nursing Clinical Rotations</v>
      </c>
      <c r="F1508" s="48" t="str">
        <f aca="false">IF('RAW QHH'!B128="","",'RAW QHH'!B128)</f>
        <v>HPE - Students</v>
      </c>
      <c r="G1508" s="49" t="str">
        <f aca="false">IF('RAW QHH'!C128="","",'RAW QHH'!C128)</f>
        <v>31-Dec-2025</v>
      </c>
      <c r="H1508" s="48" t="str">
        <f aca="false">IF('RAW QHH'!D128="","",'RAW QHH'!D128)</f>
        <v>RN Educator</v>
      </c>
      <c r="I1508" s="48" t="n">
        <f aca="false">IF('RAW QHH'!E128="","",'RAW QHH'!E128)</f>
        <v>50.25</v>
      </c>
      <c r="J1508" s="48" t="n">
        <f aca="false">IF('RAW QHH'!F128="","",'RAW QHH'!F128)</f>
        <v>12</v>
      </c>
      <c r="K1508" s="50" t="n">
        <f aca="false">IF('RAW QHH'!G128="","",'RAW QHH'!G128)</f>
        <v>285</v>
      </c>
      <c r="L1508" s="50" t="n">
        <f aca="false">IF('RAW QHH'!H128="","",'RAW QHH'!H128)</f>
        <v>0</v>
      </c>
      <c r="M1508" s="48" t="str">
        <f aca="false">IF('RAW QHH'!I128="","",'RAW QHH'!I128)</f>
        <v/>
      </c>
    </row>
    <row r="1509" customFormat="false" ht="15" hidden="false" customHeight="false" outlineLevel="0" collapsed="false">
      <c r="A1509" s="1" t="s">
        <v>2653</v>
      </c>
      <c r="B1509" s="1" t="s">
        <v>158</v>
      </c>
      <c r="C1509" s="1" t="s">
        <v>1153</v>
      </c>
      <c r="D1509" s="1" t="n">
        <v>129</v>
      </c>
      <c r="E1509" s="48" t="str">
        <f aca="false">IF('RAW QHH'!A129="","",'RAW QHH'!A129)</f>
        <v>Nursing Clinical Rotations</v>
      </c>
      <c r="F1509" s="48" t="str">
        <f aca="false">IF('RAW QHH'!B129="","",'RAW QHH'!B129)</f>
        <v>HPE - Students</v>
      </c>
      <c r="G1509" s="49" t="str">
        <f aca="false">IF('RAW QHH'!C129="","",'RAW QHH'!C129)</f>
        <v>31-Dec-2025</v>
      </c>
      <c r="H1509" s="48" t="str">
        <f aca="false">IF('RAW QHH'!D129="","",'RAW QHH'!D129)</f>
        <v>RN III</v>
      </c>
      <c r="I1509" s="48" t="n">
        <f aca="false">IF('RAW QHH'!E129="","",'RAW QHH'!E129)</f>
        <v>58.75</v>
      </c>
      <c r="J1509" s="48" t="str">
        <f aca="false">IF('RAW QHH'!F129="","",'RAW QHH'!F129)</f>
        <v/>
      </c>
      <c r="K1509" s="50" t="n">
        <f aca="false">IF('RAW QHH'!G129="","",'RAW QHH'!G129)</f>
        <v>0</v>
      </c>
      <c r="L1509" s="50" t="n">
        <f aca="false">IF('RAW QHH'!H129="","",'RAW QHH'!H129)</f>
        <v>0</v>
      </c>
      <c r="M1509" s="48" t="str">
        <f aca="false">IF('RAW QHH'!I129="","",'RAW QHH'!I129)</f>
        <v/>
      </c>
    </row>
    <row r="1510" customFormat="false" ht="15" hidden="false" customHeight="false" outlineLevel="0" collapsed="false">
      <c r="A1510" s="1" t="s">
        <v>2654</v>
      </c>
      <c r="B1510" s="1" t="s">
        <v>158</v>
      </c>
      <c r="C1510" s="1" t="s">
        <v>1153</v>
      </c>
      <c r="D1510" s="1" t="n">
        <v>130</v>
      </c>
      <c r="E1510" s="48" t="str">
        <f aca="false">IF('RAW QHH'!A130="","",'RAW QHH'!A130)</f>
        <v>Car Seat Safety</v>
      </c>
      <c r="F1510" s="48" t="str">
        <f aca="false">IF('RAW QHH'!B130="","",'RAW QHH'!B130)</f>
        <v>CHIS - Education</v>
      </c>
      <c r="G1510" s="49" t="str">
        <f aca="false">IF('RAW QHH'!C130="","",'RAW QHH'!C130)</f>
        <v>03-Jan-2026</v>
      </c>
      <c r="H1510" s="48" t="str">
        <f aca="false">IF('RAW QHH'!D130="","",'RAW QHH'!D130)</f>
        <v>EMT-P</v>
      </c>
      <c r="I1510" s="48" t="n">
        <f aca="false">IF('RAW QHH'!E130="","",'RAW QHH'!E130)</f>
        <v>3</v>
      </c>
      <c r="J1510" s="48" t="n">
        <f aca="false">IF('RAW QHH'!F130="","",'RAW QHH'!F130)</f>
        <v>32</v>
      </c>
      <c r="K1510" s="50" t="n">
        <f aca="false">IF('RAW QHH'!G130="","",'RAW QHH'!G130)</f>
        <v>570</v>
      </c>
      <c r="L1510" s="50" t="n">
        <f aca="false">IF('RAW QHH'!H130="","",'RAW QHH'!H130)</f>
        <v>120</v>
      </c>
      <c r="M1510" s="48" t="str">
        <f aca="false">IF('RAW QHH'!I130="","",'RAW QHH'!I130)</f>
        <v/>
      </c>
    </row>
    <row r="1511" customFormat="false" ht="15" hidden="false" customHeight="false" outlineLevel="0" collapsed="false">
      <c r="A1511" s="1" t="s">
        <v>2655</v>
      </c>
      <c r="B1511" s="1" t="s">
        <v>158</v>
      </c>
      <c r="C1511" s="1" t="s">
        <v>1153</v>
      </c>
      <c r="D1511" s="1" t="n">
        <v>131</v>
      </c>
      <c r="E1511" s="48" t="str">
        <f aca="false">IF('RAW QHH'!A131="","",'RAW QHH'!A131)</f>
        <v>Car Seat Safety</v>
      </c>
      <c r="F1511" s="48" t="str">
        <f aca="false">IF('RAW QHH'!B131="","",'RAW QHH'!B131)</f>
        <v>CHIS - Education</v>
      </c>
      <c r="G1511" s="49" t="str">
        <f aca="false">IF('RAW QHH'!C131="","",'RAW QHH'!C131)</f>
        <v>03-Jan-2026</v>
      </c>
      <c r="H1511" s="48" t="str">
        <f aca="false">IF('RAW QHH'!D131="","",'RAW QHH'!D131)</f>
        <v> R.N.</v>
      </c>
      <c r="I1511" s="48" t="n">
        <f aca="false">IF('RAW QHH'!E131="","",'RAW QHH'!E131)</f>
        <v>4</v>
      </c>
      <c r="J1511" s="48" t="str">
        <f aca="false">IF('RAW QHH'!F131="","",'RAW QHH'!F131)</f>
        <v/>
      </c>
      <c r="K1511" s="50" t="n">
        <f aca="false">IF('RAW QHH'!G131="","",'RAW QHH'!G131)</f>
        <v>0</v>
      </c>
      <c r="L1511" s="50" t="n">
        <f aca="false">IF('RAW QHH'!H131="","",'RAW QHH'!H131)</f>
        <v>0</v>
      </c>
      <c r="M1511" s="48" t="str">
        <f aca="false">IF('RAW QHH'!I131="","",'RAW QHH'!I131)</f>
        <v/>
      </c>
    </row>
    <row r="1512" customFormat="false" ht="15" hidden="false" customHeight="false" outlineLevel="0" collapsed="false">
      <c r="A1512" s="1" t="s">
        <v>2656</v>
      </c>
      <c r="B1512" s="1" t="s">
        <v>158</v>
      </c>
      <c r="C1512" s="1" t="s">
        <v>1153</v>
      </c>
      <c r="D1512" s="1" t="n">
        <v>132</v>
      </c>
      <c r="E1512" s="48" t="str">
        <f aca="false">IF('RAW QHH'!A132="","",'RAW QHH'!A132)</f>
        <v>Fall Prevention Class</v>
      </c>
      <c r="F1512" s="48" t="str">
        <f aca="false">IF('RAW QHH'!B132="","",'RAW QHH'!B132)</f>
        <v>CHIS - Education</v>
      </c>
      <c r="G1512" s="49" t="str">
        <f aca="false">IF('RAW QHH'!C132="","",'RAW QHH'!C132)</f>
        <v>10-Jan-2026</v>
      </c>
      <c r="H1512" s="48" t="str">
        <f aca="false">IF('RAW QHH'!D132="","",'RAW QHH'!D132)</f>
        <v>Phys Therapist</v>
      </c>
      <c r="I1512" s="48" t="n">
        <f aca="false">IF('RAW QHH'!E132="","",'RAW QHH'!E132)</f>
        <v>2.25</v>
      </c>
      <c r="J1512" s="48" t="n">
        <f aca="false">IF('RAW QHH'!F132="","",'RAW QHH'!F132)</f>
        <v>13</v>
      </c>
      <c r="K1512" s="50" t="n">
        <f aca="false">IF('RAW QHH'!G132="","",'RAW QHH'!G132)</f>
        <v>85</v>
      </c>
      <c r="L1512" s="50" t="n">
        <f aca="false">IF('RAW QHH'!H132="","",'RAW QHH'!H132)</f>
        <v>0</v>
      </c>
      <c r="M1512" s="48" t="str">
        <f aca="false">IF('RAW QHH'!I132="","",'RAW QHH'!I132)</f>
        <v/>
      </c>
    </row>
    <row r="1513" customFormat="false" ht="15" hidden="false" customHeight="false" outlineLevel="0" collapsed="false">
      <c r="A1513" s="1" t="s">
        <v>2657</v>
      </c>
      <c r="B1513" s="1" t="s">
        <v>158</v>
      </c>
      <c r="C1513" s="1" t="s">
        <v>1153</v>
      </c>
      <c r="D1513" s="1" t="n">
        <v>133</v>
      </c>
      <c r="E1513" s="48" t="str">
        <f aca="false">IF('RAW QHH'!A133="","",'RAW QHH'!A133)</f>
        <v>Grief Support Group</v>
      </c>
      <c r="F1513" s="48" t="str">
        <f aca="false">IF('RAW QHH'!B133="","",'RAW QHH'!B133)</f>
        <v>CHIS - Support</v>
      </c>
      <c r="G1513" s="49" t="str">
        <f aca="false">IF('RAW QHH'!C133="","",'RAW QHH'!C133)</f>
        <v>16-Jan-2026</v>
      </c>
      <c r="H1513" s="48" t="str">
        <f aca="false">IF('RAW QHH'!D133="","",'RAW QHH'!D133)</f>
        <v>Chaplain Resident</v>
      </c>
      <c r="I1513" s="48" t="str">
        <f aca="false">IF('RAW QHH'!E133="","",'RAW QHH'!E133)</f>
        <v/>
      </c>
      <c r="J1513" s="48" t="n">
        <f aca="false">IF('RAW QHH'!F133="","",'RAW QHH'!F133)</f>
        <v>9</v>
      </c>
      <c r="K1513" s="50" t="n">
        <f aca="false">IF('RAW QHH'!G133="","",'RAW QHH'!G133)</f>
        <v>40</v>
      </c>
      <c r="L1513" s="50" t="n">
        <f aca="false">IF('RAW QHH'!H133="","",'RAW QHH'!H133)</f>
        <v>0</v>
      </c>
      <c r="M1513" s="48" t="str">
        <f aca="false">IF('RAW QHH'!I133="","",'RAW QHH'!I133)</f>
        <v/>
      </c>
    </row>
    <row r="1514" customFormat="false" ht="15" hidden="false" customHeight="false" outlineLevel="0" collapsed="false">
      <c r="A1514" s="1" t="s">
        <v>2658</v>
      </c>
      <c r="B1514" s="1" t="s">
        <v>158</v>
      </c>
      <c r="C1514" s="1" t="s">
        <v>1153</v>
      </c>
      <c r="D1514" s="1" t="n">
        <v>134</v>
      </c>
      <c r="E1514" s="48" t="str">
        <f aca="false">IF('RAW QHH'!A134="","",'RAW QHH'!A134)</f>
        <v>Grief Support Group</v>
      </c>
      <c r="F1514" s="48" t="str">
        <f aca="false">IF('RAW QHH'!B134="","",'RAW QHH'!B134)</f>
        <v>CHIS - Support</v>
      </c>
      <c r="G1514" s="49" t="str">
        <f aca="false">IF('RAW QHH'!C134="","",'RAW QHH'!C134)</f>
        <v>16-Jan-2026</v>
      </c>
      <c r="H1514" s="48" t="str">
        <f aca="false">IF('RAW QHH'!D134="","",'RAW QHH'!D134)</f>
        <v>LCSW</v>
      </c>
      <c r="I1514" s="48" t="n">
        <f aca="false">IF('RAW QHH'!E134="","",'RAW QHH'!E134)</f>
        <v>1.75</v>
      </c>
      <c r="J1514" s="48" t="str">
        <f aca="false">IF('RAW QHH'!F134="","",'RAW QHH'!F134)</f>
        <v/>
      </c>
      <c r="K1514" s="50" t="n">
        <f aca="false">IF('RAW QHH'!G134="","",'RAW QHH'!G134)</f>
        <v>0</v>
      </c>
      <c r="L1514" s="50" t="n">
        <f aca="false">IF('RAW QHH'!H134="","",'RAW QHH'!H134)</f>
        <v>0</v>
      </c>
      <c r="M1514" s="48" t="str">
        <f aca="false">IF('RAW QHH'!I134="","",'RAW QHH'!I134)</f>
        <v/>
      </c>
    </row>
    <row r="1515" customFormat="false" ht="15" hidden="false" customHeight="false" outlineLevel="0" collapsed="false">
      <c r="A1515" s="1" t="s">
        <v>2659</v>
      </c>
      <c r="B1515" s="1" t="s">
        <v>158</v>
      </c>
      <c r="C1515" s="1" t="s">
        <v>1153</v>
      </c>
      <c r="D1515" s="1" t="n">
        <v>135</v>
      </c>
      <c r="E1515" s="48" t="str">
        <f aca="false">IF('RAW QHH'!A135="","",'RAW QHH'!A135)</f>
        <v>Grief Support Group</v>
      </c>
      <c r="F1515" s="48" t="str">
        <f aca="false">IF('RAW QHH'!B135="","",'RAW QHH'!B135)</f>
        <v>CHIS - Support</v>
      </c>
      <c r="G1515" s="49" t="str">
        <f aca="false">IF('RAW QHH'!C135="","",'RAW QHH'!C135)</f>
        <v>17-Jan-2026</v>
      </c>
      <c r="H1515" s="48" t="str">
        <f aca="false">IF('RAW QHH'!D135="","",'RAW QHH'!D135)</f>
        <v>Chaplain Resident</v>
      </c>
      <c r="I1515" s="48" t="str">
        <f aca="false">IF('RAW QHH'!E135="","",'RAW QHH'!E135)</f>
        <v/>
      </c>
      <c r="J1515" s="48" t="n">
        <f aca="false">IF('RAW QHH'!F135="","",'RAW QHH'!F135)</f>
        <v>7</v>
      </c>
      <c r="K1515" s="50" t="n">
        <f aca="false">IF('RAW QHH'!G135="","",'RAW QHH'!G135)</f>
        <v>35</v>
      </c>
      <c r="L1515" s="50" t="n">
        <f aca="false">IF('RAW QHH'!H135="","",'RAW QHH'!H135)</f>
        <v>0</v>
      </c>
      <c r="M1515" s="48" t="str">
        <f aca="false">IF('RAW QHH'!I135="","",'RAW QHH'!I135)</f>
        <v/>
      </c>
    </row>
    <row r="1516" customFormat="false" ht="15" hidden="false" customHeight="false" outlineLevel="0" collapsed="false">
      <c r="A1516" s="1" t="s">
        <v>2660</v>
      </c>
      <c r="B1516" s="1" t="s">
        <v>158</v>
      </c>
      <c r="C1516" s="1" t="s">
        <v>1153</v>
      </c>
      <c r="D1516" s="1" t="n">
        <v>136</v>
      </c>
      <c r="E1516" s="48" t="str">
        <f aca="false">IF('RAW QHH'!A136="","",'RAW QHH'!A136)</f>
        <v>Grief Support Group</v>
      </c>
      <c r="F1516" s="48" t="str">
        <f aca="false">IF('RAW QHH'!B136="","",'RAW QHH'!B136)</f>
        <v>CHIS - Support</v>
      </c>
      <c r="G1516" s="49" t="str">
        <f aca="false">IF('RAW QHH'!C136="","",'RAW QHH'!C136)</f>
        <v>17-Jan-2026</v>
      </c>
      <c r="H1516" s="48" t="str">
        <f aca="false">IF('RAW QHH'!D136="","",'RAW QHH'!D136)</f>
        <v>Clinical Social Worker</v>
      </c>
      <c r="I1516" s="48" t="n">
        <f aca="false">IF('RAW QHH'!E136="","",'RAW QHH'!E136)</f>
        <v>1.75</v>
      </c>
      <c r="J1516" s="48" t="str">
        <f aca="false">IF('RAW QHH'!F136="","",'RAW QHH'!F136)</f>
        <v/>
      </c>
      <c r="K1516" s="50" t="n">
        <f aca="false">IF('RAW QHH'!G136="","",'RAW QHH'!G136)</f>
        <v>0</v>
      </c>
      <c r="L1516" s="50" t="n">
        <f aca="false">IF('RAW QHH'!H136="","",'RAW QHH'!H136)</f>
        <v>0</v>
      </c>
      <c r="M1516" s="48" t="str">
        <f aca="false">IF('RAW QHH'!I136="","",'RAW QHH'!I136)</f>
        <v/>
      </c>
    </row>
    <row r="1517" customFormat="false" ht="15" hidden="false" customHeight="false" outlineLevel="0" collapsed="false">
      <c r="A1517" s="1" t="s">
        <v>2661</v>
      </c>
      <c r="B1517" s="1" t="s">
        <v>158</v>
      </c>
      <c r="C1517" s="1" t="s">
        <v>1153</v>
      </c>
      <c r="D1517" s="1" t="n">
        <v>137</v>
      </c>
      <c r="E1517" s="48" t="str">
        <f aca="false">IF('RAW QHH'!A137="","",'RAW QHH'!A137)</f>
        <v>Blood Pressure Clinic</v>
      </c>
      <c r="F1517" s="48" t="str">
        <f aca="false">IF('RAW QHH'!B137="","",'RAW QHH'!B137)</f>
        <v>CHIS - Clinical</v>
      </c>
      <c r="G1517" s="49" t="str">
        <f aca="false">IF('RAW QHH'!C137="","",'RAW QHH'!C137)</f>
        <v>24-Jan-2026</v>
      </c>
      <c r="H1517" s="48" t="str">
        <f aca="false">IF('RAW QHH'!D137="","",'RAW QHH'!D137)</f>
        <v>RN II</v>
      </c>
      <c r="I1517" s="48" t="n">
        <f aca="false">IF('RAW QHH'!E137="","",'RAW QHH'!E137)</f>
        <v>3.5</v>
      </c>
      <c r="J1517" s="48" t="n">
        <f aca="false">IF('RAW QHH'!F137="","",'RAW QHH'!F137)</f>
        <v>33</v>
      </c>
      <c r="K1517" s="50" t="n">
        <f aca="false">IF('RAW QHH'!G137="","",'RAW QHH'!G137)</f>
        <v>105</v>
      </c>
      <c r="L1517" s="50" t="n">
        <f aca="false">IF('RAW QHH'!H137="","",'RAW QHH'!H137)</f>
        <v>0</v>
      </c>
      <c r="M1517" s="48" t="str">
        <f aca="false">IF('RAW QHH'!I137="","",'RAW QHH'!I137)</f>
        <v/>
      </c>
    </row>
    <row r="1518" customFormat="false" ht="15" hidden="false" customHeight="false" outlineLevel="0" collapsed="false">
      <c r="A1518" s="1" t="s">
        <v>2662</v>
      </c>
      <c r="B1518" s="1" t="s">
        <v>158</v>
      </c>
      <c r="C1518" s="1" t="s">
        <v>1153</v>
      </c>
      <c r="D1518" s="1" t="n">
        <v>138</v>
      </c>
      <c r="E1518" s="48" t="str">
        <f aca="false">IF('RAW QHH'!A138="","",'RAW QHH'!A138)</f>
        <v>Diabetes Prevention Program</v>
      </c>
      <c r="F1518" s="48" t="str">
        <f aca="false">IF('RAW QHH'!B138="","",'RAW QHH'!B138)</f>
        <v>CHIS - Education</v>
      </c>
      <c r="G1518" s="49" t="str">
        <f aca="false">IF('RAW QHH'!C138="","",'RAW QHH'!C138)</f>
        <v>28-Jan-2026</v>
      </c>
      <c r="H1518" s="48" t="str">
        <f aca="false">IF('RAW QHH'!D138="","",'RAW QHH'!D138)</f>
        <v>Hlth Educator</v>
      </c>
      <c r="I1518" s="48" t="n">
        <f aca="false">IF('RAW QHH'!E138="","",'RAW QHH'!E138)</f>
        <v>2.25</v>
      </c>
      <c r="J1518" s="48" t="n">
        <f aca="false">IF('RAW QHH'!F138="","",'RAW QHH'!F138)</f>
        <v>16</v>
      </c>
      <c r="K1518" s="50" t="n">
        <f aca="false">IF('RAW QHH'!G138="","",'RAW QHH'!G138)</f>
        <v>170</v>
      </c>
      <c r="L1518" s="50" t="n">
        <f aca="false">IF('RAW QHH'!H138="","",'RAW QHH'!H138)</f>
        <v>0</v>
      </c>
      <c r="M1518" s="48" t="str">
        <f aca="false">IF('RAW QHH'!I138="","",'RAW QHH'!I138)</f>
        <v/>
      </c>
    </row>
    <row r="1519" customFormat="false" ht="15" hidden="false" customHeight="false" outlineLevel="0" collapsed="false">
      <c r="A1519" s="1" t="s">
        <v>2663</v>
      </c>
      <c r="B1519" s="1" t="s">
        <v>158</v>
      </c>
      <c r="C1519" s="1" t="s">
        <v>1153</v>
      </c>
      <c r="D1519" s="1" t="n">
        <v>139</v>
      </c>
      <c r="E1519" s="48" t="str">
        <f aca="false">IF('RAW QHH'!A139="","",'RAW QHH'!A139)</f>
        <v>Diabetes Prevention Program</v>
      </c>
      <c r="F1519" s="48" t="str">
        <f aca="false">IF('RAW QHH'!B139="","",'RAW QHH'!B139)</f>
        <v>CHIS - Education</v>
      </c>
      <c r="G1519" s="49" t="str">
        <f aca="false">IF('RAW QHH'!C139="","",'RAW QHH'!C139)</f>
        <v>28-Jan-2026</v>
      </c>
      <c r="H1519" s="48" t="str">
        <f aca="false">IF('RAW QHH'!D139="","",'RAW QHH'!D139)</f>
        <v>Clinical Dietitian</v>
      </c>
      <c r="I1519" s="48" t="n">
        <f aca="false">IF('RAW QHH'!E139="","",'RAW QHH'!E139)</f>
        <v>1.75</v>
      </c>
      <c r="J1519" s="48" t="str">
        <f aca="false">IF('RAW QHH'!F139="","",'RAW QHH'!F139)</f>
        <v/>
      </c>
      <c r="K1519" s="50" t="n">
        <f aca="false">IF('RAW QHH'!G139="","",'RAW QHH'!G139)</f>
        <v>0</v>
      </c>
      <c r="L1519" s="50" t="n">
        <f aca="false">IF('RAW QHH'!H139="","",'RAW QHH'!H139)</f>
        <v>0</v>
      </c>
      <c r="M1519" s="48" t="str">
        <f aca="false">IF('RAW QHH'!I139="","",'RAW QHH'!I139)</f>
        <v/>
      </c>
    </row>
    <row r="1520" customFormat="false" ht="15" hidden="false" customHeight="false" outlineLevel="0" collapsed="false">
      <c r="A1520" s="1" t="s">
        <v>2664</v>
      </c>
      <c r="B1520" s="1" t="s">
        <v>158</v>
      </c>
      <c r="C1520" s="1" t="s">
        <v>1153</v>
      </c>
      <c r="D1520" s="1" t="n">
        <v>140</v>
      </c>
      <c r="E1520" s="48" t="str">
        <f aca="false">IF('RAW QHH'!A140="","",'RAW QHH'!A140)</f>
        <v>Regional Coalition</v>
      </c>
      <c r="F1520" s="48" t="str">
        <f aca="false">IF('RAW QHH'!B140="","",'RAW QHH'!B140)</f>
        <v>Coalition (CB)</v>
      </c>
      <c r="G1520" s="49" t="str">
        <f aca="false">IF('RAW QHH'!C140="","",'RAW QHH'!C140)</f>
        <v>28-Jan-2026</v>
      </c>
      <c r="H1520" s="48" t="str">
        <f aca="false">IF('RAW QHH'!D140="","",'RAW QHH'!D140)</f>
        <v>Community Health Manager</v>
      </c>
      <c r="I1520" s="48" t="n">
        <f aca="false">IF('RAW QHH'!E140="","",'RAW QHH'!E140)</f>
        <v>2.5</v>
      </c>
      <c r="J1520" s="48" t="str">
        <f aca="false">IF('RAW QHH'!F140="","",'RAW QHH'!F140)</f>
        <v/>
      </c>
      <c r="K1520" s="50" t="n">
        <f aca="false">IF('RAW QHH'!G140="","",'RAW QHH'!G140)</f>
        <v>0</v>
      </c>
      <c r="L1520" s="50" t="n">
        <f aca="false">IF('RAW QHH'!H140="","",'RAW QHH'!H140)</f>
        <v>0</v>
      </c>
      <c r="M1520" s="48" t="str">
        <f aca="false">IF('RAW QHH'!I140="","",'RAW QHH'!I140)</f>
        <v/>
      </c>
    </row>
    <row r="1521" customFormat="false" ht="15" hidden="false" customHeight="false" outlineLevel="0" collapsed="false">
      <c r="A1521" s="1" t="s">
        <v>2665</v>
      </c>
      <c r="B1521" s="1" t="s">
        <v>158</v>
      </c>
      <c r="C1521" s="1" t="s">
        <v>1153</v>
      </c>
      <c r="D1521" s="1" t="n">
        <v>141</v>
      </c>
      <c r="E1521" s="48" t="str">
        <f aca="false">IF('RAW QHH'!A141="","",'RAW QHH'!A141)</f>
        <v>Regional Coalition</v>
      </c>
      <c r="F1521" s="48" t="str">
        <f aca="false">IF('RAW QHH'!B141="","",'RAW QHH'!B141)</f>
        <v>Coalition (CB)</v>
      </c>
      <c r="G1521" s="49" t="str">
        <f aca="false">IF('RAW QHH'!C141="","",'RAW QHH'!C141)</f>
        <v>28-Jan-2026</v>
      </c>
      <c r="H1521" s="48" t="str">
        <f aca="false">IF('RAW QHH'!D141="","",'RAW QHH'!D141)</f>
        <v>Assoc. Director</v>
      </c>
      <c r="I1521" s="48" t="n">
        <f aca="false">IF('RAW QHH'!E141="","",'RAW QHH'!E141)</f>
        <v>2.25</v>
      </c>
      <c r="J1521" s="48" t="str">
        <f aca="false">IF('RAW QHH'!F141="","",'RAW QHH'!F141)</f>
        <v/>
      </c>
      <c r="K1521" s="50" t="n">
        <f aca="false">IF('RAW QHH'!G141="","",'RAW QHH'!G141)</f>
        <v>35</v>
      </c>
      <c r="L1521" s="50" t="n">
        <f aca="false">IF('RAW QHH'!H141="","",'RAW QHH'!H141)</f>
        <v>0</v>
      </c>
      <c r="M1521" s="48" t="str">
        <f aca="false">IF('RAW QHH'!I141="","",'RAW QHH'!I141)</f>
        <v/>
      </c>
    </row>
    <row r="1522" customFormat="false" ht="15" hidden="false" customHeight="false" outlineLevel="0" collapsed="false">
      <c r="A1522" s="1" t="s">
        <v>2666</v>
      </c>
      <c r="B1522" s="1" t="s">
        <v>158</v>
      </c>
      <c r="C1522" s="1" t="s">
        <v>1153</v>
      </c>
      <c r="D1522" s="1" t="n">
        <v>142</v>
      </c>
      <c r="E1522" s="48" t="str">
        <f aca="false">IF('RAW QHH'!A142="","",'RAW QHH'!A142)</f>
        <v>Quit Tobacco Class</v>
      </c>
      <c r="F1522" s="48" t="str">
        <f aca="false">IF('RAW QHH'!B142="","",'RAW QHH'!B142)</f>
        <v>CHIS - Education</v>
      </c>
      <c r="G1522" s="49" t="str">
        <f aca="false">IF('RAW QHH'!C142="","",'RAW QHH'!C142)</f>
        <v>29-Jan-2026</v>
      </c>
      <c r="H1522" s="48" t="str">
        <f aca="false">IF('RAW QHH'!D142="","",'RAW QHH'!D142)</f>
        <v>DPT</v>
      </c>
      <c r="I1522" s="48" t="n">
        <f aca="false">IF('RAW QHH'!E142="","",'RAW QHH'!E142)</f>
        <v>2</v>
      </c>
      <c r="J1522" s="48" t="n">
        <f aca="false">IF('RAW QHH'!F142="","",'RAW QHH'!F142)</f>
        <v>14</v>
      </c>
      <c r="K1522" s="50" t="n">
        <f aca="false">IF('RAW QHH'!G142="","",'RAW QHH'!G142)</f>
        <v>95</v>
      </c>
      <c r="L1522" s="50" t="n">
        <f aca="false">IF('RAW QHH'!H142="","",'RAW QHH'!H142)</f>
        <v>0</v>
      </c>
      <c r="M1522" s="48" t="str">
        <f aca="false">IF('RAW QHH'!I142="","",'RAW QHH'!I142)</f>
        <v/>
      </c>
    </row>
    <row r="1523" customFormat="false" ht="15" hidden="false" customHeight="false" outlineLevel="0" collapsed="false">
      <c r="A1523" s="1" t="s">
        <v>2667</v>
      </c>
      <c r="B1523" s="1" t="s">
        <v>158</v>
      </c>
      <c r="C1523" s="1" t="s">
        <v>1153</v>
      </c>
      <c r="D1523" s="1" t="n">
        <v>143</v>
      </c>
      <c r="E1523" s="48" t="str">
        <f aca="false">IF('RAW QHH'!A143="","",'RAW QHH'!A143)</f>
        <v>Medication Assistance</v>
      </c>
      <c r="F1523" s="48" t="str">
        <f aca="false">IF('RAW QHH'!B143="","",'RAW QHH'!B143)</f>
        <v>CHIS - Support</v>
      </c>
      <c r="G1523" s="49" t="str">
        <f aca="false">IF('RAW QHH'!C143="","",'RAW QHH'!C143)</f>
        <v>31-Jan-2026</v>
      </c>
      <c r="H1523" s="48" t="str">
        <f aca="false">IF('RAW QHH'!D143="","",'RAW QHH'!D143)</f>
        <v>Nurse Navigator</v>
      </c>
      <c r="I1523" s="48" t="n">
        <f aca="false">IF('RAW QHH'!E143="","",'RAW QHH'!E143)</f>
        <v>73.75</v>
      </c>
      <c r="J1523" s="48" t="str">
        <f aca="false">IF('RAW QHH'!F143="","",'RAW QHH'!F143)</f>
        <v/>
      </c>
      <c r="K1523" s="50" t="n">
        <f aca="false">IF('RAW QHH'!G143="","",'RAW QHH'!G143)</f>
        <v>0</v>
      </c>
      <c r="L1523" s="50" t="n">
        <f aca="false">IF('RAW QHH'!H143="","",'RAW QHH'!H143)</f>
        <v>0</v>
      </c>
      <c r="M1523" s="48" t="str">
        <f aca="false">IF('RAW QHH'!I143="","",'RAW QHH'!I143)</f>
        <v/>
      </c>
    </row>
    <row r="1524" customFormat="false" ht="15" hidden="false" customHeight="false" outlineLevel="0" collapsed="false">
      <c r="A1524" s="1" t="s">
        <v>2668</v>
      </c>
      <c r="B1524" s="1" t="s">
        <v>158</v>
      </c>
      <c r="C1524" s="1" t="s">
        <v>1153</v>
      </c>
      <c r="D1524" s="1" t="n">
        <v>144</v>
      </c>
      <c r="E1524" s="48" t="str">
        <f aca="false">IF('RAW QHH'!A144="","",'RAW QHH'!A144)</f>
        <v>Medication Assistance</v>
      </c>
      <c r="F1524" s="48" t="str">
        <f aca="false">IF('RAW QHH'!B144="","",'RAW QHH'!B144)</f>
        <v>CHIS - Support</v>
      </c>
      <c r="G1524" s="49" t="str">
        <f aca="false">IF('RAW QHH'!C144="","",'RAW QHH'!C144)</f>
        <v>31-Jan-2026</v>
      </c>
      <c r="H1524" s="48" t="str">
        <f aca="false">IF('RAW QHH'!D144="","",'RAW QHH'!D144)</f>
        <v>Clinical Pharmacist</v>
      </c>
      <c r="I1524" s="48" t="n">
        <f aca="false">IF('RAW QHH'!E144="","",'RAW QHH'!E144)</f>
        <v>15.5</v>
      </c>
      <c r="J1524" s="48" t="n">
        <f aca="false">IF('RAW QHH'!F144="","",'RAW QHH'!F144)</f>
        <v>103</v>
      </c>
      <c r="K1524" s="50" t="n">
        <f aca="false">IF('RAW QHH'!G144="","",'RAW QHH'!G144)</f>
        <v>13430</v>
      </c>
      <c r="L1524" s="50" t="n">
        <f aca="false">IF('RAW QHH'!H144="","",'RAW QHH'!H144)</f>
        <v>0</v>
      </c>
      <c r="M1524" s="48" t="str">
        <f aca="false">IF('RAW QHH'!I144="","",'RAW QHH'!I144)</f>
        <v/>
      </c>
    </row>
    <row r="1525" customFormat="false" ht="15" hidden="false" customHeight="false" outlineLevel="0" collapsed="false">
      <c r="A1525" s="1" t="s">
        <v>2669</v>
      </c>
      <c r="B1525" s="1" t="s">
        <v>158</v>
      </c>
      <c r="C1525" s="1" t="s">
        <v>1153</v>
      </c>
      <c r="D1525" s="1" t="n">
        <v>145</v>
      </c>
      <c r="E1525" s="48" t="str">
        <f aca="false">IF('RAW QHH'!A145="","",'RAW QHH'!A145)</f>
        <v>Community Benefit Admin.</v>
      </c>
      <c r="F1525" s="48" t="str">
        <f aca="false">IF('RAW QHH'!B145="","",'RAW QHH'!B145)</f>
        <v>CBO</v>
      </c>
      <c r="G1525" s="49" t="str">
        <f aca="false">IF('RAW QHH'!C145="","",'RAW QHH'!C145)</f>
        <v>31-Jan-2026</v>
      </c>
      <c r="H1525" s="48" t="str">
        <f aca="false">IF('RAW QHH'!D145="","",'RAW QHH'!D145)</f>
        <v> Secretary</v>
      </c>
      <c r="I1525" s="48" t="n">
        <f aca="false">IF('RAW QHH'!E145="","",'RAW QHH'!E145)</f>
        <v>46.75</v>
      </c>
      <c r="J1525" s="48" t="str">
        <f aca="false">IF('RAW QHH'!F145="","",'RAW QHH'!F145)</f>
        <v/>
      </c>
      <c r="K1525" s="50" t="n">
        <f aca="false">IF('RAW QHH'!G145="","",'RAW QHH'!G145)</f>
        <v>0</v>
      </c>
      <c r="L1525" s="50" t="n">
        <f aca="false">IF('RAW QHH'!H145="","",'RAW QHH'!H145)</f>
        <v>0</v>
      </c>
      <c r="M1525" s="48" t="str">
        <f aca="false">IF('RAW QHH'!I145="","",'RAW QHH'!I145)</f>
        <v/>
      </c>
    </row>
    <row r="1526" customFormat="false" ht="15" hidden="false" customHeight="false" outlineLevel="0" collapsed="false">
      <c r="A1526" s="1" t="s">
        <v>2670</v>
      </c>
      <c r="B1526" s="1" t="s">
        <v>158</v>
      </c>
      <c r="C1526" s="1" t="s">
        <v>1153</v>
      </c>
      <c r="D1526" s="1" t="n">
        <v>146</v>
      </c>
      <c r="E1526" s="48" t="str">
        <f aca="false">IF('RAW QHH'!A146="","",'RAW QHH'!A146)</f>
        <v>Community Benefit Admin.</v>
      </c>
      <c r="F1526" s="48" t="str">
        <f aca="false">IF('RAW QHH'!B146="","",'RAW QHH'!B146)</f>
        <v>CBO</v>
      </c>
      <c r="G1526" s="49" t="str">
        <f aca="false">IF('RAW QHH'!C146="","",'RAW QHH'!C146)</f>
        <v>31-Jan-2026</v>
      </c>
      <c r="H1526" s="48" t="str">
        <f aca="false">IF('RAW QHH'!D146="","",'RAW QHH'!D146)</f>
        <v>Community Benefit Manager</v>
      </c>
      <c r="I1526" s="48" t="n">
        <f aca="false">IF('RAW QHH'!E146="","",'RAW QHH'!E146)</f>
        <v>64.25</v>
      </c>
      <c r="J1526" s="48" t="str">
        <f aca="false">IF('RAW QHH'!F146="","",'RAW QHH'!F146)</f>
        <v/>
      </c>
      <c r="K1526" s="50" t="n">
        <f aca="false">IF('RAW QHH'!G146="","",'RAW QHH'!G146)</f>
        <v>580</v>
      </c>
      <c r="L1526" s="50" t="n">
        <f aca="false">IF('RAW QHH'!H146="","",'RAW QHH'!H146)</f>
        <v>0</v>
      </c>
      <c r="M1526" s="48" t="str">
        <f aca="false">IF('RAW QHH'!I146="","",'RAW QHH'!I146)</f>
        <v/>
      </c>
    </row>
    <row r="1527" customFormat="false" ht="15" hidden="false" customHeight="false" outlineLevel="0" collapsed="false">
      <c r="A1527" s="1" t="s">
        <v>2671</v>
      </c>
      <c r="B1527" s="1" t="s">
        <v>158</v>
      </c>
      <c r="C1527" s="1" t="s">
        <v>1153</v>
      </c>
      <c r="D1527" s="1" t="n">
        <v>147</v>
      </c>
      <c r="E1527" s="48" t="str">
        <f aca="false">IF('RAW QHH'!A147="","",'RAW QHH'!A147)</f>
        <v>Community Paramedicine</v>
      </c>
      <c r="F1527" s="48" t="str">
        <f aca="false">IF('RAW QHH'!B147="","",'RAW QHH'!B147)</f>
        <v>CHIS - Clinical</v>
      </c>
      <c r="G1527" s="49" t="str">
        <f aca="false">IF('RAW QHH'!C147="","",'RAW QHH'!C147)</f>
        <v>31-Jan-2026</v>
      </c>
      <c r="H1527" s="48" t="str">
        <f aca="false">IF('RAW QHH'!D147="","",'RAW QHH'!D147)</f>
        <v>EMS Paramedic</v>
      </c>
      <c r="I1527" s="48" t="n">
        <f aca="false">IF('RAW QHH'!E147="","",'RAW QHH'!E147)</f>
        <v>71.5</v>
      </c>
      <c r="J1527" s="48" t="n">
        <f aca="false">IF('RAW QHH'!F147="","",'RAW QHH'!F147)</f>
        <v>61</v>
      </c>
      <c r="K1527" s="50" t="n">
        <f aca="false">IF('RAW QHH'!G147="","",'RAW QHH'!G147)</f>
        <v>925</v>
      </c>
      <c r="L1527" s="50" t="n">
        <f aca="false">IF('RAW QHH'!H147="","",'RAW QHH'!H147)</f>
        <v>0</v>
      </c>
      <c r="M1527" s="48" t="str">
        <f aca="false">IF('RAW QHH'!I147="","",'RAW QHH'!I147)</f>
        <v/>
      </c>
    </row>
    <row r="1528" customFormat="false" ht="15" hidden="false" customHeight="false" outlineLevel="0" collapsed="false">
      <c r="A1528" s="1" t="s">
        <v>2672</v>
      </c>
      <c r="B1528" s="1" t="s">
        <v>158</v>
      </c>
      <c r="C1528" s="1" t="s">
        <v>1153</v>
      </c>
      <c r="D1528" s="1" t="n">
        <v>148</v>
      </c>
      <c r="E1528" s="48" t="str">
        <f aca="false">IF('RAW QHH'!A148="","",'RAW QHH'!A148)</f>
        <v>Nursing Clinical Rotations</v>
      </c>
      <c r="F1528" s="48" t="str">
        <f aca="false">IF('RAW QHH'!B148="","",'RAW QHH'!B148)</f>
        <v>HPE - Students</v>
      </c>
      <c r="G1528" s="49" t="str">
        <f aca="false">IF('RAW QHH'!C148="","",'RAW QHH'!C148)</f>
        <v>31-Jan-2026</v>
      </c>
      <c r="H1528" s="48" t="str">
        <f aca="false">IF('RAW QHH'!D148="","",'RAW QHH'!D148)</f>
        <v>Clin Educator</v>
      </c>
      <c r="I1528" s="48" t="n">
        <f aca="false">IF('RAW QHH'!E148="","",'RAW QHH'!E148)</f>
        <v>101.25</v>
      </c>
      <c r="J1528" s="48" t="n">
        <f aca="false">IF('RAW QHH'!F148="","",'RAW QHH'!F148)</f>
        <v>26</v>
      </c>
      <c r="K1528" s="50" t="n">
        <f aca="false">IF('RAW QHH'!G148="","",'RAW QHH'!G148)</f>
        <v>650</v>
      </c>
      <c r="L1528" s="50" t="n">
        <f aca="false">IF('RAW QHH'!H148="","",'RAW QHH'!H148)</f>
        <v>0</v>
      </c>
      <c r="M1528" s="48" t="str">
        <f aca="false">IF('RAW QHH'!I148="","",'RAW QHH'!I148)</f>
        <v/>
      </c>
    </row>
    <row r="1529" customFormat="false" ht="15" hidden="false" customHeight="false" outlineLevel="0" collapsed="false">
      <c r="A1529" s="1" t="s">
        <v>2673</v>
      </c>
      <c r="B1529" s="1" t="s">
        <v>158</v>
      </c>
      <c r="C1529" s="1" t="s">
        <v>1153</v>
      </c>
      <c r="D1529" s="1" t="n">
        <v>149</v>
      </c>
      <c r="E1529" s="48" t="str">
        <f aca="false">IF('RAW QHH'!A149="","",'RAW QHH'!A149)</f>
        <v>Nursing Clinical Rotations</v>
      </c>
      <c r="F1529" s="48" t="str">
        <f aca="false">IF('RAW QHH'!B149="","",'RAW QHH'!B149)</f>
        <v>HPE - Students</v>
      </c>
      <c r="G1529" s="49" t="str">
        <f aca="false">IF('RAW QHH'!C149="","",'RAW QHH'!C149)</f>
        <v>31-Jan-2026</v>
      </c>
      <c r="H1529" s="48" t="str">
        <f aca="false">IF('RAW QHH'!D149="","",'RAW QHH'!D149)</f>
        <v>RN II</v>
      </c>
      <c r="I1529" s="48" t="n">
        <f aca="false">IF('RAW QHH'!E149="","",'RAW QHH'!E149)</f>
        <v>156.75</v>
      </c>
      <c r="J1529" s="48" t="str">
        <f aca="false">IF('RAW QHH'!F149="","",'RAW QHH'!F149)</f>
        <v/>
      </c>
      <c r="K1529" s="50" t="n">
        <f aca="false">IF('RAW QHH'!G149="","",'RAW QHH'!G149)</f>
        <v>0</v>
      </c>
      <c r="L1529" s="50" t="n">
        <f aca="false">IF('RAW QHH'!H149="","",'RAW QHH'!H149)</f>
        <v>0</v>
      </c>
      <c r="M1529" s="48" t="str">
        <f aca="false">IF('RAW QHH'!I149="","",'RAW QHH'!I149)</f>
        <v/>
      </c>
    </row>
    <row r="1530" customFormat="false" ht="15" hidden="false" customHeight="false" outlineLevel="0" collapsed="false">
      <c r="A1530" s="1" t="s">
        <v>2674</v>
      </c>
      <c r="B1530" s="1" t="s">
        <v>158</v>
      </c>
      <c r="C1530" s="1" t="s">
        <v>1153</v>
      </c>
      <c r="D1530" s="1" t="n">
        <v>150</v>
      </c>
      <c r="E1530" s="48" t="str">
        <f aca="false">IF('RAW QHH'!A150="","",'RAW QHH'!A150)</f>
        <v>Regional Coalition</v>
      </c>
      <c r="F1530" s="48" t="str">
        <f aca="false">IF('RAW QHH'!B150="","",'RAW QHH'!B150)</f>
        <v>Coalition (CB)</v>
      </c>
      <c r="G1530" s="49" t="str">
        <f aca="false">IF('RAW QHH'!C150="","",'RAW QHH'!C150)</f>
        <v>31-Jan-2026</v>
      </c>
      <c r="H1530" s="48" t="str">
        <f aca="false">IF('RAW QHH'!D150="","",'RAW QHH'!D150)</f>
        <v>CB Manager</v>
      </c>
      <c r="I1530" s="48" t="n">
        <f aca="false">IF('RAW QHH'!E150="","",'RAW QHH'!E150)</f>
        <v>2.5</v>
      </c>
      <c r="J1530" s="48" t="str">
        <f aca="false">IF('RAW QHH'!F150="","",'RAW QHH'!F150)</f>
        <v/>
      </c>
      <c r="K1530" s="50" t="n">
        <f aca="false">IF('RAW QHH'!G150="","",'RAW QHH'!G150)</f>
        <v>0</v>
      </c>
      <c r="L1530" s="50" t="n">
        <f aca="false">IF('RAW QHH'!H150="","",'RAW QHH'!H150)</f>
        <v>0</v>
      </c>
      <c r="M1530" s="48" t="str">
        <f aca="false">IF('RAW QHH'!I150="","",'RAW QHH'!I150)</f>
        <v/>
      </c>
    </row>
    <row r="1531" customFormat="false" ht="15" hidden="false" customHeight="false" outlineLevel="0" collapsed="false">
      <c r="A1531" s="1" t="s">
        <v>2675</v>
      </c>
      <c r="B1531" s="1" t="s">
        <v>158</v>
      </c>
      <c r="C1531" s="1" t="s">
        <v>1153</v>
      </c>
      <c r="D1531" s="1" t="n">
        <v>151</v>
      </c>
      <c r="E1531" s="48" t="str">
        <f aca="false">IF('RAW QHH'!A151="","",'RAW QHH'!A151)</f>
        <v>Regional Coalition</v>
      </c>
      <c r="F1531" s="48" t="str">
        <f aca="false">IF('RAW QHH'!B151="","",'RAW QHH'!B151)</f>
        <v>Coalition (CB)</v>
      </c>
      <c r="G1531" s="49" t="str">
        <f aca="false">IF('RAW QHH'!C151="","",'RAW QHH'!C151)</f>
        <v>31-Jan-2026</v>
      </c>
      <c r="H1531" s="48" t="str">
        <f aca="false">IF('RAW QHH'!D151="","",'RAW QHH'!D151)</f>
        <v>Executive Director</v>
      </c>
      <c r="I1531" s="48" t="n">
        <f aca="false">IF('RAW QHH'!E151="","",'RAW QHH'!E151)</f>
        <v>2.25</v>
      </c>
      <c r="J1531" s="48" t="str">
        <f aca="false">IF('RAW QHH'!F151="","",'RAW QHH'!F151)</f>
        <v/>
      </c>
      <c r="K1531" s="50" t="n">
        <f aca="false">IF('RAW QHH'!G151="","",'RAW QHH'!G151)</f>
        <v>0</v>
      </c>
      <c r="L1531" s="50" t="n">
        <f aca="false">IF('RAW QHH'!H151="","",'RAW QHH'!H151)</f>
        <v>0</v>
      </c>
      <c r="M1531" s="48" t="str">
        <f aca="false">IF('RAW QHH'!I151="","",'RAW QHH'!I151)</f>
        <v/>
      </c>
    </row>
    <row r="1532" customFormat="false" ht="15" hidden="false" customHeight="false" outlineLevel="0" collapsed="false">
      <c r="A1532" s="1" t="s">
        <v>2676</v>
      </c>
      <c r="B1532" s="1" t="s">
        <v>158</v>
      </c>
      <c r="C1532" s="1" t="s">
        <v>1153</v>
      </c>
      <c r="D1532" s="1" t="n">
        <v>152</v>
      </c>
      <c r="E1532" s="48" t="str">
        <f aca="false">IF('RAW QHH'!A152="","",'RAW QHH'!A152)</f>
        <v>Blood Pressure Clinic</v>
      </c>
      <c r="F1532" s="48" t="str">
        <f aca="false">IF('RAW QHH'!B152="","",'RAW QHH'!B152)</f>
        <v>CHIS - Clinical</v>
      </c>
      <c r="G1532" s="49" t="str">
        <f aca="false">IF('RAW QHH'!C152="","",'RAW QHH'!C152)</f>
        <v>05-Feb-2026</v>
      </c>
      <c r="H1532" s="48" t="str">
        <f aca="false">IF('RAW QHH'!D152="","",'RAW QHH'!D152)</f>
        <v>Reg Nurse</v>
      </c>
      <c r="I1532" s="48" t="n">
        <f aca="false">IF('RAW QHH'!E152="","",'RAW QHH'!E152)</f>
        <v>3.5</v>
      </c>
      <c r="J1532" s="48" t="n">
        <f aca="false">IF('RAW QHH'!F152="","",'RAW QHH'!F152)</f>
        <v>51</v>
      </c>
      <c r="K1532" s="50" t="n">
        <f aca="false">IF('RAW QHH'!G152="","",'RAW QHH'!G152)</f>
        <v>55</v>
      </c>
      <c r="L1532" s="50" t="n">
        <f aca="false">IF('RAW QHH'!H152="","",'RAW QHH'!H152)</f>
        <v>0</v>
      </c>
      <c r="M1532" s="48" t="str">
        <f aca="false">IF('RAW QHH'!I152="","",'RAW QHH'!I152)</f>
        <v/>
      </c>
    </row>
    <row r="1533" customFormat="false" ht="15" hidden="false" customHeight="false" outlineLevel="0" collapsed="false">
      <c r="A1533" s="1" t="s">
        <v>2677</v>
      </c>
      <c r="B1533" s="1" t="s">
        <v>158</v>
      </c>
      <c r="C1533" s="1" t="s">
        <v>1153</v>
      </c>
      <c r="D1533" s="1" t="n">
        <v>153</v>
      </c>
      <c r="E1533" s="48" t="str">
        <f aca="false">IF('RAW QHH'!A153="","",'RAW QHH'!A153)</f>
        <v>Fall Prevention Class</v>
      </c>
      <c r="F1533" s="48" t="str">
        <f aca="false">IF('RAW QHH'!B153="","",'RAW QHH'!B153)</f>
        <v>CHIS - Education</v>
      </c>
      <c r="G1533" s="49" t="str">
        <f aca="false">IF('RAW QHH'!C153="","",'RAW QHH'!C153)</f>
        <v>12-Feb-2026</v>
      </c>
      <c r="H1533" s="48" t="str">
        <f aca="false">IF('RAW QHH'!D153="","",'RAW QHH'!D153)</f>
        <v>Phys Therapist</v>
      </c>
      <c r="I1533" s="48" t="n">
        <f aca="false">IF('RAW QHH'!E153="","",'RAW QHH'!E153)</f>
        <v>2</v>
      </c>
      <c r="J1533" s="48" t="n">
        <f aca="false">IF('RAW QHH'!F153="","",'RAW QHH'!F153)</f>
        <v>9</v>
      </c>
      <c r="K1533" s="50" t="n">
        <f aca="false">IF('RAW QHH'!G153="","",'RAW QHH'!G153)</f>
        <v>105</v>
      </c>
      <c r="L1533" s="50" t="n">
        <f aca="false">IF('RAW QHH'!H153="","",'RAW QHH'!H153)</f>
        <v>0</v>
      </c>
      <c r="M1533" s="48" t="str">
        <f aca="false">IF('RAW QHH'!I153="","",'RAW QHH'!I153)</f>
        <v/>
      </c>
    </row>
    <row r="1534" customFormat="false" ht="15" hidden="false" customHeight="false" outlineLevel="0" collapsed="false">
      <c r="A1534" s="1" t="s">
        <v>2678</v>
      </c>
      <c r="B1534" s="1" t="s">
        <v>158</v>
      </c>
      <c r="C1534" s="1" t="s">
        <v>1153</v>
      </c>
      <c r="D1534" s="1" t="n">
        <v>154</v>
      </c>
      <c r="E1534" s="48" t="str">
        <f aca="false">IF('RAW QHH'!A154="","",'RAW QHH'!A154)</f>
        <v>Regional Coalition</v>
      </c>
      <c r="F1534" s="48" t="str">
        <f aca="false">IF('RAW QHH'!B154="","",'RAW QHH'!B154)</f>
        <v>Coalition (CB)</v>
      </c>
      <c r="G1534" s="49" t="str">
        <f aca="false">IF('RAW QHH'!C154="","",'RAW QHH'!C154)</f>
        <v>21-Feb-2026</v>
      </c>
      <c r="H1534" s="48" t="str">
        <f aca="false">IF('RAW QHH'!D154="","",'RAW QHH'!D154)</f>
        <v>Manager Community Benefit</v>
      </c>
      <c r="I1534" s="48" t="n">
        <f aca="false">IF('RAW QHH'!E154="","",'RAW QHH'!E154)</f>
        <v>2.75</v>
      </c>
      <c r="J1534" s="48" t="str">
        <f aca="false">IF('RAW QHH'!F154="","",'RAW QHH'!F154)</f>
        <v/>
      </c>
      <c r="K1534" s="50" t="n">
        <f aca="false">IF('RAW QHH'!G154="","",'RAW QHH'!G154)</f>
        <v>0</v>
      </c>
      <c r="L1534" s="50" t="n">
        <f aca="false">IF('RAW QHH'!H154="","",'RAW QHH'!H154)</f>
        <v>0</v>
      </c>
      <c r="M1534" s="48" t="str">
        <f aca="false">IF('RAW QHH'!I154="","",'RAW QHH'!I154)</f>
        <v/>
      </c>
    </row>
    <row r="1535" customFormat="false" ht="15" hidden="false" customHeight="false" outlineLevel="0" collapsed="false">
      <c r="A1535" s="1" t="s">
        <v>2679</v>
      </c>
      <c r="B1535" s="1" t="s">
        <v>158</v>
      </c>
      <c r="C1535" s="1" t="s">
        <v>1153</v>
      </c>
      <c r="D1535" s="1" t="n">
        <v>155</v>
      </c>
      <c r="E1535" s="48" t="str">
        <f aca="false">IF('RAW QHH'!A155="","",'RAW QHH'!A155)</f>
        <v>Regional Coalition</v>
      </c>
      <c r="F1535" s="48" t="str">
        <f aca="false">IF('RAW QHH'!B155="","",'RAW QHH'!B155)</f>
        <v>Coalition (CB)</v>
      </c>
      <c r="G1535" s="49" t="str">
        <f aca="false">IF('RAW QHH'!C155="","",'RAW QHH'!C155)</f>
        <v>21-Feb-2026</v>
      </c>
      <c r="H1535" s="48" t="str">
        <f aca="false">IF('RAW QHH'!D155="","",'RAW QHH'!D155)</f>
        <v>Executive Director</v>
      </c>
      <c r="I1535" s="48" t="n">
        <f aca="false">IF('RAW QHH'!E155="","",'RAW QHH'!E155)</f>
        <v>2.5</v>
      </c>
      <c r="J1535" s="48" t="str">
        <f aca="false">IF('RAW QHH'!F155="","",'RAW QHH'!F155)</f>
        <v/>
      </c>
      <c r="K1535" s="50" t="n">
        <f aca="false">IF('RAW QHH'!G155="","",'RAW QHH'!G155)</f>
        <v>125</v>
      </c>
      <c r="L1535" s="50" t="n">
        <f aca="false">IF('RAW QHH'!H155="","",'RAW QHH'!H155)</f>
        <v>0</v>
      </c>
      <c r="M1535" s="48" t="str">
        <f aca="false">IF('RAW QHH'!I155="","",'RAW QHH'!I155)</f>
        <v/>
      </c>
    </row>
    <row r="1536" customFormat="false" ht="15" hidden="false" customHeight="false" outlineLevel="0" collapsed="false">
      <c r="A1536" s="1" t="s">
        <v>2680</v>
      </c>
      <c r="B1536" s="1" t="s">
        <v>158</v>
      </c>
      <c r="C1536" s="1" t="s">
        <v>1153</v>
      </c>
      <c r="D1536" s="1" t="n">
        <v>156</v>
      </c>
      <c r="E1536" s="48" t="str">
        <f aca="false">IF('RAW QHH'!A156="","",'RAW QHH'!A156)</f>
        <v>Car Seat Safety</v>
      </c>
      <c r="F1536" s="48" t="str">
        <f aca="false">IF('RAW QHH'!B156="","",'RAW QHH'!B156)</f>
        <v>CHIS - Education</v>
      </c>
      <c r="G1536" s="49" t="str">
        <f aca="false">IF('RAW QHH'!C156="","",'RAW QHH'!C156)</f>
        <v>24-Feb-2026</v>
      </c>
      <c r="H1536" s="48" t="str">
        <f aca="false">IF('RAW QHH'!D156="","",'RAW QHH'!D156)</f>
        <v>EMS Paramedic</v>
      </c>
      <c r="I1536" s="48" t="n">
        <f aca="false">IF('RAW QHH'!E156="","",'RAW QHH'!E156)</f>
        <v>4</v>
      </c>
      <c r="J1536" s="48" t="n">
        <f aca="false">IF('RAW QHH'!F156="","",'RAW QHH'!F156)</f>
        <v>17</v>
      </c>
      <c r="K1536" s="50" t="n">
        <f aca="false">IF('RAW QHH'!G156="","",'RAW QHH'!G156)</f>
        <v>595</v>
      </c>
      <c r="L1536" s="50" t="n">
        <f aca="false">IF('RAW QHH'!H156="","",'RAW QHH'!H156)</f>
        <v>440</v>
      </c>
      <c r="M1536" s="48" t="str">
        <f aca="false">IF('RAW QHH'!I156="","",'RAW QHH'!I156)</f>
        <v/>
      </c>
    </row>
    <row r="1537" customFormat="false" ht="15" hidden="false" customHeight="false" outlineLevel="0" collapsed="false">
      <c r="A1537" s="1" t="s">
        <v>2681</v>
      </c>
      <c r="B1537" s="1" t="s">
        <v>158</v>
      </c>
      <c r="C1537" s="1" t="s">
        <v>1153</v>
      </c>
      <c r="D1537" s="1" t="n">
        <v>157</v>
      </c>
      <c r="E1537" s="48" t="str">
        <f aca="false">IF('RAW QHH'!A157="","",'RAW QHH'!A157)</f>
        <v>Car Seat Safety</v>
      </c>
      <c r="F1537" s="48" t="str">
        <f aca="false">IF('RAW QHH'!B157="","",'RAW QHH'!B157)</f>
        <v>CHIS - Education</v>
      </c>
      <c r="G1537" s="49" t="str">
        <f aca="false">IF('RAW QHH'!C157="","",'RAW QHH'!C157)</f>
        <v>24-Feb-2026</v>
      </c>
      <c r="H1537" s="48" t="str">
        <f aca="false">IF('RAW QHH'!D157="","",'RAW QHH'!D157)</f>
        <v>RN III</v>
      </c>
      <c r="I1537" s="48" t="n">
        <f aca="false">IF('RAW QHH'!E157="","",'RAW QHH'!E157)</f>
        <v>4</v>
      </c>
      <c r="J1537" s="48" t="str">
        <f aca="false">IF('RAW QHH'!F157="","",'RAW QHH'!F157)</f>
        <v/>
      </c>
      <c r="K1537" s="50" t="n">
        <f aca="false">IF('RAW QHH'!G157="","",'RAW QHH'!G157)</f>
        <v>0</v>
      </c>
      <c r="L1537" s="50" t="n">
        <f aca="false">IF('RAW QHH'!H157="","",'RAW QHH'!H157)</f>
        <v>0</v>
      </c>
      <c r="M1537" s="48" t="str">
        <f aca="false">IF('RAW QHH'!I157="","",'RAW QHH'!I157)</f>
        <v/>
      </c>
    </row>
    <row r="1538" customFormat="false" ht="15" hidden="false" customHeight="false" outlineLevel="0" collapsed="false">
      <c r="A1538" s="1" t="s">
        <v>2682</v>
      </c>
      <c r="B1538" s="1" t="s">
        <v>158</v>
      </c>
      <c r="C1538" s="1" t="s">
        <v>1153</v>
      </c>
      <c r="D1538" s="1" t="n">
        <v>158</v>
      </c>
      <c r="E1538" s="48" t="str">
        <f aca="false">IF('RAW QHH'!A158="","",'RAW QHH'!A158)</f>
        <v>Childbirth Education</v>
      </c>
      <c r="F1538" s="48" t="str">
        <f aca="false">IF('RAW QHH'!B158="","",'RAW QHH'!B158)</f>
        <v>CHIS - Education</v>
      </c>
      <c r="G1538" s="49" t="str">
        <f aca="false">IF('RAW QHH'!C158="","",'RAW QHH'!C158)</f>
        <v>28-Feb-2026</v>
      </c>
      <c r="H1538" s="48" t="str">
        <f aca="false">IF('RAW QHH'!D158="","",'RAW QHH'!D158)</f>
        <v>Educator, Nursing</v>
      </c>
      <c r="I1538" s="48" t="n">
        <f aca="false">IF('RAW QHH'!E158="","",'RAW QHH'!E158)</f>
        <v>3.25</v>
      </c>
      <c r="J1538" s="48" t="n">
        <f aca="false">IF('RAW QHH'!F158="","",'RAW QHH'!F158)</f>
        <v>18</v>
      </c>
      <c r="K1538" s="50" t="n">
        <f aca="false">IF('RAW QHH'!G158="","",'RAW QHH'!G158)</f>
        <v>160</v>
      </c>
      <c r="L1538" s="50" t="n">
        <f aca="false">IF('RAW QHH'!H158="","",'RAW QHH'!H158)</f>
        <v>360</v>
      </c>
      <c r="M1538" s="48" t="str">
        <f aca="false">IF('RAW QHH'!I158="","",'RAW QHH'!I158)</f>
        <v/>
      </c>
    </row>
    <row r="1539" customFormat="false" ht="15" hidden="false" customHeight="false" outlineLevel="0" collapsed="false">
      <c r="A1539" s="1" t="s">
        <v>2683</v>
      </c>
      <c r="B1539" s="1" t="s">
        <v>158</v>
      </c>
      <c r="C1539" s="1" t="s">
        <v>1153</v>
      </c>
      <c r="D1539" s="1" t="n">
        <v>159</v>
      </c>
      <c r="E1539" s="48" t="str">
        <f aca="false">IF('RAW QHH'!A159="","",'RAW QHH'!A159)</f>
        <v>Car Seat Safety</v>
      </c>
      <c r="F1539" s="48" t="str">
        <f aca="false">IF('RAW QHH'!B159="","",'RAW QHH'!B159)</f>
        <v>CHIS - Education</v>
      </c>
      <c r="G1539" s="49" t="str">
        <f aca="false">IF('RAW QHH'!C159="","",'RAW QHH'!C159)</f>
        <v>28-Feb-2026</v>
      </c>
      <c r="H1539" s="48" t="str">
        <f aca="false">IF('RAW QHH'!D159="","",'RAW QHH'!D159)</f>
        <v>EMT </v>
      </c>
      <c r="I1539" s="48" t="n">
        <f aca="false">IF('RAW QHH'!E159="","",'RAW QHH'!E159)</f>
        <v>3.25</v>
      </c>
      <c r="J1539" s="48" t="n">
        <f aca="false">IF('RAW QHH'!F159="","",'RAW QHH'!F159)</f>
        <v>27</v>
      </c>
      <c r="K1539" s="50" t="n">
        <f aca="false">IF('RAW QHH'!G159="","",'RAW QHH'!G159)</f>
        <v>380</v>
      </c>
      <c r="L1539" s="50" t="n">
        <f aca="false">IF('RAW QHH'!H159="","",'RAW QHH'!H159)</f>
        <v>350</v>
      </c>
      <c r="M1539" s="48" t="str">
        <f aca="false">IF('RAW QHH'!I159="","",'RAW QHH'!I159)</f>
        <v/>
      </c>
    </row>
    <row r="1540" customFormat="false" ht="15" hidden="false" customHeight="false" outlineLevel="0" collapsed="false">
      <c r="A1540" s="1" t="s">
        <v>2684</v>
      </c>
      <c r="B1540" s="1" t="s">
        <v>158</v>
      </c>
      <c r="C1540" s="1" t="s">
        <v>1153</v>
      </c>
      <c r="D1540" s="1" t="n">
        <v>160</v>
      </c>
      <c r="E1540" s="48" t="str">
        <f aca="false">IF('RAW QHH'!A160="","",'RAW QHH'!A160)</f>
        <v>Car Seat Safety</v>
      </c>
      <c r="F1540" s="48" t="str">
        <f aca="false">IF('RAW QHH'!B160="","",'RAW QHH'!B160)</f>
        <v>CHIS - Education</v>
      </c>
      <c r="G1540" s="49" t="str">
        <f aca="false">IF('RAW QHH'!C160="","",'RAW QHH'!C160)</f>
        <v>28-Feb-2026</v>
      </c>
      <c r="H1540" s="48" t="str">
        <f aca="false">IF('RAW QHH'!D160="","",'RAW QHH'!D160)</f>
        <v>RN II</v>
      </c>
      <c r="I1540" s="48" t="n">
        <f aca="false">IF('RAW QHH'!E160="","",'RAW QHH'!E160)</f>
        <v>3.25</v>
      </c>
      <c r="J1540" s="48" t="str">
        <f aca="false">IF('RAW QHH'!F160="","",'RAW QHH'!F160)</f>
        <v/>
      </c>
      <c r="K1540" s="50" t="n">
        <f aca="false">IF('RAW QHH'!G160="","",'RAW QHH'!G160)</f>
        <v>0</v>
      </c>
      <c r="L1540" s="50" t="n">
        <f aca="false">IF('RAW QHH'!H160="","",'RAW QHH'!H160)</f>
        <v>0</v>
      </c>
      <c r="M1540" s="48" t="str">
        <f aca="false">IF('RAW QHH'!I160="","",'RAW QHH'!I160)</f>
        <v/>
      </c>
    </row>
    <row r="1541" customFormat="false" ht="15" hidden="false" customHeight="false" outlineLevel="0" collapsed="false">
      <c r="A1541" s="1" t="s">
        <v>2685</v>
      </c>
      <c r="B1541" s="1" t="s">
        <v>158</v>
      </c>
      <c r="C1541" s="1" t="s">
        <v>1153</v>
      </c>
      <c r="D1541" s="1" t="n">
        <v>161</v>
      </c>
      <c r="E1541" s="48" t="str">
        <f aca="false">IF('RAW QHH'!A161="","",'RAW QHH'!A161)</f>
        <v>Medication Assistance</v>
      </c>
      <c r="F1541" s="48" t="str">
        <f aca="false">IF('RAW QHH'!B161="","",'RAW QHH'!B161)</f>
        <v>CHIS - Support</v>
      </c>
      <c r="G1541" s="49" t="str">
        <f aca="false">IF('RAW QHH'!C161="","",'RAW QHH'!C161)</f>
        <v>28-Feb-2026</v>
      </c>
      <c r="H1541" s="48" t="str">
        <f aca="false">IF('RAW QHH'!D161="","",'RAW QHH'!D161)</f>
        <v>Pt Navigator</v>
      </c>
      <c r="I1541" s="48" t="n">
        <f aca="false">IF('RAW QHH'!E161="","",'RAW QHH'!E161)</f>
        <v>73.75</v>
      </c>
      <c r="J1541" s="48" t="str">
        <f aca="false">IF('RAW QHH'!F161="","",'RAW QHH'!F161)</f>
        <v/>
      </c>
      <c r="K1541" s="50" t="n">
        <f aca="false">IF('RAW QHH'!G161="","",'RAW QHH'!G161)</f>
        <v>0</v>
      </c>
      <c r="L1541" s="50" t="n">
        <f aca="false">IF('RAW QHH'!H161="","",'RAW QHH'!H161)</f>
        <v>0</v>
      </c>
      <c r="M1541" s="48" t="str">
        <f aca="false">IF('RAW QHH'!I161="","",'RAW QHH'!I161)</f>
        <v/>
      </c>
    </row>
    <row r="1542" customFormat="false" ht="15" hidden="false" customHeight="false" outlineLevel="0" collapsed="false">
      <c r="A1542" s="1" t="s">
        <v>2686</v>
      </c>
      <c r="B1542" s="1" t="s">
        <v>158</v>
      </c>
      <c r="C1542" s="1" t="s">
        <v>1153</v>
      </c>
      <c r="D1542" s="1" t="n">
        <v>162</v>
      </c>
      <c r="E1542" s="48" t="str">
        <f aca="false">IF('RAW QHH'!A162="","",'RAW QHH'!A162)</f>
        <v>Medication Assistance</v>
      </c>
      <c r="F1542" s="48" t="str">
        <f aca="false">IF('RAW QHH'!B162="","",'RAW QHH'!B162)</f>
        <v>CHIS - Support</v>
      </c>
      <c r="G1542" s="49" t="str">
        <f aca="false">IF('RAW QHH'!C162="","",'RAW QHH'!C162)</f>
        <v>28-Feb-2026</v>
      </c>
      <c r="H1542" s="48" t="str">
        <f aca="false">IF('RAW QHH'!D162="","",'RAW QHH'!D162)</f>
        <v>Pharmacist</v>
      </c>
      <c r="I1542" s="48" t="n">
        <f aca="false">IF('RAW QHH'!E162="","",'RAW QHH'!E162)</f>
        <v>20.25</v>
      </c>
      <c r="J1542" s="48" t="n">
        <f aca="false">IF('RAW QHH'!F162="","",'RAW QHH'!F162)</f>
        <v>95</v>
      </c>
      <c r="K1542" s="50" t="n">
        <f aca="false">IF('RAW QHH'!G162="","",'RAW QHH'!G162)</f>
        <v>13400</v>
      </c>
      <c r="L1542" s="50" t="n">
        <f aca="false">IF('RAW QHH'!H162="","",'RAW QHH'!H162)</f>
        <v>0</v>
      </c>
      <c r="M1542" s="48" t="str">
        <f aca="false">IF('RAW QHH'!I162="","",'RAW QHH'!I162)</f>
        <v/>
      </c>
    </row>
    <row r="1543" customFormat="false" ht="15" hidden="false" customHeight="false" outlineLevel="0" collapsed="false">
      <c r="A1543" s="1" t="s">
        <v>2687</v>
      </c>
      <c r="B1543" s="1" t="s">
        <v>158</v>
      </c>
      <c r="C1543" s="1" t="s">
        <v>1153</v>
      </c>
      <c r="D1543" s="1" t="n">
        <v>163</v>
      </c>
      <c r="E1543" s="48" t="str">
        <f aca="false">IF('RAW QHH'!A163="","",'RAW QHH'!A163)</f>
        <v>Community Benefit Admin.</v>
      </c>
      <c r="F1543" s="48" t="str">
        <f aca="false">IF('RAW QHH'!B163="","",'RAW QHH'!B163)</f>
        <v>CBO</v>
      </c>
      <c r="G1543" s="49" t="str">
        <f aca="false">IF('RAW QHH'!C163="","",'RAW QHH'!C163)</f>
        <v>28-Feb-2026</v>
      </c>
      <c r="H1543" s="48" t="str">
        <f aca="false">IF('RAW QHH'!D163="","",'RAW QHH'!D163)</f>
        <v>Admin</v>
      </c>
      <c r="I1543" s="48" t="n">
        <f aca="false">IF('RAW QHH'!E163="","",'RAW QHH'!E163)</f>
        <v>41.25</v>
      </c>
      <c r="J1543" s="48" t="str">
        <f aca="false">IF('RAW QHH'!F163="","",'RAW QHH'!F163)</f>
        <v/>
      </c>
      <c r="K1543" s="50" t="n">
        <f aca="false">IF('RAW QHH'!G163="","",'RAW QHH'!G163)</f>
        <v>0</v>
      </c>
      <c r="L1543" s="50" t="n">
        <f aca="false">IF('RAW QHH'!H163="","",'RAW QHH'!H163)</f>
        <v>0</v>
      </c>
      <c r="M1543" s="48" t="str">
        <f aca="false">IF('RAW QHH'!I163="","",'RAW QHH'!I163)</f>
        <v/>
      </c>
    </row>
    <row r="1544" customFormat="false" ht="15" hidden="false" customHeight="false" outlineLevel="0" collapsed="false">
      <c r="A1544" s="1" t="s">
        <v>2688</v>
      </c>
      <c r="B1544" s="1" t="s">
        <v>158</v>
      </c>
      <c r="C1544" s="1" t="s">
        <v>1153</v>
      </c>
      <c r="D1544" s="1" t="n">
        <v>164</v>
      </c>
      <c r="E1544" s="48" t="str">
        <f aca="false">IF('RAW QHH'!A164="","",'RAW QHH'!A164)</f>
        <v>Community Benefit Admin.</v>
      </c>
      <c r="F1544" s="48" t="str">
        <f aca="false">IF('RAW QHH'!B164="","",'RAW QHH'!B164)</f>
        <v>CBO</v>
      </c>
      <c r="G1544" s="49" t="str">
        <f aca="false">IF('RAW QHH'!C164="","",'RAW QHH'!C164)</f>
        <v>28-Feb-2026</v>
      </c>
      <c r="H1544" s="48" t="str">
        <f aca="false">IF('RAW QHH'!D164="","",'RAW QHH'!D164)</f>
        <v>Mgr, Community Benefit</v>
      </c>
      <c r="I1544" s="48" t="n">
        <f aca="false">IF('RAW QHH'!E164="","",'RAW QHH'!E164)</f>
        <v>66</v>
      </c>
      <c r="J1544" s="48" t="str">
        <f aca="false">IF('RAW QHH'!F164="","",'RAW QHH'!F164)</f>
        <v/>
      </c>
      <c r="K1544" s="50" t="n">
        <f aca="false">IF('RAW QHH'!G164="","",'RAW QHH'!G164)</f>
        <v>395</v>
      </c>
      <c r="L1544" s="50" t="n">
        <f aca="false">IF('RAW QHH'!H164="","",'RAW QHH'!H164)</f>
        <v>0</v>
      </c>
      <c r="M1544" s="48" t="str">
        <f aca="false">IF('RAW QHH'!I164="","",'RAW QHH'!I164)</f>
        <v/>
      </c>
    </row>
    <row r="1545" customFormat="false" ht="15" hidden="false" customHeight="false" outlineLevel="0" collapsed="false">
      <c r="A1545" s="1" t="s">
        <v>2689</v>
      </c>
      <c r="B1545" s="1" t="s">
        <v>158</v>
      </c>
      <c r="C1545" s="1" t="s">
        <v>1153</v>
      </c>
      <c r="D1545" s="1" t="n">
        <v>165</v>
      </c>
      <c r="E1545" s="48" t="str">
        <f aca="false">IF('RAW QHH'!A165="","",'RAW QHH'!A165)</f>
        <v>Community Paramedicine</v>
      </c>
      <c r="F1545" s="48" t="str">
        <f aca="false">IF('RAW QHH'!B165="","",'RAW QHH'!B165)</f>
        <v>CHIS - Clinical</v>
      </c>
      <c r="G1545" s="49" t="str">
        <f aca="false">IF('RAW QHH'!C165="","",'RAW QHH'!C165)</f>
        <v>28-Feb-2026</v>
      </c>
      <c r="H1545" s="48" t="str">
        <f aca="false">IF('RAW QHH'!D165="","",'RAW QHH'!D165)</f>
        <v>EMT-P</v>
      </c>
      <c r="I1545" s="48" t="n">
        <f aca="false">IF('RAW QHH'!E165="","",'RAW QHH'!E165)</f>
        <v>68.75</v>
      </c>
      <c r="J1545" s="48" t="n">
        <f aca="false">IF('RAW QHH'!F165="","",'RAW QHH'!F165)</f>
        <v>53</v>
      </c>
      <c r="K1545" s="50" t="n">
        <f aca="false">IF('RAW QHH'!G165="","",'RAW QHH'!G165)</f>
        <v>700</v>
      </c>
      <c r="L1545" s="50" t="n">
        <f aca="false">IF('RAW QHH'!H165="","",'RAW QHH'!H165)</f>
        <v>0</v>
      </c>
      <c r="M1545" s="48" t="str">
        <f aca="false">IF('RAW QHH'!I165="","",'RAW QHH'!I165)</f>
        <v/>
      </c>
    </row>
    <row r="1546" customFormat="false" ht="15" hidden="false" customHeight="false" outlineLevel="0" collapsed="false">
      <c r="A1546" s="1" t="s">
        <v>2690</v>
      </c>
      <c r="B1546" s="1" t="s">
        <v>158</v>
      </c>
      <c r="C1546" s="1" t="s">
        <v>1153</v>
      </c>
      <c r="D1546" s="1" t="n">
        <v>166</v>
      </c>
      <c r="E1546" s="48" t="str">
        <f aca="false">IF('RAW QHH'!A166="","",'RAW QHH'!A166)</f>
        <v>Nursing Clinical Rotations</v>
      </c>
      <c r="F1546" s="48" t="str">
        <f aca="false">IF('RAW QHH'!B166="","",'RAW QHH'!B166)</f>
        <v>HPE - Students</v>
      </c>
      <c r="G1546" s="49" t="str">
        <f aca="false">IF('RAW QHH'!C166="","",'RAW QHH'!C166)</f>
        <v>28-Feb-2026</v>
      </c>
      <c r="H1546" s="48" t="str">
        <f aca="false">IF('RAW QHH'!D166="","",'RAW QHH'!D166)</f>
        <v>Educator, Nursing</v>
      </c>
      <c r="I1546" s="48" t="n">
        <f aca="false">IF('RAW QHH'!E166="","",'RAW QHH'!E166)</f>
        <v>121.75</v>
      </c>
      <c r="J1546" s="48" t="n">
        <f aca="false">IF('RAW QHH'!F166="","",'RAW QHH'!F166)</f>
        <v>16</v>
      </c>
      <c r="K1546" s="50" t="n">
        <f aca="false">IF('RAW QHH'!G166="","",'RAW QHH'!G166)</f>
        <v>995</v>
      </c>
      <c r="L1546" s="50" t="n">
        <f aca="false">IF('RAW QHH'!H166="","",'RAW QHH'!H166)</f>
        <v>0</v>
      </c>
      <c r="M1546" s="48" t="str">
        <f aca="false">IF('RAW QHH'!I166="","",'RAW QHH'!I166)</f>
        <v/>
      </c>
    </row>
    <row r="1547" customFormat="false" ht="15" hidden="false" customHeight="false" outlineLevel="0" collapsed="false">
      <c r="A1547" s="1" t="s">
        <v>2691</v>
      </c>
      <c r="B1547" s="1" t="s">
        <v>158</v>
      </c>
      <c r="C1547" s="1" t="s">
        <v>1153</v>
      </c>
      <c r="D1547" s="1" t="n">
        <v>167</v>
      </c>
      <c r="E1547" s="48" t="str">
        <f aca="false">IF('RAW QHH'!A167="","",'RAW QHH'!A167)</f>
        <v>Nursing Clinical Rotations</v>
      </c>
      <c r="F1547" s="48" t="str">
        <f aca="false">IF('RAW QHH'!B167="","",'RAW QHH'!B167)</f>
        <v>HPE - Students</v>
      </c>
      <c r="G1547" s="49" t="str">
        <f aca="false">IF('RAW QHH'!C167="","",'RAW QHH'!C167)</f>
        <v>28-Feb-2026</v>
      </c>
      <c r="H1547" s="48" t="str">
        <f aca="false">IF('RAW QHH'!D167="","",'RAW QHH'!D167)</f>
        <v>Clinical RN </v>
      </c>
      <c r="I1547" s="48" t="n">
        <f aca="false">IF('RAW QHH'!E167="","",'RAW QHH'!E167)</f>
        <v>171.25</v>
      </c>
      <c r="J1547" s="48" t="str">
        <f aca="false">IF('RAW QHH'!F167="","",'RAW QHH'!F167)</f>
        <v/>
      </c>
      <c r="K1547" s="50" t="n">
        <f aca="false">IF('RAW QHH'!G167="","",'RAW QHH'!G167)</f>
        <v>0</v>
      </c>
      <c r="L1547" s="50" t="n">
        <f aca="false">IF('RAW QHH'!H167="","",'RAW QHH'!H167)</f>
        <v>0</v>
      </c>
      <c r="M1547" s="48" t="str">
        <f aca="false">IF('RAW QHH'!I167="","",'RAW QHH'!I167)</f>
        <v/>
      </c>
    </row>
    <row r="1548" customFormat="false" ht="15" hidden="false" customHeight="false" outlineLevel="0" collapsed="false">
      <c r="A1548" s="1" t="s">
        <v>2692</v>
      </c>
      <c r="B1548" s="1" t="s">
        <v>158</v>
      </c>
      <c r="C1548" s="1" t="s">
        <v>1153</v>
      </c>
      <c r="D1548" s="1" t="n">
        <v>168</v>
      </c>
      <c r="E1548" s="48" t="str">
        <f aca="false">IF('RAW QHH'!A168="","",'RAW QHH'!A168)</f>
        <v>Diabetes Prevention Program</v>
      </c>
      <c r="F1548" s="48" t="str">
        <f aca="false">IF('RAW QHH'!B168="","",'RAW QHH'!B168)</f>
        <v>CHIS - Education</v>
      </c>
      <c r="G1548" s="49" t="str">
        <f aca="false">IF('RAW QHH'!C168="","",'RAW QHH'!C168)</f>
        <v>14-Mar-2026</v>
      </c>
      <c r="H1548" s="48" t="str">
        <f aca="false">IF('RAW QHH'!D168="","",'RAW QHH'!D168)</f>
        <v>Community Educator</v>
      </c>
      <c r="I1548" s="48" t="n">
        <f aca="false">IF('RAW QHH'!E168="","",'RAW QHH'!E168)</f>
        <v>2</v>
      </c>
      <c r="J1548" s="48" t="n">
        <f aca="false">IF('RAW QHH'!F168="","",'RAW QHH'!F168)</f>
        <v>18</v>
      </c>
      <c r="K1548" s="50" t="n">
        <f aca="false">IF('RAW QHH'!G168="","",'RAW QHH'!G168)</f>
        <v>110</v>
      </c>
      <c r="L1548" s="50" t="n">
        <f aca="false">IF('RAW QHH'!H168="","",'RAW QHH'!H168)</f>
        <v>0</v>
      </c>
      <c r="M1548" s="48" t="str">
        <f aca="false">IF('RAW QHH'!I168="","",'RAW QHH'!I168)</f>
        <v/>
      </c>
    </row>
    <row r="1549" customFormat="false" ht="15" hidden="false" customHeight="false" outlineLevel="0" collapsed="false">
      <c r="A1549" s="1" t="s">
        <v>2693</v>
      </c>
      <c r="B1549" s="1" t="s">
        <v>158</v>
      </c>
      <c r="C1549" s="1" t="s">
        <v>1153</v>
      </c>
      <c r="D1549" s="1" t="n">
        <v>169</v>
      </c>
      <c r="E1549" s="48" t="str">
        <f aca="false">IF('RAW QHH'!A169="","",'RAW QHH'!A169)</f>
        <v>Diabetes Prevention Program</v>
      </c>
      <c r="F1549" s="48" t="str">
        <f aca="false">IF('RAW QHH'!B169="","",'RAW QHH'!B169)</f>
        <v>CHIS - Education</v>
      </c>
      <c r="G1549" s="49" t="str">
        <f aca="false">IF('RAW QHH'!C169="","",'RAW QHH'!C169)</f>
        <v>14-Mar-2026</v>
      </c>
      <c r="H1549" s="48" t="str">
        <f aca="false">IF('RAW QHH'!D169="","",'RAW QHH'!D169)</f>
        <v>Nutritionist</v>
      </c>
      <c r="I1549" s="48" t="n">
        <f aca="false">IF('RAW QHH'!E169="","",'RAW QHH'!E169)</f>
        <v>1.75</v>
      </c>
      <c r="J1549" s="48" t="str">
        <f aca="false">IF('RAW QHH'!F169="","",'RAW QHH'!F169)</f>
        <v/>
      </c>
      <c r="K1549" s="50" t="n">
        <f aca="false">IF('RAW QHH'!G169="","",'RAW QHH'!G169)</f>
        <v>0</v>
      </c>
      <c r="L1549" s="50" t="n">
        <f aca="false">IF('RAW QHH'!H169="","",'RAW QHH'!H169)</f>
        <v>0</v>
      </c>
      <c r="M1549" s="48" t="str">
        <f aca="false">IF('RAW QHH'!I169="","",'RAW QHH'!I169)</f>
        <v/>
      </c>
    </row>
    <row r="1550" customFormat="false" ht="15" hidden="false" customHeight="false" outlineLevel="0" collapsed="false">
      <c r="A1550" s="1" t="s">
        <v>2694</v>
      </c>
      <c r="B1550" s="1" t="s">
        <v>158</v>
      </c>
      <c r="C1550" s="1" t="s">
        <v>1153</v>
      </c>
      <c r="D1550" s="1" t="n">
        <v>170</v>
      </c>
      <c r="E1550" s="48" t="str">
        <f aca="false">IF('RAW QHH'!A170="","",'RAW QHH'!A170)</f>
        <v>Youth Pathway Program</v>
      </c>
      <c r="F1550" s="48" t="str">
        <f aca="false">IF('RAW QHH'!B170="","",'RAW QHH'!B170)</f>
        <v>Workforce Dev (CB)</v>
      </c>
      <c r="G1550" s="49" t="str">
        <f aca="false">IF('RAW QHH'!C170="","",'RAW QHH'!C170)</f>
        <v>17-Mar-2026</v>
      </c>
      <c r="H1550" s="48" t="str">
        <f aca="false">IF('RAW QHH'!D170="","",'RAW QHH'!D170)</f>
        <v>Nurse Educator</v>
      </c>
      <c r="I1550" s="48" t="n">
        <f aca="false">IF('RAW QHH'!E170="","",'RAW QHH'!E170)</f>
        <v>4.75</v>
      </c>
      <c r="J1550" s="48" t="str">
        <f aca="false">IF('RAW QHH'!F170="","",'RAW QHH'!F170)</f>
        <v/>
      </c>
      <c r="K1550" s="50" t="n">
        <f aca="false">IF('RAW QHH'!G170="","",'RAW QHH'!G170)</f>
        <v>0</v>
      </c>
      <c r="L1550" s="50" t="n">
        <f aca="false">IF('RAW QHH'!H170="","",'RAW QHH'!H170)</f>
        <v>0</v>
      </c>
      <c r="M1550" s="48" t="str">
        <f aca="false">IF('RAW QHH'!I170="","",'RAW QHH'!I170)</f>
        <v/>
      </c>
    </row>
    <row r="1551" customFormat="false" ht="15" hidden="false" customHeight="false" outlineLevel="0" collapsed="false">
      <c r="A1551" s="1" t="s">
        <v>2695</v>
      </c>
      <c r="B1551" s="1" t="s">
        <v>158</v>
      </c>
      <c r="C1551" s="1" t="s">
        <v>1153</v>
      </c>
      <c r="D1551" s="1" t="n">
        <v>171</v>
      </c>
      <c r="E1551" s="48" t="str">
        <f aca="false">IF('RAW QHH'!A171="","",'RAW QHH'!A171)</f>
        <v>Youth Pathway Program</v>
      </c>
      <c r="F1551" s="48" t="str">
        <f aca="false">IF('RAW QHH'!B171="","",'RAW QHH'!B171)</f>
        <v>Workforce Dev (CB)</v>
      </c>
      <c r="G1551" s="49" t="str">
        <f aca="false">IF('RAW QHH'!C171="","",'RAW QHH'!C171)</f>
        <v>17-Mar-2026</v>
      </c>
      <c r="H1551" s="48" t="str">
        <f aca="false">IF('RAW QHH'!D171="","",'RAW QHH'!D171)</f>
        <v>Event Coordinator</v>
      </c>
      <c r="I1551" s="48" t="n">
        <f aca="false">IF('RAW QHH'!E171="","",'RAW QHH'!E171)</f>
        <v>7.75</v>
      </c>
      <c r="J1551" s="48" t="n">
        <f aca="false">IF('RAW QHH'!F171="","",'RAW QHH'!F171)</f>
        <v>16</v>
      </c>
      <c r="K1551" s="50" t="n">
        <f aca="false">IF('RAW QHH'!G171="","",'RAW QHH'!G171)</f>
        <v>1015</v>
      </c>
      <c r="L1551" s="50" t="n">
        <f aca="false">IF('RAW QHH'!H171="","",'RAW QHH'!H171)</f>
        <v>0</v>
      </c>
      <c r="M1551" s="48" t="str">
        <f aca="false">IF('RAW QHH'!I171="","",'RAW QHH'!I171)</f>
        <v/>
      </c>
    </row>
    <row r="1552" customFormat="false" ht="15" hidden="false" customHeight="false" outlineLevel="0" collapsed="false">
      <c r="A1552" s="1" t="s">
        <v>2696</v>
      </c>
      <c r="B1552" s="1" t="s">
        <v>158</v>
      </c>
      <c r="C1552" s="1" t="s">
        <v>1153</v>
      </c>
      <c r="D1552" s="1" t="n">
        <v>172</v>
      </c>
      <c r="E1552" s="48" t="str">
        <f aca="false">IF('RAW QHH'!A172="","",'RAW QHH'!A172)</f>
        <v>Grief Support Group</v>
      </c>
      <c r="F1552" s="48" t="str">
        <f aca="false">IF('RAW QHH'!B172="","",'RAW QHH'!B172)</f>
        <v>CHIS - Support</v>
      </c>
      <c r="G1552" s="49" t="str">
        <f aca="false">IF('RAW QHH'!C172="","",'RAW QHH'!C172)</f>
        <v>21-Mar-2026</v>
      </c>
      <c r="H1552" s="48" t="str">
        <f aca="false">IF('RAW QHH'!D172="","",'RAW QHH'!D172)</f>
        <v>Chaplain</v>
      </c>
      <c r="I1552" s="48" t="n">
        <f aca="false">IF('RAW QHH'!E172="","",'RAW QHH'!E172)</f>
        <v>2</v>
      </c>
      <c r="J1552" s="48" t="n">
        <f aca="false">IF('RAW QHH'!F172="","",'RAW QHH'!F172)</f>
        <v>16</v>
      </c>
      <c r="K1552" s="50" t="n">
        <f aca="false">IF('RAW QHH'!G172="","",'RAW QHH'!G172)</f>
        <v>60</v>
      </c>
      <c r="L1552" s="50" t="n">
        <f aca="false">IF('RAW QHH'!H172="","",'RAW QHH'!H172)</f>
        <v>0</v>
      </c>
      <c r="M1552" s="48" t="str">
        <f aca="false">IF('RAW QHH'!I172="","",'RAW QHH'!I172)</f>
        <v/>
      </c>
    </row>
    <row r="1553" customFormat="false" ht="15" hidden="false" customHeight="false" outlineLevel="0" collapsed="false">
      <c r="A1553" s="1" t="s">
        <v>2697</v>
      </c>
      <c r="B1553" s="1" t="s">
        <v>158</v>
      </c>
      <c r="C1553" s="1" t="s">
        <v>1153</v>
      </c>
      <c r="D1553" s="1" t="n">
        <v>173</v>
      </c>
      <c r="E1553" s="48" t="str">
        <f aca="false">IF('RAW QHH'!A173="","",'RAW QHH'!A173)</f>
        <v>Grief Support Group</v>
      </c>
      <c r="F1553" s="48" t="str">
        <f aca="false">IF('RAW QHH'!B173="","",'RAW QHH'!B173)</f>
        <v>CHIS - Support</v>
      </c>
      <c r="G1553" s="49" t="str">
        <f aca="false">IF('RAW QHH'!C173="","",'RAW QHH'!C173)</f>
        <v>21-Mar-2026</v>
      </c>
      <c r="H1553" s="48" t="str">
        <f aca="false">IF('RAW QHH'!D173="","",'RAW QHH'!D173)</f>
        <v>LMSW </v>
      </c>
      <c r="I1553" s="48" t="n">
        <f aca="false">IF('RAW QHH'!E173="","",'RAW QHH'!E173)</f>
        <v>1.75</v>
      </c>
      <c r="J1553" s="48" t="str">
        <f aca="false">IF('RAW QHH'!F173="","",'RAW QHH'!F173)</f>
        <v/>
      </c>
      <c r="K1553" s="50" t="n">
        <f aca="false">IF('RAW QHH'!G173="","",'RAW QHH'!G173)</f>
        <v>0</v>
      </c>
      <c r="L1553" s="50" t="n">
        <f aca="false">IF('RAW QHH'!H173="","",'RAW QHH'!H173)</f>
        <v>0</v>
      </c>
      <c r="M1553" s="48" t="str">
        <f aca="false">IF('RAW QHH'!I173="","",'RAW QHH'!I173)</f>
        <v/>
      </c>
    </row>
    <row r="1554" customFormat="false" ht="15" hidden="false" customHeight="false" outlineLevel="0" collapsed="false">
      <c r="A1554" s="1" t="s">
        <v>2698</v>
      </c>
      <c r="B1554" s="1" t="s">
        <v>158</v>
      </c>
      <c r="C1554" s="1" t="s">
        <v>1153</v>
      </c>
      <c r="D1554" s="1" t="n">
        <v>174</v>
      </c>
      <c r="E1554" s="48" t="str">
        <f aca="false">IF('RAW QHH'!A174="","",'RAW QHH'!A174)</f>
        <v>Youth Pathway Program</v>
      </c>
      <c r="F1554" s="48" t="str">
        <f aca="false">IF('RAW QHH'!B174="","",'RAW QHH'!B174)</f>
        <v>Workforce Dev (CB)</v>
      </c>
      <c r="G1554" s="49" t="str">
        <f aca="false">IF('RAW QHH'!C174="","",'RAW QHH'!C174)</f>
        <v>27-Mar-2026</v>
      </c>
      <c r="H1554" s="48" t="str">
        <f aca="false">IF('RAW QHH'!D174="","",'RAW QHH'!D174)</f>
        <v>Educator, Nursing</v>
      </c>
      <c r="I1554" s="48" t="n">
        <f aca="false">IF('RAW QHH'!E174="","",'RAW QHH'!E174)</f>
        <v>3.5</v>
      </c>
      <c r="J1554" s="48" t="str">
        <f aca="false">IF('RAW QHH'!F174="","",'RAW QHH'!F174)</f>
        <v/>
      </c>
      <c r="K1554" s="50" t="n">
        <f aca="false">IF('RAW QHH'!G174="","",'RAW QHH'!G174)</f>
        <v>0</v>
      </c>
      <c r="L1554" s="50" t="n">
        <f aca="false">IF('RAW QHH'!H174="","",'RAW QHH'!H174)</f>
        <v>0</v>
      </c>
      <c r="M1554" s="48" t="str">
        <f aca="false">IF('RAW QHH'!I174="","",'RAW QHH'!I174)</f>
        <v/>
      </c>
    </row>
    <row r="1555" customFormat="false" ht="15" hidden="false" customHeight="false" outlineLevel="0" collapsed="false">
      <c r="A1555" s="1" t="s">
        <v>2699</v>
      </c>
      <c r="B1555" s="1" t="s">
        <v>158</v>
      </c>
      <c r="C1555" s="1" t="s">
        <v>1153</v>
      </c>
      <c r="D1555" s="1" t="n">
        <v>175</v>
      </c>
      <c r="E1555" s="48" t="str">
        <f aca="false">IF('RAW QHH'!A175="","",'RAW QHH'!A175)</f>
        <v>Youth Pathway Program</v>
      </c>
      <c r="F1555" s="48" t="str">
        <f aca="false">IF('RAW QHH'!B175="","",'RAW QHH'!B175)</f>
        <v>Workforce Dev (CB)</v>
      </c>
      <c r="G1555" s="49" t="str">
        <f aca="false">IF('RAW QHH'!C175="","",'RAW QHH'!C175)</f>
        <v>27-Mar-2026</v>
      </c>
      <c r="H1555" s="48" t="str">
        <f aca="false">IF('RAW QHH'!D175="","",'RAW QHH'!D175)</f>
        <v>Prog Coord</v>
      </c>
      <c r="I1555" s="48" t="n">
        <f aca="false">IF('RAW QHH'!E175="","",'RAW QHH'!E175)</f>
        <v>6.75</v>
      </c>
      <c r="J1555" s="48" t="n">
        <f aca="false">IF('RAW QHH'!F175="","",'RAW QHH'!F175)</f>
        <v>29</v>
      </c>
      <c r="K1555" s="50" t="n">
        <f aca="false">IF('RAW QHH'!G175="","",'RAW QHH'!G175)</f>
        <v>1615</v>
      </c>
      <c r="L1555" s="50" t="n">
        <f aca="false">IF('RAW QHH'!H175="","",'RAW QHH'!H175)</f>
        <v>0</v>
      </c>
      <c r="M1555" s="48" t="str">
        <f aca="false">IF('RAW QHH'!I175="","",'RAW QHH'!I175)</f>
        <v/>
      </c>
    </row>
    <row r="1556" customFormat="false" ht="15" hidden="false" customHeight="false" outlineLevel="0" collapsed="false">
      <c r="A1556" s="1" t="s">
        <v>2700</v>
      </c>
      <c r="B1556" s="1" t="s">
        <v>158</v>
      </c>
      <c r="C1556" s="1" t="s">
        <v>1153</v>
      </c>
      <c r="D1556" s="1" t="n">
        <v>176</v>
      </c>
      <c r="E1556" s="48" t="str">
        <f aca="false">IF('RAW QHH'!A176="","",'RAW QHH'!A176)</f>
        <v>Diabetes Prevention Program</v>
      </c>
      <c r="F1556" s="48" t="str">
        <f aca="false">IF('RAW QHH'!B176="","",'RAW QHH'!B176)</f>
        <v>CHIS - Education</v>
      </c>
      <c r="G1556" s="49" t="str">
        <f aca="false">IF('RAW QHH'!C176="","",'RAW QHH'!C176)</f>
        <v>28-Mar-2026</v>
      </c>
      <c r="H1556" s="48" t="str">
        <f aca="false">IF('RAW QHH'!D176="","",'RAW QHH'!D176)</f>
        <v>Community Educator</v>
      </c>
      <c r="I1556" s="48" t="n">
        <f aca="false">IF('RAW QHH'!E176="","",'RAW QHH'!E176)</f>
        <v>2.25</v>
      </c>
      <c r="J1556" s="48" t="n">
        <f aca="false">IF('RAW QHH'!F176="","",'RAW QHH'!F176)</f>
        <v>12</v>
      </c>
      <c r="K1556" s="50" t="n">
        <f aca="false">IF('RAW QHH'!G176="","",'RAW QHH'!G176)</f>
        <v>150</v>
      </c>
      <c r="L1556" s="50" t="n">
        <f aca="false">IF('RAW QHH'!H176="","",'RAW QHH'!H176)</f>
        <v>0</v>
      </c>
      <c r="M1556" s="48" t="str">
        <f aca="false">IF('RAW QHH'!I176="","",'RAW QHH'!I176)</f>
        <v/>
      </c>
    </row>
    <row r="1557" customFormat="false" ht="15" hidden="false" customHeight="false" outlineLevel="0" collapsed="false">
      <c r="A1557" s="1" t="s">
        <v>2701</v>
      </c>
      <c r="B1557" s="1" t="s">
        <v>158</v>
      </c>
      <c r="C1557" s="1" t="s">
        <v>1153</v>
      </c>
      <c r="D1557" s="1" t="n">
        <v>177</v>
      </c>
      <c r="E1557" s="48" t="str">
        <f aca="false">IF('RAW QHH'!A177="","",'RAW QHH'!A177)</f>
        <v>Diabetes Prevention Program</v>
      </c>
      <c r="F1557" s="48" t="str">
        <f aca="false">IF('RAW QHH'!B177="","",'RAW QHH'!B177)</f>
        <v>CHIS - Education</v>
      </c>
      <c r="G1557" s="49" t="str">
        <f aca="false">IF('RAW QHH'!C177="","",'RAW QHH'!C177)</f>
        <v>28-Mar-2026</v>
      </c>
      <c r="H1557" s="48" t="str">
        <f aca="false">IF('RAW QHH'!D177="","",'RAW QHH'!D177)</f>
        <v>Clinical Dietitian</v>
      </c>
      <c r="I1557" s="48" t="n">
        <f aca="false">IF('RAW QHH'!E177="","",'RAW QHH'!E177)</f>
        <v>1.75</v>
      </c>
      <c r="J1557" s="48" t="str">
        <f aca="false">IF('RAW QHH'!F177="","",'RAW QHH'!F177)</f>
        <v/>
      </c>
      <c r="K1557" s="50" t="n">
        <f aca="false">IF('RAW QHH'!G177="","",'RAW QHH'!G177)</f>
        <v>0</v>
      </c>
      <c r="L1557" s="50" t="n">
        <f aca="false">IF('RAW QHH'!H177="","",'RAW QHH'!H177)</f>
        <v>0</v>
      </c>
      <c r="M1557" s="48" t="str">
        <f aca="false">IF('RAW QHH'!I177="","",'RAW QHH'!I177)</f>
        <v/>
      </c>
    </row>
    <row r="1558" customFormat="false" ht="15" hidden="false" customHeight="false" outlineLevel="0" collapsed="false">
      <c r="A1558" s="1" t="s">
        <v>2702</v>
      </c>
      <c r="B1558" s="1" t="s">
        <v>158</v>
      </c>
      <c r="C1558" s="1" t="s">
        <v>1153</v>
      </c>
      <c r="D1558" s="1" t="n">
        <v>178</v>
      </c>
      <c r="E1558" s="48" t="str">
        <f aca="false">IF('RAW QHH'!A178="","",'RAW QHH'!A178)</f>
        <v>Sports Physicals</v>
      </c>
      <c r="F1558" s="48" t="str">
        <f aca="false">IF('RAW QHH'!B178="","",'RAW QHH'!B178)</f>
        <v>CHIS - Clinical</v>
      </c>
      <c r="G1558" s="49" t="str">
        <f aca="false">IF('RAW QHH'!C178="","",'RAW QHH'!C178)</f>
        <v>30-Mar-2026</v>
      </c>
      <c r="H1558" s="48" t="str">
        <f aca="false">IF('RAW QHH'!D178="","",'RAW QHH'!D178)</f>
        <v>Certified Medical Assistant</v>
      </c>
      <c r="I1558" s="48" t="n">
        <f aca="false">IF('RAW QHH'!E178="","",'RAW QHH'!E178)</f>
        <v>4.75</v>
      </c>
      <c r="J1558" s="48" t="str">
        <f aca="false">IF('RAW QHH'!F178="","",'RAW QHH'!F178)</f>
        <v/>
      </c>
      <c r="K1558" s="50" t="n">
        <f aca="false">IF('RAW QHH'!G178="","",'RAW QHH'!G178)</f>
        <v>0</v>
      </c>
      <c r="L1558" s="50" t="n">
        <f aca="false">IF('RAW QHH'!H178="","",'RAW QHH'!H178)</f>
        <v>0</v>
      </c>
      <c r="M1558" s="48" t="str">
        <f aca="false">IF('RAW QHH'!I178="","",'RAW QHH'!I178)</f>
        <v/>
      </c>
    </row>
    <row r="1559" customFormat="false" ht="15" hidden="false" customHeight="false" outlineLevel="0" collapsed="false">
      <c r="A1559" s="1" t="s">
        <v>2703</v>
      </c>
      <c r="B1559" s="1" t="s">
        <v>158</v>
      </c>
      <c r="C1559" s="1" t="s">
        <v>1153</v>
      </c>
      <c r="D1559" s="1" t="n">
        <v>179</v>
      </c>
      <c r="E1559" s="48" t="str">
        <f aca="false">IF('RAW QHH'!A179="","",'RAW QHH'!A179)</f>
        <v>Sports Physicals</v>
      </c>
      <c r="F1559" s="48" t="str">
        <f aca="false">IF('RAW QHH'!B179="","",'RAW QHH'!B179)</f>
        <v>CHIS - Clinical</v>
      </c>
      <c r="G1559" s="49" t="str">
        <f aca="false">IF('RAW QHH'!C179="","",'RAW QHH'!C179)</f>
        <v>30-Mar-2026</v>
      </c>
      <c r="H1559" s="48" t="str">
        <f aca="false">IF('RAW QHH'!D179="","",'RAW QHH'!D179)</f>
        <v>N.P.</v>
      </c>
      <c r="I1559" s="48" t="n">
        <f aca="false">IF('RAW QHH'!E179="","",'RAW QHH'!E179)</f>
        <v>4.75</v>
      </c>
      <c r="J1559" s="48" t="str">
        <f aca="false">IF('RAW QHH'!F179="","",'RAW QHH'!F179)</f>
        <v/>
      </c>
      <c r="K1559" s="50" t="n">
        <f aca="false">IF('RAW QHH'!G179="","",'RAW QHH'!G179)</f>
        <v>0</v>
      </c>
      <c r="L1559" s="50" t="n">
        <f aca="false">IF('RAW QHH'!H179="","",'RAW QHH'!H179)</f>
        <v>0</v>
      </c>
      <c r="M1559" s="48" t="str">
        <f aca="false">IF('RAW QHH'!I179="","",'RAW QHH'!I179)</f>
        <v/>
      </c>
    </row>
    <row r="1560" customFormat="false" ht="15" hidden="false" customHeight="false" outlineLevel="0" collapsed="false">
      <c r="A1560" s="1" t="s">
        <v>2704</v>
      </c>
      <c r="B1560" s="1" t="s">
        <v>158</v>
      </c>
      <c r="C1560" s="1" t="s">
        <v>1153</v>
      </c>
      <c r="D1560" s="1" t="n">
        <v>180</v>
      </c>
      <c r="E1560" s="48" t="str">
        <f aca="false">IF('RAW QHH'!A180="","",'RAW QHH'!A180)</f>
        <v>Sports Physicals</v>
      </c>
      <c r="F1560" s="48" t="str">
        <f aca="false">IF('RAW QHH'!B180="","",'RAW QHH'!B180)</f>
        <v>CHIS - Clinical</v>
      </c>
      <c r="G1560" s="49" t="str">
        <f aca="false">IF('RAW QHH'!C180="","",'RAW QHH'!C180)</f>
        <v>30-Mar-2026</v>
      </c>
      <c r="H1560" s="48" t="str">
        <f aca="false">IF('RAW QHH'!D180="","",'RAW QHH'!D180)</f>
        <v>MD</v>
      </c>
      <c r="I1560" s="48" t="n">
        <f aca="false">IF('RAW QHH'!E180="","",'RAW QHH'!E180)</f>
        <v>5</v>
      </c>
      <c r="J1560" s="48" t="n">
        <f aca="false">IF('RAW QHH'!F180="","",'RAW QHH'!F180)</f>
        <v>52</v>
      </c>
      <c r="K1560" s="50" t="n">
        <f aca="false">IF('RAW QHH'!G180="","",'RAW QHH'!G180)</f>
        <v>455</v>
      </c>
      <c r="L1560" s="50" t="n">
        <f aca="false">IF('RAW QHH'!H180="","",'RAW QHH'!H180)</f>
        <v>0</v>
      </c>
      <c r="M1560" s="48" t="str">
        <f aca="false">IF('RAW QHH'!I180="","",'RAW QHH'!I180)</f>
        <v/>
      </c>
    </row>
    <row r="1561" customFormat="false" ht="15" hidden="false" customHeight="false" outlineLevel="0" collapsed="false">
      <c r="A1561" s="1" t="s">
        <v>2705</v>
      </c>
      <c r="B1561" s="1" t="s">
        <v>158</v>
      </c>
      <c r="C1561" s="1" t="s">
        <v>1153</v>
      </c>
      <c r="D1561" s="1" t="n">
        <v>181</v>
      </c>
      <c r="E1561" s="48" t="str">
        <f aca="false">IF('RAW QHH'!A181="","",'RAW QHH'!A181)</f>
        <v>Green Space Project</v>
      </c>
      <c r="F1561" s="48" t="str">
        <f aca="false">IF('RAW QHH'!B181="","",'RAW QHH'!B181)</f>
        <v>Environmental (CB)</v>
      </c>
      <c r="G1561" s="49" t="str">
        <f aca="false">IF('RAW QHH'!C181="","",'RAW QHH'!C181)</f>
        <v>30-Mar-2026</v>
      </c>
      <c r="H1561" s="48" t="str">
        <f aca="false">IF('RAW QHH'!D181="","",'RAW QHH'!D181)</f>
        <v>Program Coordinator</v>
      </c>
      <c r="I1561" s="48" t="n">
        <f aca="false">IF('RAW QHH'!E181="","",'RAW QHH'!E181)</f>
        <v>7.5</v>
      </c>
      <c r="J1561" s="48" t="n">
        <f aca="false">IF('RAW QHH'!F181="","",'RAW QHH'!F181)</f>
        <v>60</v>
      </c>
      <c r="K1561" s="50" t="n">
        <f aca="false">IF('RAW QHH'!G181="","",'RAW QHH'!G181)</f>
        <v>3595</v>
      </c>
      <c r="L1561" s="50" t="n">
        <f aca="false">IF('RAW QHH'!H181="","",'RAW QHH'!H181)</f>
        <v>0</v>
      </c>
      <c r="M1561" s="48" t="str">
        <f aca="false">IF('RAW QHH'!I181="","",'RAW QHH'!I181)</f>
        <v/>
      </c>
    </row>
    <row r="1562" customFormat="false" ht="15" hidden="false" customHeight="false" outlineLevel="0" collapsed="false">
      <c r="A1562" s="1" t="s">
        <v>2706</v>
      </c>
      <c r="B1562" s="1" t="s">
        <v>158</v>
      </c>
      <c r="C1562" s="1" t="s">
        <v>1153</v>
      </c>
      <c r="D1562" s="1" t="n">
        <v>182</v>
      </c>
      <c r="E1562" s="48" t="str">
        <f aca="false">IF('RAW QHH'!A182="","",'RAW QHH'!A182)</f>
        <v>Medication Assistance</v>
      </c>
      <c r="F1562" s="48" t="str">
        <f aca="false">IF('RAW QHH'!B182="","",'RAW QHH'!B182)</f>
        <v>CHIS - Support</v>
      </c>
      <c r="G1562" s="49" t="str">
        <f aca="false">IF('RAW QHH'!C182="","",'RAW QHH'!C182)</f>
        <v>31-Mar-2026</v>
      </c>
      <c r="H1562" s="48" t="str">
        <f aca="false">IF('RAW QHH'!D182="","",'RAW QHH'!D182)</f>
        <v>Patient Navigator</v>
      </c>
      <c r="I1562" s="48" t="n">
        <f aca="false">IF('RAW QHH'!E182="","",'RAW QHH'!E182)</f>
        <v>53.5</v>
      </c>
      <c r="J1562" s="48" t="str">
        <f aca="false">IF('RAW QHH'!F182="","",'RAW QHH'!F182)</f>
        <v/>
      </c>
      <c r="K1562" s="50" t="n">
        <f aca="false">IF('RAW QHH'!G182="","",'RAW QHH'!G182)</f>
        <v>0</v>
      </c>
      <c r="L1562" s="50" t="n">
        <f aca="false">IF('RAW QHH'!H182="","",'RAW QHH'!H182)</f>
        <v>0</v>
      </c>
      <c r="M1562" s="48" t="str">
        <f aca="false">IF('RAW QHH'!I182="","",'RAW QHH'!I182)</f>
        <v/>
      </c>
    </row>
    <row r="1563" customFormat="false" ht="15" hidden="false" customHeight="false" outlineLevel="0" collapsed="false">
      <c r="A1563" s="1" t="s">
        <v>2707</v>
      </c>
      <c r="B1563" s="1" t="s">
        <v>158</v>
      </c>
      <c r="C1563" s="1" t="s">
        <v>1153</v>
      </c>
      <c r="D1563" s="1" t="n">
        <v>183</v>
      </c>
      <c r="E1563" s="48" t="str">
        <f aca="false">IF('RAW QHH'!A183="","",'RAW QHH'!A183)</f>
        <v>Medication Assistance</v>
      </c>
      <c r="F1563" s="48" t="str">
        <f aca="false">IF('RAW QHH'!B183="","",'RAW QHH'!B183)</f>
        <v>CHIS - Support</v>
      </c>
      <c r="G1563" s="49" t="str">
        <f aca="false">IF('RAW QHH'!C183="","",'RAW QHH'!C183)</f>
        <v>31-Mar-2026</v>
      </c>
      <c r="H1563" s="48" t="str">
        <f aca="false">IF('RAW QHH'!D183="","",'RAW QHH'!D183)</f>
        <v>RPh</v>
      </c>
      <c r="I1563" s="48" t="n">
        <f aca="false">IF('RAW QHH'!E183="","",'RAW QHH'!E183)</f>
        <v>20.5</v>
      </c>
      <c r="J1563" s="48" t="n">
        <f aca="false">IF('RAW QHH'!F183="","",'RAW QHH'!F183)</f>
        <v>86</v>
      </c>
      <c r="K1563" s="50" t="n">
        <f aca="false">IF('RAW QHH'!G183="","",'RAW QHH'!G183)</f>
        <v>17820</v>
      </c>
      <c r="L1563" s="50" t="n">
        <f aca="false">IF('RAW QHH'!H183="","",'RAW QHH'!H183)</f>
        <v>0</v>
      </c>
      <c r="M1563" s="48" t="str">
        <f aca="false">IF('RAW QHH'!I183="","",'RAW QHH'!I183)</f>
        <v/>
      </c>
    </row>
    <row r="1564" customFormat="false" ht="15" hidden="false" customHeight="false" outlineLevel="0" collapsed="false">
      <c r="A1564" s="1" t="s">
        <v>2708</v>
      </c>
      <c r="B1564" s="1" t="s">
        <v>158</v>
      </c>
      <c r="C1564" s="1" t="s">
        <v>1153</v>
      </c>
      <c r="D1564" s="1" t="n">
        <v>184</v>
      </c>
      <c r="E1564" s="48" t="str">
        <f aca="false">IF('RAW QHH'!A184="","",'RAW QHH'!A184)</f>
        <v>Community Benefit Admin.</v>
      </c>
      <c r="F1564" s="48" t="str">
        <f aca="false">IF('RAW QHH'!B184="","",'RAW QHH'!B184)</f>
        <v>CBO</v>
      </c>
      <c r="G1564" s="49" t="str">
        <f aca="false">IF('RAW QHH'!C184="","",'RAW QHH'!C184)</f>
        <v>31-Mar-2026</v>
      </c>
      <c r="H1564" s="48" t="str">
        <f aca="false">IF('RAW QHH'!D184="","",'RAW QHH'!D184)</f>
        <v>Admin Support</v>
      </c>
      <c r="I1564" s="48" t="n">
        <f aca="false">IF('RAW QHH'!E184="","",'RAW QHH'!E184)</f>
        <v>35</v>
      </c>
      <c r="J1564" s="48" t="str">
        <f aca="false">IF('RAW QHH'!F184="","",'RAW QHH'!F184)</f>
        <v/>
      </c>
      <c r="K1564" s="50" t="n">
        <f aca="false">IF('RAW QHH'!G184="","",'RAW QHH'!G184)</f>
        <v>0</v>
      </c>
      <c r="L1564" s="50" t="n">
        <f aca="false">IF('RAW QHH'!H184="","",'RAW QHH'!H184)</f>
        <v>0</v>
      </c>
      <c r="M1564" s="48" t="str">
        <f aca="false">IF('RAW QHH'!I184="","",'RAW QHH'!I184)</f>
        <v/>
      </c>
    </row>
    <row r="1565" customFormat="false" ht="15" hidden="false" customHeight="false" outlineLevel="0" collapsed="false">
      <c r="A1565" s="1" t="s">
        <v>2709</v>
      </c>
      <c r="B1565" s="1" t="s">
        <v>158</v>
      </c>
      <c r="C1565" s="1" t="s">
        <v>1153</v>
      </c>
      <c r="D1565" s="1" t="n">
        <v>185</v>
      </c>
      <c r="E1565" s="48" t="str">
        <f aca="false">IF('RAW QHH'!A185="","",'RAW QHH'!A185)</f>
        <v>Community Benefit Admin.</v>
      </c>
      <c r="F1565" s="48" t="str">
        <f aca="false">IF('RAW QHH'!B185="","",'RAW QHH'!B185)</f>
        <v>CBO</v>
      </c>
      <c r="G1565" s="49" t="str">
        <f aca="false">IF('RAW QHH'!C185="","",'RAW QHH'!C185)</f>
        <v>31-Mar-2026</v>
      </c>
      <c r="H1565" s="48" t="str">
        <f aca="false">IF('RAW QHH'!D185="","",'RAW QHH'!D185)</f>
        <v>Manager Community Benefit</v>
      </c>
      <c r="I1565" s="48" t="n">
        <f aca="false">IF('RAW QHH'!E185="","",'RAW QHH'!E185)</f>
        <v>64.5</v>
      </c>
      <c r="J1565" s="48" t="str">
        <f aca="false">IF('RAW QHH'!F185="","",'RAW QHH'!F185)</f>
        <v/>
      </c>
      <c r="K1565" s="50" t="n">
        <f aca="false">IF('RAW QHH'!G185="","",'RAW QHH'!G185)</f>
        <v>710</v>
      </c>
      <c r="L1565" s="50" t="n">
        <f aca="false">IF('RAW QHH'!H185="","",'RAW QHH'!H185)</f>
        <v>0</v>
      </c>
      <c r="M1565" s="48" t="str">
        <f aca="false">IF('RAW QHH'!I185="","",'RAW QHH'!I185)</f>
        <v/>
      </c>
    </row>
    <row r="1566" customFormat="false" ht="15" hidden="false" customHeight="false" outlineLevel="0" collapsed="false">
      <c r="A1566" s="1" t="s">
        <v>2710</v>
      </c>
      <c r="B1566" s="1" t="s">
        <v>158</v>
      </c>
      <c r="C1566" s="1" t="s">
        <v>1153</v>
      </c>
      <c r="D1566" s="1" t="n">
        <v>186</v>
      </c>
      <c r="E1566" s="48" t="str">
        <f aca="false">IF('RAW QHH'!A186="","",'RAW QHH'!A186)</f>
        <v>Community Paramedicine</v>
      </c>
      <c r="F1566" s="48" t="str">
        <f aca="false">IF('RAW QHH'!B186="","",'RAW QHH'!B186)</f>
        <v>CHIS - Clinical</v>
      </c>
      <c r="G1566" s="49" t="str">
        <f aca="false">IF('RAW QHH'!C186="","",'RAW QHH'!C186)</f>
        <v>31-Mar-2026</v>
      </c>
      <c r="H1566" s="48" t="str">
        <f aca="false">IF('RAW QHH'!D186="","",'RAW QHH'!D186)</f>
        <v>EMS Paramedic</v>
      </c>
      <c r="I1566" s="48" t="n">
        <f aca="false">IF('RAW QHH'!E186="","",'RAW QHH'!E186)</f>
        <v>91.25</v>
      </c>
      <c r="J1566" s="48" t="n">
        <f aca="false">IF('RAW QHH'!F186="","",'RAW QHH'!F186)</f>
        <v>40</v>
      </c>
      <c r="K1566" s="50" t="n">
        <f aca="false">IF('RAW QHH'!G186="","",'RAW QHH'!G186)</f>
        <v>795</v>
      </c>
      <c r="L1566" s="50" t="n">
        <f aca="false">IF('RAW QHH'!H186="","",'RAW QHH'!H186)</f>
        <v>0</v>
      </c>
      <c r="M1566" s="48" t="str">
        <f aca="false">IF('RAW QHH'!I186="","",'RAW QHH'!I186)</f>
        <v/>
      </c>
    </row>
    <row r="1567" customFormat="false" ht="15" hidden="false" customHeight="false" outlineLevel="0" collapsed="false">
      <c r="A1567" s="1" t="s">
        <v>2711</v>
      </c>
      <c r="B1567" s="1" t="s">
        <v>158</v>
      </c>
      <c r="C1567" s="1" t="s">
        <v>1153</v>
      </c>
      <c r="D1567" s="1" t="n">
        <v>187</v>
      </c>
      <c r="E1567" s="48" t="str">
        <f aca="false">IF('RAW QHH'!A187="","",'RAW QHH'!A187)</f>
        <v>Nursing Clinical Rotations</v>
      </c>
      <c r="F1567" s="48" t="str">
        <f aca="false">IF('RAW QHH'!B187="","",'RAW QHH'!B187)</f>
        <v>HPE - Students</v>
      </c>
      <c r="G1567" s="49" t="str">
        <f aca="false">IF('RAW QHH'!C187="","",'RAW QHH'!C187)</f>
        <v>31-Mar-2026</v>
      </c>
      <c r="H1567" s="48" t="str">
        <f aca="false">IF('RAW QHH'!D187="","",'RAW QHH'!D187)</f>
        <v>Educator, Nursing</v>
      </c>
      <c r="I1567" s="48" t="n">
        <f aca="false">IF('RAW QHH'!E187="","",'RAW QHH'!E187)</f>
        <v>108</v>
      </c>
      <c r="J1567" s="48" t="n">
        <f aca="false">IF('RAW QHH'!F187="","",'RAW QHH'!F187)</f>
        <v>33</v>
      </c>
      <c r="K1567" s="50" t="n">
        <f aca="false">IF('RAW QHH'!G187="","",'RAW QHH'!G187)</f>
        <v>435</v>
      </c>
      <c r="L1567" s="50" t="n">
        <f aca="false">IF('RAW QHH'!H187="","",'RAW QHH'!H187)</f>
        <v>0</v>
      </c>
      <c r="M1567" s="48" t="str">
        <f aca="false">IF('RAW QHH'!I187="","",'RAW QHH'!I187)</f>
        <v/>
      </c>
    </row>
    <row r="1568" customFormat="false" ht="15" hidden="false" customHeight="false" outlineLevel="0" collapsed="false">
      <c r="A1568" s="1" t="s">
        <v>2712</v>
      </c>
      <c r="B1568" s="1" t="s">
        <v>158</v>
      </c>
      <c r="C1568" s="1" t="s">
        <v>1153</v>
      </c>
      <c r="D1568" s="1" t="n">
        <v>188</v>
      </c>
      <c r="E1568" s="48" t="str">
        <f aca="false">IF('RAW QHH'!A188="","",'RAW QHH'!A188)</f>
        <v>Nursing Clinical Rotations</v>
      </c>
      <c r="F1568" s="48" t="str">
        <f aca="false">IF('RAW QHH'!B188="","",'RAW QHH'!B188)</f>
        <v>HPE - Students</v>
      </c>
      <c r="G1568" s="49" t="str">
        <f aca="false">IF('RAW QHH'!C188="","",'RAW QHH'!C188)</f>
        <v>31-Mar-2026</v>
      </c>
      <c r="H1568" s="48" t="str">
        <f aca="false">IF('RAW QHH'!D188="","",'RAW QHH'!D188)</f>
        <v>RN</v>
      </c>
      <c r="I1568" s="48" t="n">
        <f aca="false">IF('RAW QHH'!E188="","",'RAW QHH'!E188)</f>
        <v>144.25</v>
      </c>
      <c r="J1568" s="48" t="str">
        <f aca="false">IF('RAW QHH'!F188="","",'RAW QHH'!F188)</f>
        <v/>
      </c>
      <c r="K1568" s="50" t="n">
        <f aca="false">IF('RAW QHH'!G188="","",'RAW QHH'!G188)</f>
        <v>0</v>
      </c>
      <c r="L1568" s="50" t="n">
        <f aca="false">IF('RAW QHH'!H188="","",'RAW QHH'!H188)</f>
        <v>0</v>
      </c>
      <c r="M1568" s="48" t="str">
        <f aca="false">IF('RAW QHH'!I188="","",'RAW QHH'!I188)</f>
        <v/>
      </c>
    </row>
    <row r="1569" customFormat="false" ht="15" hidden="false" customHeight="false" outlineLevel="0" collapsed="false">
      <c r="A1569" s="1" t="s">
        <v>2713</v>
      </c>
      <c r="B1569" s="1" t="s">
        <v>158</v>
      </c>
      <c r="C1569" s="1" t="s">
        <v>1153</v>
      </c>
      <c r="D1569" s="1" t="n">
        <v>189</v>
      </c>
      <c r="E1569" s="48" t="str">
        <f aca="false">IF('RAW QHH'!A189="","",'RAW QHH'!A189)</f>
        <v>Supply Donations</v>
      </c>
      <c r="F1569" s="48" t="str">
        <f aca="false">IF('RAW QHH'!B189="","",'RAW QHH'!B189)</f>
        <v>Cash Contribution</v>
      </c>
      <c r="G1569" s="49" t="str">
        <f aca="false">IF('RAW QHH'!C189="","",'RAW QHH'!C189)</f>
        <v>05-Apr-2026</v>
      </c>
      <c r="H1569" s="48" t="str">
        <f aca="false">IF('RAW QHH'!D189="","",'RAW QHH'!D189)</f>
        <v>none</v>
      </c>
      <c r="I1569" s="48" t="n">
        <f aca="false">IF('RAW QHH'!E189="","",'RAW QHH'!E189)</f>
        <v>0</v>
      </c>
      <c r="J1569" s="48" t="str">
        <f aca="false">IF('RAW QHH'!F189="","",'RAW QHH'!F189)</f>
        <v/>
      </c>
      <c r="K1569" s="50" t="n">
        <f aca="false">IF('RAW QHH'!G189="","",'RAW QHH'!G189)</f>
        <v>7470</v>
      </c>
      <c r="L1569" s="50" t="n">
        <f aca="false">IF('RAW QHH'!H189="","",'RAW QHH'!H189)</f>
        <v>0</v>
      </c>
      <c r="M1569" s="48" t="str">
        <f aca="false">IF('RAW QHH'!I189="","",'RAW QHH'!I189)</f>
        <v/>
      </c>
    </row>
    <row r="1570" customFormat="false" ht="15" hidden="false" customHeight="false" outlineLevel="0" collapsed="false">
      <c r="A1570" s="1" t="s">
        <v>2714</v>
      </c>
      <c r="B1570" s="1" t="s">
        <v>158</v>
      </c>
      <c r="C1570" s="1" t="s">
        <v>1153</v>
      </c>
      <c r="D1570" s="1" t="n">
        <v>190</v>
      </c>
      <c r="E1570" s="48" t="str">
        <f aca="false">IF('RAW QHH'!A190="","",'RAW QHH'!A190)</f>
        <v>Diabetes Prevention Program</v>
      </c>
      <c r="F1570" s="48" t="str">
        <f aca="false">IF('RAW QHH'!B190="","",'RAW QHH'!B190)</f>
        <v>CHIS - Education</v>
      </c>
      <c r="G1570" s="49" t="str">
        <f aca="false">IF('RAW QHH'!C190="","",'RAW QHH'!C190)</f>
        <v>06-Apr-2026</v>
      </c>
      <c r="H1570" s="48" t="str">
        <f aca="false">IF('RAW QHH'!D190="","",'RAW QHH'!D190)</f>
        <v>Hlth Educator</v>
      </c>
      <c r="I1570" s="48" t="n">
        <f aca="false">IF('RAW QHH'!E190="","",'RAW QHH'!E190)</f>
        <v>2.25</v>
      </c>
      <c r="J1570" s="48" t="n">
        <f aca="false">IF('RAW QHH'!F190="","",'RAW QHH'!F190)</f>
        <v>12</v>
      </c>
      <c r="K1570" s="50" t="n">
        <f aca="false">IF('RAW QHH'!G190="","",'RAW QHH'!G190)</f>
        <v>75</v>
      </c>
      <c r="L1570" s="50" t="n">
        <f aca="false">IF('RAW QHH'!H190="","",'RAW QHH'!H190)</f>
        <v>0</v>
      </c>
      <c r="M1570" s="48" t="str">
        <f aca="false">IF('RAW QHH'!I190="","",'RAW QHH'!I190)</f>
        <v/>
      </c>
    </row>
    <row r="1571" customFormat="false" ht="15" hidden="false" customHeight="false" outlineLevel="0" collapsed="false">
      <c r="A1571" s="1" t="s">
        <v>2715</v>
      </c>
      <c r="B1571" s="1" t="s">
        <v>158</v>
      </c>
      <c r="C1571" s="1" t="s">
        <v>1153</v>
      </c>
      <c r="D1571" s="1" t="n">
        <v>191</v>
      </c>
      <c r="E1571" s="48" t="str">
        <f aca="false">IF('RAW QHH'!A191="","",'RAW QHH'!A191)</f>
        <v>Diabetes Prevention Program</v>
      </c>
      <c r="F1571" s="48" t="str">
        <f aca="false">IF('RAW QHH'!B191="","",'RAW QHH'!B191)</f>
        <v>CHIS - Education</v>
      </c>
      <c r="G1571" s="49" t="str">
        <f aca="false">IF('RAW QHH'!C191="","",'RAW QHH'!C191)</f>
        <v>06-Apr-2026</v>
      </c>
      <c r="H1571" s="48" t="str">
        <f aca="false">IF('RAW QHH'!D191="","",'RAW QHH'!D191)</f>
        <v>Clinical Dietitian</v>
      </c>
      <c r="I1571" s="48" t="n">
        <f aca="false">IF('RAW QHH'!E191="","",'RAW QHH'!E191)</f>
        <v>2</v>
      </c>
      <c r="J1571" s="48" t="str">
        <f aca="false">IF('RAW QHH'!F191="","",'RAW QHH'!F191)</f>
        <v/>
      </c>
      <c r="K1571" s="50" t="n">
        <f aca="false">IF('RAW QHH'!G191="","",'RAW QHH'!G191)</f>
        <v>0</v>
      </c>
      <c r="L1571" s="50" t="n">
        <f aca="false">IF('RAW QHH'!H191="","",'RAW QHH'!H191)</f>
        <v>0</v>
      </c>
      <c r="M1571" s="48" t="str">
        <f aca="false">IF('RAW QHH'!I191="","",'RAW QHH'!I191)</f>
        <v/>
      </c>
    </row>
    <row r="1572" customFormat="false" ht="15" hidden="false" customHeight="false" outlineLevel="0" collapsed="false">
      <c r="A1572" s="1" t="s">
        <v>2716</v>
      </c>
      <c r="B1572" s="1" t="s">
        <v>158</v>
      </c>
      <c r="C1572" s="1" t="s">
        <v>1153</v>
      </c>
      <c r="D1572" s="1" t="n">
        <v>192</v>
      </c>
      <c r="E1572" s="48" t="str">
        <f aca="false">IF('RAW QHH'!A192="","",'RAW QHH'!A192)</f>
        <v>Quit Tobacco Class</v>
      </c>
      <c r="F1572" s="48" t="str">
        <f aca="false">IF('RAW QHH'!B192="","",'RAW QHH'!B192)</f>
        <v>CHIS - Education</v>
      </c>
      <c r="G1572" s="49" t="str">
        <f aca="false">IF('RAW QHH'!C192="","",'RAW QHH'!C192)</f>
        <v>07-Apr-2026</v>
      </c>
      <c r="H1572" s="48" t="str">
        <f aca="false">IF('RAW QHH'!D192="","",'RAW QHH'!D192)</f>
        <v>Phys Therapist</v>
      </c>
      <c r="I1572" s="48" t="n">
        <f aca="false">IF('RAW QHH'!E192="","",'RAW QHH'!E192)</f>
        <v>2</v>
      </c>
      <c r="J1572" s="48" t="n">
        <f aca="false">IF('RAW QHH'!F192="","",'RAW QHH'!F192)</f>
        <v>8</v>
      </c>
      <c r="K1572" s="50" t="n">
        <f aca="false">IF('RAW QHH'!G192="","",'RAW QHH'!G192)</f>
        <v>190</v>
      </c>
      <c r="L1572" s="50" t="n">
        <f aca="false">IF('RAW QHH'!H192="","",'RAW QHH'!H192)</f>
        <v>0</v>
      </c>
      <c r="M1572" s="48" t="str">
        <f aca="false">IF('RAW QHH'!I192="","",'RAW QHH'!I192)</f>
        <v/>
      </c>
    </row>
    <row r="1573" customFormat="false" ht="15" hidden="false" customHeight="false" outlineLevel="0" collapsed="false">
      <c r="A1573" s="1" t="s">
        <v>2717</v>
      </c>
      <c r="B1573" s="1" t="s">
        <v>158</v>
      </c>
      <c r="C1573" s="1" t="s">
        <v>1153</v>
      </c>
      <c r="D1573" s="1" t="n">
        <v>193</v>
      </c>
      <c r="E1573" s="48" t="str">
        <f aca="false">IF('RAW QHH'!A193="","",'RAW QHH'!A193)</f>
        <v>Quit Tobacco Class</v>
      </c>
      <c r="F1573" s="48" t="str">
        <f aca="false">IF('RAW QHH'!B193="","",'RAW QHH'!B193)</f>
        <v>CHIS - Education</v>
      </c>
      <c r="G1573" s="49" t="str">
        <f aca="false">IF('RAW QHH'!C193="","",'RAW QHH'!C193)</f>
        <v>11-Apr-2026</v>
      </c>
      <c r="H1573" s="48" t="str">
        <f aca="false">IF('RAW QHH'!D193="","",'RAW QHH'!D193)</f>
        <v>Phys Therapist</v>
      </c>
      <c r="I1573" s="48" t="n">
        <f aca="false">IF('RAW QHH'!E193="","",'RAW QHH'!E193)</f>
        <v>2</v>
      </c>
      <c r="J1573" s="48" t="n">
        <f aca="false">IF('RAW QHH'!F193="","",'RAW QHH'!F193)</f>
        <v>11</v>
      </c>
      <c r="K1573" s="50" t="n">
        <f aca="false">IF('RAW QHH'!G193="","",'RAW QHH'!G193)</f>
        <v>95</v>
      </c>
      <c r="L1573" s="50" t="n">
        <f aca="false">IF('RAW QHH'!H193="","",'RAW QHH'!H193)</f>
        <v>0</v>
      </c>
      <c r="M1573" s="48" t="str">
        <f aca="false">IF('RAW QHH'!I193="","",'RAW QHH'!I193)</f>
        <v/>
      </c>
    </row>
    <row r="1574" customFormat="false" ht="15" hidden="false" customHeight="false" outlineLevel="0" collapsed="false">
      <c r="A1574" s="1" t="s">
        <v>2718</v>
      </c>
      <c r="B1574" s="1" t="s">
        <v>158</v>
      </c>
      <c r="C1574" s="1" t="s">
        <v>1153</v>
      </c>
      <c r="D1574" s="1" t="n">
        <v>194</v>
      </c>
      <c r="E1574" s="48" t="str">
        <f aca="false">IF('RAW QHH'!A194="","",'RAW QHH'!A194)</f>
        <v>Employee Wellness Fair</v>
      </c>
      <c r="F1574" s="48" t="str">
        <f aca="false">IF('RAW QHH'!B194="","",'RAW QHH'!B194)</f>
        <v>CHIS - Education</v>
      </c>
      <c r="G1574" s="49" t="str">
        <f aca="false">IF('RAW QHH'!C194="","",'RAW QHH'!C194)</f>
        <v>17-Apr-2026</v>
      </c>
      <c r="H1574" s="48" t="str">
        <f aca="false">IF('RAW QHH'!D194="","",'RAW QHH'!D194)</f>
        <v>CHES</v>
      </c>
      <c r="I1574" s="48" t="n">
        <f aca="false">IF('RAW QHH'!E194="","",'RAW QHH'!E194)</f>
        <v>6</v>
      </c>
      <c r="J1574" s="48" t="n">
        <f aca="false">IF('RAW QHH'!F194="","",'RAW QHH'!F194)</f>
        <v>192</v>
      </c>
      <c r="K1574" s="50" t="n">
        <f aca="false">IF('RAW QHH'!G194="","",'RAW QHH'!G194)</f>
        <v>1400</v>
      </c>
      <c r="L1574" s="50" t="n">
        <f aca="false">IF('RAW QHH'!H194="","",'RAW QHH'!H194)</f>
        <v>0</v>
      </c>
      <c r="M1574" s="48" t="str">
        <f aca="false">IF('RAW QHH'!I194="","",'RAW QHH'!I194)</f>
        <v/>
      </c>
    </row>
    <row r="1575" customFormat="false" ht="15" hidden="false" customHeight="false" outlineLevel="0" collapsed="false">
      <c r="A1575" s="1" t="s">
        <v>2719</v>
      </c>
      <c r="B1575" s="1" t="s">
        <v>158</v>
      </c>
      <c r="C1575" s="1" t="s">
        <v>1153</v>
      </c>
      <c r="D1575" s="1" t="n">
        <v>195</v>
      </c>
      <c r="E1575" s="48" t="str">
        <f aca="false">IF('RAW QHH'!A195="","",'RAW QHH'!A195)</f>
        <v>Employee Wellness Fair</v>
      </c>
      <c r="F1575" s="48" t="str">
        <f aca="false">IF('RAW QHH'!B195="","",'RAW QHH'!B195)</f>
        <v>CHIS - Education</v>
      </c>
      <c r="G1575" s="49" t="str">
        <f aca="false">IF('RAW QHH'!C195="","",'RAW QHH'!C195)</f>
        <v>17-Apr-2026</v>
      </c>
      <c r="H1575" s="48" t="str">
        <f aca="false">IF('RAW QHH'!D195="","",'RAW QHH'!D195)</f>
        <v>Charge RN</v>
      </c>
      <c r="I1575" s="48" t="n">
        <f aca="false">IF('RAW QHH'!E195="","",'RAW QHH'!E195)</f>
        <v>6</v>
      </c>
      <c r="J1575" s="48" t="str">
        <f aca="false">IF('RAW QHH'!F195="","",'RAW QHH'!F195)</f>
        <v/>
      </c>
      <c r="K1575" s="50" t="n">
        <f aca="false">IF('RAW QHH'!G195="","",'RAW QHH'!G195)</f>
        <v>0</v>
      </c>
      <c r="L1575" s="50" t="n">
        <f aca="false">IF('RAW QHH'!H195="","",'RAW QHH'!H195)</f>
        <v>0</v>
      </c>
      <c r="M1575" s="48" t="str">
        <f aca="false">IF('RAW QHH'!I195="","",'RAW QHH'!I195)</f>
        <v/>
      </c>
    </row>
    <row r="1576" customFormat="false" ht="15" hidden="false" customHeight="false" outlineLevel="0" collapsed="false">
      <c r="A1576" s="1" t="s">
        <v>2720</v>
      </c>
      <c r="B1576" s="1" t="s">
        <v>158</v>
      </c>
      <c r="C1576" s="1" t="s">
        <v>1153</v>
      </c>
      <c r="D1576" s="1" t="n">
        <v>196</v>
      </c>
      <c r="E1576" s="48" t="str">
        <f aca="false">IF('RAW QHH'!A196="","",'RAW QHH'!A196)</f>
        <v>Fall Prevention Class</v>
      </c>
      <c r="F1576" s="48" t="str">
        <f aca="false">IF('RAW QHH'!B196="","",'RAW QHH'!B196)</f>
        <v>CHIS - Education</v>
      </c>
      <c r="G1576" s="49" t="str">
        <f aca="false">IF('RAW QHH'!C196="","",'RAW QHH'!C196)</f>
        <v>24-Apr-2026</v>
      </c>
      <c r="H1576" s="48" t="str">
        <f aca="false">IF('RAW QHH'!D196="","",'RAW QHH'!D196)</f>
        <v>Physical Therapist</v>
      </c>
      <c r="I1576" s="48" t="n">
        <f aca="false">IF('RAW QHH'!E196="","",'RAW QHH'!E196)</f>
        <v>2</v>
      </c>
      <c r="J1576" s="48" t="n">
        <f aca="false">IF('RAW QHH'!F196="","",'RAW QHH'!F196)</f>
        <v>15</v>
      </c>
      <c r="K1576" s="50" t="n">
        <f aca="false">IF('RAW QHH'!G196="","",'RAW QHH'!G196)</f>
        <v>95</v>
      </c>
      <c r="L1576" s="50" t="n">
        <f aca="false">IF('RAW QHH'!H196="","",'RAW QHH'!H196)</f>
        <v>0</v>
      </c>
      <c r="M1576" s="48" t="str">
        <f aca="false">IF('RAW QHH'!I196="","",'RAW QHH'!I196)</f>
        <v/>
      </c>
    </row>
    <row r="1577" customFormat="false" ht="15" hidden="false" customHeight="false" outlineLevel="0" collapsed="false">
      <c r="A1577" s="1" t="s">
        <v>2721</v>
      </c>
      <c r="B1577" s="1" t="s">
        <v>158</v>
      </c>
      <c r="C1577" s="1" t="s">
        <v>1153</v>
      </c>
      <c r="D1577" s="1" t="n">
        <v>197</v>
      </c>
      <c r="E1577" s="48" t="str">
        <f aca="false">IF('RAW QHH'!A197="","",'RAW QHH'!A197)</f>
        <v>Childbirth Education</v>
      </c>
      <c r="F1577" s="48" t="str">
        <f aca="false">IF('RAW QHH'!B197="","",'RAW QHH'!B197)</f>
        <v>CHIS - Education</v>
      </c>
      <c r="G1577" s="49" t="str">
        <f aca="false">IF('RAW QHH'!C197="","",'RAW QHH'!C197)</f>
        <v>25-Apr-2026</v>
      </c>
      <c r="H1577" s="48" t="str">
        <f aca="false">IF('RAW QHH'!D197="","",'RAW QHH'!D197)</f>
        <v>Nurse Educator</v>
      </c>
      <c r="I1577" s="48" t="n">
        <f aca="false">IF('RAW QHH'!E197="","",'RAW QHH'!E197)</f>
        <v>3.5</v>
      </c>
      <c r="J1577" s="48" t="n">
        <f aca="false">IF('RAW QHH'!F197="","",'RAW QHH'!F197)</f>
        <v>14</v>
      </c>
      <c r="K1577" s="50" t="n">
        <f aca="false">IF('RAW QHH'!G197="","",'RAW QHH'!G197)</f>
        <v>170</v>
      </c>
      <c r="L1577" s="50" t="n">
        <f aca="false">IF('RAW QHH'!H197="","",'RAW QHH'!H197)</f>
        <v>280</v>
      </c>
      <c r="M1577" s="48" t="str">
        <f aca="false">IF('RAW QHH'!I197="","",'RAW QHH'!I197)</f>
        <v/>
      </c>
    </row>
    <row r="1578" customFormat="false" ht="15" hidden="false" customHeight="false" outlineLevel="0" collapsed="false">
      <c r="A1578" s="1" t="s">
        <v>2722</v>
      </c>
      <c r="B1578" s="1" t="s">
        <v>158</v>
      </c>
      <c r="C1578" s="1" t="s">
        <v>1153</v>
      </c>
      <c r="D1578" s="1" t="n">
        <v>198</v>
      </c>
      <c r="E1578" s="48" t="str">
        <f aca="false">IF('RAW QHH'!A198="","",'RAW QHH'!A198)</f>
        <v>Grief Support Group</v>
      </c>
      <c r="F1578" s="48" t="str">
        <f aca="false">IF('RAW QHH'!B198="","",'RAW QHH'!B198)</f>
        <v>CHIS - Support</v>
      </c>
      <c r="G1578" s="49" t="str">
        <f aca="false">IF('RAW QHH'!C198="","",'RAW QHH'!C198)</f>
        <v>27-Apr-2026</v>
      </c>
      <c r="H1578" s="48" t="str">
        <f aca="false">IF('RAW QHH'!D198="","",'RAW QHH'!D198)</f>
        <v>Chaplain Resident</v>
      </c>
      <c r="I1578" s="48" t="n">
        <f aca="false">IF('RAW QHH'!E198="","",'RAW QHH'!E198)</f>
        <v>2</v>
      </c>
      <c r="J1578" s="48" t="n">
        <f aca="false">IF('RAW QHH'!F198="","",'RAW QHH'!F198)</f>
        <v>11</v>
      </c>
      <c r="K1578" s="50" t="n">
        <f aca="false">IF('RAW QHH'!G198="","",'RAW QHH'!G198)</f>
        <v>25</v>
      </c>
      <c r="L1578" s="50" t="n">
        <f aca="false">IF('RAW QHH'!H198="","",'RAW QHH'!H198)</f>
        <v>0</v>
      </c>
      <c r="M1578" s="48" t="str">
        <f aca="false">IF('RAW QHH'!I198="","",'RAW QHH'!I198)</f>
        <v/>
      </c>
    </row>
    <row r="1579" customFormat="false" ht="15" hidden="false" customHeight="false" outlineLevel="0" collapsed="false">
      <c r="A1579" s="1" t="s">
        <v>2723</v>
      </c>
      <c r="B1579" s="1" t="s">
        <v>158</v>
      </c>
      <c r="C1579" s="1" t="s">
        <v>1153</v>
      </c>
      <c r="D1579" s="1" t="n">
        <v>199</v>
      </c>
      <c r="E1579" s="48" t="str">
        <f aca="false">IF('RAW QHH'!A199="","",'RAW QHH'!A199)</f>
        <v>Grief Support Group</v>
      </c>
      <c r="F1579" s="48" t="str">
        <f aca="false">IF('RAW QHH'!B199="","",'RAW QHH'!B199)</f>
        <v>CHIS - Support</v>
      </c>
      <c r="G1579" s="49" t="str">
        <f aca="false">IF('RAW QHH'!C199="","",'RAW QHH'!C199)</f>
        <v>27-Apr-2026</v>
      </c>
      <c r="H1579" s="48" t="str">
        <f aca="false">IF('RAW QHH'!D199="","",'RAW QHH'!D199)</f>
        <v>LCSW</v>
      </c>
      <c r="I1579" s="48" t="n">
        <f aca="false">IF('RAW QHH'!E199="","",'RAW QHH'!E199)</f>
        <v>1.5</v>
      </c>
      <c r="J1579" s="48" t="str">
        <f aca="false">IF('RAW QHH'!F199="","",'RAW QHH'!F199)</f>
        <v/>
      </c>
      <c r="K1579" s="50" t="n">
        <f aca="false">IF('RAW QHH'!G199="","",'RAW QHH'!G199)</f>
        <v>0</v>
      </c>
      <c r="L1579" s="50" t="n">
        <f aca="false">IF('RAW QHH'!H199="","",'RAW QHH'!H199)</f>
        <v>0</v>
      </c>
      <c r="M1579" s="48" t="str">
        <f aca="false">IF('RAW QHH'!I199="","",'RAW QHH'!I199)</f>
        <v/>
      </c>
    </row>
    <row r="1580" customFormat="false" ht="15" hidden="false" customHeight="false" outlineLevel="0" collapsed="false">
      <c r="A1580" s="1" t="s">
        <v>2724</v>
      </c>
      <c r="B1580" s="1" t="s">
        <v>158</v>
      </c>
      <c r="C1580" s="1" t="s">
        <v>1153</v>
      </c>
      <c r="D1580" s="1" t="n">
        <v>200</v>
      </c>
      <c r="E1580" s="48" t="str">
        <f aca="false">IF('RAW QHH'!A200="","",'RAW QHH'!A200)</f>
        <v>Fall Prevention Class</v>
      </c>
      <c r="F1580" s="48" t="str">
        <f aca="false">IF('RAW QHH'!B200="","",'RAW QHH'!B200)</f>
        <v>CHIS - Education</v>
      </c>
      <c r="G1580" s="49" t="str">
        <f aca="false">IF('RAW QHH'!C200="","",'RAW QHH'!C200)</f>
        <v>28-Apr-2026</v>
      </c>
      <c r="H1580" s="48" t="str">
        <f aca="false">IF('RAW QHH'!D200="","",'RAW QHH'!D200)</f>
        <v>RRT</v>
      </c>
      <c r="I1580" s="48" t="n">
        <f aca="false">IF('RAW QHH'!E200="","",'RAW QHH'!E200)</f>
        <v>2</v>
      </c>
      <c r="J1580" s="48" t="n">
        <f aca="false">IF('RAW QHH'!F200="","",'RAW QHH'!F200)</f>
        <v>11</v>
      </c>
      <c r="K1580" s="50" t="n">
        <f aca="false">IF('RAW QHH'!G200="","",'RAW QHH'!G200)</f>
        <v>70</v>
      </c>
      <c r="L1580" s="50" t="n">
        <f aca="false">IF('RAW QHH'!H200="","",'RAW QHH'!H200)</f>
        <v>0</v>
      </c>
      <c r="M1580" s="48" t="str">
        <f aca="false">IF('RAW QHH'!I200="","",'RAW QHH'!I200)</f>
        <v/>
      </c>
    </row>
    <row r="1581" customFormat="false" ht="15" hidden="false" customHeight="false" outlineLevel="0" collapsed="false">
      <c r="A1581" s="1" t="s">
        <v>2725</v>
      </c>
      <c r="B1581" s="1" t="s">
        <v>158</v>
      </c>
      <c r="C1581" s="1" t="s">
        <v>1153</v>
      </c>
      <c r="D1581" s="1" t="n">
        <v>201</v>
      </c>
      <c r="E1581" s="48" t="str">
        <f aca="false">IF('RAW QHH'!A201="","",'RAW QHH'!A201)</f>
        <v>Youth Pathway Program</v>
      </c>
      <c r="F1581" s="48" t="str">
        <f aca="false">IF('RAW QHH'!B201="","",'RAW QHH'!B201)</f>
        <v>Workforce Dev (CB)</v>
      </c>
      <c r="G1581" s="49" t="str">
        <f aca="false">IF('RAW QHH'!C201="","",'RAW QHH'!C201)</f>
        <v>29-Apr-2026</v>
      </c>
      <c r="H1581" s="48" t="str">
        <f aca="false">IF('RAW QHH'!D201="","",'RAW QHH'!D201)</f>
        <v> Clin Educator</v>
      </c>
      <c r="I1581" s="48" t="n">
        <f aca="false">IF('RAW QHH'!E201="","",'RAW QHH'!E201)</f>
        <v>3.25</v>
      </c>
      <c r="J1581" s="48" t="str">
        <f aca="false">IF('RAW QHH'!F201="","",'RAW QHH'!F201)</f>
        <v/>
      </c>
      <c r="K1581" s="50" t="n">
        <f aca="false">IF('RAW QHH'!G201="","",'RAW QHH'!G201)</f>
        <v>0</v>
      </c>
      <c r="L1581" s="50" t="n">
        <f aca="false">IF('RAW QHH'!H201="","",'RAW QHH'!H201)</f>
        <v>0</v>
      </c>
      <c r="M1581" s="48" t="str">
        <f aca="false">IF('RAW QHH'!I201="","",'RAW QHH'!I201)</f>
        <v/>
      </c>
    </row>
    <row r="1582" customFormat="false" ht="15" hidden="false" customHeight="false" outlineLevel="0" collapsed="false">
      <c r="A1582" s="1" t="s">
        <v>2726</v>
      </c>
      <c r="B1582" s="1" t="s">
        <v>158</v>
      </c>
      <c r="C1582" s="1" t="s">
        <v>1153</v>
      </c>
      <c r="D1582" s="1" t="n">
        <v>202</v>
      </c>
      <c r="E1582" s="48" t="str">
        <f aca="false">IF('RAW QHH'!A202="","",'RAW QHH'!A202)</f>
        <v>Youth Pathway Program</v>
      </c>
      <c r="F1582" s="48" t="str">
        <f aca="false">IF('RAW QHH'!B202="","",'RAW QHH'!B202)</f>
        <v>Workforce Dev (CB)</v>
      </c>
      <c r="G1582" s="49" t="str">
        <f aca="false">IF('RAW QHH'!C202="","",'RAW QHH'!C202)</f>
        <v>29-Apr-2026</v>
      </c>
      <c r="H1582" s="48" t="str">
        <f aca="false">IF('RAW QHH'!D202="","",'RAW QHH'!D202)</f>
        <v>Prog Coord</v>
      </c>
      <c r="I1582" s="48" t="n">
        <f aca="false">IF('RAW QHH'!E202="","",'RAW QHH'!E202)</f>
        <v>7.25</v>
      </c>
      <c r="J1582" s="48" t="n">
        <f aca="false">IF('RAW QHH'!F202="","",'RAW QHH'!F202)</f>
        <v>18</v>
      </c>
      <c r="K1582" s="50" t="n">
        <f aca="false">IF('RAW QHH'!G202="","",'RAW QHH'!G202)</f>
        <v>530</v>
      </c>
      <c r="L1582" s="50" t="n">
        <f aca="false">IF('RAW QHH'!H202="","",'RAW QHH'!H202)</f>
        <v>0</v>
      </c>
      <c r="M1582" s="48" t="str">
        <f aca="false">IF('RAW QHH'!I202="","",'RAW QHH'!I202)</f>
        <v/>
      </c>
    </row>
    <row r="1583" customFormat="false" ht="15" hidden="false" customHeight="false" outlineLevel="0" collapsed="false">
      <c r="A1583" s="1" t="s">
        <v>2727</v>
      </c>
      <c r="B1583" s="1" t="s">
        <v>158</v>
      </c>
      <c r="C1583" s="1" t="s">
        <v>1153</v>
      </c>
      <c r="D1583" s="1" t="n">
        <v>203</v>
      </c>
      <c r="E1583" s="48" t="str">
        <f aca="false">IF('RAW QHH'!A203="","",'RAW QHH'!A203)</f>
        <v>Green Space Project</v>
      </c>
      <c r="F1583" s="48" t="str">
        <f aca="false">IF('RAW QHH'!B203="","",'RAW QHH'!B203)</f>
        <v>Environmental (CB)</v>
      </c>
      <c r="G1583" s="49" t="str">
        <f aca="false">IF('RAW QHH'!C203="","",'RAW QHH'!C203)</f>
        <v>29-Apr-2026</v>
      </c>
      <c r="H1583" s="48" t="str">
        <f aca="false">IF('RAW QHH'!D203="","",'RAW QHH'!D203)</f>
        <v>Volunteer Coordinator</v>
      </c>
      <c r="I1583" s="48" t="n">
        <f aca="false">IF('RAW QHH'!E203="","",'RAW QHH'!E203)</f>
        <v>6.75</v>
      </c>
      <c r="J1583" s="48" t="n">
        <f aca="false">IF('RAW QHH'!F203="","",'RAW QHH'!F203)</f>
        <v>45</v>
      </c>
      <c r="K1583" s="50" t="n">
        <f aca="false">IF('RAW QHH'!G203="","",'RAW QHH'!G203)</f>
        <v>2490</v>
      </c>
      <c r="L1583" s="50" t="n">
        <f aca="false">IF('RAW QHH'!H203="","",'RAW QHH'!H203)</f>
        <v>0</v>
      </c>
      <c r="M1583" s="48" t="str">
        <f aca="false">IF('RAW QHH'!I203="","",'RAW QHH'!I203)</f>
        <v/>
      </c>
    </row>
    <row r="1584" customFormat="false" ht="15" hidden="false" customHeight="false" outlineLevel="0" collapsed="false">
      <c r="A1584" s="1" t="s">
        <v>2728</v>
      </c>
      <c r="B1584" s="1" t="s">
        <v>158</v>
      </c>
      <c r="C1584" s="1" t="s">
        <v>1153</v>
      </c>
      <c r="D1584" s="1" t="n">
        <v>204</v>
      </c>
      <c r="E1584" s="48" t="str">
        <f aca="false">IF('RAW QHH'!A204="","",'RAW QHH'!A204)</f>
        <v>Medication Assistance</v>
      </c>
      <c r="F1584" s="48" t="str">
        <f aca="false">IF('RAW QHH'!B204="","",'RAW QHH'!B204)</f>
        <v>CHIS - Support</v>
      </c>
      <c r="G1584" s="49" t="str">
        <f aca="false">IF('RAW QHH'!C204="","",'RAW QHH'!C204)</f>
        <v>30-Apr-2026</v>
      </c>
      <c r="H1584" s="48" t="str">
        <f aca="false">IF('RAW QHH'!D204="","",'RAW QHH'!D204)</f>
        <v>Navigator</v>
      </c>
      <c r="I1584" s="48" t="n">
        <f aca="false">IF('RAW QHH'!E204="","",'RAW QHH'!E204)</f>
        <v>58</v>
      </c>
      <c r="J1584" s="48" t="str">
        <f aca="false">IF('RAW QHH'!F204="","",'RAW QHH'!F204)</f>
        <v/>
      </c>
      <c r="K1584" s="50" t="n">
        <f aca="false">IF('RAW QHH'!G204="","",'RAW QHH'!G204)</f>
        <v>0</v>
      </c>
      <c r="L1584" s="50" t="n">
        <f aca="false">IF('RAW QHH'!H204="","",'RAW QHH'!H204)</f>
        <v>0</v>
      </c>
      <c r="M1584" s="48" t="str">
        <f aca="false">IF('RAW QHH'!I204="","",'RAW QHH'!I204)</f>
        <v/>
      </c>
    </row>
    <row r="1585" customFormat="false" ht="15" hidden="false" customHeight="false" outlineLevel="0" collapsed="false">
      <c r="A1585" s="1" t="s">
        <v>2729</v>
      </c>
      <c r="B1585" s="1" t="s">
        <v>158</v>
      </c>
      <c r="C1585" s="1" t="s">
        <v>1153</v>
      </c>
      <c r="D1585" s="1" t="n">
        <v>205</v>
      </c>
      <c r="E1585" s="48" t="str">
        <f aca="false">IF('RAW QHH'!A205="","",'RAW QHH'!A205)</f>
        <v>Medication Assistance</v>
      </c>
      <c r="F1585" s="48" t="str">
        <f aca="false">IF('RAW QHH'!B205="","",'RAW QHH'!B205)</f>
        <v>CHIS - Support</v>
      </c>
      <c r="G1585" s="49" t="str">
        <f aca="false">IF('RAW QHH'!C205="","",'RAW QHH'!C205)</f>
        <v>30-Apr-2026</v>
      </c>
      <c r="H1585" s="48" t="str">
        <f aca="false">IF('RAW QHH'!D205="","",'RAW QHH'!D205)</f>
        <v>PharmD</v>
      </c>
      <c r="I1585" s="48" t="n">
        <f aca="false">IF('RAW QHH'!E205="","",'RAW QHH'!E205)</f>
        <v>16.75</v>
      </c>
      <c r="J1585" s="48" t="n">
        <f aca="false">IF('RAW QHH'!F205="","",'RAW QHH'!F205)</f>
        <v>99</v>
      </c>
      <c r="K1585" s="50" t="n">
        <f aca="false">IF('RAW QHH'!G205="","",'RAW QHH'!G205)</f>
        <v>12240</v>
      </c>
      <c r="L1585" s="50" t="n">
        <f aca="false">IF('RAW QHH'!H205="","",'RAW QHH'!H205)</f>
        <v>0</v>
      </c>
      <c r="M1585" s="48" t="str">
        <f aca="false">IF('RAW QHH'!I205="","",'RAW QHH'!I205)</f>
        <v/>
      </c>
    </row>
    <row r="1586" customFormat="false" ht="15" hidden="false" customHeight="false" outlineLevel="0" collapsed="false">
      <c r="A1586" s="1" t="s">
        <v>2730</v>
      </c>
      <c r="B1586" s="1" t="s">
        <v>158</v>
      </c>
      <c r="C1586" s="1" t="s">
        <v>1153</v>
      </c>
      <c r="D1586" s="1" t="n">
        <v>206</v>
      </c>
      <c r="E1586" s="48" t="str">
        <f aca="false">IF('RAW QHH'!A206="","",'RAW QHH'!A206)</f>
        <v>Community Benefit Admin.</v>
      </c>
      <c r="F1586" s="48" t="str">
        <f aca="false">IF('RAW QHH'!B206="","",'RAW QHH'!B206)</f>
        <v>CBO</v>
      </c>
      <c r="G1586" s="49" t="str">
        <f aca="false">IF('RAW QHH'!C206="","",'RAW QHH'!C206)</f>
        <v>30-Apr-2026</v>
      </c>
      <c r="H1586" s="48" t="str">
        <f aca="false">IF('RAW QHH'!D206="","",'RAW QHH'!D206)</f>
        <v>Office Coordinator </v>
      </c>
      <c r="I1586" s="48" t="n">
        <f aca="false">IF('RAW QHH'!E206="","",'RAW QHH'!E206)</f>
        <v>46.75</v>
      </c>
      <c r="J1586" s="48" t="str">
        <f aca="false">IF('RAW QHH'!F206="","",'RAW QHH'!F206)</f>
        <v/>
      </c>
      <c r="K1586" s="50" t="n">
        <f aca="false">IF('RAW QHH'!G206="","",'RAW QHH'!G206)</f>
        <v>0</v>
      </c>
      <c r="L1586" s="50" t="n">
        <f aca="false">IF('RAW QHH'!H206="","",'RAW QHH'!H206)</f>
        <v>0</v>
      </c>
      <c r="M1586" s="48" t="str">
        <f aca="false">IF('RAW QHH'!I206="","",'RAW QHH'!I206)</f>
        <v/>
      </c>
    </row>
    <row r="1587" customFormat="false" ht="15" hidden="false" customHeight="false" outlineLevel="0" collapsed="false">
      <c r="A1587" s="1" t="s">
        <v>2731</v>
      </c>
      <c r="B1587" s="1" t="s">
        <v>158</v>
      </c>
      <c r="C1587" s="1" t="s">
        <v>1153</v>
      </c>
      <c r="D1587" s="1" t="n">
        <v>207</v>
      </c>
      <c r="E1587" s="48" t="str">
        <f aca="false">IF('RAW QHH'!A207="","",'RAW QHH'!A207)</f>
        <v>Community Benefit Admin.</v>
      </c>
      <c r="F1587" s="48" t="str">
        <f aca="false">IF('RAW QHH'!B207="","",'RAW QHH'!B207)</f>
        <v>CBO</v>
      </c>
      <c r="G1587" s="49" t="str">
        <f aca="false">IF('RAW QHH'!C207="","",'RAW QHH'!C207)</f>
        <v>30-Apr-2026</v>
      </c>
      <c r="H1587" s="48" t="str">
        <f aca="false">IF('RAW QHH'!D207="","",'RAW QHH'!D207)</f>
        <v>Community Benefit Mgr</v>
      </c>
      <c r="I1587" s="48" t="n">
        <f aca="false">IF('RAW QHH'!E207="","",'RAW QHH'!E207)</f>
        <v>67.5</v>
      </c>
      <c r="J1587" s="48" t="str">
        <f aca="false">IF('RAW QHH'!F207="","",'RAW QHH'!F207)</f>
        <v/>
      </c>
      <c r="K1587" s="50" t="n">
        <f aca="false">IF('RAW QHH'!G207="","",'RAW QHH'!G207)</f>
        <v>505</v>
      </c>
      <c r="L1587" s="50" t="n">
        <f aca="false">IF('RAW QHH'!H207="","",'RAW QHH'!H207)</f>
        <v>0</v>
      </c>
      <c r="M1587" s="48" t="str">
        <f aca="false">IF('RAW QHH'!I207="","",'RAW QHH'!I207)</f>
        <v/>
      </c>
    </row>
    <row r="1588" customFormat="false" ht="15" hidden="false" customHeight="false" outlineLevel="0" collapsed="false">
      <c r="A1588" s="1" t="s">
        <v>2732</v>
      </c>
      <c r="B1588" s="1" t="s">
        <v>158</v>
      </c>
      <c r="C1588" s="1" t="s">
        <v>1153</v>
      </c>
      <c r="D1588" s="1" t="n">
        <v>208</v>
      </c>
      <c r="E1588" s="48" t="str">
        <f aca="false">IF('RAW QHH'!A208="","",'RAW QHH'!A208)</f>
        <v>Community Paramedicine</v>
      </c>
      <c r="F1588" s="48" t="str">
        <f aca="false">IF('RAW QHH'!B208="","",'RAW QHH'!B208)</f>
        <v>CHIS - Clinical</v>
      </c>
      <c r="G1588" s="49" t="str">
        <f aca="false">IF('RAW QHH'!C208="","",'RAW QHH'!C208)</f>
        <v>30-Apr-2026</v>
      </c>
      <c r="H1588" s="48" t="str">
        <f aca="false">IF('RAW QHH'!D208="","",'RAW QHH'!D208)</f>
        <v>EMT</v>
      </c>
      <c r="I1588" s="48" t="n">
        <f aca="false">IF('RAW QHH'!E208="","",'RAW QHH'!E208)</f>
        <v>83.75</v>
      </c>
      <c r="J1588" s="48" t="n">
        <f aca="false">IF('RAW QHH'!F208="","",'RAW QHH'!F208)</f>
        <v>55</v>
      </c>
      <c r="K1588" s="50" t="n">
        <f aca="false">IF('RAW QHH'!G208="","",'RAW QHH'!G208)</f>
        <v>1075</v>
      </c>
      <c r="L1588" s="50" t="n">
        <f aca="false">IF('RAW QHH'!H208="","",'RAW QHH'!H208)</f>
        <v>0</v>
      </c>
      <c r="M1588" s="48" t="str">
        <f aca="false">IF('RAW QHH'!I208="","",'RAW QHH'!I208)</f>
        <v/>
      </c>
    </row>
    <row r="1589" customFormat="false" ht="15" hidden="false" customHeight="false" outlineLevel="0" collapsed="false">
      <c r="A1589" s="1" t="s">
        <v>2733</v>
      </c>
      <c r="B1589" s="1" t="s">
        <v>158</v>
      </c>
      <c r="C1589" s="1" t="s">
        <v>1153</v>
      </c>
      <c r="D1589" s="1" t="n">
        <v>209</v>
      </c>
      <c r="E1589" s="48" t="str">
        <f aca="false">IF('RAW QHH'!A209="","",'RAW QHH'!A209)</f>
        <v>Nursing Clinical Rotations</v>
      </c>
      <c r="F1589" s="48" t="str">
        <f aca="false">IF('RAW QHH'!B209="","",'RAW QHH'!B209)</f>
        <v>HPE - Students</v>
      </c>
      <c r="G1589" s="49" t="str">
        <f aca="false">IF('RAW QHH'!C209="","",'RAW QHH'!C209)</f>
        <v>30-Apr-2026</v>
      </c>
      <c r="H1589" s="48" t="str">
        <f aca="false">IF('RAW QHH'!D209="","",'RAW QHH'!D209)</f>
        <v>Preceptor RN</v>
      </c>
      <c r="I1589" s="48" t="n">
        <f aca="false">IF('RAW QHH'!E209="","",'RAW QHH'!E209)</f>
        <v>85</v>
      </c>
      <c r="J1589" s="48" t="n">
        <f aca="false">IF('RAW QHH'!F209="","",'RAW QHH'!F209)</f>
        <v>37</v>
      </c>
      <c r="K1589" s="50" t="n">
        <f aca="false">IF('RAW QHH'!G209="","",'RAW QHH'!G209)</f>
        <v>350</v>
      </c>
      <c r="L1589" s="50" t="n">
        <f aca="false">IF('RAW QHH'!H209="","",'RAW QHH'!H209)</f>
        <v>0</v>
      </c>
      <c r="M1589" s="48" t="str">
        <f aca="false">IF('RAW QHH'!I209="","",'RAW QHH'!I209)</f>
        <v/>
      </c>
    </row>
    <row r="1590" customFormat="false" ht="15" hidden="false" customHeight="false" outlineLevel="0" collapsed="false">
      <c r="A1590" s="1" t="s">
        <v>2734</v>
      </c>
      <c r="B1590" s="1" t="s">
        <v>158</v>
      </c>
      <c r="C1590" s="1" t="s">
        <v>1153</v>
      </c>
      <c r="D1590" s="1" t="n">
        <v>210</v>
      </c>
      <c r="E1590" s="48" t="str">
        <f aca="false">IF('RAW QHH'!A210="","",'RAW QHH'!A210)</f>
        <v>Nursing Clinical Rotations</v>
      </c>
      <c r="F1590" s="48" t="str">
        <f aca="false">IF('RAW QHH'!B210="","",'RAW QHH'!B210)</f>
        <v>HPE - Students</v>
      </c>
      <c r="G1590" s="49" t="str">
        <f aca="false">IF('RAW QHH'!C210="","",'RAW QHH'!C210)</f>
        <v>30-Apr-2026</v>
      </c>
      <c r="H1590" s="48" t="str">
        <f aca="false">IF('RAW QHH'!D210="","",'RAW QHH'!D210)</f>
        <v>Charge RN</v>
      </c>
      <c r="I1590" s="48" t="n">
        <f aca="false">IF('RAW QHH'!E210="","",'RAW QHH'!E210)</f>
        <v>217</v>
      </c>
      <c r="J1590" s="48" t="str">
        <f aca="false">IF('RAW QHH'!F210="","",'RAW QHH'!F210)</f>
        <v/>
      </c>
      <c r="K1590" s="50" t="n">
        <f aca="false">IF('RAW QHH'!G210="","",'RAW QHH'!G210)</f>
        <v>0</v>
      </c>
      <c r="L1590" s="50" t="n">
        <f aca="false">IF('RAW QHH'!H210="","",'RAW QHH'!H210)</f>
        <v>0</v>
      </c>
      <c r="M1590" s="48" t="str">
        <f aca="false">IF('RAW QHH'!I210="","",'RAW QHH'!I210)</f>
        <v/>
      </c>
    </row>
    <row r="1591" customFormat="false" ht="15" hidden="false" customHeight="false" outlineLevel="0" collapsed="false">
      <c r="A1591" s="1" t="s">
        <v>2735</v>
      </c>
      <c r="B1591" s="1" t="s">
        <v>158</v>
      </c>
      <c r="C1591" s="1" t="s">
        <v>1153</v>
      </c>
      <c r="D1591" s="1" t="n">
        <v>211</v>
      </c>
      <c r="E1591" s="48" t="str">
        <f aca="false">IF('RAW QHH'!A211="","",'RAW QHH'!A211)</f>
        <v>Quit Tobacco Class</v>
      </c>
      <c r="F1591" s="48" t="str">
        <f aca="false">IF('RAW QHH'!B211="","",'RAW QHH'!B211)</f>
        <v>CHIS - Education</v>
      </c>
      <c r="G1591" s="49" t="str">
        <f aca="false">IF('RAW QHH'!C211="","",'RAW QHH'!C211)</f>
        <v>13-May-2026</v>
      </c>
      <c r="H1591" s="48" t="str">
        <f aca="false">IF('RAW QHH'!D211="","",'RAW QHH'!D211)</f>
        <v>PT</v>
      </c>
      <c r="I1591" s="48" t="n">
        <f aca="false">IF('RAW QHH'!E211="","",'RAW QHH'!E211)</f>
        <v>2</v>
      </c>
      <c r="J1591" s="48" t="n">
        <f aca="false">IF('RAW QHH'!F211="","",'RAW QHH'!F211)</f>
        <v>10</v>
      </c>
      <c r="K1591" s="50" t="n">
        <f aca="false">IF('RAW QHH'!G211="","",'RAW QHH'!G211)</f>
        <v>150</v>
      </c>
      <c r="L1591" s="50" t="n">
        <f aca="false">IF('RAW QHH'!H211="","",'RAW QHH'!H211)</f>
        <v>0</v>
      </c>
      <c r="M1591" s="48" t="str">
        <f aca="false">IF('RAW QHH'!I211="","",'RAW QHH'!I211)</f>
        <v/>
      </c>
    </row>
    <row r="1592" customFormat="false" ht="15" hidden="false" customHeight="false" outlineLevel="0" collapsed="false">
      <c r="A1592" s="1" t="s">
        <v>2736</v>
      </c>
      <c r="B1592" s="1" t="s">
        <v>158</v>
      </c>
      <c r="C1592" s="1" t="s">
        <v>1153</v>
      </c>
      <c r="D1592" s="1" t="n">
        <v>212</v>
      </c>
      <c r="E1592" s="48" t="str">
        <f aca="false">IF('RAW QHH'!A212="","",'RAW QHH'!A212)</f>
        <v>Diabetes Prevention Program</v>
      </c>
      <c r="F1592" s="48" t="str">
        <f aca="false">IF('RAW QHH'!B212="","",'RAW QHH'!B212)</f>
        <v>CHIS - Education</v>
      </c>
      <c r="G1592" s="49" t="str">
        <f aca="false">IF('RAW QHH'!C212="","",'RAW QHH'!C212)</f>
        <v>14-May-2026</v>
      </c>
      <c r="H1592" s="48" t="str">
        <f aca="false">IF('RAW QHH'!D212="","",'RAW QHH'!D212)</f>
        <v>health ed</v>
      </c>
      <c r="I1592" s="48" t="n">
        <f aca="false">IF('RAW QHH'!E212="","",'RAW QHH'!E212)</f>
        <v>2.5</v>
      </c>
      <c r="J1592" s="48" t="n">
        <f aca="false">IF('RAW QHH'!F212="","",'RAW QHH'!F212)</f>
        <v>14</v>
      </c>
      <c r="K1592" s="50" t="n">
        <f aca="false">IF('RAW QHH'!G212="","",'RAW QHH'!G212)</f>
        <v>75</v>
      </c>
      <c r="L1592" s="50" t="n">
        <f aca="false">IF('RAW QHH'!H212="","",'RAW QHH'!H212)</f>
        <v>0</v>
      </c>
      <c r="M1592" s="48" t="str">
        <f aca="false">IF('RAW QHH'!I212="","",'RAW QHH'!I212)</f>
        <v/>
      </c>
    </row>
    <row r="1593" customFormat="false" ht="15" hidden="false" customHeight="false" outlineLevel="0" collapsed="false">
      <c r="A1593" s="1" t="s">
        <v>2737</v>
      </c>
      <c r="B1593" s="1" t="s">
        <v>158</v>
      </c>
      <c r="C1593" s="1" t="s">
        <v>1153</v>
      </c>
      <c r="D1593" s="1" t="n">
        <v>213</v>
      </c>
      <c r="E1593" s="48" t="str">
        <f aca="false">IF('RAW QHH'!A213="","",'RAW QHH'!A213)</f>
        <v>Diabetes Prevention Program</v>
      </c>
      <c r="F1593" s="48" t="str">
        <f aca="false">IF('RAW QHH'!B213="","",'RAW QHH'!B213)</f>
        <v>CHIS - Education</v>
      </c>
      <c r="G1593" s="49" t="str">
        <f aca="false">IF('RAW QHH'!C213="","",'RAW QHH'!C213)</f>
        <v>14-May-2026</v>
      </c>
      <c r="H1593" s="48" t="str">
        <f aca="false">IF('RAW QHH'!D213="","",'RAW QHH'!D213)</f>
        <v> Clinical Dietitian </v>
      </c>
      <c r="I1593" s="48" t="n">
        <f aca="false">IF('RAW QHH'!E213="","",'RAW QHH'!E213)</f>
        <v>1.5</v>
      </c>
      <c r="J1593" s="48" t="str">
        <f aca="false">IF('RAW QHH'!F213="","",'RAW QHH'!F213)</f>
        <v/>
      </c>
      <c r="K1593" s="50" t="n">
        <f aca="false">IF('RAW QHH'!G213="","",'RAW QHH'!G213)</f>
        <v>0</v>
      </c>
      <c r="L1593" s="50" t="n">
        <f aca="false">IF('RAW QHH'!H213="","",'RAW QHH'!H213)</f>
        <v>0</v>
      </c>
      <c r="M1593" s="48" t="str">
        <f aca="false">IF('RAW QHH'!I213="","",'RAW QHH'!I213)</f>
        <v/>
      </c>
    </row>
    <row r="1594" customFormat="false" ht="15" hidden="false" customHeight="false" outlineLevel="0" collapsed="false">
      <c r="A1594" s="1" t="s">
        <v>2738</v>
      </c>
      <c r="B1594" s="1" t="s">
        <v>158</v>
      </c>
      <c r="C1594" s="1" t="s">
        <v>1153</v>
      </c>
      <c r="D1594" s="1" t="n">
        <v>214</v>
      </c>
      <c r="E1594" s="48" t="str">
        <f aca="false">IF('RAW QHH'!A214="","",'RAW QHH'!A214)</f>
        <v>Childbirth Education</v>
      </c>
      <c r="F1594" s="48" t="str">
        <f aca="false">IF('RAW QHH'!B214="","",'RAW QHH'!B214)</f>
        <v>CHIS - Education</v>
      </c>
      <c r="G1594" s="49" t="str">
        <f aca="false">IF('RAW QHH'!C214="","",'RAW QHH'!C214)</f>
        <v>15-May-2026</v>
      </c>
      <c r="H1594" s="48" t="str">
        <f aca="false">IF('RAW QHH'!D214="","",'RAW QHH'!D214)</f>
        <v>Educator, Nursing</v>
      </c>
      <c r="I1594" s="48" t="n">
        <f aca="false">IF('RAW QHH'!E214="","",'RAW QHH'!E214)</f>
        <v>3.25</v>
      </c>
      <c r="J1594" s="48" t="n">
        <f aca="false">IF('RAW QHH'!F214="","",'RAW QHH'!F214)</f>
        <v>14</v>
      </c>
      <c r="K1594" s="50" t="n">
        <f aca="false">IF('RAW QHH'!G214="","",'RAW QHH'!G214)</f>
        <v>145</v>
      </c>
      <c r="L1594" s="50" t="n">
        <f aca="false">IF('RAW QHH'!H214="","",'RAW QHH'!H214)</f>
        <v>0</v>
      </c>
      <c r="M1594" s="48" t="str">
        <f aca="false">IF('RAW QHH'!I214="","",'RAW QHH'!I214)</f>
        <v/>
      </c>
    </row>
    <row r="1595" customFormat="false" ht="15" hidden="false" customHeight="false" outlineLevel="0" collapsed="false">
      <c r="A1595" s="1" t="s">
        <v>2739</v>
      </c>
      <c r="B1595" s="1" t="s">
        <v>158</v>
      </c>
      <c r="C1595" s="1" t="s">
        <v>1153</v>
      </c>
      <c r="D1595" s="1" t="n">
        <v>215</v>
      </c>
      <c r="E1595" s="48" t="str">
        <f aca="false">IF('RAW QHH'!A215="","",'RAW QHH'!A215)</f>
        <v>Grief Support Group</v>
      </c>
      <c r="F1595" s="48" t="str">
        <f aca="false">IF('RAW QHH'!B215="","",'RAW QHH'!B215)</f>
        <v>CHIS - Support</v>
      </c>
      <c r="G1595" s="49" t="str">
        <f aca="false">IF('RAW QHH'!C215="","",'RAW QHH'!C215)</f>
        <v>16-May-2026</v>
      </c>
      <c r="H1595" s="48" t="str">
        <f aca="false">IF('RAW QHH'!D215="","",'RAW QHH'!D215)</f>
        <v>Spiritual Care</v>
      </c>
      <c r="I1595" s="48" t="n">
        <f aca="false">IF('RAW QHH'!E215="","",'RAW QHH'!E215)</f>
        <v>2.25</v>
      </c>
      <c r="J1595" s="48" t="n">
        <f aca="false">IF('RAW QHH'!F215="","",'RAW QHH'!F215)</f>
        <v>6</v>
      </c>
      <c r="K1595" s="50" t="n">
        <f aca="false">IF('RAW QHH'!G215="","",'RAW QHH'!G215)</f>
        <v>45</v>
      </c>
      <c r="L1595" s="50" t="n">
        <f aca="false">IF('RAW QHH'!H215="","",'RAW QHH'!H215)</f>
        <v>0</v>
      </c>
      <c r="M1595" s="48" t="str">
        <f aca="false">IF('RAW QHH'!I215="","",'RAW QHH'!I215)</f>
        <v/>
      </c>
    </row>
    <row r="1596" customFormat="false" ht="15" hidden="false" customHeight="false" outlineLevel="0" collapsed="false">
      <c r="A1596" s="1" t="s">
        <v>2740</v>
      </c>
      <c r="B1596" s="1" t="s">
        <v>158</v>
      </c>
      <c r="C1596" s="1" t="s">
        <v>1153</v>
      </c>
      <c r="D1596" s="1" t="n">
        <v>216</v>
      </c>
      <c r="E1596" s="48" t="str">
        <f aca="false">IF('RAW QHH'!A216="","",'RAW QHH'!A216)</f>
        <v>Grief Support Group</v>
      </c>
      <c r="F1596" s="48" t="str">
        <f aca="false">IF('RAW QHH'!B216="","",'RAW QHH'!B216)</f>
        <v>CHIS - Support</v>
      </c>
      <c r="G1596" s="49" t="str">
        <f aca="false">IF('RAW QHH'!C216="","",'RAW QHH'!C216)</f>
        <v>16-May-2026</v>
      </c>
      <c r="H1596" s="48" t="str">
        <f aca="false">IF('RAW QHH'!D216="","",'RAW QHH'!D216)</f>
        <v>Social Worker</v>
      </c>
      <c r="I1596" s="48" t="n">
        <f aca="false">IF('RAW QHH'!E216="","",'RAW QHH'!E216)</f>
        <v>1.75</v>
      </c>
      <c r="J1596" s="48" t="str">
        <f aca="false">IF('RAW QHH'!F216="","",'RAW QHH'!F216)</f>
        <v/>
      </c>
      <c r="K1596" s="50" t="n">
        <f aca="false">IF('RAW QHH'!G216="","",'RAW QHH'!G216)</f>
        <v>0</v>
      </c>
      <c r="L1596" s="50" t="n">
        <f aca="false">IF('RAW QHH'!H216="","",'RAW QHH'!H216)</f>
        <v>0</v>
      </c>
      <c r="M1596" s="48" t="str">
        <f aca="false">IF('RAW QHH'!I216="","",'RAW QHH'!I216)</f>
        <v/>
      </c>
    </row>
    <row r="1597" customFormat="false" ht="15" hidden="false" customHeight="false" outlineLevel="0" collapsed="false">
      <c r="A1597" s="1" t="s">
        <v>2741</v>
      </c>
      <c r="B1597" s="1" t="s">
        <v>158</v>
      </c>
      <c r="C1597" s="1" t="s">
        <v>1153</v>
      </c>
      <c r="D1597" s="1" t="n">
        <v>217</v>
      </c>
      <c r="E1597" s="48" t="str">
        <f aca="false">IF('RAW QHH'!A217="","",'RAW QHH'!A217)</f>
        <v>Quit Tobacco Class</v>
      </c>
      <c r="F1597" s="48" t="str">
        <f aca="false">IF('RAW QHH'!B217="","",'RAW QHH'!B217)</f>
        <v>CHIS - Education</v>
      </c>
      <c r="G1597" s="49" t="str">
        <f aca="false">IF('RAW QHH'!C217="","",'RAW QHH'!C217)</f>
        <v>30-May-2026</v>
      </c>
      <c r="H1597" s="48" t="str">
        <f aca="false">IF('RAW QHH'!D217="","",'RAW QHH'!D217)</f>
        <v>Phys Therapist</v>
      </c>
      <c r="I1597" s="48" t="n">
        <f aca="false">IF('RAW QHH'!E217="","",'RAW QHH'!E217)</f>
        <v>2</v>
      </c>
      <c r="J1597" s="48" t="n">
        <f aca="false">IF('RAW QHH'!F217="","",'RAW QHH'!F217)</f>
        <v>10</v>
      </c>
      <c r="K1597" s="50" t="n">
        <f aca="false">IF('RAW QHH'!G217="","",'RAW QHH'!G217)</f>
        <v>95</v>
      </c>
      <c r="L1597" s="50" t="n">
        <f aca="false">IF('RAW QHH'!H217="","",'RAW QHH'!H217)</f>
        <v>0</v>
      </c>
      <c r="M1597" s="48" t="str">
        <f aca="false">IF('RAW QHH'!I217="","",'RAW QHH'!I217)</f>
        <v/>
      </c>
    </row>
    <row r="1598" customFormat="false" ht="15" hidden="false" customHeight="false" outlineLevel="0" collapsed="false">
      <c r="A1598" s="1" t="s">
        <v>2742</v>
      </c>
      <c r="B1598" s="1" t="s">
        <v>158</v>
      </c>
      <c r="C1598" s="1" t="s">
        <v>1153</v>
      </c>
      <c r="D1598" s="1" t="n">
        <v>218</v>
      </c>
      <c r="E1598" s="48" t="str">
        <f aca="false">IF('RAW QHH'!A218="","",'RAW QHH'!A218)</f>
        <v>Medication Assistance</v>
      </c>
      <c r="F1598" s="48" t="str">
        <f aca="false">IF('RAW QHH'!B218="","",'RAW QHH'!B218)</f>
        <v>CHIS - Support</v>
      </c>
      <c r="G1598" s="49" t="str">
        <f aca="false">IF('RAW QHH'!C218="","",'RAW QHH'!C218)</f>
        <v>31-May-2026</v>
      </c>
      <c r="H1598" s="48" t="str">
        <f aca="false">IF('RAW QHH'!D218="","",'RAW QHH'!D218)</f>
        <v>Pt Navigator</v>
      </c>
      <c r="I1598" s="48" t="n">
        <f aca="false">IF('RAW QHH'!E218="","",'RAW QHH'!E218)</f>
        <v>68</v>
      </c>
      <c r="J1598" s="48" t="str">
        <f aca="false">IF('RAW QHH'!F218="","",'RAW QHH'!F218)</f>
        <v/>
      </c>
      <c r="K1598" s="50" t="n">
        <f aca="false">IF('RAW QHH'!G218="","",'RAW QHH'!G218)</f>
        <v>0</v>
      </c>
      <c r="L1598" s="50" t="n">
        <f aca="false">IF('RAW QHH'!H218="","",'RAW QHH'!H218)</f>
        <v>0</v>
      </c>
      <c r="M1598" s="48" t="str">
        <f aca="false">IF('RAW QHH'!I218="","",'RAW QHH'!I218)</f>
        <v/>
      </c>
    </row>
    <row r="1599" customFormat="false" ht="15" hidden="false" customHeight="false" outlineLevel="0" collapsed="false">
      <c r="A1599" s="1" t="s">
        <v>2743</v>
      </c>
      <c r="B1599" s="1" t="s">
        <v>158</v>
      </c>
      <c r="C1599" s="1" t="s">
        <v>1153</v>
      </c>
      <c r="D1599" s="1" t="n">
        <v>219</v>
      </c>
      <c r="E1599" s="48" t="str">
        <f aca="false">IF('RAW QHH'!A219="","",'RAW QHH'!A219)</f>
        <v>Medication Assistance</v>
      </c>
      <c r="F1599" s="48" t="str">
        <f aca="false">IF('RAW QHH'!B219="","",'RAW QHH'!B219)</f>
        <v>CHIS - Support</v>
      </c>
      <c r="G1599" s="49" t="str">
        <f aca="false">IF('RAW QHH'!C219="","",'RAW QHH'!C219)</f>
        <v>31-May-2026</v>
      </c>
      <c r="H1599" s="48" t="str">
        <f aca="false">IF('RAW QHH'!D219="","",'RAW QHH'!D219)</f>
        <v>RPh</v>
      </c>
      <c r="I1599" s="48" t="n">
        <f aca="false">IF('RAW QHH'!E219="","",'RAW QHH'!E219)</f>
        <v>19</v>
      </c>
      <c r="J1599" s="48" t="n">
        <f aca="false">IF('RAW QHH'!F219="","",'RAW QHH'!F219)</f>
        <v>102</v>
      </c>
      <c r="K1599" s="50" t="n">
        <f aca="false">IF('RAW QHH'!G219="","",'RAW QHH'!G219)</f>
        <v>14670</v>
      </c>
      <c r="L1599" s="50" t="n">
        <f aca="false">IF('RAW QHH'!H219="","",'RAW QHH'!H219)</f>
        <v>0</v>
      </c>
      <c r="M1599" s="48" t="str">
        <f aca="false">IF('RAW QHH'!I219="","",'RAW QHH'!I219)</f>
        <v/>
      </c>
    </row>
    <row r="1600" customFormat="false" ht="15" hidden="false" customHeight="false" outlineLevel="0" collapsed="false">
      <c r="A1600" s="1" t="s">
        <v>2744</v>
      </c>
      <c r="B1600" s="1" t="s">
        <v>158</v>
      </c>
      <c r="C1600" s="1" t="s">
        <v>1153</v>
      </c>
      <c r="D1600" s="1" t="n">
        <v>220</v>
      </c>
      <c r="E1600" s="48" t="str">
        <f aca="false">IF('RAW QHH'!A220="","",'RAW QHH'!A220)</f>
        <v>Community Benefit Admin.</v>
      </c>
      <c r="F1600" s="48" t="str">
        <f aca="false">IF('RAW QHH'!B220="","",'RAW QHH'!B220)</f>
        <v>CBO</v>
      </c>
      <c r="G1600" s="49" t="str">
        <f aca="false">IF('RAW QHH'!C220="","",'RAW QHH'!C220)</f>
        <v>31-May-2026</v>
      </c>
      <c r="H1600" s="48" t="str">
        <f aca="false">IF('RAW QHH'!D220="","",'RAW QHH'!D220)</f>
        <v>Office Coordinator</v>
      </c>
      <c r="I1600" s="48" t="n">
        <f aca="false">IF('RAW QHH'!E220="","",'RAW QHH'!E220)</f>
        <v>33</v>
      </c>
      <c r="J1600" s="48" t="str">
        <f aca="false">IF('RAW QHH'!F220="","",'RAW QHH'!F220)</f>
        <v/>
      </c>
      <c r="K1600" s="50" t="n">
        <f aca="false">IF('RAW QHH'!G220="","",'RAW QHH'!G220)</f>
        <v>0</v>
      </c>
      <c r="L1600" s="50" t="n">
        <f aca="false">IF('RAW QHH'!H220="","",'RAW QHH'!H220)</f>
        <v>0</v>
      </c>
      <c r="M1600" s="48" t="str">
        <f aca="false">IF('RAW QHH'!I220="","",'RAW QHH'!I220)</f>
        <v/>
      </c>
    </row>
    <row r="1601" customFormat="false" ht="15" hidden="false" customHeight="false" outlineLevel="0" collapsed="false">
      <c r="A1601" s="1" t="s">
        <v>2745</v>
      </c>
      <c r="B1601" s="1" t="s">
        <v>158</v>
      </c>
      <c r="C1601" s="1" t="s">
        <v>1153</v>
      </c>
      <c r="D1601" s="1" t="n">
        <v>221</v>
      </c>
      <c r="E1601" s="48" t="str">
        <f aca="false">IF('RAW QHH'!A221="","",'RAW QHH'!A221)</f>
        <v>Community Benefit Admin.</v>
      </c>
      <c r="F1601" s="48" t="str">
        <f aca="false">IF('RAW QHH'!B221="","",'RAW QHH'!B221)</f>
        <v>CBO</v>
      </c>
      <c r="G1601" s="49" t="str">
        <f aca="false">IF('RAW QHH'!C221="","",'RAW QHH'!C221)</f>
        <v>31-May-2026</v>
      </c>
      <c r="H1601" s="48" t="str">
        <f aca="false">IF('RAW QHH'!D221="","",'RAW QHH'!D221)</f>
        <v>Community Health Manager</v>
      </c>
      <c r="I1601" s="48" t="n">
        <f aca="false">IF('RAW QHH'!E221="","",'RAW QHH'!E221)</f>
        <v>53.75</v>
      </c>
      <c r="J1601" s="48" t="str">
        <f aca="false">IF('RAW QHH'!F221="","",'RAW QHH'!F221)</f>
        <v/>
      </c>
      <c r="K1601" s="50" t="n">
        <f aca="false">IF('RAW QHH'!G221="","",'RAW QHH'!G221)</f>
        <v>665</v>
      </c>
      <c r="L1601" s="50" t="n">
        <f aca="false">IF('RAW QHH'!H221="","",'RAW QHH'!H221)</f>
        <v>0</v>
      </c>
      <c r="M1601" s="48" t="str">
        <f aca="false">IF('RAW QHH'!I221="","",'RAW QHH'!I221)</f>
        <v/>
      </c>
    </row>
    <row r="1602" customFormat="false" ht="15" hidden="false" customHeight="false" outlineLevel="0" collapsed="false">
      <c r="A1602" s="1" t="s">
        <v>2746</v>
      </c>
      <c r="B1602" s="1" t="s">
        <v>158</v>
      </c>
      <c r="C1602" s="1" t="s">
        <v>1153</v>
      </c>
      <c r="D1602" s="1" t="n">
        <v>222</v>
      </c>
      <c r="E1602" s="48" t="str">
        <f aca="false">IF('RAW QHH'!A222="","",'RAW QHH'!A222)</f>
        <v>Community Paramedicine</v>
      </c>
      <c r="F1602" s="48" t="str">
        <f aca="false">IF('RAW QHH'!B222="","",'RAW QHH'!B222)</f>
        <v>CHIS - Clinical</v>
      </c>
      <c r="G1602" s="49" t="str">
        <f aca="false">IF('RAW QHH'!C222="","",'RAW QHH'!C222)</f>
        <v>31-May-2026</v>
      </c>
      <c r="H1602" s="48" t="str">
        <f aca="false">IF('RAW QHH'!D222="","",'RAW QHH'!D222)</f>
        <v>Flight Paramedic</v>
      </c>
      <c r="I1602" s="48" t="n">
        <f aca="false">IF('RAW QHH'!E222="","",'RAW QHH'!E222)</f>
        <v>68.5</v>
      </c>
      <c r="J1602" s="48" t="n">
        <f aca="false">IF('RAW QHH'!F222="","",'RAW QHH'!F222)</f>
        <v>69</v>
      </c>
      <c r="K1602" s="50" t="n">
        <f aca="false">IF('RAW QHH'!G222="","",'RAW QHH'!G222)</f>
        <v>560</v>
      </c>
      <c r="L1602" s="50" t="n">
        <f aca="false">IF('RAW QHH'!H222="","",'RAW QHH'!H222)</f>
        <v>0</v>
      </c>
      <c r="M1602" s="48" t="str">
        <f aca="false">IF('RAW QHH'!I222="","",'RAW QHH'!I222)</f>
        <v/>
      </c>
    </row>
    <row r="1603" customFormat="false" ht="15" hidden="false" customHeight="false" outlineLevel="0" collapsed="false">
      <c r="A1603" s="1" t="s">
        <v>2747</v>
      </c>
      <c r="B1603" s="1" t="s">
        <v>158</v>
      </c>
      <c r="C1603" s="1" t="s">
        <v>1153</v>
      </c>
      <c r="D1603" s="1" t="n">
        <v>223</v>
      </c>
      <c r="E1603" s="48" t="str">
        <f aca="false">IF('RAW QHH'!A223="","",'RAW QHH'!A223)</f>
        <v>Nursing Clinical Rotations</v>
      </c>
      <c r="F1603" s="48" t="str">
        <f aca="false">IF('RAW QHH'!B223="","",'RAW QHH'!B223)</f>
        <v>HPE - Students</v>
      </c>
      <c r="G1603" s="49" t="str">
        <f aca="false">IF('RAW QHH'!C223="","",'RAW QHH'!C223)</f>
        <v>31-May-2026</v>
      </c>
      <c r="H1603" s="48" t="str">
        <f aca="false">IF('RAW QHH'!D223="","",'RAW QHH'!D223)</f>
        <v>Clinical Nurse Educator</v>
      </c>
      <c r="I1603" s="48" t="n">
        <f aca="false">IF('RAW QHH'!E223="","",'RAW QHH'!E223)</f>
        <v>122.25</v>
      </c>
      <c r="J1603" s="48" t="n">
        <f aca="false">IF('RAW QHH'!F223="","",'RAW QHH'!F223)</f>
        <v>15</v>
      </c>
      <c r="K1603" s="50" t="n">
        <f aca="false">IF('RAW QHH'!G223="","",'RAW QHH'!G223)</f>
        <v>655</v>
      </c>
      <c r="L1603" s="50" t="n">
        <f aca="false">IF('RAW QHH'!H223="","",'RAW QHH'!H223)</f>
        <v>0</v>
      </c>
      <c r="M1603" s="48" t="str">
        <f aca="false">IF('RAW QHH'!I223="","",'RAW QHH'!I223)</f>
        <v/>
      </c>
    </row>
    <row r="1604" customFormat="false" ht="15" hidden="false" customHeight="false" outlineLevel="0" collapsed="false">
      <c r="A1604" s="1" t="s">
        <v>2748</v>
      </c>
      <c r="B1604" s="1" t="s">
        <v>158</v>
      </c>
      <c r="C1604" s="1" t="s">
        <v>1153</v>
      </c>
      <c r="D1604" s="1" t="n">
        <v>224</v>
      </c>
      <c r="E1604" s="48" t="str">
        <f aca="false">IF('RAW QHH'!A224="","",'RAW QHH'!A224)</f>
        <v>Nursing Clinical Rotations</v>
      </c>
      <c r="F1604" s="48" t="str">
        <f aca="false">IF('RAW QHH'!B224="","",'RAW QHH'!B224)</f>
        <v>HPE - Students</v>
      </c>
      <c r="G1604" s="49" t="str">
        <f aca="false">IF('RAW QHH'!C224="","",'RAW QHH'!C224)</f>
        <v>31-May-2026</v>
      </c>
      <c r="H1604" s="48" t="str">
        <f aca="false">IF('RAW QHH'!D224="","",'RAW QHH'!D224)</f>
        <v>RN III </v>
      </c>
      <c r="I1604" s="48" t="n">
        <f aca="false">IF('RAW QHH'!E224="","",'RAW QHH'!E224)</f>
        <v>220.5</v>
      </c>
      <c r="J1604" s="48" t="str">
        <f aca="false">IF('RAW QHH'!F224="","",'RAW QHH'!F224)</f>
        <v/>
      </c>
      <c r="K1604" s="50" t="n">
        <f aca="false">IF('RAW QHH'!G224="","",'RAW QHH'!G224)</f>
        <v>0</v>
      </c>
      <c r="L1604" s="50" t="n">
        <f aca="false">IF('RAW QHH'!H224="","",'RAW QHH'!H224)</f>
        <v>0</v>
      </c>
      <c r="M1604" s="48" t="str">
        <f aca="false">IF('RAW QHH'!I224="","",'RAW QHH'!I224)</f>
        <v/>
      </c>
    </row>
    <row r="1605" customFormat="false" ht="15" hidden="false" customHeight="false" outlineLevel="0" collapsed="false">
      <c r="A1605" s="1" t="s">
        <v>2749</v>
      </c>
      <c r="B1605" s="1" t="s">
        <v>158</v>
      </c>
      <c r="C1605" s="1" t="s">
        <v>1153</v>
      </c>
      <c r="D1605" s="1" t="n">
        <v>225</v>
      </c>
      <c r="E1605" s="48" t="str">
        <f aca="false">IF('RAW QHH'!A225="","",'RAW QHH'!A225)</f>
        <v>Childbirth Education</v>
      </c>
      <c r="F1605" s="48" t="str">
        <f aca="false">IF('RAW QHH'!B225="","",'RAW QHH'!B225)</f>
        <v>CHIS - Education</v>
      </c>
      <c r="G1605" s="49" t="str">
        <f aca="false">IF('RAW QHH'!C225="","",'RAW QHH'!C225)</f>
        <v>03-Jun-2026</v>
      </c>
      <c r="H1605" s="48" t="str">
        <f aca="false">IF('RAW QHH'!D225="","",'RAW QHH'!D225)</f>
        <v>EDUCATOR, NURSING</v>
      </c>
      <c r="I1605" s="48" t="n">
        <f aca="false">IF('RAW QHH'!E225="","",'RAW QHH'!E225)</f>
        <v>3.25</v>
      </c>
      <c r="J1605" s="48" t="n">
        <f aca="false">IF('RAW QHH'!F225="","",'RAW QHH'!F225)</f>
        <v>16</v>
      </c>
      <c r="K1605" s="50" t="n">
        <f aca="false">IF('RAW QHH'!G225="","",'RAW QHH'!G225)</f>
        <v>185</v>
      </c>
      <c r="L1605" s="50" t="n">
        <f aca="false">IF('RAW QHH'!H225="","",'RAW QHH'!H225)</f>
        <v>320</v>
      </c>
      <c r="M1605" s="48" t="str">
        <f aca="false">IF('RAW QHH'!I225="","",'RAW QHH'!I225)</f>
        <v/>
      </c>
    </row>
    <row r="1606" customFormat="false" ht="15" hidden="false" customHeight="false" outlineLevel="0" collapsed="false">
      <c r="A1606" s="1" t="s">
        <v>2750</v>
      </c>
      <c r="B1606" s="1" t="s">
        <v>158</v>
      </c>
      <c r="C1606" s="1" t="s">
        <v>1153</v>
      </c>
      <c r="D1606" s="1" t="n">
        <v>226</v>
      </c>
      <c r="E1606" s="48" t="str">
        <f aca="false">IF('RAW QHH'!A226="","",'RAW QHH'!A226)</f>
        <v>Summer Health Careers Camp</v>
      </c>
      <c r="F1606" s="48" t="str">
        <f aca="false">IF('RAW QHH'!B226="","",'RAW QHH'!B226)</f>
        <v>HPE - Students</v>
      </c>
      <c r="G1606" s="49" t="str">
        <f aca="false">IF('RAW QHH'!C226="","",'RAW QHH'!C226)</f>
        <v>09-Jun-2026</v>
      </c>
      <c r="H1606" s="48" t="str">
        <f aca="false">IF('RAW QHH'!D226="","",'RAW QHH'!D226)</f>
        <v>Clinical Nurse Educator</v>
      </c>
      <c r="I1606" s="48" t="n">
        <f aca="false">IF('RAW QHH'!E226="","",'RAW QHH'!E226)</f>
        <v>7.25</v>
      </c>
      <c r="J1606" s="48" t="n">
        <f aca="false">IF('RAW QHH'!F226="","",'RAW QHH'!F226)</f>
        <v>39</v>
      </c>
      <c r="K1606" s="50" t="n">
        <f aca="false">IF('RAW QHH'!G226="","",'RAW QHH'!G226)</f>
        <v>955</v>
      </c>
      <c r="L1606" s="50" t="n">
        <f aca="false">IF('RAW QHH'!H226="","",'RAW QHH'!H226)</f>
        <v>0</v>
      </c>
      <c r="M1606" s="48" t="str">
        <f aca="false">IF('RAW QHH'!I226="","",'RAW QHH'!I226)</f>
        <v/>
      </c>
    </row>
    <row r="1607" customFormat="false" ht="15" hidden="false" customHeight="false" outlineLevel="0" collapsed="false">
      <c r="A1607" s="1" t="s">
        <v>2751</v>
      </c>
      <c r="B1607" s="1" t="s">
        <v>158</v>
      </c>
      <c r="C1607" s="1" t="s">
        <v>1153</v>
      </c>
      <c r="D1607" s="1" t="n">
        <v>227</v>
      </c>
      <c r="E1607" s="48" t="str">
        <f aca="false">IF('RAW QHH'!A227="","",'RAW QHH'!A227)</f>
        <v>Summer Health Careers Camp</v>
      </c>
      <c r="F1607" s="48" t="str">
        <f aca="false">IF('RAW QHH'!B227="","",'RAW QHH'!B227)</f>
        <v>HPE - Students</v>
      </c>
      <c r="G1607" s="49" t="str">
        <f aca="false">IF('RAW QHH'!C227="","",'RAW QHH'!C227)</f>
        <v>09-Jun-2026</v>
      </c>
      <c r="H1607" s="48" t="str">
        <f aca="false">IF('RAW QHH'!D227="","",'RAW QHH'!D227)</f>
        <v>Prog Coord</v>
      </c>
      <c r="I1607" s="48" t="n">
        <f aca="false">IF('RAW QHH'!E227="","",'RAW QHH'!E227)</f>
        <v>7.5</v>
      </c>
      <c r="J1607" s="48" t="str">
        <f aca="false">IF('RAW QHH'!F227="","",'RAW QHH'!F227)</f>
        <v/>
      </c>
      <c r="K1607" s="50" t="n">
        <f aca="false">IF('RAW QHH'!G227="","",'RAW QHH'!G227)</f>
        <v>0</v>
      </c>
      <c r="L1607" s="50" t="n">
        <f aca="false">IF('RAW QHH'!H227="","",'RAW QHH'!H227)</f>
        <v>0</v>
      </c>
      <c r="M1607" s="48" t="str">
        <f aca="false">IF('RAW QHH'!I227="","",'RAW QHH'!I227)</f>
        <v/>
      </c>
    </row>
    <row r="1608" customFormat="false" ht="15" hidden="false" customHeight="false" outlineLevel="0" collapsed="false">
      <c r="A1608" s="1" t="s">
        <v>2752</v>
      </c>
      <c r="B1608" s="1" t="s">
        <v>158</v>
      </c>
      <c r="C1608" s="1" t="s">
        <v>1153</v>
      </c>
      <c r="D1608" s="1" t="n">
        <v>228</v>
      </c>
      <c r="E1608" s="48" t="str">
        <f aca="false">IF('RAW QHH'!A228="","",'RAW QHH'!A228)</f>
        <v>Summer Health Careers Camp</v>
      </c>
      <c r="F1608" s="48" t="str">
        <f aca="false">IF('RAW QHH'!B228="","",'RAW QHH'!B228)</f>
        <v>HPE - Students</v>
      </c>
      <c r="G1608" s="49" t="str">
        <f aca="false">IF('RAW QHH'!C228="","",'RAW QHH'!C228)</f>
        <v>10-Jun-2026</v>
      </c>
      <c r="H1608" s="48" t="str">
        <f aca="false">IF('RAW QHH'!D228="","",'RAW QHH'!D228)</f>
        <v>Nurse Educator</v>
      </c>
      <c r="I1608" s="48" t="n">
        <f aca="false">IF('RAW QHH'!E228="","",'RAW QHH'!E228)</f>
        <v>7</v>
      </c>
      <c r="J1608" s="48" t="n">
        <f aca="false">IF('RAW QHH'!F228="","",'RAW QHH'!F228)</f>
        <v>27</v>
      </c>
      <c r="K1608" s="50" t="n">
        <f aca="false">IF('RAW QHH'!G228="","",'RAW QHH'!G228)</f>
        <v>1185</v>
      </c>
      <c r="L1608" s="50" t="n">
        <f aca="false">IF('RAW QHH'!H228="","",'RAW QHH'!H228)</f>
        <v>0</v>
      </c>
      <c r="M1608" s="48" t="str">
        <f aca="false">IF('RAW QHH'!I228="","",'RAW QHH'!I228)</f>
        <v/>
      </c>
    </row>
    <row r="1609" customFormat="false" ht="15" hidden="false" customHeight="false" outlineLevel="0" collapsed="false">
      <c r="A1609" s="1" t="s">
        <v>2753</v>
      </c>
      <c r="B1609" s="1" t="s">
        <v>158</v>
      </c>
      <c r="C1609" s="1" t="s">
        <v>1153</v>
      </c>
      <c r="D1609" s="1" t="n">
        <v>229</v>
      </c>
      <c r="E1609" s="48" t="str">
        <f aca="false">IF('RAW QHH'!A229="","",'RAW QHH'!A229)</f>
        <v>Summer Health Careers Camp</v>
      </c>
      <c r="F1609" s="48" t="str">
        <f aca="false">IF('RAW QHH'!B229="","",'RAW QHH'!B229)</f>
        <v>HPE - Students</v>
      </c>
      <c r="G1609" s="49" t="str">
        <f aca="false">IF('RAW QHH'!C229="","",'RAW QHH'!C229)</f>
        <v>10-Jun-2026</v>
      </c>
      <c r="H1609" s="48" t="str">
        <f aca="false">IF('RAW QHH'!D229="","",'RAW QHH'!D229)</f>
        <v>Outreach Coordinator</v>
      </c>
      <c r="I1609" s="48" t="n">
        <f aca="false">IF('RAW QHH'!E229="","",'RAW QHH'!E229)</f>
        <v>7.75</v>
      </c>
      <c r="J1609" s="48" t="str">
        <f aca="false">IF('RAW QHH'!F229="","",'RAW QHH'!F229)</f>
        <v/>
      </c>
      <c r="K1609" s="50" t="n">
        <f aca="false">IF('RAW QHH'!G229="","",'RAW QHH'!G229)</f>
        <v>0</v>
      </c>
      <c r="L1609" s="50" t="n">
        <f aca="false">IF('RAW QHH'!H229="","",'RAW QHH'!H229)</f>
        <v>0</v>
      </c>
      <c r="M1609" s="48" t="str">
        <f aca="false">IF('RAW QHH'!I229="","",'RAW QHH'!I229)</f>
        <v/>
      </c>
    </row>
    <row r="1610" customFormat="false" ht="15" hidden="false" customHeight="false" outlineLevel="0" collapsed="false">
      <c r="A1610" s="1" t="s">
        <v>2754</v>
      </c>
      <c r="B1610" s="1" t="s">
        <v>158</v>
      </c>
      <c r="C1610" s="1" t="s">
        <v>1153</v>
      </c>
      <c r="D1610" s="1" t="n">
        <v>230</v>
      </c>
      <c r="E1610" s="48" t="str">
        <f aca="false">IF('RAW QHH'!A230="","",'RAW QHH'!A230)</f>
        <v>Diabetes Prevention Program</v>
      </c>
      <c r="F1610" s="48" t="str">
        <f aca="false">IF('RAW QHH'!B230="","",'RAW QHH'!B230)</f>
        <v>CHIS - Education</v>
      </c>
      <c r="G1610" s="49" t="str">
        <f aca="false">IF('RAW QHH'!C230="","",'RAW QHH'!C230)</f>
        <v>12-Jun-2026</v>
      </c>
      <c r="H1610" s="48" t="str">
        <f aca="false">IF('RAW QHH'!D230="","",'RAW QHH'!D230)</f>
        <v>Health Education Specialist</v>
      </c>
      <c r="I1610" s="48" t="n">
        <f aca="false">IF('RAW QHH'!E230="","",'RAW QHH'!E230)</f>
        <v>2.25</v>
      </c>
      <c r="J1610" s="48" t="n">
        <f aca="false">IF('RAW QHH'!F230="","",'RAW QHH'!F230)</f>
        <v>10</v>
      </c>
      <c r="K1610" s="50" t="n">
        <f aca="false">IF('RAW QHH'!G230="","",'RAW QHH'!G230)</f>
        <v>65</v>
      </c>
      <c r="L1610" s="50" t="n">
        <f aca="false">IF('RAW QHH'!H230="","",'RAW QHH'!H230)</f>
        <v>0</v>
      </c>
      <c r="M1610" s="48" t="str">
        <f aca="false">IF('RAW QHH'!I230="","",'RAW QHH'!I230)</f>
        <v/>
      </c>
    </row>
    <row r="1611" customFormat="false" ht="15" hidden="false" customHeight="false" outlineLevel="0" collapsed="false">
      <c r="A1611" s="1" t="s">
        <v>2755</v>
      </c>
      <c r="B1611" s="1" t="s">
        <v>158</v>
      </c>
      <c r="C1611" s="1" t="s">
        <v>1153</v>
      </c>
      <c r="D1611" s="1" t="n">
        <v>231</v>
      </c>
      <c r="E1611" s="48" t="str">
        <f aca="false">IF('RAW QHH'!A231="","",'RAW QHH'!A231)</f>
        <v>Diabetes Prevention Program</v>
      </c>
      <c r="F1611" s="48" t="str">
        <f aca="false">IF('RAW QHH'!B231="","",'RAW QHH'!B231)</f>
        <v>CHIS - Education</v>
      </c>
      <c r="G1611" s="49" t="str">
        <f aca="false">IF('RAW QHH'!C231="","",'RAW QHH'!C231)</f>
        <v>12-Jun-2026</v>
      </c>
      <c r="H1611" s="48" t="str">
        <f aca="false">IF('RAW QHH'!D231="","",'RAW QHH'!D231)</f>
        <v>RDN</v>
      </c>
      <c r="I1611" s="48" t="n">
        <f aca="false">IF('RAW QHH'!E231="","",'RAW QHH'!E231)</f>
        <v>1.75</v>
      </c>
      <c r="J1611" s="48" t="str">
        <f aca="false">IF('RAW QHH'!F231="","",'RAW QHH'!F231)</f>
        <v/>
      </c>
      <c r="K1611" s="50" t="n">
        <f aca="false">IF('RAW QHH'!G231="","",'RAW QHH'!G231)</f>
        <v>0</v>
      </c>
      <c r="L1611" s="50" t="n">
        <f aca="false">IF('RAW QHH'!H231="","",'RAW QHH'!H231)</f>
        <v>0</v>
      </c>
      <c r="M1611" s="48" t="str">
        <f aca="false">IF('RAW QHH'!I231="","",'RAW QHH'!I231)</f>
        <v/>
      </c>
    </row>
    <row r="1612" customFormat="false" ht="15" hidden="false" customHeight="false" outlineLevel="0" collapsed="false">
      <c r="A1612" s="1" t="s">
        <v>2756</v>
      </c>
      <c r="B1612" s="1" t="s">
        <v>158</v>
      </c>
      <c r="C1612" s="1" t="s">
        <v>1153</v>
      </c>
      <c r="D1612" s="1" t="n">
        <v>232</v>
      </c>
      <c r="E1612" s="48" t="str">
        <f aca="false">IF('RAW QHH'!A232="","",'RAW QHH'!A232)</f>
        <v>Childbirth Education</v>
      </c>
      <c r="F1612" s="48" t="str">
        <f aca="false">IF('RAW QHH'!B232="","",'RAW QHH'!B232)</f>
        <v>CHIS - Education</v>
      </c>
      <c r="G1612" s="49" t="str">
        <f aca="false">IF('RAW QHH'!C232="","",'RAW QHH'!C232)</f>
        <v>13-Jun-2026</v>
      </c>
      <c r="H1612" s="48" t="str">
        <f aca="false">IF('RAW QHH'!D232="","",'RAW QHH'!D232)</f>
        <v>RN Educator</v>
      </c>
      <c r="I1612" s="48" t="n">
        <f aca="false">IF('RAW QHH'!E232="","",'RAW QHH'!E232)</f>
        <v>3.5</v>
      </c>
      <c r="J1612" s="48" t="n">
        <f aca="false">IF('RAW QHH'!F232="","",'RAW QHH'!F232)</f>
        <v>17</v>
      </c>
      <c r="K1612" s="50" t="n">
        <f aca="false">IF('RAW QHH'!G232="","",'RAW QHH'!G232)</f>
        <v>90</v>
      </c>
      <c r="L1612" s="50" t="n">
        <f aca="false">IF('RAW QHH'!H232="","",'RAW QHH'!H232)</f>
        <v>0</v>
      </c>
      <c r="M1612" s="48" t="str">
        <f aca="false">IF('RAW QHH'!I232="","",'RAW QHH'!I232)</f>
        <v/>
      </c>
    </row>
    <row r="1613" customFormat="false" ht="15" hidden="false" customHeight="false" outlineLevel="0" collapsed="false">
      <c r="A1613" s="1" t="s">
        <v>2757</v>
      </c>
      <c r="B1613" s="1" t="s">
        <v>158</v>
      </c>
      <c r="C1613" s="1" t="s">
        <v>1153</v>
      </c>
      <c r="D1613" s="1" t="n">
        <v>233</v>
      </c>
      <c r="E1613" s="48" t="str">
        <f aca="false">IF('RAW QHH'!A233="","",'RAW QHH'!A233)</f>
        <v>Summer Health Careers Camp</v>
      </c>
      <c r="F1613" s="48" t="str">
        <f aca="false">IF('RAW QHH'!B233="","",'RAW QHH'!B233)</f>
        <v>HPE - Students</v>
      </c>
      <c r="G1613" s="49" t="str">
        <f aca="false">IF('RAW QHH'!C233="","",'RAW QHH'!C233)</f>
        <v>15-Jun-2026</v>
      </c>
      <c r="H1613" s="48" t="str">
        <f aca="false">IF('RAW QHH'!D233="","",'RAW QHH'!D233)</f>
        <v>Clinical Nurse Educator</v>
      </c>
      <c r="I1613" s="48" t="n">
        <f aca="false">IF('RAW QHH'!E233="","",'RAW QHH'!E233)</f>
        <v>7.25</v>
      </c>
      <c r="J1613" s="48" t="n">
        <f aca="false">IF('RAW QHH'!F233="","",'RAW QHH'!F233)</f>
        <v>41</v>
      </c>
      <c r="K1613" s="50" t="n">
        <f aca="false">IF('RAW QHH'!G233="","",'RAW QHH'!G233)</f>
        <v>790</v>
      </c>
      <c r="L1613" s="50" t="n">
        <f aca="false">IF('RAW QHH'!H233="","",'RAW QHH'!H233)</f>
        <v>0</v>
      </c>
      <c r="M1613" s="48" t="str">
        <f aca="false">IF('RAW QHH'!I233="","",'RAW QHH'!I233)</f>
        <v/>
      </c>
    </row>
    <row r="1614" customFormat="false" ht="15" hidden="false" customHeight="false" outlineLevel="0" collapsed="false">
      <c r="A1614" s="1" t="s">
        <v>2758</v>
      </c>
      <c r="B1614" s="1" t="s">
        <v>158</v>
      </c>
      <c r="C1614" s="1" t="s">
        <v>1153</v>
      </c>
      <c r="D1614" s="1" t="n">
        <v>234</v>
      </c>
      <c r="E1614" s="48" t="str">
        <f aca="false">IF('RAW QHH'!A234="","",'RAW QHH'!A234)</f>
        <v>Summer Health Careers Camp</v>
      </c>
      <c r="F1614" s="48" t="str">
        <f aca="false">IF('RAW QHH'!B234="","",'RAW QHH'!B234)</f>
        <v>HPE - Students</v>
      </c>
      <c r="G1614" s="49" t="str">
        <f aca="false">IF('RAW QHH'!C234="","",'RAW QHH'!C234)</f>
        <v>15-Jun-2026</v>
      </c>
      <c r="H1614" s="48" t="str">
        <f aca="false">IF('RAW QHH'!D234="","",'RAW QHH'!D234)</f>
        <v>Clin Educator</v>
      </c>
      <c r="I1614" s="48" t="n">
        <f aca="false">IF('RAW QHH'!E234="","",'RAW QHH'!E234)</f>
        <v>7.75</v>
      </c>
      <c r="J1614" s="48" t="n">
        <f aca="false">IF('RAW QHH'!F234="","",'RAW QHH'!F234)</f>
        <v>37</v>
      </c>
      <c r="K1614" s="50" t="n">
        <f aca="false">IF('RAW QHH'!G234="","",'RAW QHH'!G234)</f>
        <v>1355</v>
      </c>
      <c r="L1614" s="50" t="n">
        <f aca="false">IF('RAW QHH'!H234="","",'RAW QHH'!H234)</f>
        <v>0</v>
      </c>
      <c r="M1614" s="48" t="str">
        <f aca="false">IF('RAW QHH'!I234="","",'RAW QHH'!I234)</f>
        <v/>
      </c>
    </row>
    <row r="1615" customFormat="false" ht="15" hidden="false" customHeight="false" outlineLevel="0" collapsed="false">
      <c r="A1615" s="1" t="s">
        <v>2759</v>
      </c>
      <c r="B1615" s="1" t="s">
        <v>158</v>
      </c>
      <c r="C1615" s="1" t="s">
        <v>1153</v>
      </c>
      <c r="D1615" s="1" t="n">
        <v>235</v>
      </c>
      <c r="E1615" s="48" t="str">
        <f aca="false">IF('RAW QHH'!A235="","",'RAW QHH'!A235)</f>
        <v>Summer Health Careers Camp</v>
      </c>
      <c r="F1615" s="48" t="str">
        <f aca="false">IF('RAW QHH'!B235="","",'RAW QHH'!B235)</f>
        <v>HPE - Students</v>
      </c>
      <c r="G1615" s="49" t="str">
        <f aca="false">IF('RAW QHH'!C235="","",'RAW QHH'!C235)</f>
        <v>15-Jun-2026</v>
      </c>
      <c r="H1615" s="48" t="str">
        <f aca="false">IF('RAW QHH'!D235="","",'RAW QHH'!D235)</f>
        <v>Residency Coordinator</v>
      </c>
      <c r="I1615" s="48" t="n">
        <f aca="false">IF('RAW QHH'!E235="","",'RAW QHH'!E235)</f>
        <v>7.5</v>
      </c>
      <c r="J1615" s="48" t="str">
        <f aca="false">IF('RAW QHH'!F235="","",'RAW QHH'!F235)</f>
        <v/>
      </c>
      <c r="K1615" s="50" t="n">
        <f aca="false">IF('RAW QHH'!G235="","",'RAW QHH'!G235)</f>
        <v>0</v>
      </c>
      <c r="L1615" s="50" t="n">
        <f aca="false">IF('RAW QHH'!H235="","",'RAW QHH'!H235)</f>
        <v>0</v>
      </c>
      <c r="M1615" s="48" t="str">
        <f aca="false">IF('RAW QHH'!I235="","",'RAW QHH'!I235)</f>
        <v/>
      </c>
    </row>
    <row r="1616" customFormat="false" ht="15" hidden="false" customHeight="false" outlineLevel="0" collapsed="false">
      <c r="A1616" s="1" t="s">
        <v>2760</v>
      </c>
      <c r="B1616" s="1" t="s">
        <v>158</v>
      </c>
      <c r="C1616" s="1" t="s">
        <v>1153</v>
      </c>
      <c r="D1616" s="1" t="n">
        <v>236</v>
      </c>
      <c r="E1616" s="48" t="str">
        <f aca="false">IF('RAW QHH'!A236="","",'RAW QHH'!A236)</f>
        <v>Summer Health Careers Camp</v>
      </c>
      <c r="F1616" s="48" t="str">
        <f aca="false">IF('RAW QHH'!B236="","",'RAW QHH'!B236)</f>
        <v>HPE - Students</v>
      </c>
      <c r="G1616" s="49" t="str">
        <f aca="false">IF('RAW QHH'!C236="","",'RAW QHH'!C236)</f>
        <v>15-Jun-2026</v>
      </c>
      <c r="H1616" s="48" t="str">
        <f aca="false">IF('RAW QHH'!D236="","",'RAW QHH'!D236)</f>
        <v>Event Coordinator</v>
      </c>
      <c r="I1616" s="48" t="n">
        <f aca="false">IF('RAW QHH'!E236="","",'RAW QHH'!E236)</f>
        <v>8</v>
      </c>
      <c r="J1616" s="48" t="str">
        <f aca="false">IF('RAW QHH'!F236="","",'RAW QHH'!F236)</f>
        <v/>
      </c>
      <c r="K1616" s="50" t="n">
        <f aca="false">IF('RAW QHH'!G236="","",'RAW QHH'!G236)</f>
        <v>0</v>
      </c>
      <c r="L1616" s="50" t="n">
        <f aca="false">IF('RAW QHH'!H236="","",'RAW QHH'!H236)</f>
        <v>0</v>
      </c>
      <c r="M1616" s="48" t="str">
        <f aca="false">IF('RAW QHH'!I236="","",'RAW QHH'!I236)</f>
        <v/>
      </c>
    </row>
    <row r="1617" customFormat="false" ht="15" hidden="false" customHeight="false" outlineLevel="0" collapsed="false">
      <c r="A1617" s="1" t="s">
        <v>2761</v>
      </c>
      <c r="B1617" s="1" t="s">
        <v>158</v>
      </c>
      <c r="C1617" s="1" t="s">
        <v>1153</v>
      </c>
      <c r="D1617" s="1" t="n">
        <v>237</v>
      </c>
      <c r="E1617" s="48" t="str">
        <f aca="false">IF('RAW QHH'!A237="","",'RAW QHH'!A237)</f>
        <v>Quit Tobacco Class</v>
      </c>
      <c r="F1617" s="48" t="str">
        <f aca="false">IF('RAW QHH'!B237="","",'RAW QHH'!B237)</f>
        <v>CHIS - Education</v>
      </c>
      <c r="G1617" s="49" t="str">
        <f aca="false">IF('RAW QHH'!C237="","",'RAW QHH'!C237)</f>
        <v>20-Jun-2026</v>
      </c>
      <c r="H1617" s="48" t="str">
        <f aca="false">IF('RAW QHH'!D237="","",'RAW QHH'!D237)</f>
        <v>Licensed Therapist</v>
      </c>
      <c r="I1617" s="48" t="n">
        <f aca="false">IF('RAW QHH'!E237="","",'RAW QHH'!E237)</f>
        <v>2</v>
      </c>
      <c r="J1617" s="48" t="n">
        <f aca="false">IF('RAW QHH'!F237="","",'RAW QHH'!F237)</f>
        <v>11</v>
      </c>
      <c r="K1617" s="50" t="n">
        <f aca="false">IF('RAW QHH'!G237="","",'RAW QHH'!G237)</f>
        <v>135</v>
      </c>
      <c r="L1617" s="50" t="n">
        <f aca="false">IF('RAW QHH'!H237="","",'RAW QHH'!H237)</f>
        <v>0</v>
      </c>
      <c r="M1617" s="48" t="str">
        <f aca="false">IF('RAW QHH'!I237="","",'RAW QHH'!I237)</f>
        <v/>
      </c>
    </row>
    <row r="1618" customFormat="false" ht="15" hidden="false" customHeight="false" outlineLevel="0" collapsed="false">
      <c r="A1618" s="1" t="s">
        <v>2762</v>
      </c>
      <c r="B1618" s="1" t="s">
        <v>158</v>
      </c>
      <c r="C1618" s="1" t="s">
        <v>1153</v>
      </c>
      <c r="D1618" s="1" t="n">
        <v>238</v>
      </c>
      <c r="E1618" s="48" t="str">
        <f aca="false">IF('RAW QHH'!A238="","",'RAW QHH'!A238)</f>
        <v>Medication Assistance</v>
      </c>
      <c r="F1618" s="48" t="str">
        <f aca="false">IF('RAW QHH'!B238="","",'RAW QHH'!B238)</f>
        <v>CHIS - Support</v>
      </c>
      <c r="G1618" s="49" t="str">
        <f aca="false">IF('RAW QHH'!C238="","",'RAW QHH'!C238)</f>
        <v>30-Jun-2026</v>
      </c>
      <c r="H1618" s="48" t="str">
        <f aca="false">IF('RAW QHH'!D238="","",'RAW QHH'!D238)</f>
        <v>Nurse Navigator</v>
      </c>
      <c r="I1618" s="48" t="n">
        <f aca="false">IF('RAW QHH'!E238="","",'RAW QHH'!E238)</f>
        <v>74</v>
      </c>
      <c r="J1618" s="48" t="str">
        <f aca="false">IF('RAW QHH'!F238="","",'RAW QHH'!F238)</f>
        <v/>
      </c>
      <c r="K1618" s="50" t="n">
        <f aca="false">IF('RAW QHH'!G238="","",'RAW QHH'!G238)</f>
        <v>0</v>
      </c>
      <c r="L1618" s="50" t="n">
        <f aca="false">IF('RAW QHH'!H238="","",'RAW QHH'!H238)</f>
        <v>0</v>
      </c>
      <c r="M1618" s="48" t="str">
        <f aca="false">IF('RAW QHH'!I238="","",'RAW QHH'!I238)</f>
        <v/>
      </c>
    </row>
    <row r="1619" customFormat="false" ht="15" hidden="false" customHeight="false" outlineLevel="0" collapsed="false">
      <c r="A1619" s="1" t="s">
        <v>2763</v>
      </c>
      <c r="B1619" s="1" t="s">
        <v>158</v>
      </c>
      <c r="C1619" s="1" t="s">
        <v>1153</v>
      </c>
      <c r="D1619" s="1" t="n">
        <v>239</v>
      </c>
      <c r="E1619" s="48" t="str">
        <f aca="false">IF('RAW QHH'!A239="","",'RAW QHH'!A239)</f>
        <v>Medication Assistance</v>
      </c>
      <c r="F1619" s="48" t="str">
        <f aca="false">IF('RAW QHH'!B239="","",'RAW QHH'!B239)</f>
        <v>CHIS - Support</v>
      </c>
      <c r="G1619" s="49" t="str">
        <f aca="false">IF('RAW QHH'!C239="","",'RAW QHH'!C239)</f>
        <v>30-Jun-2026</v>
      </c>
      <c r="H1619" s="48" t="str">
        <f aca="false">IF('RAW QHH'!D239="","",'RAW QHH'!D239)</f>
        <v>Pharm.D.</v>
      </c>
      <c r="I1619" s="48" t="n">
        <f aca="false">IF('RAW QHH'!E239="","",'RAW QHH'!E239)</f>
        <v>16.75</v>
      </c>
      <c r="J1619" s="48" t="n">
        <f aca="false">IF('RAW QHH'!F239="","",'RAW QHH'!F239)</f>
        <v>121</v>
      </c>
      <c r="K1619" s="50" t="n">
        <f aca="false">IF('RAW QHH'!G239="","",'RAW QHH'!G239)</f>
        <v>14320</v>
      </c>
      <c r="L1619" s="50" t="n">
        <f aca="false">IF('RAW QHH'!H239="","",'RAW QHH'!H239)</f>
        <v>0</v>
      </c>
      <c r="M1619" s="48" t="str">
        <f aca="false">IF('RAW QHH'!I239="","",'RAW QHH'!I239)</f>
        <v/>
      </c>
    </row>
    <row r="1620" customFormat="false" ht="15" hidden="false" customHeight="false" outlineLevel="0" collapsed="false">
      <c r="A1620" s="1" t="s">
        <v>2764</v>
      </c>
      <c r="B1620" s="1" t="s">
        <v>158</v>
      </c>
      <c r="C1620" s="1" t="s">
        <v>1153</v>
      </c>
      <c r="D1620" s="1" t="n">
        <v>240</v>
      </c>
      <c r="E1620" s="48" t="str">
        <f aca="false">IF('RAW QHH'!A240="","",'RAW QHH'!A240)</f>
        <v>Community Benefit Admin.</v>
      </c>
      <c r="F1620" s="48" t="str">
        <f aca="false">IF('RAW QHH'!B240="","",'RAW QHH'!B240)</f>
        <v>CBO</v>
      </c>
      <c r="G1620" s="49" t="str">
        <f aca="false">IF('RAW QHH'!C240="","",'RAW QHH'!C240)</f>
        <v>30-Jun-2026</v>
      </c>
      <c r="H1620" s="48" t="str">
        <f aca="false">IF('RAW QHH'!D240="","",'RAW QHH'!D240)</f>
        <v>Secretary</v>
      </c>
      <c r="I1620" s="48" t="n">
        <f aca="false">IF('RAW QHH'!E240="","",'RAW QHH'!E240)</f>
        <v>28</v>
      </c>
      <c r="J1620" s="48" t="str">
        <f aca="false">IF('RAW QHH'!F240="","",'RAW QHH'!F240)</f>
        <v/>
      </c>
      <c r="K1620" s="50" t="n">
        <f aca="false">IF('RAW QHH'!G240="","",'RAW QHH'!G240)</f>
        <v>0</v>
      </c>
      <c r="L1620" s="50" t="n">
        <f aca="false">IF('RAW QHH'!H240="","",'RAW QHH'!H240)</f>
        <v>0</v>
      </c>
      <c r="M1620" s="48" t="str">
        <f aca="false">IF('RAW QHH'!I240="","",'RAW QHH'!I240)</f>
        <v/>
      </c>
    </row>
    <row r="1621" customFormat="false" ht="15" hidden="false" customHeight="false" outlineLevel="0" collapsed="false">
      <c r="A1621" s="1" t="s">
        <v>2765</v>
      </c>
      <c r="B1621" s="1" t="s">
        <v>158</v>
      </c>
      <c r="C1621" s="1" t="s">
        <v>1153</v>
      </c>
      <c r="D1621" s="1" t="n">
        <v>241</v>
      </c>
      <c r="E1621" s="48" t="str">
        <f aca="false">IF('RAW QHH'!A241="","",'RAW QHH'!A241)</f>
        <v>Community Benefit Admin.</v>
      </c>
      <c r="F1621" s="48" t="str">
        <f aca="false">IF('RAW QHH'!B241="","",'RAW QHH'!B241)</f>
        <v>CBO</v>
      </c>
      <c r="G1621" s="49" t="str">
        <f aca="false">IF('RAW QHH'!C241="","",'RAW QHH'!C241)</f>
        <v>30-Jun-2026</v>
      </c>
      <c r="H1621" s="48" t="str">
        <f aca="false">IF('RAW QHH'!D241="","",'RAW QHH'!D241)</f>
        <v>Mgr, Community Benefit</v>
      </c>
      <c r="I1621" s="48" t="n">
        <f aca="false">IF('RAW QHH'!E241="","",'RAW QHH'!E241)</f>
        <v>59.25</v>
      </c>
      <c r="J1621" s="48" t="str">
        <f aca="false">IF('RAW QHH'!F241="","",'RAW QHH'!F241)</f>
        <v/>
      </c>
      <c r="K1621" s="50" t="n">
        <f aca="false">IF('RAW QHH'!G241="","",'RAW QHH'!G241)</f>
        <v>315</v>
      </c>
      <c r="L1621" s="50" t="n">
        <f aca="false">IF('RAW QHH'!H241="","",'RAW QHH'!H241)</f>
        <v>0</v>
      </c>
      <c r="M1621" s="48" t="str">
        <f aca="false">IF('RAW QHH'!I241="","",'RAW QHH'!I241)</f>
        <v/>
      </c>
    </row>
    <row r="1622" customFormat="false" ht="15" hidden="false" customHeight="false" outlineLevel="0" collapsed="false">
      <c r="A1622" s="1" t="s">
        <v>2766</v>
      </c>
      <c r="B1622" s="1" t="s">
        <v>158</v>
      </c>
      <c r="C1622" s="1" t="s">
        <v>1153</v>
      </c>
      <c r="D1622" s="1" t="n">
        <v>242</v>
      </c>
      <c r="E1622" s="48" t="str">
        <f aca="false">IF('RAW QHH'!A242="","",'RAW QHH'!A242)</f>
        <v>Community Paramedicine</v>
      </c>
      <c r="F1622" s="48" t="str">
        <f aca="false">IF('RAW QHH'!B242="","",'RAW QHH'!B242)</f>
        <v>CHIS - Clinical</v>
      </c>
      <c r="G1622" s="49" t="str">
        <f aca="false">IF('RAW QHH'!C242="","",'RAW QHH'!C242)</f>
        <v>30-Jun-2026</v>
      </c>
      <c r="H1622" s="48" t="str">
        <f aca="false">IF('RAW QHH'!D242="","",'RAW QHH'!D242)</f>
        <v>EMT-P</v>
      </c>
      <c r="I1622" s="48" t="n">
        <f aca="false">IF('RAW QHH'!E242="","",'RAW QHH'!E242)</f>
        <v>76.25</v>
      </c>
      <c r="J1622" s="48" t="n">
        <f aca="false">IF('RAW QHH'!F242="","",'RAW QHH'!F242)</f>
        <v>60</v>
      </c>
      <c r="K1622" s="50" t="n">
        <f aca="false">IF('RAW QHH'!G242="","",'RAW QHH'!G242)</f>
        <v>885</v>
      </c>
      <c r="L1622" s="50" t="n">
        <f aca="false">IF('RAW QHH'!H242="","",'RAW QHH'!H242)</f>
        <v>0</v>
      </c>
      <c r="M1622" s="48" t="str">
        <f aca="false">IF('RAW QHH'!I242="","",'RAW QHH'!I242)</f>
        <v/>
      </c>
    </row>
    <row r="1623" customFormat="false" ht="15" hidden="false" customHeight="false" outlineLevel="0" collapsed="false">
      <c r="A1623" s="1" t="s">
        <v>2767</v>
      </c>
      <c r="B1623" s="1" t="s">
        <v>158</v>
      </c>
      <c r="C1623" s="1" t="s">
        <v>1153</v>
      </c>
      <c r="D1623" s="1" t="n">
        <v>243</v>
      </c>
      <c r="E1623" s="48" t="str">
        <f aca="false">IF('RAW QHH'!A243="","",'RAW QHH'!A243)</f>
        <v>Nursing Clinical Rotations</v>
      </c>
      <c r="F1623" s="48" t="str">
        <f aca="false">IF('RAW QHH'!B243="","",'RAW QHH'!B243)</f>
        <v>HPE - Students</v>
      </c>
      <c r="G1623" s="49" t="str">
        <f aca="false">IF('RAW QHH'!C243="","",'RAW QHH'!C243)</f>
        <v>30-Jun-2026</v>
      </c>
      <c r="H1623" s="48" t="str">
        <f aca="false">IF('RAW QHH'!D243="","",'RAW QHH'!D243)</f>
        <v>RN Educator</v>
      </c>
      <c r="I1623" s="48" t="n">
        <f aca="false">IF('RAW QHH'!E243="","",'RAW QHH'!E243)</f>
        <v>37.75</v>
      </c>
      <c r="J1623" s="48" t="n">
        <f aca="false">IF('RAW QHH'!F243="","",'RAW QHH'!F243)</f>
        <v>10</v>
      </c>
      <c r="K1623" s="50" t="n">
        <f aca="false">IF('RAW QHH'!G243="","",'RAW QHH'!G243)</f>
        <v>305</v>
      </c>
      <c r="L1623" s="50" t="n">
        <f aca="false">IF('RAW QHH'!H243="","",'RAW QHH'!H243)</f>
        <v>0</v>
      </c>
      <c r="M1623" s="48" t="str">
        <f aca="false">IF('RAW QHH'!I243="","",'RAW QHH'!I243)</f>
        <v/>
      </c>
    </row>
    <row r="1624" customFormat="false" ht="15" hidden="false" customHeight="false" outlineLevel="0" collapsed="false">
      <c r="A1624" s="1" t="s">
        <v>2768</v>
      </c>
      <c r="B1624" s="1" t="s">
        <v>158</v>
      </c>
      <c r="C1624" s="1" t="s">
        <v>1153</v>
      </c>
      <c r="D1624" s="1" t="n">
        <v>244</v>
      </c>
      <c r="E1624" s="48" t="str">
        <f aca="false">IF('RAW QHH'!A244="","",'RAW QHH'!A244)</f>
        <v>Nursing Clinical Rotations</v>
      </c>
      <c r="F1624" s="48" t="str">
        <f aca="false">IF('RAW QHH'!B244="","",'RAW QHH'!B244)</f>
        <v>HPE - Students</v>
      </c>
      <c r="G1624" s="49" t="str">
        <f aca="false">IF('RAW QHH'!C244="","",'RAW QHH'!C244)</f>
        <v>30-Jun-2026</v>
      </c>
      <c r="H1624" s="48" t="str">
        <f aca="false">IF('RAW QHH'!D244="","",'RAW QHH'!D244)</f>
        <v>Charge RN</v>
      </c>
      <c r="I1624" s="48" t="n">
        <f aca="false">IF('RAW QHH'!E244="","",'RAW QHH'!E244)</f>
        <v>79</v>
      </c>
      <c r="J1624" s="48" t="str">
        <f aca="false">IF('RAW QHH'!F244="","",'RAW QHH'!F244)</f>
        <v/>
      </c>
      <c r="K1624" s="50" t="n">
        <f aca="false">IF('RAW QHH'!G244="","",'RAW QHH'!G244)</f>
        <v>0</v>
      </c>
      <c r="L1624" s="50" t="n">
        <f aca="false">IF('RAW QHH'!H244="","",'RAW QHH'!H244)</f>
        <v>0</v>
      </c>
      <c r="M1624" s="48" t="str">
        <f aca="false">IF('RAW QHH'!I244="","",'RAW QHH'!I244)</f>
        <v/>
      </c>
    </row>
  </sheetData>
  <conditionalFormatting sqref="R5:R10">
    <cfRule type="cellIs" priority="2" operator="equal" aboveAverage="0" equalAverage="0" bottom="0" percent="0" rank="0" text="" dxfId="1">
      <formula>"PASS"</formula>
    </cfRule>
    <cfRule type="cellIs" priority="3" operator="equal" aboveAverage="0" equalAverage="0" bottom="0" percent="0" rank="0" text="" dxfId="2">
      <formula>"FAIL"</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E7C78"/>
    <pageSetUpPr fitToPage="false"/>
  </sheetPr>
  <dimension ref="A1:R1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1" width="26"/>
    <col collapsed="false" customWidth="true" hidden="false" outlineLevel="0" max="3" min="3" style="1" width="17"/>
    <col collapsed="false" customWidth="true" hidden="false" outlineLevel="0" max="4" min="4" style="1" width="3"/>
    <col collapsed="false" customWidth="true" hidden="false" outlineLevel="0" max="5" min="5" style="1" width="36"/>
    <col collapsed="false" customWidth="true" hidden="false" outlineLevel="0" max="6" min="6" style="1" width="44"/>
    <col collapsed="false" customWidth="true" hidden="false" outlineLevel="0" max="7" min="7" style="1" width="10"/>
    <col collapsed="false" customWidth="true" hidden="false" outlineLevel="0" max="8" min="8" style="1" width="3"/>
    <col collapsed="false" customWidth="true" hidden="false" outlineLevel="0" max="9" min="9" style="1" width="36"/>
    <col collapsed="false" customWidth="true" hidden="false" outlineLevel="0" max="10" min="10" style="1" width="40"/>
    <col collapsed="false" customWidth="true" hidden="false" outlineLevel="0" max="11" min="11" style="1" width="30"/>
    <col collapsed="false" customWidth="true" hidden="false" outlineLevel="0" max="12" min="12" style="1" width="13"/>
    <col collapsed="false" customWidth="true" hidden="false" outlineLevel="0" max="13" min="13" style="1" width="3"/>
    <col collapsed="false" customWidth="true" hidden="false" outlineLevel="0" max="14" min="14" style="1" width="46"/>
    <col collapsed="false" customWidth="true" hidden="false" outlineLevel="0" max="15" min="15" style="1" width="10"/>
    <col collapsed="false" customWidth="true" hidden="false" outlineLevel="0" max="16" min="16" style="1" width="3"/>
    <col collapsed="false" customWidth="true" hidden="false" outlineLevel="0" max="17" min="17" style="1" width="8"/>
    <col collapsed="false" customWidth="true" hidden="false" outlineLevel="0" max="18" min="18" style="1" width="100"/>
  </cols>
  <sheetData>
    <row r="1" customFormat="false" ht="18.55" hidden="false" customHeight="false" outlineLevel="0" collapsed="false">
      <c r="A1" s="11" t="s">
        <v>2769</v>
      </c>
    </row>
    <row r="2" customFormat="false" ht="15" hidden="false" customHeight="false" outlineLevel="0" collapsed="false">
      <c r="A2" s="12" t="s">
        <v>2770</v>
      </c>
    </row>
    <row r="3" customFormat="false" ht="15" hidden="false" customHeight="false" outlineLevel="0" collapsed="false">
      <c r="A3" s="4" t="s">
        <v>2</v>
      </c>
    </row>
    <row r="4" customFormat="false" ht="15" hidden="false" customHeight="false" outlineLevel="0" collapsed="false">
      <c r="A4" s="51" t="str">
        <f aca="false">COUNTA(A7:A156)&amp;" title variants map to "&amp;(COUNTA(RATES!A6:A28)-1)&amp;" standard positions. "&amp;COUNTA(E7:E74)&amp;" category labels map to Schedule H lines. "&amp;COUNTA(I7:I101)&amp;" program names map to "&amp;SUMPRODUCT(1/COUNTIF(J7:J101,J7:J101))&amp;" standard programs."</f>
        <v>150 title variants map to 22 standard positions. 68 category labels map to Schedule H lines. 95 program names map to 39 standard programs.</v>
      </c>
    </row>
    <row r="6" customFormat="false" ht="30" hidden="false" customHeight="true" outlineLevel="0" collapsed="false">
      <c r="A6" s="7" t="s">
        <v>2771</v>
      </c>
      <c r="B6" s="7" t="s">
        <v>2772</v>
      </c>
      <c r="C6" s="7" t="s">
        <v>2773</v>
      </c>
      <c r="E6" s="7" t="s">
        <v>2774</v>
      </c>
      <c r="F6" s="7" t="s">
        <v>2775</v>
      </c>
      <c r="G6" s="7" t="s">
        <v>2776</v>
      </c>
      <c r="I6" s="7" t="s">
        <v>2777</v>
      </c>
      <c r="J6" s="7" t="s">
        <v>2778</v>
      </c>
      <c r="K6" s="7" t="s">
        <v>2779</v>
      </c>
      <c r="L6" s="7" t="s">
        <v>2780</v>
      </c>
      <c r="N6" s="7" t="s">
        <v>2775</v>
      </c>
      <c r="O6" s="7" t="s">
        <v>2776</v>
      </c>
      <c r="Q6" s="7" t="s">
        <v>70</v>
      </c>
      <c r="R6" s="7" t="s">
        <v>2781</v>
      </c>
    </row>
    <row r="7" customFormat="false" ht="15" hidden="false" customHeight="false" outlineLevel="0" collapsed="false">
      <c r="A7" s="1" t="s">
        <v>303</v>
      </c>
      <c r="B7" s="1" t="s">
        <v>303</v>
      </c>
      <c r="C7" s="1" t="s">
        <v>2782</v>
      </c>
      <c r="E7" s="1" t="s">
        <v>250</v>
      </c>
      <c r="F7" s="1" t="s">
        <v>2783</v>
      </c>
      <c r="G7" s="1" t="s">
        <v>107</v>
      </c>
      <c r="I7" s="1" t="s">
        <v>264</v>
      </c>
      <c r="J7" s="1" t="s">
        <v>264</v>
      </c>
      <c r="K7" s="1" t="s">
        <v>2784</v>
      </c>
      <c r="L7" s="1" t="s">
        <v>2785</v>
      </c>
      <c r="N7" s="1" t="s">
        <v>2783</v>
      </c>
      <c r="O7" s="1" t="s">
        <v>107</v>
      </c>
      <c r="Q7" s="1" t="s">
        <v>88</v>
      </c>
      <c r="R7" s="1" t="s">
        <v>2786</v>
      </c>
    </row>
    <row r="8" customFormat="false" ht="15" hidden="false" customHeight="false" outlineLevel="0" collapsed="false">
      <c r="A8" s="1" t="s">
        <v>423</v>
      </c>
      <c r="B8" s="1" t="s">
        <v>303</v>
      </c>
      <c r="C8" s="1" t="s">
        <v>2782</v>
      </c>
      <c r="E8" s="1" t="s">
        <v>261</v>
      </c>
      <c r="F8" s="1" t="s">
        <v>2787</v>
      </c>
      <c r="G8" s="1" t="s">
        <v>107</v>
      </c>
      <c r="I8" s="1" t="s">
        <v>547</v>
      </c>
      <c r="J8" s="1" t="s">
        <v>264</v>
      </c>
      <c r="K8" s="1" t="s">
        <v>2784</v>
      </c>
      <c r="L8" s="1" t="s">
        <v>2785</v>
      </c>
      <c r="N8" s="1" t="s">
        <v>2787</v>
      </c>
      <c r="O8" s="1" t="s">
        <v>107</v>
      </c>
      <c r="Q8" s="1" t="s">
        <v>92</v>
      </c>
      <c r="R8" s="1" t="s">
        <v>2788</v>
      </c>
    </row>
    <row r="9" customFormat="false" ht="15" hidden="false" customHeight="false" outlineLevel="0" collapsed="false">
      <c r="A9" s="1" t="s">
        <v>406</v>
      </c>
      <c r="B9" s="1" t="s">
        <v>303</v>
      </c>
      <c r="C9" s="1" t="s">
        <v>2782</v>
      </c>
      <c r="E9" s="1" t="s">
        <v>285</v>
      </c>
      <c r="F9" s="1" t="s">
        <v>2789</v>
      </c>
      <c r="G9" s="1" t="s">
        <v>107</v>
      </c>
      <c r="I9" s="1" t="s">
        <v>576</v>
      </c>
      <c r="J9" s="1" t="s">
        <v>2790</v>
      </c>
      <c r="K9" s="1" t="s">
        <v>2791</v>
      </c>
      <c r="L9" s="1" t="s">
        <v>2785</v>
      </c>
      <c r="N9" s="1" t="s">
        <v>2789</v>
      </c>
      <c r="O9" s="1" t="s">
        <v>107</v>
      </c>
      <c r="Q9" s="1" t="s">
        <v>96</v>
      </c>
      <c r="R9" s="1" t="s">
        <v>2792</v>
      </c>
    </row>
    <row r="10" customFormat="false" ht="15" hidden="false" customHeight="false" outlineLevel="0" collapsed="false">
      <c r="A10" s="1" t="s">
        <v>390</v>
      </c>
      <c r="B10" s="1" t="s">
        <v>303</v>
      </c>
      <c r="C10" s="1" t="s">
        <v>2782</v>
      </c>
      <c r="E10" s="1" t="s">
        <v>291</v>
      </c>
      <c r="F10" s="1" t="s">
        <v>2793</v>
      </c>
      <c r="G10" s="1" t="s">
        <v>107</v>
      </c>
      <c r="I10" s="1" t="s">
        <v>1029</v>
      </c>
      <c r="J10" s="1" t="s">
        <v>2790</v>
      </c>
      <c r="K10" s="1" t="s">
        <v>2791</v>
      </c>
      <c r="L10" s="1" t="s">
        <v>2785</v>
      </c>
      <c r="N10" s="1" t="s">
        <v>2793</v>
      </c>
      <c r="O10" s="1" t="s">
        <v>107</v>
      </c>
      <c r="Q10" s="1" t="s">
        <v>100</v>
      </c>
      <c r="R10" s="1" t="s">
        <v>2794</v>
      </c>
    </row>
    <row r="11" customFormat="false" ht="15" hidden="false" customHeight="false" outlineLevel="0" collapsed="false">
      <c r="A11" s="1" t="s">
        <v>1066</v>
      </c>
      <c r="B11" s="1" t="s">
        <v>303</v>
      </c>
      <c r="C11" s="1" t="s">
        <v>2782</v>
      </c>
      <c r="E11" s="1" t="s">
        <v>299</v>
      </c>
      <c r="F11" s="1" t="s">
        <v>165</v>
      </c>
      <c r="G11" s="1" t="s">
        <v>111</v>
      </c>
      <c r="I11" s="1" t="s">
        <v>881</v>
      </c>
      <c r="J11" s="1" t="s">
        <v>2790</v>
      </c>
      <c r="K11" s="1" t="s">
        <v>2791</v>
      </c>
      <c r="L11" s="1" t="s">
        <v>2785</v>
      </c>
      <c r="N11" s="1" t="s">
        <v>165</v>
      </c>
      <c r="O11" s="1" t="s">
        <v>111</v>
      </c>
      <c r="Q11" s="1" t="s">
        <v>107</v>
      </c>
      <c r="R11" s="1" t="s">
        <v>2795</v>
      </c>
    </row>
    <row r="12" customFormat="false" ht="15" hidden="false" customHeight="false" outlineLevel="0" collapsed="false">
      <c r="A12" s="1" t="s">
        <v>365</v>
      </c>
      <c r="B12" s="1" t="s">
        <v>303</v>
      </c>
      <c r="C12" s="1" t="s">
        <v>2782</v>
      </c>
      <c r="E12" s="1" t="s">
        <v>167</v>
      </c>
      <c r="F12" s="1" t="s">
        <v>167</v>
      </c>
      <c r="G12" s="1" t="s">
        <v>118</v>
      </c>
      <c r="I12" s="1" t="s">
        <v>1046</v>
      </c>
      <c r="J12" s="1" t="s">
        <v>376</v>
      </c>
      <c r="K12" s="1" t="s">
        <v>2791</v>
      </c>
      <c r="L12" s="1" t="s">
        <v>2785</v>
      </c>
      <c r="N12" s="1" t="s">
        <v>167</v>
      </c>
      <c r="O12" s="1" t="s">
        <v>118</v>
      </c>
      <c r="Q12" s="1" t="s">
        <v>111</v>
      </c>
      <c r="R12" s="1" t="s">
        <v>2796</v>
      </c>
    </row>
    <row r="13" customFormat="false" ht="15" hidden="false" customHeight="false" outlineLevel="0" collapsed="false">
      <c r="A13" s="1" t="s">
        <v>336</v>
      </c>
      <c r="B13" s="1" t="s">
        <v>303</v>
      </c>
      <c r="C13" s="1" t="s">
        <v>2782</v>
      </c>
      <c r="E13" s="1" t="s">
        <v>319</v>
      </c>
      <c r="F13" s="1" t="s">
        <v>168</v>
      </c>
      <c r="G13" s="1" t="s">
        <v>121</v>
      </c>
      <c r="I13" s="1" t="s">
        <v>376</v>
      </c>
      <c r="J13" s="1" t="s">
        <v>376</v>
      </c>
      <c r="K13" s="1" t="s">
        <v>2791</v>
      </c>
      <c r="L13" s="1" t="s">
        <v>2785</v>
      </c>
      <c r="N13" s="1" t="s">
        <v>168</v>
      </c>
      <c r="O13" s="1" t="s">
        <v>121</v>
      </c>
      <c r="Q13" s="1" t="s">
        <v>115</v>
      </c>
      <c r="R13" s="1" t="s">
        <v>2797</v>
      </c>
    </row>
    <row r="14" customFormat="false" ht="15" hidden="false" customHeight="false" outlineLevel="0" collapsed="false">
      <c r="A14" s="1" t="s">
        <v>305</v>
      </c>
      <c r="B14" s="1" t="s">
        <v>305</v>
      </c>
      <c r="C14" s="1" t="s">
        <v>2782</v>
      </c>
      <c r="E14" s="1" t="s">
        <v>265</v>
      </c>
      <c r="F14" s="1" t="s">
        <v>2798</v>
      </c>
      <c r="G14" s="1" t="s">
        <v>171</v>
      </c>
      <c r="I14" s="1" t="s">
        <v>714</v>
      </c>
      <c r="J14" s="1" t="s">
        <v>376</v>
      </c>
      <c r="K14" s="1" t="s">
        <v>2791</v>
      </c>
      <c r="L14" s="1" t="s">
        <v>2785</v>
      </c>
      <c r="N14" s="1" t="s">
        <v>2798</v>
      </c>
      <c r="O14" s="1" t="s">
        <v>171</v>
      </c>
      <c r="Q14" s="1" t="s">
        <v>118</v>
      </c>
      <c r="R14" s="1" t="s">
        <v>2799</v>
      </c>
    </row>
    <row r="15" customFormat="false" ht="15" hidden="false" customHeight="false" outlineLevel="0" collapsed="false">
      <c r="A15" s="1" t="s">
        <v>405</v>
      </c>
      <c r="B15" s="1" t="s">
        <v>305</v>
      </c>
      <c r="C15" s="1" t="s">
        <v>2782</v>
      </c>
      <c r="E15" s="1" t="s">
        <v>428</v>
      </c>
      <c r="F15" s="1" t="s">
        <v>2800</v>
      </c>
      <c r="G15" s="1" t="s">
        <v>172</v>
      </c>
      <c r="I15" s="1" t="s">
        <v>525</v>
      </c>
      <c r="J15" s="1" t="s">
        <v>294</v>
      </c>
      <c r="K15" s="1" t="s">
        <v>2801</v>
      </c>
      <c r="L15" s="1" t="s">
        <v>2802</v>
      </c>
      <c r="N15" s="1" t="s">
        <v>2800</v>
      </c>
      <c r="O15" s="1" t="s">
        <v>172</v>
      </c>
      <c r="Q15" s="1" t="s">
        <v>121</v>
      </c>
      <c r="R15" s="1" t="s">
        <v>2803</v>
      </c>
    </row>
    <row r="16" customFormat="false" ht="15" hidden="false" customHeight="false" outlineLevel="0" collapsed="false">
      <c r="A16" s="1" t="s">
        <v>463</v>
      </c>
      <c r="B16" s="1" t="s">
        <v>305</v>
      </c>
      <c r="C16" s="1" t="s">
        <v>2782</v>
      </c>
      <c r="E16" s="1" t="s">
        <v>312</v>
      </c>
      <c r="F16" s="1" t="s">
        <v>2804</v>
      </c>
      <c r="G16" s="1" t="s">
        <v>177</v>
      </c>
      <c r="I16" s="1" t="s">
        <v>700</v>
      </c>
      <c r="J16" s="1" t="s">
        <v>294</v>
      </c>
      <c r="K16" s="1" t="s">
        <v>2801</v>
      </c>
      <c r="L16" s="1" t="s">
        <v>2802</v>
      </c>
      <c r="N16" s="1" t="s">
        <v>2805</v>
      </c>
      <c r="O16" s="1" t="s">
        <v>173</v>
      </c>
      <c r="Q16" s="1" t="s">
        <v>124</v>
      </c>
      <c r="R16" s="1" t="s">
        <v>2806</v>
      </c>
    </row>
    <row r="17" customFormat="false" ht="15" hidden="false" customHeight="false" outlineLevel="0" collapsed="false">
      <c r="A17" s="1" t="s">
        <v>438</v>
      </c>
      <c r="B17" s="1" t="s">
        <v>305</v>
      </c>
      <c r="C17" s="1" t="s">
        <v>2782</v>
      </c>
      <c r="E17" s="1" t="s">
        <v>254</v>
      </c>
      <c r="F17" s="1" t="s">
        <v>2807</v>
      </c>
      <c r="G17" s="1" t="s">
        <v>179</v>
      </c>
      <c r="I17" s="1" t="s">
        <v>1017</v>
      </c>
      <c r="J17" s="1" t="s">
        <v>294</v>
      </c>
      <c r="K17" s="1" t="s">
        <v>2801</v>
      </c>
      <c r="L17" s="1" t="s">
        <v>2802</v>
      </c>
      <c r="N17" s="1" t="s">
        <v>2808</v>
      </c>
      <c r="O17" s="1" t="s">
        <v>174</v>
      </c>
      <c r="Q17" s="1" t="s">
        <v>127</v>
      </c>
      <c r="R17" s="1" t="s">
        <v>2809</v>
      </c>
    </row>
    <row r="18" customFormat="false" ht="15" hidden="false" customHeight="false" outlineLevel="0" collapsed="false">
      <c r="A18" s="1" t="s">
        <v>2810</v>
      </c>
      <c r="B18" s="1" t="s">
        <v>305</v>
      </c>
      <c r="C18" s="1" t="s">
        <v>2782</v>
      </c>
      <c r="E18" s="1" t="s">
        <v>355</v>
      </c>
      <c r="F18" s="1" t="s">
        <v>2805</v>
      </c>
      <c r="G18" s="1" t="s">
        <v>173</v>
      </c>
      <c r="I18" s="1" t="s">
        <v>294</v>
      </c>
      <c r="J18" s="1" t="s">
        <v>294</v>
      </c>
      <c r="K18" s="1" t="s">
        <v>2801</v>
      </c>
      <c r="L18" s="1" t="s">
        <v>2802</v>
      </c>
      <c r="N18" s="1" t="s">
        <v>2811</v>
      </c>
      <c r="O18" s="1" t="s">
        <v>175</v>
      </c>
      <c r="Q18" s="1" t="s">
        <v>171</v>
      </c>
      <c r="R18" s="1" t="s">
        <v>2812</v>
      </c>
    </row>
    <row r="19" customFormat="false" ht="15" hidden="false" customHeight="false" outlineLevel="0" collapsed="false">
      <c r="A19" s="1" t="s">
        <v>389</v>
      </c>
      <c r="B19" s="1" t="s">
        <v>305</v>
      </c>
      <c r="C19" s="1" t="s">
        <v>2782</v>
      </c>
      <c r="E19" s="1" t="s">
        <v>505</v>
      </c>
      <c r="F19" s="1" t="s">
        <v>2783</v>
      </c>
      <c r="G19" s="1" t="s">
        <v>107</v>
      </c>
      <c r="I19" s="1" t="s">
        <v>869</v>
      </c>
      <c r="J19" s="1" t="s">
        <v>294</v>
      </c>
      <c r="K19" s="1" t="s">
        <v>2801</v>
      </c>
      <c r="L19" s="1" t="s">
        <v>2802</v>
      </c>
      <c r="N19" s="1" t="s">
        <v>2804</v>
      </c>
      <c r="O19" s="1" t="s">
        <v>177</v>
      </c>
      <c r="Q19" s="1" t="s">
        <v>172</v>
      </c>
      <c r="R19" s="1" t="s">
        <v>2813</v>
      </c>
    </row>
    <row r="20" customFormat="false" ht="15" hidden="false" customHeight="false" outlineLevel="0" collapsed="false">
      <c r="A20" s="1" t="s">
        <v>414</v>
      </c>
      <c r="B20" s="1" t="s">
        <v>414</v>
      </c>
      <c r="C20" s="1" t="s">
        <v>2782</v>
      </c>
      <c r="E20" s="1" t="s">
        <v>511</v>
      </c>
      <c r="F20" s="1" t="s">
        <v>2787</v>
      </c>
      <c r="G20" s="1" t="s">
        <v>107</v>
      </c>
      <c r="I20" s="1" t="s">
        <v>510</v>
      </c>
      <c r="J20" s="1" t="s">
        <v>260</v>
      </c>
      <c r="K20" s="1" t="s">
        <v>2814</v>
      </c>
      <c r="L20" s="1" t="s">
        <v>2785</v>
      </c>
      <c r="N20" s="1" t="s">
        <v>2815</v>
      </c>
      <c r="O20" s="1" t="s">
        <v>178</v>
      </c>
      <c r="Q20" s="1" t="s">
        <v>173</v>
      </c>
      <c r="R20" s="1" t="s">
        <v>2816</v>
      </c>
    </row>
    <row r="21" customFormat="false" ht="15" hidden="false" customHeight="false" outlineLevel="0" collapsed="false">
      <c r="A21" s="1" t="s">
        <v>785</v>
      </c>
      <c r="B21" s="1" t="s">
        <v>414</v>
      </c>
      <c r="C21" s="1" t="s">
        <v>2782</v>
      </c>
      <c r="E21" s="1" t="s">
        <v>520</v>
      </c>
      <c r="F21" s="1" t="s">
        <v>2789</v>
      </c>
      <c r="G21" s="1" t="s">
        <v>107</v>
      </c>
      <c r="I21" s="1" t="s">
        <v>1033</v>
      </c>
      <c r="J21" s="1" t="s">
        <v>260</v>
      </c>
      <c r="K21" s="1" t="s">
        <v>2814</v>
      </c>
      <c r="L21" s="1" t="s">
        <v>2785</v>
      </c>
      <c r="N21" s="1" t="s">
        <v>2807</v>
      </c>
      <c r="O21" s="1" t="s">
        <v>179</v>
      </c>
      <c r="Q21" s="1" t="s">
        <v>174</v>
      </c>
      <c r="R21" s="1" t="s">
        <v>2817</v>
      </c>
    </row>
    <row r="22" customFormat="false" ht="15" hidden="false" customHeight="false" outlineLevel="0" collapsed="false">
      <c r="A22" s="1" t="s">
        <v>842</v>
      </c>
      <c r="B22" s="1" t="s">
        <v>414</v>
      </c>
      <c r="C22" s="1" t="s">
        <v>2782</v>
      </c>
      <c r="E22" s="1" t="s">
        <v>526</v>
      </c>
      <c r="F22" s="1" t="s">
        <v>2793</v>
      </c>
      <c r="G22" s="1" t="s">
        <v>107</v>
      </c>
      <c r="I22" s="1" t="s">
        <v>708</v>
      </c>
      <c r="J22" s="1" t="s">
        <v>260</v>
      </c>
      <c r="K22" s="1" t="s">
        <v>2814</v>
      </c>
      <c r="L22" s="1" t="s">
        <v>2785</v>
      </c>
      <c r="N22" s="1" t="s">
        <v>2818</v>
      </c>
      <c r="O22" s="1" t="s">
        <v>2819</v>
      </c>
      <c r="Q22" s="1" t="s">
        <v>175</v>
      </c>
      <c r="R22" s="1" t="s">
        <v>2820</v>
      </c>
    </row>
    <row r="23" customFormat="false" ht="15" hidden="false" customHeight="false" outlineLevel="0" collapsed="false">
      <c r="A23" s="1" t="s">
        <v>397</v>
      </c>
      <c r="B23" s="1" t="s">
        <v>414</v>
      </c>
      <c r="C23" s="1" t="s">
        <v>2782</v>
      </c>
      <c r="E23" s="1" t="s">
        <v>528</v>
      </c>
      <c r="F23" s="1" t="s">
        <v>165</v>
      </c>
      <c r="G23" s="1" t="s">
        <v>111</v>
      </c>
      <c r="I23" s="1" t="s">
        <v>260</v>
      </c>
      <c r="J23" s="1" t="s">
        <v>260</v>
      </c>
      <c r="K23" s="1" t="s">
        <v>2814</v>
      </c>
      <c r="L23" s="1" t="s">
        <v>2785</v>
      </c>
      <c r="Q23" s="1" t="s">
        <v>177</v>
      </c>
      <c r="R23" s="1" t="s">
        <v>2821</v>
      </c>
    </row>
    <row r="24" customFormat="false" ht="15" hidden="false" customHeight="false" outlineLevel="0" collapsed="false">
      <c r="A24" s="1" t="s">
        <v>282</v>
      </c>
      <c r="B24" s="1" t="s">
        <v>414</v>
      </c>
      <c r="C24" s="1" t="s">
        <v>2782</v>
      </c>
      <c r="E24" s="1" t="s">
        <v>541</v>
      </c>
      <c r="F24" s="1" t="s">
        <v>168</v>
      </c>
      <c r="G24" s="1" t="s">
        <v>121</v>
      </c>
      <c r="I24" s="1" t="s">
        <v>852</v>
      </c>
      <c r="J24" s="1" t="s">
        <v>260</v>
      </c>
      <c r="K24" s="1" t="s">
        <v>2814</v>
      </c>
      <c r="L24" s="1" t="s">
        <v>2785</v>
      </c>
      <c r="Q24" s="1" t="s">
        <v>178</v>
      </c>
      <c r="R24" s="1" t="s">
        <v>2822</v>
      </c>
    </row>
    <row r="25" customFormat="false" ht="15" hidden="false" customHeight="false" outlineLevel="0" collapsed="false">
      <c r="A25" s="1" t="s">
        <v>380</v>
      </c>
      <c r="B25" s="1" t="s">
        <v>414</v>
      </c>
      <c r="C25" s="1" t="s">
        <v>2782</v>
      </c>
      <c r="E25" s="1" t="s">
        <v>548</v>
      </c>
      <c r="F25" s="1" t="s">
        <v>2798</v>
      </c>
      <c r="G25" s="1" t="s">
        <v>171</v>
      </c>
      <c r="I25" s="1" t="s">
        <v>354</v>
      </c>
      <c r="J25" s="1" t="s">
        <v>354</v>
      </c>
      <c r="K25" s="1" t="s">
        <v>2801</v>
      </c>
      <c r="L25" s="1" t="s">
        <v>2785</v>
      </c>
      <c r="Q25" s="1" t="s">
        <v>179</v>
      </c>
      <c r="R25" s="1" t="s">
        <v>2823</v>
      </c>
    </row>
    <row r="26" customFormat="false" ht="15" hidden="false" customHeight="false" outlineLevel="0" collapsed="false">
      <c r="A26" s="1" t="s">
        <v>357</v>
      </c>
      <c r="B26" s="1" t="s">
        <v>357</v>
      </c>
      <c r="C26" s="1" t="s">
        <v>2824</v>
      </c>
      <c r="E26" s="1" t="s">
        <v>552</v>
      </c>
      <c r="F26" s="1" t="s">
        <v>2804</v>
      </c>
      <c r="G26" s="1" t="s">
        <v>177</v>
      </c>
      <c r="I26" s="1" t="s">
        <v>1001</v>
      </c>
      <c r="J26" s="1" t="s">
        <v>354</v>
      </c>
      <c r="K26" s="1" t="s">
        <v>2801</v>
      </c>
      <c r="L26" s="1" t="s">
        <v>2785</v>
      </c>
      <c r="Q26" s="1" t="s">
        <v>180</v>
      </c>
      <c r="R26" s="1" t="s">
        <v>2825</v>
      </c>
    </row>
    <row r="27" customFormat="false" ht="15" hidden="false" customHeight="false" outlineLevel="0" collapsed="false">
      <c r="A27" s="1" t="s">
        <v>335</v>
      </c>
      <c r="B27" s="1" t="s">
        <v>357</v>
      </c>
      <c r="C27" s="1" t="s">
        <v>2824</v>
      </c>
      <c r="E27" s="1" t="s">
        <v>536</v>
      </c>
      <c r="F27" s="1" t="s">
        <v>2811</v>
      </c>
      <c r="G27" s="1" t="s">
        <v>175</v>
      </c>
      <c r="I27" s="1" t="s">
        <v>732</v>
      </c>
      <c r="J27" s="1" t="s">
        <v>2826</v>
      </c>
      <c r="K27" s="1" t="s">
        <v>2784</v>
      </c>
      <c r="L27" s="1" t="s">
        <v>2785</v>
      </c>
      <c r="Q27" s="1" t="s">
        <v>182</v>
      </c>
      <c r="R27" s="1" t="s">
        <v>2827</v>
      </c>
    </row>
    <row r="28" customFormat="false" ht="15" hidden="false" customHeight="false" outlineLevel="0" collapsed="false">
      <c r="A28" s="1" t="s">
        <v>327</v>
      </c>
      <c r="B28" s="1" t="s">
        <v>357</v>
      </c>
      <c r="C28" s="1" t="s">
        <v>2824</v>
      </c>
      <c r="E28" s="1" t="s">
        <v>2828</v>
      </c>
      <c r="F28" s="1" t="s">
        <v>2807</v>
      </c>
      <c r="G28" s="1" t="s">
        <v>179</v>
      </c>
      <c r="I28" s="1" t="s">
        <v>1005</v>
      </c>
      <c r="J28" s="1" t="s">
        <v>2826</v>
      </c>
      <c r="K28" s="1" t="s">
        <v>2784</v>
      </c>
      <c r="L28" s="1" t="s">
        <v>2785</v>
      </c>
      <c r="Q28" s="1" t="s">
        <v>2819</v>
      </c>
      <c r="R28" s="1" t="s">
        <v>2829</v>
      </c>
    </row>
    <row r="29" customFormat="false" ht="15" hidden="false" customHeight="false" outlineLevel="0" collapsed="false">
      <c r="A29" s="1" t="s">
        <v>568</v>
      </c>
      <c r="B29" s="1" t="s">
        <v>357</v>
      </c>
      <c r="C29" s="1" t="s">
        <v>2824</v>
      </c>
      <c r="E29" s="1" t="s">
        <v>684</v>
      </c>
      <c r="F29" s="1" t="s">
        <v>2783</v>
      </c>
      <c r="G29" s="1" t="s">
        <v>107</v>
      </c>
      <c r="I29" s="1" t="s">
        <v>618</v>
      </c>
      <c r="J29" s="1" t="s">
        <v>290</v>
      </c>
      <c r="K29" s="1" t="s">
        <v>2801</v>
      </c>
      <c r="L29" s="1" t="s">
        <v>2802</v>
      </c>
    </row>
    <row r="30" customFormat="false" ht="15" hidden="false" customHeight="false" outlineLevel="0" collapsed="false">
      <c r="A30" s="1" t="s">
        <v>325</v>
      </c>
      <c r="B30" s="1" t="s">
        <v>357</v>
      </c>
      <c r="C30" s="1" t="s">
        <v>2824</v>
      </c>
      <c r="E30" s="1" t="s">
        <v>695</v>
      </c>
      <c r="F30" s="1" t="s">
        <v>2787</v>
      </c>
      <c r="G30" s="1" t="s">
        <v>107</v>
      </c>
      <c r="I30" s="1" t="s">
        <v>290</v>
      </c>
      <c r="J30" s="1" t="s">
        <v>290</v>
      </c>
      <c r="K30" s="1" t="s">
        <v>2801</v>
      </c>
      <c r="L30" s="1" t="s">
        <v>2802</v>
      </c>
    </row>
    <row r="31" customFormat="false" ht="15" hidden="false" customHeight="false" outlineLevel="0" collapsed="false">
      <c r="A31" s="1" t="s">
        <v>262</v>
      </c>
      <c r="B31" s="1" t="s">
        <v>357</v>
      </c>
      <c r="C31" s="1" t="s">
        <v>2824</v>
      </c>
      <c r="E31" s="1" t="s">
        <v>698</v>
      </c>
      <c r="F31" s="1" t="s">
        <v>2789</v>
      </c>
      <c r="G31" s="1" t="s">
        <v>107</v>
      </c>
      <c r="I31" s="1" t="s">
        <v>522</v>
      </c>
      <c r="J31" s="1" t="s">
        <v>284</v>
      </c>
      <c r="K31" s="1" t="s">
        <v>2830</v>
      </c>
      <c r="L31" s="1" t="s">
        <v>2802</v>
      </c>
    </row>
    <row r="32" customFormat="false" ht="15" hidden="false" customHeight="false" outlineLevel="0" collapsed="false">
      <c r="A32" s="1" t="s">
        <v>458</v>
      </c>
      <c r="B32" s="1" t="s">
        <v>357</v>
      </c>
      <c r="C32" s="1" t="s">
        <v>2824</v>
      </c>
      <c r="E32" s="1" t="s">
        <v>701</v>
      </c>
      <c r="F32" s="1" t="s">
        <v>2793</v>
      </c>
      <c r="G32" s="1" t="s">
        <v>107</v>
      </c>
      <c r="I32" s="1" t="s">
        <v>284</v>
      </c>
      <c r="J32" s="1" t="s">
        <v>284</v>
      </c>
      <c r="K32" s="1" t="s">
        <v>2830</v>
      </c>
      <c r="L32" s="1" t="s">
        <v>2802</v>
      </c>
    </row>
    <row r="33" customFormat="false" ht="15" hidden="false" customHeight="false" outlineLevel="0" collapsed="false">
      <c r="A33" s="1" t="s">
        <v>340</v>
      </c>
      <c r="B33" s="1" t="s">
        <v>357</v>
      </c>
      <c r="C33" s="1" t="s">
        <v>2824</v>
      </c>
      <c r="E33" s="1" t="s">
        <v>705</v>
      </c>
      <c r="F33" s="1" t="s">
        <v>165</v>
      </c>
      <c r="G33" s="1" t="s">
        <v>111</v>
      </c>
      <c r="I33" s="1" t="s">
        <v>307</v>
      </c>
      <c r="J33" s="1" t="s">
        <v>307</v>
      </c>
      <c r="K33" s="1" t="s">
        <v>2814</v>
      </c>
      <c r="L33" s="1" t="s">
        <v>2802</v>
      </c>
    </row>
    <row r="34" customFormat="false" ht="15" hidden="false" customHeight="false" outlineLevel="0" collapsed="false">
      <c r="A34" s="1" t="s">
        <v>301</v>
      </c>
      <c r="B34" s="1" t="s">
        <v>357</v>
      </c>
      <c r="C34" s="1" t="s">
        <v>2824</v>
      </c>
      <c r="E34" s="1" t="s">
        <v>737</v>
      </c>
      <c r="F34" s="1" t="s">
        <v>168</v>
      </c>
      <c r="G34" s="1" t="s">
        <v>121</v>
      </c>
      <c r="I34" s="1" t="s">
        <v>1020</v>
      </c>
      <c r="J34" s="1" t="s">
        <v>2831</v>
      </c>
      <c r="K34" s="1" t="s">
        <v>2830</v>
      </c>
      <c r="L34" s="1" t="s">
        <v>2802</v>
      </c>
    </row>
    <row r="35" customFormat="false" ht="15" hidden="false" customHeight="false" outlineLevel="0" collapsed="false">
      <c r="A35" s="1" t="s">
        <v>280</v>
      </c>
      <c r="B35" s="1" t="s">
        <v>357</v>
      </c>
      <c r="C35" s="1" t="s">
        <v>2824</v>
      </c>
      <c r="E35" s="1" t="s">
        <v>712</v>
      </c>
      <c r="F35" s="1" t="s">
        <v>2815</v>
      </c>
      <c r="G35" s="1" t="s">
        <v>178</v>
      </c>
      <c r="I35" s="1" t="s">
        <v>871</v>
      </c>
      <c r="J35" s="1" t="s">
        <v>2831</v>
      </c>
      <c r="K35" s="1" t="s">
        <v>2830</v>
      </c>
      <c r="L35" s="1" t="s">
        <v>2802</v>
      </c>
    </row>
    <row r="36" customFormat="false" ht="15" hidden="false" customHeight="false" outlineLevel="0" collapsed="false">
      <c r="A36" s="1" t="s">
        <v>255</v>
      </c>
      <c r="B36" s="1" t="s">
        <v>255</v>
      </c>
      <c r="C36" s="1" t="s">
        <v>2824</v>
      </c>
      <c r="E36" s="1" t="s">
        <v>681</v>
      </c>
      <c r="F36" s="1" t="s">
        <v>2783</v>
      </c>
      <c r="G36" s="1" t="s">
        <v>107</v>
      </c>
      <c r="I36" s="1" t="s">
        <v>504</v>
      </c>
      <c r="J36" s="1" t="s">
        <v>257</v>
      </c>
      <c r="K36" s="1" t="s">
        <v>2814</v>
      </c>
      <c r="L36" s="1" t="s">
        <v>2785</v>
      </c>
    </row>
    <row r="37" customFormat="false" ht="15" hidden="false" customHeight="false" outlineLevel="0" collapsed="false">
      <c r="A37" s="1" t="s">
        <v>413</v>
      </c>
      <c r="B37" s="1" t="s">
        <v>255</v>
      </c>
      <c r="C37" s="1" t="s">
        <v>2824</v>
      </c>
      <c r="E37" s="1" t="s">
        <v>733</v>
      </c>
      <c r="F37" s="1" t="s">
        <v>2808</v>
      </c>
      <c r="G37" s="1" t="s">
        <v>174</v>
      </c>
      <c r="I37" s="1" t="s">
        <v>687</v>
      </c>
      <c r="J37" s="1" t="s">
        <v>257</v>
      </c>
      <c r="K37" s="1" t="s">
        <v>2814</v>
      </c>
      <c r="L37" s="1" t="s">
        <v>2785</v>
      </c>
    </row>
    <row r="38" customFormat="false" ht="15" hidden="false" customHeight="false" outlineLevel="0" collapsed="false">
      <c r="A38" s="1" t="s">
        <v>274</v>
      </c>
      <c r="B38" s="1" t="s">
        <v>255</v>
      </c>
      <c r="C38" s="1" t="s">
        <v>2824</v>
      </c>
      <c r="E38" s="1" t="s">
        <v>882</v>
      </c>
      <c r="F38" s="1" t="s">
        <v>2783</v>
      </c>
      <c r="G38" s="1" t="s">
        <v>107</v>
      </c>
      <c r="I38" s="1" t="s">
        <v>257</v>
      </c>
      <c r="J38" s="1" t="s">
        <v>257</v>
      </c>
      <c r="K38" s="1" t="s">
        <v>2814</v>
      </c>
      <c r="L38" s="1" t="s">
        <v>2785</v>
      </c>
    </row>
    <row r="39" customFormat="false" ht="15" hidden="false" customHeight="false" outlineLevel="0" collapsed="false">
      <c r="A39" s="1" t="s">
        <v>421</v>
      </c>
      <c r="B39" s="1" t="s">
        <v>255</v>
      </c>
      <c r="C39" s="1" t="s">
        <v>2824</v>
      </c>
      <c r="E39" s="1" t="s">
        <v>853</v>
      </c>
      <c r="F39" s="1" t="s">
        <v>2787</v>
      </c>
      <c r="G39" s="1" t="s">
        <v>107</v>
      </c>
      <c r="I39" s="1" t="s">
        <v>1027</v>
      </c>
      <c r="J39" s="1" t="s">
        <v>257</v>
      </c>
      <c r="K39" s="1" t="s">
        <v>2814</v>
      </c>
      <c r="L39" s="1" t="s">
        <v>2785</v>
      </c>
    </row>
    <row r="40" customFormat="false" ht="15" hidden="false" customHeight="false" outlineLevel="0" collapsed="false">
      <c r="A40" s="1" t="s">
        <v>364</v>
      </c>
      <c r="B40" s="1" t="s">
        <v>255</v>
      </c>
      <c r="C40" s="1" t="s">
        <v>2824</v>
      </c>
      <c r="E40" s="1" t="s">
        <v>857</v>
      </c>
      <c r="F40" s="1" t="s">
        <v>2789</v>
      </c>
      <c r="G40" s="1" t="s">
        <v>107</v>
      </c>
      <c r="I40" s="1" t="s">
        <v>884</v>
      </c>
      <c r="J40" s="1" t="s">
        <v>257</v>
      </c>
      <c r="K40" s="1" t="s">
        <v>2814</v>
      </c>
      <c r="L40" s="1" t="s">
        <v>2785</v>
      </c>
    </row>
    <row r="41" customFormat="false" ht="15" hidden="false" customHeight="false" outlineLevel="0" collapsed="false">
      <c r="A41" s="1" t="s">
        <v>387</v>
      </c>
      <c r="B41" s="1" t="s">
        <v>255</v>
      </c>
      <c r="C41" s="1" t="s">
        <v>2824</v>
      </c>
      <c r="E41" s="1" t="s">
        <v>873</v>
      </c>
      <c r="F41" s="1" t="s">
        <v>165</v>
      </c>
      <c r="G41" s="1" t="s">
        <v>111</v>
      </c>
      <c r="I41" s="1" t="s">
        <v>1103</v>
      </c>
      <c r="J41" s="1" t="s">
        <v>1103</v>
      </c>
      <c r="K41" s="1" t="s">
        <v>2814</v>
      </c>
      <c r="L41" s="1" t="s">
        <v>2785</v>
      </c>
    </row>
    <row r="42" customFormat="false" ht="15" hidden="false" customHeight="false" outlineLevel="0" collapsed="false">
      <c r="A42" s="1" t="s">
        <v>279</v>
      </c>
      <c r="B42" s="1" t="s">
        <v>279</v>
      </c>
      <c r="C42" s="1" t="s">
        <v>2832</v>
      </c>
      <c r="E42" s="1" t="s">
        <v>945</v>
      </c>
      <c r="F42" s="1" t="s">
        <v>168</v>
      </c>
      <c r="G42" s="1" t="s">
        <v>121</v>
      </c>
      <c r="I42" s="1" t="s">
        <v>513</v>
      </c>
      <c r="J42" s="1" t="s">
        <v>2833</v>
      </c>
      <c r="K42" s="1" t="s">
        <v>2814</v>
      </c>
      <c r="L42" s="1" t="s">
        <v>2785</v>
      </c>
    </row>
    <row r="43" customFormat="false" ht="15" hidden="false" customHeight="false" outlineLevel="0" collapsed="false">
      <c r="A43" s="1" t="s">
        <v>489</v>
      </c>
      <c r="B43" s="1" t="s">
        <v>279</v>
      </c>
      <c r="C43" s="1" t="s">
        <v>2832</v>
      </c>
      <c r="E43" s="1" t="s">
        <v>859</v>
      </c>
      <c r="F43" s="1" t="s">
        <v>2818</v>
      </c>
      <c r="G43" s="1" t="s">
        <v>2819</v>
      </c>
      <c r="I43" s="1" t="s">
        <v>998</v>
      </c>
      <c r="J43" s="1" t="s">
        <v>2833</v>
      </c>
      <c r="K43" s="1" t="s">
        <v>2814</v>
      </c>
      <c r="L43" s="1" t="s">
        <v>2785</v>
      </c>
    </row>
    <row r="44" customFormat="false" ht="15" hidden="false" customHeight="false" outlineLevel="0" collapsed="false">
      <c r="A44" s="1" t="s">
        <v>396</v>
      </c>
      <c r="B44" s="1" t="s">
        <v>279</v>
      </c>
      <c r="C44" s="1" t="s">
        <v>2832</v>
      </c>
      <c r="E44" s="1" t="s">
        <v>999</v>
      </c>
      <c r="F44" s="1" t="s">
        <v>2783</v>
      </c>
      <c r="G44" s="1" t="s">
        <v>107</v>
      </c>
      <c r="I44" s="1" t="s">
        <v>683</v>
      </c>
      <c r="J44" s="1" t="s">
        <v>2833</v>
      </c>
      <c r="K44" s="1" t="s">
        <v>2814</v>
      </c>
      <c r="L44" s="1" t="s">
        <v>2785</v>
      </c>
    </row>
    <row r="45" customFormat="false" ht="15" hidden="false" customHeight="false" outlineLevel="0" collapsed="false">
      <c r="A45" s="1" t="s">
        <v>865</v>
      </c>
      <c r="B45" s="1" t="s">
        <v>279</v>
      </c>
      <c r="C45" s="1" t="s">
        <v>2832</v>
      </c>
      <c r="E45" s="1" t="s">
        <v>1011</v>
      </c>
      <c r="F45" s="1" t="s">
        <v>2787</v>
      </c>
      <c r="G45" s="1" t="s">
        <v>107</v>
      </c>
      <c r="I45" s="1" t="s">
        <v>302</v>
      </c>
      <c r="J45" s="1" t="s">
        <v>302</v>
      </c>
      <c r="K45" s="1" t="s">
        <v>2834</v>
      </c>
      <c r="L45" s="1" t="s">
        <v>2802</v>
      </c>
    </row>
    <row r="46" customFormat="false" ht="15" hidden="false" customHeight="false" outlineLevel="0" collapsed="false">
      <c r="A46" s="1" t="s">
        <v>434</v>
      </c>
      <c r="B46" s="1" t="s">
        <v>279</v>
      </c>
      <c r="C46" s="1" t="s">
        <v>2832</v>
      </c>
      <c r="E46" s="1" t="s">
        <v>1015</v>
      </c>
      <c r="F46" s="1" t="s">
        <v>2789</v>
      </c>
      <c r="G46" s="1" t="s">
        <v>107</v>
      </c>
      <c r="I46" s="1" t="s">
        <v>736</v>
      </c>
      <c r="J46" s="1" t="s">
        <v>352</v>
      </c>
      <c r="K46" s="1" t="s">
        <v>2830</v>
      </c>
      <c r="L46" s="1" t="s">
        <v>2835</v>
      </c>
    </row>
    <row r="47" customFormat="false" ht="15" hidden="false" customHeight="false" outlineLevel="0" collapsed="false">
      <c r="A47" s="1" t="s">
        <v>273</v>
      </c>
      <c r="B47" s="1" t="s">
        <v>273</v>
      </c>
      <c r="C47" s="1" t="s">
        <v>2836</v>
      </c>
      <c r="E47" s="1" t="s">
        <v>1018</v>
      </c>
      <c r="F47" s="1" t="s">
        <v>2793</v>
      </c>
      <c r="G47" s="1" t="s">
        <v>107</v>
      </c>
      <c r="I47" s="1" t="s">
        <v>352</v>
      </c>
      <c r="J47" s="1" t="s">
        <v>352</v>
      </c>
      <c r="K47" s="1" t="s">
        <v>2830</v>
      </c>
      <c r="L47" s="1" t="s">
        <v>2835</v>
      </c>
    </row>
    <row r="48" customFormat="false" ht="15" hidden="false" customHeight="false" outlineLevel="0" collapsed="false">
      <c r="A48" s="1" t="s">
        <v>400</v>
      </c>
      <c r="B48" s="1" t="s">
        <v>273</v>
      </c>
      <c r="C48" s="1" t="s">
        <v>2836</v>
      </c>
      <c r="E48" s="1" t="s">
        <v>1022</v>
      </c>
      <c r="F48" s="1" t="s">
        <v>165</v>
      </c>
      <c r="G48" s="1" t="s">
        <v>111</v>
      </c>
      <c r="I48" s="1" t="s">
        <v>281</v>
      </c>
      <c r="J48" s="1" t="s">
        <v>281</v>
      </c>
      <c r="K48" s="1" t="s">
        <v>2830</v>
      </c>
      <c r="L48" s="1" t="s">
        <v>2802</v>
      </c>
    </row>
    <row r="49" customFormat="false" ht="15" hidden="false" customHeight="false" outlineLevel="0" collapsed="false">
      <c r="A49" s="1" t="s">
        <v>283</v>
      </c>
      <c r="B49" s="1" t="s">
        <v>273</v>
      </c>
      <c r="C49" s="1" t="s">
        <v>2836</v>
      </c>
      <c r="E49" s="1" t="s">
        <v>1041</v>
      </c>
      <c r="F49" s="1" t="s">
        <v>168</v>
      </c>
      <c r="G49" s="1" t="s">
        <v>121</v>
      </c>
      <c r="I49" s="1" t="s">
        <v>694</v>
      </c>
      <c r="J49" s="1" t="s">
        <v>281</v>
      </c>
      <c r="K49" s="1" t="s">
        <v>2830</v>
      </c>
      <c r="L49" s="1" t="s">
        <v>2802</v>
      </c>
    </row>
    <row r="50" customFormat="false" ht="15" hidden="false" customHeight="false" outlineLevel="0" collapsed="false">
      <c r="A50" s="1" t="s">
        <v>441</v>
      </c>
      <c r="B50" s="1" t="s">
        <v>273</v>
      </c>
      <c r="C50" s="1" t="s">
        <v>2836</v>
      </c>
      <c r="E50" s="1" t="s">
        <v>1054</v>
      </c>
      <c r="F50" s="1" t="s">
        <v>2807</v>
      </c>
      <c r="G50" s="1" t="s">
        <v>179</v>
      </c>
      <c r="I50" s="1" t="s">
        <v>886</v>
      </c>
      <c r="J50" s="1" t="s">
        <v>2837</v>
      </c>
      <c r="K50" s="1" t="s">
        <v>2791</v>
      </c>
      <c r="L50" s="1" t="s">
        <v>2785</v>
      </c>
    </row>
    <row r="51" customFormat="false" ht="15" hidden="false" customHeight="false" outlineLevel="0" collapsed="false">
      <c r="A51" s="1" t="s">
        <v>330</v>
      </c>
      <c r="B51" s="1" t="s">
        <v>273</v>
      </c>
      <c r="C51" s="1" t="s">
        <v>2836</v>
      </c>
      <c r="E51" s="1" t="s">
        <v>1006</v>
      </c>
      <c r="F51" s="1" t="s">
        <v>2808</v>
      </c>
      <c r="G51" s="1" t="s">
        <v>174</v>
      </c>
      <c r="I51" s="1" t="s">
        <v>729</v>
      </c>
      <c r="J51" s="1" t="s">
        <v>344</v>
      </c>
      <c r="K51" s="1" t="s">
        <v>2838</v>
      </c>
      <c r="L51" s="1" t="s">
        <v>2785</v>
      </c>
    </row>
    <row r="52" customFormat="false" ht="15" hidden="false" customHeight="false" outlineLevel="0" collapsed="false">
      <c r="A52" s="1" t="s">
        <v>339</v>
      </c>
      <c r="B52" s="1" t="s">
        <v>273</v>
      </c>
      <c r="C52" s="1" t="s">
        <v>2836</v>
      </c>
      <c r="E52" s="1" t="s">
        <v>996</v>
      </c>
      <c r="F52" s="1" t="s">
        <v>2804</v>
      </c>
      <c r="G52" s="1" t="s">
        <v>177</v>
      </c>
      <c r="I52" s="1" t="s">
        <v>519</v>
      </c>
      <c r="J52" s="1" t="s">
        <v>344</v>
      </c>
      <c r="K52" s="1" t="s">
        <v>2838</v>
      </c>
      <c r="L52" s="1" t="s">
        <v>2785</v>
      </c>
    </row>
    <row r="53" customFormat="false" ht="15" hidden="false" customHeight="false" outlineLevel="0" collapsed="false">
      <c r="A53" s="1" t="s">
        <v>415</v>
      </c>
      <c r="B53" s="1" t="s">
        <v>273</v>
      </c>
      <c r="C53" s="1" t="s">
        <v>2836</v>
      </c>
      <c r="E53" s="1" t="s">
        <v>1002</v>
      </c>
      <c r="F53" s="1" t="s">
        <v>2805</v>
      </c>
      <c r="G53" s="1" t="s">
        <v>173</v>
      </c>
      <c r="I53" s="1" t="s">
        <v>344</v>
      </c>
      <c r="J53" s="1" t="s">
        <v>344</v>
      </c>
      <c r="K53" s="1" t="s">
        <v>2838</v>
      </c>
      <c r="L53" s="1" t="s">
        <v>2785</v>
      </c>
    </row>
    <row r="54" customFormat="false" ht="15" hidden="false" customHeight="false" outlineLevel="0" collapsed="false">
      <c r="A54" s="1" t="s">
        <v>259</v>
      </c>
      <c r="B54" s="1" t="s">
        <v>259</v>
      </c>
      <c r="C54" s="1" t="s">
        <v>2836</v>
      </c>
      <c r="E54" s="1" t="s">
        <v>2839</v>
      </c>
      <c r="F54" s="1" t="s">
        <v>2783</v>
      </c>
      <c r="G54" s="1" t="s">
        <v>107</v>
      </c>
      <c r="I54" s="1" t="s">
        <v>856</v>
      </c>
      <c r="J54" s="1" t="s">
        <v>344</v>
      </c>
      <c r="K54" s="1" t="s">
        <v>2838</v>
      </c>
      <c r="L54" s="1" t="s">
        <v>2785</v>
      </c>
    </row>
    <row r="55" customFormat="false" ht="15" hidden="false" customHeight="false" outlineLevel="0" collapsed="false">
      <c r="A55" s="1" t="s">
        <v>410</v>
      </c>
      <c r="B55" s="1" t="s">
        <v>259</v>
      </c>
      <c r="C55" s="1" t="s">
        <v>2836</v>
      </c>
      <c r="E55" s="1" t="s">
        <v>409</v>
      </c>
      <c r="F55" s="1" t="s">
        <v>2783</v>
      </c>
      <c r="G55" s="1" t="s">
        <v>107</v>
      </c>
      <c r="I55" s="1" t="s">
        <v>656</v>
      </c>
      <c r="J55" s="1" t="s">
        <v>2840</v>
      </c>
      <c r="K55" s="1" t="s">
        <v>2834</v>
      </c>
      <c r="L55" s="1" t="s">
        <v>2785</v>
      </c>
    </row>
    <row r="56" customFormat="false" ht="15" hidden="false" customHeight="false" outlineLevel="0" collapsed="false">
      <c r="A56" s="1" t="s">
        <v>372</v>
      </c>
      <c r="B56" s="1" t="s">
        <v>259</v>
      </c>
      <c r="C56" s="1" t="s">
        <v>2836</v>
      </c>
      <c r="E56" s="1" t="s">
        <v>2841</v>
      </c>
      <c r="F56" s="1" t="s">
        <v>168</v>
      </c>
      <c r="G56" s="1" t="s">
        <v>121</v>
      </c>
      <c r="I56" s="1" t="s">
        <v>1122</v>
      </c>
      <c r="J56" s="1" t="s">
        <v>2840</v>
      </c>
      <c r="K56" s="1" t="s">
        <v>2834</v>
      </c>
      <c r="L56" s="1" t="s">
        <v>2785</v>
      </c>
    </row>
    <row r="57" customFormat="false" ht="15" hidden="false" customHeight="false" outlineLevel="0" collapsed="false">
      <c r="A57" s="1" t="s">
        <v>411</v>
      </c>
      <c r="B57" s="1" t="s">
        <v>259</v>
      </c>
      <c r="C57" s="1" t="s">
        <v>2836</v>
      </c>
      <c r="E57" s="1" t="s">
        <v>2842</v>
      </c>
      <c r="F57" s="1" t="s">
        <v>168</v>
      </c>
      <c r="G57" s="1" t="s">
        <v>121</v>
      </c>
      <c r="I57" s="1" t="s">
        <v>318</v>
      </c>
      <c r="J57" s="1" t="s">
        <v>318</v>
      </c>
      <c r="K57" s="1" t="s">
        <v>2830</v>
      </c>
      <c r="L57" s="1" t="s">
        <v>2835</v>
      </c>
    </row>
    <row r="58" customFormat="false" ht="15" hidden="false" customHeight="false" outlineLevel="0" collapsed="false">
      <c r="A58" s="1" t="s">
        <v>507</v>
      </c>
      <c r="B58" s="1" t="s">
        <v>259</v>
      </c>
      <c r="C58" s="1" t="s">
        <v>2836</v>
      </c>
      <c r="E58" s="1" t="s">
        <v>2843</v>
      </c>
      <c r="F58" s="1" t="s">
        <v>165</v>
      </c>
      <c r="G58" s="1" t="s">
        <v>111</v>
      </c>
      <c r="I58" s="1" t="s">
        <v>540</v>
      </c>
      <c r="J58" s="1" t="s">
        <v>318</v>
      </c>
      <c r="K58" s="1" t="s">
        <v>2830</v>
      </c>
      <c r="L58" s="1" t="s">
        <v>2835</v>
      </c>
    </row>
    <row r="59" customFormat="false" ht="15" hidden="false" customHeight="false" outlineLevel="0" collapsed="false">
      <c r="A59" s="1" t="s">
        <v>268</v>
      </c>
      <c r="B59" s="1" t="s">
        <v>259</v>
      </c>
      <c r="C59" s="1" t="s">
        <v>2836</v>
      </c>
      <c r="E59" s="1" t="s">
        <v>2844</v>
      </c>
      <c r="F59" s="1" t="s">
        <v>165</v>
      </c>
      <c r="G59" s="1" t="s">
        <v>111</v>
      </c>
      <c r="I59" s="1" t="s">
        <v>1040</v>
      </c>
      <c r="J59" s="1" t="s">
        <v>318</v>
      </c>
      <c r="K59" s="1" t="s">
        <v>2830</v>
      </c>
      <c r="L59" s="1" t="s">
        <v>2835</v>
      </c>
    </row>
    <row r="60" customFormat="false" ht="15" hidden="false" customHeight="false" outlineLevel="0" collapsed="false">
      <c r="A60" s="1" t="s">
        <v>270</v>
      </c>
      <c r="B60" s="1" t="s">
        <v>270</v>
      </c>
      <c r="C60" s="1" t="s">
        <v>2836</v>
      </c>
      <c r="E60" s="1" t="s">
        <v>2845</v>
      </c>
      <c r="F60" s="1" t="s">
        <v>2793</v>
      </c>
      <c r="G60" s="1" t="s">
        <v>107</v>
      </c>
      <c r="I60" s="1" t="s">
        <v>703</v>
      </c>
      <c r="J60" s="1" t="s">
        <v>296</v>
      </c>
      <c r="K60" s="1" t="s">
        <v>2830</v>
      </c>
      <c r="L60" s="1" t="s">
        <v>2802</v>
      </c>
    </row>
    <row r="61" customFormat="false" ht="15" hidden="false" customHeight="false" outlineLevel="0" collapsed="false">
      <c r="A61" s="1" t="s">
        <v>464</v>
      </c>
      <c r="B61" s="1" t="s">
        <v>270</v>
      </c>
      <c r="C61" s="1" t="s">
        <v>2836</v>
      </c>
      <c r="E61" s="1" t="s">
        <v>2846</v>
      </c>
      <c r="F61" s="1" t="s">
        <v>2804</v>
      </c>
      <c r="G61" s="1" t="s">
        <v>177</v>
      </c>
      <c r="I61" s="1" t="s">
        <v>296</v>
      </c>
      <c r="J61" s="1" t="s">
        <v>296</v>
      </c>
      <c r="K61" s="1" t="s">
        <v>2830</v>
      </c>
      <c r="L61" s="1" t="s">
        <v>2802</v>
      </c>
    </row>
    <row r="62" customFormat="false" ht="15" hidden="false" customHeight="false" outlineLevel="0" collapsed="false">
      <c r="A62" s="1" t="s">
        <v>593</v>
      </c>
      <c r="B62" s="1" t="s">
        <v>270</v>
      </c>
      <c r="C62" s="1" t="s">
        <v>2836</v>
      </c>
      <c r="E62" s="1" t="s">
        <v>2847</v>
      </c>
      <c r="F62" s="1" t="s">
        <v>2807</v>
      </c>
      <c r="G62" s="1" t="s">
        <v>179</v>
      </c>
      <c r="I62" s="1" t="s">
        <v>697</v>
      </c>
      <c r="J62" s="1" t="s">
        <v>288</v>
      </c>
      <c r="K62" s="1" t="s">
        <v>2830</v>
      </c>
      <c r="L62" s="1" t="s">
        <v>2802</v>
      </c>
    </row>
    <row r="63" customFormat="false" ht="15" hidden="false" customHeight="false" outlineLevel="0" collapsed="false">
      <c r="A63" s="1" t="s">
        <v>467</v>
      </c>
      <c r="B63" s="1" t="s">
        <v>270</v>
      </c>
      <c r="C63" s="1" t="s">
        <v>2836</v>
      </c>
      <c r="E63" s="1" t="s">
        <v>2848</v>
      </c>
      <c r="F63" s="1" t="s">
        <v>2798</v>
      </c>
      <c r="G63" s="1" t="s">
        <v>171</v>
      </c>
      <c r="I63" s="1" t="s">
        <v>1014</v>
      </c>
      <c r="J63" s="1" t="s">
        <v>288</v>
      </c>
      <c r="K63" s="1" t="s">
        <v>2830</v>
      </c>
      <c r="L63" s="1" t="s">
        <v>2802</v>
      </c>
    </row>
    <row r="64" customFormat="false" ht="15" hidden="false" customHeight="false" outlineLevel="0" collapsed="false">
      <c r="A64" s="1" t="s">
        <v>607</v>
      </c>
      <c r="B64" s="1" t="s">
        <v>270</v>
      </c>
      <c r="C64" s="1" t="s">
        <v>2836</v>
      </c>
      <c r="E64" s="1" t="s">
        <v>2793</v>
      </c>
      <c r="F64" s="1" t="s">
        <v>2793</v>
      </c>
      <c r="G64" s="1" t="s">
        <v>107</v>
      </c>
      <c r="I64" s="1" t="s">
        <v>288</v>
      </c>
      <c r="J64" s="1" t="s">
        <v>288</v>
      </c>
      <c r="K64" s="1" t="s">
        <v>2830</v>
      </c>
      <c r="L64" s="1" t="s">
        <v>2802</v>
      </c>
    </row>
    <row r="65" customFormat="false" ht="15" hidden="false" customHeight="false" outlineLevel="0" collapsed="false">
      <c r="A65" s="1" t="s">
        <v>369</v>
      </c>
      <c r="B65" s="1" t="s">
        <v>270</v>
      </c>
      <c r="C65" s="1" t="s">
        <v>2836</v>
      </c>
      <c r="E65" s="1" t="s">
        <v>168</v>
      </c>
      <c r="F65" s="1" t="s">
        <v>168</v>
      </c>
      <c r="G65" s="1" t="s">
        <v>121</v>
      </c>
      <c r="I65" s="1" t="s">
        <v>538</v>
      </c>
      <c r="J65" s="1" t="s">
        <v>249</v>
      </c>
      <c r="K65" s="1" t="s">
        <v>2838</v>
      </c>
      <c r="L65" s="1" t="s">
        <v>2785</v>
      </c>
    </row>
    <row r="66" customFormat="false" ht="15" hidden="false" customHeight="false" outlineLevel="0" collapsed="false">
      <c r="A66" s="1" t="s">
        <v>391</v>
      </c>
      <c r="B66" s="1" t="s">
        <v>270</v>
      </c>
      <c r="C66" s="1" t="s">
        <v>2836</v>
      </c>
      <c r="E66" s="1" t="s">
        <v>2798</v>
      </c>
      <c r="F66" s="1" t="s">
        <v>2798</v>
      </c>
      <c r="G66" s="1" t="s">
        <v>171</v>
      </c>
      <c r="I66" s="1" t="s">
        <v>689</v>
      </c>
      <c r="J66" s="1" t="s">
        <v>249</v>
      </c>
      <c r="K66" s="1" t="s">
        <v>2838</v>
      </c>
      <c r="L66" s="1" t="s">
        <v>2785</v>
      </c>
    </row>
    <row r="67" customFormat="false" ht="15" hidden="false" customHeight="false" outlineLevel="0" collapsed="false">
      <c r="A67" s="1" t="s">
        <v>581</v>
      </c>
      <c r="B67" s="1" t="s">
        <v>270</v>
      </c>
      <c r="C67" s="1" t="s">
        <v>2836</v>
      </c>
      <c r="E67" s="1" t="s">
        <v>2800</v>
      </c>
      <c r="F67" s="1" t="s">
        <v>2800</v>
      </c>
      <c r="G67" s="1" t="s">
        <v>172</v>
      </c>
      <c r="I67" s="1" t="s">
        <v>249</v>
      </c>
      <c r="J67" s="1" t="s">
        <v>249</v>
      </c>
      <c r="K67" s="1" t="s">
        <v>2838</v>
      </c>
      <c r="L67" s="1" t="s">
        <v>2785</v>
      </c>
    </row>
    <row r="68" customFormat="false" ht="15" hidden="false" customHeight="false" outlineLevel="0" collapsed="false">
      <c r="A68" s="1" t="s">
        <v>474</v>
      </c>
      <c r="B68" s="1" t="s">
        <v>270</v>
      </c>
      <c r="C68" s="1" t="s">
        <v>2836</v>
      </c>
      <c r="E68" s="1" t="s">
        <v>2805</v>
      </c>
      <c r="F68" s="1" t="s">
        <v>2805</v>
      </c>
      <c r="G68" s="1" t="s">
        <v>173</v>
      </c>
      <c r="I68" s="1" t="s">
        <v>277</v>
      </c>
      <c r="J68" s="1" t="s">
        <v>277</v>
      </c>
      <c r="K68" s="1" t="s">
        <v>2830</v>
      </c>
      <c r="L68" s="1" t="s">
        <v>2802</v>
      </c>
    </row>
    <row r="69" customFormat="false" ht="15" hidden="false" customHeight="false" outlineLevel="0" collapsed="false">
      <c r="A69" s="1" t="s">
        <v>343</v>
      </c>
      <c r="B69" s="1" t="s">
        <v>270</v>
      </c>
      <c r="C69" s="1" t="s">
        <v>2836</v>
      </c>
      <c r="E69" s="1" t="s">
        <v>2808</v>
      </c>
      <c r="F69" s="1" t="s">
        <v>2808</v>
      </c>
      <c r="G69" s="1" t="s">
        <v>174</v>
      </c>
      <c r="I69" s="1" t="s">
        <v>515</v>
      </c>
      <c r="J69" s="1" t="s">
        <v>277</v>
      </c>
      <c r="K69" s="1" t="s">
        <v>2830</v>
      </c>
      <c r="L69" s="1" t="s">
        <v>2802</v>
      </c>
    </row>
    <row r="70" customFormat="false" ht="15" hidden="false" customHeight="false" outlineLevel="0" collapsed="false">
      <c r="A70" s="1" t="s">
        <v>485</v>
      </c>
      <c r="B70" s="1" t="s">
        <v>270</v>
      </c>
      <c r="C70" s="1" t="s">
        <v>2836</v>
      </c>
      <c r="E70" s="1" t="s">
        <v>2811</v>
      </c>
      <c r="F70" s="1" t="s">
        <v>2811</v>
      </c>
      <c r="G70" s="1" t="s">
        <v>175</v>
      </c>
      <c r="I70" s="1" t="s">
        <v>864</v>
      </c>
      <c r="J70" s="1" t="s">
        <v>277</v>
      </c>
      <c r="K70" s="1" t="s">
        <v>2830</v>
      </c>
      <c r="L70" s="1" t="s">
        <v>2802</v>
      </c>
    </row>
    <row r="71" customFormat="false" ht="15" hidden="false" customHeight="false" outlineLevel="0" collapsed="false">
      <c r="A71" s="1" t="s">
        <v>356</v>
      </c>
      <c r="B71" s="1" t="s">
        <v>356</v>
      </c>
      <c r="C71" s="1" t="s">
        <v>2836</v>
      </c>
      <c r="E71" s="1" t="s">
        <v>2804</v>
      </c>
      <c r="F71" s="1" t="s">
        <v>2804</v>
      </c>
      <c r="G71" s="1" t="s">
        <v>177</v>
      </c>
      <c r="I71" s="1" t="s">
        <v>740</v>
      </c>
      <c r="J71" s="1" t="s">
        <v>271</v>
      </c>
      <c r="K71" s="1" t="s">
        <v>2838</v>
      </c>
      <c r="L71" s="1" t="s">
        <v>2785</v>
      </c>
    </row>
    <row r="72" customFormat="false" ht="15" hidden="false" customHeight="false" outlineLevel="0" collapsed="false">
      <c r="A72" s="1" t="s">
        <v>561</v>
      </c>
      <c r="B72" s="1" t="s">
        <v>356</v>
      </c>
      <c r="C72" s="1" t="s">
        <v>2836</v>
      </c>
      <c r="E72" s="1" t="s">
        <v>2815</v>
      </c>
      <c r="F72" s="1" t="s">
        <v>2815</v>
      </c>
      <c r="G72" s="1" t="s">
        <v>178</v>
      </c>
      <c r="I72" s="1" t="s">
        <v>271</v>
      </c>
      <c r="J72" s="1" t="s">
        <v>271</v>
      </c>
      <c r="K72" s="1" t="s">
        <v>2838</v>
      </c>
      <c r="L72" s="1" t="s">
        <v>2785</v>
      </c>
    </row>
    <row r="73" customFormat="false" ht="15" hidden="false" customHeight="false" outlineLevel="0" collapsed="false">
      <c r="A73" s="1" t="s">
        <v>571</v>
      </c>
      <c r="B73" s="1" t="s">
        <v>356</v>
      </c>
      <c r="C73" s="1" t="s">
        <v>2836</v>
      </c>
      <c r="E73" s="1" t="s">
        <v>2807</v>
      </c>
      <c r="F73" s="1" t="s">
        <v>2807</v>
      </c>
      <c r="G73" s="1" t="s">
        <v>179</v>
      </c>
      <c r="I73" s="1" t="s">
        <v>891</v>
      </c>
      <c r="J73" s="1" t="s">
        <v>271</v>
      </c>
      <c r="K73" s="1" t="s">
        <v>2838</v>
      </c>
      <c r="L73" s="1" t="s">
        <v>2785</v>
      </c>
    </row>
    <row r="74" customFormat="false" ht="15" hidden="false" customHeight="false" outlineLevel="0" collapsed="false">
      <c r="A74" s="1" t="s">
        <v>532</v>
      </c>
      <c r="B74" s="1" t="s">
        <v>356</v>
      </c>
      <c r="C74" s="1" t="s">
        <v>2836</v>
      </c>
      <c r="E74" s="1" t="s">
        <v>2818</v>
      </c>
      <c r="F74" s="1" t="s">
        <v>2818</v>
      </c>
      <c r="G74" s="1" t="s">
        <v>2819</v>
      </c>
      <c r="I74" s="1" t="s">
        <v>535</v>
      </c>
      <c r="J74" s="1" t="s">
        <v>2849</v>
      </c>
      <c r="K74" s="1" t="s">
        <v>2801</v>
      </c>
      <c r="L74" s="1" t="s">
        <v>2785</v>
      </c>
    </row>
    <row r="75" customFormat="false" ht="15" hidden="false" customHeight="false" outlineLevel="0" collapsed="false">
      <c r="A75" s="1" t="s">
        <v>456</v>
      </c>
      <c r="B75" s="1" t="s">
        <v>356</v>
      </c>
      <c r="C75" s="1" t="s">
        <v>2836</v>
      </c>
      <c r="I75" s="1" t="s">
        <v>1021</v>
      </c>
      <c r="J75" s="1" t="s">
        <v>298</v>
      </c>
      <c r="K75" s="1" t="s">
        <v>2834</v>
      </c>
      <c r="L75" s="1" t="s">
        <v>2802</v>
      </c>
    </row>
    <row r="76" customFormat="false" ht="15" hidden="false" customHeight="false" outlineLevel="0" collapsed="false">
      <c r="A76" s="1" t="s">
        <v>349</v>
      </c>
      <c r="B76" s="1" t="s">
        <v>349</v>
      </c>
      <c r="C76" s="1" t="s">
        <v>2838</v>
      </c>
      <c r="I76" s="1" t="s">
        <v>527</v>
      </c>
      <c r="J76" s="1" t="s">
        <v>298</v>
      </c>
      <c r="K76" s="1" t="s">
        <v>2834</v>
      </c>
      <c r="L76" s="1" t="s">
        <v>2802</v>
      </c>
    </row>
    <row r="77" customFormat="false" ht="15" hidden="false" customHeight="false" outlineLevel="0" collapsed="false">
      <c r="A77" s="1" t="s">
        <v>252</v>
      </c>
      <c r="B77" s="1" t="s">
        <v>349</v>
      </c>
      <c r="C77" s="1" t="s">
        <v>2838</v>
      </c>
      <c r="I77" s="1" t="s">
        <v>298</v>
      </c>
      <c r="J77" s="1" t="s">
        <v>298</v>
      </c>
      <c r="K77" s="1" t="s">
        <v>2834</v>
      </c>
      <c r="L77" s="1" t="s">
        <v>2802</v>
      </c>
    </row>
    <row r="78" customFormat="false" ht="15" hidden="false" customHeight="false" outlineLevel="0" collapsed="false">
      <c r="A78" s="1" t="s">
        <v>347</v>
      </c>
      <c r="B78" s="1" t="s">
        <v>349</v>
      </c>
      <c r="C78" s="1" t="s">
        <v>2838</v>
      </c>
      <c r="I78" s="1" t="s">
        <v>704</v>
      </c>
      <c r="J78" s="1" t="s">
        <v>298</v>
      </c>
      <c r="K78" s="1" t="s">
        <v>2834</v>
      </c>
      <c r="L78" s="1" t="s">
        <v>2802</v>
      </c>
    </row>
    <row r="79" customFormat="false" ht="15" hidden="false" customHeight="false" outlineLevel="0" collapsed="false">
      <c r="A79" s="1" t="s">
        <v>392</v>
      </c>
      <c r="B79" s="1" t="s">
        <v>349</v>
      </c>
      <c r="C79" s="1" t="s">
        <v>2838</v>
      </c>
      <c r="I79" s="1" t="s">
        <v>872</v>
      </c>
      <c r="J79" s="1" t="s">
        <v>298</v>
      </c>
      <c r="K79" s="1" t="s">
        <v>2834</v>
      </c>
      <c r="L79" s="1" t="s">
        <v>2802</v>
      </c>
    </row>
    <row r="80" customFormat="false" ht="15" hidden="false" customHeight="false" outlineLevel="0" collapsed="false">
      <c r="A80" s="1" t="s">
        <v>323</v>
      </c>
      <c r="B80" s="1" t="s">
        <v>349</v>
      </c>
      <c r="C80" s="1" t="s">
        <v>2838</v>
      </c>
      <c r="I80" s="1" t="s">
        <v>531</v>
      </c>
      <c r="J80" s="1" t="s">
        <v>2850</v>
      </c>
      <c r="K80" s="1" t="s">
        <v>2834</v>
      </c>
      <c r="L80" s="1" t="s">
        <v>2802</v>
      </c>
    </row>
    <row r="81" customFormat="false" ht="15" hidden="false" customHeight="false" outlineLevel="0" collapsed="false">
      <c r="A81" s="1" t="s">
        <v>342</v>
      </c>
      <c r="B81" s="1" t="s">
        <v>349</v>
      </c>
      <c r="C81" s="1" t="s">
        <v>2838</v>
      </c>
      <c r="I81" s="1" t="s">
        <v>306</v>
      </c>
      <c r="J81" s="1" t="s">
        <v>306</v>
      </c>
      <c r="K81" s="1" t="s">
        <v>2834</v>
      </c>
      <c r="L81" s="1" t="s">
        <v>2802</v>
      </c>
    </row>
    <row r="82" customFormat="false" ht="15" hidden="false" customHeight="false" outlineLevel="0" collapsed="false">
      <c r="A82" s="1" t="s">
        <v>345</v>
      </c>
      <c r="B82" s="1" t="s">
        <v>345</v>
      </c>
      <c r="C82" s="1" t="s">
        <v>2838</v>
      </c>
      <c r="I82" s="1" t="s">
        <v>707</v>
      </c>
      <c r="J82" s="1" t="s">
        <v>306</v>
      </c>
      <c r="K82" s="1" t="s">
        <v>2834</v>
      </c>
      <c r="L82" s="1" t="s">
        <v>2802</v>
      </c>
    </row>
    <row r="83" customFormat="false" ht="15" hidden="false" customHeight="false" outlineLevel="0" collapsed="false">
      <c r="A83" s="1" t="s">
        <v>453</v>
      </c>
      <c r="B83" s="1" t="s">
        <v>345</v>
      </c>
      <c r="C83" s="1" t="s">
        <v>2838</v>
      </c>
      <c r="I83" s="1" t="s">
        <v>524</v>
      </c>
      <c r="J83" s="1" t="s">
        <v>2851</v>
      </c>
      <c r="K83" s="1" t="s">
        <v>2784</v>
      </c>
      <c r="L83" s="1" t="s">
        <v>2802</v>
      </c>
    </row>
    <row r="84" customFormat="false" ht="15" hidden="false" customHeight="false" outlineLevel="0" collapsed="false">
      <c r="A84" s="1" t="s">
        <v>346</v>
      </c>
      <c r="B84" s="1" t="s">
        <v>345</v>
      </c>
      <c r="C84" s="1" t="s">
        <v>2838</v>
      </c>
      <c r="I84" s="1" t="s">
        <v>868</v>
      </c>
      <c r="J84" s="1" t="s">
        <v>2851</v>
      </c>
      <c r="K84" s="1" t="s">
        <v>2784</v>
      </c>
      <c r="L84" s="1" t="s">
        <v>2802</v>
      </c>
    </row>
    <row r="85" customFormat="false" ht="15" hidden="false" customHeight="false" outlineLevel="0" collapsed="false">
      <c r="A85" s="1" t="s">
        <v>348</v>
      </c>
      <c r="B85" s="1" t="s">
        <v>345</v>
      </c>
      <c r="C85" s="1" t="s">
        <v>2838</v>
      </c>
      <c r="I85" s="1" t="s">
        <v>1069</v>
      </c>
      <c r="J85" s="1" t="s">
        <v>2852</v>
      </c>
      <c r="K85" s="1" t="s">
        <v>2784</v>
      </c>
      <c r="L85" s="1" t="s">
        <v>2835</v>
      </c>
    </row>
    <row r="86" customFormat="false" ht="15" hidden="false" customHeight="false" outlineLevel="0" collapsed="false">
      <c r="A86" s="1" t="s">
        <v>394</v>
      </c>
      <c r="B86" s="1" t="s">
        <v>345</v>
      </c>
      <c r="C86" s="1" t="s">
        <v>2838</v>
      </c>
      <c r="I86" s="1" t="s">
        <v>585</v>
      </c>
      <c r="J86" s="1" t="s">
        <v>2852</v>
      </c>
      <c r="K86" s="1" t="s">
        <v>2784</v>
      </c>
      <c r="L86" s="1" t="s">
        <v>2835</v>
      </c>
    </row>
    <row r="87" customFormat="false" ht="15" hidden="false" customHeight="false" outlineLevel="0" collapsed="false">
      <c r="A87" s="1" t="s">
        <v>286</v>
      </c>
      <c r="B87" s="1" t="s">
        <v>286</v>
      </c>
      <c r="C87" s="1" t="s">
        <v>2853</v>
      </c>
      <c r="I87" s="1" t="s">
        <v>944</v>
      </c>
      <c r="J87" s="1" t="s">
        <v>2852</v>
      </c>
      <c r="K87" s="1" t="s">
        <v>2784</v>
      </c>
      <c r="L87" s="1" t="s">
        <v>2835</v>
      </c>
    </row>
    <row r="88" customFormat="false" ht="15" hidden="false" customHeight="false" outlineLevel="0" collapsed="false">
      <c r="A88" s="1" t="s">
        <v>381</v>
      </c>
      <c r="B88" s="1" t="s">
        <v>286</v>
      </c>
      <c r="C88" s="1" t="s">
        <v>2853</v>
      </c>
      <c r="I88" s="1" t="s">
        <v>680</v>
      </c>
      <c r="J88" s="1" t="s">
        <v>311</v>
      </c>
      <c r="K88" s="1" t="s">
        <v>2801</v>
      </c>
      <c r="L88" s="1" t="s">
        <v>2785</v>
      </c>
    </row>
    <row r="89" customFormat="false" ht="15" hidden="false" customHeight="false" outlineLevel="0" collapsed="false">
      <c r="A89" s="1" t="s">
        <v>478</v>
      </c>
      <c r="B89" s="1" t="s">
        <v>286</v>
      </c>
      <c r="C89" s="1" t="s">
        <v>2853</v>
      </c>
      <c r="I89" s="1" t="s">
        <v>995</v>
      </c>
      <c r="J89" s="1" t="s">
        <v>311</v>
      </c>
      <c r="K89" s="1" t="s">
        <v>2801</v>
      </c>
      <c r="L89" s="1" t="s">
        <v>2785</v>
      </c>
    </row>
    <row r="90" customFormat="false" ht="15" hidden="false" customHeight="false" outlineLevel="0" collapsed="false">
      <c r="A90" s="1" t="s">
        <v>278</v>
      </c>
      <c r="B90" s="1" t="s">
        <v>286</v>
      </c>
      <c r="C90" s="1" t="s">
        <v>2853</v>
      </c>
      <c r="I90" s="1" t="s">
        <v>311</v>
      </c>
      <c r="J90" s="1" t="s">
        <v>311</v>
      </c>
      <c r="K90" s="1" t="s">
        <v>2801</v>
      </c>
      <c r="L90" s="1" t="s">
        <v>2785</v>
      </c>
    </row>
    <row r="91" customFormat="false" ht="15" hidden="false" customHeight="false" outlineLevel="0" collapsed="false">
      <c r="A91" s="1" t="s">
        <v>360</v>
      </c>
      <c r="B91" s="1" t="s">
        <v>286</v>
      </c>
      <c r="C91" s="1" t="s">
        <v>2853</v>
      </c>
      <c r="I91" s="1" t="s">
        <v>551</v>
      </c>
      <c r="J91" s="1" t="s">
        <v>311</v>
      </c>
      <c r="K91" s="1" t="s">
        <v>2801</v>
      </c>
      <c r="L91" s="1" t="s">
        <v>2785</v>
      </c>
    </row>
    <row r="92" customFormat="false" ht="15" hidden="false" customHeight="false" outlineLevel="0" collapsed="false">
      <c r="A92" s="1" t="s">
        <v>395</v>
      </c>
      <c r="B92" s="1" t="s">
        <v>286</v>
      </c>
      <c r="C92" s="1" t="s">
        <v>2853</v>
      </c>
      <c r="I92" s="1" t="s">
        <v>875</v>
      </c>
      <c r="J92" s="1" t="s">
        <v>2854</v>
      </c>
      <c r="K92" s="1" t="s">
        <v>2791</v>
      </c>
      <c r="L92" s="1" t="s">
        <v>2802</v>
      </c>
    </row>
    <row r="93" customFormat="false" ht="15" hidden="false" customHeight="false" outlineLevel="0" collapsed="false">
      <c r="A93" s="1" t="s">
        <v>328</v>
      </c>
      <c r="B93" s="1" t="s">
        <v>286</v>
      </c>
      <c r="C93" s="1" t="s">
        <v>2853</v>
      </c>
      <c r="I93" s="1" t="s">
        <v>782</v>
      </c>
      <c r="J93" s="1" t="s">
        <v>350</v>
      </c>
      <c r="K93" s="1" t="s">
        <v>2791</v>
      </c>
      <c r="L93" s="1" t="s">
        <v>2835</v>
      </c>
    </row>
    <row r="94" customFormat="false" ht="15" hidden="false" customHeight="false" outlineLevel="0" collapsed="false">
      <c r="A94" s="1" t="s">
        <v>324</v>
      </c>
      <c r="B94" s="1" t="s">
        <v>286</v>
      </c>
      <c r="C94" s="1" t="s">
        <v>2853</v>
      </c>
      <c r="I94" s="1" t="s">
        <v>350</v>
      </c>
      <c r="J94" s="1" t="s">
        <v>350</v>
      </c>
      <c r="K94" s="1" t="s">
        <v>2791</v>
      </c>
      <c r="L94" s="1" t="s">
        <v>2835</v>
      </c>
    </row>
    <row r="95" customFormat="false" ht="15" hidden="false" customHeight="false" outlineLevel="0" collapsed="false">
      <c r="A95" s="1" t="s">
        <v>383</v>
      </c>
      <c r="B95" s="1" t="s">
        <v>383</v>
      </c>
      <c r="C95" s="1" t="s">
        <v>2853</v>
      </c>
      <c r="I95" s="1" t="s">
        <v>427</v>
      </c>
      <c r="J95" s="1" t="s">
        <v>427</v>
      </c>
      <c r="K95" s="1" t="s">
        <v>2830</v>
      </c>
      <c r="L95" s="1" t="s">
        <v>2785</v>
      </c>
    </row>
    <row r="96" customFormat="false" ht="15" hidden="false" customHeight="false" outlineLevel="0" collapsed="false">
      <c r="A96" s="1" t="s">
        <v>329</v>
      </c>
      <c r="B96" s="1" t="s">
        <v>383</v>
      </c>
      <c r="C96" s="1" t="s">
        <v>2853</v>
      </c>
      <c r="I96" s="1" t="s">
        <v>711</v>
      </c>
      <c r="J96" s="1" t="s">
        <v>2855</v>
      </c>
      <c r="K96" s="1" t="s">
        <v>2814</v>
      </c>
      <c r="L96" s="1" t="s">
        <v>2785</v>
      </c>
    </row>
    <row r="97" customFormat="false" ht="15" hidden="false" customHeight="false" outlineLevel="0" collapsed="false">
      <c r="A97" s="1" t="s">
        <v>459</v>
      </c>
      <c r="B97" s="1" t="s">
        <v>383</v>
      </c>
      <c r="C97" s="1" t="s">
        <v>2853</v>
      </c>
      <c r="I97" s="1" t="s">
        <v>1008</v>
      </c>
      <c r="J97" s="1" t="s">
        <v>269</v>
      </c>
      <c r="K97" s="1" t="s">
        <v>2814</v>
      </c>
      <c r="L97" s="1" t="s">
        <v>2785</v>
      </c>
    </row>
    <row r="98" customFormat="false" ht="15" hidden="false" customHeight="false" outlineLevel="0" collapsed="false">
      <c r="A98" s="1" t="s">
        <v>627</v>
      </c>
      <c r="B98" s="1" t="s">
        <v>383</v>
      </c>
      <c r="C98" s="1" t="s">
        <v>2853</v>
      </c>
      <c r="I98" s="1" t="s">
        <v>269</v>
      </c>
      <c r="J98" s="1" t="s">
        <v>269</v>
      </c>
      <c r="K98" s="1" t="s">
        <v>2814</v>
      </c>
      <c r="L98" s="1" t="s">
        <v>2785</v>
      </c>
    </row>
    <row r="99" customFormat="false" ht="15" hidden="false" customHeight="false" outlineLevel="0" collapsed="false">
      <c r="A99" s="1" t="s">
        <v>448</v>
      </c>
      <c r="B99" s="1" t="s">
        <v>383</v>
      </c>
      <c r="C99" s="1" t="s">
        <v>2853</v>
      </c>
      <c r="I99" s="1" t="s">
        <v>253</v>
      </c>
      <c r="J99" s="1" t="s">
        <v>253</v>
      </c>
      <c r="K99" s="1" t="s">
        <v>2834</v>
      </c>
      <c r="L99" s="1" t="s">
        <v>2785</v>
      </c>
    </row>
    <row r="100" customFormat="false" ht="15" hidden="false" customHeight="false" outlineLevel="0" collapsed="false">
      <c r="A100" s="1" t="s">
        <v>289</v>
      </c>
      <c r="B100" s="1" t="s">
        <v>383</v>
      </c>
      <c r="C100" s="1" t="s">
        <v>2853</v>
      </c>
      <c r="I100" s="1" t="s">
        <v>1053</v>
      </c>
      <c r="J100" s="1" t="s">
        <v>253</v>
      </c>
      <c r="K100" s="1" t="s">
        <v>2834</v>
      </c>
      <c r="L100" s="1" t="s">
        <v>2785</v>
      </c>
    </row>
    <row r="101" customFormat="false" ht="15" hidden="false" customHeight="false" outlineLevel="0" collapsed="false">
      <c r="A101" s="1" t="s">
        <v>276</v>
      </c>
      <c r="B101" s="1" t="s">
        <v>276</v>
      </c>
      <c r="C101" s="1" t="s">
        <v>2853</v>
      </c>
      <c r="I101" s="1" t="s">
        <v>862</v>
      </c>
      <c r="J101" s="1" t="s">
        <v>253</v>
      </c>
      <c r="K101" s="1" t="s">
        <v>2834</v>
      </c>
      <c r="L101" s="1" t="s">
        <v>2785</v>
      </c>
    </row>
    <row r="102" customFormat="false" ht="15" hidden="false" customHeight="false" outlineLevel="0" collapsed="false">
      <c r="A102" s="1" t="s">
        <v>409</v>
      </c>
      <c r="B102" s="1" t="s">
        <v>276</v>
      </c>
      <c r="C102" s="1" t="s">
        <v>2853</v>
      </c>
    </row>
    <row r="103" customFormat="false" ht="15" hidden="false" customHeight="false" outlineLevel="0" collapsed="false">
      <c r="A103" s="1" t="s">
        <v>315</v>
      </c>
      <c r="B103" s="1" t="s">
        <v>276</v>
      </c>
      <c r="C103" s="1" t="s">
        <v>2853</v>
      </c>
    </row>
    <row r="104" customFormat="false" ht="15" hidden="false" customHeight="false" outlineLevel="0" collapsed="false">
      <c r="A104" s="1" t="s">
        <v>272</v>
      </c>
      <c r="B104" s="1" t="s">
        <v>276</v>
      </c>
      <c r="C104" s="1" t="s">
        <v>2853</v>
      </c>
    </row>
    <row r="105" customFormat="false" ht="15" hidden="false" customHeight="false" outlineLevel="0" collapsed="false">
      <c r="A105" s="1" t="s">
        <v>267</v>
      </c>
      <c r="B105" s="1" t="s">
        <v>276</v>
      </c>
      <c r="C105" s="1" t="s">
        <v>2853</v>
      </c>
    </row>
    <row r="106" customFormat="false" ht="15" hidden="false" customHeight="false" outlineLevel="0" collapsed="false">
      <c r="A106" s="1" t="s">
        <v>263</v>
      </c>
      <c r="B106" s="1" t="s">
        <v>276</v>
      </c>
      <c r="C106" s="1" t="s">
        <v>2853</v>
      </c>
    </row>
    <row r="107" customFormat="false" ht="15" hidden="false" customHeight="false" outlineLevel="0" collapsed="false">
      <c r="A107" s="1" t="s">
        <v>251</v>
      </c>
      <c r="B107" s="1" t="s">
        <v>276</v>
      </c>
      <c r="C107" s="1" t="s">
        <v>2853</v>
      </c>
    </row>
    <row r="108" customFormat="false" ht="15" hidden="false" customHeight="false" outlineLevel="0" collapsed="false">
      <c r="A108" s="1" t="s">
        <v>402</v>
      </c>
      <c r="B108" s="1" t="s">
        <v>402</v>
      </c>
      <c r="C108" s="1" t="s">
        <v>2853</v>
      </c>
    </row>
    <row r="109" customFormat="false" ht="15" hidden="false" customHeight="false" outlineLevel="0" collapsed="false">
      <c r="A109" s="1" t="s">
        <v>437</v>
      </c>
      <c r="B109" s="1" t="s">
        <v>402</v>
      </c>
      <c r="C109" s="1" t="s">
        <v>2853</v>
      </c>
    </row>
    <row r="110" customFormat="false" ht="15" hidden="false" customHeight="false" outlineLevel="0" collapsed="false">
      <c r="A110" s="1" t="s">
        <v>297</v>
      </c>
      <c r="B110" s="1" t="s">
        <v>402</v>
      </c>
      <c r="C110" s="1" t="s">
        <v>2853</v>
      </c>
    </row>
    <row r="111" customFormat="false" ht="15" hidden="false" customHeight="false" outlineLevel="0" collapsed="false">
      <c r="A111" s="1" t="s">
        <v>420</v>
      </c>
      <c r="B111" s="1" t="s">
        <v>402</v>
      </c>
      <c r="C111" s="1" t="s">
        <v>2853</v>
      </c>
    </row>
    <row r="112" customFormat="false" ht="15" hidden="false" customHeight="false" outlineLevel="0" collapsed="false">
      <c r="A112" s="1" t="s">
        <v>334</v>
      </c>
      <c r="B112" s="1" t="s">
        <v>402</v>
      </c>
      <c r="C112" s="1" t="s">
        <v>2853</v>
      </c>
    </row>
    <row r="113" customFormat="false" ht="15" hidden="false" customHeight="false" outlineLevel="0" collapsed="false">
      <c r="A113" s="1" t="s">
        <v>310</v>
      </c>
      <c r="B113" s="1" t="s">
        <v>310</v>
      </c>
      <c r="C113" s="1" t="s">
        <v>167</v>
      </c>
    </row>
    <row r="114" customFormat="false" ht="15" hidden="false" customHeight="false" outlineLevel="0" collapsed="false">
      <c r="A114" s="1" t="s">
        <v>424</v>
      </c>
      <c r="B114" s="1" t="s">
        <v>310</v>
      </c>
      <c r="C114" s="1" t="s">
        <v>167</v>
      </c>
    </row>
    <row r="115" customFormat="false" ht="15" hidden="false" customHeight="false" outlineLevel="0" collapsed="false">
      <c r="A115" s="1" t="s">
        <v>367</v>
      </c>
      <c r="B115" s="1" t="s">
        <v>310</v>
      </c>
      <c r="C115" s="1" t="s">
        <v>167</v>
      </c>
    </row>
    <row r="116" customFormat="false" ht="15" hidden="false" customHeight="false" outlineLevel="0" collapsed="false">
      <c r="A116" s="1" t="s">
        <v>482</v>
      </c>
      <c r="B116" s="1" t="s">
        <v>310</v>
      </c>
      <c r="C116" s="1" t="s">
        <v>167</v>
      </c>
    </row>
    <row r="117" customFormat="false" ht="15" hidden="false" customHeight="false" outlineLevel="0" collapsed="false">
      <c r="A117" s="1" t="s">
        <v>439</v>
      </c>
      <c r="B117" s="1" t="s">
        <v>310</v>
      </c>
      <c r="C117" s="1" t="s">
        <v>167</v>
      </c>
    </row>
    <row r="118" customFormat="false" ht="15" hidden="false" customHeight="false" outlineLevel="0" collapsed="false">
      <c r="A118" s="1" t="s">
        <v>362</v>
      </c>
      <c r="B118" s="1" t="s">
        <v>362</v>
      </c>
      <c r="C118" s="1" t="s">
        <v>2856</v>
      </c>
    </row>
    <row r="119" customFormat="false" ht="15" hidden="false" customHeight="false" outlineLevel="0" collapsed="false">
      <c r="A119" s="1" t="s">
        <v>384</v>
      </c>
      <c r="B119" s="1" t="s">
        <v>362</v>
      </c>
      <c r="C119" s="1" t="s">
        <v>2856</v>
      </c>
    </row>
    <row r="120" customFormat="false" ht="15" hidden="false" customHeight="false" outlineLevel="0" collapsed="false">
      <c r="A120" s="1" t="s">
        <v>293</v>
      </c>
      <c r="B120" s="1" t="s">
        <v>362</v>
      </c>
      <c r="C120" s="1" t="s">
        <v>2856</v>
      </c>
    </row>
    <row r="121" customFormat="false" ht="15" hidden="false" customHeight="false" outlineLevel="0" collapsed="false">
      <c r="A121" s="1" t="s">
        <v>896</v>
      </c>
      <c r="B121" s="1" t="s">
        <v>362</v>
      </c>
      <c r="C121" s="1" t="s">
        <v>2856</v>
      </c>
    </row>
    <row r="122" customFormat="false" ht="15" hidden="false" customHeight="false" outlineLevel="0" collapsed="false">
      <c r="A122" s="1" t="s">
        <v>308</v>
      </c>
      <c r="B122" s="1" t="s">
        <v>362</v>
      </c>
      <c r="C122" s="1" t="s">
        <v>2856</v>
      </c>
    </row>
    <row r="123" customFormat="false" ht="15" hidden="false" customHeight="false" outlineLevel="0" collapsed="false">
      <c r="A123" s="1" t="s">
        <v>256</v>
      </c>
      <c r="B123" s="1" t="s">
        <v>256</v>
      </c>
      <c r="C123" s="1" t="s">
        <v>2856</v>
      </c>
    </row>
    <row r="124" customFormat="false" ht="15" hidden="false" customHeight="false" outlineLevel="0" collapsed="false">
      <c r="A124" s="1" t="s">
        <v>470</v>
      </c>
      <c r="B124" s="1" t="s">
        <v>256</v>
      </c>
      <c r="C124" s="1" t="s">
        <v>2856</v>
      </c>
    </row>
    <row r="125" customFormat="false" ht="15" hidden="false" customHeight="false" outlineLevel="0" collapsed="false">
      <c r="A125" s="1" t="s">
        <v>304</v>
      </c>
      <c r="B125" s="1" t="s">
        <v>256</v>
      </c>
      <c r="C125" s="1" t="s">
        <v>2856</v>
      </c>
    </row>
    <row r="126" customFormat="false" ht="15" hidden="false" customHeight="false" outlineLevel="0" collapsed="false">
      <c r="A126" s="1" t="s">
        <v>455</v>
      </c>
      <c r="B126" s="1" t="s">
        <v>256</v>
      </c>
      <c r="C126" s="1" t="s">
        <v>2856</v>
      </c>
    </row>
    <row r="127" customFormat="false" ht="15" hidden="false" customHeight="false" outlineLevel="0" collapsed="false">
      <c r="A127" s="1" t="s">
        <v>317</v>
      </c>
      <c r="B127" s="1" t="s">
        <v>256</v>
      </c>
      <c r="C127" s="1" t="s">
        <v>2856</v>
      </c>
    </row>
    <row r="128" customFormat="false" ht="15" hidden="false" customHeight="false" outlineLevel="0" collapsed="false">
      <c r="A128" s="1" t="s">
        <v>337</v>
      </c>
      <c r="B128" s="1" t="s">
        <v>256</v>
      </c>
      <c r="C128" s="1" t="s">
        <v>2856</v>
      </c>
    </row>
    <row r="129" customFormat="false" ht="15" hidden="false" customHeight="false" outlineLevel="0" collapsed="false">
      <c r="A129" s="1" t="s">
        <v>404</v>
      </c>
      <c r="B129" s="1" t="s">
        <v>256</v>
      </c>
      <c r="C129" s="1" t="s">
        <v>2856</v>
      </c>
    </row>
    <row r="130" customFormat="false" ht="15" hidden="false" customHeight="false" outlineLevel="0" collapsed="false">
      <c r="A130" s="1" t="s">
        <v>292</v>
      </c>
      <c r="B130" s="1" t="s">
        <v>292</v>
      </c>
      <c r="C130" s="1" t="s">
        <v>2856</v>
      </c>
    </row>
    <row r="131" customFormat="false" ht="15" hidden="false" customHeight="false" outlineLevel="0" collapsed="false">
      <c r="A131" s="1" t="s">
        <v>419</v>
      </c>
      <c r="B131" s="1" t="s">
        <v>292</v>
      </c>
      <c r="C131" s="1" t="s">
        <v>2856</v>
      </c>
    </row>
    <row r="132" customFormat="false" ht="15" hidden="false" customHeight="false" outlineLevel="0" collapsed="false">
      <c r="A132" s="1" t="s">
        <v>432</v>
      </c>
      <c r="B132" s="1" t="s">
        <v>292</v>
      </c>
      <c r="C132" s="1" t="s">
        <v>2856</v>
      </c>
    </row>
    <row r="133" customFormat="false" ht="15" hidden="false" customHeight="false" outlineLevel="0" collapsed="false">
      <c r="A133" s="1" t="s">
        <v>363</v>
      </c>
      <c r="B133" s="1" t="s">
        <v>292</v>
      </c>
      <c r="C133" s="1" t="s">
        <v>2856</v>
      </c>
    </row>
    <row r="134" customFormat="false" ht="15" hidden="false" customHeight="false" outlineLevel="0" collapsed="false">
      <c r="A134" s="1" t="s">
        <v>331</v>
      </c>
      <c r="B134" s="1" t="s">
        <v>292</v>
      </c>
      <c r="C134" s="1" t="s">
        <v>2856</v>
      </c>
    </row>
    <row r="135" customFormat="false" ht="15" hidden="false" customHeight="false" outlineLevel="0" collapsed="false">
      <c r="A135" s="1" t="s">
        <v>313</v>
      </c>
      <c r="B135" s="1" t="s">
        <v>292</v>
      </c>
      <c r="C135" s="1" t="s">
        <v>2856</v>
      </c>
    </row>
    <row r="136" customFormat="false" ht="15" hidden="false" customHeight="false" outlineLevel="0" collapsed="false">
      <c r="A136" s="1" t="s">
        <v>401</v>
      </c>
      <c r="B136" s="1" t="s">
        <v>401</v>
      </c>
      <c r="C136" s="1" t="s">
        <v>2856</v>
      </c>
    </row>
    <row r="137" customFormat="false" ht="15" hidden="false" customHeight="false" outlineLevel="0" collapsed="false">
      <c r="A137" s="1" t="s">
        <v>461</v>
      </c>
      <c r="B137" s="1" t="s">
        <v>401</v>
      </c>
      <c r="C137" s="1" t="s">
        <v>2856</v>
      </c>
    </row>
    <row r="138" customFormat="false" ht="15" hidden="false" customHeight="false" outlineLevel="0" collapsed="false">
      <c r="A138" s="1" t="s">
        <v>948</v>
      </c>
      <c r="B138" s="1" t="s">
        <v>401</v>
      </c>
      <c r="C138" s="1" t="s">
        <v>2856</v>
      </c>
    </row>
    <row r="139" customFormat="false" ht="15" hidden="false" customHeight="false" outlineLevel="0" collapsed="false">
      <c r="A139" s="1" t="s">
        <v>670</v>
      </c>
      <c r="B139" s="1" t="s">
        <v>401</v>
      </c>
      <c r="C139" s="1" t="s">
        <v>2856</v>
      </c>
    </row>
    <row r="140" customFormat="false" ht="15" hidden="false" customHeight="false" outlineLevel="0" collapsed="false">
      <c r="A140" s="1" t="s">
        <v>450</v>
      </c>
      <c r="B140" s="1" t="s">
        <v>401</v>
      </c>
      <c r="C140" s="1" t="s">
        <v>2856</v>
      </c>
    </row>
    <row r="141" customFormat="false" ht="15" hidden="false" customHeight="false" outlineLevel="0" collapsed="false">
      <c r="A141" s="1" t="s">
        <v>333</v>
      </c>
      <c r="B141" s="1" t="s">
        <v>401</v>
      </c>
      <c r="C141" s="1" t="s">
        <v>2856</v>
      </c>
    </row>
    <row r="142" customFormat="false" ht="15" hidden="false" customHeight="false" outlineLevel="0" collapsed="false">
      <c r="A142" s="1" t="s">
        <v>469</v>
      </c>
      <c r="B142" s="1" t="s">
        <v>401</v>
      </c>
      <c r="C142" s="1" t="s">
        <v>2856</v>
      </c>
    </row>
    <row r="143" customFormat="false" ht="15" hidden="false" customHeight="false" outlineLevel="0" collapsed="false">
      <c r="A143" s="1" t="s">
        <v>702</v>
      </c>
      <c r="B143" s="1" t="s">
        <v>401</v>
      </c>
      <c r="C143" s="1" t="s">
        <v>2856</v>
      </c>
    </row>
    <row r="144" customFormat="false" ht="15" hidden="false" customHeight="false" outlineLevel="0" collapsed="false">
      <c r="A144" s="1" t="s">
        <v>373</v>
      </c>
      <c r="B144" s="1" t="s">
        <v>373</v>
      </c>
      <c r="C144" s="1" t="s">
        <v>2857</v>
      </c>
    </row>
    <row r="145" customFormat="false" ht="15" hidden="false" customHeight="false" outlineLevel="0" collapsed="false">
      <c r="A145" s="1" t="s">
        <v>454</v>
      </c>
      <c r="B145" s="1" t="s">
        <v>373</v>
      </c>
      <c r="C145" s="1" t="s">
        <v>2857</v>
      </c>
    </row>
    <row r="146" customFormat="false" ht="15" hidden="false" customHeight="false" outlineLevel="0" collapsed="false">
      <c r="A146" s="1" t="s">
        <v>487</v>
      </c>
      <c r="B146" s="1" t="s">
        <v>373</v>
      </c>
      <c r="C146" s="1" t="s">
        <v>2857</v>
      </c>
    </row>
    <row r="147" customFormat="false" ht="15" hidden="false" customHeight="false" outlineLevel="0" collapsed="false">
      <c r="A147" s="1" t="s">
        <v>321</v>
      </c>
      <c r="B147" s="1" t="s">
        <v>373</v>
      </c>
      <c r="C147" s="1" t="s">
        <v>2857</v>
      </c>
    </row>
    <row r="148" customFormat="false" ht="15" hidden="false" customHeight="false" outlineLevel="0" collapsed="false">
      <c r="A148" s="1" t="s">
        <v>433</v>
      </c>
      <c r="B148" s="1" t="s">
        <v>373</v>
      </c>
      <c r="C148" s="1" t="s">
        <v>2857</v>
      </c>
    </row>
    <row r="149" customFormat="false" ht="15" hidden="false" customHeight="false" outlineLevel="0" collapsed="false">
      <c r="A149" s="1" t="s">
        <v>477</v>
      </c>
      <c r="B149" s="1" t="s">
        <v>373</v>
      </c>
      <c r="C149" s="1" t="s">
        <v>2857</v>
      </c>
    </row>
    <row r="150" customFormat="false" ht="15" hidden="false" customHeight="false" outlineLevel="0" collapsed="false">
      <c r="A150" s="1" t="s">
        <v>316</v>
      </c>
      <c r="B150" s="1" t="s">
        <v>373</v>
      </c>
      <c r="C150" s="1" t="s">
        <v>2857</v>
      </c>
    </row>
    <row r="151" customFormat="false" ht="15" hidden="false" customHeight="false" outlineLevel="0" collapsed="false">
      <c r="A151" s="1" t="s">
        <v>429</v>
      </c>
      <c r="B151" s="1" t="s">
        <v>373</v>
      </c>
      <c r="C151" s="1" t="s">
        <v>2857</v>
      </c>
    </row>
    <row r="152" customFormat="false" ht="15" hidden="false" customHeight="false" outlineLevel="0" collapsed="false">
      <c r="A152" s="1" t="s">
        <v>353</v>
      </c>
      <c r="B152" s="1" t="s">
        <v>2858</v>
      </c>
      <c r="C152" s="1" t="s">
        <v>2859</v>
      </c>
    </row>
    <row r="153" customFormat="false" ht="15" hidden="false" customHeight="false" outlineLevel="0" collapsed="false">
      <c r="A153" s="1" t="s">
        <v>444</v>
      </c>
      <c r="B153" s="1" t="s">
        <v>2858</v>
      </c>
      <c r="C153" s="1" t="s">
        <v>2859</v>
      </c>
    </row>
    <row r="154" customFormat="false" ht="15" hidden="false" customHeight="false" outlineLevel="0" collapsed="false">
      <c r="A154" s="1" t="s">
        <v>586</v>
      </c>
      <c r="B154" s="1" t="s">
        <v>2858</v>
      </c>
      <c r="C154" s="1" t="s">
        <v>2859</v>
      </c>
    </row>
    <row r="155" customFormat="false" ht="15" hidden="false" customHeight="false" outlineLevel="0" collapsed="false">
      <c r="A155" s="1" t="s">
        <v>473</v>
      </c>
      <c r="B155" s="1" t="s">
        <v>2858</v>
      </c>
      <c r="C155" s="1" t="s">
        <v>2859</v>
      </c>
    </row>
    <row r="156" customFormat="false" ht="15" hidden="false" customHeight="false" outlineLevel="0" collapsed="false">
      <c r="A156" s="1" t="s">
        <v>351</v>
      </c>
      <c r="B156" s="1" t="s">
        <v>2858</v>
      </c>
      <c r="C156" s="1" t="s">
        <v>2859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 r:id="rId3"/>
    <tablePart r:id="rId4"/>
    <tablePart r:id="rId5"/>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E7C78"/>
    <pageSetUpPr fitToPage="false"/>
  </sheetPr>
  <dimension ref="A1:K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9"/>
    <col collapsed="false" customWidth="true" hidden="false" outlineLevel="0" max="3" min="3" style="1" width="26"/>
    <col collapsed="false" customWidth="true" hidden="false" outlineLevel="0" max="4" min="4" style="1" width="12"/>
    <col collapsed="false" customWidth="true" hidden="false" outlineLevel="0" max="5" min="5" style="1" width="26"/>
    <col collapsed="false" customWidth="true" hidden="false" outlineLevel="0" max="6" min="6" style="1" width="11"/>
    <col collapsed="false" customWidth="true" hidden="false" outlineLevel="0" max="7" min="7" style="1" width="12"/>
    <col collapsed="false" customWidth="true" hidden="false" outlineLevel="0" max="8" min="8" style="1" width="24"/>
    <col collapsed="false" customWidth="true" hidden="false" outlineLevel="0" max="9" min="9" style="1" width="40"/>
    <col collapsed="false" customWidth="true" hidden="false" outlineLevel="0" max="10" min="10" style="1" width="12"/>
    <col collapsed="false" customWidth="true" hidden="false" outlineLevel="0" max="11" min="11" style="1" width="80"/>
  </cols>
  <sheetData>
    <row r="1" customFormat="false" ht="18.55" hidden="false" customHeight="false" outlineLevel="0" collapsed="false">
      <c r="A1" s="11" t="s">
        <v>2860</v>
      </c>
    </row>
    <row r="2" customFormat="false" ht="15" hidden="false" customHeight="false" outlineLevel="0" collapsed="false">
      <c r="A2" s="12" t="s">
        <v>2861</v>
      </c>
    </row>
    <row r="3" customFormat="false" ht="15" hidden="false" customHeight="false" outlineLevel="0" collapsed="false">
      <c r="A3" s="4" t="s">
        <v>2</v>
      </c>
    </row>
    <row r="4" customFormat="false" ht="33.75" hidden="false" customHeight="true" outlineLevel="0" collapsed="false">
      <c r="A4" s="7" t="s">
        <v>1132</v>
      </c>
      <c r="B4" s="7" t="s">
        <v>187</v>
      </c>
      <c r="C4" s="7" t="s">
        <v>2862</v>
      </c>
      <c r="D4" s="7" t="s">
        <v>2863</v>
      </c>
      <c r="E4" s="7" t="s">
        <v>2864</v>
      </c>
      <c r="F4" s="7" t="s">
        <v>2865</v>
      </c>
      <c r="G4" s="7" t="s">
        <v>2866</v>
      </c>
      <c r="H4" s="7" t="s">
        <v>2867</v>
      </c>
      <c r="I4" s="7" t="s">
        <v>2868</v>
      </c>
      <c r="J4" s="7" t="s">
        <v>2869</v>
      </c>
      <c r="K4" s="7" t="s">
        <v>190</v>
      </c>
    </row>
    <row r="5" customFormat="false" ht="30" hidden="false" customHeight="true" outlineLevel="0" collapsed="false">
      <c r="A5" s="1" t="s">
        <v>1160</v>
      </c>
      <c r="B5" s="1" t="s">
        <v>154</v>
      </c>
      <c r="C5" s="1" t="s">
        <v>2870</v>
      </c>
      <c r="D5" s="1" t="s">
        <v>847</v>
      </c>
      <c r="E5" s="1" t="s">
        <v>2871</v>
      </c>
      <c r="F5" s="52" t="n">
        <v>2</v>
      </c>
      <c r="G5" s="52"/>
      <c r="H5" s="52"/>
      <c r="I5" s="52"/>
      <c r="J5" s="52"/>
      <c r="K5" s="20" t="s">
        <v>2872</v>
      </c>
    </row>
    <row r="6" customFormat="false" ht="30" hidden="false" customHeight="true" outlineLevel="0" collapsed="false">
      <c r="A6" s="1" t="s">
        <v>1463</v>
      </c>
      <c r="B6" s="1" t="s">
        <v>154</v>
      </c>
      <c r="C6" s="1" t="s">
        <v>2873</v>
      </c>
      <c r="D6" s="1" t="s">
        <v>2874</v>
      </c>
      <c r="E6" s="1" t="s">
        <v>442</v>
      </c>
      <c r="F6" s="52"/>
      <c r="G6" s="52"/>
      <c r="H6" s="52" t="s">
        <v>270</v>
      </c>
      <c r="I6" s="52"/>
      <c r="J6" s="52"/>
      <c r="K6" s="20" t="s">
        <v>2875</v>
      </c>
    </row>
    <row r="7" customFormat="false" ht="30" hidden="false" customHeight="true" outlineLevel="0" collapsed="false">
      <c r="A7" s="1" t="s">
        <v>1680</v>
      </c>
      <c r="B7" s="1" t="s">
        <v>155</v>
      </c>
      <c r="C7" s="1" t="s">
        <v>2876</v>
      </c>
      <c r="D7" s="1" t="s">
        <v>847</v>
      </c>
      <c r="E7" s="1" t="n">
        <v>20</v>
      </c>
      <c r="F7" s="52" t="n">
        <v>2</v>
      </c>
      <c r="G7" s="52"/>
      <c r="H7" s="52"/>
      <c r="I7" s="52"/>
      <c r="J7" s="52"/>
      <c r="K7" s="20" t="s">
        <v>2877</v>
      </c>
    </row>
    <row r="8" customFormat="false" ht="30" hidden="false" customHeight="true" outlineLevel="0" collapsed="false">
      <c r="A8" s="1" t="s">
        <v>1764</v>
      </c>
      <c r="B8" s="1" t="s">
        <v>155</v>
      </c>
      <c r="C8" s="1" t="s">
        <v>2870</v>
      </c>
      <c r="D8" s="1" t="s">
        <v>847</v>
      </c>
      <c r="E8" s="1" t="s">
        <v>2871</v>
      </c>
      <c r="F8" s="52" t="n">
        <v>60.75</v>
      </c>
      <c r="G8" s="52"/>
      <c r="H8" s="52"/>
      <c r="I8" s="52"/>
      <c r="J8" s="52"/>
      <c r="K8" s="20" t="s">
        <v>2878</v>
      </c>
    </row>
    <row r="9" customFormat="false" ht="30" hidden="false" customHeight="true" outlineLevel="0" collapsed="false">
      <c r="A9" s="1" t="s">
        <v>1876</v>
      </c>
      <c r="B9" s="1" t="s">
        <v>155</v>
      </c>
      <c r="C9" s="1" t="s">
        <v>2870</v>
      </c>
      <c r="D9" s="1" t="s">
        <v>847</v>
      </c>
      <c r="E9" s="1" t="s">
        <v>2871</v>
      </c>
      <c r="F9" s="52" t="n">
        <v>137.5</v>
      </c>
      <c r="G9" s="52"/>
      <c r="H9" s="52"/>
      <c r="I9" s="52"/>
      <c r="J9" s="52"/>
      <c r="K9" s="20" t="s">
        <v>2878</v>
      </c>
    </row>
    <row r="10" customFormat="false" ht="30" hidden="false" customHeight="true" outlineLevel="0" collapsed="false">
      <c r="A10" s="1" t="s">
        <v>1973</v>
      </c>
      <c r="B10" s="1" t="s">
        <v>156</v>
      </c>
      <c r="C10" s="1" t="s">
        <v>2879</v>
      </c>
      <c r="D10" s="1" t="s">
        <v>241</v>
      </c>
      <c r="E10" s="1" t="s">
        <v>681</v>
      </c>
      <c r="F10" s="52"/>
      <c r="G10" s="52"/>
      <c r="H10" s="52"/>
      <c r="I10" s="52" t="s">
        <v>2804</v>
      </c>
      <c r="J10" s="52"/>
      <c r="K10" s="20" t="s">
        <v>2880</v>
      </c>
    </row>
    <row r="11" customFormat="false" ht="30" hidden="false" customHeight="true" outlineLevel="0" collapsed="false">
      <c r="A11" s="1" t="s">
        <v>1974</v>
      </c>
      <c r="B11" s="1" t="s">
        <v>156</v>
      </c>
      <c r="C11" s="1" t="s">
        <v>2879</v>
      </c>
      <c r="D11" s="1" t="s">
        <v>241</v>
      </c>
      <c r="E11" s="1" t="s">
        <v>681</v>
      </c>
      <c r="F11" s="52"/>
      <c r="G11" s="52"/>
      <c r="H11" s="52"/>
      <c r="I11" s="52" t="s">
        <v>2804</v>
      </c>
      <c r="J11" s="52"/>
      <c r="K11" s="20" t="s">
        <v>2880</v>
      </c>
    </row>
    <row r="12" customFormat="false" ht="30" hidden="false" customHeight="true" outlineLevel="0" collapsed="false">
      <c r="A12" s="1" t="s">
        <v>2001</v>
      </c>
      <c r="B12" s="1" t="s">
        <v>156</v>
      </c>
      <c r="C12" s="1" t="s">
        <v>2879</v>
      </c>
      <c r="D12" s="1" t="s">
        <v>241</v>
      </c>
      <c r="E12" s="1" t="s">
        <v>681</v>
      </c>
      <c r="F12" s="52"/>
      <c r="G12" s="52"/>
      <c r="H12" s="52"/>
      <c r="I12" s="52" t="s">
        <v>2804</v>
      </c>
      <c r="J12" s="52"/>
      <c r="K12" s="20" t="s">
        <v>2880</v>
      </c>
    </row>
    <row r="13" customFormat="false" ht="30" hidden="false" customHeight="true" outlineLevel="0" collapsed="false">
      <c r="A13" s="1" t="s">
        <v>2002</v>
      </c>
      <c r="B13" s="1" t="s">
        <v>156</v>
      </c>
      <c r="C13" s="1" t="s">
        <v>2879</v>
      </c>
      <c r="D13" s="1" t="s">
        <v>241</v>
      </c>
      <c r="E13" s="1" t="s">
        <v>681</v>
      </c>
      <c r="F13" s="52"/>
      <c r="G13" s="52"/>
      <c r="H13" s="52"/>
      <c r="I13" s="52" t="s">
        <v>2804</v>
      </c>
      <c r="J13" s="52"/>
      <c r="K13" s="20" t="s">
        <v>2880</v>
      </c>
    </row>
    <row r="14" customFormat="false" ht="30" hidden="false" customHeight="true" outlineLevel="0" collapsed="false">
      <c r="A14" s="1" t="s">
        <v>2018</v>
      </c>
      <c r="B14" s="1" t="s">
        <v>156</v>
      </c>
      <c r="C14" s="1" t="s">
        <v>2879</v>
      </c>
      <c r="D14" s="1" t="s">
        <v>241</v>
      </c>
      <c r="E14" s="1" t="s">
        <v>681</v>
      </c>
      <c r="F14" s="52"/>
      <c r="G14" s="52"/>
      <c r="H14" s="52"/>
      <c r="I14" s="52" t="s">
        <v>2804</v>
      </c>
      <c r="J14" s="52"/>
      <c r="K14" s="20" t="s">
        <v>2880</v>
      </c>
    </row>
    <row r="15" customFormat="false" ht="30" hidden="false" customHeight="true" outlineLevel="0" collapsed="false">
      <c r="A15" s="1" t="s">
        <v>2019</v>
      </c>
      <c r="B15" s="1" t="s">
        <v>156</v>
      </c>
      <c r="C15" s="1" t="s">
        <v>2879</v>
      </c>
      <c r="D15" s="1" t="s">
        <v>241</v>
      </c>
      <c r="E15" s="1" t="s">
        <v>681</v>
      </c>
      <c r="F15" s="52"/>
      <c r="G15" s="52"/>
      <c r="H15" s="52"/>
      <c r="I15" s="52" t="s">
        <v>2804</v>
      </c>
      <c r="J15" s="52"/>
      <c r="K15" s="20" t="s">
        <v>2880</v>
      </c>
    </row>
    <row r="16" customFormat="false" ht="30" hidden="false" customHeight="true" outlineLevel="0" collapsed="false">
      <c r="A16" s="1" t="s">
        <v>2045</v>
      </c>
      <c r="B16" s="1" t="s">
        <v>156</v>
      </c>
      <c r="C16" s="1" t="s">
        <v>2879</v>
      </c>
      <c r="D16" s="1" t="s">
        <v>241</v>
      </c>
      <c r="E16" s="1" t="s">
        <v>681</v>
      </c>
      <c r="F16" s="52"/>
      <c r="G16" s="52"/>
      <c r="H16" s="52"/>
      <c r="I16" s="52" t="s">
        <v>2804</v>
      </c>
      <c r="J16" s="52"/>
      <c r="K16" s="20" t="s">
        <v>2880</v>
      </c>
    </row>
    <row r="17" customFormat="false" ht="30" hidden="false" customHeight="true" outlineLevel="0" collapsed="false">
      <c r="A17" s="1" t="s">
        <v>2046</v>
      </c>
      <c r="B17" s="1" t="s">
        <v>156</v>
      </c>
      <c r="C17" s="1" t="s">
        <v>2879</v>
      </c>
      <c r="D17" s="1" t="s">
        <v>241</v>
      </c>
      <c r="E17" s="1" t="s">
        <v>681</v>
      </c>
      <c r="F17" s="52"/>
      <c r="G17" s="52"/>
      <c r="H17" s="52"/>
      <c r="I17" s="52" t="s">
        <v>2804</v>
      </c>
      <c r="J17" s="52"/>
      <c r="K17" s="20" t="s">
        <v>2880</v>
      </c>
    </row>
    <row r="18" customFormat="false" ht="30" hidden="false" customHeight="true" outlineLevel="0" collapsed="false">
      <c r="A18" s="1" t="s">
        <v>2056</v>
      </c>
      <c r="B18" s="1" t="s">
        <v>156</v>
      </c>
      <c r="C18" s="1" t="s">
        <v>2879</v>
      </c>
      <c r="D18" s="1" t="s">
        <v>241</v>
      </c>
      <c r="E18" s="1" t="s">
        <v>681</v>
      </c>
      <c r="F18" s="52"/>
      <c r="G18" s="52"/>
      <c r="H18" s="52"/>
      <c r="I18" s="52" t="s">
        <v>2804</v>
      </c>
      <c r="J18" s="52"/>
      <c r="K18" s="20" t="s">
        <v>2880</v>
      </c>
    </row>
    <row r="19" customFormat="false" ht="30" hidden="false" customHeight="true" outlineLevel="0" collapsed="false">
      <c r="A19" s="1" t="s">
        <v>2057</v>
      </c>
      <c r="B19" s="1" t="s">
        <v>156</v>
      </c>
      <c r="C19" s="1" t="s">
        <v>2879</v>
      </c>
      <c r="D19" s="1" t="s">
        <v>241</v>
      </c>
      <c r="E19" s="1" t="s">
        <v>681</v>
      </c>
      <c r="F19" s="52"/>
      <c r="G19" s="52"/>
      <c r="H19" s="52"/>
      <c r="I19" s="52" t="s">
        <v>2804</v>
      </c>
      <c r="J19" s="52"/>
      <c r="K19" s="20" t="s">
        <v>2880</v>
      </c>
    </row>
    <row r="20" customFormat="false" ht="30" hidden="false" customHeight="true" outlineLevel="0" collapsed="false">
      <c r="A20" s="1" t="s">
        <v>2061</v>
      </c>
      <c r="B20" s="1" t="s">
        <v>156</v>
      </c>
      <c r="C20" s="1" t="s">
        <v>2881</v>
      </c>
      <c r="D20" s="1" t="s">
        <v>494</v>
      </c>
      <c r="E20" s="1" t="s">
        <v>755</v>
      </c>
      <c r="F20" s="52"/>
      <c r="G20" s="53" t="n">
        <v>45955</v>
      </c>
      <c r="H20" s="52"/>
      <c r="I20" s="52"/>
      <c r="J20" s="52"/>
      <c r="K20" s="20" t="s">
        <v>2882</v>
      </c>
    </row>
    <row r="21" customFormat="false" ht="30" hidden="false" customHeight="true" outlineLevel="0" collapsed="false">
      <c r="A21" s="1" t="s">
        <v>2117</v>
      </c>
      <c r="B21" s="1" t="s">
        <v>156</v>
      </c>
      <c r="C21" s="1" t="s">
        <v>2870</v>
      </c>
      <c r="D21" s="1" t="s">
        <v>847</v>
      </c>
      <c r="E21" s="1" t="s">
        <v>2871</v>
      </c>
      <c r="F21" s="52" t="n">
        <v>48.25</v>
      </c>
      <c r="G21" s="52"/>
      <c r="H21" s="52"/>
      <c r="I21" s="52"/>
      <c r="J21" s="52"/>
      <c r="K21" s="20" t="s">
        <v>2883</v>
      </c>
    </row>
    <row r="22" customFormat="false" ht="30" hidden="false" customHeight="true" outlineLevel="0" collapsed="false">
      <c r="A22" s="1" t="s">
        <v>2127</v>
      </c>
      <c r="B22" s="1" t="s">
        <v>156</v>
      </c>
      <c r="C22" s="1" t="s">
        <v>2879</v>
      </c>
      <c r="D22" s="1" t="s">
        <v>241</v>
      </c>
      <c r="E22" s="1" t="s">
        <v>681</v>
      </c>
      <c r="F22" s="52"/>
      <c r="G22" s="52"/>
      <c r="H22" s="52"/>
      <c r="I22" s="52" t="s">
        <v>2804</v>
      </c>
      <c r="J22" s="52"/>
      <c r="K22" s="20" t="s">
        <v>2880</v>
      </c>
    </row>
    <row r="23" customFormat="false" ht="30" hidden="false" customHeight="true" outlineLevel="0" collapsed="false">
      <c r="A23" s="1" t="s">
        <v>2128</v>
      </c>
      <c r="B23" s="1" t="s">
        <v>156</v>
      </c>
      <c r="C23" s="1" t="s">
        <v>2879</v>
      </c>
      <c r="D23" s="1" t="s">
        <v>241</v>
      </c>
      <c r="E23" s="1" t="s">
        <v>681</v>
      </c>
      <c r="F23" s="52"/>
      <c r="G23" s="52"/>
      <c r="H23" s="52"/>
      <c r="I23" s="52" t="s">
        <v>2804</v>
      </c>
      <c r="J23" s="52"/>
      <c r="K23" s="20" t="s">
        <v>2880</v>
      </c>
    </row>
    <row r="24" customFormat="false" ht="30" hidden="false" customHeight="true" outlineLevel="0" collapsed="false">
      <c r="A24" s="1" t="s">
        <v>2163</v>
      </c>
      <c r="B24" s="1" t="s">
        <v>156</v>
      </c>
      <c r="C24" s="1" t="s">
        <v>2870</v>
      </c>
      <c r="D24" s="1" t="s">
        <v>847</v>
      </c>
      <c r="E24" s="1" t="s">
        <v>2871</v>
      </c>
      <c r="F24" s="52"/>
      <c r="G24" s="52"/>
      <c r="H24" s="52"/>
      <c r="I24" s="52"/>
      <c r="J24" s="52" t="n">
        <v>0</v>
      </c>
      <c r="K24" s="20" t="s">
        <v>2884</v>
      </c>
    </row>
    <row r="25" customFormat="false" ht="30" hidden="false" customHeight="true" outlineLevel="0" collapsed="false">
      <c r="A25" s="1" t="s">
        <v>2180</v>
      </c>
      <c r="B25" s="1" t="s">
        <v>156</v>
      </c>
      <c r="C25" s="1" t="s">
        <v>2870</v>
      </c>
      <c r="D25" s="1" t="s">
        <v>847</v>
      </c>
      <c r="E25" s="1" t="s">
        <v>2871</v>
      </c>
      <c r="F25" s="52" t="n">
        <v>89.25</v>
      </c>
      <c r="G25" s="52"/>
      <c r="H25" s="52"/>
      <c r="I25" s="52"/>
      <c r="J25" s="52"/>
      <c r="K25" s="20" t="s">
        <v>2883</v>
      </c>
    </row>
    <row r="26" customFormat="false" ht="30" hidden="false" customHeight="true" outlineLevel="0" collapsed="false">
      <c r="A26" s="1" t="s">
        <v>2212</v>
      </c>
      <c r="B26" s="1" t="s">
        <v>156</v>
      </c>
      <c r="C26" s="1" t="s">
        <v>2879</v>
      </c>
      <c r="D26" s="1" t="s">
        <v>241</v>
      </c>
      <c r="E26" s="1" t="s">
        <v>681</v>
      </c>
      <c r="F26" s="52"/>
      <c r="G26" s="52"/>
      <c r="H26" s="52"/>
      <c r="I26" s="52" t="s">
        <v>2804</v>
      </c>
      <c r="J26" s="52"/>
      <c r="K26" s="20" t="s">
        <v>2880</v>
      </c>
    </row>
    <row r="27" customFormat="false" ht="30" hidden="false" customHeight="true" outlineLevel="0" collapsed="false">
      <c r="A27" s="1" t="s">
        <v>2213</v>
      </c>
      <c r="B27" s="1" t="s">
        <v>156</v>
      </c>
      <c r="C27" s="1" t="s">
        <v>2879</v>
      </c>
      <c r="D27" s="1" t="s">
        <v>241</v>
      </c>
      <c r="E27" s="1" t="s">
        <v>681</v>
      </c>
      <c r="F27" s="52"/>
      <c r="G27" s="52"/>
      <c r="H27" s="52"/>
      <c r="I27" s="52" t="s">
        <v>2804</v>
      </c>
      <c r="J27" s="52"/>
      <c r="K27" s="20" t="s">
        <v>2880</v>
      </c>
    </row>
    <row r="28" customFormat="false" ht="30" hidden="false" customHeight="true" outlineLevel="0" collapsed="false">
      <c r="A28" s="1" t="s">
        <v>2252</v>
      </c>
      <c r="B28" s="1" t="s">
        <v>157</v>
      </c>
      <c r="C28" s="1" t="s">
        <v>2885</v>
      </c>
      <c r="D28" s="1" t="s">
        <v>494</v>
      </c>
      <c r="E28" s="1" t="s">
        <v>851</v>
      </c>
      <c r="F28" s="52"/>
      <c r="G28" s="52"/>
      <c r="H28" s="52"/>
      <c r="I28" s="52"/>
      <c r="J28" s="52" t="n">
        <v>0</v>
      </c>
      <c r="K28" s="20" t="s">
        <v>2886</v>
      </c>
    </row>
    <row r="29" customFormat="false" ht="30" hidden="false" customHeight="true" outlineLevel="0" collapsed="false">
      <c r="A29" s="1" t="s">
        <v>2255</v>
      </c>
      <c r="B29" s="1" t="s">
        <v>157</v>
      </c>
      <c r="C29" s="1" t="s">
        <v>2887</v>
      </c>
      <c r="D29" s="1" t="s">
        <v>241</v>
      </c>
      <c r="E29" s="1" t="s">
        <v>859</v>
      </c>
      <c r="F29" s="52"/>
      <c r="G29" s="52"/>
      <c r="H29" s="52"/>
      <c r="I29" s="52" t="s">
        <v>2804</v>
      </c>
      <c r="J29" s="52"/>
      <c r="K29" s="20" t="s">
        <v>2888</v>
      </c>
    </row>
    <row r="30" customFormat="false" ht="30" hidden="false" customHeight="true" outlineLevel="0" collapsed="false">
      <c r="A30" s="1" t="s">
        <v>2256</v>
      </c>
      <c r="B30" s="1" t="s">
        <v>157</v>
      </c>
      <c r="C30" s="1" t="s">
        <v>2887</v>
      </c>
      <c r="D30" s="1" t="s">
        <v>241</v>
      </c>
      <c r="E30" s="1" t="s">
        <v>859</v>
      </c>
      <c r="F30" s="52"/>
      <c r="G30" s="52"/>
      <c r="H30" s="52"/>
      <c r="I30" s="52" t="s">
        <v>2804</v>
      </c>
      <c r="J30" s="52"/>
      <c r="K30" s="20" t="s">
        <v>2888</v>
      </c>
    </row>
    <row r="31" customFormat="false" ht="30" hidden="false" customHeight="true" outlineLevel="0" collapsed="false">
      <c r="A31" s="1" t="s">
        <v>2257</v>
      </c>
      <c r="B31" s="1" t="s">
        <v>157</v>
      </c>
      <c r="C31" s="1" t="s">
        <v>2887</v>
      </c>
      <c r="D31" s="1" t="s">
        <v>241</v>
      </c>
      <c r="E31" s="1" t="s">
        <v>859</v>
      </c>
      <c r="F31" s="52"/>
      <c r="G31" s="52"/>
      <c r="H31" s="52"/>
      <c r="I31" s="52" t="s">
        <v>2807</v>
      </c>
      <c r="J31" s="52"/>
      <c r="K31" s="20" t="s">
        <v>2888</v>
      </c>
    </row>
    <row r="32" customFormat="false" ht="30" hidden="false" customHeight="true" outlineLevel="0" collapsed="false">
      <c r="A32" s="1" t="s">
        <v>2258</v>
      </c>
      <c r="B32" s="1" t="s">
        <v>157</v>
      </c>
      <c r="C32" s="1" t="s">
        <v>2887</v>
      </c>
      <c r="D32" s="1" t="s">
        <v>241</v>
      </c>
      <c r="E32" s="1" t="s">
        <v>859</v>
      </c>
      <c r="F32" s="52"/>
      <c r="G32" s="52"/>
      <c r="H32" s="52"/>
      <c r="I32" s="52" t="s">
        <v>2807</v>
      </c>
      <c r="J32" s="52"/>
      <c r="K32" s="20" t="s">
        <v>2888</v>
      </c>
    </row>
    <row r="33" customFormat="false" ht="30" hidden="false" customHeight="true" outlineLevel="0" collapsed="false">
      <c r="A33" s="1" t="s">
        <v>2305</v>
      </c>
      <c r="B33" s="1" t="s">
        <v>157</v>
      </c>
      <c r="C33" s="1" t="s">
        <v>2887</v>
      </c>
      <c r="D33" s="1" t="s">
        <v>241</v>
      </c>
      <c r="E33" s="1" t="s">
        <v>859</v>
      </c>
      <c r="F33" s="52"/>
      <c r="G33" s="52"/>
      <c r="H33" s="52"/>
      <c r="I33" s="52" t="s">
        <v>2804</v>
      </c>
      <c r="J33" s="52"/>
      <c r="K33" s="20" t="s">
        <v>2888</v>
      </c>
    </row>
    <row r="34" customFormat="false" ht="30" hidden="false" customHeight="true" outlineLevel="0" collapsed="false">
      <c r="A34" s="1" t="s">
        <v>2306</v>
      </c>
      <c r="B34" s="1" t="s">
        <v>157</v>
      </c>
      <c r="C34" s="1" t="s">
        <v>2887</v>
      </c>
      <c r="D34" s="1" t="s">
        <v>241</v>
      </c>
      <c r="E34" s="1" t="s">
        <v>859</v>
      </c>
      <c r="F34" s="52"/>
      <c r="G34" s="52"/>
      <c r="H34" s="52"/>
      <c r="I34" s="52" t="s">
        <v>2804</v>
      </c>
      <c r="J34" s="52"/>
      <c r="K34" s="20" t="s">
        <v>2888</v>
      </c>
    </row>
    <row r="35" customFormat="false" ht="30" hidden="false" customHeight="true" outlineLevel="0" collapsed="false">
      <c r="A35" s="1" t="s">
        <v>2307</v>
      </c>
      <c r="B35" s="1" t="s">
        <v>157</v>
      </c>
      <c r="C35" s="1" t="s">
        <v>2887</v>
      </c>
      <c r="D35" s="1" t="s">
        <v>241</v>
      </c>
      <c r="E35" s="1" t="s">
        <v>859</v>
      </c>
      <c r="F35" s="52"/>
      <c r="G35" s="52"/>
      <c r="H35" s="52"/>
      <c r="I35" s="52" t="s">
        <v>2804</v>
      </c>
      <c r="J35" s="52"/>
      <c r="K35" s="20" t="s">
        <v>2888</v>
      </c>
    </row>
    <row r="36" customFormat="false" ht="30" hidden="false" customHeight="true" outlineLevel="0" collapsed="false">
      <c r="A36" s="1" t="s">
        <v>2308</v>
      </c>
      <c r="B36" s="1" t="s">
        <v>157</v>
      </c>
      <c r="C36" s="1" t="s">
        <v>2887</v>
      </c>
      <c r="D36" s="1" t="s">
        <v>241</v>
      </c>
      <c r="E36" s="1" t="s">
        <v>859</v>
      </c>
      <c r="F36" s="52"/>
      <c r="G36" s="52"/>
      <c r="H36" s="52"/>
      <c r="I36" s="52" t="s">
        <v>2804</v>
      </c>
      <c r="J36" s="52"/>
      <c r="K36" s="20" t="s">
        <v>2888</v>
      </c>
    </row>
    <row r="37" customFormat="false" ht="30" hidden="false" customHeight="true" outlineLevel="0" collapsed="false">
      <c r="A37" s="1" t="s">
        <v>2372</v>
      </c>
      <c r="B37" s="1" t="s">
        <v>157</v>
      </c>
      <c r="C37" s="1" t="s">
        <v>2870</v>
      </c>
      <c r="D37" s="1" t="s">
        <v>847</v>
      </c>
      <c r="E37" s="1" t="s">
        <v>2871</v>
      </c>
      <c r="F37" s="52" t="n">
        <v>82</v>
      </c>
      <c r="G37" s="52"/>
      <c r="H37" s="52"/>
      <c r="I37" s="52"/>
      <c r="J37" s="52"/>
      <c r="K37" s="20" t="s">
        <v>2889</v>
      </c>
    </row>
    <row r="38" customFormat="false" ht="30" hidden="false" customHeight="true" outlineLevel="0" collapsed="false">
      <c r="A38" s="1" t="s">
        <v>2377</v>
      </c>
      <c r="B38" s="1" t="s">
        <v>157</v>
      </c>
      <c r="C38" s="1" t="s">
        <v>2887</v>
      </c>
      <c r="D38" s="1" t="s">
        <v>241</v>
      </c>
      <c r="E38" s="1" t="s">
        <v>859</v>
      </c>
      <c r="F38" s="52"/>
      <c r="G38" s="52"/>
      <c r="H38" s="52"/>
      <c r="I38" s="52" t="s">
        <v>2807</v>
      </c>
      <c r="J38" s="52"/>
      <c r="K38" s="20" t="s">
        <v>2888</v>
      </c>
    </row>
    <row r="39" customFormat="false" ht="30" hidden="false" customHeight="true" outlineLevel="0" collapsed="false">
      <c r="A39" s="1" t="s">
        <v>2378</v>
      </c>
      <c r="B39" s="1" t="s">
        <v>157</v>
      </c>
      <c r="C39" s="1" t="s">
        <v>2887</v>
      </c>
      <c r="D39" s="1" t="s">
        <v>241</v>
      </c>
      <c r="E39" s="1" t="s">
        <v>859</v>
      </c>
      <c r="F39" s="52"/>
      <c r="G39" s="52"/>
      <c r="H39" s="52"/>
      <c r="I39" s="52" t="s">
        <v>2807</v>
      </c>
      <c r="J39" s="52"/>
      <c r="K39" s="20" t="s">
        <v>2888</v>
      </c>
    </row>
    <row r="40" customFormat="false" ht="30" hidden="false" customHeight="true" outlineLevel="0" collapsed="false">
      <c r="A40" s="1" t="s">
        <v>2382</v>
      </c>
      <c r="B40" s="1" t="s">
        <v>157</v>
      </c>
      <c r="C40" s="1" t="s">
        <v>2887</v>
      </c>
      <c r="D40" s="1" t="s">
        <v>241</v>
      </c>
      <c r="E40" s="1" t="s">
        <v>859</v>
      </c>
      <c r="F40" s="52"/>
      <c r="G40" s="52"/>
      <c r="H40" s="52"/>
      <c r="I40" s="52" t="s">
        <v>2804</v>
      </c>
      <c r="J40" s="52"/>
      <c r="K40" s="20" t="s">
        <v>2888</v>
      </c>
    </row>
    <row r="41" customFormat="false" ht="30" hidden="false" customHeight="true" outlineLevel="0" collapsed="false">
      <c r="A41" s="1" t="s">
        <v>2383</v>
      </c>
      <c r="B41" s="1" t="s">
        <v>157</v>
      </c>
      <c r="C41" s="1" t="s">
        <v>2887</v>
      </c>
      <c r="D41" s="1" t="s">
        <v>241</v>
      </c>
      <c r="E41" s="1" t="s">
        <v>859</v>
      </c>
      <c r="F41" s="52"/>
      <c r="G41" s="52"/>
      <c r="H41" s="52"/>
      <c r="I41" s="52" t="s">
        <v>2804</v>
      </c>
      <c r="J41" s="52"/>
      <c r="K41" s="20" t="s">
        <v>2888</v>
      </c>
    </row>
    <row r="42" customFormat="false" ht="30" hidden="false" customHeight="true" outlineLevel="0" collapsed="false">
      <c r="A42" s="1" t="s">
        <v>2399</v>
      </c>
      <c r="B42" s="1" t="s">
        <v>157</v>
      </c>
      <c r="C42" s="1" t="s">
        <v>2887</v>
      </c>
      <c r="D42" s="1" t="s">
        <v>241</v>
      </c>
      <c r="E42" s="1" t="s">
        <v>859</v>
      </c>
      <c r="F42" s="52"/>
      <c r="G42" s="52"/>
      <c r="H42" s="52"/>
      <c r="I42" s="52" t="s">
        <v>2807</v>
      </c>
      <c r="J42" s="52"/>
      <c r="K42" s="20" t="s">
        <v>2888</v>
      </c>
    </row>
    <row r="43" customFormat="false" ht="30" hidden="false" customHeight="true" outlineLevel="0" collapsed="false">
      <c r="A43" s="1" t="s">
        <v>2400</v>
      </c>
      <c r="B43" s="1" t="s">
        <v>157</v>
      </c>
      <c r="C43" s="1" t="s">
        <v>2887</v>
      </c>
      <c r="D43" s="1" t="s">
        <v>241</v>
      </c>
      <c r="E43" s="1" t="s">
        <v>859</v>
      </c>
      <c r="F43" s="52"/>
      <c r="G43" s="52"/>
      <c r="H43" s="52"/>
      <c r="I43" s="52" t="s">
        <v>2807</v>
      </c>
      <c r="J43" s="52"/>
      <c r="K43" s="20" t="s">
        <v>2888</v>
      </c>
    </row>
    <row r="44" customFormat="false" ht="30" hidden="false" customHeight="true" outlineLevel="0" collapsed="false">
      <c r="A44" s="1" t="s">
        <v>2411</v>
      </c>
      <c r="B44" s="1" t="s">
        <v>157</v>
      </c>
      <c r="C44" s="1" t="s">
        <v>2870</v>
      </c>
      <c r="D44" s="1" t="s">
        <v>847</v>
      </c>
      <c r="E44" s="1" t="s">
        <v>2871</v>
      </c>
      <c r="F44" s="52" t="n">
        <v>15.75</v>
      </c>
      <c r="G44" s="52"/>
      <c r="H44" s="52"/>
      <c r="I44" s="52"/>
      <c r="J44" s="52"/>
      <c r="K44" s="20" t="s">
        <v>2889</v>
      </c>
    </row>
    <row r="45" customFormat="false" ht="30" hidden="false" customHeight="true" outlineLevel="0" collapsed="false">
      <c r="A45" s="1" t="s">
        <v>2431</v>
      </c>
      <c r="B45" s="1" t="s">
        <v>157</v>
      </c>
      <c r="C45" s="1" t="s">
        <v>2873</v>
      </c>
      <c r="D45" s="1" t="s">
        <v>2874</v>
      </c>
      <c r="E45" s="1" t="s">
        <v>955</v>
      </c>
      <c r="F45" s="52"/>
      <c r="G45" s="52"/>
      <c r="H45" s="52" t="s">
        <v>286</v>
      </c>
      <c r="I45" s="52"/>
      <c r="J45" s="52"/>
      <c r="K45" s="20" t="s">
        <v>2890</v>
      </c>
    </row>
    <row r="46" customFormat="false" ht="30" hidden="false" customHeight="true" outlineLevel="0" collapsed="false">
      <c r="A46" s="1" t="s">
        <v>2477</v>
      </c>
      <c r="B46" s="1" t="s">
        <v>157</v>
      </c>
      <c r="C46" s="1" t="s">
        <v>2870</v>
      </c>
      <c r="D46" s="1" t="s">
        <v>847</v>
      </c>
      <c r="E46" s="1" t="s">
        <v>2871</v>
      </c>
      <c r="F46" s="52" t="n">
        <v>20.25</v>
      </c>
      <c r="G46" s="52"/>
      <c r="H46" s="52"/>
      <c r="I46" s="52"/>
      <c r="J46" s="52"/>
      <c r="K46" s="20" t="s">
        <v>2889</v>
      </c>
    </row>
    <row r="47" customFormat="false" ht="30" hidden="false" customHeight="true" outlineLevel="0" collapsed="false">
      <c r="A47" s="1" t="s">
        <v>2486</v>
      </c>
      <c r="B47" s="1" t="s">
        <v>157</v>
      </c>
      <c r="C47" s="1" t="s">
        <v>2887</v>
      </c>
      <c r="D47" s="1" t="s">
        <v>241</v>
      </c>
      <c r="E47" s="1" t="s">
        <v>859</v>
      </c>
      <c r="F47" s="52"/>
      <c r="G47" s="52"/>
      <c r="H47" s="52"/>
      <c r="I47" s="52" t="s">
        <v>2807</v>
      </c>
      <c r="J47" s="52"/>
      <c r="K47" s="20" t="s">
        <v>2888</v>
      </c>
    </row>
    <row r="48" customFormat="false" ht="30" hidden="false" customHeight="true" outlineLevel="0" collapsed="false">
      <c r="A48" s="1" t="s">
        <v>2487</v>
      </c>
      <c r="B48" s="1" t="s">
        <v>157</v>
      </c>
      <c r="C48" s="1" t="s">
        <v>2887</v>
      </c>
      <c r="D48" s="1" t="s">
        <v>241</v>
      </c>
      <c r="E48" s="1" t="s">
        <v>859</v>
      </c>
      <c r="F48" s="52"/>
      <c r="G48" s="52"/>
      <c r="H48" s="52"/>
      <c r="I48" s="52" t="s">
        <v>2807</v>
      </c>
      <c r="J48" s="52"/>
      <c r="K48" s="20" t="s">
        <v>2888</v>
      </c>
    </row>
    <row r="49" customFormat="false" ht="30" hidden="false" customHeight="true" outlineLevel="0" collapsed="false">
      <c r="A49" s="1" t="s">
        <v>2534</v>
      </c>
      <c r="B49" s="1" t="s">
        <v>158</v>
      </c>
      <c r="C49" s="1" t="s">
        <v>2873</v>
      </c>
      <c r="D49" s="1" t="s">
        <v>2874</v>
      </c>
      <c r="E49" s="1" t="s">
        <v>1013</v>
      </c>
      <c r="F49" s="52"/>
      <c r="G49" s="52"/>
      <c r="H49" s="52" t="s">
        <v>279</v>
      </c>
      <c r="I49" s="52"/>
      <c r="J49" s="52"/>
      <c r="K49" s="20" t="s">
        <v>2891</v>
      </c>
    </row>
    <row r="50" customFormat="false" ht="30" hidden="false" customHeight="true" outlineLevel="0" collapsed="false">
      <c r="A50" s="1" t="s">
        <v>2657</v>
      </c>
      <c r="B50" s="1" t="s">
        <v>158</v>
      </c>
      <c r="C50" s="1" t="s">
        <v>2870</v>
      </c>
      <c r="D50" s="1" t="s">
        <v>847</v>
      </c>
      <c r="E50" s="1" t="s">
        <v>2871</v>
      </c>
      <c r="F50" s="52"/>
      <c r="G50" s="52"/>
      <c r="H50" s="52"/>
      <c r="I50" s="52"/>
      <c r="J50" s="52" t="n">
        <v>0</v>
      </c>
      <c r="K50" s="20" t="s">
        <v>2892</v>
      </c>
    </row>
    <row r="51" customFormat="false" ht="30" hidden="false" customHeight="true" outlineLevel="0" collapsed="false">
      <c r="A51" s="1" t="s">
        <v>2659</v>
      </c>
      <c r="B51" s="1" t="s">
        <v>158</v>
      </c>
      <c r="C51" s="1" t="s">
        <v>2870</v>
      </c>
      <c r="D51" s="1" t="s">
        <v>847</v>
      </c>
      <c r="E51" s="1" t="s">
        <v>2871</v>
      </c>
      <c r="F51" s="52" t="n">
        <v>2.5</v>
      </c>
      <c r="G51" s="52"/>
      <c r="H51" s="52"/>
      <c r="I51" s="52"/>
      <c r="J51" s="52"/>
      <c r="K51" s="20" t="s">
        <v>2893</v>
      </c>
    </row>
    <row r="52" customFormat="false" ht="30" hidden="false" customHeight="true" outlineLevel="0" collapsed="false">
      <c r="A52" s="1" t="s">
        <v>2718</v>
      </c>
      <c r="B52" s="1" t="s">
        <v>158</v>
      </c>
      <c r="C52" s="1" t="s">
        <v>2894</v>
      </c>
      <c r="D52" s="1" t="s">
        <v>2895</v>
      </c>
      <c r="E52" s="1" t="s">
        <v>1103</v>
      </c>
      <c r="F52" s="52"/>
      <c r="G52" s="52"/>
      <c r="H52" s="52"/>
      <c r="I52" s="52"/>
      <c r="J52" s="52" t="n">
        <v>0</v>
      </c>
      <c r="K52" s="20" t="s">
        <v>2896</v>
      </c>
    </row>
    <row r="53" customFormat="false" ht="30" hidden="false" customHeight="true" outlineLevel="0" collapsed="false">
      <c r="A53" s="1" t="s">
        <v>2719</v>
      </c>
      <c r="B53" s="1" t="s">
        <v>158</v>
      </c>
      <c r="C53" s="1" t="s">
        <v>2894</v>
      </c>
      <c r="D53" s="1" t="s">
        <v>2895</v>
      </c>
      <c r="E53" s="1" t="s">
        <v>1103</v>
      </c>
      <c r="F53" s="52"/>
      <c r="G53" s="52"/>
      <c r="H53" s="52"/>
      <c r="I53" s="52"/>
      <c r="J53" s="52" t="n">
        <v>0</v>
      </c>
      <c r="K53" s="20" t="s">
        <v>2896</v>
      </c>
    </row>
  </sheetData>
  <dataValidations count="3">
    <dataValidation allowBlank="true" errorStyle="stop" operator="between" showDropDown="false" showErrorMessage="false" showInputMessage="false" sqref="H5:H103" type="list">
      <formula1>RATES!$A$6:$A$28</formula1>
      <formula2>0</formula2>
    </dataValidation>
    <dataValidation allowBlank="true" errorStyle="stop" operator="between" showDropDown="false" showErrorMessage="false" showInputMessage="false" sqref="I5:I103" type="list">
      <formula1>MAP!$N$7:$N$22</formula1>
      <formula2>0</formula2>
    </dataValidation>
    <dataValidation allowBlank="true" errorStyle="stop" operator="between" showDropDown="false" showErrorMessage="false" showInputMessage="false" sqref="J5:J103" type="list">
      <formula1>"0,1"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E7C78"/>
    <pageSetUpPr fitToPage="false"/>
  </sheetPr>
  <dimension ref="A1: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18"/>
    <col collapsed="false" customWidth="true" hidden="false" outlineLevel="0" max="3" min="3" style="1" width="14"/>
    <col collapsed="false" customWidth="true" hidden="false" outlineLevel="0" max="4" min="4" style="1" width="13"/>
    <col collapsed="false" customWidth="true" hidden="false" outlineLevel="0" max="5" min="5" style="1" width="16"/>
    <col collapsed="false" customWidth="true" hidden="false" outlineLevel="0" max="6" min="6" style="1" width="60"/>
  </cols>
  <sheetData>
    <row r="1" customFormat="false" ht="18.55" hidden="false" customHeight="false" outlineLevel="0" collapsed="false">
      <c r="A1" s="11" t="s">
        <v>2897</v>
      </c>
    </row>
    <row r="2" customFormat="false" ht="15" hidden="false" customHeight="false" outlineLevel="0" collapsed="false">
      <c r="A2" s="12" t="s">
        <v>2898</v>
      </c>
    </row>
    <row r="3" customFormat="false" ht="15" hidden="false" customHeight="false" outlineLevel="0" collapsed="false">
      <c r="A3" s="4" t="s">
        <v>2</v>
      </c>
    </row>
    <row r="4" customFormat="false" ht="15" hidden="false" customHeight="false" outlineLevel="0" collapsed="false">
      <c r="A4" s="13" t="s">
        <v>2899</v>
      </c>
      <c r="C4" s="54" t="n">
        <v>0.285</v>
      </c>
    </row>
    <row r="5" customFormat="false" ht="30" hidden="false" customHeight="true" outlineLevel="0" collapsed="false">
      <c r="A5" s="7" t="s">
        <v>2772</v>
      </c>
      <c r="B5" s="7" t="s">
        <v>2773</v>
      </c>
      <c r="C5" s="7" t="s">
        <v>2900</v>
      </c>
      <c r="D5" s="7" t="s">
        <v>2901</v>
      </c>
      <c r="E5" s="7" t="s">
        <v>2902</v>
      </c>
      <c r="F5" s="7" t="s">
        <v>2903</v>
      </c>
    </row>
    <row r="6" customFormat="false" ht="15" hidden="false" customHeight="false" outlineLevel="0" collapsed="false">
      <c r="A6" s="1" t="s">
        <v>303</v>
      </c>
      <c r="B6" s="1" t="s">
        <v>2782</v>
      </c>
      <c r="C6" s="55" t="n">
        <v>118</v>
      </c>
      <c r="D6" s="56" t="n">
        <f aca="false">$C$4</f>
        <v>0.285</v>
      </c>
      <c r="E6" s="57" t="n">
        <f aca="false">C6*(1+D6)</f>
        <v>151.63</v>
      </c>
    </row>
    <row r="7" customFormat="false" ht="15" hidden="false" customHeight="false" outlineLevel="0" collapsed="false">
      <c r="A7" s="1" t="s">
        <v>305</v>
      </c>
      <c r="B7" s="1" t="s">
        <v>2782</v>
      </c>
      <c r="C7" s="55" t="n">
        <v>31.5</v>
      </c>
      <c r="D7" s="54" t="n">
        <v>0.22</v>
      </c>
      <c r="E7" s="57" t="n">
        <f aca="false">C7*(1+D7)</f>
        <v>38.43</v>
      </c>
      <c r="F7" s="37" t="s">
        <v>2904</v>
      </c>
    </row>
    <row r="8" customFormat="false" ht="15" hidden="false" customHeight="false" outlineLevel="0" collapsed="false">
      <c r="A8" s="1" t="s">
        <v>414</v>
      </c>
      <c r="B8" s="1" t="s">
        <v>2782</v>
      </c>
      <c r="C8" s="55" t="n">
        <v>62</v>
      </c>
      <c r="D8" s="56" t="n">
        <f aca="false">$C$4</f>
        <v>0.285</v>
      </c>
      <c r="E8" s="57" t="n">
        <f aca="false">C8*(1+D8)</f>
        <v>79.67</v>
      </c>
    </row>
    <row r="9" customFormat="false" ht="15" hidden="false" customHeight="false" outlineLevel="0" collapsed="false">
      <c r="A9" s="1" t="s">
        <v>357</v>
      </c>
      <c r="B9" s="1" t="s">
        <v>2824</v>
      </c>
      <c r="C9" s="55" t="n">
        <v>43.5</v>
      </c>
      <c r="D9" s="56" t="n">
        <f aca="false">$C$4</f>
        <v>0.285</v>
      </c>
      <c r="E9" s="57" t="n">
        <f aca="false">C9*(1+D9)</f>
        <v>55.8975</v>
      </c>
    </row>
    <row r="10" customFormat="false" ht="15" hidden="false" customHeight="false" outlineLevel="0" collapsed="false">
      <c r="A10" s="1" t="s">
        <v>255</v>
      </c>
      <c r="B10" s="1" t="s">
        <v>2824</v>
      </c>
      <c r="C10" s="55" t="n">
        <v>49</v>
      </c>
      <c r="D10" s="56" t="n">
        <f aca="false">$C$4</f>
        <v>0.285</v>
      </c>
      <c r="E10" s="57" t="n">
        <f aca="false">C10*(1+D10)</f>
        <v>62.965</v>
      </c>
    </row>
    <row r="11" customFormat="false" ht="15" hidden="false" customHeight="false" outlineLevel="0" collapsed="false">
      <c r="A11" s="1" t="s">
        <v>279</v>
      </c>
      <c r="B11" s="1" t="s">
        <v>2832</v>
      </c>
      <c r="C11" s="55" t="n">
        <v>19.75</v>
      </c>
      <c r="D11" s="56" t="n">
        <f aca="false">$C$4</f>
        <v>0.285</v>
      </c>
      <c r="E11" s="57" t="n">
        <f aca="false">C11*(1+D11)</f>
        <v>25.37875</v>
      </c>
    </row>
    <row r="12" customFormat="false" ht="15" hidden="false" customHeight="false" outlineLevel="0" collapsed="false">
      <c r="A12" s="1" t="s">
        <v>273</v>
      </c>
      <c r="B12" s="1" t="s">
        <v>2836</v>
      </c>
      <c r="C12" s="55" t="n">
        <v>66</v>
      </c>
      <c r="D12" s="56" t="n">
        <f aca="false">$C$4</f>
        <v>0.285</v>
      </c>
      <c r="E12" s="57" t="n">
        <f aca="false">C12*(1+D12)</f>
        <v>84.81</v>
      </c>
    </row>
    <row r="13" customFormat="false" ht="15" hidden="false" customHeight="false" outlineLevel="0" collapsed="false">
      <c r="A13" s="1" t="s">
        <v>259</v>
      </c>
      <c r="B13" s="1" t="s">
        <v>2836</v>
      </c>
      <c r="C13" s="55" t="n">
        <v>36.5</v>
      </c>
      <c r="D13" s="56" t="n">
        <f aca="false">$C$4</f>
        <v>0.285</v>
      </c>
      <c r="E13" s="57" t="n">
        <f aca="false">C13*(1+D13)</f>
        <v>46.9025</v>
      </c>
    </row>
    <row r="14" customFormat="false" ht="15" hidden="false" customHeight="false" outlineLevel="0" collapsed="false">
      <c r="A14" s="1" t="s">
        <v>270</v>
      </c>
      <c r="B14" s="1" t="s">
        <v>2836</v>
      </c>
      <c r="C14" s="55" t="n">
        <v>42</v>
      </c>
      <c r="D14" s="56" t="n">
        <f aca="false">$C$4</f>
        <v>0.285</v>
      </c>
      <c r="E14" s="57" t="n">
        <f aca="false">C14*(1+D14)</f>
        <v>53.97</v>
      </c>
    </row>
    <row r="15" customFormat="false" ht="15" hidden="false" customHeight="false" outlineLevel="0" collapsed="false">
      <c r="A15" s="1" t="s">
        <v>356</v>
      </c>
      <c r="B15" s="1" t="s">
        <v>2836</v>
      </c>
      <c r="C15" s="55" t="n">
        <v>27</v>
      </c>
      <c r="D15" s="56" t="n">
        <f aca="false">$C$4</f>
        <v>0.285</v>
      </c>
      <c r="E15" s="57" t="n">
        <f aca="false">C15*(1+D15)</f>
        <v>34.695</v>
      </c>
    </row>
    <row r="16" customFormat="false" ht="15" hidden="false" customHeight="false" outlineLevel="0" collapsed="false">
      <c r="A16" s="1" t="s">
        <v>349</v>
      </c>
      <c r="B16" s="1" t="s">
        <v>2838</v>
      </c>
      <c r="C16" s="55" t="n">
        <v>35.5</v>
      </c>
      <c r="D16" s="56" t="n">
        <f aca="false">$C$4</f>
        <v>0.285</v>
      </c>
      <c r="E16" s="57" t="n">
        <f aca="false">C16*(1+D16)</f>
        <v>45.6175</v>
      </c>
    </row>
    <row r="17" customFormat="false" ht="15" hidden="false" customHeight="false" outlineLevel="0" collapsed="false">
      <c r="A17" s="1" t="s">
        <v>345</v>
      </c>
      <c r="B17" s="1" t="s">
        <v>2838</v>
      </c>
      <c r="C17" s="55" t="n">
        <v>31</v>
      </c>
      <c r="D17" s="56" t="n">
        <f aca="false">$C$4</f>
        <v>0.285</v>
      </c>
      <c r="E17" s="57" t="n">
        <f aca="false">C17*(1+D17)</f>
        <v>39.835</v>
      </c>
    </row>
    <row r="18" customFormat="false" ht="15" hidden="false" customHeight="false" outlineLevel="0" collapsed="false">
      <c r="A18" s="1" t="s">
        <v>286</v>
      </c>
      <c r="B18" s="1" t="s">
        <v>2853</v>
      </c>
      <c r="C18" s="55" t="n">
        <v>21.5</v>
      </c>
      <c r="D18" s="56" t="n">
        <f aca="false">$C$4</f>
        <v>0.285</v>
      </c>
      <c r="E18" s="57" t="n">
        <f aca="false">C18*(1+D18)</f>
        <v>27.6275</v>
      </c>
    </row>
    <row r="19" customFormat="false" ht="15" hidden="false" customHeight="false" outlineLevel="0" collapsed="false">
      <c r="A19" s="1" t="s">
        <v>383</v>
      </c>
      <c r="B19" s="1" t="s">
        <v>2853</v>
      </c>
      <c r="C19" s="55" t="n">
        <v>24</v>
      </c>
      <c r="D19" s="56" t="n">
        <f aca="false">$C$4</f>
        <v>0.285</v>
      </c>
      <c r="E19" s="57" t="n">
        <f aca="false">C19*(1+D19)</f>
        <v>30.84</v>
      </c>
    </row>
    <row r="20" customFormat="false" ht="15" hidden="false" customHeight="false" outlineLevel="0" collapsed="false">
      <c r="A20" s="1" t="s">
        <v>276</v>
      </c>
      <c r="B20" s="1" t="s">
        <v>2853</v>
      </c>
      <c r="C20" s="55" t="n">
        <v>29</v>
      </c>
      <c r="D20" s="56" t="n">
        <f aca="false">$C$4</f>
        <v>0.285</v>
      </c>
      <c r="E20" s="57" t="n">
        <f aca="false">C20*(1+D20)</f>
        <v>37.265</v>
      </c>
    </row>
    <row r="21" customFormat="false" ht="15" hidden="false" customHeight="false" outlineLevel="0" collapsed="false">
      <c r="A21" s="1" t="s">
        <v>402</v>
      </c>
      <c r="B21" s="1" t="s">
        <v>2853</v>
      </c>
      <c r="C21" s="55" t="n">
        <v>25.5</v>
      </c>
      <c r="D21" s="56" t="n">
        <f aca="false">$C$4</f>
        <v>0.285</v>
      </c>
      <c r="E21" s="57" t="n">
        <f aca="false">C21*(1+D21)</f>
        <v>32.7675</v>
      </c>
    </row>
    <row r="22" customFormat="false" ht="15" hidden="false" customHeight="false" outlineLevel="0" collapsed="false">
      <c r="A22" s="1" t="s">
        <v>310</v>
      </c>
      <c r="B22" s="1" t="s">
        <v>167</v>
      </c>
      <c r="C22" s="55" t="n">
        <v>33</v>
      </c>
      <c r="D22" s="56" t="n">
        <f aca="false">$C$4</f>
        <v>0.285</v>
      </c>
      <c r="E22" s="57" t="n">
        <f aca="false">C22*(1+D22)</f>
        <v>42.405</v>
      </c>
    </row>
    <row r="23" customFormat="false" ht="15" hidden="false" customHeight="false" outlineLevel="0" collapsed="false">
      <c r="A23" s="1" t="s">
        <v>362</v>
      </c>
      <c r="B23" s="1" t="s">
        <v>2856</v>
      </c>
      <c r="C23" s="55" t="n">
        <v>38</v>
      </c>
      <c r="D23" s="56" t="n">
        <f aca="false">$C$4</f>
        <v>0.285</v>
      </c>
      <c r="E23" s="57" t="n">
        <f aca="false">C23*(1+D23)</f>
        <v>48.83</v>
      </c>
    </row>
    <row r="24" customFormat="false" ht="15" hidden="false" customHeight="false" outlineLevel="0" collapsed="false">
      <c r="A24" s="1" t="s">
        <v>256</v>
      </c>
      <c r="B24" s="1" t="s">
        <v>2856</v>
      </c>
      <c r="C24" s="55" t="n">
        <v>27.5</v>
      </c>
      <c r="D24" s="56" t="n">
        <f aca="false">$C$4</f>
        <v>0.285</v>
      </c>
      <c r="E24" s="57" t="n">
        <f aca="false">C24*(1+D24)</f>
        <v>35.3375</v>
      </c>
    </row>
    <row r="25" customFormat="false" ht="15" hidden="false" customHeight="false" outlineLevel="0" collapsed="false">
      <c r="A25" s="1" t="s">
        <v>292</v>
      </c>
      <c r="B25" s="1" t="s">
        <v>2856</v>
      </c>
      <c r="C25" s="55" t="n">
        <v>46</v>
      </c>
      <c r="D25" s="56" t="n">
        <f aca="false">$C$4</f>
        <v>0.285</v>
      </c>
      <c r="E25" s="57" t="n">
        <f aca="false">C25*(1+D25)</f>
        <v>59.11</v>
      </c>
    </row>
    <row r="26" customFormat="false" ht="15" hidden="false" customHeight="false" outlineLevel="0" collapsed="false">
      <c r="A26" s="1" t="s">
        <v>401</v>
      </c>
      <c r="B26" s="1" t="s">
        <v>2856</v>
      </c>
      <c r="C26" s="55" t="n">
        <v>21</v>
      </c>
      <c r="D26" s="56" t="n">
        <f aca="false">$C$4</f>
        <v>0.285</v>
      </c>
      <c r="E26" s="57" t="n">
        <f aca="false">C26*(1+D26)</f>
        <v>26.985</v>
      </c>
    </row>
    <row r="27" customFormat="false" ht="15" hidden="false" customHeight="false" outlineLevel="0" collapsed="false">
      <c r="A27" s="1" t="s">
        <v>373</v>
      </c>
      <c r="B27" s="1" t="s">
        <v>2857</v>
      </c>
      <c r="C27" s="55" t="n">
        <v>72</v>
      </c>
      <c r="D27" s="56" t="n">
        <f aca="false">$C$4</f>
        <v>0.285</v>
      </c>
      <c r="E27" s="57" t="n">
        <f aca="false">C27*(1+D27)</f>
        <v>92.52</v>
      </c>
    </row>
    <row r="28" customFormat="false" ht="15" hidden="false" customHeight="false" outlineLevel="0" collapsed="false">
      <c r="A28" s="1" t="s">
        <v>2858</v>
      </c>
      <c r="B28" s="1" t="s">
        <v>2859</v>
      </c>
      <c r="C28" s="55" t="n">
        <v>0</v>
      </c>
      <c r="D28" s="54" t="n">
        <v>0</v>
      </c>
      <c r="E28" s="57" t="n">
        <f aca="false">C28*(1+D28)</f>
        <v>0</v>
      </c>
      <c r="F28" s="37" t="s">
        <v>2905</v>
      </c>
    </row>
    <row r="30" customFormat="false" ht="15" hidden="false" customHeight="false" outlineLevel="0" collapsed="false">
      <c r="A30" s="4" t="s">
        <v>2906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E7C78"/>
    <pageSetUpPr fitToPage="false"/>
  </sheetPr>
  <dimension ref="A1: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3" min="2" style="1" width="30"/>
    <col collapsed="false" customWidth="true" hidden="false" outlineLevel="0" max="4" min="4" style="1" width="18"/>
    <col collapsed="false" customWidth="true" hidden="false" outlineLevel="0" max="6" min="5" style="1" width="22"/>
    <col collapsed="false" customWidth="true" hidden="false" outlineLevel="0" max="7" min="7" style="1" width="26"/>
    <col collapsed="false" customWidth="true" hidden="false" outlineLevel="0" max="8" min="8" style="1" width="18"/>
  </cols>
  <sheetData>
    <row r="1" customFormat="false" ht="18.55" hidden="false" customHeight="false" outlineLevel="0" collapsed="false">
      <c r="A1" s="11" t="s">
        <v>2907</v>
      </c>
    </row>
    <row r="2" customFormat="false" ht="15" hidden="false" customHeight="false" outlineLevel="0" collapsed="false">
      <c r="A2" s="12" t="s">
        <v>2908</v>
      </c>
    </row>
    <row r="3" customFormat="false" ht="15" hidden="false" customHeight="false" outlineLevel="0" collapsed="false">
      <c r="A3" s="4" t="s">
        <v>2</v>
      </c>
    </row>
    <row r="5" customFormat="false" ht="15" hidden="false" customHeight="false" outlineLevel="0" collapsed="false">
      <c r="A5" s="13" t="s">
        <v>2909</v>
      </c>
      <c r="C5" s="52" t="s">
        <v>2910</v>
      </c>
    </row>
    <row r="6" customFormat="false" ht="15" hidden="false" customHeight="false" outlineLevel="0" collapsed="false">
      <c r="A6" s="13" t="s">
        <v>2911</v>
      </c>
      <c r="C6" s="53" t="n">
        <v>45839</v>
      </c>
    </row>
    <row r="7" customFormat="false" ht="15" hidden="false" customHeight="false" outlineLevel="0" collapsed="false">
      <c r="A7" s="13" t="s">
        <v>2912</v>
      </c>
      <c r="C7" s="53" t="n">
        <v>46203</v>
      </c>
    </row>
    <row r="9" customFormat="false" ht="57.75" hidden="false" customHeight="true" outlineLevel="0" collapsed="false">
      <c r="A9" s="7" t="s">
        <v>2913</v>
      </c>
      <c r="B9" s="7" t="s">
        <v>187</v>
      </c>
      <c r="C9" s="7" t="s">
        <v>2914</v>
      </c>
      <c r="D9" s="7" t="s">
        <v>2915</v>
      </c>
      <c r="E9" s="7" t="s">
        <v>2916</v>
      </c>
      <c r="F9" s="7" t="s">
        <v>2917</v>
      </c>
      <c r="G9" s="7" t="s">
        <v>67</v>
      </c>
      <c r="H9" s="7" t="s">
        <v>2918</v>
      </c>
    </row>
    <row r="10" customFormat="false" ht="15" hidden="false" customHeight="false" outlineLevel="0" collapsed="false">
      <c r="A10" s="1" t="s">
        <v>154</v>
      </c>
      <c r="B10" s="1" t="s">
        <v>2919</v>
      </c>
      <c r="C10" s="1" t="s">
        <v>2920</v>
      </c>
      <c r="D10" s="1" t="n">
        <v>486</v>
      </c>
      <c r="E10" s="58" t="n">
        <v>1118400000</v>
      </c>
      <c r="F10" s="58" t="n">
        <v>21350000</v>
      </c>
      <c r="G10" s="35" t="n">
        <f aca="false">E10-F10</f>
        <v>1097050000</v>
      </c>
      <c r="H10" s="54" t="n">
        <v>0.185</v>
      </c>
    </row>
    <row r="11" customFormat="false" ht="15" hidden="false" customHeight="false" outlineLevel="0" collapsed="false">
      <c r="A11" s="1" t="s">
        <v>155</v>
      </c>
      <c r="B11" s="1" t="s">
        <v>2921</v>
      </c>
      <c r="C11" s="1" t="s">
        <v>2922</v>
      </c>
      <c r="D11" s="1" t="n">
        <v>212</v>
      </c>
      <c r="E11" s="58" t="n">
        <v>409750000</v>
      </c>
      <c r="F11" s="58" t="n">
        <v>8920000</v>
      </c>
      <c r="G11" s="35" t="n">
        <f aca="false">E11-F11</f>
        <v>400830000</v>
      </c>
      <c r="H11" s="54" t="n">
        <v>0.162</v>
      </c>
    </row>
    <row r="12" customFormat="false" ht="15" hidden="false" customHeight="false" outlineLevel="0" collapsed="false">
      <c r="A12" s="1" t="s">
        <v>156</v>
      </c>
      <c r="B12" s="1" t="s">
        <v>2923</v>
      </c>
      <c r="C12" s="1" t="s">
        <v>2922</v>
      </c>
      <c r="D12" s="1" t="n">
        <v>168</v>
      </c>
      <c r="E12" s="58" t="n">
        <v>317900000</v>
      </c>
      <c r="F12" s="58" t="n">
        <v>7140000</v>
      </c>
      <c r="G12" s="35" t="n">
        <f aca="false">E12-F12</f>
        <v>310760000</v>
      </c>
      <c r="H12" s="54" t="n">
        <v>0.158</v>
      </c>
    </row>
    <row r="13" customFormat="false" ht="15" hidden="false" customHeight="false" outlineLevel="0" collapsed="false">
      <c r="A13" s="1" t="s">
        <v>157</v>
      </c>
      <c r="B13" s="1" t="s">
        <v>2924</v>
      </c>
      <c r="C13" s="1" t="s">
        <v>2925</v>
      </c>
      <c r="D13" s="1" t="n">
        <v>64</v>
      </c>
      <c r="E13" s="58" t="n">
        <v>96300000</v>
      </c>
      <c r="F13" s="58" t="n">
        <v>2610000</v>
      </c>
      <c r="G13" s="35" t="n">
        <f aca="false">E13-F13</f>
        <v>93690000</v>
      </c>
      <c r="H13" s="54" t="n">
        <v>0.141</v>
      </c>
    </row>
    <row r="14" customFormat="false" ht="15" hidden="false" customHeight="false" outlineLevel="0" collapsed="false">
      <c r="A14" s="1" t="s">
        <v>158</v>
      </c>
      <c r="B14" s="1" t="s">
        <v>2926</v>
      </c>
      <c r="C14" s="1" t="s">
        <v>2927</v>
      </c>
      <c r="D14" s="1" t="n">
        <v>128</v>
      </c>
      <c r="E14" s="58" t="n">
        <v>236200000</v>
      </c>
      <c r="F14" s="58" t="n">
        <v>5480000</v>
      </c>
      <c r="G14" s="35" t="n">
        <f aca="false">E14-F14</f>
        <v>230720000</v>
      </c>
      <c r="H14" s="54" t="n">
        <v>0.151</v>
      </c>
    </row>
    <row r="15" customFormat="false" ht="15" hidden="false" customHeight="false" outlineLevel="0" collapsed="false">
      <c r="A15" s="13" t="s">
        <v>65</v>
      </c>
      <c r="E15" s="16" t="n">
        <f aca="false">SUM(E10:E14)</f>
        <v>2178550000</v>
      </c>
      <c r="F15" s="16" t="n">
        <f aca="false">SUM(F10:F14)</f>
        <v>45500000</v>
      </c>
      <c r="G15" s="16" t="n">
        <f aca="false">SUM(G10:G14)</f>
        <v>2133050000</v>
      </c>
    </row>
    <row r="16" customFormat="false" ht="15" hidden="false" customHeight="false" outlineLevel="0" collapsed="false">
      <c r="A16" s="4" t="s">
        <v>2928</v>
      </c>
    </row>
    <row r="18" customFormat="false" ht="43.5" hidden="false" customHeight="true" outlineLevel="0" collapsed="false">
      <c r="A18" s="7" t="s">
        <v>2913</v>
      </c>
      <c r="B18" s="7" t="s">
        <v>2776</v>
      </c>
      <c r="C18" s="7" t="s">
        <v>2929</v>
      </c>
      <c r="D18" s="7" t="s">
        <v>2930</v>
      </c>
      <c r="E18" s="7" t="s">
        <v>2931</v>
      </c>
      <c r="F18" s="7" t="s">
        <v>2932</v>
      </c>
      <c r="G18" s="7" t="s">
        <v>14</v>
      </c>
    </row>
    <row r="19" customFormat="false" ht="15" hidden="false" customHeight="false" outlineLevel="0" collapsed="false">
      <c r="A19" s="1" t="s">
        <v>154</v>
      </c>
      <c r="B19" s="1" t="s">
        <v>88</v>
      </c>
      <c r="C19" s="1" t="s">
        <v>160</v>
      </c>
      <c r="D19" s="58" t="n">
        <v>31840000</v>
      </c>
      <c r="E19" s="58" t="n">
        <v>2150000</v>
      </c>
      <c r="F19" s="35" t="n">
        <f aca="false">D19-E19</f>
        <v>29690000</v>
      </c>
      <c r="G19" s="37" t="s">
        <v>2933</v>
      </c>
    </row>
    <row r="20" customFormat="false" ht="15" hidden="false" customHeight="false" outlineLevel="0" collapsed="false">
      <c r="A20" s="1" t="s">
        <v>155</v>
      </c>
      <c r="B20" s="1" t="s">
        <v>88</v>
      </c>
      <c r="C20" s="1" t="s">
        <v>160</v>
      </c>
      <c r="D20" s="58" t="n">
        <v>12460000</v>
      </c>
      <c r="E20" s="58" t="n">
        <v>610000</v>
      </c>
      <c r="F20" s="35" t="n">
        <f aca="false">D20-E20</f>
        <v>11850000</v>
      </c>
      <c r="G20" s="37" t="s">
        <v>2933</v>
      </c>
    </row>
    <row r="21" customFormat="false" ht="15" hidden="false" customHeight="false" outlineLevel="0" collapsed="false">
      <c r="A21" s="1" t="s">
        <v>156</v>
      </c>
      <c r="B21" s="1" t="s">
        <v>88</v>
      </c>
      <c r="C21" s="1" t="s">
        <v>160</v>
      </c>
      <c r="D21" s="58" t="n">
        <v>10380000</v>
      </c>
      <c r="E21" s="58" t="n">
        <v>540000</v>
      </c>
      <c r="F21" s="35" t="n">
        <f aca="false">D21-E21</f>
        <v>9840000</v>
      </c>
      <c r="G21" s="37" t="s">
        <v>2933</v>
      </c>
    </row>
    <row r="22" customFormat="false" ht="15" hidden="false" customHeight="false" outlineLevel="0" collapsed="false">
      <c r="A22" s="1" t="s">
        <v>157</v>
      </c>
      <c r="B22" s="1" t="s">
        <v>88</v>
      </c>
      <c r="C22" s="1" t="s">
        <v>160</v>
      </c>
      <c r="D22" s="58" t="n">
        <v>4620000</v>
      </c>
      <c r="E22" s="58" t="n">
        <v>380000</v>
      </c>
      <c r="F22" s="35" t="n">
        <f aca="false">D22-E22</f>
        <v>4240000</v>
      </c>
      <c r="G22" s="37" t="s">
        <v>2933</v>
      </c>
    </row>
    <row r="23" customFormat="false" ht="15" hidden="false" customHeight="false" outlineLevel="0" collapsed="false">
      <c r="A23" s="1" t="s">
        <v>158</v>
      </c>
      <c r="B23" s="1" t="s">
        <v>88</v>
      </c>
      <c r="C23" s="1" t="s">
        <v>160</v>
      </c>
      <c r="D23" s="58" t="n">
        <v>7290000</v>
      </c>
      <c r="E23" s="58" t="n">
        <v>420000</v>
      </c>
      <c r="F23" s="35" t="n">
        <f aca="false">D23-E23</f>
        <v>6870000</v>
      </c>
      <c r="G23" s="37" t="s">
        <v>2933</v>
      </c>
    </row>
    <row r="24" customFormat="false" ht="15" hidden="false" customHeight="false" outlineLevel="0" collapsed="false">
      <c r="A24" s="1" t="s">
        <v>154</v>
      </c>
      <c r="B24" s="1" t="s">
        <v>92</v>
      </c>
      <c r="C24" s="1" t="s">
        <v>161</v>
      </c>
      <c r="D24" s="58" t="n">
        <v>262500000</v>
      </c>
      <c r="E24" s="58" t="n">
        <v>196800000</v>
      </c>
      <c r="F24" s="35" t="n">
        <f aca="false">D24-E24</f>
        <v>65700000</v>
      </c>
      <c r="G24" s="37" t="s">
        <v>2934</v>
      </c>
    </row>
    <row r="25" customFormat="false" ht="15" hidden="false" customHeight="false" outlineLevel="0" collapsed="false">
      <c r="A25" s="1" t="s">
        <v>155</v>
      </c>
      <c r="B25" s="1" t="s">
        <v>92</v>
      </c>
      <c r="C25" s="1" t="s">
        <v>161</v>
      </c>
      <c r="D25" s="58" t="n">
        <v>88100000</v>
      </c>
      <c r="E25" s="58" t="n">
        <v>65400000</v>
      </c>
      <c r="F25" s="35" t="n">
        <f aca="false">D25-E25</f>
        <v>22700000</v>
      </c>
      <c r="G25" s="37" t="s">
        <v>2934</v>
      </c>
    </row>
    <row r="26" customFormat="false" ht="15" hidden="false" customHeight="false" outlineLevel="0" collapsed="false">
      <c r="A26" s="1" t="s">
        <v>156</v>
      </c>
      <c r="B26" s="1" t="s">
        <v>92</v>
      </c>
      <c r="C26" s="1" t="s">
        <v>161</v>
      </c>
      <c r="D26" s="58" t="n">
        <v>71900000</v>
      </c>
      <c r="E26" s="58" t="n">
        <v>54300000</v>
      </c>
      <c r="F26" s="35" t="n">
        <f aca="false">D26-E26</f>
        <v>17600000</v>
      </c>
      <c r="G26" s="37" t="s">
        <v>2934</v>
      </c>
    </row>
    <row r="27" customFormat="false" ht="15" hidden="false" customHeight="false" outlineLevel="0" collapsed="false">
      <c r="A27" s="1" t="s">
        <v>157</v>
      </c>
      <c r="B27" s="1" t="s">
        <v>92</v>
      </c>
      <c r="C27" s="1" t="s">
        <v>161</v>
      </c>
      <c r="D27" s="58" t="n">
        <v>31200000</v>
      </c>
      <c r="E27" s="58" t="n">
        <v>23650000</v>
      </c>
      <c r="F27" s="35" t="n">
        <f aca="false">D27-E27</f>
        <v>7550000</v>
      </c>
      <c r="G27" s="37" t="s">
        <v>2934</v>
      </c>
    </row>
    <row r="28" customFormat="false" ht="15" hidden="false" customHeight="false" outlineLevel="0" collapsed="false">
      <c r="A28" s="1" t="s">
        <v>158</v>
      </c>
      <c r="B28" s="1" t="s">
        <v>92</v>
      </c>
      <c r="C28" s="1" t="s">
        <v>161</v>
      </c>
      <c r="D28" s="58" t="n">
        <v>52700000</v>
      </c>
      <c r="E28" s="58" t="n">
        <v>39900000</v>
      </c>
      <c r="F28" s="35" t="n">
        <f aca="false">D28-E28</f>
        <v>12800000</v>
      </c>
      <c r="G28" s="37" t="s">
        <v>2934</v>
      </c>
    </row>
    <row r="29" customFormat="false" ht="15" hidden="false" customHeight="false" outlineLevel="0" collapsed="false">
      <c r="A29" s="1" t="s">
        <v>154</v>
      </c>
      <c r="B29" s="1" t="s">
        <v>96</v>
      </c>
      <c r="C29" s="1" t="s">
        <v>162</v>
      </c>
      <c r="D29" s="58" t="n">
        <v>9870000</v>
      </c>
      <c r="E29" s="58" t="n">
        <v>7420000</v>
      </c>
      <c r="F29" s="35" t="n">
        <f aca="false">D29-E29</f>
        <v>2450000</v>
      </c>
      <c r="G29" s="37" t="s">
        <v>2935</v>
      </c>
    </row>
    <row r="30" customFormat="false" ht="15" hidden="false" customHeight="false" outlineLevel="0" collapsed="false">
      <c r="A30" s="1" t="s">
        <v>155</v>
      </c>
      <c r="B30" s="1" t="s">
        <v>96</v>
      </c>
      <c r="C30" s="1" t="s">
        <v>162</v>
      </c>
      <c r="D30" s="58" t="n">
        <v>3150000</v>
      </c>
      <c r="E30" s="58" t="n">
        <v>2380000</v>
      </c>
      <c r="F30" s="35" t="n">
        <f aca="false">D30-E30</f>
        <v>770000</v>
      </c>
      <c r="G30" s="37" t="s">
        <v>2935</v>
      </c>
    </row>
    <row r="31" customFormat="false" ht="15" hidden="false" customHeight="false" outlineLevel="0" collapsed="false">
      <c r="A31" s="1" t="s">
        <v>156</v>
      </c>
      <c r="B31" s="1" t="s">
        <v>96</v>
      </c>
      <c r="C31" s="1" t="s">
        <v>162</v>
      </c>
      <c r="D31" s="58" t="n">
        <v>2640000</v>
      </c>
      <c r="E31" s="58" t="n">
        <v>2010000</v>
      </c>
      <c r="F31" s="35" t="n">
        <f aca="false">D31-E31</f>
        <v>630000</v>
      </c>
      <c r="G31" s="37" t="s">
        <v>2935</v>
      </c>
    </row>
    <row r="32" customFormat="false" ht="15" hidden="false" customHeight="false" outlineLevel="0" collapsed="false">
      <c r="A32" s="1" t="s">
        <v>157</v>
      </c>
      <c r="B32" s="1" t="s">
        <v>96</v>
      </c>
      <c r="C32" s="1" t="s">
        <v>162</v>
      </c>
      <c r="D32" s="58" t="n">
        <v>1180000</v>
      </c>
      <c r="E32" s="58" t="n">
        <v>905000</v>
      </c>
      <c r="F32" s="35" t="n">
        <f aca="false">D32-E32</f>
        <v>275000</v>
      </c>
      <c r="G32" s="37" t="s">
        <v>2935</v>
      </c>
    </row>
    <row r="33" customFormat="false" ht="15" hidden="false" customHeight="false" outlineLevel="0" collapsed="false">
      <c r="A33" s="1" t="s">
        <v>158</v>
      </c>
      <c r="B33" s="1" t="s">
        <v>96</v>
      </c>
      <c r="C33" s="1" t="s">
        <v>162</v>
      </c>
      <c r="D33" s="58" t="n">
        <v>1960000</v>
      </c>
      <c r="E33" s="58" t="n">
        <v>1495000</v>
      </c>
      <c r="F33" s="35" t="n">
        <f aca="false">D33-E33</f>
        <v>465000</v>
      </c>
      <c r="G33" s="37" t="s">
        <v>2935</v>
      </c>
    </row>
    <row r="34" customFormat="false" ht="15" hidden="false" customHeight="false" outlineLevel="0" collapsed="false">
      <c r="A34" s="1" t="s">
        <v>154</v>
      </c>
      <c r="B34" s="1" t="s">
        <v>115</v>
      </c>
      <c r="C34" s="1" t="s">
        <v>166</v>
      </c>
      <c r="D34" s="58" t="n">
        <v>24300000</v>
      </c>
      <c r="E34" s="58" t="n">
        <v>13900000</v>
      </c>
      <c r="F34" s="35" t="n">
        <f aca="false">D34-E34</f>
        <v>10400000</v>
      </c>
      <c r="G34" s="37" t="s">
        <v>2936</v>
      </c>
    </row>
    <row r="35" customFormat="false" ht="15" hidden="false" customHeight="false" outlineLevel="0" collapsed="false">
      <c r="A35" s="1" t="s">
        <v>155</v>
      </c>
      <c r="B35" s="1" t="s">
        <v>115</v>
      </c>
      <c r="C35" s="1" t="s">
        <v>166</v>
      </c>
      <c r="D35" s="58" t="n">
        <v>7850000</v>
      </c>
      <c r="E35" s="58" t="n">
        <v>4620000</v>
      </c>
      <c r="F35" s="35" t="n">
        <f aca="false">D35-E35</f>
        <v>3230000</v>
      </c>
      <c r="G35" s="37" t="s">
        <v>2936</v>
      </c>
    </row>
    <row r="36" customFormat="false" ht="15" hidden="false" customHeight="false" outlineLevel="0" collapsed="false">
      <c r="A36" s="1" t="s">
        <v>156</v>
      </c>
      <c r="B36" s="1" t="s">
        <v>115</v>
      </c>
      <c r="C36" s="1" t="s">
        <v>166</v>
      </c>
      <c r="D36" s="58" t="n">
        <v>5960000</v>
      </c>
      <c r="E36" s="58" t="n">
        <v>3540000</v>
      </c>
      <c r="F36" s="35" t="n">
        <f aca="false">D36-E36</f>
        <v>2420000</v>
      </c>
      <c r="G36" s="37" t="s">
        <v>2936</v>
      </c>
    </row>
    <row r="37" customFormat="false" ht="15" hidden="false" customHeight="false" outlineLevel="0" collapsed="false">
      <c r="A37" s="1" t="s">
        <v>157</v>
      </c>
      <c r="B37" s="1" t="s">
        <v>115</v>
      </c>
      <c r="C37" s="1" t="s">
        <v>166</v>
      </c>
      <c r="D37" s="58" t="n">
        <v>3410000</v>
      </c>
      <c r="E37" s="58" t="n">
        <v>2160000</v>
      </c>
      <c r="F37" s="35" t="n">
        <f aca="false">D37-E37</f>
        <v>1250000</v>
      </c>
      <c r="G37" s="37" t="s">
        <v>2936</v>
      </c>
    </row>
    <row r="38" customFormat="false" ht="15" hidden="false" customHeight="false" outlineLevel="0" collapsed="false">
      <c r="A38" s="1" t="s">
        <v>158</v>
      </c>
      <c r="B38" s="1" t="s">
        <v>115</v>
      </c>
      <c r="C38" s="1" t="s">
        <v>166</v>
      </c>
      <c r="D38" s="58" t="n">
        <v>4480000</v>
      </c>
      <c r="E38" s="58" t="n">
        <v>2710000</v>
      </c>
      <c r="F38" s="35" t="n">
        <f aca="false">D38-E38</f>
        <v>1770000</v>
      </c>
      <c r="G38" s="37" t="s">
        <v>2936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E7C78"/>
    <pageSetUpPr fitToPage="false"/>
  </sheetPr>
  <dimension ref="A1:AC16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8"/>
    <col collapsed="false" customWidth="true" hidden="false" outlineLevel="0" max="3" min="3" style="1" width="30"/>
    <col collapsed="false" customWidth="true" hidden="false" outlineLevel="0" max="4" min="4" style="1" width="34"/>
    <col collapsed="false" customWidth="true" hidden="false" outlineLevel="0" max="5" min="5" style="1" width="24"/>
    <col collapsed="false" customWidth="true" hidden="false" outlineLevel="0" max="6" min="6" style="1" width="11"/>
    <col collapsed="false" customWidth="true" hidden="false" outlineLevel="0" max="7" min="7" style="1" width="9"/>
    <col collapsed="false" customWidth="true" hidden="false" outlineLevel="0" max="8" min="8" style="1" width="26"/>
    <col collapsed="false" customWidth="true" hidden="false" outlineLevel="0" max="9" min="9" style="1" width="30"/>
    <col collapsed="false" customWidth="true" hidden="false" outlineLevel="0" max="10" min="10" style="1" width="32"/>
    <col collapsed="false" customWidth="true" hidden="false" outlineLevel="0" max="11" min="11" style="1" width="9"/>
    <col collapsed="false" customWidth="true" hidden="false" outlineLevel="0" max="12" min="12" style="1" width="13"/>
    <col collapsed="false" customWidth="true" hidden="false" outlineLevel="0" max="13" min="13" style="1" width="11"/>
    <col collapsed="false" customWidth="true" hidden="false" outlineLevel="0" max="14" min="14" style="1" width="9"/>
    <col collapsed="false" customWidth="true" hidden="false" outlineLevel="0" max="15" min="15" style="1" width="22"/>
    <col collapsed="false" customWidth="true" hidden="false" outlineLevel="0" max="16" min="16" style="1" width="24"/>
    <col collapsed="false" customWidth="true" hidden="false" outlineLevel="0" max="17" min="17" style="1" width="10"/>
    <col collapsed="false" customWidth="true" hidden="false" outlineLevel="0" max="18" min="18" style="1" width="8"/>
    <col collapsed="false" customWidth="true" hidden="false" outlineLevel="0" max="19" min="19" style="1" width="10"/>
    <col collapsed="false" customWidth="true" hidden="false" outlineLevel="0" max="20" min="20" style="1" width="11"/>
    <col collapsed="false" customWidth="true" hidden="false" outlineLevel="0" max="21" min="21" style="1" width="10"/>
    <col collapsed="false" customWidth="true" hidden="false" outlineLevel="0" max="22" min="22" style="1" width="11"/>
    <col collapsed="false" customWidth="true" hidden="false" outlineLevel="0" max="23" min="23" style="1" width="13"/>
    <col collapsed="false" customWidth="true" hidden="false" outlineLevel="0" max="24" min="24" style="1" width="12"/>
    <col collapsed="false" customWidth="true" hidden="false" outlineLevel="0" max="25" min="25" style="1" width="13"/>
    <col collapsed="false" customWidth="true" hidden="false" outlineLevel="0" max="26" min="26" style="1" width="9"/>
    <col collapsed="false" customWidth="true" hidden="false" outlineLevel="0" max="27" min="27" style="1" width="34"/>
    <col collapsed="false" customWidth="true" hidden="false" outlineLevel="0" max="29" min="28" style="1" width="9"/>
  </cols>
  <sheetData>
    <row r="1" customFormat="false" ht="18.55" hidden="false" customHeight="false" outlineLevel="0" collapsed="false">
      <c r="A1" s="11" t="s">
        <v>2937</v>
      </c>
    </row>
    <row r="2" customFormat="false" ht="15" hidden="false" customHeight="false" outlineLevel="0" collapsed="false">
      <c r="A2" s="12" t="s">
        <v>2938</v>
      </c>
    </row>
    <row r="3" customFormat="false" ht="15" hidden="false" customHeight="false" outlineLevel="0" collapsed="false">
      <c r="A3" s="4" t="s">
        <v>2</v>
      </c>
    </row>
    <row r="4" customFormat="false" ht="57.75" hidden="false" customHeight="true" outlineLevel="0" collapsed="false">
      <c r="A4" s="7" t="s">
        <v>1132</v>
      </c>
      <c r="B4" s="7" t="s">
        <v>187</v>
      </c>
      <c r="C4" s="7" t="s">
        <v>1135</v>
      </c>
      <c r="D4" s="7" t="s">
        <v>2778</v>
      </c>
      <c r="E4" s="7" t="s">
        <v>2779</v>
      </c>
      <c r="F4" s="7" t="s">
        <v>2780</v>
      </c>
      <c r="G4" s="7" t="s">
        <v>2939</v>
      </c>
      <c r="H4" s="7" t="s">
        <v>1136</v>
      </c>
      <c r="I4" s="7" t="s">
        <v>2940</v>
      </c>
      <c r="J4" s="7" t="s">
        <v>2775</v>
      </c>
      <c r="K4" s="7" t="s">
        <v>2776</v>
      </c>
      <c r="L4" s="7" t="s">
        <v>1137</v>
      </c>
      <c r="M4" s="7" t="s">
        <v>494</v>
      </c>
      <c r="N4" s="7" t="s">
        <v>2941</v>
      </c>
      <c r="O4" s="7" t="s">
        <v>2942</v>
      </c>
      <c r="P4" s="7" t="s">
        <v>2772</v>
      </c>
      <c r="Q4" s="7" t="s">
        <v>1139</v>
      </c>
      <c r="R4" s="7" t="s">
        <v>847</v>
      </c>
      <c r="S4" s="7" t="s">
        <v>2902</v>
      </c>
      <c r="T4" s="7" t="s">
        <v>2943</v>
      </c>
      <c r="U4" s="7" t="s">
        <v>2944</v>
      </c>
      <c r="V4" s="7" t="s">
        <v>2945</v>
      </c>
      <c r="W4" s="7" t="s">
        <v>2930</v>
      </c>
      <c r="X4" s="7" t="s">
        <v>2931</v>
      </c>
      <c r="Y4" s="7" t="s">
        <v>2932</v>
      </c>
      <c r="Z4" s="7" t="s">
        <v>2946</v>
      </c>
      <c r="AA4" s="7" t="s">
        <v>2947</v>
      </c>
      <c r="AB4" s="7" t="s">
        <v>2948</v>
      </c>
      <c r="AC4" s="7" t="s">
        <v>2949</v>
      </c>
    </row>
    <row r="5" customFormat="false" ht="15" hidden="false" customHeight="false" outlineLevel="0" collapsed="false">
      <c r="A5" s="48" t="str">
        <f aca="false">STACK!A5</f>
        <v>KVMC-0001</v>
      </c>
      <c r="B5" s="48" t="str">
        <f aca="false">STACK!B5</f>
        <v>KVMC</v>
      </c>
      <c r="C5" s="48" t="str">
        <f aca="false">STACK!E5</f>
        <v>Mental Health First Aid Training</v>
      </c>
      <c r="D5" s="1" t="str">
        <f aca="false">IFERROR(INDEX(MAP!$J$7:$J$101,MATCH(TRIM(C5),MAP!$I$7:$I$101,0)),"UNMAPPED")</f>
        <v>Mental Health First Aid Training</v>
      </c>
      <c r="E5" s="1" t="str">
        <f aca="false">IFERROR(INDEX(MAP!$K$7:$K$101,MATCH(TRIM(C5),MAP!$I$7:$I$101,0)),"")</f>
        <v>Behavioral health</v>
      </c>
      <c r="F5" s="1" t="str">
        <f aca="false">IFERROR(INDEX(MAP!$L$7:$L$101,MATCH(TRIM(C5),MAP!$I$7:$I$101,0)),"")</f>
        <v>Event</v>
      </c>
      <c r="G5" s="1" t="n">
        <f aca="false">IFERROR(MATCH(A5,CONFIRM!$A$5:$A$53,0),0)</f>
        <v>0</v>
      </c>
      <c r="H5" s="48" t="str">
        <f aca="false">STACK!F5</f>
        <v>Community Health Education</v>
      </c>
      <c r="I5" s="1" t="str">
        <f aca="false">IF(G5&gt;0,IF(INDEX(CONFIRM!$I$5:$I$53,G5)&lt;&gt;"",INDEX(CONFIRM!$I$5:$I$53,G5),H5),H5)</f>
        <v>Community Health Education</v>
      </c>
      <c r="J5" s="1" t="str">
        <f aca="false">IFERROR(INDEX(MAP!$F$7:$F$74,MATCH(TRIM(I5),MAP!$E$7:$E$74,0)),"UNMAPPED")</f>
        <v>Community health education</v>
      </c>
      <c r="K5" s="1" t="str">
        <f aca="false">IFERROR(INDEX(MAP!$G$7:$G$74,MATCH(TRIM(I5),MAP!$E$7:$E$74,0)),"UNMAPPED")</f>
        <v>7e</v>
      </c>
      <c r="L5" s="49" t="n">
        <f aca="false">STACK!G5</f>
        <v>45840</v>
      </c>
      <c r="M5" s="59" t="n">
        <f aca="false">IF(G5&gt;0,IF(INDEX(CONFIRM!$G$5:$G$53,G5)&lt;&gt;"",INDEX(CONFIRM!$G$5:$G$53,G5),IF(ISNUMBER(L5),L5,IFERROR(DATEVALUE(L5),""))),IF(ISNUMBER(L5),L5,IFERROR(DATEVALUE(L5),"")))</f>
        <v>45840</v>
      </c>
      <c r="N5" s="1" t="str">
        <f aca="false">IF(M5="","Check",IF(AND(M5&gt;=INPUTS!$C$6,M5&lt;=INPUTS!$C$7),"Yes","No"))</f>
        <v>Yes</v>
      </c>
      <c r="O5" s="48" t="str">
        <f aca="false">STACK!H5</f>
        <v>Health Education Specialist</v>
      </c>
      <c r="P5" s="1" t="str">
        <f aca="false">IF(G5&gt;0,IF(INDEX(CONFIRM!$H$5:$H$53,G5)&lt;&gt;"",INDEX(CONFIRM!$H$5:$H$53,G5),IFERROR(INDEX(MAP!$B$7:$B$156,MATCH(TRIM(O5),MAP!$A$7:$A$156,0)),"UNMAPPED")),IFERROR(INDEX(MAP!$B$7:$B$156,MATCH(TRIM(O5),MAP!$A$7:$A$156,0)),"UNMAPPED"))</f>
        <v>Health Educator</v>
      </c>
      <c r="Q5" s="48" t="n">
        <f aca="false">STACK!I5</f>
        <v>8</v>
      </c>
      <c r="R5" s="60" t="n">
        <f aca="false">IF(G5&gt;0,IF(INDEX(CONFIRM!$F$5:$F$53,G5)&lt;&gt;"",INDEX(CONFIRM!$F$5:$F$53,G5),IF(ISNUMBER(Q5),Q5,IF(Q5="","",IFERROR(VALUE(TRIM(SUBSTITUTE(SUBSTITUTE(LOWER(Q5),"hrs",""),"hr",""))),"")))),IF(ISNUMBER(Q5),Q5,IF(Q5="","",IFERROR(VALUE(TRIM(SUBSTITUTE(SUBSTITUTE(LOWER(Q5),"hrs",""),"hr",""))),""))))</f>
        <v>8</v>
      </c>
      <c r="S5" s="57" t="n">
        <f aca="false">IFERROR(INDEX(RATES!$E$6:$E$28,MATCH(P5,RATES!$A$6:$A$28,0)),0)</f>
        <v>37.265</v>
      </c>
      <c r="T5" s="61" t="n">
        <f aca="false">IF(ISNUMBER(R5),R5,0)*S5</f>
        <v>298.12</v>
      </c>
      <c r="U5" s="61" t="n">
        <f aca="false">T5*INDEX(INPUTS!$H$10:$H$14,MATCH(B5,INPUTS!$A$10:$A$14,0))</f>
        <v>55.1522</v>
      </c>
      <c r="V5" s="61" t="n">
        <f aca="false">N(STACK!K5)</f>
        <v>0</v>
      </c>
      <c r="W5" s="61" t="n">
        <f aca="false">T5+U5+V5</f>
        <v>353.2722</v>
      </c>
      <c r="X5" s="61" t="n">
        <f aca="false">N(STACK!L5)</f>
        <v>0</v>
      </c>
      <c r="Y5" s="61" t="n">
        <f aca="false">W5-X5</f>
        <v>353.2722</v>
      </c>
      <c r="Z5" s="1" t="n">
        <f aca="false">N(STACK!J5)</f>
        <v>0</v>
      </c>
      <c r="AA5" s="1" t="str">
        <f aca="false">TRIM(IF(D5="UNMAPPED","Program not mapped. ","")&amp;IF(OR(K5="UNMAPPED",K5="UNASSIGNED"),"Category needs review. ","")&amp;IF(P5="UNMAPPED","Title not mapped. ","")&amp;IF(AND(P5&lt;&gt;"No staff time",R5=""),"Missing hours. ","")&amp;IF(M5="","Date not readable. ","")&amp;IF(N5="No","Outside fiscal year. ","")&amp;IF(AND(F5="Event",ISNUMBER(R5)),IF(R5&gt;12,"Event hours look high. ",""),"")&amp;IF(G5&gt;0,"See CONFIRM sheet.",""))</f>
        <v/>
      </c>
      <c r="AB5" s="1" t="n">
        <f aca="false">IF(N5="No",0,IF(REVIEW!O5=0,0,IF(G5&gt;0,IF(INDEX(CONFIRM!$J$5:$J$53,G5)&lt;&gt;"",INDEX(CONFIRM!$J$5:$J$53,G5),1),1)))</f>
        <v>1</v>
      </c>
      <c r="AC5" s="1" t="n">
        <f aca="false">IF(AB5=1,IF(COUNTIFS($B$5:B5,B5,$D$5:D5,D5,$AB$5:AB5,1)=1,1,0),0)</f>
        <v>1</v>
      </c>
    </row>
    <row r="6" customFormat="false" ht="15" hidden="false" customHeight="false" outlineLevel="0" collapsed="false">
      <c r="A6" s="48" t="str">
        <f aca="false">STACK!A6</f>
        <v>KVMC-0002</v>
      </c>
      <c r="B6" s="48" t="str">
        <f aca="false">STACK!B6</f>
        <v>KVMC</v>
      </c>
      <c r="C6" s="48" t="str">
        <f aca="false">STACK!E6</f>
        <v>Mental Health First Aid Training</v>
      </c>
      <c r="D6" s="1" t="str">
        <f aca="false">IFERROR(INDEX(MAP!$J$7:$J$101,MATCH(TRIM(C6),MAP!$I$7:$I$101,0)),"UNMAPPED")</f>
        <v>Mental Health First Aid Training</v>
      </c>
      <c r="E6" s="1" t="str">
        <f aca="false">IFERROR(INDEX(MAP!$K$7:$K$101,MATCH(TRIM(C6),MAP!$I$7:$I$101,0)),"")</f>
        <v>Behavioral health</v>
      </c>
      <c r="F6" s="1" t="str">
        <f aca="false">IFERROR(INDEX(MAP!$L$7:$L$101,MATCH(TRIM(C6),MAP!$I$7:$I$101,0)),"")</f>
        <v>Event</v>
      </c>
      <c r="G6" s="1" t="n">
        <f aca="false">IFERROR(MATCH(A6,CONFIRM!$A$5:$A$53,0),0)</f>
        <v>0</v>
      </c>
      <c r="H6" s="48" t="str">
        <f aca="false">STACK!F6</f>
        <v>Community Health Education</v>
      </c>
      <c r="I6" s="1" t="str">
        <f aca="false">IF(G6&gt;0,IF(INDEX(CONFIRM!$I$5:$I$53,G6)&lt;&gt;"",INDEX(CONFIRM!$I$5:$I$53,G6),H6),H6)</f>
        <v>Community Health Education</v>
      </c>
      <c r="J6" s="1" t="str">
        <f aca="false">IFERROR(INDEX(MAP!$F$7:$F$74,MATCH(TRIM(I6),MAP!$E$7:$E$74,0)),"UNMAPPED")</f>
        <v>Community health education</v>
      </c>
      <c r="K6" s="1" t="str">
        <f aca="false">IFERROR(INDEX(MAP!$G$7:$G$74,MATCH(TRIM(I6),MAP!$E$7:$E$74,0)),"UNMAPPED")</f>
        <v>7e</v>
      </c>
      <c r="L6" s="49" t="n">
        <f aca="false">STACK!G6</f>
        <v>45840</v>
      </c>
      <c r="M6" s="59" t="n">
        <f aca="false">IF(G6&gt;0,IF(INDEX(CONFIRM!$G$5:$G$53,G6)&lt;&gt;"",INDEX(CONFIRM!$G$5:$G$53,G6),IF(ISNUMBER(L6),L6,IFERROR(DATEVALUE(L6),""))),IF(ISNUMBER(L6),L6,IFERROR(DATEVALUE(L6),"")))</f>
        <v>45840</v>
      </c>
      <c r="N6" s="1" t="str">
        <f aca="false">IF(M6="","Check",IF(AND(M6&gt;=INPUTS!$C$6,M6&lt;=INPUTS!$C$7),"Yes","No"))</f>
        <v>Yes</v>
      </c>
      <c r="O6" s="48" t="str">
        <f aca="false">STACK!H6</f>
        <v>LCSW</v>
      </c>
      <c r="P6" s="1" t="str">
        <f aca="false">IF(G6&gt;0,IF(INDEX(CONFIRM!$H$5:$H$53,G6)&lt;&gt;"",INDEX(CONFIRM!$H$5:$H$53,G6),IFERROR(INDEX(MAP!$B$7:$B$156,MATCH(TRIM(O6),MAP!$A$7:$A$156,0)),"UNMAPPED")),IFERROR(INDEX(MAP!$B$7:$B$156,MATCH(TRIM(O6),MAP!$A$7:$A$156,0)),"UNMAPPED"))</f>
        <v>Social Worker</v>
      </c>
      <c r="Q6" s="48" t="n">
        <f aca="false">STACK!I6</f>
        <v>8</v>
      </c>
      <c r="R6" s="60" t="n">
        <f aca="false">IF(G6&gt;0,IF(INDEX(CONFIRM!$F$5:$F$53,G6)&lt;&gt;"",INDEX(CONFIRM!$F$5:$F$53,G6),IF(ISNUMBER(Q6),Q6,IF(Q6="","",IFERROR(VALUE(TRIM(SUBSTITUTE(SUBSTITUTE(LOWER(Q6),"hrs",""),"hr",""))),"")))),IF(ISNUMBER(Q6),Q6,IF(Q6="","",IFERROR(VALUE(TRIM(SUBSTITUTE(SUBSTITUTE(LOWER(Q6),"hrs",""),"hr",""))),""))))</f>
        <v>8</v>
      </c>
      <c r="S6" s="57" t="n">
        <f aca="false">IFERROR(INDEX(RATES!$E$6:$E$28,MATCH(P6,RATES!$A$6:$A$28,0)),0)</f>
        <v>45.6175</v>
      </c>
      <c r="T6" s="61" t="n">
        <f aca="false">IF(ISNUMBER(R6),R6,0)*S6</f>
        <v>364.94</v>
      </c>
      <c r="U6" s="61" t="n">
        <f aca="false">T6*INDEX(INPUTS!$H$10:$H$14,MATCH(B6,INPUTS!$A$10:$A$14,0))</f>
        <v>67.5139</v>
      </c>
      <c r="V6" s="61" t="n">
        <f aca="false">N(STACK!K6)</f>
        <v>345</v>
      </c>
      <c r="W6" s="61" t="n">
        <f aca="false">T6+U6+V6</f>
        <v>777.4539</v>
      </c>
      <c r="X6" s="61" t="n">
        <f aca="false">N(STACK!L6)</f>
        <v>0</v>
      </c>
      <c r="Y6" s="61" t="n">
        <f aca="false">W6-X6</f>
        <v>777.4539</v>
      </c>
      <c r="Z6" s="1" t="n">
        <f aca="false">N(STACK!J6)</f>
        <v>32</v>
      </c>
      <c r="AA6" s="1" t="str">
        <f aca="false">TRIM(IF(D6="UNMAPPED","Program not mapped. ","")&amp;IF(OR(K6="UNMAPPED",K6="UNASSIGNED"),"Category needs review. ","")&amp;IF(P6="UNMAPPED","Title not mapped. ","")&amp;IF(AND(P6&lt;&gt;"No staff time",R6=""),"Missing hours. ","")&amp;IF(M6="","Date not readable. ","")&amp;IF(N6="No","Outside fiscal year. ","")&amp;IF(AND(F6="Event",ISNUMBER(R6)),IF(R6&gt;12,"Event hours look high. ",""),"")&amp;IF(G6&gt;0,"See CONFIRM sheet.",""))</f>
        <v/>
      </c>
      <c r="AB6" s="1" t="n">
        <f aca="false">IF(N6="No",0,IF(REVIEW!O6=0,0,IF(G6&gt;0,IF(INDEX(CONFIRM!$J$5:$J$53,G6)&lt;&gt;"",INDEX(CONFIRM!$J$5:$J$53,G6),1),1)))</f>
        <v>1</v>
      </c>
      <c r="AC6" s="1" t="n">
        <f aca="false">IF(AB6=1,IF(COUNTIFS($B$5:B6,B6,$D$5:D6,D6,$AB$5:AB6,1)=1,1,0),0)</f>
        <v>0</v>
      </c>
    </row>
    <row r="7" customFormat="false" ht="15" hidden="false" customHeight="false" outlineLevel="0" collapsed="false">
      <c r="A7" s="48" t="str">
        <f aca="false">STACK!A7</f>
        <v>KVMC-0003</v>
      </c>
      <c r="B7" s="48" t="str">
        <f aca="false">STACK!B7</f>
        <v>KVMC</v>
      </c>
      <c r="C7" s="48" t="str">
        <f aca="false">STACK!E7</f>
        <v>Youth Health Careers Pathway</v>
      </c>
      <c r="D7" s="1" t="str">
        <f aca="false">IFERROR(INDEX(MAP!$J$7:$J$101,MATCH(TRIM(C7),MAP!$I$7:$I$101,0)),"UNMAPPED")</f>
        <v>Youth Health Careers Pathway</v>
      </c>
      <c r="E7" s="1" t="str">
        <f aca="false">IFERROR(INDEX(MAP!$K$7:$K$101,MATCH(TRIM(C7),MAP!$I$7:$I$101,0)),"")</f>
        <v>Health workforce</v>
      </c>
      <c r="F7" s="1" t="str">
        <f aca="false">IFERROR(INDEX(MAP!$L$7:$L$101,MATCH(TRIM(C7),MAP!$I$7:$I$101,0)),"")</f>
        <v>Event</v>
      </c>
      <c r="G7" s="1" t="n">
        <f aca="false">IFERROR(MATCH(A7,CONFIRM!$A$5:$A$53,0),0)</f>
        <v>0</v>
      </c>
      <c r="H7" s="48" t="str">
        <f aca="false">STACK!F7</f>
        <v>Community Building - Workforce</v>
      </c>
      <c r="I7" s="1" t="str">
        <f aca="false">IF(G7&gt;0,IF(INDEX(CONFIRM!$I$5:$I$53,G7)&lt;&gt;"",INDEX(CONFIRM!$I$5:$I$53,G7),H7),H7)</f>
        <v>Community Building - Workforce</v>
      </c>
      <c r="J7" s="1" t="str">
        <f aca="false">IFERROR(INDEX(MAP!$F$7:$F$74,MATCH(TRIM(I7),MAP!$E$7:$E$74,0)),"UNMAPPED")</f>
        <v>Community building: workforce development</v>
      </c>
      <c r="K7" s="1" t="str">
        <f aca="false">IFERROR(INDEX(MAP!$G$7:$G$74,MATCH(TRIM(I7),MAP!$E$7:$E$74,0)),"UNMAPPED")</f>
        <v>II-8</v>
      </c>
      <c r="L7" s="49" t="n">
        <f aca="false">STACK!G7</f>
        <v>45850</v>
      </c>
      <c r="M7" s="59" t="n">
        <f aca="false">IF(G7&gt;0,IF(INDEX(CONFIRM!$G$5:$G$53,G7)&lt;&gt;"",INDEX(CONFIRM!$G$5:$G$53,G7),IF(ISNUMBER(L7),L7,IFERROR(DATEVALUE(L7),""))),IF(ISNUMBER(L7),L7,IFERROR(DATEVALUE(L7),"")))</f>
        <v>45850</v>
      </c>
      <c r="N7" s="1" t="str">
        <f aca="false">IF(M7="","Check",IF(AND(M7&gt;=INPUTS!$C$6,M7&lt;=INPUTS!$C$7),"Yes","No"))</f>
        <v>Yes</v>
      </c>
      <c r="O7" s="48" t="str">
        <f aca="false">STACK!H7</f>
        <v>Clinical Nurse Educator</v>
      </c>
      <c r="P7" s="1" t="str">
        <f aca="false">IF(G7&gt;0,IF(INDEX(CONFIRM!$H$5:$H$53,G7)&lt;&gt;"",INDEX(CONFIRM!$H$5:$H$53,G7),IFERROR(INDEX(MAP!$B$7:$B$156,MATCH(TRIM(O7),MAP!$A$7:$A$156,0)),"UNMAPPED")),IFERROR(INDEX(MAP!$B$7:$B$156,MATCH(TRIM(O7),MAP!$A$7:$A$156,0)),"UNMAPPED"))</f>
        <v>Clinical Nurse Educator</v>
      </c>
      <c r="Q7" s="48" t="n">
        <f aca="false">STACK!I7</f>
        <v>3.25</v>
      </c>
      <c r="R7" s="60" t="n">
        <f aca="false">IF(G7&gt;0,IF(INDEX(CONFIRM!$F$5:$F$53,G7)&lt;&gt;"",INDEX(CONFIRM!$F$5:$F$53,G7),IF(ISNUMBER(Q7),Q7,IF(Q7="","",IFERROR(VALUE(TRIM(SUBSTITUTE(SUBSTITUTE(LOWER(Q7),"hrs",""),"hr",""))),"")))),IF(ISNUMBER(Q7),Q7,IF(Q7="","",IFERROR(VALUE(TRIM(SUBSTITUTE(SUBSTITUTE(LOWER(Q7),"hrs",""),"hr",""))),""))))</f>
        <v>3.25</v>
      </c>
      <c r="S7" s="57" t="n">
        <f aca="false">IFERROR(INDEX(RATES!$E$6:$E$28,MATCH(P7,RATES!$A$6:$A$28,0)),0)</f>
        <v>62.965</v>
      </c>
      <c r="T7" s="61" t="n">
        <f aca="false">IF(ISNUMBER(R7),R7,0)*S7</f>
        <v>204.63625</v>
      </c>
      <c r="U7" s="61" t="n">
        <f aca="false">T7*INDEX(INPUTS!$H$10:$H$14,MATCH(B7,INPUTS!$A$10:$A$14,0))</f>
        <v>37.85770625</v>
      </c>
      <c r="V7" s="61" t="n">
        <f aca="false">N(STACK!K7)</f>
        <v>0</v>
      </c>
      <c r="W7" s="61" t="n">
        <f aca="false">T7+U7+V7</f>
        <v>242.49395625</v>
      </c>
      <c r="X7" s="61" t="n">
        <f aca="false">N(STACK!L7)</f>
        <v>0</v>
      </c>
      <c r="Y7" s="61" t="n">
        <f aca="false">W7-X7</f>
        <v>242.49395625</v>
      </c>
      <c r="Z7" s="1" t="n">
        <f aca="false">N(STACK!J7)</f>
        <v>0</v>
      </c>
      <c r="AA7" s="1" t="str">
        <f aca="false">TRIM(IF(D7="UNMAPPED","Program not mapped. ","")&amp;IF(OR(K7="UNMAPPED",K7="UNASSIGNED"),"Category needs review. ","")&amp;IF(P7="UNMAPPED","Title not mapped. ","")&amp;IF(AND(P7&lt;&gt;"No staff time",R7=""),"Missing hours. ","")&amp;IF(M7="","Date not readable. ","")&amp;IF(N7="No","Outside fiscal year. ","")&amp;IF(AND(F7="Event",ISNUMBER(R7)),IF(R7&gt;12,"Event hours look high. ",""),"")&amp;IF(G7&gt;0,"See CONFIRM sheet.",""))</f>
        <v/>
      </c>
      <c r="AB7" s="1" t="n">
        <f aca="false">IF(N7="No",0,IF(REVIEW!O7=0,0,IF(G7&gt;0,IF(INDEX(CONFIRM!$J$5:$J$53,G7)&lt;&gt;"",INDEX(CONFIRM!$J$5:$J$53,G7),1),1)))</f>
        <v>1</v>
      </c>
      <c r="AC7" s="1" t="n">
        <f aca="false">IF(AB7=1,IF(COUNTIFS($B$5:B7,B7,$D$5:D7,D7,$AB$5:AB7,1)=1,1,0),0)</f>
        <v>1</v>
      </c>
    </row>
    <row r="8" customFormat="false" ht="15" hidden="false" customHeight="false" outlineLevel="0" collapsed="false">
      <c r="A8" s="48" t="str">
        <f aca="false">STACK!A8</f>
        <v>KVMC-0004</v>
      </c>
      <c r="B8" s="48" t="str">
        <f aca="false">STACK!B8</f>
        <v>KVMC</v>
      </c>
      <c r="C8" s="48" t="str">
        <f aca="false">STACK!E8</f>
        <v>Youth Health Careers Pathway</v>
      </c>
      <c r="D8" s="1" t="str">
        <f aca="false">IFERROR(INDEX(MAP!$J$7:$J$101,MATCH(TRIM(C8),MAP!$I$7:$I$101,0)),"UNMAPPED")</f>
        <v>Youth Health Careers Pathway</v>
      </c>
      <c r="E8" s="1" t="str">
        <f aca="false">IFERROR(INDEX(MAP!$K$7:$K$101,MATCH(TRIM(C8),MAP!$I$7:$I$101,0)),"")</f>
        <v>Health workforce</v>
      </c>
      <c r="F8" s="1" t="str">
        <f aca="false">IFERROR(INDEX(MAP!$L$7:$L$101,MATCH(TRIM(C8),MAP!$I$7:$I$101,0)),"")</f>
        <v>Event</v>
      </c>
      <c r="G8" s="1" t="n">
        <f aca="false">IFERROR(MATCH(A8,CONFIRM!$A$5:$A$53,0),0)</f>
        <v>0</v>
      </c>
      <c r="H8" s="48" t="str">
        <f aca="false">STACK!F8</f>
        <v>Community Building - Workforce</v>
      </c>
      <c r="I8" s="1" t="str">
        <f aca="false">IF(G8&gt;0,IF(INDEX(CONFIRM!$I$5:$I$53,G8)&lt;&gt;"",INDEX(CONFIRM!$I$5:$I$53,G8),H8),H8)</f>
        <v>Community Building - Workforce</v>
      </c>
      <c r="J8" s="1" t="str">
        <f aca="false">IFERROR(INDEX(MAP!$F$7:$F$74,MATCH(TRIM(I8),MAP!$E$7:$E$74,0)),"UNMAPPED")</f>
        <v>Community building: workforce development</v>
      </c>
      <c r="K8" s="1" t="str">
        <f aca="false">IFERROR(INDEX(MAP!$G$7:$G$74,MATCH(TRIM(I8),MAP!$E$7:$E$74,0)),"UNMAPPED")</f>
        <v>II-8</v>
      </c>
      <c r="L8" s="49" t="n">
        <f aca="false">STACK!G8</f>
        <v>45850</v>
      </c>
      <c r="M8" s="59" t="n">
        <f aca="false">IF(G8&gt;0,IF(INDEX(CONFIRM!$G$5:$G$53,G8)&lt;&gt;"",INDEX(CONFIRM!$G$5:$G$53,G8),IF(ISNUMBER(L8),L8,IFERROR(DATEVALUE(L8),""))),IF(ISNUMBER(L8),L8,IFERROR(DATEVALUE(L8),"")))</f>
        <v>45850</v>
      </c>
      <c r="N8" s="1" t="str">
        <f aca="false">IF(M8="","Check",IF(AND(M8&gt;=INPUTS!$C$6,M8&lt;=INPUTS!$C$7),"Yes","No"))</f>
        <v>Yes</v>
      </c>
      <c r="O8" s="48" t="str">
        <f aca="false">STACK!H8</f>
        <v>Program Coordinator</v>
      </c>
      <c r="P8" s="1" t="str">
        <f aca="false">IF(G8&gt;0,IF(INDEX(CONFIRM!$H$5:$H$53,G8)&lt;&gt;"",INDEX(CONFIRM!$H$5:$H$53,G8),IFERROR(INDEX(MAP!$B$7:$B$156,MATCH(TRIM(O8),MAP!$A$7:$A$156,0)),"UNMAPPED")),IFERROR(INDEX(MAP!$B$7:$B$156,MATCH(TRIM(O8),MAP!$A$7:$A$156,0)),"UNMAPPED"))</f>
        <v>Program Coordinator</v>
      </c>
      <c r="Q8" s="48" t="n">
        <f aca="false">STACK!I8</f>
        <v>7.5</v>
      </c>
      <c r="R8" s="60" t="n">
        <f aca="false">IF(G8&gt;0,IF(INDEX(CONFIRM!$F$5:$F$53,G8)&lt;&gt;"",INDEX(CONFIRM!$F$5:$F$53,G8),IF(ISNUMBER(Q8),Q8,IF(Q8="","",IFERROR(VALUE(TRIM(SUBSTITUTE(SUBSTITUTE(LOWER(Q8),"hrs",""),"hr",""))),"")))),IF(ISNUMBER(Q8),Q8,IF(Q8="","",IFERROR(VALUE(TRIM(SUBSTITUTE(SUBSTITUTE(LOWER(Q8),"hrs",""),"hr",""))),""))))</f>
        <v>7.5</v>
      </c>
      <c r="S8" s="57" t="n">
        <f aca="false">IFERROR(INDEX(RATES!$E$6:$E$28,MATCH(P8,RATES!$A$6:$A$28,0)),0)</f>
        <v>35.3375</v>
      </c>
      <c r="T8" s="61" t="n">
        <f aca="false">IF(ISNUMBER(R8),R8,0)*S8</f>
        <v>265.03125</v>
      </c>
      <c r="U8" s="61" t="n">
        <f aca="false">T8*INDEX(INPUTS!$H$10:$H$14,MATCH(B8,INPUTS!$A$10:$A$14,0))</f>
        <v>49.03078125</v>
      </c>
      <c r="V8" s="61" t="n">
        <f aca="false">N(STACK!K8)</f>
        <v>1190</v>
      </c>
      <c r="W8" s="61" t="n">
        <f aca="false">T8+U8+V8</f>
        <v>1504.06203125</v>
      </c>
      <c r="X8" s="61" t="n">
        <f aca="false">N(STACK!L8)</f>
        <v>0</v>
      </c>
      <c r="Y8" s="61" t="n">
        <f aca="false">W8-X8</f>
        <v>1504.06203125</v>
      </c>
      <c r="Z8" s="1" t="n">
        <f aca="false">N(STACK!J8)</f>
        <v>20</v>
      </c>
      <c r="AA8" s="1" t="str">
        <f aca="false">TRIM(IF(D8="UNMAPPED","Program not mapped. ","")&amp;IF(OR(K8="UNMAPPED",K8="UNASSIGNED"),"Category needs review. ","")&amp;IF(P8="UNMAPPED","Title not mapped. ","")&amp;IF(AND(P8&lt;&gt;"No staff time",R8=""),"Missing hours. ","")&amp;IF(M8="","Date not readable. ","")&amp;IF(N8="No","Outside fiscal year. ","")&amp;IF(AND(F8="Event",ISNUMBER(R8)),IF(R8&gt;12,"Event hours look high. ",""),"")&amp;IF(G8&gt;0,"See CONFIRM sheet.",""))</f>
        <v/>
      </c>
      <c r="AB8" s="1" t="n">
        <f aca="false">IF(N8="No",0,IF(REVIEW!O8=0,0,IF(G8&gt;0,IF(INDEX(CONFIRM!$J$5:$J$53,G8)&lt;&gt;"",INDEX(CONFIRM!$J$5:$J$53,G8),1),1)))</f>
        <v>1</v>
      </c>
      <c r="AC8" s="1" t="n">
        <f aca="false">IF(AB8=1,IF(COUNTIFS($B$5:B8,B8,$D$5:D8,D8,$AB$5:AB8,1)=1,1,0),0)</f>
        <v>0</v>
      </c>
    </row>
    <row r="9" customFormat="false" ht="15" hidden="false" customHeight="false" outlineLevel="0" collapsed="false">
      <c r="A9" s="48" t="str">
        <f aca="false">STACK!A9</f>
        <v>KVMC-0005</v>
      </c>
      <c r="B9" s="48" t="str">
        <f aca="false">STACK!B9</f>
        <v>KVMC</v>
      </c>
      <c r="C9" s="48" t="str">
        <f aca="false">STACK!E9</f>
        <v>Diabetes Prevention Classes</v>
      </c>
      <c r="D9" s="1" t="str">
        <f aca="false">IFERROR(INDEX(MAP!$J$7:$J$101,MATCH(TRIM(C9),MAP!$I$7:$I$101,0)),"UNMAPPED")</f>
        <v>Diabetes Prevention Classes</v>
      </c>
      <c r="E9" s="1" t="str">
        <f aca="false">IFERROR(INDEX(MAP!$K$7:$K$101,MATCH(TRIM(C9),MAP!$I$7:$I$101,0)),"")</f>
        <v>Chronic disease prevention</v>
      </c>
      <c r="F9" s="1" t="str">
        <f aca="false">IFERROR(INDEX(MAP!$L$7:$L$101,MATCH(TRIM(C9),MAP!$I$7:$I$101,0)),"")</f>
        <v>Event</v>
      </c>
      <c r="G9" s="1" t="n">
        <f aca="false">IFERROR(MATCH(A9,CONFIRM!$A$5:$A$53,0),0)</f>
        <v>0</v>
      </c>
      <c r="H9" s="48" t="str">
        <f aca="false">STACK!F9</f>
        <v>Community Health Education</v>
      </c>
      <c r="I9" s="1" t="str">
        <f aca="false">IF(G9&gt;0,IF(INDEX(CONFIRM!$I$5:$I$53,G9)&lt;&gt;"",INDEX(CONFIRM!$I$5:$I$53,G9),H9),H9)</f>
        <v>Community Health Education</v>
      </c>
      <c r="J9" s="1" t="str">
        <f aca="false">IFERROR(INDEX(MAP!$F$7:$F$74,MATCH(TRIM(I9),MAP!$E$7:$E$74,0)),"UNMAPPED")</f>
        <v>Community health education</v>
      </c>
      <c r="K9" s="1" t="str">
        <f aca="false">IFERROR(INDEX(MAP!$G$7:$G$74,MATCH(TRIM(I9),MAP!$E$7:$E$74,0)),"UNMAPPED")</f>
        <v>7e</v>
      </c>
      <c r="L9" s="49" t="n">
        <f aca="false">STACK!G9</f>
        <v>45852</v>
      </c>
      <c r="M9" s="59" t="n">
        <f aca="false">IF(G9&gt;0,IF(INDEX(CONFIRM!$G$5:$G$53,G9)&lt;&gt;"",INDEX(CONFIRM!$G$5:$G$53,G9),IF(ISNUMBER(L9),L9,IFERROR(DATEVALUE(L9),""))),IF(ISNUMBER(L9),L9,IFERROR(DATEVALUE(L9),"")))</f>
        <v>45852</v>
      </c>
      <c r="N9" s="1" t="str">
        <f aca="false">IF(M9="","Check",IF(AND(M9&gt;=INPUTS!$C$6,M9&lt;=INPUTS!$C$7),"Yes","No"))</f>
        <v>Yes</v>
      </c>
      <c r="O9" s="48" t="str">
        <f aca="false">STACK!H9</f>
        <v>Health Education Specialist </v>
      </c>
      <c r="P9" s="1" t="str">
        <f aca="false">IF(G9&gt;0,IF(INDEX(CONFIRM!$H$5:$H$53,G9)&lt;&gt;"",INDEX(CONFIRM!$H$5:$H$53,G9),IFERROR(INDEX(MAP!$B$7:$B$156,MATCH(TRIM(O9),MAP!$A$7:$A$156,0)),"UNMAPPED")),IFERROR(INDEX(MAP!$B$7:$B$156,MATCH(TRIM(O9),MAP!$A$7:$A$156,0)),"UNMAPPED"))</f>
        <v>Health Educator</v>
      </c>
      <c r="Q9" s="48" t="n">
        <f aca="false">STACK!I9</f>
        <v>2.5</v>
      </c>
      <c r="R9" s="60" t="n">
        <f aca="false">IF(G9&gt;0,IF(INDEX(CONFIRM!$F$5:$F$53,G9)&lt;&gt;"",INDEX(CONFIRM!$F$5:$F$53,G9),IF(ISNUMBER(Q9),Q9,IF(Q9="","",IFERROR(VALUE(TRIM(SUBSTITUTE(SUBSTITUTE(LOWER(Q9),"hrs",""),"hr",""))),"")))),IF(ISNUMBER(Q9),Q9,IF(Q9="","",IFERROR(VALUE(TRIM(SUBSTITUTE(SUBSTITUTE(LOWER(Q9),"hrs",""),"hr",""))),""))))</f>
        <v>2.5</v>
      </c>
      <c r="S9" s="57" t="n">
        <f aca="false">IFERROR(INDEX(RATES!$E$6:$E$28,MATCH(P9,RATES!$A$6:$A$28,0)),0)</f>
        <v>37.265</v>
      </c>
      <c r="T9" s="61" t="n">
        <f aca="false">IF(ISNUMBER(R9),R9,0)*S9</f>
        <v>93.1625</v>
      </c>
      <c r="U9" s="61" t="n">
        <f aca="false">T9*INDEX(INPUTS!$H$10:$H$14,MATCH(B9,INPUTS!$A$10:$A$14,0))</f>
        <v>17.2350625</v>
      </c>
      <c r="V9" s="61" t="n">
        <f aca="false">N(STACK!K9)</f>
        <v>110</v>
      </c>
      <c r="W9" s="61" t="n">
        <f aca="false">T9+U9+V9</f>
        <v>220.3975625</v>
      </c>
      <c r="X9" s="61" t="n">
        <f aca="false">N(STACK!L9)</f>
        <v>0</v>
      </c>
      <c r="Y9" s="61" t="n">
        <f aca="false">W9-X9</f>
        <v>220.3975625</v>
      </c>
      <c r="Z9" s="1" t="n">
        <f aca="false">N(STACK!J9)</f>
        <v>15</v>
      </c>
      <c r="AA9" s="1" t="str">
        <f aca="false">TRIM(IF(D9="UNMAPPED","Program not mapped. ","")&amp;IF(OR(K9="UNMAPPED",K9="UNASSIGNED"),"Category needs review. ","")&amp;IF(P9="UNMAPPED","Title not mapped. ","")&amp;IF(AND(P9&lt;&gt;"No staff time",R9=""),"Missing hours. ","")&amp;IF(M9="","Date not readable. ","")&amp;IF(N9="No","Outside fiscal year. ","")&amp;IF(AND(F9="Event",ISNUMBER(R9)),IF(R9&gt;12,"Event hours look high. ",""),"")&amp;IF(G9&gt;0,"See CONFIRM sheet.",""))</f>
        <v/>
      </c>
      <c r="AB9" s="1" t="n">
        <f aca="false">IF(N9="No",0,IF(REVIEW!O9=0,0,IF(G9&gt;0,IF(INDEX(CONFIRM!$J$5:$J$53,G9)&lt;&gt;"",INDEX(CONFIRM!$J$5:$J$53,G9),1),1)))</f>
        <v>1</v>
      </c>
      <c r="AC9" s="1" t="n">
        <f aca="false">IF(AB9=1,IF(COUNTIFS($B$5:B9,B9,$D$5:D9,D9,$AB$5:AB9,1)=1,1,0),0)</f>
        <v>1</v>
      </c>
    </row>
    <row r="10" customFormat="false" ht="15" hidden="false" customHeight="false" outlineLevel="0" collapsed="false">
      <c r="A10" s="48" t="str">
        <f aca="false">STACK!A10</f>
        <v>KVMC-0006</v>
      </c>
      <c r="B10" s="48" t="str">
        <f aca="false">STACK!B10</f>
        <v>KVMC</v>
      </c>
      <c r="C10" s="48" t="str">
        <f aca="false">STACK!E10</f>
        <v>Diabetes Prevention Classes</v>
      </c>
      <c r="D10" s="1" t="str">
        <f aca="false">IFERROR(INDEX(MAP!$J$7:$J$101,MATCH(TRIM(C10),MAP!$I$7:$I$101,0)),"UNMAPPED")</f>
        <v>Diabetes Prevention Classes</v>
      </c>
      <c r="E10" s="1" t="str">
        <f aca="false">IFERROR(INDEX(MAP!$K$7:$K$101,MATCH(TRIM(C10),MAP!$I$7:$I$101,0)),"")</f>
        <v>Chronic disease prevention</v>
      </c>
      <c r="F10" s="1" t="str">
        <f aca="false">IFERROR(INDEX(MAP!$L$7:$L$101,MATCH(TRIM(C10),MAP!$I$7:$I$101,0)),"")</f>
        <v>Event</v>
      </c>
      <c r="G10" s="1" t="n">
        <f aca="false">IFERROR(MATCH(A10,CONFIRM!$A$5:$A$53,0),0)</f>
        <v>0</v>
      </c>
      <c r="H10" s="48" t="str">
        <f aca="false">STACK!F10</f>
        <v>Community Health Education</v>
      </c>
      <c r="I10" s="1" t="str">
        <f aca="false">IF(G10&gt;0,IF(INDEX(CONFIRM!$I$5:$I$53,G10)&lt;&gt;"",INDEX(CONFIRM!$I$5:$I$53,G10),H10),H10)</f>
        <v>Community Health Education</v>
      </c>
      <c r="J10" s="1" t="str">
        <f aca="false">IFERROR(INDEX(MAP!$F$7:$F$74,MATCH(TRIM(I10),MAP!$E$7:$E$74,0)),"UNMAPPED")</f>
        <v>Community health education</v>
      </c>
      <c r="K10" s="1" t="str">
        <f aca="false">IFERROR(INDEX(MAP!$G$7:$G$74,MATCH(TRIM(I10),MAP!$E$7:$E$74,0)),"UNMAPPED")</f>
        <v>7e</v>
      </c>
      <c r="L10" s="49" t="n">
        <f aca="false">STACK!G10</f>
        <v>45852</v>
      </c>
      <c r="M10" s="59" t="n">
        <f aca="false">IF(G10&gt;0,IF(INDEX(CONFIRM!$G$5:$G$53,G10)&lt;&gt;"",INDEX(CONFIRM!$G$5:$G$53,G10),IF(ISNUMBER(L10),L10,IFERROR(DATEVALUE(L10),""))),IF(ISNUMBER(L10),L10,IFERROR(DATEVALUE(L10),"")))</f>
        <v>45852</v>
      </c>
      <c r="N10" s="1" t="str">
        <f aca="false">IF(M10="","Check",IF(AND(M10&gt;=INPUTS!$C$6,M10&lt;=INPUTS!$C$7),"Yes","No"))</f>
        <v>Yes</v>
      </c>
      <c r="O10" s="48" t="str">
        <f aca="false">STACK!H10</f>
        <v>Registered Dietitian</v>
      </c>
      <c r="P10" s="1" t="str">
        <f aca="false">IF(G10&gt;0,IF(INDEX(CONFIRM!$H$5:$H$53,G10)&lt;&gt;"",INDEX(CONFIRM!$H$5:$H$53,G10),IFERROR(INDEX(MAP!$B$7:$B$156,MATCH(TRIM(O10),MAP!$A$7:$A$156,0)),"UNMAPPED")),IFERROR(INDEX(MAP!$B$7:$B$156,MATCH(TRIM(O10),MAP!$A$7:$A$156,0)),"UNMAPPED"))</f>
        <v>Registered Dietitian</v>
      </c>
      <c r="Q10" s="48" t="n">
        <f aca="false">STACK!I10</f>
        <v>1.5</v>
      </c>
      <c r="R10" s="60" t="n">
        <f aca="false">IF(G10&gt;0,IF(INDEX(CONFIRM!$F$5:$F$53,G10)&lt;&gt;"",INDEX(CONFIRM!$F$5:$F$53,G10),IF(ISNUMBER(Q10),Q10,IF(Q10="","",IFERROR(VALUE(TRIM(SUBSTITUTE(SUBSTITUTE(LOWER(Q10),"hrs",""),"hr",""))),"")))),IF(ISNUMBER(Q10),Q10,IF(Q10="","",IFERROR(VALUE(TRIM(SUBSTITUTE(SUBSTITUTE(LOWER(Q10),"hrs",""),"hr",""))),""))))</f>
        <v>1.5</v>
      </c>
      <c r="S10" s="57" t="n">
        <f aca="false">IFERROR(INDEX(RATES!$E$6:$E$28,MATCH(P10,RATES!$A$6:$A$28,0)),0)</f>
        <v>46.9025</v>
      </c>
      <c r="T10" s="61" t="n">
        <f aca="false">IF(ISNUMBER(R10),R10,0)*S10</f>
        <v>70.35375</v>
      </c>
      <c r="U10" s="61" t="n">
        <f aca="false">T10*INDEX(INPUTS!$H$10:$H$14,MATCH(B10,INPUTS!$A$10:$A$14,0))</f>
        <v>13.01544375</v>
      </c>
      <c r="V10" s="61" t="n">
        <f aca="false">N(STACK!K10)</f>
        <v>0</v>
      </c>
      <c r="W10" s="61" t="n">
        <f aca="false">T10+U10+V10</f>
        <v>83.36919375</v>
      </c>
      <c r="X10" s="61" t="n">
        <f aca="false">N(STACK!L10)</f>
        <v>0</v>
      </c>
      <c r="Y10" s="61" t="n">
        <f aca="false">W10-X10</f>
        <v>83.36919375</v>
      </c>
      <c r="Z10" s="1" t="n">
        <f aca="false">N(STACK!J10)</f>
        <v>0</v>
      </c>
      <c r="AA10" s="1" t="str">
        <f aca="false">TRIM(IF(D10="UNMAPPED","Program not mapped. ","")&amp;IF(OR(K10="UNMAPPED",K10="UNASSIGNED"),"Category needs review. ","")&amp;IF(P10="UNMAPPED","Title not mapped. ","")&amp;IF(AND(P10&lt;&gt;"No staff time",R10=""),"Missing hours. ","")&amp;IF(M10="","Date not readable. ","")&amp;IF(N10="No","Outside fiscal year. ","")&amp;IF(AND(F10="Event",ISNUMBER(R10)),IF(R10&gt;12,"Event hours look high. ",""),"")&amp;IF(G10&gt;0,"See CONFIRM sheet.",""))</f>
        <v/>
      </c>
      <c r="AB10" s="1" t="n">
        <f aca="false">IF(N10="No",0,IF(REVIEW!O10=0,0,IF(G10&gt;0,IF(INDEX(CONFIRM!$J$5:$J$53,G10)&lt;&gt;"",INDEX(CONFIRM!$J$5:$J$53,G10),1),1)))</f>
        <v>1</v>
      </c>
      <c r="AC10" s="1" t="n">
        <f aca="false">IF(AB10=1,IF(COUNTIFS($B$5:B10,B10,$D$5:D10,D10,$AB$5:AB10,1)=1,1,0),0)</f>
        <v>0</v>
      </c>
    </row>
    <row r="11" customFormat="false" ht="15" hidden="false" customHeight="false" outlineLevel="0" collapsed="false">
      <c r="A11" s="48" t="str">
        <f aca="false">STACK!A11</f>
        <v>KVMC-0007</v>
      </c>
      <c r="B11" s="48" t="str">
        <f aca="false">STACK!B11</f>
        <v>KVMC</v>
      </c>
      <c r="C11" s="48" t="str">
        <f aca="false">STACK!E11</f>
        <v>Community Blood Pressure Checks</v>
      </c>
      <c r="D11" s="1" t="str">
        <f aca="false">IFERROR(INDEX(MAP!$J$7:$J$101,MATCH(TRIM(C11),MAP!$I$7:$I$101,0)),"UNMAPPED")</f>
        <v>Community Blood Pressure Checks</v>
      </c>
      <c r="E11" s="1" t="str">
        <f aca="false">IFERROR(INDEX(MAP!$K$7:$K$101,MATCH(TRIM(C11),MAP!$I$7:$I$101,0)),"")</f>
        <v>Chronic disease prevention</v>
      </c>
      <c r="F11" s="1" t="str">
        <f aca="false">IFERROR(INDEX(MAP!$L$7:$L$101,MATCH(TRIM(C11),MAP!$I$7:$I$101,0)),"")</f>
        <v>Event</v>
      </c>
      <c r="G11" s="1" t="n">
        <f aca="false">IFERROR(MATCH(A11,CONFIRM!$A$5:$A$53,0),0)</f>
        <v>0</v>
      </c>
      <c r="H11" s="48" t="str">
        <f aca="false">STACK!F11</f>
        <v>Community-Based Clinical Services</v>
      </c>
      <c r="I11" s="1" t="str">
        <f aca="false">IF(G11&gt;0,IF(INDEX(CONFIRM!$I$5:$I$53,G11)&lt;&gt;"",INDEX(CONFIRM!$I$5:$I$53,G11),H11),H11)</f>
        <v>Community-Based Clinical Services</v>
      </c>
      <c r="J11" s="1" t="str">
        <f aca="false">IFERROR(INDEX(MAP!$F$7:$F$74,MATCH(TRIM(I11),MAP!$E$7:$E$74,0)),"UNMAPPED")</f>
        <v>Community-based clinical services</v>
      </c>
      <c r="K11" s="1" t="str">
        <f aca="false">IFERROR(INDEX(MAP!$G$7:$G$74,MATCH(TRIM(I11),MAP!$E$7:$E$74,0)),"UNMAPPED")</f>
        <v>7e</v>
      </c>
      <c r="L11" s="49" t="n">
        <f aca="false">STACK!G11</f>
        <v>45856</v>
      </c>
      <c r="M11" s="59" t="n">
        <f aca="false">IF(G11&gt;0,IF(INDEX(CONFIRM!$G$5:$G$53,G11)&lt;&gt;"",INDEX(CONFIRM!$G$5:$G$53,G11),IF(ISNUMBER(L11),L11,IFERROR(DATEVALUE(L11),""))),IF(ISNUMBER(L11),L11,IFERROR(DATEVALUE(L11),"")))</f>
        <v>45856</v>
      </c>
      <c r="N11" s="1" t="str">
        <f aca="false">IF(M11="","Check",IF(AND(M11&gt;=INPUTS!$C$6,M11&lt;=INPUTS!$C$7),"Yes","No"))</f>
        <v>Yes</v>
      </c>
      <c r="O11" s="48" t="str">
        <f aca="false">STACK!H11</f>
        <v>Reg Nurse</v>
      </c>
      <c r="P11" s="1" t="str">
        <f aca="false">IF(G11&gt;0,IF(INDEX(CONFIRM!$H$5:$H$53,G11)&lt;&gt;"",INDEX(CONFIRM!$H$5:$H$53,G11),IFERROR(INDEX(MAP!$B$7:$B$156,MATCH(TRIM(O11),MAP!$A$7:$A$156,0)),"UNMAPPED")),IFERROR(INDEX(MAP!$B$7:$B$156,MATCH(TRIM(O11),MAP!$A$7:$A$156,0)),"UNMAPPED"))</f>
        <v>Registered Nurse</v>
      </c>
      <c r="Q11" s="48" t="n">
        <f aca="false">STACK!I11</f>
        <v>3.75</v>
      </c>
      <c r="R11" s="60" t="n">
        <f aca="false">IF(G11&gt;0,IF(INDEX(CONFIRM!$F$5:$F$53,G11)&lt;&gt;"",INDEX(CONFIRM!$F$5:$F$53,G11),IF(ISNUMBER(Q11),Q11,IF(Q11="","",IFERROR(VALUE(TRIM(SUBSTITUTE(SUBSTITUTE(LOWER(Q11),"hrs",""),"hr",""))),"")))),IF(ISNUMBER(Q11),Q11,IF(Q11="","",IFERROR(VALUE(TRIM(SUBSTITUTE(SUBSTITUTE(LOWER(Q11),"hrs",""),"hr",""))),""))))</f>
        <v>3.75</v>
      </c>
      <c r="S11" s="57" t="n">
        <f aca="false">IFERROR(INDEX(RATES!$E$6:$E$28,MATCH(P11,RATES!$A$6:$A$28,0)),0)</f>
        <v>55.8975</v>
      </c>
      <c r="T11" s="61" t="n">
        <f aca="false">IF(ISNUMBER(R11),R11,0)*S11</f>
        <v>209.615625</v>
      </c>
      <c r="U11" s="61" t="n">
        <f aca="false">T11*INDEX(INPUTS!$H$10:$H$14,MATCH(B11,INPUTS!$A$10:$A$14,0))</f>
        <v>38.778890625</v>
      </c>
      <c r="V11" s="61" t="n">
        <f aca="false">N(STACK!K11)</f>
        <v>110</v>
      </c>
      <c r="W11" s="61" t="n">
        <f aca="false">T11+U11+V11</f>
        <v>358.394515625</v>
      </c>
      <c r="X11" s="61" t="n">
        <f aca="false">N(STACK!L11)</f>
        <v>0</v>
      </c>
      <c r="Y11" s="61" t="n">
        <f aca="false">W11-X11</f>
        <v>358.394515625</v>
      </c>
      <c r="Z11" s="1" t="n">
        <f aca="false">N(STACK!J11)</f>
        <v>65</v>
      </c>
      <c r="AA11" s="1" t="str">
        <f aca="false">TRIM(IF(D11="UNMAPPED","Program not mapped. ","")&amp;IF(OR(K11="UNMAPPED",K11="UNASSIGNED"),"Category needs review. ","")&amp;IF(P11="UNMAPPED","Title not mapped. ","")&amp;IF(AND(P11&lt;&gt;"No staff time",R11=""),"Missing hours. ","")&amp;IF(M11="","Date not readable. ","")&amp;IF(N11="No","Outside fiscal year. ","")&amp;IF(AND(F11="Event",ISNUMBER(R11)),IF(R11&gt;12,"Event hours look high. ",""),"")&amp;IF(G11&gt;0,"See CONFIRM sheet.",""))</f>
        <v/>
      </c>
      <c r="AB11" s="1" t="n">
        <f aca="false">IF(N11="No",0,IF(REVIEW!O11=0,0,IF(G11&gt;0,IF(INDEX(CONFIRM!$J$5:$J$53,G11)&lt;&gt;"",INDEX(CONFIRM!$J$5:$J$53,G11),1),1)))</f>
        <v>1</v>
      </c>
      <c r="AC11" s="1" t="n">
        <f aca="false">IF(AB11=1,IF(COUNTIFS($B$5:B11,B11,$D$5:D11,D11,$AB$5:AB11,1)=1,1,0),0)</f>
        <v>1</v>
      </c>
    </row>
    <row r="12" customFormat="false" ht="15" hidden="false" customHeight="false" outlineLevel="0" collapsed="false">
      <c r="A12" s="48" t="str">
        <f aca="false">STACK!A12</f>
        <v>KVMC-0008</v>
      </c>
      <c r="B12" s="48" t="str">
        <f aca="false">STACK!B12</f>
        <v>KVMC</v>
      </c>
      <c r="C12" s="48" t="str">
        <f aca="false">STACK!E12</f>
        <v>Mental Health First Aid Training</v>
      </c>
      <c r="D12" s="1" t="str">
        <f aca="false">IFERROR(INDEX(MAP!$J$7:$J$101,MATCH(TRIM(C12),MAP!$I$7:$I$101,0)),"UNMAPPED")</f>
        <v>Mental Health First Aid Training</v>
      </c>
      <c r="E12" s="1" t="str">
        <f aca="false">IFERROR(INDEX(MAP!$K$7:$K$101,MATCH(TRIM(C12),MAP!$I$7:$I$101,0)),"")</f>
        <v>Behavioral health</v>
      </c>
      <c r="F12" s="1" t="str">
        <f aca="false">IFERROR(INDEX(MAP!$L$7:$L$101,MATCH(TRIM(C12),MAP!$I$7:$I$101,0)),"")</f>
        <v>Event</v>
      </c>
      <c r="G12" s="1" t="n">
        <f aca="false">IFERROR(MATCH(A12,CONFIRM!$A$5:$A$53,0),0)</f>
        <v>0</v>
      </c>
      <c r="H12" s="48" t="str">
        <f aca="false">STACK!F12</f>
        <v>Community Health Education</v>
      </c>
      <c r="I12" s="1" t="str">
        <f aca="false">IF(G12&gt;0,IF(INDEX(CONFIRM!$I$5:$I$53,G12)&lt;&gt;"",INDEX(CONFIRM!$I$5:$I$53,G12),H12),H12)</f>
        <v>Community Health Education</v>
      </c>
      <c r="J12" s="1" t="str">
        <f aca="false">IFERROR(INDEX(MAP!$F$7:$F$74,MATCH(TRIM(I12),MAP!$E$7:$E$74,0)),"UNMAPPED")</f>
        <v>Community health education</v>
      </c>
      <c r="K12" s="1" t="str">
        <f aca="false">IFERROR(INDEX(MAP!$G$7:$G$74,MATCH(TRIM(I12),MAP!$E$7:$E$74,0)),"UNMAPPED")</f>
        <v>7e</v>
      </c>
      <c r="L12" s="49" t="n">
        <f aca="false">STACK!G12</f>
        <v>45856</v>
      </c>
      <c r="M12" s="59" t="n">
        <f aca="false">IF(G12&gt;0,IF(INDEX(CONFIRM!$G$5:$G$53,G12)&lt;&gt;"",INDEX(CONFIRM!$G$5:$G$53,G12),IF(ISNUMBER(L12),L12,IFERROR(DATEVALUE(L12),""))),IF(ISNUMBER(L12),L12,IFERROR(DATEVALUE(L12),"")))</f>
        <v>45856</v>
      </c>
      <c r="N12" s="1" t="str">
        <f aca="false">IF(M12="","Check",IF(AND(M12&gt;=INPUTS!$C$6,M12&lt;=INPUTS!$C$7),"Yes","No"))</f>
        <v>Yes</v>
      </c>
      <c r="O12" s="48" t="str">
        <f aca="false">STACK!H12</f>
        <v>Hlth Educator</v>
      </c>
      <c r="P12" s="1" t="str">
        <f aca="false">IF(G12&gt;0,IF(INDEX(CONFIRM!$H$5:$H$53,G12)&lt;&gt;"",INDEX(CONFIRM!$H$5:$H$53,G12),IFERROR(INDEX(MAP!$B$7:$B$156,MATCH(TRIM(O12),MAP!$A$7:$A$156,0)),"UNMAPPED")),IFERROR(INDEX(MAP!$B$7:$B$156,MATCH(TRIM(O12),MAP!$A$7:$A$156,0)),"UNMAPPED"))</f>
        <v>Health Educator</v>
      </c>
      <c r="Q12" s="48" t="n">
        <f aca="false">STACK!I12</f>
        <v>8</v>
      </c>
      <c r="R12" s="60" t="n">
        <f aca="false">IF(G12&gt;0,IF(INDEX(CONFIRM!$F$5:$F$53,G12)&lt;&gt;"",INDEX(CONFIRM!$F$5:$F$53,G12),IF(ISNUMBER(Q12),Q12,IF(Q12="","",IFERROR(VALUE(TRIM(SUBSTITUTE(SUBSTITUTE(LOWER(Q12),"hrs",""),"hr",""))),"")))),IF(ISNUMBER(Q12),Q12,IF(Q12="","",IFERROR(VALUE(TRIM(SUBSTITUTE(SUBSTITUTE(LOWER(Q12),"hrs",""),"hr",""))),""))))</f>
        <v>8</v>
      </c>
      <c r="S12" s="57" t="n">
        <f aca="false">IFERROR(INDEX(RATES!$E$6:$E$28,MATCH(P12,RATES!$A$6:$A$28,0)),0)</f>
        <v>37.265</v>
      </c>
      <c r="T12" s="61" t="n">
        <f aca="false">IF(ISNUMBER(R12),R12,0)*S12</f>
        <v>298.12</v>
      </c>
      <c r="U12" s="61" t="n">
        <f aca="false">T12*INDEX(INPUTS!$H$10:$H$14,MATCH(B12,INPUTS!$A$10:$A$14,0))</f>
        <v>55.1522</v>
      </c>
      <c r="V12" s="61" t="n">
        <f aca="false">N(STACK!K12)</f>
        <v>0</v>
      </c>
      <c r="W12" s="61" t="n">
        <f aca="false">T12+U12+V12</f>
        <v>353.2722</v>
      </c>
      <c r="X12" s="61" t="n">
        <f aca="false">N(STACK!L12)</f>
        <v>0</v>
      </c>
      <c r="Y12" s="61" t="n">
        <f aca="false">W12-X12</f>
        <v>353.2722</v>
      </c>
      <c r="Z12" s="1" t="n">
        <f aca="false">N(STACK!J12)</f>
        <v>0</v>
      </c>
      <c r="AA12" s="1" t="str">
        <f aca="false">TRIM(IF(D12="UNMAPPED","Program not mapped. ","")&amp;IF(OR(K12="UNMAPPED",K12="UNASSIGNED"),"Category needs review. ","")&amp;IF(P12="UNMAPPED","Title not mapped. ","")&amp;IF(AND(P12&lt;&gt;"No staff time",R12=""),"Missing hours. ","")&amp;IF(M12="","Date not readable. ","")&amp;IF(N12="No","Outside fiscal year. ","")&amp;IF(AND(F12="Event",ISNUMBER(R12)),IF(R12&gt;12,"Event hours look high. ",""),"")&amp;IF(G12&gt;0,"See CONFIRM sheet.",""))</f>
        <v/>
      </c>
      <c r="AB12" s="1" t="n">
        <f aca="false">IF(N12="No",0,IF(REVIEW!O12=0,0,IF(G12&gt;0,IF(INDEX(CONFIRM!$J$5:$J$53,G12)&lt;&gt;"",INDEX(CONFIRM!$J$5:$J$53,G12),1),1)))</f>
        <v>1</v>
      </c>
      <c r="AC12" s="1" t="n">
        <f aca="false">IF(AB12=1,IF(COUNTIFS($B$5:B12,B12,$D$5:D12,D12,$AB$5:AB12,1)=1,1,0),0)</f>
        <v>0</v>
      </c>
    </row>
    <row r="13" customFormat="false" ht="15" hidden="false" customHeight="false" outlineLevel="0" collapsed="false">
      <c r="A13" s="48" t="str">
        <f aca="false">STACK!A13</f>
        <v>KVMC-0009</v>
      </c>
      <c r="B13" s="48" t="str">
        <f aca="false">STACK!B13</f>
        <v>KVMC</v>
      </c>
      <c r="C13" s="48" t="str">
        <f aca="false">STACK!E13</f>
        <v>Mental Health First Aid Training</v>
      </c>
      <c r="D13" s="1" t="str">
        <f aca="false">IFERROR(INDEX(MAP!$J$7:$J$101,MATCH(TRIM(C13),MAP!$I$7:$I$101,0)),"UNMAPPED")</f>
        <v>Mental Health First Aid Training</v>
      </c>
      <c r="E13" s="1" t="str">
        <f aca="false">IFERROR(INDEX(MAP!$K$7:$K$101,MATCH(TRIM(C13),MAP!$I$7:$I$101,0)),"")</f>
        <v>Behavioral health</v>
      </c>
      <c r="F13" s="1" t="str">
        <f aca="false">IFERROR(INDEX(MAP!$L$7:$L$101,MATCH(TRIM(C13),MAP!$I$7:$I$101,0)),"")</f>
        <v>Event</v>
      </c>
      <c r="G13" s="1" t="n">
        <f aca="false">IFERROR(MATCH(A13,CONFIRM!$A$5:$A$53,0),0)</f>
        <v>0</v>
      </c>
      <c r="H13" s="48" t="str">
        <f aca="false">STACK!F13</f>
        <v>Community Health Education</v>
      </c>
      <c r="I13" s="1" t="str">
        <f aca="false">IF(G13&gt;0,IF(INDEX(CONFIRM!$I$5:$I$53,G13)&lt;&gt;"",INDEX(CONFIRM!$I$5:$I$53,G13),H13),H13)</f>
        <v>Community Health Education</v>
      </c>
      <c r="J13" s="1" t="str">
        <f aca="false">IFERROR(INDEX(MAP!$F$7:$F$74,MATCH(TRIM(I13),MAP!$E$7:$E$74,0)),"UNMAPPED")</f>
        <v>Community health education</v>
      </c>
      <c r="K13" s="1" t="str">
        <f aca="false">IFERROR(INDEX(MAP!$G$7:$G$74,MATCH(TRIM(I13),MAP!$E$7:$E$74,0)),"UNMAPPED")</f>
        <v>7e</v>
      </c>
      <c r="L13" s="49" t="n">
        <f aca="false">STACK!G13</f>
        <v>45856</v>
      </c>
      <c r="M13" s="59" t="n">
        <f aca="false">IF(G13&gt;0,IF(INDEX(CONFIRM!$G$5:$G$53,G13)&lt;&gt;"",INDEX(CONFIRM!$G$5:$G$53,G13),IF(ISNUMBER(L13),L13,IFERROR(DATEVALUE(L13),""))),IF(ISNUMBER(L13),L13,IFERROR(DATEVALUE(L13),"")))</f>
        <v>45856</v>
      </c>
      <c r="N13" s="1" t="str">
        <f aca="false">IF(M13="","Check",IF(AND(M13&gt;=INPUTS!$C$6,M13&lt;=INPUTS!$C$7),"Yes","No"))</f>
        <v>Yes</v>
      </c>
      <c r="O13" s="48" t="str">
        <f aca="false">STACK!H13</f>
        <v>LCSW</v>
      </c>
      <c r="P13" s="1" t="str">
        <f aca="false">IF(G13&gt;0,IF(INDEX(CONFIRM!$H$5:$H$53,G13)&lt;&gt;"",INDEX(CONFIRM!$H$5:$H$53,G13),IFERROR(INDEX(MAP!$B$7:$B$156,MATCH(TRIM(O13),MAP!$A$7:$A$156,0)),"UNMAPPED")),IFERROR(INDEX(MAP!$B$7:$B$156,MATCH(TRIM(O13),MAP!$A$7:$A$156,0)),"UNMAPPED"))</f>
        <v>Social Worker</v>
      </c>
      <c r="Q13" s="48" t="n">
        <f aca="false">STACK!I13</f>
        <v>8</v>
      </c>
      <c r="R13" s="60" t="n">
        <f aca="false">IF(G13&gt;0,IF(INDEX(CONFIRM!$F$5:$F$53,G13)&lt;&gt;"",INDEX(CONFIRM!$F$5:$F$53,G13),IF(ISNUMBER(Q13),Q13,IF(Q13="","",IFERROR(VALUE(TRIM(SUBSTITUTE(SUBSTITUTE(LOWER(Q13),"hrs",""),"hr",""))),"")))),IF(ISNUMBER(Q13),Q13,IF(Q13="","",IFERROR(VALUE(TRIM(SUBSTITUTE(SUBSTITUTE(LOWER(Q13),"hrs",""),"hr",""))),""))))</f>
        <v>8</v>
      </c>
      <c r="S13" s="57" t="n">
        <f aca="false">IFERROR(INDEX(RATES!$E$6:$E$28,MATCH(P13,RATES!$A$6:$A$28,0)),0)</f>
        <v>45.6175</v>
      </c>
      <c r="T13" s="61" t="n">
        <f aca="false">IF(ISNUMBER(R13),R13,0)*S13</f>
        <v>364.94</v>
      </c>
      <c r="U13" s="61" t="n">
        <f aca="false">T13*INDEX(INPUTS!$H$10:$H$14,MATCH(B13,INPUTS!$A$10:$A$14,0))</f>
        <v>67.5139</v>
      </c>
      <c r="V13" s="61" t="n">
        <f aca="false">N(STACK!K13)</f>
        <v>465</v>
      </c>
      <c r="W13" s="61" t="n">
        <f aca="false">T13+U13+V13</f>
        <v>897.4539</v>
      </c>
      <c r="X13" s="61" t="n">
        <f aca="false">N(STACK!L13)</f>
        <v>0</v>
      </c>
      <c r="Y13" s="61" t="n">
        <f aca="false">W13-X13</f>
        <v>897.4539</v>
      </c>
      <c r="Z13" s="1" t="n">
        <f aca="false">N(STACK!J13)</f>
        <v>16</v>
      </c>
      <c r="AA13" s="1" t="str">
        <f aca="false">TRIM(IF(D13="UNMAPPED","Program not mapped. ","")&amp;IF(OR(K13="UNMAPPED",K13="UNASSIGNED"),"Category needs review. ","")&amp;IF(P13="UNMAPPED","Title not mapped. ","")&amp;IF(AND(P13&lt;&gt;"No staff time",R13=""),"Missing hours. ","")&amp;IF(M13="","Date not readable. ","")&amp;IF(N13="No","Outside fiscal year. ","")&amp;IF(AND(F13="Event",ISNUMBER(R13)),IF(R13&gt;12,"Event hours look high. ",""),"")&amp;IF(G13&gt;0,"See CONFIRM sheet.",""))</f>
        <v/>
      </c>
      <c r="AB13" s="1" t="n">
        <f aca="false">IF(N13="No",0,IF(REVIEW!O13=0,0,IF(G13&gt;0,IF(INDEX(CONFIRM!$J$5:$J$53,G13)&lt;&gt;"",INDEX(CONFIRM!$J$5:$J$53,G13),1),1)))</f>
        <v>1</v>
      </c>
      <c r="AC13" s="1" t="n">
        <f aca="false">IF(AB13=1,IF(COUNTIFS($B$5:B13,B13,$D$5:D13,D13,$AB$5:AB13,1)=1,1,0),0)</f>
        <v>0</v>
      </c>
    </row>
    <row r="14" customFormat="false" ht="15" hidden="false" customHeight="false" outlineLevel="0" collapsed="false">
      <c r="A14" s="48" t="str">
        <f aca="false">STACK!A14</f>
        <v>KVMC-0010</v>
      </c>
      <c r="B14" s="48" t="str">
        <f aca="false">STACK!B14</f>
        <v>KVMC</v>
      </c>
      <c r="C14" s="48" t="str">
        <f aca="false">STACK!E14</f>
        <v>Affordable Housing Partnership</v>
      </c>
      <c r="D14" s="1" t="str">
        <f aca="false">IFERROR(INDEX(MAP!$J$7:$J$101,MATCH(TRIM(C14),MAP!$I$7:$I$101,0)),"UNMAPPED")</f>
        <v>Affordable Housing Partnership</v>
      </c>
      <c r="E14" s="1" t="str">
        <f aca="false">IFERROR(INDEX(MAP!$K$7:$K$101,MATCH(TRIM(C14),MAP!$I$7:$I$101,0)),"")</f>
        <v>Food and housing security</v>
      </c>
      <c r="F14" s="1" t="str">
        <f aca="false">IFERROR(INDEX(MAP!$L$7:$L$101,MATCH(TRIM(C14),MAP!$I$7:$I$101,0)),"")</f>
        <v>Event</v>
      </c>
      <c r="G14" s="1" t="n">
        <f aca="false">IFERROR(MATCH(A14,CONFIRM!$A$5:$A$53,0),0)</f>
        <v>0</v>
      </c>
      <c r="H14" s="48" t="str">
        <f aca="false">STACK!F14</f>
        <v>Community Building - Housing</v>
      </c>
      <c r="I14" s="1" t="str">
        <f aca="false">IF(G14&gt;0,IF(INDEX(CONFIRM!$I$5:$I$53,G14)&lt;&gt;"",INDEX(CONFIRM!$I$5:$I$53,G14),H14),H14)</f>
        <v>Community Building - Housing</v>
      </c>
      <c r="J14" s="1" t="str">
        <f aca="false">IFERROR(INDEX(MAP!$F$7:$F$74,MATCH(TRIM(I14),MAP!$E$7:$E$74,0)),"UNMAPPED")</f>
        <v>Community building: physical improvements and housing</v>
      </c>
      <c r="K14" s="1" t="str">
        <f aca="false">IFERROR(INDEX(MAP!$G$7:$G$74,MATCH(TRIM(I14),MAP!$E$7:$E$74,0)),"UNMAPPED")</f>
        <v>II-1</v>
      </c>
      <c r="L14" s="49" t="n">
        <f aca="false">STACK!G14</f>
        <v>45862</v>
      </c>
      <c r="M14" s="59" t="n">
        <f aca="false">IF(G14&gt;0,IF(INDEX(CONFIRM!$G$5:$G$53,G14)&lt;&gt;"",INDEX(CONFIRM!$G$5:$G$53,G14),IF(ISNUMBER(L14),L14,IFERROR(DATEVALUE(L14),""))),IF(ISNUMBER(L14),L14,IFERROR(DATEVALUE(L14),"")))</f>
        <v>45862</v>
      </c>
      <c r="N14" s="1" t="str">
        <f aca="false">IF(M14="","Check",IF(AND(M14&gt;=INPUTS!$C$6,M14&lt;=INPUTS!$C$7),"Yes","No"))</f>
        <v>Yes</v>
      </c>
      <c r="O14" s="48" t="str">
        <f aca="false">STACK!H14</f>
        <v>DIRECTOR, MISSION</v>
      </c>
      <c r="P14" s="1" t="str">
        <f aca="false">IF(G14&gt;0,IF(INDEX(CONFIRM!$H$5:$H$53,G14)&lt;&gt;"",INDEX(CONFIRM!$H$5:$H$53,G14),IFERROR(INDEX(MAP!$B$7:$B$156,MATCH(TRIM(O14),MAP!$A$7:$A$156,0)),"UNMAPPED")),IFERROR(INDEX(MAP!$B$7:$B$156,MATCH(TRIM(O14),MAP!$A$7:$A$156,0)),"UNMAPPED"))</f>
        <v>Director</v>
      </c>
      <c r="Q14" s="48" t="n">
        <f aca="false">STACK!I14</f>
        <v>4.25</v>
      </c>
      <c r="R14" s="60" t="n">
        <f aca="false">IF(G14&gt;0,IF(INDEX(CONFIRM!$F$5:$F$53,G14)&lt;&gt;"",INDEX(CONFIRM!$F$5:$F$53,G14),IF(ISNUMBER(Q14),Q14,IF(Q14="","",IFERROR(VALUE(TRIM(SUBSTITUTE(SUBSTITUTE(LOWER(Q14),"hrs",""),"hr",""))),"")))),IF(ISNUMBER(Q14),Q14,IF(Q14="","",IFERROR(VALUE(TRIM(SUBSTITUTE(SUBSTITUTE(LOWER(Q14),"hrs",""),"hr",""))),""))))</f>
        <v>4.25</v>
      </c>
      <c r="S14" s="57" t="n">
        <f aca="false">IFERROR(INDEX(RATES!$E$6:$E$28,MATCH(P14,RATES!$A$6:$A$28,0)),0)</f>
        <v>92.52</v>
      </c>
      <c r="T14" s="61" t="n">
        <f aca="false">IF(ISNUMBER(R14),R14,0)*S14</f>
        <v>393.21</v>
      </c>
      <c r="U14" s="61" t="n">
        <f aca="false">T14*INDEX(INPUTS!$H$10:$H$14,MATCH(B14,INPUTS!$A$10:$A$14,0))</f>
        <v>72.74385</v>
      </c>
      <c r="V14" s="61" t="n">
        <f aca="false">N(STACK!K14)</f>
        <v>51545</v>
      </c>
      <c r="W14" s="61" t="n">
        <f aca="false">T14+U14+V14</f>
        <v>52010.95385</v>
      </c>
      <c r="X14" s="61" t="n">
        <f aca="false">N(STACK!L14)</f>
        <v>0</v>
      </c>
      <c r="Y14" s="61" t="n">
        <f aca="false">W14-X14</f>
        <v>52010.95385</v>
      </c>
      <c r="Z14" s="1" t="n">
        <f aca="false">N(STACK!J14)</f>
        <v>0</v>
      </c>
      <c r="AA14" s="1" t="str">
        <f aca="false">TRIM(IF(D14="UNMAPPED","Program not mapped. ","")&amp;IF(OR(K14="UNMAPPED",K14="UNASSIGNED"),"Category needs review. ","")&amp;IF(P14="UNMAPPED","Title not mapped. ","")&amp;IF(AND(P14&lt;&gt;"No staff time",R14=""),"Missing hours. ","")&amp;IF(M14="","Date not readable. ","")&amp;IF(N14="No","Outside fiscal year. ","")&amp;IF(AND(F14="Event",ISNUMBER(R14)),IF(R14&gt;12,"Event hours look high. ",""),"")&amp;IF(G14&gt;0,"See CONFIRM sheet.",""))</f>
        <v/>
      </c>
      <c r="AB14" s="1" t="n">
        <f aca="false">IF(N14="No",0,IF(REVIEW!O14=0,0,IF(G14&gt;0,IF(INDEX(CONFIRM!$J$5:$J$53,G14)&lt;&gt;"",INDEX(CONFIRM!$J$5:$J$53,G14),1),1)))</f>
        <v>1</v>
      </c>
      <c r="AC14" s="1" t="n">
        <f aca="false">IF(AB14=1,IF(COUNTIFS($B$5:B14,B14,$D$5:D14,D14,$AB$5:AB14,1)=1,1,0),0)</f>
        <v>1</v>
      </c>
    </row>
    <row r="15" customFormat="false" ht="15" hidden="false" customHeight="false" outlineLevel="0" collapsed="false">
      <c r="A15" s="48" t="str">
        <f aca="false">STACK!A15</f>
        <v>KVMC-0011</v>
      </c>
      <c r="B15" s="48" t="str">
        <f aca="false">STACK!B15</f>
        <v>KVMC</v>
      </c>
      <c r="C15" s="48" t="str">
        <f aca="false">STACK!E15</f>
        <v>Affordable Housing Partnership</v>
      </c>
      <c r="D15" s="1" t="str">
        <f aca="false">IFERROR(INDEX(MAP!$J$7:$J$101,MATCH(TRIM(C15),MAP!$I$7:$I$101,0)),"UNMAPPED")</f>
        <v>Affordable Housing Partnership</v>
      </c>
      <c r="E15" s="1" t="str">
        <f aca="false">IFERROR(INDEX(MAP!$K$7:$K$101,MATCH(TRIM(C15),MAP!$I$7:$I$101,0)),"")</f>
        <v>Food and housing security</v>
      </c>
      <c r="F15" s="1" t="str">
        <f aca="false">IFERROR(INDEX(MAP!$L$7:$L$101,MATCH(TRIM(C15),MAP!$I$7:$I$101,0)),"")</f>
        <v>Event</v>
      </c>
      <c r="G15" s="1" t="n">
        <f aca="false">IFERROR(MATCH(A15,CONFIRM!$A$5:$A$53,0),0)</f>
        <v>0</v>
      </c>
      <c r="H15" s="48" t="str">
        <f aca="false">STACK!F15</f>
        <v>Community Building - Housing</v>
      </c>
      <c r="I15" s="1" t="str">
        <f aca="false">IF(G15&gt;0,IF(INDEX(CONFIRM!$I$5:$I$53,G15)&lt;&gt;"",INDEX(CONFIRM!$I$5:$I$53,G15),H15),H15)</f>
        <v>Community Building - Housing</v>
      </c>
      <c r="J15" s="1" t="str">
        <f aca="false">IFERROR(INDEX(MAP!$F$7:$F$74,MATCH(TRIM(I15),MAP!$E$7:$E$74,0)),"UNMAPPED")</f>
        <v>Community building: physical improvements and housing</v>
      </c>
      <c r="K15" s="1" t="str">
        <f aca="false">IFERROR(INDEX(MAP!$G$7:$G$74,MATCH(TRIM(I15),MAP!$E$7:$E$74,0)),"UNMAPPED")</f>
        <v>II-1</v>
      </c>
      <c r="L15" s="49" t="n">
        <f aca="false">STACK!G15</f>
        <v>45862</v>
      </c>
      <c r="M15" s="59" t="n">
        <f aca="false">IF(G15&gt;0,IF(INDEX(CONFIRM!$G$5:$G$53,G15)&lt;&gt;"",INDEX(CONFIRM!$G$5:$G$53,G15),IF(ISNUMBER(L15),L15,IFERROR(DATEVALUE(L15),""))),IF(ISNUMBER(L15),L15,IFERROR(DATEVALUE(L15),"")))</f>
        <v>45862</v>
      </c>
      <c r="N15" s="1" t="str">
        <f aca="false">IF(M15="","Check",IF(AND(M15&gt;=INPUTS!$C$6,M15&lt;=INPUTS!$C$7),"Yes","No"))</f>
        <v>Yes</v>
      </c>
      <c r="O15" s="48" t="str">
        <f aca="false">STACK!H15</f>
        <v>Program Coordinator</v>
      </c>
      <c r="P15" s="1" t="str">
        <f aca="false">IF(G15&gt;0,IF(INDEX(CONFIRM!$H$5:$H$53,G15)&lt;&gt;"",INDEX(CONFIRM!$H$5:$H$53,G15),IFERROR(INDEX(MAP!$B$7:$B$156,MATCH(TRIM(O15),MAP!$A$7:$A$156,0)),"UNMAPPED")),IFERROR(INDEX(MAP!$B$7:$B$156,MATCH(TRIM(O15),MAP!$A$7:$A$156,0)),"UNMAPPED"))</f>
        <v>Program Coordinator</v>
      </c>
      <c r="Q15" s="48" t="n">
        <f aca="false">STACK!I15</f>
        <v>8.5</v>
      </c>
      <c r="R15" s="60" t="n">
        <f aca="false">IF(G15&gt;0,IF(INDEX(CONFIRM!$F$5:$F$53,G15)&lt;&gt;"",INDEX(CONFIRM!$F$5:$F$53,G15),IF(ISNUMBER(Q15),Q15,IF(Q15="","",IFERROR(VALUE(TRIM(SUBSTITUTE(SUBSTITUTE(LOWER(Q15),"hrs",""),"hr",""))),"")))),IF(ISNUMBER(Q15),Q15,IF(Q15="","",IFERROR(VALUE(TRIM(SUBSTITUTE(SUBSTITUTE(LOWER(Q15),"hrs",""),"hr",""))),""))))</f>
        <v>8.5</v>
      </c>
      <c r="S15" s="57" t="n">
        <f aca="false">IFERROR(INDEX(RATES!$E$6:$E$28,MATCH(P15,RATES!$A$6:$A$28,0)),0)</f>
        <v>35.3375</v>
      </c>
      <c r="T15" s="61" t="n">
        <f aca="false">IF(ISNUMBER(R15),R15,0)*S15</f>
        <v>300.36875</v>
      </c>
      <c r="U15" s="61" t="n">
        <f aca="false">T15*INDEX(INPUTS!$H$10:$H$14,MATCH(B15,INPUTS!$A$10:$A$14,0))</f>
        <v>55.56821875</v>
      </c>
      <c r="V15" s="61" t="n">
        <f aca="false">N(STACK!K15)</f>
        <v>0</v>
      </c>
      <c r="W15" s="61" t="n">
        <f aca="false">T15+U15+V15</f>
        <v>355.93696875</v>
      </c>
      <c r="X15" s="61" t="n">
        <f aca="false">N(STACK!L15)</f>
        <v>0</v>
      </c>
      <c r="Y15" s="61" t="n">
        <f aca="false">W15-X15</f>
        <v>355.93696875</v>
      </c>
      <c r="Z15" s="1" t="n">
        <f aca="false">N(STACK!J15)</f>
        <v>0</v>
      </c>
      <c r="AA15" s="1" t="str">
        <f aca="false">TRIM(IF(D15="UNMAPPED","Program not mapped. ","")&amp;IF(OR(K15="UNMAPPED",K15="UNASSIGNED"),"Category needs review. ","")&amp;IF(P15="UNMAPPED","Title not mapped. ","")&amp;IF(AND(P15&lt;&gt;"No staff time",R15=""),"Missing hours. ","")&amp;IF(M15="","Date not readable. ","")&amp;IF(N15="No","Outside fiscal year. ","")&amp;IF(AND(F15="Event",ISNUMBER(R15)),IF(R15&gt;12,"Event hours look high. ",""),"")&amp;IF(G15&gt;0,"See CONFIRM sheet.",""))</f>
        <v/>
      </c>
      <c r="AB15" s="1" t="n">
        <f aca="false">IF(N15="No",0,IF(REVIEW!O15=0,0,IF(G15&gt;0,IF(INDEX(CONFIRM!$J$5:$J$53,G15)&lt;&gt;"",INDEX(CONFIRM!$J$5:$J$53,G15),1),1)))</f>
        <v>1</v>
      </c>
      <c r="AC15" s="1" t="n">
        <f aca="false">IF(AB15=1,IF(COUNTIFS($B$5:B15,B15,$D$5:D15,D15,$AB$5:AB15,1)=1,1,0),0)</f>
        <v>0</v>
      </c>
    </row>
    <row r="16" customFormat="false" ht="15" hidden="false" customHeight="false" outlineLevel="0" collapsed="false">
      <c r="A16" s="48" t="str">
        <f aca="false">STACK!A16</f>
        <v>KVMC-0012</v>
      </c>
      <c r="B16" s="48" t="str">
        <f aca="false">STACK!B16</f>
        <v>KVMC</v>
      </c>
      <c r="C16" s="48" t="str">
        <f aca="false">STACK!E16</f>
        <v>Diabetes Prevention Classes</v>
      </c>
      <c r="D16" s="1" t="str">
        <f aca="false">IFERROR(INDEX(MAP!$J$7:$J$101,MATCH(TRIM(C16),MAP!$I$7:$I$101,0)),"UNMAPPED")</f>
        <v>Diabetes Prevention Classes</v>
      </c>
      <c r="E16" s="1" t="str">
        <f aca="false">IFERROR(INDEX(MAP!$K$7:$K$101,MATCH(TRIM(C16),MAP!$I$7:$I$101,0)),"")</f>
        <v>Chronic disease prevention</v>
      </c>
      <c r="F16" s="1" t="str">
        <f aca="false">IFERROR(INDEX(MAP!$L$7:$L$101,MATCH(TRIM(C16),MAP!$I$7:$I$101,0)),"")</f>
        <v>Event</v>
      </c>
      <c r="G16" s="1" t="n">
        <f aca="false">IFERROR(MATCH(A16,CONFIRM!$A$5:$A$53,0),0)</f>
        <v>1</v>
      </c>
      <c r="H16" s="48" t="str">
        <f aca="false">STACK!F16</f>
        <v>Community Health Education</v>
      </c>
      <c r="I16" s="1" t="str">
        <f aca="false">IF(G16&gt;0,IF(INDEX(CONFIRM!$I$5:$I$53,G16)&lt;&gt;"",INDEX(CONFIRM!$I$5:$I$53,G16),H16),H16)</f>
        <v>Community Health Education</v>
      </c>
      <c r="J16" s="1" t="str">
        <f aca="false">IFERROR(INDEX(MAP!$F$7:$F$74,MATCH(TRIM(I16),MAP!$E$7:$E$74,0)),"UNMAPPED")</f>
        <v>Community health education</v>
      </c>
      <c r="K16" s="1" t="str">
        <f aca="false">IFERROR(INDEX(MAP!$G$7:$G$74,MATCH(TRIM(I16),MAP!$E$7:$E$74,0)),"UNMAPPED")</f>
        <v>7e</v>
      </c>
      <c r="L16" s="49" t="n">
        <f aca="false">STACK!G16</f>
        <v>45863</v>
      </c>
      <c r="M16" s="59" t="n">
        <f aca="false">IF(G16&gt;0,IF(INDEX(CONFIRM!$G$5:$G$53,G16)&lt;&gt;"",INDEX(CONFIRM!$G$5:$G$53,G16),IF(ISNUMBER(L16),L16,IFERROR(DATEVALUE(L16),""))),IF(ISNUMBER(L16),L16,IFERROR(DATEVALUE(L16),"")))</f>
        <v>45863</v>
      </c>
      <c r="N16" s="1" t="str">
        <f aca="false">IF(M16="","Check",IF(AND(M16&gt;=INPUTS!$C$6,M16&lt;=INPUTS!$C$7),"Yes","No"))</f>
        <v>Yes</v>
      </c>
      <c r="O16" s="48" t="str">
        <f aca="false">STACK!H16</f>
        <v>CHES</v>
      </c>
      <c r="P16" s="1" t="str">
        <f aca="false">IF(G16&gt;0,IF(INDEX(CONFIRM!$H$5:$H$53,G16)&lt;&gt;"",INDEX(CONFIRM!$H$5:$H$53,G16),IFERROR(INDEX(MAP!$B$7:$B$156,MATCH(TRIM(O16),MAP!$A$7:$A$156,0)),"UNMAPPED")),IFERROR(INDEX(MAP!$B$7:$B$156,MATCH(TRIM(O16),MAP!$A$7:$A$156,0)),"UNMAPPED"))</f>
        <v>Health Educator</v>
      </c>
      <c r="Q16" s="48" t="str">
        <f aca="false">STACK!I16</f>
        <v/>
      </c>
      <c r="R16" s="60" t="n">
        <f aca="false">IF(G16&gt;0,IF(INDEX(CONFIRM!$F$5:$F$53,G16)&lt;&gt;"",INDEX(CONFIRM!$F$5:$F$53,G16),IF(ISNUMBER(Q16),Q16,IF(Q16="","",IFERROR(VALUE(TRIM(SUBSTITUTE(SUBSTITUTE(LOWER(Q16),"hrs",""),"hr",""))),"")))),IF(ISNUMBER(Q16),Q16,IF(Q16="","",IFERROR(VALUE(TRIM(SUBSTITUTE(SUBSTITUTE(LOWER(Q16),"hrs",""),"hr",""))),""))))</f>
        <v>2</v>
      </c>
      <c r="S16" s="57" t="n">
        <f aca="false">IFERROR(INDEX(RATES!$E$6:$E$28,MATCH(P16,RATES!$A$6:$A$28,0)),0)</f>
        <v>37.265</v>
      </c>
      <c r="T16" s="61" t="n">
        <f aca="false">IF(ISNUMBER(R16),R16,0)*S16</f>
        <v>74.53</v>
      </c>
      <c r="U16" s="61" t="n">
        <f aca="false">T16*INDEX(INPUTS!$H$10:$H$14,MATCH(B16,INPUTS!$A$10:$A$14,0))</f>
        <v>13.78805</v>
      </c>
      <c r="V16" s="61" t="n">
        <f aca="false">N(STACK!K16)</f>
        <v>125</v>
      </c>
      <c r="W16" s="61" t="n">
        <f aca="false">T16+U16+V16</f>
        <v>213.31805</v>
      </c>
      <c r="X16" s="61" t="n">
        <f aca="false">N(STACK!L16)</f>
        <v>0</v>
      </c>
      <c r="Y16" s="61" t="n">
        <f aca="false">W16-X16</f>
        <v>213.31805</v>
      </c>
      <c r="Z16" s="1" t="n">
        <f aca="false">N(STACK!J16)</f>
        <v>10</v>
      </c>
      <c r="AA16" s="1" t="str">
        <f aca="false">TRIM(IF(D16="UNMAPPED","Program not mapped. ","")&amp;IF(OR(K16="UNMAPPED",K16="UNASSIGNED"),"Category needs review. ","")&amp;IF(P16="UNMAPPED","Title not mapped. ","")&amp;IF(AND(P16&lt;&gt;"No staff time",R16=""),"Missing hours. ","")&amp;IF(M16="","Date not readable. ","")&amp;IF(N16="No","Outside fiscal year. ","")&amp;IF(AND(F16="Event",ISNUMBER(R16)),IF(R16&gt;12,"Event hours look high. ",""),"")&amp;IF(G16&gt;0,"See CONFIRM sheet.",""))</f>
        <v>See CONFIRM sheet.</v>
      </c>
      <c r="AB16" s="1" t="n">
        <f aca="false">IF(N16="No",0,IF(REVIEW!O16=0,0,IF(G16&gt;0,IF(INDEX(CONFIRM!$J$5:$J$53,G16)&lt;&gt;"",INDEX(CONFIRM!$J$5:$J$53,G16),1),1)))</f>
        <v>1</v>
      </c>
      <c r="AC16" s="1" t="n">
        <f aca="false">IF(AB16=1,IF(COUNTIFS($B$5:B16,B16,$D$5:D16,D16,$AB$5:AB16,1)=1,1,0),0)</f>
        <v>0</v>
      </c>
    </row>
    <row r="17" customFormat="false" ht="15" hidden="false" customHeight="false" outlineLevel="0" collapsed="false">
      <c r="A17" s="48" t="str">
        <f aca="false">STACK!A17</f>
        <v>KVMC-0013</v>
      </c>
      <c r="B17" s="48" t="str">
        <f aca="false">STACK!B17</f>
        <v>KVMC</v>
      </c>
      <c r="C17" s="48" t="str">
        <f aca="false">STACK!E17</f>
        <v>Diabetes Prevention Classes</v>
      </c>
      <c r="D17" s="1" t="str">
        <f aca="false">IFERROR(INDEX(MAP!$J$7:$J$101,MATCH(TRIM(C17),MAP!$I$7:$I$101,0)),"UNMAPPED")</f>
        <v>Diabetes Prevention Classes</v>
      </c>
      <c r="E17" s="1" t="str">
        <f aca="false">IFERROR(INDEX(MAP!$K$7:$K$101,MATCH(TRIM(C17),MAP!$I$7:$I$101,0)),"")</f>
        <v>Chronic disease prevention</v>
      </c>
      <c r="F17" s="1" t="str">
        <f aca="false">IFERROR(INDEX(MAP!$L$7:$L$101,MATCH(TRIM(C17),MAP!$I$7:$I$101,0)),"")</f>
        <v>Event</v>
      </c>
      <c r="G17" s="1" t="n">
        <f aca="false">IFERROR(MATCH(A17,CONFIRM!$A$5:$A$53,0),0)</f>
        <v>0</v>
      </c>
      <c r="H17" s="48" t="str">
        <f aca="false">STACK!F17</f>
        <v>Community Health Education</v>
      </c>
      <c r="I17" s="1" t="str">
        <f aca="false">IF(G17&gt;0,IF(INDEX(CONFIRM!$I$5:$I$53,G17)&lt;&gt;"",INDEX(CONFIRM!$I$5:$I$53,G17),H17),H17)</f>
        <v>Community Health Education</v>
      </c>
      <c r="J17" s="1" t="str">
        <f aca="false">IFERROR(INDEX(MAP!$F$7:$F$74,MATCH(TRIM(I17),MAP!$E$7:$E$74,0)),"UNMAPPED")</f>
        <v>Community health education</v>
      </c>
      <c r="K17" s="1" t="str">
        <f aca="false">IFERROR(INDEX(MAP!$G$7:$G$74,MATCH(TRIM(I17),MAP!$E$7:$E$74,0)),"UNMAPPED")</f>
        <v>7e</v>
      </c>
      <c r="L17" s="49" t="n">
        <f aca="false">STACK!G17</f>
        <v>45863</v>
      </c>
      <c r="M17" s="59" t="n">
        <f aca="false">IF(G17&gt;0,IF(INDEX(CONFIRM!$G$5:$G$53,G17)&lt;&gt;"",INDEX(CONFIRM!$G$5:$G$53,G17),IF(ISNUMBER(L17),L17,IFERROR(DATEVALUE(L17),""))),IF(ISNUMBER(L17),L17,IFERROR(DATEVALUE(L17),"")))</f>
        <v>45863</v>
      </c>
      <c r="N17" s="1" t="str">
        <f aca="false">IF(M17="","Check",IF(AND(M17&gt;=INPUTS!$C$6,M17&lt;=INPUTS!$C$7),"Yes","No"))</f>
        <v>Yes</v>
      </c>
      <c r="O17" s="48" t="str">
        <f aca="false">STACK!H17</f>
        <v>Nutritionist</v>
      </c>
      <c r="P17" s="1" t="str">
        <f aca="false">IF(G17&gt;0,IF(INDEX(CONFIRM!$H$5:$H$53,G17)&lt;&gt;"",INDEX(CONFIRM!$H$5:$H$53,G17),IFERROR(INDEX(MAP!$B$7:$B$156,MATCH(TRIM(O17),MAP!$A$7:$A$156,0)),"UNMAPPED")),IFERROR(INDEX(MAP!$B$7:$B$156,MATCH(TRIM(O17),MAP!$A$7:$A$156,0)),"UNMAPPED"))</f>
        <v>Registered Dietitian</v>
      </c>
      <c r="Q17" s="48" t="n">
        <f aca="false">STACK!I17</f>
        <v>1.75</v>
      </c>
      <c r="R17" s="60" t="n">
        <f aca="false">IF(G17&gt;0,IF(INDEX(CONFIRM!$F$5:$F$53,G17)&lt;&gt;"",INDEX(CONFIRM!$F$5:$F$53,G17),IF(ISNUMBER(Q17),Q17,IF(Q17="","",IFERROR(VALUE(TRIM(SUBSTITUTE(SUBSTITUTE(LOWER(Q17),"hrs",""),"hr",""))),"")))),IF(ISNUMBER(Q17),Q17,IF(Q17="","",IFERROR(VALUE(TRIM(SUBSTITUTE(SUBSTITUTE(LOWER(Q17),"hrs",""),"hr",""))),""))))</f>
        <v>1.75</v>
      </c>
      <c r="S17" s="57" t="n">
        <f aca="false">IFERROR(INDEX(RATES!$E$6:$E$28,MATCH(P17,RATES!$A$6:$A$28,0)),0)</f>
        <v>46.9025</v>
      </c>
      <c r="T17" s="61" t="n">
        <f aca="false">IF(ISNUMBER(R17),R17,0)*S17</f>
        <v>82.079375</v>
      </c>
      <c r="U17" s="61" t="n">
        <f aca="false">T17*INDEX(INPUTS!$H$10:$H$14,MATCH(B17,INPUTS!$A$10:$A$14,0))</f>
        <v>15.184684375</v>
      </c>
      <c r="V17" s="61" t="n">
        <f aca="false">N(STACK!K17)</f>
        <v>0</v>
      </c>
      <c r="W17" s="61" t="n">
        <f aca="false">T17+U17+V17</f>
        <v>97.264059375</v>
      </c>
      <c r="X17" s="61" t="n">
        <f aca="false">N(STACK!L17)</f>
        <v>0</v>
      </c>
      <c r="Y17" s="61" t="n">
        <f aca="false">W17-X17</f>
        <v>97.264059375</v>
      </c>
      <c r="Z17" s="1" t="n">
        <f aca="false">N(STACK!J17)</f>
        <v>0</v>
      </c>
      <c r="AA17" s="1" t="str">
        <f aca="false">TRIM(IF(D17="UNMAPPED","Program not mapped. ","")&amp;IF(OR(K17="UNMAPPED",K17="UNASSIGNED"),"Category needs review. ","")&amp;IF(P17="UNMAPPED","Title not mapped. ","")&amp;IF(AND(P17&lt;&gt;"No staff time",R17=""),"Missing hours. ","")&amp;IF(M17="","Date not readable. ","")&amp;IF(N17="No","Outside fiscal year. ","")&amp;IF(AND(F17="Event",ISNUMBER(R17)),IF(R17&gt;12,"Event hours look high. ",""),"")&amp;IF(G17&gt;0,"See CONFIRM sheet.",""))</f>
        <v/>
      </c>
      <c r="AB17" s="1" t="n">
        <f aca="false">IF(N17="No",0,IF(REVIEW!O17=0,0,IF(G17&gt;0,IF(INDEX(CONFIRM!$J$5:$J$53,G17)&lt;&gt;"",INDEX(CONFIRM!$J$5:$J$53,G17),1),1)))</f>
        <v>1</v>
      </c>
      <c r="AC17" s="1" t="n">
        <f aca="false">IF(AB17=1,IF(COUNTIFS($B$5:B17,B17,$D$5:D17,D17,$AB$5:AB17,1)=1,1,0),0)</f>
        <v>0</v>
      </c>
    </row>
    <row r="18" customFormat="false" ht="15" hidden="false" customHeight="false" outlineLevel="0" collapsed="false">
      <c r="A18" s="48" t="str">
        <f aca="false">STACK!A18</f>
        <v>KVMC-0014</v>
      </c>
      <c r="B18" s="48" t="str">
        <f aca="false">STACK!B18</f>
        <v>KVMC</v>
      </c>
      <c r="C18" s="48" t="str">
        <f aca="false">STACK!E18</f>
        <v>Tobacco Cessation Classes</v>
      </c>
      <c r="D18" s="1" t="str">
        <f aca="false">IFERROR(INDEX(MAP!$J$7:$J$101,MATCH(TRIM(C18),MAP!$I$7:$I$101,0)),"UNMAPPED")</f>
        <v>Tobacco Cessation Classes</v>
      </c>
      <c r="E18" s="1" t="str">
        <f aca="false">IFERROR(INDEX(MAP!$K$7:$K$101,MATCH(TRIM(C18),MAP!$I$7:$I$101,0)),"")</f>
        <v>Chronic disease prevention</v>
      </c>
      <c r="F18" s="1" t="str">
        <f aca="false">IFERROR(INDEX(MAP!$L$7:$L$101,MATCH(TRIM(C18),MAP!$I$7:$I$101,0)),"")</f>
        <v>Event</v>
      </c>
      <c r="G18" s="1" t="n">
        <f aca="false">IFERROR(MATCH(A18,CONFIRM!$A$5:$A$53,0),0)</f>
        <v>0</v>
      </c>
      <c r="H18" s="48" t="str">
        <f aca="false">STACK!F18</f>
        <v>Community Health Education</v>
      </c>
      <c r="I18" s="1" t="str">
        <f aca="false">IF(G18&gt;0,IF(INDEX(CONFIRM!$I$5:$I$53,G18)&lt;&gt;"",INDEX(CONFIRM!$I$5:$I$53,G18),H18),H18)</f>
        <v>Community Health Education</v>
      </c>
      <c r="J18" s="1" t="str">
        <f aca="false">IFERROR(INDEX(MAP!$F$7:$F$74,MATCH(TRIM(I18),MAP!$E$7:$E$74,0)),"UNMAPPED")</f>
        <v>Community health education</v>
      </c>
      <c r="K18" s="1" t="str">
        <f aca="false">IFERROR(INDEX(MAP!$G$7:$G$74,MATCH(TRIM(I18),MAP!$E$7:$E$74,0)),"UNMAPPED")</f>
        <v>7e</v>
      </c>
      <c r="L18" s="49" t="n">
        <f aca="false">STACK!G18</f>
        <v>45863</v>
      </c>
      <c r="M18" s="59" t="n">
        <f aca="false">IF(G18&gt;0,IF(INDEX(CONFIRM!$G$5:$G$53,G18)&lt;&gt;"",INDEX(CONFIRM!$G$5:$G$53,G18),IF(ISNUMBER(L18),L18,IFERROR(DATEVALUE(L18),""))),IF(ISNUMBER(L18),L18,IFERROR(DATEVALUE(L18),"")))</f>
        <v>45863</v>
      </c>
      <c r="N18" s="1" t="str">
        <f aca="false">IF(M18="","Check",IF(AND(M18&gt;=INPUTS!$C$6,M18&lt;=INPUTS!$C$7),"Yes","No"))</f>
        <v>Yes</v>
      </c>
      <c r="O18" s="48" t="str">
        <f aca="false">STACK!H18</f>
        <v>Licensed Therapist</v>
      </c>
      <c r="P18" s="1" t="str">
        <f aca="false">IF(G18&gt;0,IF(INDEX(CONFIRM!$H$5:$H$53,G18)&lt;&gt;"",INDEX(CONFIRM!$H$5:$H$53,G18),IFERROR(INDEX(MAP!$B$7:$B$156,MATCH(TRIM(O18),MAP!$A$7:$A$156,0)),"UNMAPPED")),IFERROR(INDEX(MAP!$B$7:$B$156,MATCH(TRIM(O18),MAP!$A$7:$A$156,0)),"UNMAPPED"))</f>
        <v>Licensed Therapist</v>
      </c>
      <c r="Q18" s="48" t="n">
        <f aca="false">STACK!I18</f>
        <v>2</v>
      </c>
      <c r="R18" s="60" t="n">
        <f aca="false">IF(G18&gt;0,IF(INDEX(CONFIRM!$F$5:$F$53,G18)&lt;&gt;"",INDEX(CONFIRM!$F$5:$F$53,G18),IF(ISNUMBER(Q18),Q18,IF(Q18="","",IFERROR(VALUE(TRIM(SUBSTITUTE(SUBSTITUTE(LOWER(Q18),"hrs",""),"hr",""))),"")))),IF(ISNUMBER(Q18),Q18,IF(Q18="","",IFERROR(VALUE(TRIM(SUBSTITUTE(SUBSTITUTE(LOWER(Q18),"hrs",""),"hr",""))),""))))</f>
        <v>2</v>
      </c>
      <c r="S18" s="57" t="n">
        <f aca="false">IFERROR(INDEX(RATES!$E$6:$E$28,MATCH(P18,RATES!$A$6:$A$28,0)),0)</f>
        <v>53.97</v>
      </c>
      <c r="T18" s="61" t="n">
        <f aca="false">IF(ISNUMBER(R18),R18,0)*S18</f>
        <v>107.94</v>
      </c>
      <c r="U18" s="61" t="n">
        <f aca="false">T18*INDEX(INPUTS!$H$10:$H$14,MATCH(B18,INPUTS!$A$10:$A$14,0))</f>
        <v>19.9689</v>
      </c>
      <c r="V18" s="61" t="n">
        <f aca="false">N(STACK!K18)</f>
        <v>190</v>
      </c>
      <c r="W18" s="61" t="n">
        <f aca="false">T18+U18+V18</f>
        <v>317.9089</v>
      </c>
      <c r="X18" s="61" t="n">
        <f aca="false">N(STACK!L18)</f>
        <v>0</v>
      </c>
      <c r="Y18" s="61" t="n">
        <f aca="false">W18-X18</f>
        <v>317.9089</v>
      </c>
      <c r="Z18" s="1" t="n">
        <f aca="false">N(STACK!J18)</f>
        <v>14</v>
      </c>
      <c r="AA18" s="1" t="str">
        <f aca="false">TRIM(IF(D18="UNMAPPED","Program not mapped. ","")&amp;IF(OR(K18="UNMAPPED",K18="UNASSIGNED"),"Category needs review. ","")&amp;IF(P18="UNMAPPED","Title not mapped. ","")&amp;IF(AND(P18&lt;&gt;"No staff time",R18=""),"Missing hours. ","")&amp;IF(M18="","Date not readable. ","")&amp;IF(N18="No","Outside fiscal year. ","")&amp;IF(AND(F18="Event",ISNUMBER(R18)),IF(R18&gt;12,"Event hours look high. ",""),"")&amp;IF(G18&gt;0,"See CONFIRM sheet.",""))</f>
        <v/>
      </c>
      <c r="AB18" s="1" t="n">
        <f aca="false">IF(N18="No",0,IF(REVIEW!O18=0,0,IF(G18&gt;0,IF(INDEX(CONFIRM!$J$5:$J$53,G18)&lt;&gt;"",INDEX(CONFIRM!$J$5:$J$53,G18),1),1)))</f>
        <v>1</v>
      </c>
      <c r="AC18" s="1" t="n">
        <f aca="false">IF(AB18=1,IF(COUNTIFS($B$5:B18,B18,$D$5:D18,D18,$AB$5:AB18,1)=1,1,0),0)</f>
        <v>1</v>
      </c>
    </row>
    <row r="19" customFormat="false" ht="15" hidden="false" customHeight="false" outlineLevel="0" collapsed="false">
      <c r="A19" s="48" t="str">
        <f aca="false">STACK!A19</f>
        <v>KVMC-0015</v>
      </c>
      <c r="B19" s="48" t="str">
        <f aca="false">STACK!B19</f>
        <v>KVMC</v>
      </c>
      <c r="C19" s="48" t="str">
        <f aca="false">STACK!E19</f>
        <v>Naloxone Training and Distribution</v>
      </c>
      <c r="D19" s="1" t="str">
        <f aca="false">IFERROR(INDEX(MAP!$J$7:$J$101,MATCH(TRIM(C19),MAP!$I$7:$I$101,0)),"UNMAPPED")</f>
        <v>Naloxone Training and Distribution</v>
      </c>
      <c r="E19" s="1" t="str">
        <f aca="false">IFERROR(INDEX(MAP!$K$7:$K$101,MATCH(TRIM(C19),MAP!$I$7:$I$101,0)),"")</f>
        <v>Behavioral health</v>
      </c>
      <c r="F19" s="1" t="str">
        <f aca="false">IFERROR(INDEX(MAP!$L$7:$L$101,MATCH(TRIM(C19),MAP!$I$7:$I$101,0)),"")</f>
        <v>Event</v>
      </c>
      <c r="G19" s="1" t="n">
        <f aca="false">IFERROR(MATCH(A19,CONFIRM!$A$5:$A$53,0),0)</f>
        <v>0</v>
      </c>
      <c r="H19" s="48" t="str">
        <f aca="false">STACK!F19</f>
        <v>Community Health Education</v>
      </c>
      <c r="I19" s="1" t="str">
        <f aca="false">IF(G19&gt;0,IF(INDEX(CONFIRM!$I$5:$I$53,G19)&lt;&gt;"",INDEX(CONFIRM!$I$5:$I$53,G19),H19),H19)</f>
        <v>Community Health Education</v>
      </c>
      <c r="J19" s="1" t="str">
        <f aca="false">IFERROR(INDEX(MAP!$F$7:$F$74,MATCH(TRIM(I19),MAP!$E$7:$E$74,0)),"UNMAPPED")</f>
        <v>Community health education</v>
      </c>
      <c r="K19" s="1" t="str">
        <f aca="false">IFERROR(INDEX(MAP!$G$7:$G$74,MATCH(TRIM(I19),MAP!$E$7:$E$74,0)),"UNMAPPED")</f>
        <v>7e</v>
      </c>
      <c r="L19" s="49" t="n">
        <f aca="false">STACK!G19</f>
        <v>45866</v>
      </c>
      <c r="M19" s="59" t="n">
        <f aca="false">IF(G19&gt;0,IF(INDEX(CONFIRM!$G$5:$G$53,G19)&lt;&gt;"",INDEX(CONFIRM!$G$5:$G$53,G19),IF(ISNUMBER(L19),L19,IFERROR(DATEVALUE(L19),""))),IF(ISNUMBER(L19),L19,IFERROR(DATEVALUE(L19),"")))</f>
        <v>45866</v>
      </c>
      <c r="N19" s="1" t="str">
        <f aca="false">IF(M19="","Check",IF(AND(M19&gt;=INPUTS!$C$6,M19&lt;=INPUTS!$C$7),"Yes","No"))</f>
        <v>Yes</v>
      </c>
      <c r="O19" s="48" t="str">
        <f aca="false">STACK!H19</f>
        <v>Community Educator</v>
      </c>
      <c r="P19" s="1" t="str">
        <f aca="false">IF(G19&gt;0,IF(INDEX(CONFIRM!$H$5:$H$53,G19)&lt;&gt;"",INDEX(CONFIRM!$H$5:$H$53,G19),IFERROR(INDEX(MAP!$B$7:$B$156,MATCH(TRIM(O19),MAP!$A$7:$A$156,0)),"UNMAPPED")),IFERROR(INDEX(MAP!$B$7:$B$156,MATCH(TRIM(O19),MAP!$A$7:$A$156,0)),"UNMAPPED"))</f>
        <v>Health Educator</v>
      </c>
      <c r="Q19" s="48" t="n">
        <f aca="false">STACK!I19</f>
        <v>2</v>
      </c>
      <c r="R19" s="60" t="n">
        <f aca="false">IF(G19&gt;0,IF(INDEX(CONFIRM!$F$5:$F$53,G19)&lt;&gt;"",INDEX(CONFIRM!$F$5:$F$53,G19),IF(ISNUMBER(Q19),Q19,IF(Q19="","",IFERROR(VALUE(TRIM(SUBSTITUTE(SUBSTITUTE(LOWER(Q19),"hrs",""),"hr",""))),"")))),IF(ISNUMBER(Q19),Q19,IF(Q19="","",IFERROR(VALUE(TRIM(SUBSTITUTE(SUBSTITUTE(LOWER(Q19),"hrs",""),"hr",""))),""))))</f>
        <v>2</v>
      </c>
      <c r="S19" s="57" t="n">
        <f aca="false">IFERROR(INDEX(RATES!$E$6:$E$28,MATCH(P19,RATES!$A$6:$A$28,0)),0)</f>
        <v>37.265</v>
      </c>
      <c r="T19" s="61" t="n">
        <f aca="false">IF(ISNUMBER(R19),R19,0)*S19</f>
        <v>74.53</v>
      </c>
      <c r="U19" s="61" t="n">
        <f aca="false">T19*INDEX(INPUTS!$H$10:$H$14,MATCH(B19,INPUTS!$A$10:$A$14,0))</f>
        <v>13.78805</v>
      </c>
      <c r="V19" s="61" t="n">
        <f aca="false">N(STACK!K19)</f>
        <v>0</v>
      </c>
      <c r="W19" s="61" t="n">
        <f aca="false">T19+U19+V19</f>
        <v>88.31805</v>
      </c>
      <c r="X19" s="61" t="n">
        <f aca="false">N(STACK!L19)</f>
        <v>0</v>
      </c>
      <c r="Y19" s="61" t="n">
        <f aca="false">W19-X19</f>
        <v>88.31805</v>
      </c>
      <c r="Z19" s="1" t="n">
        <f aca="false">N(STACK!J19)</f>
        <v>0</v>
      </c>
      <c r="AA19" s="1" t="str">
        <f aca="false">TRIM(IF(D19="UNMAPPED","Program not mapped. ","")&amp;IF(OR(K19="UNMAPPED",K19="UNASSIGNED"),"Category needs review. ","")&amp;IF(P19="UNMAPPED","Title not mapped. ","")&amp;IF(AND(P19&lt;&gt;"No staff time",R19=""),"Missing hours. ","")&amp;IF(M19="","Date not readable. ","")&amp;IF(N19="No","Outside fiscal year. ","")&amp;IF(AND(F19="Event",ISNUMBER(R19)),IF(R19&gt;12,"Event hours look high. ",""),"")&amp;IF(G19&gt;0,"See CONFIRM sheet.",""))</f>
        <v/>
      </c>
      <c r="AB19" s="1" t="n">
        <f aca="false">IF(N19="No",0,IF(REVIEW!O19=0,0,IF(G19&gt;0,IF(INDEX(CONFIRM!$J$5:$J$53,G19)&lt;&gt;"",INDEX(CONFIRM!$J$5:$J$53,G19),1),1)))</f>
        <v>1</v>
      </c>
      <c r="AC19" s="1" t="n">
        <f aca="false">IF(AB19=1,IF(COUNTIFS($B$5:B19,B19,$D$5:D19,D19,$AB$5:AB19,1)=1,1,0),0)</f>
        <v>1</v>
      </c>
    </row>
    <row r="20" customFormat="false" ht="15" hidden="false" customHeight="false" outlineLevel="0" collapsed="false">
      <c r="A20" s="48" t="str">
        <f aca="false">STACK!A20</f>
        <v>KVMC-0016</v>
      </c>
      <c r="B20" s="48" t="str">
        <f aca="false">STACK!B20</f>
        <v>KVMC</v>
      </c>
      <c r="C20" s="48" t="str">
        <f aca="false">STACK!E20</f>
        <v>Naloxone Training and Distribution</v>
      </c>
      <c r="D20" s="1" t="str">
        <f aca="false">IFERROR(INDEX(MAP!$J$7:$J$101,MATCH(TRIM(C20),MAP!$I$7:$I$101,0)),"UNMAPPED")</f>
        <v>Naloxone Training and Distribution</v>
      </c>
      <c r="E20" s="1" t="str">
        <f aca="false">IFERROR(INDEX(MAP!$K$7:$K$101,MATCH(TRIM(C20),MAP!$I$7:$I$101,0)),"")</f>
        <v>Behavioral health</v>
      </c>
      <c r="F20" s="1" t="str">
        <f aca="false">IFERROR(INDEX(MAP!$L$7:$L$101,MATCH(TRIM(C20),MAP!$I$7:$I$101,0)),"")</f>
        <v>Event</v>
      </c>
      <c r="G20" s="1" t="n">
        <f aca="false">IFERROR(MATCH(A20,CONFIRM!$A$5:$A$53,0),0)</f>
        <v>0</v>
      </c>
      <c r="H20" s="48" t="str">
        <f aca="false">STACK!F20</f>
        <v>Community Health Education</v>
      </c>
      <c r="I20" s="1" t="str">
        <f aca="false">IF(G20&gt;0,IF(INDEX(CONFIRM!$I$5:$I$53,G20)&lt;&gt;"",INDEX(CONFIRM!$I$5:$I$53,G20),H20),H20)</f>
        <v>Community Health Education</v>
      </c>
      <c r="J20" s="1" t="str">
        <f aca="false">IFERROR(INDEX(MAP!$F$7:$F$74,MATCH(TRIM(I20),MAP!$E$7:$E$74,0)),"UNMAPPED")</f>
        <v>Community health education</v>
      </c>
      <c r="K20" s="1" t="str">
        <f aca="false">IFERROR(INDEX(MAP!$G$7:$G$74,MATCH(TRIM(I20),MAP!$E$7:$E$74,0)),"UNMAPPED")</f>
        <v>7e</v>
      </c>
      <c r="L20" s="49" t="n">
        <f aca="false">STACK!G20</f>
        <v>45866</v>
      </c>
      <c r="M20" s="59" t="n">
        <f aca="false">IF(G20&gt;0,IF(INDEX(CONFIRM!$G$5:$G$53,G20)&lt;&gt;"",INDEX(CONFIRM!$G$5:$G$53,G20),IF(ISNUMBER(L20),L20,IFERROR(DATEVALUE(L20),""))),IF(ISNUMBER(L20),L20,IFERROR(DATEVALUE(L20),"")))</f>
        <v>45866</v>
      </c>
      <c r="N20" s="1" t="str">
        <f aca="false">IF(M20="","Check",IF(AND(M20&gt;=INPUTS!$C$6,M20&lt;=INPUTS!$C$7),"Yes","No"))</f>
        <v>Yes</v>
      </c>
      <c r="O20" s="48" t="str">
        <f aca="false">STACK!H20</f>
        <v>Pharmacist</v>
      </c>
      <c r="P20" s="1" t="str">
        <f aca="false">IF(G20&gt;0,IF(INDEX(CONFIRM!$H$5:$H$53,G20)&lt;&gt;"",INDEX(CONFIRM!$H$5:$H$53,G20),IFERROR(INDEX(MAP!$B$7:$B$156,MATCH(TRIM(O20),MAP!$A$7:$A$156,0)),"UNMAPPED")),IFERROR(INDEX(MAP!$B$7:$B$156,MATCH(TRIM(O20),MAP!$A$7:$A$156,0)),"UNMAPPED"))</f>
        <v>Pharmacist</v>
      </c>
      <c r="Q20" s="48" t="n">
        <f aca="false">STACK!I20</f>
        <v>2.25</v>
      </c>
      <c r="R20" s="60" t="n">
        <f aca="false">IF(G20&gt;0,IF(INDEX(CONFIRM!$F$5:$F$53,G20)&lt;&gt;"",INDEX(CONFIRM!$F$5:$F$53,G20),IF(ISNUMBER(Q20),Q20,IF(Q20="","",IFERROR(VALUE(TRIM(SUBSTITUTE(SUBSTITUTE(LOWER(Q20),"hrs",""),"hr",""))),"")))),IF(ISNUMBER(Q20),Q20,IF(Q20="","",IFERROR(VALUE(TRIM(SUBSTITUTE(SUBSTITUTE(LOWER(Q20),"hrs",""),"hr",""))),""))))</f>
        <v>2.25</v>
      </c>
      <c r="S20" s="57" t="n">
        <f aca="false">IFERROR(INDEX(RATES!$E$6:$E$28,MATCH(P20,RATES!$A$6:$A$28,0)),0)</f>
        <v>84.81</v>
      </c>
      <c r="T20" s="61" t="n">
        <f aca="false">IF(ISNUMBER(R20),R20,0)*S20</f>
        <v>190.8225</v>
      </c>
      <c r="U20" s="61" t="n">
        <f aca="false">T20*INDEX(INPUTS!$H$10:$H$14,MATCH(B20,INPUTS!$A$10:$A$14,0))</f>
        <v>35.3021625</v>
      </c>
      <c r="V20" s="61" t="n">
        <f aca="false">N(STACK!K20)</f>
        <v>1620</v>
      </c>
      <c r="W20" s="61" t="n">
        <f aca="false">T20+U20+V20</f>
        <v>1846.1246625</v>
      </c>
      <c r="X20" s="61" t="n">
        <f aca="false">N(STACK!L20)</f>
        <v>690</v>
      </c>
      <c r="Y20" s="61" t="n">
        <f aca="false">W20-X20</f>
        <v>1156.1246625</v>
      </c>
      <c r="Z20" s="1" t="n">
        <f aca="false">N(STACK!J20)</f>
        <v>31</v>
      </c>
      <c r="AA20" s="1" t="str">
        <f aca="false">TRIM(IF(D20="UNMAPPED","Program not mapped. ","")&amp;IF(OR(K20="UNMAPPED",K20="UNASSIGNED"),"Category needs review. ","")&amp;IF(P20="UNMAPPED","Title not mapped. ","")&amp;IF(AND(P20&lt;&gt;"No staff time",R20=""),"Missing hours. ","")&amp;IF(M20="","Date not readable. ","")&amp;IF(N20="No","Outside fiscal year. ","")&amp;IF(AND(F20="Event",ISNUMBER(R20)),IF(R20&gt;12,"Event hours look high. ",""),"")&amp;IF(G20&gt;0,"See CONFIRM sheet.",""))</f>
        <v/>
      </c>
      <c r="AB20" s="1" t="n">
        <f aca="false">IF(N20="No",0,IF(REVIEW!O20=0,0,IF(G20&gt;0,IF(INDEX(CONFIRM!$J$5:$J$53,G20)&lt;&gt;"",INDEX(CONFIRM!$J$5:$J$53,G20),1),1)))</f>
        <v>1</v>
      </c>
      <c r="AC20" s="1" t="n">
        <f aca="false">IF(AB20=1,IF(COUNTIFS($B$5:B20,B20,$D$5:D20,D20,$AB$5:AB20,1)=1,1,0),0)</f>
        <v>0</v>
      </c>
    </row>
    <row r="21" customFormat="false" ht="15" hidden="false" customHeight="false" outlineLevel="0" collapsed="false">
      <c r="A21" s="48" t="str">
        <f aca="false">STACK!A21</f>
        <v>KVMC-0017</v>
      </c>
      <c r="B21" s="48" t="str">
        <f aca="false">STACK!B21</f>
        <v>KVMC</v>
      </c>
      <c r="C21" s="48" t="str">
        <f aca="false">STACK!E21</f>
        <v>Diabetes Prevention Classes</v>
      </c>
      <c r="D21" s="1" t="str">
        <f aca="false">IFERROR(INDEX(MAP!$J$7:$J$101,MATCH(TRIM(C21),MAP!$I$7:$I$101,0)),"UNMAPPED")</f>
        <v>Diabetes Prevention Classes</v>
      </c>
      <c r="E21" s="1" t="str">
        <f aca="false">IFERROR(INDEX(MAP!$K$7:$K$101,MATCH(TRIM(C21),MAP!$I$7:$I$101,0)),"")</f>
        <v>Chronic disease prevention</v>
      </c>
      <c r="F21" s="1" t="str">
        <f aca="false">IFERROR(INDEX(MAP!$L$7:$L$101,MATCH(TRIM(C21),MAP!$I$7:$I$101,0)),"")</f>
        <v>Event</v>
      </c>
      <c r="G21" s="1" t="n">
        <f aca="false">IFERROR(MATCH(A21,CONFIRM!$A$5:$A$53,0),0)</f>
        <v>0</v>
      </c>
      <c r="H21" s="48" t="str">
        <f aca="false">STACK!F21</f>
        <v>Community Health Education</v>
      </c>
      <c r="I21" s="1" t="str">
        <f aca="false">IF(G21&gt;0,IF(INDEX(CONFIRM!$I$5:$I$53,G21)&lt;&gt;"",INDEX(CONFIRM!$I$5:$I$53,G21),H21),H21)</f>
        <v>Community Health Education</v>
      </c>
      <c r="J21" s="1" t="str">
        <f aca="false">IFERROR(INDEX(MAP!$F$7:$F$74,MATCH(TRIM(I21),MAP!$E$7:$E$74,0)),"UNMAPPED")</f>
        <v>Community health education</v>
      </c>
      <c r="K21" s="1" t="str">
        <f aca="false">IFERROR(INDEX(MAP!$G$7:$G$74,MATCH(TRIM(I21),MAP!$E$7:$E$74,0)),"UNMAPPED")</f>
        <v>7e</v>
      </c>
      <c r="L21" s="49" t="n">
        <f aca="false">STACK!G21</f>
        <v>45868</v>
      </c>
      <c r="M21" s="59" t="n">
        <f aca="false">IF(G21&gt;0,IF(INDEX(CONFIRM!$G$5:$G$53,G21)&lt;&gt;"",INDEX(CONFIRM!$G$5:$G$53,G21),IF(ISNUMBER(L21),L21,IFERROR(DATEVALUE(L21),""))),IF(ISNUMBER(L21),L21,IFERROR(DATEVALUE(L21),"")))</f>
        <v>45868</v>
      </c>
      <c r="N21" s="1" t="str">
        <f aca="false">IF(M21="","Check",IF(AND(M21&gt;=INPUTS!$C$6,M21&lt;=INPUTS!$C$7),"Yes","No"))</f>
        <v>Yes</v>
      </c>
      <c r="O21" s="48" t="str">
        <f aca="false">STACK!H21</f>
        <v>CHES</v>
      </c>
      <c r="P21" s="1" t="str">
        <f aca="false">IF(G21&gt;0,IF(INDEX(CONFIRM!$H$5:$H$53,G21)&lt;&gt;"",INDEX(CONFIRM!$H$5:$H$53,G21),IFERROR(INDEX(MAP!$B$7:$B$156,MATCH(TRIM(O21),MAP!$A$7:$A$156,0)),"UNMAPPED")),IFERROR(INDEX(MAP!$B$7:$B$156,MATCH(TRIM(O21),MAP!$A$7:$A$156,0)),"UNMAPPED"))</f>
        <v>Health Educator</v>
      </c>
      <c r="Q21" s="48" t="n">
        <f aca="false">STACK!I21</f>
        <v>2.25</v>
      </c>
      <c r="R21" s="60" t="n">
        <f aca="false">IF(G21&gt;0,IF(INDEX(CONFIRM!$F$5:$F$53,G21)&lt;&gt;"",INDEX(CONFIRM!$F$5:$F$53,G21),IF(ISNUMBER(Q21),Q21,IF(Q21="","",IFERROR(VALUE(TRIM(SUBSTITUTE(SUBSTITUTE(LOWER(Q21),"hrs",""),"hr",""))),"")))),IF(ISNUMBER(Q21),Q21,IF(Q21="","",IFERROR(VALUE(TRIM(SUBSTITUTE(SUBSTITUTE(LOWER(Q21),"hrs",""),"hr",""))),""))))</f>
        <v>2.25</v>
      </c>
      <c r="S21" s="57" t="n">
        <f aca="false">IFERROR(INDEX(RATES!$E$6:$E$28,MATCH(P21,RATES!$A$6:$A$28,0)),0)</f>
        <v>37.265</v>
      </c>
      <c r="T21" s="61" t="n">
        <f aca="false">IF(ISNUMBER(R21),R21,0)*S21</f>
        <v>83.84625</v>
      </c>
      <c r="U21" s="61" t="n">
        <f aca="false">T21*INDEX(INPUTS!$H$10:$H$14,MATCH(B21,INPUTS!$A$10:$A$14,0))</f>
        <v>15.51155625</v>
      </c>
      <c r="V21" s="61" t="n">
        <f aca="false">N(STACK!K21)</f>
        <v>135</v>
      </c>
      <c r="W21" s="61" t="n">
        <f aca="false">T21+U21+V21</f>
        <v>234.35780625</v>
      </c>
      <c r="X21" s="61" t="n">
        <f aca="false">N(STACK!L21)</f>
        <v>0</v>
      </c>
      <c r="Y21" s="61" t="n">
        <f aca="false">W21-X21</f>
        <v>234.35780625</v>
      </c>
      <c r="Z21" s="1" t="n">
        <f aca="false">N(STACK!J21)</f>
        <v>18</v>
      </c>
      <c r="AA21" s="1" t="str">
        <f aca="false">TRIM(IF(D21="UNMAPPED","Program not mapped. ","")&amp;IF(OR(K21="UNMAPPED",K21="UNASSIGNED"),"Category needs review. ","")&amp;IF(P21="UNMAPPED","Title not mapped. ","")&amp;IF(AND(P21&lt;&gt;"No staff time",R21=""),"Missing hours. ","")&amp;IF(M21="","Date not readable. ","")&amp;IF(N21="No","Outside fiscal year. ","")&amp;IF(AND(F21="Event",ISNUMBER(R21)),IF(R21&gt;12,"Event hours look high. ",""),"")&amp;IF(G21&gt;0,"See CONFIRM sheet.",""))</f>
        <v/>
      </c>
      <c r="AB21" s="1" t="n">
        <f aca="false">IF(N21="No",0,IF(REVIEW!O21=0,0,IF(G21&gt;0,IF(INDEX(CONFIRM!$J$5:$J$53,G21)&lt;&gt;"",INDEX(CONFIRM!$J$5:$J$53,G21),1),1)))</f>
        <v>1</v>
      </c>
      <c r="AC21" s="1" t="n">
        <f aca="false">IF(AB21=1,IF(COUNTIFS($B$5:B21,B21,$D$5:D21,D21,$AB$5:AB21,1)=1,1,0),0)</f>
        <v>0</v>
      </c>
    </row>
    <row r="22" customFormat="false" ht="15" hidden="false" customHeight="false" outlineLevel="0" collapsed="false">
      <c r="A22" s="48" t="str">
        <f aca="false">STACK!A22</f>
        <v>KVMC-0018</v>
      </c>
      <c r="B22" s="48" t="str">
        <f aca="false">STACK!B22</f>
        <v>KVMC</v>
      </c>
      <c r="C22" s="48" t="str">
        <f aca="false">STACK!E22</f>
        <v>Diabetes Prevention Classes</v>
      </c>
      <c r="D22" s="1" t="str">
        <f aca="false">IFERROR(INDEX(MAP!$J$7:$J$101,MATCH(TRIM(C22),MAP!$I$7:$I$101,0)),"UNMAPPED")</f>
        <v>Diabetes Prevention Classes</v>
      </c>
      <c r="E22" s="1" t="str">
        <f aca="false">IFERROR(INDEX(MAP!$K$7:$K$101,MATCH(TRIM(C22),MAP!$I$7:$I$101,0)),"")</f>
        <v>Chronic disease prevention</v>
      </c>
      <c r="F22" s="1" t="str">
        <f aca="false">IFERROR(INDEX(MAP!$L$7:$L$101,MATCH(TRIM(C22),MAP!$I$7:$I$101,0)),"")</f>
        <v>Event</v>
      </c>
      <c r="G22" s="1" t="n">
        <f aca="false">IFERROR(MATCH(A22,CONFIRM!$A$5:$A$53,0),0)</f>
        <v>0</v>
      </c>
      <c r="H22" s="48" t="str">
        <f aca="false">STACK!F22</f>
        <v>Community Health Education</v>
      </c>
      <c r="I22" s="1" t="str">
        <f aca="false">IF(G22&gt;0,IF(INDEX(CONFIRM!$I$5:$I$53,G22)&lt;&gt;"",INDEX(CONFIRM!$I$5:$I$53,G22),H22),H22)</f>
        <v>Community Health Education</v>
      </c>
      <c r="J22" s="1" t="str">
        <f aca="false">IFERROR(INDEX(MAP!$F$7:$F$74,MATCH(TRIM(I22),MAP!$E$7:$E$74,0)),"UNMAPPED")</f>
        <v>Community health education</v>
      </c>
      <c r="K22" s="1" t="str">
        <f aca="false">IFERROR(INDEX(MAP!$G$7:$G$74,MATCH(TRIM(I22),MAP!$E$7:$E$74,0)),"UNMAPPED")</f>
        <v>7e</v>
      </c>
      <c r="L22" s="49" t="n">
        <f aca="false">STACK!G22</f>
        <v>45868</v>
      </c>
      <c r="M22" s="59" t="n">
        <f aca="false">IF(G22&gt;0,IF(INDEX(CONFIRM!$G$5:$G$53,G22)&lt;&gt;"",INDEX(CONFIRM!$G$5:$G$53,G22),IF(ISNUMBER(L22),L22,IFERROR(DATEVALUE(L22),""))),IF(ISNUMBER(L22),L22,IFERROR(DATEVALUE(L22),"")))</f>
        <v>45868</v>
      </c>
      <c r="N22" s="1" t="str">
        <f aca="false">IF(M22="","Check",IF(AND(M22&gt;=INPUTS!$C$6,M22&lt;=INPUTS!$C$7),"Yes","No"))</f>
        <v>Yes</v>
      </c>
      <c r="O22" s="48" t="str">
        <f aca="false">STACK!H22</f>
        <v>Registered Dietitian</v>
      </c>
      <c r="P22" s="1" t="str">
        <f aca="false">IF(G22&gt;0,IF(INDEX(CONFIRM!$H$5:$H$53,G22)&lt;&gt;"",INDEX(CONFIRM!$H$5:$H$53,G22),IFERROR(INDEX(MAP!$B$7:$B$156,MATCH(TRIM(O22),MAP!$A$7:$A$156,0)),"UNMAPPED")),IFERROR(INDEX(MAP!$B$7:$B$156,MATCH(TRIM(O22),MAP!$A$7:$A$156,0)),"UNMAPPED"))</f>
        <v>Registered Dietitian</v>
      </c>
      <c r="Q22" s="48" t="n">
        <f aca="false">STACK!I22</f>
        <v>1.5</v>
      </c>
      <c r="R22" s="60" t="n">
        <f aca="false">IF(G22&gt;0,IF(INDEX(CONFIRM!$F$5:$F$53,G22)&lt;&gt;"",INDEX(CONFIRM!$F$5:$F$53,G22),IF(ISNUMBER(Q22),Q22,IF(Q22="","",IFERROR(VALUE(TRIM(SUBSTITUTE(SUBSTITUTE(LOWER(Q22),"hrs",""),"hr",""))),"")))),IF(ISNUMBER(Q22),Q22,IF(Q22="","",IFERROR(VALUE(TRIM(SUBSTITUTE(SUBSTITUTE(LOWER(Q22),"hrs",""),"hr",""))),""))))</f>
        <v>1.5</v>
      </c>
      <c r="S22" s="57" t="n">
        <f aca="false">IFERROR(INDEX(RATES!$E$6:$E$28,MATCH(P22,RATES!$A$6:$A$28,0)),0)</f>
        <v>46.9025</v>
      </c>
      <c r="T22" s="61" t="n">
        <f aca="false">IF(ISNUMBER(R22),R22,0)*S22</f>
        <v>70.35375</v>
      </c>
      <c r="U22" s="61" t="n">
        <f aca="false">T22*INDEX(INPUTS!$H$10:$H$14,MATCH(B22,INPUTS!$A$10:$A$14,0))</f>
        <v>13.01544375</v>
      </c>
      <c r="V22" s="61" t="n">
        <f aca="false">N(STACK!K22)</f>
        <v>0</v>
      </c>
      <c r="W22" s="61" t="n">
        <f aca="false">T22+U22+V22</f>
        <v>83.36919375</v>
      </c>
      <c r="X22" s="61" t="n">
        <f aca="false">N(STACK!L22)</f>
        <v>0</v>
      </c>
      <c r="Y22" s="61" t="n">
        <f aca="false">W22-X22</f>
        <v>83.36919375</v>
      </c>
      <c r="Z22" s="1" t="n">
        <f aca="false">N(STACK!J22)</f>
        <v>0</v>
      </c>
      <c r="AA22" s="1" t="str">
        <f aca="false">TRIM(IF(D22="UNMAPPED","Program not mapped. ","")&amp;IF(OR(K22="UNMAPPED",K22="UNASSIGNED"),"Category needs review. ","")&amp;IF(P22="UNMAPPED","Title not mapped. ","")&amp;IF(AND(P22&lt;&gt;"No staff time",R22=""),"Missing hours. ","")&amp;IF(M22="","Date not readable. ","")&amp;IF(N22="No","Outside fiscal year. ","")&amp;IF(AND(F22="Event",ISNUMBER(R22)),IF(R22&gt;12,"Event hours look high. ",""),"")&amp;IF(G22&gt;0,"See CONFIRM sheet.",""))</f>
        <v/>
      </c>
      <c r="AB22" s="1" t="n">
        <f aca="false">IF(N22="No",0,IF(REVIEW!O22=0,0,IF(G22&gt;0,IF(INDEX(CONFIRM!$J$5:$J$53,G22)&lt;&gt;"",INDEX(CONFIRM!$J$5:$J$53,G22),1),1)))</f>
        <v>1</v>
      </c>
      <c r="AC22" s="1" t="n">
        <f aca="false">IF(AB22=1,IF(COUNTIFS($B$5:B22,B22,$D$5:D22,D22,$AB$5:AB22,1)=1,1,0),0)</f>
        <v>0</v>
      </c>
    </row>
    <row r="23" customFormat="false" ht="15" hidden="false" customHeight="false" outlineLevel="0" collapsed="false">
      <c r="A23" s="48" t="str">
        <f aca="false">STACK!A23</f>
        <v>KVMC-0019</v>
      </c>
      <c r="B23" s="48" t="str">
        <f aca="false">STACK!B23</f>
        <v>KVMC</v>
      </c>
      <c r="C23" s="48" t="str">
        <f aca="false">STACK!E23</f>
        <v>Youth Health Careers Pathway</v>
      </c>
      <c r="D23" s="1" t="str">
        <f aca="false">IFERROR(INDEX(MAP!$J$7:$J$101,MATCH(TRIM(C23),MAP!$I$7:$I$101,0)),"UNMAPPED")</f>
        <v>Youth Health Careers Pathway</v>
      </c>
      <c r="E23" s="1" t="str">
        <f aca="false">IFERROR(INDEX(MAP!$K$7:$K$101,MATCH(TRIM(C23),MAP!$I$7:$I$101,0)),"")</f>
        <v>Health workforce</v>
      </c>
      <c r="F23" s="1" t="str">
        <f aca="false">IFERROR(INDEX(MAP!$L$7:$L$101,MATCH(TRIM(C23),MAP!$I$7:$I$101,0)),"")</f>
        <v>Event</v>
      </c>
      <c r="G23" s="1" t="n">
        <f aca="false">IFERROR(MATCH(A23,CONFIRM!$A$5:$A$53,0),0)</f>
        <v>0</v>
      </c>
      <c r="H23" s="48" t="str">
        <f aca="false">STACK!F23</f>
        <v>Community Building - Workforce</v>
      </c>
      <c r="I23" s="1" t="str">
        <f aca="false">IF(G23&gt;0,IF(INDEX(CONFIRM!$I$5:$I$53,G23)&lt;&gt;"",INDEX(CONFIRM!$I$5:$I$53,G23),H23),H23)</f>
        <v>Community Building - Workforce</v>
      </c>
      <c r="J23" s="1" t="str">
        <f aca="false">IFERROR(INDEX(MAP!$F$7:$F$74,MATCH(TRIM(I23),MAP!$E$7:$E$74,0)),"UNMAPPED")</f>
        <v>Community building: workforce development</v>
      </c>
      <c r="K23" s="1" t="str">
        <f aca="false">IFERROR(INDEX(MAP!$G$7:$G$74,MATCH(TRIM(I23),MAP!$E$7:$E$74,0)),"UNMAPPED")</f>
        <v>II-8</v>
      </c>
      <c r="L23" s="49" t="n">
        <f aca="false">STACK!G23</f>
        <v>45868</v>
      </c>
      <c r="M23" s="59" t="n">
        <f aca="false">IF(G23&gt;0,IF(INDEX(CONFIRM!$G$5:$G$53,G23)&lt;&gt;"",INDEX(CONFIRM!$G$5:$G$53,G23),IF(ISNUMBER(L23),L23,IFERROR(DATEVALUE(L23),""))),IF(ISNUMBER(L23),L23,IFERROR(DATEVALUE(L23),"")))</f>
        <v>45868</v>
      </c>
      <c r="N23" s="1" t="str">
        <f aca="false">IF(M23="","Check",IF(AND(M23&gt;=INPUTS!$C$6,M23&lt;=INPUTS!$C$7),"Yes","No"))</f>
        <v>Yes</v>
      </c>
      <c r="O23" s="48" t="str">
        <f aca="false">STACK!H23</f>
        <v>RN Educator</v>
      </c>
      <c r="P23" s="1" t="str">
        <f aca="false">IF(G23&gt;0,IF(INDEX(CONFIRM!$H$5:$H$53,G23)&lt;&gt;"",INDEX(CONFIRM!$H$5:$H$53,G23),IFERROR(INDEX(MAP!$B$7:$B$156,MATCH(TRIM(O23),MAP!$A$7:$A$156,0)),"UNMAPPED")),IFERROR(INDEX(MAP!$B$7:$B$156,MATCH(TRIM(O23),MAP!$A$7:$A$156,0)),"UNMAPPED"))</f>
        <v>Clinical Nurse Educator</v>
      </c>
      <c r="Q23" s="48" t="n">
        <f aca="false">STACK!I23</f>
        <v>4.75</v>
      </c>
      <c r="R23" s="60" t="n">
        <f aca="false">IF(G23&gt;0,IF(INDEX(CONFIRM!$F$5:$F$53,G23)&lt;&gt;"",INDEX(CONFIRM!$F$5:$F$53,G23),IF(ISNUMBER(Q23),Q23,IF(Q23="","",IFERROR(VALUE(TRIM(SUBSTITUTE(SUBSTITUTE(LOWER(Q23),"hrs",""),"hr",""))),"")))),IF(ISNUMBER(Q23),Q23,IF(Q23="","",IFERROR(VALUE(TRIM(SUBSTITUTE(SUBSTITUTE(LOWER(Q23),"hrs",""),"hr",""))),""))))</f>
        <v>4.75</v>
      </c>
      <c r="S23" s="57" t="n">
        <f aca="false">IFERROR(INDEX(RATES!$E$6:$E$28,MATCH(P23,RATES!$A$6:$A$28,0)),0)</f>
        <v>62.965</v>
      </c>
      <c r="T23" s="61" t="n">
        <f aca="false">IF(ISNUMBER(R23),R23,0)*S23</f>
        <v>299.08375</v>
      </c>
      <c r="U23" s="61" t="n">
        <f aca="false">T23*INDEX(INPUTS!$H$10:$H$14,MATCH(B23,INPUTS!$A$10:$A$14,0))</f>
        <v>55.33049375</v>
      </c>
      <c r="V23" s="61" t="n">
        <f aca="false">N(STACK!K23)</f>
        <v>0</v>
      </c>
      <c r="W23" s="61" t="n">
        <f aca="false">T23+U23+V23</f>
        <v>354.41424375</v>
      </c>
      <c r="X23" s="61" t="n">
        <f aca="false">N(STACK!L23)</f>
        <v>0</v>
      </c>
      <c r="Y23" s="61" t="n">
        <f aca="false">W23-X23</f>
        <v>354.41424375</v>
      </c>
      <c r="Z23" s="1" t="n">
        <f aca="false">N(STACK!J23)</f>
        <v>0</v>
      </c>
      <c r="AA23" s="1" t="str">
        <f aca="false">TRIM(IF(D23="UNMAPPED","Program not mapped. ","")&amp;IF(OR(K23="UNMAPPED",K23="UNASSIGNED"),"Category needs review. ","")&amp;IF(P23="UNMAPPED","Title not mapped. ","")&amp;IF(AND(P23&lt;&gt;"No staff time",R23=""),"Missing hours. ","")&amp;IF(M23="","Date not readable. ","")&amp;IF(N23="No","Outside fiscal year. ","")&amp;IF(AND(F23="Event",ISNUMBER(R23)),IF(R23&gt;12,"Event hours look high. ",""),"")&amp;IF(G23&gt;0,"See CONFIRM sheet.",""))</f>
        <v/>
      </c>
      <c r="AB23" s="1" t="n">
        <f aca="false">IF(N23="No",0,IF(REVIEW!O23=0,0,IF(G23&gt;0,IF(INDEX(CONFIRM!$J$5:$J$53,G23)&lt;&gt;"",INDEX(CONFIRM!$J$5:$J$53,G23),1),1)))</f>
        <v>1</v>
      </c>
      <c r="AC23" s="1" t="n">
        <f aca="false">IF(AB23=1,IF(COUNTIFS($B$5:B23,B23,$D$5:D23,D23,$AB$5:AB23,1)=1,1,0),0)</f>
        <v>0</v>
      </c>
    </row>
    <row r="24" customFormat="false" ht="15" hidden="false" customHeight="false" outlineLevel="0" collapsed="false">
      <c r="A24" s="48" t="str">
        <f aca="false">STACK!A24</f>
        <v>KVMC-0020</v>
      </c>
      <c r="B24" s="48" t="str">
        <f aca="false">STACK!B24</f>
        <v>KVMC</v>
      </c>
      <c r="C24" s="48" t="str">
        <f aca="false">STACK!E24</f>
        <v>Youth Health Careers Pathway</v>
      </c>
      <c r="D24" s="1" t="str">
        <f aca="false">IFERROR(INDEX(MAP!$J$7:$J$101,MATCH(TRIM(C24),MAP!$I$7:$I$101,0)),"UNMAPPED")</f>
        <v>Youth Health Careers Pathway</v>
      </c>
      <c r="E24" s="1" t="str">
        <f aca="false">IFERROR(INDEX(MAP!$K$7:$K$101,MATCH(TRIM(C24),MAP!$I$7:$I$101,0)),"")</f>
        <v>Health workforce</v>
      </c>
      <c r="F24" s="1" t="str">
        <f aca="false">IFERROR(INDEX(MAP!$L$7:$L$101,MATCH(TRIM(C24),MAP!$I$7:$I$101,0)),"")</f>
        <v>Event</v>
      </c>
      <c r="G24" s="1" t="n">
        <f aca="false">IFERROR(MATCH(A24,CONFIRM!$A$5:$A$53,0),0)</f>
        <v>0</v>
      </c>
      <c r="H24" s="48" t="str">
        <f aca="false">STACK!F24</f>
        <v>Community Building - Workforce</v>
      </c>
      <c r="I24" s="1" t="str">
        <f aca="false">IF(G24&gt;0,IF(INDEX(CONFIRM!$I$5:$I$53,G24)&lt;&gt;"",INDEX(CONFIRM!$I$5:$I$53,G24),H24),H24)</f>
        <v>Community Building - Workforce</v>
      </c>
      <c r="J24" s="1" t="str">
        <f aca="false">IFERROR(INDEX(MAP!$F$7:$F$74,MATCH(TRIM(I24),MAP!$E$7:$E$74,0)),"UNMAPPED")</f>
        <v>Community building: workforce development</v>
      </c>
      <c r="K24" s="1" t="str">
        <f aca="false">IFERROR(INDEX(MAP!$G$7:$G$74,MATCH(TRIM(I24),MAP!$E$7:$E$74,0)),"UNMAPPED")</f>
        <v>II-8</v>
      </c>
      <c r="L24" s="49" t="n">
        <f aca="false">STACK!G24</f>
        <v>45868</v>
      </c>
      <c r="M24" s="59" t="n">
        <f aca="false">IF(G24&gt;0,IF(INDEX(CONFIRM!$G$5:$G$53,G24)&lt;&gt;"",INDEX(CONFIRM!$G$5:$G$53,G24),IF(ISNUMBER(L24),L24,IFERROR(DATEVALUE(L24),""))),IF(ISNUMBER(L24),L24,IFERROR(DATEVALUE(L24),"")))</f>
        <v>45868</v>
      </c>
      <c r="N24" s="1" t="str">
        <f aca="false">IF(M24="","Check",IF(AND(M24&gt;=INPUTS!$C$6,M24&lt;=INPUTS!$C$7),"Yes","No"))</f>
        <v>Yes</v>
      </c>
      <c r="O24" s="48" t="str">
        <f aca="false">STACK!H24</f>
        <v>residency coordinator</v>
      </c>
      <c r="P24" s="1" t="str">
        <f aca="false">IF(G24&gt;0,IF(INDEX(CONFIRM!$H$5:$H$53,G24)&lt;&gt;"",INDEX(CONFIRM!$H$5:$H$53,G24),IFERROR(INDEX(MAP!$B$7:$B$156,MATCH(TRIM(O24),MAP!$A$7:$A$156,0)),"UNMAPPED")),IFERROR(INDEX(MAP!$B$7:$B$156,MATCH(TRIM(O24),MAP!$A$7:$A$156,0)),"UNMAPPED"))</f>
        <v>Program Coordinator</v>
      </c>
      <c r="Q24" s="48" t="n">
        <f aca="false">STACK!I24</f>
        <v>6.75</v>
      </c>
      <c r="R24" s="60" t="n">
        <f aca="false">IF(G24&gt;0,IF(INDEX(CONFIRM!$F$5:$F$53,G24)&lt;&gt;"",INDEX(CONFIRM!$F$5:$F$53,G24),IF(ISNUMBER(Q24),Q24,IF(Q24="","",IFERROR(VALUE(TRIM(SUBSTITUTE(SUBSTITUTE(LOWER(Q24),"hrs",""),"hr",""))),"")))),IF(ISNUMBER(Q24),Q24,IF(Q24="","",IFERROR(VALUE(TRIM(SUBSTITUTE(SUBSTITUTE(LOWER(Q24),"hrs",""),"hr",""))),""))))</f>
        <v>6.75</v>
      </c>
      <c r="S24" s="57" t="n">
        <f aca="false">IFERROR(INDEX(RATES!$E$6:$E$28,MATCH(P24,RATES!$A$6:$A$28,0)),0)</f>
        <v>35.3375</v>
      </c>
      <c r="T24" s="61" t="n">
        <f aca="false">IF(ISNUMBER(R24),R24,0)*S24</f>
        <v>238.528125</v>
      </c>
      <c r="U24" s="61" t="n">
        <f aca="false">T24*INDEX(INPUTS!$H$10:$H$14,MATCH(B24,INPUTS!$A$10:$A$14,0))</f>
        <v>44.127703125</v>
      </c>
      <c r="V24" s="61" t="n">
        <f aca="false">N(STACK!K24)</f>
        <v>1580</v>
      </c>
      <c r="W24" s="61" t="n">
        <f aca="false">T24+U24+V24</f>
        <v>1862.655828125</v>
      </c>
      <c r="X24" s="61" t="n">
        <f aca="false">N(STACK!L24)</f>
        <v>0</v>
      </c>
      <c r="Y24" s="61" t="n">
        <f aca="false">W24-X24</f>
        <v>1862.655828125</v>
      </c>
      <c r="Z24" s="1" t="n">
        <f aca="false">N(STACK!J24)</f>
        <v>38</v>
      </c>
      <c r="AA24" s="1" t="str">
        <f aca="false">TRIM(IF(D24="UNMAPPED","Program not mapped. ","")&amp;IF(OR(K24="UNMAPPED",K24="UNASSIGNED"),"Category needs review. ","")&amp;IF(P24="UNMAPPED","Title not mapped. ","")&amp;IF(AND(P24&lt;&gt;"No staff time",R24=""),"Missing hours. ","")&amp;IF(M24="","Date not readable. ","")&amp;IF(N24="No","Outside fiscal year. ","")&amp;IF(AND(F24="Event",ISNUMBER(R24)),IF(R24&gt;12,"Event hours look high. ",""),"")&amp;IF(G24&gt;0,"See CONFIRM sheet.",""))</f>
        <v/>
      </c>
      <c r="AB24" s="1" t="n">
        <f aca="false">IF(N24="No",0,IF(REVIEW!O24=0,0,IF(G24&gt;0,IF(INDEX(CONFIRM!$J$5:$J$53,G24)&lt;&gt;"",INDEX(CONFIRM!$J$5:$J$53,G24),1),1)))</f>
        <v>1</v>
      </c>
      <c r="AC24" s="1" t="n">
        <f aca="false">IF(AB24=1,IF(COUNTIFS($B$5:B24,B24,$D$5:D24,D24,$AB$5:AB24,1)=1,1,0),0)</f>
        <v>0</v>
      </c>
    </row>
    <row r="25" customFormat="false" ht="15" hidden="false" customHeight="false" outlineLevel="0" collapsed="false">
      <c r="A25" s="48" t="str">
        <f aca="false">STACK!A25</f>
        <v>KVMC-0021</v>
      </c>
      <c r="B25" s="48" t="str">
        <f aca="false">STACK!B25</f>
        <v>KVMC</v>
      </c>
      <c r="C25" s="48" t="str">
        <f aca="false">STACK!E25</f>
        <v>Diabetes Prevention Classes</v>
      </c>
      <c r="D25" s="1" t="str">
        <f aca="false">IFERROR(INDEX(MAP!$J$7:$J$101,MATCH(TRIM(C25),MAP!$I$7:$I$101,0)),"UNMAPPED")</f>
        <v>Diabetes Prevention Classes</v>
      </c>
      <c r="E25" s="1" t="str">
        <f aca="false">IFERROR(INDEX(MAP!$K$7:$K$101,MATCH(TRIM(C25),MAP!$I$7:$I$101,0)),"")</f>
        <v>Chronic disease prevention</v>
      </c>
      <c r="F25" s="1" t="str">
        <f aca="false">IFERROR(INDEX(MAP!$L$7:$L$101,MATCH(TRIM(C25),MAP!$I$7:$I$101,0)),"")</f>
        <v>Event</v>
      </c>
      <c r="G25" s="1" t="n">
        <f aca="false">IFERROR(MATCH(A25,CONFIRM!$A$5:$A$53,0),0)</f>
        <v>0</v>
      </c>
      <c r="H25" s="48" t="str">
        <f aca="false">STACK!F25</f>
        <v>Community Health Education</v>
      </c>
      <c r="I25" s="1" t="str">
        <f aca="false">IF(G25&gt;0,IF(INDEX(CONFIRM!$I$5:$I$53,G25)&lt;&gt;"",INDEX(CONFIRM!$I$5:$I$53,G25),H25),H25)</f>
        <v>Community Health Education</v>
      </c>
      <c r="J25" s="1" t="str">
        <f aca="false">IFERROR(INDEX(MAP!$F$7:$F$74,MATCH(TRIM(I25),MAP!$E$7:$E$74,0)),"UNMAPPED")</f>
        <v>Community health education</v>
      </c>
      <c r="K25" s="1" t="str">
        <f aca="false">IFERROR(INDEX(MAP!$G$7:$G$74,MATCH(TRIM(I25),MAP!$E$7:$E$74,0)),"UNMAPPED")</f>
        <v>7e</v>
      </c>
      <c r="L25" s="49" t="n">
        <f aca="false">STACK!G25</f>
        <v>45869</v>
      </c>
      <c r="M25" s="59" t="n">
        <f aca="false">IF(G25&gt;0,IF(INDEX(CONFIRM!$G$5:$G$53,G25)&lt;&gt;"",INDEX(CONFIRM!$G$5:$G$53,G25),IF(ISNUMBER(L25),L25,IFERROR(DATEVALUE(L25),""))),IF(ISNUMBER(L25),L25,IFERROR(DATEVALUE(L25),"")))</f>
        <v>45869</v>
      </c>
      <c r="N25" s="1" t="str">
        <f aca="false">IF(M25="","Check",IF(AND(M25&gt;=INPUTS!$C$6,M25&lt;=INPUTS!$C$7),"Yes","No"))</f>
        <v>Yes</v>
      </c>
      <c r="O25" s="48" t="str">
        <f aca="false">STACK!H25</f>
        <v>Health Educator</v>
      </c>
      <c r="P25" s="1" t="str">
        <f aca="false">IF(G25&gt;0,IF(INDEX(CONFIRM!$H$5:$H$53,G25)&lt;&gt;"",INDEX(CONFIRM!$H$5:$H$53,G25),IFERROR(INDEX(MAP!$B$7:$B$156,MATCH(TRIM(O25),MAP!$A$7:$A$156,0)),"UNMAPPED")),IFERROR(INDEX(MAP!$B$7:$B$156,MATCH(TRIM(O25),MAP!$A$7:$A$156,0)),"UNMAPPED"))</f>
        <v>Health Educator</v>
      </c>
      <c r="Q25" s="48" t="n">
        <f aca="false">STACK!I25</f>
        <v>2.25</v>
      </c>
      <c r="R25" s="60" t="n">
        <f aca="false">IF(G25&gt;0,IF(INDEX(CONFIRM!$F$5:$F$53,G25)&lt;&gt;"",INDEX(CONFIRM!$F$5:$F$53,G25),IF(ISNUMBER(Q25),Q25,IF(Q25="","",IFERROR(VALUE(TRIM(SUBSTITUTE(SUBSTITUTE(LOWER(Q25),"hrs",""),"hr",""))),"")))),IF(ISNUMBER(Q25),Q25,IF(Q25="","",IFERROR(VALUE(TRIM(SUBSTITUTE(SUBSTITUTE(LOWER(Q25),"hrs",""),"hr",""))),""))))</f>
        <v>2.25</v>
      </c>
      <c r="S25" s="57" t="n">
        <f aca="false">IFERROR(INDEX(RATES!$E$6:$E$28,MATCH(P25,RATES!$A$6:$A$28,0)),0)</f>
        <v>37.265</v>
      </c>
      <c r="T25" s="61" t="n">
        <f aca="false">IF(ISNUMBER(R25),R25,0)*S25</f>
        <v>83.84625</v>
      </c>
      <c r="U25" s="61" t="n">
        <f aca="false">T25*INDEX(INPUTS!$H$10:$H$14,MATCH(B25,INPUTS!$A$10:$A$14,0))</f>
        <v>15.51155625</v>
      </c>
      <c r="V25" s="61" t="n">
        <f aca="false">N(STACK!K25)</f>
        <v>155</v>
      </c>
      <c r="W25" s="61" t="n">
        <f aca="false">T25+U25+V25</f>
        <v>254.35780625</v>
      </c>
      <c r="X25" s="61" t="n">
        <f aca="false">N(STACK!L25)</f>
        <v>0</v>
      </c>
      <c r="Y25" s="61" t="n">
        <f aca="false">W25-X25</f>
        <v>254.35780625</v>
      </c>
      <c r="Z25" s="1" t="n">
        <f aca="false">N(STACK!J25)</f>
        <v>12</v>
      </c>
      <c r="AA25" s="1" t="str">
        <f aca="false">TRIM(IF(D25="UNMAPPED","Program not mapped. ","")&amp;IF(OR(K25="UNMAPPED",K25="UNASSIGNED"),"Category needs review. ","")&amp;IF(P25="UNMAPPED","Title not mapped. ","")&amp;IF(AND(P25&lt;&gt;"No staff time",R25=""),"Missing hours. ","")&amp;IF(M25="","Date not readable. ","")&amp;IF(N25="No","Outside fiscal year. ","")&amp;IF(AND(F25="Event",ISNUMBER(R25)),IF(R25&gt;12,"Event hours look high. ",""),"")&amp;IF(G25&gt;0,"See CONFIRM sheet.",""))</f>
        <v/>
      </c>
      <c r="AB25" s="1" t="n">
        <f aca="false">IF(N25="No",0,IF(REVIEW!O25=0,0,IF(G25&gt;0,IF(INDEX(CONFIRM!$J$5:$J$53,G25)&lt;&gt;"",INDEX(CONFIRM!$J$5:$J$53,G25),1),1)))</f>
        <v>1</v>
      </c>
      <c r="AC25" s="1" t="n">
        <f aca="false">IF(AB25=1,IF(COUNTIFS($B$5:B25,B25,$D$5:D25,D25,$AB$5:AB25,1)=1,1,0),0)</f>
        <v>0</v>
      </c>
    </row>
    <row r="26" customFormat="false" ht="15" hidden="false" customHeight="false" outlineLevel="0" collapsed="false">
      <c r="A26" s="48" t="str">
        <f aca="false">STACK!A26</f>
        <v>KVMC-0022</v>
      </c>
      <c r="B26" s="48" t="str">
        <f aca="false">STACK!B26</f>
        <v>KVMC</v>
      </c>
      <c r="C26" s="48" t="str">
        <f aca="false">STACK!E26</f>
        <v>Diabetes Prevention Classes</v>
      </c>
      <c r="D26" s="1" t="str">
        <f aca="false">IFERROR(INDEX(MAP!$J$7:$J$101,MATCH(TRIM(C26),MAP!$I$7:$I$101,0)),"UNMAPPED")</f>
        <v>Diabetes Prevention Classes</v>
      </c>
      <c r="E26" s="1" t="str">
        <f aca="false">IFERROR(INDEX(MAP!$K$7:$K$101,MATCH(TRIM(C26),MAP!$I$7:$I$101,0)),"")</f>
        <v>Chronic disease prevention</v>
      </c>
      <c r="F26" s="1" t="str">
        <f aca="false">IFERROR(INDEX(MAP!$L$7:$L$101,MATCH(TRIM(C26),MAP!$I$7:$I$101,0)),"")</f>
        <v>Event</v>
      </c>
      <c r="G26" s="1" t="n">
        <f aca="false">IFERROR(MATCH(A26,CONFIRM!$A$5:$A$53,0),0)</f>
        <v>0</v>
      </c>
      <c r="H26" s="48" t="str">
        <f aca="false">STACK!F26</f>
        <v>Community Health Education</v>
      </c>
      <c r="I26" s="1" t="str">
        <f aca="false">IF(G26&gt;0,IF(INDEX(CONFIRM!$I$5:$I$53,G26)&lt;&gt;"",INDEX(CONFIRM!$I$5:$I$53,G26),H26),H26)</f>
        <v>Community Health Education</v>
      </c>
      <c r="J26" s="1" t="str">
        <f aca="false">IFERROR(INDEX(MAP!$F$7:$F$74,MATCH(TRIM(I26),MAP!$E$7:$E$74,0)),"UNMAPPED")</f>
        <v>Community health education</v>
      </c>
      <c r="K26" s="1" t="str">
        <f aca="false">IFERROR(INDEX(MAP!$G$7:$G$74,MATCH(TRIM(I26),MAP!$E$7:$E$74,0)),"UNMAPPED")</f>
        <v>7e</v>
      </c>
      <c r="L26" s="49" t="n">
        <f aca="false">STACK!G26</f>
        <v>45869</v>
      </c>
      <c r="M26" s="59" t="n">
        <f aca="false">IF(G26&gt;0,IF(INDEX(CONFIRM!$G$5:$G$53,G26)&lt;&gt;"",INDEX(CONFIRM!$G$5:$G$53,G26),IF(ISNUMBER(L26),L26,IFERROR(DATEVALUE(L26),""))),IF(ISNUMBER(L26),L26,IFERROR(DATEVALUE(L26),"")))</f>
        <v>45869</v>
      </c>
      <c r="N26" s="1" t="str">
        <f aca="false">IF(M26="","Check",IF(AND(M26&gt;=INPUTS!$C$6,M26&lt;=INPUTS!$C$7),"Yes","No"))</f>
        <v>Yes</v>
      </c>
      <c r="O26" s="48" t="str">
        <f aca="false">STACK!H26</f>
        <v>Nutritionist</v>
      </c>
      <c r="P26" s="1" t="str">
        <f aca="false">IF(G26&gt;0,IF(INDEX(CONFIRM!$H$5:$H$53,G26)&lt;&gt;"",INDEX(CONFIRM!$H$5:$H$53,G26),IFERROR(INDEX(MAP!$B$7:$B$156,MATCH(TRIM(O26),MAP!$A$7:$A$156,0)),"UNMAPPED")),IFERROR(INDEX(MAP!$B$7:$B$156,MATCH(TRIM(O26),MAP!$A$7:$A$156,0)),"UNMAPPED"))</f>
        <v>Registered Dietitian</v>
      </c>
      <c r="Q26" s="48" t="n">
        <f aca="false">STACK!I26</f>
        <v>1.75</v>
      </c>
      <c r="R26" s="60" t="n">
        <f aca="false">IF(G26&gt;0,IF(INDEX(CONFIRM!$F$5:$F$53,G26)&lt;&gt;"",INDEX(CONFIRM!$F$5:$F$53,G26),IF(ISNUMBER(Q26),Q26,IF(Q26="","",IFERROR(VALUE(TRIM(SUBSTITUTE(SUBSTITUTE(LOWER(Q26),"hrs",""),"hr",""))),"")))),IF(ISNUMBER(Q26),Q26,IF(Q26="","",IFERROR(VALUE(TRIM(SUBSTITUTE(SUBSTITUTE(LOWER(Q26),"hrs",""),"hr",""))),""))))</f>
        <v>1.75</v>
      </c>
      <c r="S26" s="57" t="n">
        <f aca="false">IFERROR(INDEX(RATES!$E$6:$E$28,MATCH(P26,RATES!$A$6:$A$28,0)),0)</f>
        <v>46.9025</v>
      </c>
      <c r="T26" s="61" t="n">
        <f aca="false">IF(ISNUMBER(R26),R26,0)*S26</f>
        <v>82.079375</v>
      </c>
      <c r="U26" s="61" t="n">
        <f aca="false">T26*INDEX(INPUTS!$H$10:$H$14,MATCH(B26,INPUTS!$A$10:$A$14,0))</f>
        <v>15.184684375</v>
      </c>
      <c r="V26" s="61" t="n">
        <f aca="false">N(STACK!K26)</f>
        <v>0</v>
      </c>
      <c r="W26" s="61" t="n">
        <f aca="false">T26+U26+V26</f>
        <v>97.264059375</v>
      </c>
      <c r="X26" s="61" t="n">
        <f aca="false">N(STACK!L26)</f>
        <v>0</v>
      </c>
      <c r="Y26" s="61" t="n">
        <f aca="false">W26-X26</f>
        <v>97.264059375</v>
      </c>
      <c r="Z26" s="1" t="n">
        <f aca="false">N(STACK!J26)</f>
        <v>0</v>
      </c>
      <c r="AA26" s="1" t="str">
        <f aca="false">TRIM(IF(D26="UNMAPPED","Program not mapped. ","")&amp;IF(OR(K26="UNMAPPED",K26="UNASSIGNED"),"Category needs review. ","")&amp;IF(P26="UNMAPPED","Title not mapped. ","")&amp;IF(AND(P26&lt;&gt;"No staff time",R26=""),"Missing hours. ","")&amp;IF(M26="","Date not readable. ","")&amp;IF(N26="No","Outside fiscal year. ","")&amp;IF(AND(F26="Event",ISNUMBER(R26)),IF(R26&gt;12,"Event hours look high. ",""),"")&amp;IF(G26&gt;0,"See CONFIRM sheet.",""))</f>
        <v/>
      </c>
      <c r="AB26" s="1" t="n">
        <f aca="false">IF(N26="No",0,IF(REVIEW!O26=0,0,IF(G26&gt;0,IF(INDEX(CONFIRM!$J$5:$J$53,G26)&lt;&gt;"",INDEX(CONFIRM!$J$5:$J$53,G26),1),1)))</f>
        <v>1</v>
      </c>
      <c r="AC26" s="1" t="n">
        <f aca="false">IF(AB26=1,IF(COUNTIFS($B$5:B26,B26,$D$5:D26,D26,$AB$5:AB26,1)=1,1,0),0)</f>
        <v>0</v>
      </c>
    </row>
    <row r="27" customFormat="false" ht="15" hidden="false" customHeight="false" outlineLevel="0" collapsed="false">
      <c r="A27" s="48" t="str">
        <f aca="false">STACK!A27</f>
        <v>KVMC-0023</v>
      </c>
      <c r="B27" s="48" t="str">
        <f aca="false">STACK!B27</f>
        <v>KVMC</v>
      </c>
      <c r="C27" s="48" t="str">
        <f aca="false">STACK!E27</f>
        <v>Mobile Health Screening Unit</v>
      </c>
      <c r="D27" s="1" t="str">
        <f aca="false">IFERROR(INDEX(MAP!$J$7:$J$101,MATCH(TRIM(C27),MAP!$I$7:$I$101,0)),"UNMAPPED")</f>
        <v>Mobile Health Screening Unit</v>
      </c>
      <c r="E27" s="1" t="str">
        <f aca="false">IFERROR(INDEX(MAP!$K$7:$K$101,MATCH(TRIM(C27),MAP!$I$7:$I$101,0)),"")</f>
        <v>Access to care</v>
      </c>
      <c r="F27" s="1" t="str">
        <f aca="false">IFERROR(INDEX(MAP!$L$7:$L$101,MATCH(TRIM(C27),MAP!$I$7:$I$101,0)),"")</f>
        <v>Monthly</v>
      </c>
      <c r="G27" s="1" t="n">
        <f aca="false">IFERROR(MATCH(A27,CONFIRM!$A$5:$A$53,0),0)</f>
        <v>0</v>
      </c>
      <c r="H27" s="48" t="str">
        <f aca="false">STACK!F27</f>
        <v>Community-Based Clinical Services</v>
      </c>
      <c r="I27" s="1" t="str">
        <f aca="false">IF(G27&gt;0,IF(INDEX(CONFIRM!$I$5:$I$53,G27)&lt;&gt;"",INDEX(CONFIRM!$I$5:$I$53,G27),H27),H27)</f>
        <v>Community-Based Clinical Services</v>
      </c>
      <c r="J27" s="1" t="str">
        <f aca="false">IFERROR(INDEX(MAP!$F$7:$F$74,MATCH(TRIM(I27),MAP!$E$7:$E$74,0)),"UNMAPPED")</f>
        <v>Community-based clinical services</v>
      </c>
      <c r="K27" s="1" t="str">
        <f aca="false">IFERROR(INDEX(MAP!$G$7:$G$74,MATCH(TRIM(I27),MAP!$E$7:$E$74,0)),"UNMAPPED")</f>
        <v>7e</v>
      </c>
      <c r="L27" s="49" t="n">
        <f aca="false">STACK!G27</f>
        <v>45869</v>
      </c>
      <c r="M27" s="59" t="n">
        <f aca="false">IF(G27&gt;0,IF(INDEX(CONFIRM!$G$5:$G$53,G27)&lt;&gt;"",INDEX(CONFIRM!$G$5:$G$53,G27),IF(ISNUMBER(L27),L27,IFERROR(DATEVALUE(L27),""))),IF(ISNUMBER(L27),L27,IFERROR(DATEVALUE(L27),"")))</f>
        <v>45869</v>
      </c>
      <c r="N27" s="1" t="str">
        <f aca="false">IF(M27="","Check",IF(AND(M27&gt;=INPUTS!$C$6,M27&lt;=INPUTS!$C$7),"Yes","No"))</f>
        <v>Yes</v>
      </c>
      <c r="O27" s="48" t="str">
        <f aca="false">STACK!H27</f>
        <v>Comm Health Worker</v>
      </c>
      <c r="P27" s="1" t="str">
        <f aca="false">IF(G27&gt;0,IF(INDEX(CONFIRM!$H$5:$H$53,G27)&lt;&gt;"",INDEX(CONFIRM!$H$5:$H$53,G27),IFERROR(INDEX(MAP!$B$7:$B$156,MATCH(TRIM(O27),MAP!$A$7:$A$156,0)),"UNMAPPED")),IFERROR(INDEX(MAP!$B$7:$B$156,MATCH(TRIM(O27),MAP!$A$7:$A$156,0)),"UNMAPPED"))</f>
        <v>Community Health Worker</v>
      </c>
      <c r="Q27" s="48" t="n">
        <f aca="false">STACK!I27</f>
        <v>105.75</v>
      </c>
      <c r="R27" s="60" t="n">
        <f aca="false">IF(G27&gt;0,IF(INDEX(CONFIRM!$F$5:$F$53,G27)&lt;&gt;"",INDEX(CONFIRM!$F$5:$F$53,G27),IF(ISNUMBER(Q27),Q27,IF(Q27="","",IFERROR(VALUE(TRIM(SUBSTITUTE(SUBSTITUTE(LOWER(Q27),"hrs",""),"hr",""))),"")))),IF(ISNUMBER(Q27),Q27,IF(Q27="","",IFERROR(VALUE(TRIM(SUBSTITUTE(SUBSTITUTE(LOWER(Q27),"hrs",""),"hr",""))),""))))</f>
        <v>105.75</v>
      </c>
      <c r="S27" s="57" t="n">
        <f aca="false">IFERROR(INDEX(RATES!$E$6:$E$28,MATCH(P27,RATES!$A$6:$A$28,0)),0)</f>
        <v>27.6275</v>
      </c>
      <c r="T27" s="61" t="n">
        <f aca="false">IF(ISNUMBER(R27),R27,0)*S27</f>
        <v>2921.608125</v>
      </c>
      <c r="U27" s="61" t="n">
        <f aca="false">T27*INDEX(INPUTS!$H$10:$H$14,MATCH(B27,INPUTS!$A$10:$A$14,0))</f>
        <v>540.497503125</v>
      </c>
      <c r="V27" s="61" t="n">
        <f aca="false">N(STACK!K27)</f>
        <v>0</v>
      </c>
      <c r="W27" s="61" t="n">
        <f aca="false">T27+U27+V27</f>
        <v>3462.105628125</v>
      </c>
      <c r="X27" s="61" t="n">
        <f aca="false">N(STACK!L27)</f>
        <v>0</v>
      </c>
      <c r="Y27" s="61" t="n">
        <f aca="false">W27-X27</f>
        <v>3462.105628125</v>
      </c>
      <c r="Z27" s="1" t="n">
        <f aca="false">N(STACK!J27)</f>
        <v>0</v>
      </c>
      <c r="AA27" s="1" t="str">
        <f aca="false">TRIM(IF(D27="UNMAPPED","Program not mapped. ","")&amp;IF(OR(K27="UNMAPPED",K27="UNASSIGNED"),"Category needs review. ","")&amp;IF(P27="UNMAPPED","Title not mapped. ","")&amp;IF(AND(P27&lt;&gt;"No staff time",R27=""),"Missing hours. ","")&amp;IF(M27="","Date not readable. ","")&amp;IF(N27="No","Outside fiscal year. ","")&amp;IF(AND(F27="Event",ISNUMBER(R27)),IF(R27&gt;12,"Event hours look high. ",""),"")&amp;IF(G27&gt;0,"See CONFIRM sheet.",""))</f>
        <v/>
      </c>
      <c r="AB27" s="1" t="n">
        <f aca="false">IF(N27="No",0,IF(REVIEW!O27=0,0,IF(G27&gt;0,IF(INDEX(CONFIRM!$J$5:$J$53,G27)&lt;&gt;"",INDEX(CONFIRM!$J$5:$J$53,G27),1),1)))</f>
        <v>1</v>
      </c>
      <c r="AC27" s="1" t="n">
        <f aca="false">IF(AB27=1,IF(COUNTIFS($B$5:B27,B27,$D$5:D27,D27,$AB$5:AB27,1)=1,1,0),0)</f>
        <v>1</v>
      </c>
    </row>
    <row r="28" customFormat="false" ht="15" hidden="false" customHeight="false" outlineLevel="0" collapsed="false">
      <c r="A28" s="48" t="str">
        <f aca="false">STACK!A28</f>
        <v>KVMC-0024</v>
      </c>
      <c r="B28" s="48" t="str">
        <f aca="false">STACK!B28</f>
        <v>KVMC</v>
      </c>
      <c r="C28" s="48" t="str">
        <f aca="false">STACK!E28</f>
        <v>Mobile Health Screening Unit</v>
      </c>
      <c r="D28" s="1" t="str">
        <f aca="false">IFERROR(INDEX(MAP!$J$7:$J$101,MATCH(TRIM(C28),MAP!$I$7:$I$101,0)),"UNMAPPED")</f>
        <v>Mobile Health Screening Unit</v>
      </c>
      <c r="E28" s="1" t="str">
        <f aca="false">IFERROR(INDEX(MAP!$K$7:$K$101,MATCH(TRIM(C28),MAP!$I$7:$I$101,0)),"")</f>
        <v>Access to care</v>
      </c>
      <c r="F28" s="1" t="str">
        <f aca="false">IFERROR(INDEX(MAP!$L$7:$L$101,MATCH(TRIM(C28),MAP!$I$7:$I$101,0)),"")</f>
        <v>Monthly</v>
      </c>
      <c r="G28" s="1" t="n">
        <f aca="false">IFERROR(MATCH(A28,CONFIRM!$A$5:$A$53,0),0)</f>
        <v>0</v>
      </c>
      <c r="H28" s="48" t="str">
        <f aca="false">STACK!F28</f>
        <v>Community-Based Clinical Services</v>
      </c>
      <c r="I28" s="1" t="str">
        <f aca="false">IF(G28&gt;0,IF(INDEX(CONFIRM!$I$5:$I$53,G28)&lt;&gt;"",INDEX(CONFIRM!$I$5:$I$53,G28),H28),H28)</f>
        <v>Community-Based Clinical Services</v>
      </c>
      <c r="J28" s="1" t="str">
        <f aca="false">IFERROR(INDEX(MAP!$F$7:$F$74,MATCH(TRIM(I28),MAP!$E$7:$E$74,0)),"UNMAPPED")</f>
        <v>Community-based clinical services</v>
      </c>
      <c r="K28" s="1" t="str">
        <f aca="false">IFERROR(INDEX(MAP!$G$7:$G$74,MATCH(TRIM(I28),MAP!$E$7:$E$74,0)),"UNMAPPED")</f>
        <v>7e</v>
      </c>
      <c r="L28" s="49" t="n">
        <f aca="false">STACK!G28</f>
        <v>45869</v>
      </c>
      <c r="M28" s="59" t="n">
        <f aca="false">IF(G28&gt;0,IF(INDEX(CONFIRM!$G$5:$G$53,G28)&lt;&gt;"",INDEX(CONFIRM!$G$5:$G$53,G28),IF(ISNUMBER(L28),L28,IFERROR(DATEVALUE(L28),""))),IF(ISNUMBER(L28),L28,IFERROR(DATEVALUE(L28),"")))</f>
        <v>45869</v>
      </c>
      <c r="N28" s="1" t="str">
        <f aca="false">IF(M28="","Check",IF(AND(M28&gt;=INPUTS!$C$6,M28&lt;=INPUTS!$C$7),"Yes","No"))</f>
        <v>Yes</v>
      </c>
      <c r="O28" s="48" t="str">
        <f aca="false">STACK!H28</f>
        <v>Medical Assistant</v>
      </c>
      <c r="P28" s="1" t="str">
        <f aca="false">IF(G28&gt;0,IF(INDEX(CONFIRM!$H$5:$H$53,G28)&lt;&gt;"",INDEX(CONFIRM!$H$5:$H$53,G28),IFERROR(INDEX(MAP!$B$7:$B$156,MATCH(TRIM(O28),MAP!$A$7:$A$156,0)),"UNMAPPED")),IFERROR(INDEX(MAP!$B$7:$B$156,MATCH(TRIM(O28),MAP!$A$7:$A$156,0)),"UNMAPPED"))</f>
        <v>Medical Assistant</v>
      </c>
      <c r="Q28" s="48" t="n">
        <f aca="false">STACK!I28</f>
        <v>130.25</v>
      </c>
      <c r="R28" s="60" t="n">
        <f aca="false">IF(G28&gt;0,IF(INDEX(CONFIRM!$F$5:$F$53,G28)&lt;&gt;"",INDEX(CONFIRM!$F$5:$F$53,G28),IF(ISNUMBER(Q28),Q28,IF(Q28="","",IFERROR(VALUE(TRIM(SUBSTITUTE(SUBSTITUTE(LOWER(Q28),"hrs",""),"hr",""))),"")))),IF(ISNUMBER(Q28),Q28,IF(Q28="","",IFERROR(VALUE(TRIM(SUBSTITUTE(SUBSTITUTE(LOWER(Q28),"hrs",""),"hr",""))),""))))</f>
        <v>130.25</v>
      </c>
      <c r="S28" s="57" t="n">
        <f aca="false">IFERROR(INDEX(RATES!$E$6:$E$28,MATCH(P28,RATES!$A$6:$A$28,0)),0)</f>
        <v>25.37875</v>
      </c>
      <c r="T28" s="61" t="n">
        <f aca="false">IF(ISNUMBER(R28),R28,0)*S28</f>
        <v>3305.5821875</v>
      </c>
      <c r="U28" s="61" t="n">
        <f aca="false">T28*INDEX(INPUTS!$H$10:$H$14,MATCH(B28,INPUTS!$A$10:$A$14,0))</f>
        <v>611.5327046875</v>
      </c>
      <c r="V28" s="61" t="n">
        <f aca="false">N(STACK!K28)</f>
        <v>0</v>
      </c>
      <c r="W28" s="61" t="n">
        <f aca="false">T28+U28+V28</f>
        <v>3917.1148921875</v>
      </c>
      <c r="X28" s="61" t="n">
        <f aca="false">N(STACK!L28)</f>
        <v>0</v>
      </c>
      <c r="Y28" s="61" t="n">
        <f aca="false">W28-X28</f>
        <v>3917.1148921875</v>
      </c>
      <c r="Z28" s="1" t="n">
        <f aca="false">N(STACK!J28)</f>
        <v>0</v>
      </c>
      <c r="AA28" s="1" t="str">
        <f aca="false">TRIM(IF(D28="UNMAPPED","Program not mapped. ","")&amp;IF(OR(K28="UNMAPPED",K28="UNASSIGNED"),"Category needs review. ","")&amp;IF(P28="UNMAPPED","Title not mapped. ","")&amp;IF(AND(P28&lt;&gt;"No staff time",R28=""),"Missing hours. ","")&amp;IF(M28="","Date not readable. ","")&amp;IF(N28="No","Outside fiscal year. ","")&amp;IF(AND(F28="Event",ISNUMBER(R28)),IF(R28&gt;12,"Event hours look high. ",""),"")&amp;IF(G28&gt;0,"See CONFIRM sheet.",""))</f>
        <v/>
      </c>
      <c r="AB28" s="1" t="n">
        <f aca="false">IF(N28="No",0,IF(REVIEW!O28=0,0,IF(G28&gt;0,IF(INDEX(CONFIRM!$J$5:$J$53,G28)&lt;&gt;"",INDEX(CONFIRM!$J$5:$J$53,G28),1),1)))</f>
        <v>1</v>
      </c>
      <c r="AC28" s="1" t="n">
        <f aca="false">IF(AB28=1,IF(COUNTIFS($B$5:B28,B28,$D$5:D28,D28,$AB$5:AB28,1)=1,1,0),0)</f>
        <v>0</v>
      </c>
    </row>
    <row r="29" customFormat="false" ht="15" hidden="false" customHeight="false" outlineLevel="0" collapsed="false">
      <c r="A29" s="48" t="str">
        <f aca="false">STACK!A29</f>
        <v>KVMC-0025</v>
      </c>
      <c r="B29" s="48" t="str">
        <f aca="false">STACK!B29</f>
        <v>KVMC</v>
      </c>
      <c r="C29" s="48" t="str">
        <f aca="false">STACK!E29</f>
        <v>Mobile Health Screening Unit</v>
      </c>
      <c r="D29" s="1" t="str">
        <f aca="false">IFERROR(INDEX(MAP!$J$7:$J$101,MATCH(TRIM(C29),MAP!$I$7:$I$101,0)),"UNMAPPED")</f>
        <v>Mobile Health Screening Unit</v>
      </c>
      <c r="E29" s="1" t="str">
        <f aca="false">IFERROR(INDEX(MAP!$K$7:$K$101,MATCH(TRIM(C29),MAP!$I$7:$I$101,0)),"")</f>
        <v>Access to care</v>
      </c>
      <c r="F29" s="1" t="str">
        <f aca="false">IFERROR(INDEX(MAP!$L$7:$L$101,MATCH(TRIM(C29),MAP!$I$7:$I$101,0)),"")</f>
        <v>Monthly</v>
      </c>
      <c r="G29" s="1" t="n">
        <f aca="false">IFERROR(MATCH(A29,CONFIRM!$A$5:$A$53,0),0)</f>
        <v>0</v>
      </c>
      <c r="H29" s="48" t="str">
        <f aca="false">STACK!F29</f>
        <v>Community-Based Clinical Services</v>
      </c>
      <c r="I29" s="1" t="str">
        <f aca="false">IF(G29&gt;0,IF(INDEX(CONFIRM!$I$5:$I$53,G29)&lt;&gt;"",INDEX(CONFIRM!$I$5:$I$53,G29),H29),H29)</f>
        <v>Community-Based Clinical Services</v>
      </c>
      <c r="J29" s="1" t="str">
        <f aca="false">IFERROR(INDEX(MAP!$F$7:$F$74,MATCH(TRIM(I29),MAP!$E$7:$E$74,0)),"UNMAPPED")</f>
        <v>Community-based clinical services</v>
      </c>
      <c r="K29" s="1" t="str">
        <f aca="false">IFERROR(INDEX(MAP!$G$7:$G$74,MATCH(TRIM(I29),MAP!$E$7:$E$74,0)),"UNMAPPED")</f>
        <v>7e</v>
      </c>
      <c r="L29" s="49" t="n">
        <f aca="false">STACK!G29</f>
        <v>45869</v>
      </c>
      <c r="M29" s="59" t="n">
        <f aca="false">IF(G29&gt;0,IF(INDEX(CONFIRM!$G$5:$G$53,G29)&lt;&gt;"",INDEX(CONFIRM!$G$5:$G$53,G29),IF(ISNUMBER(L29),L29,IFERROR(DATEVALUE(L29),""))),IF(ISNUMBER(L29),L29,IFERROR(DATEVALUE(L29),"")))</f>
        <v>45869</v>
      </c>
      <c r="N29" s="1" t="str">
        <f aca="false">IF(M29="","Check",IF(AND(M29&gt;=INPUTS!$C$6,M29&lt;=INPUTS!$C$7),"Yes","No"))</f>
        <v>Yes</v>
      </c>
      <c r="O29" s="48" t="str">
        <f aca="false">STACK!H29</f>
        <v>Clinical RN</v>
      </c>
      <c r="P29" s="1" t="str">
        <f aca="false">IF(G29&gt;0,IF(INDEX(CONFIRM!$H$5:$H$53,G29)&lt;&gt;"",INDEX(CONFIRM!$H$5:$H$53,G29),IFERROR(INDEX(MAP!$B$7:$B$156,MATCH(TRIM(O29),MAP!$A$7:$A$156,0)),"UNMAPPED")),IFERROR(INDEX(MAP!$B$7:$B$156,MATCH(TRIM(O29),MAP!$A$7:$A$156,0)),"UNMAPPED"))</f>
        <v>Registered Nurse</v>
      </c>
      <c r="Q29" s="48" t="n">
        <f aca="false">STACK!I29</f>
        <v>115.25</v>
      </c>
      <c r="R29" s="60" t="n">
        <f aca="false">IF(G29&gt;0,IF(INDEX(CONFIRM!$F$5:$F$53,G29)&lt;&gt;"",INDEX(CONFIRM!$F$5:$F$53,G29),IF(ISNUMBER(Q29),Q29,IF(Q29="","",IFERROR(VALUE(TRIM(SUBSTITUTE(SUBSTITUTE(LOWER(Q29),"hrs",""),"hr",""))),"")))),IF(ISNUMBER(Q29),Q29,IF(Q29="","",IFERROR(VALUE(TRIM(SUBSTITUTE(SUBSTITUTE(LOWER(Q29),"hrs",""),"hr",""))),""))))</f>
        <v>115.25</v>
      </c>
      <c r="S29" s="57" t="n">
        <f aca="false">IFERROR(INDEX(RATES!$E$6:$E$28,MATCH(P29,RATES!$A$6:$A$28,0)),0)</f>
        <v>55.8975</v>
      </c>
      <c r="T29" s="61" t="n">
        <f aca="false">IF(ISNUMBER(R29),R29,0)*S29</f>
        <v>6442.186875</v>
      </c>
      <c r="U29" s="61" t="n">
        <f aca="false">T29*INDEX(INPUTS!$H$10:$H$14,MATCH(B29,INPUTS!$A$10:$A$14,0))</f>
        <v>1191.804571875</v>
      </c>
      <c r="V29" s="61" t="n">
        <f aca="false">N(STACK!K29)</f>
        <v>10540</v>
      </c>
      <c r="W29" s="61" t="n">
        <f aca="false">T29+U29+V29</f>
        <v>18173.991446875</v>
      </c>
      <c r="X29" s="61" t="n">
        <f aca="false">N(STACK!L29)</f>
        <v>0</v>
      </c>
      <c r="Y29" s="61" t="n">
        <f aca="false">W29-X29</f>
        <v>18173.991446875</v>
      </c>
      <c r="Z29" s="1" t="n">
        <f aca="false">N(STACK!J29)</f>
        <v>245</v>
      </c>
      <c r="AA29" s="1" t="str">
        <f aca="false">TRIM(IF(D29="UNMAPPED","Program not mapped. ","")&amp;IF(OR(K29="UNMAPPED",K29="UNASSIGNED"),"Category needs review. ","")&amp;IF(P29="UNMAPPED","Title not mapped. ","")&amp;IF(AND(P29&lt;&gt;"No staff time",R29=""),"Missing hours. ","")&amp;IF(M29="","Date not readable. ","")&amp;IF(N29="No","Outside fiscal year. ","")&amp;IF(AND(F29="Event",ISNUMBER(R29)),IF(R29&gt;12,"Event hours look high. ",""),"")&amp;IF(G29&gt;0,"See CONFIRM sheet.",""))</f>
        <v/>
      </c>
      <c r="AB29" s="1" t="n">
        <f aca="false">IF(N29="No",0,IF(REVIEW!O29=0,0,IF(G29&gt;0,IF(INDEX(CONFIRM!$J$5:$J$53,G29)&lt;&gt;"",INDEX(CONFIRM!$J$5:$J$53,G29),1),1)))</f>
        <v>1</v>
      </c>
      <c r="AC29" s="1" t="n">
        <f aca="false">IF(AB29=1,IF(COUNTIFS($B$5:B29,B29,$D$5:D29,D29,$AB$5:AB29,1)=1,1,0),0)</f>
        <v>0</v>
      </c>
    </row>
    <row r="30" customFormat="false" ht="15" hidden="false" customHeight="false" outlineLevel="0" collapsed="false">
      <c r="A30" s="48" t="str">
        <f aca="false">STACK!A30</f>
        <v>KVMC-0026</v>
      </c>
      <c r="B30" s="48" t="str">
        <f aca="false">STACK!B30</f>
        <v>KVMC</v>
      </c>
      <c r="C30" s="48" t="str">
        <f aca="false">STACK!E30</f>
        <v>Free Clinic Provider Staffing</v>
      </c>
      <c r="D30" s="1" t="str">
        <f aca="false">IFERROR(INDEX(MAP!$J$7:$J$101,MATCH(TRIM(C30),MAP!$I$7:$I$101,0)),"UNMAPPED")</f>
        <v>Free Clinic Provider Staffing</v>
      </c>
      <c r="E30" s="1" t="str">
        <f aca="false">IFERROR(INDEX(MAP!$K$7:$K$101,MATCH(TRIM(C30),MAP!$I$7:$I$101,0)),"")</f>
        <v>Access to care</v>
      </c>
      <c r="F30" s="1" t="str">
        <f aca="false">IFERROR(INDEX(MAP!$L$7:$L$101,MATCH(TRIM(C30),MAP!$I$7:$I$101,0)),"")</f>
        <v>Monthly</v>
      </c>
      <c r="G30" s="1" t="n">
        <f aca="false">IFERROR(MATCH(A30,CONFIRM!$A$5:$A$53,0),0)</f>
        <v>0</v>
      </c>
      <c r="H30" s="48" t="str">
        <f aca="false">STACK!F30</f>
        <v>Community-Based Clinical Services</v>
      </c>
      <c r="I30" s="1" t="str">
        <f aca="false">IF(G30&gt;0,IF(INDEX(CONFIRM!$I$5:$I$53,G30)&lt;&gt;"",INDEX(CONFIRM!$I$5:$I$53,G30),H30),H30)</f>
        <v>Community-Based Clinical Services</v>
      </c>
      <c r="J30" s="1" t="str">
        <f aca="false">IFERROR(INDEX(MAP!$F$7:$F$74,MATCH(TRIM(I30),MAP!$E$7:$E$74,0)),"UNMAPPED")</f>
        <v>Community-based clinical services</v>
      </c>
      <c r="K30" s="1" t="str">
        <f aca="false">IFERROR(INDEX(MAP!$G$7:$G$74,MATCH(TRIM(I30),MAP!$E$7:$E$74,0)),"UNMAPPED")</f>
        <v>7e</v>
      </c>
      <c r="L30" s="49" t="n">
        <f aca="false">STACK!G30</f>
        <v>45869</v>
      </c>
      <c r="M30" s="59" t="n">
        <f aca="false">IF(G30&gt;0,IF(INDEX(CONFIRM!$G$5:$G$53,G30)&lt;&gt;"",INDEX(CONFIRM!$G$5:$G$53,G30),IF(ISNUMBER(L30),L30,IFERROR(DATEVALUE(L30),""))),IF(ISNUMBER(L30),L30,IFERROR(DATEVALUE(L30),"")))</f>
        <v>45869</v>
      </c>
      <c r="N30" s="1" t="str">
        <f aca="false">IF(M30="","Check",IF(AND(M30&gt;=INPUTS!$C$6,M30&lt;=INPUTS!$C$7),"Yes","No"))</f>
        <v>Yes</v>
      </c>
      <c r="O30" s="48" t="str">
        <f aca="false">STACK!H30</f>
        <v>APRN</v>
      </c>
      <c r="P30" s="1" t="str">
        <f aca="false">IF(G30&gt;0,IF(INDEX(CONFIRM!$H$5:$H$53,G30)&lt;&gt;"",INDEX(CONFIRM!$H$5:$H$53,G30),IFERROR(INDEX(MAP!$B$7:$B$156,MATCH(TRIM(O30),MAP!$A$7:$A$156,0)),"UNMAPPED")),IFERROR(INDEX(MAP!$B$7:$B$156,MATCH(TRIM(O30),MAP!$A$7:$A$156,0)),"UNMAPPED"))</f>
        <v>Nurse Practitioner</v>
      </c>
      <c r="Q30" s="48" t="n">
        <f aca="false">STACK!I30</f>
        <v>44</v>
      </c>
      <c r="R30" s="60" t="n">
        <f aca="false">IF(G30&gt;0,IF(INDEX(CONFIRM!$F$5:$F$53,G30)&lt;&gt;"",INDEX(CONFIRM!$F$5:$F$53,G30),IF(ISNUMBER(Q30),Q30,IF(Q30="","",IFERROR(VALUE(TRIM(SUBSTITUTE(SUBSTITUTE(LOWER(Q30),"hrs",""),"hr",""))),"")))),IF(ISNUMBER(Q30),Q30,IF(Q30="","",IFERROR(VALUE(TRIM(SUBSTITUTE(SUBSTITUTE(LOWER(Q30),"hrs",""),"hr",""))),""))))</f>
        <v>44</v>
      </c>
      <c r="S30" s="57" t="n">
        <f aca="false">IFERROR(INDEX(RATES!$E$6:$E$28,MATCH(P30,RATES!$A$6:$A$28,0)),0)</f>
        <v>79.67</v>
      </c>
      <c r="T30" s="61" t="n">
        <f aca="false">IF(ISNUMBER(R30),R30,0)*S30</f>
        <v>3505.48</v>
      </c>
      <c r="U30" s="61" t="n">
        <f aca="false">T30*INDEX(INPUTS!$H$10:$H$14,MATCH(B30,INPUTS!$A$10:$A$14,0))</f>
        <v>648.5138</v>
      </c>
      <c r="V30" s="61" t="n">
        <f aca="false">N(STACK!K30)</f>
        <v>3920</v>
      </c>
      <c r="W30" s="61" t="n">
        <f aca="false">T30+U30+V30</f>
        <v>8073.9938</v>
      </c>
      <c r="X30" s="61" t="n">
        <f aca="false">N(STACK!L30)</f>
        <v>0</v>
      </c>
      <c r="Y30" s="61" t="n">
        <f aca="false">W30-X30</f>
        <v>8073.9938</v>
      </c>
      <c r="Z30" s="1" t="n">
        <f aca="false">N(STACK!J30)</f>
        <v>301</v>
      </c>
      <c r="AA30" s="1" t="str">
        <f aca="false">TRIM(IF(D30="UNMAPPED","Program not mapped. ","")&amp;IF(OR(K30="UNMAPPED",K30="UNASSIGNED"),"Category needs review. ","")&amp;IF(P30="UNMAPPED","Title not mapped. ","")&amp;IF(AND(P30&lt;&gt;"No staff time",R30=""),"Missing hours. ","")&amp;IF(M30="","Date not readable. ","")&amp;IF(N30="No","Outside fiscal year. ","")&amp;IF(AND(F30="Event",ISNUMBER(R30)),IF(R30&gt;12,"Event hours look high. ",""),"")&amp;IF(G30&gt;0,"See CONFIRM sheet.",""))</f>
        <v/>
      </c>
      <c r="AB30" s="1" t="n">
        <f aca="false">IF(N30="No",0,IF(REVIEW!O30=0,0,IF(G30&gt;0,IF(INDEX(CONFIRM!$J$5:$J$53,G30)&lt;&gt;"",INDEX(CONFIRM!$J$5:$J$53,G30),1),1)))</f>
        <v>1</v>
      </c>
      <c r="AC30" s="1" t="n">
        <f aca="false">IF(AB30=1,IF(COUNTIFS($B$5:B30,B30,$D$5:D30,D30,$AB$5:AB30,1)=1,1,0),0)</f>
        <v>1</v>
      </c>
    </row>
    <row r="31" customFormat="false" ht="15" hidden="false" customHeight="false" outlineLevel="0" collapsed="false">
      <c r="A31" s="48" t="str">
        <f aca="false">STACK!A31</f>
        <v>KVMC-0027</v>
      </c>
      <c r="B31" s="48" t="str">
        <f aca="false">STACK!B31</f>
        <v>KVMC</v>
      </c>
      <c r="C31" s="48" t="str">
        <f aca="false">STACK!E31</f>
        <v>Free Clinic Provider Staffing</v>
      </c>
      <c r="D31" s="1" t="str">
        <f aca="false">IFERROR(INDEX(MAP!$J$7:$J$101,MATCH(TRIM(C31),MAP!$I$7:$I$101,0)),"UNMAPPED")</f>
        <v>Free Clinic Provider Staffing</v>
      </c>
      <c r="E31" s="1" t="str">
        <f aca="false">IFERROR(INDEX(MAP!$K$7:$K$101,MATCH(TRIM(C31),MAP!$I$7:$I$101,0)),"")</f>
        <v>Access to care</v>
      </c>
      <c r="F31" s="1" t="str">
        <f aca="false">IFERROR(INDEX(MAP!$L$7:$L$101,MATCH(TRIM(C31),MAP!$I$7:$I$101,0)),"")</f>
        <v>Monthly</v>
      </c>
      <c r="G31" s="1" t="n">
        <f aca="false">IFERROR(MATCH(A31,CONFIRM!$A$5:$A$53,0),0)</f>
        <v>0</v>
      </c>
      <c r="H31" s="48" t="str">
        <f aca="false">STACK!F31</f>
        <v>Community-Based Clinical Services</v>
      </c>
      <c r="I31" s="1" t="str">
        <f aca="false">IF(G31&gt;0,IF(INDEX(CONFIRM!$I$5:$I$53,G31)&lt;&gt;"",INDEX(CONFIRM!$I$5:$I$53,G31),H31),H31)</f>
        <v>Community-Based Clinical Services</v>
      </c>
      <c r="J31" s="1" t="str">
        <f aca="false">IFERROR(INDEX(MAP!$F$7:$F$74,MATCH(TRIM(I31),MAP!$E$7:$E$74,0)),"UNMAPPED")</f>
        <v>Community-based clinical services</v>
      </c>
      <c r="K31" s="1" t="str">
        <f aca="false">IFERROR(INDEX(MAP!$G$7:$G$74,MATCH(TRIM(I31),MAP!$E$7:$E$74,0)),"UNMAPPED")</f>
        <v>7e</v>
      </c>
      <c r="L31" s="49" t="n">
        <f aca="false">STACK!G31</f>
        <v>45869</v>
      </c>
      <c r="M31" s="59" t="n">
        <f aca="false">IF(G31&gt;0,IF(INDEX(CONFIRM!$G$5:$G$53,G31)&lt;&gt;"",INDEX(CONFIRM!$G$5:$G$53,G31),IF(ISNUMBER(L31),L31,IFERROR(DATEVALUE(L31),""))),IF(ISNUMBER(L31),L31,IFERROR(DATEVALUE(L31),"")))</f>
        <v>45869</v>
      </c>
      <c r="N31" s="1" t="str">
        <f aca="false">IF(M31="","Check",IF(AND(M31&gt;=INPUTS!$C$6,M31&lt;=INPUTS!$C$7),"Yes","No"))</f>
        <v>Yes</v>
      </c>
      <c r="O31" s="48" t="str">
        <f aca="false">STACK!H31</f>
        <v>RPh</v>
      </c>
      <c r="P31" s="1" t="str">
        <f aca="false">IF(G31&gt;0,IF(INDEX(CONFIRM!$H$5:$H$53,G31)&lt;&gt;"",INDEX(CONFIRM!$H$5:$H$53,G31),IFERROR(INDEX(MAP!$B$7:$B$156,MATCH(TRIM(O31),MAP!$A$7:$A$156,0)),"UNMAPPED")),IFERROR(INDEX(MAP!$B$7:$B$156,MATCH(TRIM(O31),MAP!$A$7:$A$156,0)),"UNMAPPED"))</f>
        <v>Pharmacist</v>
      </c>
      <c r="Q31" s="48" t="n">
        <f aca="false">STACK!I31</f>
        <v>13.75</v>
      </c>
      <c r="R31" s="60" t="n">
        <f aca="false">IF(G31&gt;0,IF(INDEX(CONFIRM!$F$5:$F$53,G31)&lt;&gt;"",INDEX(CONFIRM!$F$5:$F$53,G31),IF(ISNUMBER(Q31),Q31,IF(Q31="","",IFERROR(VALUE(TRIM(SUBSTITUTE(SUBSTITUTE(LOWER(Q31),"hrs",""),"hr",""))),"")))),IF(ISNUMBER(Q31),Q31,IF(Q31="","",IFERROR(VALUE(TRIM(SUBSTITUTE(SUBSTITUTE(LOWER(Q31),"hrs",""),"hr",""))),""))))</f>
        <v>13.75</v>
      </c>
      <c r="S31" s="57" t="n">
        <f aca="false">IFERROR(INDEX(RATES!$E$6:$E$28,MATCH(P31,RATES!$A$6:$A$28,0)),0)</f>
        <v>84.81</v>
      </c>
      <c r="T31" s="61" t="n">
        <f aca="false">IF(ISNUMBER(R31),R31,0)*S31</f>
        <v>1166.1375</v>
      </c>
      <c r="U31" s="61" t="n">
        <f aca="false">T31*INDEX(INPUTS!$H$10:$H$14,MATCH(B31,INPUTS!$A$10:$A$14,0))</f>
        <v>215.7354375</v>
      </c>
      <c r="V31" s="61" t="n">
        <f aca="false">N(STACK!K31)</f>
        <v>0</v>
      </c>
      <c r="W31" s="61" t="n">
        <f aca="false">T31+U31+V31</f>
        <v>1381.8729375</v>
      </c>
      <c r="X31" s="61" t="n">
        <f aca="false">N(STACK!L31)</f>
        <v>0</v>
      </c>
      <c r="Y31" s="61" t="n">
        <f aca="false">W31-X31</f>
        <v>1381.8729375</v>
      </c>
      <c r="Z31" s="1" t="n">
        <f aca="false">N(STACK!J31)</f>
        <v>0</v>
      </c>
      <c r="AA31" s="1" t="str">
        <f aca="false">TRIM(IF(D31="UNMAPPED","Program not mapped. ","")&amp;IF(OR(K31="UNMAPPED",K31="UNASSIGNED"),"Category needs review. ","")&amp;IF(P31="UNMAPPED","Title not mapped. ","")&amp;IF(AND(P31&lt;&gt;"No staff time",R31=""),"Missing hours. ","")&amp;IF(M31="","Date not readable. ","")&amp;IF(N31="No","Outside fiscal year. ","")&amp;IF(AND(F31="Event",ISNUMBER(R31)),IF(R31&gt;12,"Event hours look high. ",""),"")&amp;IF(G31&gt;0,"See CONFIRM sheet.",""))</f>
        <v/>
      </c>
      <c r="AB31" s="1" t="n">
        <f aca="false">IF(N31="No",0,IF(REVIEW!O31=0,0,IF(G31&gt;0,IF(INDEX(CONFIRM!$J$5:$J$53,G31)&lt;&gt;"",INDEX(CONFIRM!$J$5:$J$53,G31),1),1)))</f>
        <v>1</v>
      </c>
      <c r="AC31" s="1" t="n">
        <f aca="false">IF(AB31=1,IF(COUNTIFS($B$5:B31,B31,$D$5:D31,D31,$AB$5:AB31,1)=1,1,0),0)</f>
        <v>0</v>
      </c>
    </row>
    <row r="32" customFormat="false" ht="15" hidden="false" customHeight="false" outlineLevel="0" collapsed="false">
      <c r="A32" s="48" t="str">
        <f aca="false">STACK!A32</f>
        <v>KVMC-0028</v>
      </c>
      <c r="B32" s="48" t="str">
        <f aca="false">STACK!B32</f>
        <v>KVMC</v>
      </c>
      <c r="C32" s="48" t="str">
        <f aca="false">STACK!E32</f>
        <v>Free Clinic Provider Staffing</v>
      </c>
      <c r="D32" s="1" t="str">
        <f aca="false">IFERROR(INDEX(MAP!$J$7:$J$101,MATCH(TRIM(C32),MAP!$I$7:$I$101,0)),"UNMAPPED")</f>
        <v>Free Clinic Provider Staffing</v>
      </c>
      <c r="E32" s="1" t="str">
        <f aca="false">IFERROR(INDEX(MAP!$K$7:$K$101,MATCH(TRIM(C32),MAP!$I$7:$I$101,0)),"")</f>
        <v>Access to care</v>
      </c>
      <c r="F32" s="1" t="str">
        <f aca="false">IFERROR(INDEX(MAP!$L$7:$L$101,MATCH(TRIM(C32),MAP!$I$7:$I$101,0)),"")</f>
        <v>Monthly</v>
      </c>
      <c r="G32" s="1" t="n">
        <f aca="false">IFERROR(MATCH(A32,CONFIRM!$A$5:$A$53,0),0)</f>
        <v>0</v>
      </c>
      <c r="H32" s="48" t="str">
        <f aca="false">STACK!F32</f>
        <v>Community-Based Clinical Services</v>
      </c>
      <c r="I32" s="1" t="str">
        <f aca="false">IF(G32&gt;0,IF(INDEX(CONFIRM!$I$5:$I$53,G32)&lt;&gt;"",INDEX(CONFIRM!$I$5:$I$53,G32),H32),H32)</f>
        <v>Community-Based Clinical Services</v>
      </c>
      <c r="J32" s="1" t="str">
        <f aca="false">IFERROR(INDEX(MAP!$F$7:$F$74,MATCH(TRIM(I32),MAP!$E$7:$E$74,0)),"UNMAPPED")</f>
        <v>Community-based clinical services</v>
      </c>
      <c r="K32" s="1" t="str">
        <f aca="false">IFERROR(INDEX(MAP!$G$7:$G$74,MATCH(TRIM(I32),MAP!$E$7:$E$74,0)),"UNMAPPED")</f>
        <v>7e</v>
      </c>
      <c r="L32" s="49" t="n">
        <f aca="false">STACK!G32</f>
        <v>45869</v>
      </c>
      <c r="M32" s="59" t="n">
        <f aca="false">IF(G32&gt;0,IF(INDEX(CONFIRM!$G$5:$G$53,G32)&lt;&gt;"",INDEX(CONFIRM!$G$5:$G$53,G32),IF(ISNUMBER(L32),L32,IFERROR(DATEVALUE(L32),""))),IF(ISNUMBER(L32),L32,IFERROR(DATEVALUE(L32),"")))</f>
        <v>45869</v>
      </c>
      <c r="N32" s="1" t="str">
        <f aca="false">IF(M32="","Check",IF(AND(M32&gt;=INPUTS!$C$6,M32&lt;=INPUTS!$C$7),"Yes","No"))</f>
        <v>Yes</v>
      </c>
      <c r="O32" s="48" t="str">
        <f aca="false">STACK!H32</f>
        <v>Reg Nurse</v>
      </c>
      <c r="P32" s="1" t="str">
        <f aca="false">IF(G32&gt;0,IF(INDEX(CONFIRM!$H$5:$H$53,G32)&lt;&gt;"",INDEX(CONFIRM!$H$5:$H$53,G32),IFERROR(INDEX(MAP!$B$7:$B$156,MATCH(TRIM(O32),MAP!$A$7:$A$156,0)),"UNMAPPED")),IFERROR(INDEX(MAP!$B$7:$B$156,MATCH(TRIM(O32),MAP!$A$7:$A$156,0)),"UNMAPPED"))</f>
        <v>Registered Nurse</v>
      </c>
      <c r="Q32" s="48" t="n">
        <f aca="false">STACK!I32</f>
        <v>59.25</v>
      </c>
      <c r="R32" s="60" t="n">
        <f aca="false">IF(G32&gt;0,IF(INDEX(CONFIRM!$F$5:$F$53,G32)&lt;&gt;"",INDEX(CONFIRM!$F$5:$F$53,G32),IF(ISNUMBER(Q32),Q32,IF(Q32="","",IFERROR(VALUE(TRIM(SUBSTITUTE(SUBSTITUTE(LOWER(Q32),"hrs",""),"hr",""))),"")))),IF(ISNUMBER(Q32),Q32,IF(Q32="","",IFERROR(VALUE(TRIM(SUBSTITUTE(SUBSTITUTE(LOWER(Q32),"hrs",""),"hr",""))),""))))</f>
        <v>59.25</v>
      </c>
      <c r="S32" s="57" t="n">
        <f aca="false">IFERROR(INDEX(RATES!$E$6:$E$28,MATCH(P32,RATES!$A$6:$A$28,0)),0)</f>
        <v>55.8975</v>
      </c>
      <c r="T32" s="61" t="n">
        <f aca="false">IF(ISNUMBER(R32),R32,0)*S32</f>
        <v>3311.926875</v>
      </c>
      <c r="U32" s="61" t="n">
        <f aca="false">T32*INDEX(INPUTS!$H$10:$H$14,MATCH(B32,INPUTS!$A$10:$A$14,0))</f>
        <v>612.706471875</v>
      </c>
      <c r="V32" s="61" t="n">
        <f aca="false">N(STACK!K32)</f>
        <v>0</v>
      </c>
      <c r="W32" s="61" t="n">
        <f aca="false">T32+U32+V32</f>
        <v>3924.633346875</v>
      </c>
      <c r="X32" s="61" t="n">
        <f aca="false">N(STACK!L32)</f>
        <v>0</v>
      </c>
      <c r="Y32" s="61" t="n">
        <f aca="false">W32-X32</f>
        <v>3924.633346875</v>
      </c>
      <c r="Z32" s="1" t="n">
        <f aca="false">N(STACK!J32)</f>
        <v>0</v>
      </c>
      <c r="AA32" s="1" t="str">
        <f aca="false">TRIM(IF(D32="UNMAPPED","Program not mapped. ","")&amp;IF(OR(K32="UNMAPPED",K32="UNASSIGNED"),"Category needs review. ","")&amp;IF(P32="UNMAPPED","Title not mapped. ","")&amp;IF(AND(P32&lt;&gt;"No staff time",R32=""),"Missing hours. ","")&amp;IF(M32="","Date not readable. ","")&amp;IF(N32="No","Outside fiscal year. ","")&amp;IF(AND(F32="Event",ISNUMBER(R32)),IF(R32&gt;12,"Event hours look high. ",""),"")&amp;IF(G32&gt;0,"See CONFIRM sheet.",""))</f>
        <v/>
      </c>
      <c r="AB32" s="1" t="n">
        <f aca="false">IF(N32="No",0,IF(REVIEW!O32=0,0,IF(G32&gt;0,IF(INDEX(CONFIRM!$J$5:$J$53,G32)&lt;&gt;"",INDEX(CONFIRM!$J$5:$J$53,G32),1),1)))</f>
        <v>1</v>
      </c>
      <c r="AC32" s="1" t="n">
        <f aca="false">IF(AB32=1,IF(COUNTIFS($B$5:B32,B32,$D$5:D32,D32,$AB$5:AB32,1)=1,1,0),0)</f>
        <v>0</v>
      </c>
    </row>
    <row r="33" customFormat="false" ht="15" hidden="false" customHeight="false" outlineLevel="0" collapsed="false">
      <c r="A33" s="48" t="str">
        <f aca="false">STACK!A33</f>
        <v>KVMC-0029</v>
      </c>
      <c r="B33" s="48" t="str">
        <f aca="false">STACK!B33</f>
        <v>KVMC</v>
      </c>
      <c r="C33" s="48" t="str">
        <f aca="false">STACK!E33</f>
        <v>Community Health Worker Outreach</v>
      </c>
      <c r="D33" s="1" t="str">
        <f aca="false">IFERROR(INDEX(MAP!$J$7:$J$101,MATCH(TRIM(C33),MAP!$I$7:$I$101,0)),"UNMAPPED")</f>
        <v>Community Health Worker Outreach</v>
      </c>
      <c r="E33" s="1" t="str">
        <f aca="false">IFERROR(INDEX(MAP!$K$7:$K$101,MATCH(TRIM(C33),MAP!$I$7:$I$101,0)),"")</f>
        <v>Access to care</v>
      </c>
      <c r="F33" s="1" t="str">
        <f aca="false">IFERROR(INDEX(MAP!$L$7:$L$101,MATCH(TRIM(C33),MAP!$I$7:$I$101,0)),"")</f>
        <v>Monthly</v>
      </c>
      <c r="G33" s="1" t="n">
        <f aca="false">IFERROR(MATCH(A33,CONFIRM!$A$5:$A$53,0),0)</f>
        <v>0</v>
      </c>
      <c r="H33" s="48" t="str">
        <f aca="false">STACK!F33</f>
        <v>Health Care Support Services</v>
      </c>
      <c r="I33" s="1" t="str">
        <f aca="false">IF(G33&gt;0,IF(INDEX(CONFIRM!$I$5:$I$53,G33)&lt;&gt;"",INDEX(CONFIRM!$I$5:$I$53,G33),H33),H33)</f>
        <v>Health Care Support Services</v>
      </c>
      <c r="J33" s="1" t="str">
        <f aca="false">IFERROR(INDEX(MAP!$F$7:$F$74,MATCH(TRIM(I33),MAP!$E$7:$E$74,0)),"UNMAPPED")</f>
        <v>Health care support services</v>
      </c>
      <c r="K33" s="1" t="str">
        <f aca="false">IFERROR(INDEX(MAP!$G$7:$G$74,MATCH(TRIM(I33),MAP!$E$7:$E$74,0)),"UNMAPPED")</f>
        <v>7e</v>
      </c>
      <c r="L33" s="49" t="n">
        <f aca="false">STACK!G33</f>
        <v>45869</v>
      </c>
      <c r="M33" s="59" t="n">
        <f aca="false">IF(G33&gt;0,IF(INDEX(CONFIRM!$G$5:$G$53,G33)&lt;&gt;"",INDEX(CONFIRM!$G$5:$G$53,G33),IF(ISNUMBER(L33),L33,IFERROR(DATEVALUE(L33),""))),IF(ISNUMBER(L33),L33,IFERROR(DATEVALUE(L33),"")))</f>
        <v>45869</v>
      </c>
      <c r="N33" s="1" t="str">
        <f aca="false">IF(M33="","Check",IF(AND(M33&gt;=INPUTS!$C$6,M33&lt;=INPUTS!$C$7),"Yes","No"))</f>
        <v>Yes</v>
      </c>
      <c r="O33" s="48" t="str">
        <f aca="false">STACK!H33</f>
        <v>Community Health Worker</v>
      </c>
      <c r="P33" s="1" t="str">
        <f aca="false">IF(G33&gt;0,IF(INDEX(CONFIRM!$H$5:$H$53,G33)&lt;&gt;"",INDEX(CONFIRM!$H$5:$H$53,G33),IFERROR(INDEX(MAP!$B$7:$B$156,MATCH(TRIM(O33),MAP!$A$7:$A$156,0)),"UNMAPPED")),IFERROR(INDEX(MAP!$B$7:$B$156,MATCH(TRIM(O33),MAP!$A$7:$A$156,0)),"UNMAPPED"))</f>
        <v>Community Health Worker</v>
      </c>
      <c r="Q33" s="48" t="n">
        <f aca="false">STACK!I33</f>
        <v>387.75</v>
      </c>
      <c r="R33" s="60" t="n">
        <f aca="false">IF(G33&gt;0,IF(INDEX(CONFIRM!$F$5:$F$53,G33)&lt;&gt;"",INDEX(CONFIRM!$F$5:$F$53,G33),IF(ISNUMBER(Q33),Q33,IF(Q33="","",IFERROR(VALUE(TRIM(SUBSTITUTE(SUBSTITUTE(LOWER(Q33),"hrs",""),"hr",""))),"")))),IF(ISNUMBER(Q33),Q33,IF(Q33="","",IFERROR(VALUE(TRIM(SUBSTITUTE(SUBSTITUTE(LOWER(Q33),"hrs",""),"hr",""))),""))))</f>
        <v>387.75</v>
      </c>
      <c r="S33" s="57" t="n">
        <f aca="false">IFERROR(INDEX(RATES!$E$6:$E$28,MATCH(P33,RATES!$A$6:$A$28,0)),0)</f>
        <v>27.6275</v>
      </c>
      <c r="T33" s="61" t="n">
        <f aca="false">IF(ISNUMBER(R33),R33,0)*S33</f>
        <v>10712.563125</v>
      </c>
      <c r="U33" s="61" t="n">
        <f aca="false">T33*INDEX(INPUTS!$H$10:$H$14,MATCH(B33,INPUTS!$A$10:$A$14,0))</f>
        <v>1981.824178125</v>
      </c>
      <c r="V33" s="61" t="n">
        <f aca="false">N(STACK!K33)</f>
        <v>2035</v>
      </c>
      <c r="W33" s="61" t="n">
        <f aca="false">T33+U33+V33</f>
        <v>14729.387303125</v>
      </c>
      <c r="X33" s="61" t="n">
        <f aca="false">N(STACK!L33)</f>
        <v>0</v>
      </c>
      <c r="Y33" s="61" t="n">
        <f aca="false">W33-X33</f>
        <v>14729.387303125</v>
      </c>
      <c r="Z33" s="1" t="n">
        <f aca="false">N(STACK!J33)</f>
        <v>398</v>
      </c>
      <c r="AA33" s="1" t="str">
        <f aca="false">TRIM(IF(D33="UNMAPPED","Program not mapped. ","")&amp;IF(OR(K33="UNMAPPED",K33="UNASSIGNED"),"Category needs review. ","")&amp;IF(P33="UNMAPPED","Title not mapped. ","")&amp;IF(AND(P33&lt;&gt;"No staff time",R33=""),"Missing hours. ","")&amp;IF(M33="","Date not readable. ","")&amp;IF(N33="No","Outside fiscal year. ","")&amp;IF(AND(F33="Event",ISNUMBER(R33)),IF(R33&gt;12,"Event hours look high. ",""),"")&amp;IF(G33&gt;0,"See CONFIRM sheet.",""))</f>
        <v/>
      </c>
      <c r="AB33" s="1" t="n">
        <f aca="false">IF(N33="No",0,IF(REVIEW!O33=0,0,IF(G33&gt;0,IF(INDEX(CONFIRM!$J$5:$J$53,G33)&lt;&gt;"",INDEX(CONFIRM!$J$5:$J$53,G33),1),1)))</f>
        <v>1</v>
      </c>
      <c r="AC33" s="1" t="n">
        <f aca="false">IF(AB33=1,IF(COUNTIFS($B$5:B33,B33,$D$5:D33,D33,$AB$5:AB33,1)=1,1,0),0)</f>
        <v>1</v>
      </c>
    </row>
    <row r="34" customFormat="false" ht="15" hidden="false" customHeight="false" outlineLevel="0" collapsed="false">
      <c r="A34" s="48" t="str">
        <f aca="false">STACK!A34</f>
        <v>KVMC-0030</v>
      </c>
      <c r="B34" s="48" t="str">
        <f aca="false">STACK!B34</f>
        <v>KVMC</v>
      </c>
      <c r="C34" s="48" t="str">
        <f aca="false">STACK!E34</f>
        <v>Community Health Worker Outreach</v>
      </c>
      <c r="D34" s="1" t="str">
        <f aca="false">IFERROR(INDEX(MAP!$J$7:$J$101,MATCH(TRIM(C34),MAP!$I$7:$I$101,0)),"UNMAPPED")</f>
        <v>Community Health Worker Outreach</v>
      </c>
      <c r="E34" s="1" t="str">
        <f aca="false">IFERROR(INDEX(MAP!$K$7:$K$101,MATCH(TRIM(C34),MAP!$I$7:$I$101,0)),"")</f>
        <v>Access to care</v>
      </c>
      <c r="F34" s="1" t="str">
        <f aca="false">IFERROR(INDEX(MAP!$L$7:$L$101,MATCH(TRIM(C34),MAP!$I$7:$I$101,0)),"")</f>
        <v>Monthly</v>
      </c>
      <c r="G34" s="1" t="n">
        <f aca="false">IFERROR(MATCH(A34,CONFIRM!$A$5:$A$53,0),0)</f>
        <v>0</v>
      </c>
      <c r="H34" s="48" t="str">
        <f aca="false">STACK!F34</f>
        <v>Health Care Support Services</v>
      </c>
      <c r="I34" s="1" t="str">
        <f aca="false">IF(G34&gt;0,IF(INDEX(CONFIRM!$I$5:$I$53,G34)&lt;&gt;"",INDEX(CONFIRM!$I$5:$I$53,G34),H34),H34)</f>
        <v>Health Care Support Services</v>
      </c>
      <c r="J34" s="1" t="str">
        <f aca="false">IFERROR(INDEX(MAP!$F$7:$F$74,MATCH(TRIM(I34),MAP!$E$7:$E$74,0)),"UNMAPPED")</f>
        <v>Health care support services</v>
      </c>
      <c r="K34" s="1" t="str">
        <f aca="false">IFERROR(INDEX(MAP!$G$7:$G$74,MATCH(TRIM(I34),MAP!$E$7:$E$74,0)),"UNMAPPED")</f>
        <v>7e</v>
      </c>
      <c r="L34" s="49" t="n">
        <f aca="false">STACK!G34</f>
        <v>45869</v>
      </c>
      <c r="M34" s="59" t="n">
        <f aca="false">IF(G34&gt;0,IF(INDEX(CONFIRM!$G$5:$G$53,G34)&lt;&gt;"",INDEX(CONFIRM!$G$5:$G$53,G34),IF(ISNUMBER(L34),L34,IFERROR(DATEVALUE(L34),""))),IF(ISNUMBER(L34),L34,IFERROR(DATEVALUE(L34),"")))</f>
        <v>45869</v>
      </c>
      <c r="N34" s="1" t="str">
        <f aca="false">IF(M34="","Check",IF(AND(M34&gt;=INPUTS!$C$6,M34&lt;=INPUTS!$C$7),"Yes","No"))</f>
        <v>Yes</v>
      </c>
      <c r="O34" s="48" t="str">
        <f aca="false">STACK!H34</f>
        <v>financial navigator</v>
      </c>
      <c r="P34" s="1" t="str">
        <f aca="false">IF(G34&gt;0,IF(INDEX(CONFIRM!$H$5:$H$53,G34)&lt;&gt;"",INDEX(CONFIRM!$H$5:$H$53,G34),IFERROR(INDEX(MAP!$B$7:$B$156,MATCH(TRIM(O34),MAP!$A$7:$A$156,0)),"UNMAPPED")),IFERROR(INDEX(MAP!$B$7:$B$156,MATCH(TRIM(O34),MAP!$A$7:$A$156,0)),"UNMAPPED"))</f>
        <v>Patient Navigator</v>
      </c>
      <c r="Q34" s="48" t="n">
        <f aca="false">STACK!I34</f>
        <v>155.5</v>
      </c>
      <c r="R34" s="60" t="n">
        <f aca="false">IF(G34&gt;0,IF(INDEX(CONFIRM!$F$5:$F$53,G34)&lt;&gt;"",INDEX(CONFIRM!$F$5:$F$53,G34),IF(ISNUMBER(Q34),Q34,IF(Q34="","",IFERROR(VALUE(TRIM(SUBSTITUTE(SUBSTITUTE(LOWER(Q34),"hrs",""),"hr",""))),"")))),IF(ISNUMBER(Q34),Q34,IF(Q34="","",IFERROR(VALUE(TRIM(SUBSTITUTE(SUBSTITUTE(LOWER(Q34),"hrs",""),"hr",""))),""))))</f>
        <v>155.5</v>
      </c>
      <c r="S34" s="57" t="n">
        <f aca="false">IFERROR(INDEX(RATES!$E$6:$E$28,MATCH(P34,RATES!$A$6:$A$28,0)),0)</f>
        <v>30.84</v>
      </c>
      <c r="T34" s="61" t="n">
        <f aca="false">IF(ISNUMBER(R34),R34,0)*S34</f>
        <v>4795.62</v>
      </c>
      <c r="U34" s="61" t="n">
        <f aca="false">T34*INDEX(INPUTS!$H$10:$H$14,MATCH(B34,INPUTS!$A$10:$A$14,0))</f>
        <v>887.1897</v>
      </c>
      <c r="V34" s="61" t="n">
        <f aca="false">N(STACK!K34)</f>
        <v>0</v>
      </c>
      <c r="W34" s="61" t="n">
        <f aca="false">T34+U34+V34</f>
        <v>5682.8097</v>
      </c>
      <c r="X34" s="61" t="n">
        <f aca="false">N(STACK!L34)</f>
        <v>0</v>
      </c>
      <c r="Y34" s="61" t="n">
        <f aca="false">W34-X34</f>
        <v>5682.8097</v>
      </c>
      <c r="Z34" s="1" t="n">
        <f aca="false">N(STACK!J34)</f>
        <v>0</v>
      </c>
      <c r="AA34" s="1" t="str">
        <f aca="false">TRIM(IF(D34="UNMAPPED","Program not mapped. ","")&amp;IF(OR(K34="UNMAPPED",K34="UNASSIGNED"),"Category needs review. ","")&amp;IF(P34="UNMAPPED","Title not mapped. ","")&amp;IF(AND(P34&lt;&gt;"No staff time",R34=""),"Missing hours. ","")&amp;IF(M34="","Date not readable. ","")&amp;IF(N34="No","Outside fiscal year. ","")&amp;IF(AND(F34="Event",ISNUMBER(R34)),IF(R34&gt;12,"Event hours look high. ",""),"")&amp;IF(G34&gt;0,"See CONFIRM sheet.",""))</f>
        <v/>
      </c>
      <c r="AB34" s="1" t="n">
        <f aca="false">IF(N34="No",0,IF(REVIEW!O34=0,0,IF(G34&gt;0,IF(INDEX(CONFIRM!$J$5:$J$53,G34)&lt;&gt;"",INDEX(CONFIRM!$J$5:$J$53,G34),1),1)))</f>
        <v>1</v>
      </c>
      <c r="AC34" s="1" t="n">
        <f aca="false">IF(AB34=1,IF(COUNTIFS($B$5:B34,B34,$D$5:D34,D34,$AB$5:AB34,1)=1,1,0),0)</f>
        <v>0</v>
      </c>
    </row>
    <row r="35" customFormat="false" ht="15" hidden="false" customHeight="false" outlineLevel="0" collapsed="false">
      <c r="A35" s="48" t="str">
        <f aca="false">STACK!A35</f>
        <v>KVMC-0031</v>
      </c>
      <c r="B35" s="48" t="str">
        <f aca="false">STACK!B35</f>
        <v>KVMC</v>
      </c>
      <c r="C35" s="48" t="str">
        <f aca="false">STACK!E35</f>
        <v>Medication Assistance Program</v>
      </c>
      <c r="D35" s="1" t="str">
        <f aca="false">IFERROR(INDEX(MAP!$J$7:$J$101,MATCH(TRIM(C35),MAP!$I$7:$I$101,0)),"UNMAPPED")</f>
        <v>Medication Assistance Program</v>
      </c>
      <c r="E35" s="1" t="str">
        <f aca="false">IFERROR(INDEX(MAP!$K$7:$K$101,MATCH(TRIM(C35),MAP!$I$7:$I$101,0)),"")</f>
        <v>Access to care</v>
      </c>
      <c r="F35" s="1" t="str">
        <f aca="false">IFERROR(INDEX(MAP!$L$7:$L$101,MATCH(TRIM(C35),MAP!$I$7:$I$101,0)),"")</f>
        <v>Monthly</v>
      </c>
      <c r="G35" s="1" t="n">
        <f aca="false">IFERROR(MATCH(A35,CONFIRM!$A$5:$A$53,0),0)</f>
        <v>0</v>
      </c>
      <c r="H35" s="48" t="str">
        <f aca="false">STACK!F35</f>
        <v>Health Care Support Services</v>
      </c>
      <c r="I35" s="1" t="str">
        <f aca="false">IF(G35&gt;0,IF(INDEX(CONFIRM!$I$5:$I$53,G35)&lt;&gt;"",INDEX(CONFIRM!$I$5:$I$53,G35),H35),H35)</f>
        <v>Health Care Support Services</v>
      </c>
      <c r="J35" s="1" t="str">
        <f aca="false">IFERROR(INDEX(MAP!$F$7:$F$74,MATCH(TRIM(I35),MAP!$E$7:$E$74,0)),"UNMAPPED")</f>
        <v>Health care support services</v>
      </c>
      <c r="K35" s="1" t="str">
        <f aca="false">IFERROR(INDEX(MAP!$G$7:$G$74,MATCH(TRIM(I35),MAP!$E$7:$E$74,0)),"UNMAPPED")</f>
        <v>7e</v>
      </c>
      <c r="L35" s="49" t="n">
        <f aca="false">STACK!G35</f>
        <v>45869</v>
      </c>
      <c r="M35" s="59" t="n">
        <f aca="false">IF(G35&gt;0,IF(INDEX(CONFIRM!$G$5:$G$53,G35)&lt;&gt;"",INDEX(CONFIRM!$G$5:$G$53,G35),IF(ISNUMBER(L35),L35,IFERROR(DATEVALUE(L35),""))),IF(ISNUMBER(L35),L35,IFERROR(DATEVALUE(L35),"")))</f>
        <v>45869</v>
      </c>
      <c r="N35" s="1" t="str">
        <f aca="false">IF(M35="","Check",IF(AND(M35&gt;=INPUTS!$C$6,M35&lt;=INPUTS!$C$7),"Yes","No"))</f>
        <v>Yes</v>
      </c>
      <c r="O35" s="48" t="str">
        <f aca="false">STACK!H35</f>
        <v>Financial Navigator</v>
      </c>
      <c r="P35" s="1" t="str">
        <f aca="false">IF(G35&gt;0,IF(INDEX(CONFIRM!$H$5:$H$53,G35)&lt;&gt;"",INDEX(CONFIRM!$H$5:$H$53,G35),IFERROR(INDEX(MAP!$B$7:$B$156,MATCH(TRIM(O35),MAP!$A$7:$A$156,0)),"UNMAPPED")),IFERROR(INDEX(MAP!$B$7:$B$156,MATCH(TRIM(O35),MAP!$A$7:$A$156,0)),"UNMAPPED"))</f>
        <v>Patient Navigator</v>
      </c>
      <c r="Q35" s="48" t="n">
        <f aca="false">STACK!I35</f>
        <v>90.75</v>
      </c>
      <c r="R35" s="60" t="n">
        <f aca="false">IF(G35&gt;0,IF(INDEX(CONFIRM!$F$5:$F$53,G35)&lt;&gt;"",INDEX(CONFIRM!$F$5:$F$53,G35),IF(ISNUMBER(Q35),Q35,IF(Q35="","",IFERROR(VALUE(TRIM(SUBSTITUTE(SUBSTITUTE(LOWER(Q35),"hrs",""),"hr",""))),"")))),IF(ISNUMBER(Q35),Q35,IF(Q35="","",IFERROR(VALUE(TRIM(SUBSTITUTE(SUBSTITUTE(LOWER(Q35),"hrs",""),"hr",""))),""))))</f>
        <v>90.75</v>
      </c>
      <c r="S35" s="57" t="n">
        <f aca="false">IFERROR(INDEX(RATES!$E$6:$E$28,MATCH(P35,RATES!$A$6:$A$28,0)),0)</f>
        <v>30.84</v>
      </c>
      <c r="T35" s="61" t="n">
        <f aca="false">IF(ISNUMBER(R35),R35,0)*S35</f>
        <v>2798.73</v>
      </c>
      <c r="U35" s="61" t="n">
        <f aca="false">T35*INDEX(INPUTS!$H$10:$H$14,MATCH(B35,INPUTS!$A$10:$A$14,0))</f>
        <v>517.76505</v>
      </c>
      <c r="V35" s="61" t="n">
        <f aca="false">N(STACK!K35)</f>
        <v>0</v>
      </c>
      <c r="W35" s="61" t="n">
        <f aca="false">T35+U35+V35</f>
        <v>3316.49505</v>
      </c>
      <c r="X35" s="61" t="n">
        <f aca="false">N(STACK!L35)</f>
        <v>0</v>
      </c>
      <c r="Y35" s="61" t="n">
        <f aca="false">W35-X35</f>
        <v>3316.49505</v>
      </c>
      <c r="Z35" s="1" t="n">
        <f aca="false">N(STACK!J35)</f>
        <v>0</v>
      </c>
      <c r="AA35" s="1" t="str">
        <f aca="false">TRIM(IF(D35="UNMAPPED","Program not mapped. ","")&amp;IF(OR(K35="UNMAPPED",K35="UNASSIGNED"),"Category needs review. ","")&amp;IF(P35="UNMAPPED","Title not mapped. ","")&amp;IF(AND(P35&lt;&gt;"No staff time",R35=""),"Missing hours. ","")&amp;IF(M35="","Date not readable. ","")&amp;IF(N35="No","Outside fiscal year. ","")&amp;IF(AND(F35="Event",ISNUMBER(R35)),IF(R35&gt;12,"Event hours look high. ",""),"")&amp;IF(G35&gt;0,"See CONFIRM sheet.",""))</f>
        <v/>
      </c>
      <c r="AB35" s="1" t="n">
        <f aca="false">IF(N35="No",0,IF(REVIEW!O35=0,0,IF(G35&gt;0,IF(INDEX(CONFIRM!$J$5:$J$53,G35)&lt;&gt;"",INDEX(CONFIRM!$J$5:$J$53,G35),1),1)))</f>
        <v>1</v>
      </c>
      <c r="AC35" s="1" t="n">
        <f aca="false">IF(AB35=1,IF(COUNTIFS($B$5:B35,B35,$D$5:D35,D35,$AB$5:AB35,1)=1,1,0),0)</f>
        <v>1</v>
      </c>
    </row>
    <row r="36" customFormat="false" ht="15" hidden="false" customHeight="false" outlineLevel="0" collapsed="false">
      <c r="A36" s="48" t="str">
        <f aca="false">STACK!A36</f>
        <v>KVMC-0032</v>
      </c>
      <c r="B36" s="48" t="str">
        <f aca="false">STACK!B36</f>
        <v>KVMC</v>
      </c>
      <c r="C36" s="48" t="str">
        <f aca="false">STACK!E36</f>
        <v>Medication Assistance Program</v>
      </c>
      <c r="D36" s="1" t="str">
        <f aca="false">IFERROR(INDEX(MAP!$J$7:$J$101,MATCH(TRIM(C36),MAP!$I$7:$I$101,0)),"UNMAPPED")</f>
        <v>Medication Assistance Program</v>
      </c>
      <c r="E36" s="1" t="str">
        <f aca="false">IFERROR(INDEX(MAP!$K$7:$K$101,MATCH(TRIM(C36),MAP!$I$7:$I$101,0)),"")</f>
        <v>Access to care</v>
      </c>
      <c r="F36" s="1" t="str">
        <f aca="false">IFERROR(INDEX(MAP!$L$7:$L$101,MATCH(TRIM(C36),MAP!$I$7:$I$101,0)),"")</f>
        <v>Monthly</v>
      </c>
      <c r="G36" s="1" t="n">
        <f aca="false">IFERROR(MATCH(A36,CONFIRM!$A$5:$A$53,0),0)</f>
        <v>0</v>
      </c>
      <c r="H36" s="48" t="str">
        <f aca="false">STACK!F36</f>
        <v>Health Care Support Services</v>
      </c>
      <c r="I36" s="1" t="str">
        <f aca="false">IF(G36&gt;0,IF(INDEX(CONFIRM!$I$5:$I$53,G36)&lt;&gt;"",INDEX(CONFIRM!$I$5:$I$53,G36),H36),H36)</f>
        <v>Health Care Support Services</v>
      </c>
      <c r="J36" s="1" t="str">
        <f aca="false">IFERROR(INDEX(MAP!$F$7:$F$74,MATCH(TRIM(I36),MAP!$E$7:$E$74,0)),"UNMAPPED")</f>
        <v>Health care support services</v>
      </c>
      <c r="K36" s="1" t="str">
        <f aca="false">IFERROR(INDEX(MAP!$G$7:$G$74,MATCH(TRIM(I36),MAP!$E$7:$E$74,0)),"UNMAPPED")</f>
        <v>7e</v>
      </c>
      <c r="L36" s="49" t="n">
        <f aca="false">STACK!G36</f>
        <v>45869</v>
      </c>
      <c r="M36" s="59" t="n">
        <f aca="false">IF(G36&gt;0,IF(INDEX(CONFIRM!$G$5:$G$53,G36)&lt;&gt;"",INDEX(CONFIRM!$G$5:$G$53,G36),IF(ISNUMBER(L36),L36,IFERROR(DATEVALUE(L36),""))),IF(ISNUMBER(L36),L36,IFERROR(DATEVALUE(L36),"")))</f>
        <v>45869</v>
      </c>
      <c r="N36" s="1" t="str">
        <f aca="false">IF(M36="","Check",IF(AND(M36&gt;=INPUTS!$C$6,M36&lt;=INPUTS!$C$7),"Yes","No"))</f>
        <v>Yes</v>
      </c>
      <c r="O36" s="48" t="str">
        <f aca="false">STACK!H36</f>
        <v>RPh</v>
      </c>
      <c r="P36" s="1" t="str">
        <f aca="false">IF(G36&gt;0,IF(INDEX(CONFIRM!$H$5:$H$53,G36)&lt;&gt;"",INDEX(CONFIRM!$H$5:$H$53,G36),IFERROR(INDEX(MAP!$B$7:$B$156,MATCH(TRIM(O36),MAP!$A$7:$A$156,0)),"UNMAPPED")),IFERROR(INDEX(MAP!$B$7:$B$156,MATCH(TRIM(O36),MAP!$A$7:$A$156,0)),"UNMAPPED"))</f>
        <v>Pharmacist</v>
      </c>
      <c r="Q36" s="48" t="n">
        <f aca="false">STACK!I36</f>
        <v>24.25</v>
      </c>
      <c r="R36" s="60" t="n">
        <f aca="false">IF(G36&gt;0,IF(INDEX(CONFIRM!$F$5:$F$53,G36)&lt;&gt;"",INDEX(CONFIRM!$F$5:$F$53,G36),IF(ISNUMBER(Q36),Q36,IF(Q36="","",IFERROR(VALUE(TRIM(SUBSTITUTE(SUBSTITUTE(LOWER(Q36),"hrs",""),"hr",""))),"")))),IF(ISNUMBER(Q36),Q36,IF(Q36="","",IFERROR(VALUE(TRIM(SUBSTITUTE(SUBSTITUTE(LOWER(Q36),"hrs",""),"hr",""))),""))))</f>
        <v>24.25</v>
      </c>
      <c r="S36" s="57" t="n">
        <f aca="false">IFERROR(INDEX(RATES!$E$6:$E$28,MATCH(P36,RATES!$A$6:$A$28,0)),0)</f>
        <v>84.81</v>
      </c>
      <c r="T36" s="61" t="n">
        <f aca="false">IF(ISNUMBER(R36),R36,0)*S36</f>
        <v>2056.6425</v>
      </c>
      <c r="U36" s="61" t="n">
        <f aca="false">T36*INDEX(INPUTS!$H$10:$H$14,MATCH(B36,INPUTS!$A$10:$A$14,0))</f>
        <v>380.4788625</v>
      </c>
      <c r="V36" s="61" t="n">
        <f aca="false">N(STACK!K36)</f>
        <v>29375</v>
      </c>
      <c r="W36" s="61" t="n">
        <f aca="false">T36+U36+V36</f>
        <v>31812.1213625</v>
      </c>
      <c r="X36" s="61" t="n">
        <f aca="false">N(STACK!L36)</f>
        <v>0</v>
      </c>
      <c r="Y36" s="61" t="n">
        <f aca="false">W36-X36</f>
        <v>31812.1213625</v>
      </c>
      <c r="Z36" s="1" t="n">
        <f aca="false">N(STACK!J36)</f>
        <v>93</v>
      </c>
      <c r="AA36" s="1" t="str">
        <f aca="false">TRIM(IF(D36="UNMAPPED","Program not mapped. ","")&amp;IF(OR(K36="UNMAPPED",K36="UNASSIGNED"),"Category needs review. ","")&amp;IF(P36="UNMAPPED","Title not mapped. ","")&amp;IF(AND(P36&lt;&gt;"No staff time",R36=""),"Missing hours. ","")&amp;IF(M36="","Date not readable. ","")&amp;IF(N36="No","Outside fiscal year. ","")&amp;IF(AND(F36="Event",ISNUMBER(R36)),IF(R36&gt;12,"Event hours look high. ",""),"")&amp;IF(G36&gt;0,"See CONFIRM sheet.",""))</f>
        <v/>
      </c>
      <c r="AB36" s="1" t="n">
        <f aca="false">IF(N36="No",0,IF(REVIEW!O36=0,0,IF(G36&gt;0,IF(INDEX(CONFIRM!$J$5:$J$53,G36)&lt;&gt;"",INDEX(CONFIRM!$J$5:$J$53,G36),1),1)))</f>
        <v>1</v>
      </c>
      <c r="AC36" s="1" t="n">
        <f aca="false">IF(AB36=1,IF(COUNTIFS($B$5:B36,B36,$D$5:D36,D36,$AB$5:AB36,1)=1,1,0),0)</f>
        <v>0</v>
      </c>
    </row>
    <row r="37" customFormat="false" ht="15" hidden="false" customHeight="false" outlineLevel="0" collapsed="false">
      <c r="A37" s="48" t="str">
        <f aca="false">STACK!A37</f>
        <v>KVMC-0033</v>
      </c>
      <c r="B37" s="48" t="str">
        <f aca="false">STACK!B37</f>
        <v>KVMC</v>
      </c>
      <c r="C37" s="48" t="str">
        <f aca="false">STACK!E37</f>
        <v>Community Health Needs Assessment</v>
      </c>
      <c r="D37" s="1" t="str">
        <f aca="false">IFERROR(INDEX(MAP!$J$7:$J$101,MATCH(TRIM(C37),MAP!$I$7:$I$101,0)),"UNMAPPED")</f>
        <v>Community Health Needs Assessment</v>
      </c>
      <c r="E37" s="1" t="str">
        <f aca="false">IFERROR(INDEX(MAP!$K$7:$K$101,MATCH(TRIM(C37),MAP!$I$7:$I$101,0)),"")</f>
        <v>Community benefit infrastructure</v>
      </c>
      <c r="F37" s="1" t="str">
        <f aca="false">IFERROR(INDEX(MAP!$L$7:$L$101,MATCH(TRIM(C37),MAP!$I$7:$I$101,0)),"")</f>
        <v>Monthly</v>
      </c>
      <c r="G37" s="1" t="n">
        <f aca="false">IFERROR(MATCH(A37,CONFIRM!$A$5:$A$53,0),0)</f>
        <v>0</v>
      </c>
      <c r="H37" s="48" t="str">
        <f aca="false">STACK!F37</f>
        <v>CB Operations</v>
      </c>
      <c r="I37" s="1" t="str">
        <f aca="false">IF(G37&gt;0,IF(INDEX(CONFIRM!$I$5:$I$53,G37)&lt;&gt;"",INDEX(CONFIRM!$I$5:$I$53,G37),H37),H37)</f>
        <v>CB Operations</v>
      </c>
      <c r="J37" s="1" t="str">
        <f aca="false">IFERROR(INDEX(MAP!$F$7:$F$74,MATCH(TRIM(I37),MAP!$E$7:$E$74,0)),"UNMAPPED")</f>
        <v>Community benefit operations</v>
      </c>
      <c r="K37" s="1" t="str">
        <f aca="false">IFERROR(INDEX(MAP!$G$7:$G$74,MATCH(TRIM(I37),MAP!$E$7:$E$74,0)),"UNMAPPED")</f>
        <v>7e</v>
      </c>
      <c r="L37" s="49" t="n">
        <f aca="false">STACK!G37</f>
        <v>45869</v>
      </c>
      <c r="M37" s="59" t="n">
        <f aca="false">IF(G37&gt;0,IF(INDEX(CONFIRM!$G$5:$G$53,G37)&lt;&gt;"",INDEX(CONFIRM!$G$5:$G$53,G37),IF(ISNUMBER(L37),L37,IFERROR(DATEVALUE(L37),""))),IF(ISNUMBER(L37),L37,IFERROR(DATEVALUE(L37),"")))</f>
        <v>45869</v>
      </c>
      <c r="N37" s="1" t="str">
        <f aca="false">IF(M37="","Check",IF(AND(M37&gt;=INPUTS!$C$6,M37&lt;=INPUTS!$C$7),"Yes","No"))</f>
        <v>Yes</v>
      </c>
      <c r="O37" s="48" t="str">
        <f aca="false">STACK!H37</f>
        <v>Community Benefit Manager</v>
      </c>
      <c r="P37" s="1" t="str">
        <f aca="false">IF(G37&gt;0,IF(INDEX(CONFIRM!$H$5:$H$53,G37)&lt;&gt;"",INDEX(CONFIRM!$H$5:$H$53,G37),IFERROR(INDEX(MAP!$B$7:$B$156,MATCH(TRIM(O37),MAP!$A$7:$A$156,0)),"UNMAPPED")),IFERROR(INDEX(MAP!$B$7:$B$156,MATCH(TRIM(O37),MAP!$A$7:$A$156,0)),"UNMAPPED"))</f>
        <v>Community Benefit Manager</v>
      </c>
      <c r="Q37" s="48" t="n">
        <f aca="false">STACK!I37</f>
        <v>38.25</v>
      </c>
      <c r="R37" s="60" t="n">
        <f aca="false">IF(G37&gt;0,IF(INDEX(CONFIRM!$F$5:$F$53,G37)&lt;&gt;"",INDEX(CONFIRM!$F$5:$F$53,G37),IF(ISNUMBER(Q37),Q37,IF(Q37="","",IFERROR(VALUE(TRIM(SUBSTITUTE(SUBSTITUTE(LOWER(Q37),"hrs",""),"hr",""))),"")))),IF(ISNUMBER(Q37),Q37,IF(Q37="","",IFERROR(VALUE(TRIM(SUBSTITUTE(SUBSTITUTE(LOWER(Q37),"hrs",""),"hr",""))),""))))</f>
        <v>38.25</v>
      </c>
      <c r="S37" s="57" t="n">
        <f aca="false">IFERROR(INDEX(RATES!$E$6:$E$28,MATCH(P37,RATES!$A$6:$A$28,0)),0)</f>
        <v>59.11</v>
      </c>
      <c r="T37" s="61" t="n">
        <f aca="false">IF(ISNUMBER(R37),R37,0)*S37</f>
        <v>2260.9575</v>
      </c>
      <c r="U37" s="61" t="n">
        <f aca="false">T37*INDEX(INPUTS!$H$10:$H$14,MATCH(B37,INPUTS!$A$10:$A$14,0))</f>
        <v>418.2771375</v>
      </c>
      <c r="V37" s="61" t="n">
        <f aca="false">N(STACK!K37)</f>
        <v>1250</v>
      </c>
      <c r="W37" s="61" t="n">
        <f aca="false">T37+U37+V37</f>
        <v>3929.2346375</v>
      </c>
      <c r="X37" s="61" t="n">
        <f aca="false">N(STACK!L37)</f>
        <v>0</v>
      </c>
      <c r="Y37" s="61" t="n">
        <f aca="false">W37-X37</f>
        <v>3929.2346375</v>
      </c>
      <c r="Z37" s="1" t="n">
        <f aca="false">N(STACK!J37)</f>
        <v>0</v>
      </c>
      <c r="AA37" s="1" t="str">
        <f aca="false">TRIM(IF(D37="UNMAPPED","Program not mapped. ","")&amp;IF(OR(K37="UNMAPPED",K37="UNASSIGNED"),"Category needs review. ","")&amp;IF(P37="UNMAPPED","Title not mapped. ","")&amp;IF(AND(P37&lt;&gt;"No staff time",R37=""),"Missing hours. ","")&amp;IF(M37="","Date not readable. ","")&amp;IF(N37="No","Outside fiscal year. ","")&amp;IF(AND(F37="Event",ISNUMBER(R37)),IF(R37&gt;12,"Event hours look high. ",""),"")&amp;IF(G37&gt;0,"See CONFIRM sheet.",""))</f>
        <v/>
      </c>
      <c r="AB37" s="1" t="n">
        <f aca="false">IF(N37="No",0,IF(REVIEW!O37=0,0,IF(G37&gt;0,IF(INDEX(CONFIRM!$J$5:$J$53,G37)&lt;&gt;"",INDEX(CONFIRM!$J$5:$J$53,G37),1),1)))</f>
        <v>1</v>
      </c>
      <c r="AC37" s="1" t="n">
        <f aca="false">IF(AB37=1,IF(COUNTIFS($B$5:B37,B37,$D$5:D37,D37,$AB$5:AB37,1)=1,1,0),0)</f>
        <v>1</v>
      </c>
    </row>
    <row r="38" customFormat="false" ht="15" hidden="false" customHeight="false" outlineLevel="0" collapsed="false">
      <c r="A38" s="48" t="str">
        <f aca="false">STACK!A38</f>
        <v>KVMC-0034</v>
      </c>
      <c r="B38" s="48" t="str">
        <f aca="false">STACK!B38</f>
        <v>KVMC</v>
      </c>
      <c r="C38" s="48" t="str">
        <f aca="false">STACK!E38</f>
        <v>Community Health Needs Assessment</v>
      </c>
      <c r="D38" s="1" t="str">
        <f aca="false">IFERROR(INDEX(MAP!$J$7:$J$101,MATCH(TRIM(C38),MAP!$I$7:$I$101,0)),"UNMAPPED")</f>
        <v>Community Health Needs Assessment</v>
      </c>
      <c r="E38" s="1" t="str">
        <f aca="false">IFERROR(INDEX(MAP!$K$7:$K$101,MATCH(TRIM(C38),MAP!$I$7:$I$101,0)),"")</f>
        <v>Community benefit infrastructure</v>
      </c>
      <c r="F38" s="1" t="str">
        <f aca="false">IFERROR(INDEX(MAP!$L$7:$L$101,MATCH(TRIM(C38),MAP!$I$7:$I$101,0)),"")</f>
        <v>Monthly</v>
      </c>
      <c r="G38" s="1" t="n">
        <f aca="false">IFERROR(MATCH(A38,CONFIRM!$A$5:$A$53,0),0)</f>
        <v>0</v>
      </c>
      <c r="H38" s="48" t="str">
        <f aca="false">STACK!F38</f>
        <v>CB Operations</v>
      </c>
      <c r="I38" s="1" t="str">
        <f aca="false">IF(G38&gt;0,IF(INDEX(CONFIRM!$I$5:$I$53,G38)&lt;&gt;"",INDEX(CONFIRM!$I$5:$I$53,G38),H38),H38)</f>
        <v>CB Operations</v>
      </c>
      <c r="J38" s="1" t="str">
        <f aca="false">IFERROR(INDEX(MAP!$F$7:$F$74,MATCH(TRIM(I38),MAP!$E$7:$E$74,0)),"UNMAPPED")</f>
        <v>Community benefit operations</v>
      </c>
      <c r="K38" s="1" t="str">
        <f aca="false">IFERROR(INDEX(MAP!$G$7:$G$74,MATCH(TRIM(I38),MAP!$E$7:$E$74,0)),"UNMAPPED")</f>
        <v>7e</v>
      </c>
      <c r="L38" s="49" t="n">
        <f aca="false">STACK!G38</f>
        <v>45869</v>
      </c>
      <c r="M38" s="59" t="n">
        <f aca="false">IF(G38&gt;0,IF(INDEX(CONFIRM!$G$5:$G$53,G38)&lt;&gt;"",INDEX(CONFIRM!$G$5:$G$53,G38),IF(ISNUMBER(L38),L38,IFERROR(DATEVALUE(L38),""))),IF(ISNUMBER(L38),L38,IFERROR(DATEVALUE(L38),"")))</f>
        <v>45869</v>
      </c>
      <c r="N38" s="1" t="str">
        <f aca="false">IF(M38="","Check",IF(AND(M38&gt;=INPUTS!$C$6,M38&lt;=INPUTS!$C$7),"Yes","No"))</f>
        <v>Yes</v>
      </c>
      <c r="O38" s="48" t="str">
        <f aca="false">STACK!H38</f>
        <v>Sr Data Analyst</v>
      </c>
      <c r="P38" s="1" t="str">
        <f aca="false">IF(G38&gt;0,IF(INDEX(CONFIRM!$H$5:$H$53,G38)&lt;&gt;"",INDEX(CONFIRM!$H$5:$H$53,G38),IFERROR(INDEX(MAP!$B$7:$B$156,MATCH(TRIM(O38),MAP!$A$7:$A$156,0)),"UNMAPPED")),IFERROR(INDEX(MAP!$B$7:$B$156,MATCH(TRIM(O38),MAP!$A$7:$A$156,0)),"UNMAPPED"))</f>
        <v>Data Analyst</v>
      </c>
      <c r="Q38" s="48" t="n">
        <f aca="false">STACK!I38</f>
        <v>24</v>
      </c>
      <c r="R38" s="60" t="n">
        <f aca="false">IF(G38&gt;0,IF(INDEX(CONFIRM!$F$5:$F$53,G38)&lt;&gt;"",INDEX(CONFIRM!$F$5:$F$53,G38),IF(ISNUMBER(Q38),Q38,IF(Q38="","",IFERROR(VALUE(TRIM(SUBSTITUTE(SUBSTITUTE(LOWER(Q38),"hrs",""),"hr",""))),"")))),IF(ISNUMBER(Q38),Q38,IF(Q38="","",IFERROR(VALUE(TRIM(SUBSTITUTE(SUBSTITUTE(LOWER(Q38),"hrs",""),"hr",""))),""))))</f>
        <v>24</v>
      </c>
      <c r="S38" s="57" t="n">
        <f aca="false">IFERROR(INDEX(RATES!$E$6:$E$28,MATCH(P38,RATES!$A$6:$A$28,0)),0)</f>
        <v>48.83</v>
      </c>
      <c r="T38" s="61" t="n">
        <f aca="false">IF(ISNUMBER(R38),R38,0)*S38</f>
        <v>1171.92</v>
      </c>
      <c r="U38" s="61" t="n">
        <f aca="false">T38*INDEX(INPUTS!$H$10:$H$14,MATCH(B38,INPUTS!$A$10:$A$14,0))</f>
        <v>216.8052</v>
      </c>
      <c r="V38" s="61" t="n">
        <f aca="false">N(STACK!K38)</f>
        <v>0</v>
      </c>
      <c r="W38" s="61" t="n">
        <f aca="false">T38+U38+V38</f>
        <v>1388.7252</v>
      </c>
      <c r="X38" s="61" t="n">
        <f aca="false">N(STACK!L38)</f>
        <v>0</v>
      </c>
      <c r="Y38" s="61" t="n">
        <f aca="false">W38-X38</f>
        <v>1388.7252</v>
      </c>
      <c r="Z38" s="1" t="n">
        <f aca="false">N(STACK!J38)</f>
        <v>0</v>
      </c>
      <c r="AA38" s="1" t="str">
        <f aca="false">TRIM(IF(D38="UNMAPPED","Program not mapped. ","")&amp;IF(OR(K38="UNMAPPED",K38="UNASSIGNED"),"Category needs review. ","")&amp;IF(P38="UNMAPPED","Title not mapped. ","")&amp;IF(AND(P38&lt;&gt;"No staff time",R38=""),"Missing hours. ","")&amp;IF(M38="","Date not readable. ","")&amp;IF(N38="No","Outside fiscal year. ","")&amp;IF(AND(F38="Event",ISNUMBER(R38)),IF(R38&gt;12,"Event hours look high. ",""),"")&amp;IF(G38&gt;0,"See CONFIRM sheet.",""))</f>
        <v/>
      </c>
      <c r="AB38" s="1" t="n">
        <f aca="false">IF(N38="No",0,IF(REVIEW!O38=0,0,IF(G38&gt;0,IF(INDEX(CONFIRM!$J$5:$J$53,G38)&lt;&gt;"",INDEX(CONFIRM!$J$5:$J$53,G38),1),1)))</f>
        <v>1</v>
      </c>
      <c r="AC38" s="1" t="n">
        <f aca="false">IF(AB38=1,IF(COUNTIFS($B$5:B38,B38,$D$5:D38,D38,$AB$5:AB38,1)=1,1,0),0)</f>
        <v>0</v>
      </c>
    </row>
    <row r="39" customFormat="false" ht="15" hidden="false" customHeight="false" outlineLevel="0" collapsed="false">
      <c r="A39" s="48" t="str">
        <f aca="false">STACK!A39</f>
        <v>KVMC-0035</v>
      </c>
      <c r="B39" s="48" t="str">
        <f aca="false">STACK!B39</f>
        <v>KVMC</v>
      </c>
      <c r="C39" s="48" t="str">
        <f aca="false">STACK!E39</f>
        <v>Community Benefit Program Administration</v>
      </c>
      <c r="D39" s="1" t="str">
        <f aca="false">IFERROR(INDEX(MAP!$J$7:$J$101,MATCH(TRIM(C39),MAP!$I$7:$I$101,0)),"UNMAPPED")</f>
        <v>Community Benefit Program Administration</v>
      </c>
      <c r="E39" s="1" t="str">
        <f aca="false">IFERROR(INDEX(MAP!$K$7:$K$101,MATCH(TRIM(C39),MAP!$I$7:$I$101,0)),"")</f>
        <v>Community benefit infrastructure</v>
      </c>
      <c r="F39" s="1" t="str">
        <f aca="false">IFERROR(INDEX(MAP!$L$7:$L$101,MATCH(TRIM(C39),MAP!$I$7:$I$101,0)),"")</f>
        <v>Monthly</v>
      </c>
      <c r="G39" s="1" t="n">
        <f aca="false">IFERROR(MATCH(A39,CONFIRM!$A$5:$A$53,0),0)</f>
        <v>0</v>
      </c>
      <c r="H39" s="48" t="str">
        <f aca="false">STACK!F39</f>
        <v>CB Operations</v>
      </c>
      <c r="I39" s="1" t="str">
        <f aca="false">IF(G39&gt;0,IF(INDEX(CONFIRM!$I$5:$I$53,G39)&lt;&gt;"",INDEX(CONFIRM!$I$5:$I$53,G39),H39),H39)</f>
        <v>CB Operations</v>
      </c>
      <c r="J39" s="1" t="str">
        <f aca="false">IFERROR(INDEX(MAP!$F$7:$F$74,MATCH(TRIM(I39),MAP!$E$7:$E$74,0)),"UNMAPPED")</f>
        <v>Community benefit operations</v>
      </c>
      <c r="K39" s="1" t="str">
        <f aca="false">IFERROR(INDEX(MAP!$G$7:$G$74,MATCH(TRIM(I39),MAP!$E$7:$E$74,0)),"UNMAPPED")</f>
        <v>7e</v>
      </c>
      <c r="L39" s="49" t="n">
        <f aca="false">STACK!G39</f>
        <v>45869</v>
      </c>
      <c r="M39" s="59" t="n">
        <f aca="false">IF(G39&gt;0,IF(INDEX(CONFIRM!$G$5:$G$53,G39)&lt;&gt;"",INDEX(CONFIRM!$G$5:$G$53,G39),IF(ISNUMBER(L39),L39,IFERROR(DATEVALUE(L39),""))),IF(ISNUMBER(L39),L39,IFERROR(DATEVALUE(L39),"")))</f>
        <v>45869</v>
      </c>
      <c r="N39" s="1" t="str">
        <f aca="false">IF(M39="","Check",IF(AND(M39&gt;=INPUTS!$C$6,M39&lt;=INPUTS!$C$7),"Yes","No"))</f>
        <v>Yes</v>
      </c>
      <c r="O39" s="48" t="str">
        <f aca="false">STACK!H39</f>
        <v> Administrative Assistant</v>
      </c>
      <c r="P39" s="1" t="str">
        <f aca="false">IF(G39&gt;0,IF(INDEX(CONFIRM!$H$5:$H$53,G39)&lt;&gt;"",INDEX(CONFIRM!$H$5:$H$53,G39),IFERROR(INDEX(MAP!$B$7:$B$156,MATCH(TRIM(O39),MAP!$A$7:$A$156,0)),"UNMAPPED")),IFERROR(INDEX(MAP!$B$7:$B$156,MATCH(TRIM(O39),MAP!$A$7:$A$156,0)),"UNMAPPED"))</f>
        <v>Administrative Assistant</v>
      </c>
      <c r="Q39" s="48" t="n">
        <f aca="false">STACK!I39</f>
        <v>48.75</v>
      </c>
      <c r="R39" s="60" t="n">
        <f aca="false">IF(G39&gt;0,IF(INDEX(CONFIRM!$F$5:$F$53,G39)&lt;&gt;"",INDEX(CONFIRM!$F$5:$F$53,G39),IF(ISNUMBER(Q39),Q39,IF(Q39="","",IFERROR(VALUE(TRIM(SUBSTITUTE(SUBSTITUTE(LOWER(Q39),"hrs",""),"hr",""))),"")))),IF(ISNUMBER(Q39),Q39,IF(Q39="","",IFERROR(VALUE(TRIM(SUBSTITUTE(SUBSTITUTE(LOWER(Q39),"hrs",""),"hr",""))),""))))</f>
        <v>48.75</v>
      </c>
      <c r="S39" s="57" t="n">
        <f aca="false">IFERROR(INDEX(RATES!$E$6:$E$28,MATCH(P39,RATES!$A$6:$A$28,0)),0)</f>
        <v>26.985</v>
      </c>
      <c r="T39" s="61" t="n">
        <f aca="false">IF(ISNUMBER(R39),R39,0)*S39</f>
        <v>1315.51875</v>
      </c>
      <c r="U39" s="61" t="n">
        <f aca="false">T39*INDEX(INPUTS!$H$10:$H$14,MATCH(B39,INPUTS!$A$10:$A$14,0))</f>
        <v>243.37096875</v>
      </c>
      <c r="V39" s="61" t="n">
        <f aca="false">N(STACK!K39)</f>
        <v>0</v>
      </c>
      <c r="W39" s="61" t="n">
        <f aca="false">T39+U39+V39</f>
        <v>1558.88971875</v>
      </c>
      <c r="X39" s="61" t="n">
        <f aca="false">N(STACK!L39)</f>
        <v>0</v>
      </c>
      <c r="Y39" s="61" t="n">
        <f aca="false">W39-X39</f>
        <v>1558.88971875</v>
      </c>
      <c r="Z39" s="1" t="n">
        <f aca="false">N(STACK!J39)</f>
        <v>0</v>
      </c>
      <c r="AA39" s="1" t="str">
        <f aca="false">TRIM(IF(D39="UNMAPPED","Program not mapped. ","")&amp;IF(OR(K39="UNMAPPED",K39="UNASSIGNED"),"Category needs review. ","")&amp;IF(P39="UNMAPPED","Title not mapped. ","")&amp;IF(AND(P39&lt;&gt;"No staff time",R39=""),"Missing hours. ","")&amp;IF(M39="","Date not readable. ","")&amp;IF(N39="No","Outside fiscal year. ","")&amp;IF(AND(F39="Event",ISNUMBER(R39)),IF(R39&gt;12,"Event hours look high. ",""),"")&amp;IF(G39&gt;0,"See CONFIRM sheet.",""))</f>
        <v/>
      </c>
      <c r="AB39" s="1" t="n">
        <f aca="false">IF(N39="No",0,IF(REVIEW!O39=0,0,IF(G39&gt;0,IF(INDEX(CONFIRM!$J$5:$J$53,G39)&lt;&gt;"",INDEX(CONFIRM!$J$5:$J$53,G39),1),1)))</f>
        <v>1</v>
      </c>
      <c r="AC39" s="1" t="n">
        <f aca="false">IF(AB39=1,IF(COUNTIFS($B$5:B39,B39,$D$5:D39,D39,$AB$5:AB39,1)=1,1,0),0)</f>
        <v>1</v>
      </c>
    </row>
    <row r="40" customFormat="false" ht="15" hidden="false" customHeight="false" outlineLevel="0" collapsed="false">
      <c r="A40" s="48" t="str">
        <f aca="false">STACK!A40</f>
        <v>KVMC-0036</v>
      </c>
      <c r="B40" s="48" t="str">
        <f aca="false">STACK!B40</f>
        <v>KVMC</v>
      </c>
      <c r="C40" s="48" t="str">
        <f aca="false">STACK!E40</f>
        <v>Community Benefit Program Administration</v>
      </c>
      <c r="D40" s="1" t="str">
        <f aca="false">IFERROR(INDEX(MAP!$J$7:$J$101,MATCH(TRIM(C40),MAP!$I$7:$I$101,0)),"UNMAPPED")</f>
        <v>Community Benefit Program Administration</v>
      </c>
      <c r="E40" s="1" t="str">
        <f aca="false">IFERROR(INDEX(MAP!$K$7:$K$101,MATCH(TRIM(C40),MAP!$I$7:$I$101,0)),"")</f>
        <v>Community benefit infrastructure</v>
      </c>
      <c r="F40" s="1" t="str">
        <f aca="false">IFERROR(INDEX(MAP!$L$7:$L$101,MATCH(TRIM(C40),MAP!$I$7:$I$101,0)),"")</f>
        <v>Monthly</v>
      </c>
      <c r="G40" s="1" t="n">
        <f aca="false">IFERROR(MATCH(A40,CONFIRM!$A$5:$A$53,0),0)</f>
        <v>0</v>
      </c>
      <c r="H40" s="48" t="str">
        <f aca="false">STACK!F40</f>
        <v>CB Operations</v>
      </c>
      <c r="I40" s="1" t="str">
        <f aca="false">IF(G40&gt;0,IF(INDEX(CONFIRM!$I$5:$I$53,G40)&lt;&gt;"",INDEX(CONFIRM!$I$5:$I$53,G40),H40),H40)</f>
        <v>CB Operations</v>
      </c>
      <c r="J40" s="1" t="str">
        <f aca="false">IFERROR(INDEX(MAP!$F$7:$F$74,MATCH(TRIM(I40),MAP!$E$7:$E$74,0)),"UNMAPPED")</f>
        <v>Community benefit operations</v>
      </c>
      <c r="K40" s="1" t="str">
        <f aca="false">IFERROR(INDEX(MAP!$G$7:$G$74,MATCH(TRIM(I40),MAP!$E$7:$E$74,0)),"UNMAPPED")</f>
        <v>7e</v>
      </c>
      <c r="L40" s="49" t="n">
        <f aca="false">STACK!G40</f>
        <v>45869</v>
      </c>
      <c r="M40" s="59" t="n">
        <f aca="false">IF(G40&gt;0,IF(INDEX(CONFIRM!$G$5:$G$53,G40)&lt;&gt;"",INDEX(CONFIRM!$G$5:$G$53,G40),IF(ISNUMBER(L40),L40,IFERROR(DATEVALUE(L40),""))),IF(ISNUMBER(L40),L40,IFERROR(DATEVALUE(L40),"")))</f>
        <v>45869</v>
      </c>
      <c r="N40" s="1" t="str">
        <f aca="false">IF(M40="","Check",IF(AND(M40&gt;=INPUTS!$C$6,M40&lt;=INPUTS!$C$7),"Yes","No"))</f>
        <v>Yes</v>
      </c>
      <c r="O40" s="48" t="str">
        <f aca="false">STACK!H40</f>
        <v>Community Benefit Manager</v>
      </c>
      <c r="P40" s="1" t="str">
        <f aca="false">IF(G40&gt;0,IF(INDEX(CONFIRM!$H$5:$H$53,G40)&lt;&gt;"",INDEX(CONFIRM!$H$5:$H$53,G40),IFERROR(INDEX(MAP!$B$7:$B$156,MATCH(TRIM(O40),MAP!$A$7:$A$156,0)),"UNMAPPED")),IFERROR(INDEX(MAP!$B$7:$B$156,MATCH(TRIM(O40),MAP!$A$7:$A$156,0)),"UNMAPPED"))</f>
        <v>Community Benefit Manager</v>
      </c>
      <c r="Q40" s="48" t="n">
        <f aca="false">STACK!I40</f>
        <v>92</v>
      </c>
      <c r="R40" s="60" t="n">
        <f aca="false">IF(G40&gt;0,IF(INDEX(CONFIRM!$F$5:$F$53,G40)&lt;&gt;"",INDEX(CONFIRM!$F$5:$F$53,G40),IF(ISNUMBER(Q40),Q40,IF(Q40="","",IFERROR(VALUE(TRIM(SUBSTITUTE(SUBSTITUTE(LOWER(Q40),"hrs",""),"hr",""))),"")))),IF(ISNUMBER(Q40),Q40,IF(Q40="","",IFERROR(VALUE(TRIM(SUBSTITUTE(SUBSTITUTE(LOWER(Q40),"hrs",""),"hr",""))),""))))</f>
        <v>92</v>
      </c>
      <c r="S40" s="57" t="n">
        <f aca="false">IFERROR(INDEX(RATES!$E$6:$E$28,MATCH(P40,RATES!$A$6:$A$28,0)),0)</f>
        <v>59.11</v>
      </c>
      <c r="T40" s="61" t="n">
        <f aca="false">IF(ISNUMBER(R40),R40,0)*S40</f>
        <v>5438.12</v>
      </c>
      <c r="U40" s="61" t="n">
        <f aca="false">T40*INDEX(INPUTS!$H$10:$H$14,MATCH(B40,INPUTS!$A$10:$A$14,0))</f>
        <v>1006.0522</v>
      </c>
      <c r="V40" s="61" t="n">
        <f aca="false">N(STACK!K40)</f>
        <v>590</v>
      </c>
      <c r="W40" s="61" t="n">
        <f aca="false">T40+U40+V40</f>
        <v>7034.1722</v>
      </c>
      <c r="X40" s="61" t="n">
        <f aca="false">N(STACK!L40)</f>
        <v>0</v>
      </c>
      <c r="Y40" s="61" t="n">
        <f aca="false">W40-X40</f>
        <v>7034.1722</v>
      </c>
      <c r="Z40" s="1" t="n">
        <f aca="false">N(STACK!J40)</f>
        <v>0</v>
      </c>
      <c r="AA40" s="1" t="str">
        <f aca="false">TRIM(IF(D40="UNMAPPED","Program not mapped. ","")&amp;IF(OR(K40="UNMAPPED",K40="UNASSIGNED"),"Category needs review. ","")&amp;IF(P40="UNMAPPED","Title not mapped. ","")&amp;IF(AND(P40&lt;&gt;"No staff time",R40=""),"Missing hours. ","")&amp;IF(M40="","Date not readable. ","")&amp;IF(N40="No","Outside fiscal year. ","")&amp;IF(AND(F40="Event",ISNUMBER(R40)),IF(R40&gt;12,"Event hours look high. ",""),"")&amp;IF(G40&gt;0,"See CONFIRM sheet.",""))</f>
        <v/>
      </c>
      <c r="AB40" s="1" t="n">
        <f aca="false">IF(N40="No",0,IF(REVIEW!O40=0,0,IF(G40&gt;0,IF(INDEX(CONFIRM!$J$5:$J$53,G40)&lt;&gt;"",INDEX(CONFIRM!$J$5:$J$53,G40),1),1)))</f>
        <v>1</v>
      </c>
      <c r="AC40" s="1" t="n">
        <f aca="false">IF(AB40=1,IF(COUNTIFS($B$5:B40,B40,$D$5:D40,D40,$AB$5:AB40,1)=1,1,0),0)</f>
        <v>0</v>
      </c>
    </row>
    <row r="41" customFormat="false" ht="15" hidden="false" customHeight="false" outlineLevel="0" collapsed="false">
      <c r="A41" s="48" t="str">
        <f aca="false">STACK!A41</f>
        <v>KVMC-0037</v>
      </c>
      <c r="B41" s="48" t="str">
        <f aca="false">STACK!B41</f>
        <v>KVMC</v>
      </c>
      <c r="C41" s="48" t="str">
        <f aca="false">STACK!E41</f>
        <v>Interpreter Services for Community Clinics</v>
      </c>
      <c r="D41" s="1" t="str">
        <f aca="false">IFERROR(INDEX(MAP!$J$7:$J$101,MATCH(TRIM(C41),MAP!$I$7:$I$101,0)),"UNMAPPED")</f>
        <v>Interpreter Services for Community Clinics</v>
      </c>
      <c r="E41" s="1" t="str">
        <f aca="false">IFERROR(INDEX(MAP!$K$7:$K$101,MATCH(TRIM(C41),MAP!$I$7:$I$101,0)),"")</f>
        <v>Access to care</v>
      </c>
      <c r="F41" s="1" t="str">
        <f aca="false">IFERROR(INDEX(MAP!$L$7:$L$101,MATCH(TRIM(C41),MAP!$I$7:$I$101,0)),"")</f>
        <v>Monthly</v>
      </c>
      <c r="G41" s="1" t="n">
        <f aca="false">IFERROR(MATCH(A41,CONFIRM!$A$5:$A$53,0),0)</f>
        <v>0</v>
      </c>
      <c r="H41" s="48" t="str">
        <f aca="false">STACK!F41</f>
        <v>Health Care Support Services</v>
      </c>
      <c r="I41" s="1" t="str">
        <f aca="false">IF(G41&gt;0,IF(INDEX(CONFIRM!$I$5:$I$53,G41)&lt;&gt;"",INDEX(CONFIRM!$I$5:$I$53,G41),H41),H41)</f>
        <v>Health Care Support Services</v>
      </c>
      <c r="J41" s="1" t="str">
        <f aca="false">IFERROR(INDEX(MAP!$F$7:$F$74,MATCH(TRIM(I41),MAP!$E$7:$E$74,0)),"UNMAPPED")</f>
        <v>Health care support services</v>
      </c>
      <c r="K41" s="1" t="str">
        <f aca="false">IFERROR(INDEX(MAP!$G$7:$G$74,MATCH(TRIM(I41),MAP!$E$7:$E$74,0)),"UNMAPPED")</f>
        <v>7e</v>
      </c>
      <c r="L41" s="49" t="n">
        <f aca="false">STACK!G41</f>
        <v>45869</v>
      </c>
      <c r="M41" s="59" t="n">
        <f aca="false">IF(G41&gt;0,IF(INDEX(CONFIRM!$G$5:$G$53,G41)&lt;&gt;"",INDEX(CONFIRM!$G$5:$G$53,G41),IF(ISNUMBER(L41),L41,IFERROR(DATEVALUE(L41),""))),IF(ISNUMBER(L41),L41,IFERROR(DATEVALUE(L41),"")))</f>
        <v>45869</v>
      </c>
      <c r="N41" s="1" t="str">
        <f aca="false">IF(M41="","Check",IF(AND(M41&gt;=INPUTS!$C$6,M41&lt;=INPUTS!$C$7),"Yes","No"))</f>
        <v>Yes</v>
      </c>
      <c r="O41" s="48" t="str">
        <f aca="false">STACK!H41</f>
        <v>Spanish Interpreter</v>
      </c>
      <c r="P41" s="1" t="str">
        <f aca="false">IF(G41&gt;0,IF(INDEX(CONFIRM!$H$5:$H$53,G41)&lt;&gt;"",INDEX(CONFIRM!$H$5:$H$53,G41),IFERROR(INDEX(MAP!$B$7:$B$156,MATCH(TRIM(O41),MAP!$A$7:$A$156,0)),"UNMAPPED")),IFERROR(INDEX(MAP!$B$7:$B$156,MATCH(TRIM(O41),MAP!$A$7:$A$156,0)),"UNMAPPED"))</f>
        <v>Interpreter</v>
      </c>
      <c r="Q41" s="48" t="n">
        <f aca="false">STACK!I41</f>
        <v>51</v>
      </c>
      <c r="R41" s="60" t="n">
        <f aca="false">IF(G41&gt;0,IF(INDEX(CONFIRM!$F$5:$F$53,G41)&lt;&gt;"",INDEX(CONFIRM!$F$5:$F$53,G41),IF(ISNUMBER(Q41),Q41,IF(Q41="","",IFERROR(VALUE(TRIM(SUBSTITUTE(SUBSTITUTE(LOWER(Q41),"hrs",""),"hr",""))),"")))),IF(ISNUMBER(Q41),Q41,IF(Q41="","",IFERROR(VALUE(TRIM(SUBSTITUTE(SUBSTITUTE(LOWER(Q41),"hrs",""),"hr",""))),""))))</f>
        <v>51</v>
      </c>
      <c r="S41" s="57" t="n">
        <f aca="false">IFERROR(INDEX(RATES!$E$6:$E$28,MATCH(P41,RATES!$A$6:$A$28,0)),0)</f>
        <v>32.7675</v>
      </c>
      <c r="T41" s="61" t="n">
        <f aca="false">IF(ISNUMBER(R41),R41,0)*S41</f>
        <v>1671.1425</v>
      </c>
      <c r="U41" s="61" t="n">
        <f aca="false">T41*INDEX(INPUTS!$H$10:$H$14,MATCH(B41,INPUTS!$A$10:$A$14,0))</f>
        <v>309.1613625</v>
      </c>
      <c r="V41" s="61" t="n">
        <f aca="false">N(STACK!K41)</f>
        <v>0</v>
      </c>
      <c r="W41" s="61" t="n">
        <f aca="false">T41+U41+V41</f>
        <v>1980.3038625</v>
      </c>
      <c r="X41" s="61" t="n">
        <f aca="false">N(STACK!L41)</f>
        <v>0</v>
      </c>
      <c r="Y41" s="61" t="n">
        <f aca="false">W41-X41</f>
        <v>1980.3038625</v>
      </c>
      <c r="Z41" s="1" t="n">
        <f aca="false">N(STACK!J41)</f>
        <v>186</v>
      </c>
      <c r="AA41" s="1" t="str">
        <f aca="false">TRIM(IF(D41="UNMAPPED","Program not mapped. ","")&amp;IF(OR(K41="UNMAPPED",K41="UNASSIGNED"),"Category needs review. ","")&amp;IF(P41="UNMAPPED","Title not mapped. ","")&amp;IF(AND(P41&lt;&gt;"No staff time",R41=""),"Missing hours. ","")&amp;IF(M41="","Date not readable. ","")&amp;IF(N41="No","Outside fiscal year. ","")&amp;IF(AND(F41="Event",ISNUMBER(R41)),IF(R41&gt;12,"Event hours look high. ",""),"")&amp;IF(G41&gt;0,"See CONFIRM sheet.",""))</f>
        <v/>
      </c>
      <c r="AB41" s="1" t="n">
        <f aca="false">IF(N41="No",0,IF(REVIEW!O41=0,0,IF(G41&gt;0,IF(INDEX(CONFIRM!$J$5:$J$53,G41)&lt;&gt;"",INDEX(CONFIRM!$J$5:$J$53,G41),1),1)))</f>
        <v>1</v>
      </c>
      <c r="AC41" s="1" t="n">
        <f aca="false">IF(AB41=1,IF(COUNTIFS($B$5:B41,B41,$D$5:D41,D41,$AB$5:AB41,1)=1,1,0),0)</f>
        <v>1</v>
      </c>
    </row>
    <row r="42" customFormat="false" ht="15" hidden="false" customHeight="false" outlineLevel="0" collapsed="false">
      <c r="A42" s="48" t="str">
        <f aca="false">STACK!A42</f>
        <v>KVMC-0038</v>
      </c>
      <c r="B42" s="48" t="str">
        <f aca="false">STACK!B42</f>
        <v>KVMC</v>
      </c>
      <c r="C42" s="48" t="str">
        <f aca="false">STACK!E42</f>
        <v>Nursing Student Clinical Rotations</v>
      </c>
      <c r="D42" s="1" t="str">
        <f aca="false">IFERROR(INDEX(MAP!$J$7:$J$101,MATCH(TRIM(C42),MAP!$I$7:$I$101,0)),"UNMAPPED")</f>
        <v>Nursing Student Clinical Rotations</v>
      </c>
      <c r="E42" s="1" t="str">
        <f aca="false">IFERROR(INDEX(MAP!$K$7:$K$101,MATCH(TRIM(C42),MAP!$I$7:$I$101,0)),"")</f>
        <v>Health workforce</v>
      </c>
      <c r="F42" s="1" t="str">
        <f aca="false">IFERROR(INDEX(MAP!$L$7:$L$101,MATCH(TRIM(C42),MAP!$I$7:$I$101,0)),"")</f>
        <v>Monthly</v>
      </c>
      <c r="G42" s="1" t="n">
        <f aca="false">IFERROR(MATCH(A42,CONFIRM!$A$5:$A$53,0),0)</f>
        <v>0</v>
      </c>
      <c r="H42" s="48" t="str">
        <f aca="false">STACK!F42</f>
        <v>Health Professions Education</v>
      </c>
      <c r="I42" s="1" t="str">
        <f aca="false">IF(G42&gt;0,IF(INDEX(CONFIRM!$I$5:$I$53,G42)&lt;&gt;"",INDEX(CONFIRM!$I$5:$I$53,G42),H42),H42)</f>
        <v>Health Professions Education</v>
      </c>
      <c r="J42" s="1" t="str">
        <f aca="false">IFERROR(INDEX(MAP!$F$7:$F$74,MATCH(TRIM(I42),MAP!$E$7:$E$74,0)),"UNMAPPED")</f>
        <v>Health professions education</v>
      </c>
      <c r="K42" s="1" t="str">
        <f aca="false">IFERROR(INDEX(MAP!$G$7:$G$74,MATCH(TRIM(I42),MAP!$E$7:$E$74,0)),"UNMAPPED")</f>
        <v>7f</v>
      </c>
      <c r="L42" s="49" t="n">
        <f aca="false">STACK!G42</f>
        <v>45869</v>
      </c>
      <c r="M42" s="59" t="n">
        <f aca="false">IF(G42&gt;0,IF(INDEX(CONFIRM!$G$5:$G$53,G42)&lt;&gt;"",INDEX(CONFIRM!$G$5:$G$53,G42),IF(ISNUMBER(L42),L42,IFERROR(DATEVALUE(L42),""))),IF(ISNUMBER(L42),L42,IFERROR(DATEVALUE(L42),"")))</f>
        <v>45869</v>
      </c>
      <c r="N42" s="1" t="str">
        <f aca="false">IF(M42="","Check",IF(AND(M42&gt;=INPUTS!$C$6,M42&lt;=INPUTS!$C$7),"Yes","No"))</f>
        <v>Yes</v>
      </c>
      <c r="O42" s="48" t="str">
        <f aca="false">STACK!H42</f>
        <v>Educator, Nursing </v>
      </c>
      <c r="P42" s="1" t="str">
        <f aca="false">IF(G42&gt;0,IF(INDEX(CONFIRM!$H$5:$H$53,G42)&lt;&gt;"",INDEX(CONFIRM!$H$5:$H$53,G42),IFERROR(INDEX(MAP!$B$7:$B$156,MATCH(TRIM(O42),MAP!$A$7:$A$156,0)),"UNMAPPED")),IFERROR(INDEX(MAP!$B$7:$B$156,MATCH(TRIM(O42),MAP!$A$7:$A$156,0)),"UNMAPPED"))</f>
        <v>Clinical Nurse Educator</v>
      </c>
      <c r="Q42" s="48" t="n">
        <f aca="false">STACK!I42</f>
        <v>61</v>
      </c>
      <c r="R42" s="60" t="n">
        <f aca="false">IF(G42&gt;0,IF(INDEX(CONFIRM!$F$5:$F$53,G42)&lt;&gt;"",INDEX(CONFIRM!$F$5:$F$53,G42),IF(ISNUMBER(Q42),Q42,IF(Q42="","",IFERROR(VALUE(TRIM(SUBSTITUTE(SUBSTITUTE(LOWER(Q42),"hrs",""),"hr",""))),"")))),IF(ISNUMBER(Q42),Q42,IF(Q42="","",IFERROR(VALUE(TRIM(SUBSTITUTE(SUBSTITUTE(LOWER(Q42),"hrs",""),"hr",""))),""))))</f>
        <v>61</v>
      </c>
      <c r="S42" s="57" t="n">
        <f aca="false">IFERROR(INDEX(RATES!$E$6:$E$28,MATCH(P42,RATES!$A$6:$A$28,0)),0)</f>
        <v>62.965</v>
      </c>
      <c r="T42" s="61" t="n">
        <f aca="false">IF(ISNUMBER(R42),R42,0)*S42</f>
        <v>3840.865</v>
      </c>
      <c r="U42" s="61" t="n">
        <f aca="false">T42*INDEX(INPUTS!$H$10:$H$14,MATCH(B42,INPUTS!$A$10:$A$14,0))</f>
        <v>710.560025</v>
      </c>
      <c r="V42" s="61" t="n">
        <f aca="false">N(STACK!K42)</f>
        <v>600</v>
      </c>
      <c r="W42" s="61" t="n">
        <f aca="false">T42+U42+V42</f>
        <v>5151.425025</v>
      </c>
      <c r="X42" s="61" t="n">
        <f aca="false">N(STACK!L42)</f>
        <v>0</v>
      </c>
      <c r="Y42" s="61" t="n">
        <f aca="false">W42-X42</f>
        <v>5151.425025</v>
      </c>
      <c r="Z42" s="1" t="n">
        <f aca="false">N(STACK!J42)</f>
        <v>9</v>
      </c>
      <c r="AA42" s="1" t="str">
        <f aca="false">TRIM(IF(D42="UNMAPPED","Program not mapped. ","")&amp;IF(OR(K42="UNMAPPED",K42="UNASSIGNED"),"Category needs review. ","")&amp;IF(P42="UNMAPPED","Title not mapped. ","")&amp;IF(AND(P42&lt;&gt;"No staff time",R42=""),"Missing hours. ","")&amp;IF(M42="","Date not readable. ","")&amp;IF(N42="No","Outside fiscal year. ","")&amp;IF(AND(F42="Event",ISNUMBER(R42)),IF(R42&gt;12,"Event hours look high. ",""),"")&amp;IF(G42&gt;0,"See CONFIRM sheet.",""))</f>
        <v/>
      </c>
      <c r="AB42" s="1" t="n">
        <f aca="false">IF(N42="No",0,IF(REVIEW!O42=0,0,IF(G42&gt;0,IF(INDEX(CONFIRM!$J$5:$J$53,G42)&lt;&gt;"",INDEX(CONFIRM!$J$5:$J$53,G42),1),1)))</f>
        <v>1</v>
      </c>
      <c r="AC42" s="1" t="n">
        <f aca="false">IF(AB42=1,IF(COUNTIFS($B$5:B42,B42,$D$5:D42,D42,$AB$5:AB42,1)=1,1,0),0)</f>
        <v>1</v>
      </c>
    </row>
    <row r="43" customFormat="false" ht="15" hidden="false" customHeight="false" outlineLevel="0" collapsed="false">
      <c r="A43" s="48" t="str">
        <f aca="false">STACK!A43</f>
        <v>KVMC-0039</v>
      </c>
      <c r="B43" s="48" t="str">
        <f aca="false">STACK!B43</f>
        <v>KVMC</v>
      </c>
      <c r="C43" s="48" t="str">
        <f aca="false">STACK!E43</f>
        <v>Nursing Student Clinical Rotations</v>
      </c>
      <c r="D43" s="1" t="str">
        <f aca="false">IFERROR(INDEX(MAP!$J$7:$J$101,MATCH(TRIM(C43),MAP!$I$7:$I$101,0)),"UNMAPPED")</f>
        <v>Nursing Student Clinical Rotations</v>
      </c>
      <c r="E43" s="1" t="str">
        <f aca="false">IFERROR(INDEX(MAP!$K$7:$K$101,MATCH(TRIM(C43),MAP!$I$7:$I$101,0)),"")</f>
        <v>Health workforce</v>
      </c>
      <c r="F43" s="1" t="str">
        <f aca="false">IFERROR(INDEX(MAP!$L$7:$L$101,MATCH(TRIM(C43),MAP!$I$7:$I$101,0)),"")</f>
        <v>Monthly</v>
      </c>
      <c r="G43" s="1" t="n">
        <f aca="false">IFERROR(MATCH(A43,CONFIRM!$A$5:$A$53,0),0)</f>
        <v>0</v>
      </c>
      <c r="H43" s="48" t="str">
        <f aca="false">STACK!F43</f>
        <v>Health Professions Education</v>
      </c>
      <c r="I43" s="1" t="str">
        <f aca="false">IF(G43&gt;0,IF(INDEX(CONFIRM!$I$5:$I$53,G43)&lt;&gt;"",INDEX(CONFIRM!$I$5:$I$53,G43),H43),H43)</f>
        <v>Health Professions Education</v>
      </c>
      <c r="J43" s="1" t="str">
        <f aca="false">IFERROR(INDEX(MAP!$F$7:$F$74,MATCH(TRIM(I43),MAP!$E$7:$E$74,0)),"UNMAPPED")</f>
        <v>Health professions education</v>
      </c>
      <c r="K43" s="1" t="str">
        <f aca="false">IFERROR(INDEX(MAP!$G$7:$G$74,MATCH(TRIM(I43),MAP!$E$7:$E$74,0)),"UNMAPPED")</f>
        <v>7f</v>
      </c>
      <c r="L43" s="49" t="n">
        <f aca="false">STACK!G43</f>
        <v>45869</v>
      </c>
      <c r="M43" s="59" t="n">
        <f aca="false">IF(G43&gt;0,IF(INDEX(CONFIRM!$G$5:$G$53,G43)&lt;&gt;"",INDEX(CONFIRM!$G$5:$G$53,G43),IF(ISNUMBER(L43),L43,IFERROR(DATEVALUE(L43),""))),IF(ISNUMBER(L43),L43,IFERROR(DATEVALUE(L43),"")))</f>
        <v>45869</v>
      </c>
      <c r="N43" s="1" t="str">
        <f aca="false">IF(M43="","Check",IF(AND(M43&gt;=INPUTS!$C$6,M43&lt;=INPUTS!$C$7),"Yes","No"))</f>
        <v>Yes</v>
      </c>
      <c r="O43" s="48" t="str">
        <f aca="false">STACK!H43</f>
        <v>RN III</v>
      </c>
      <c r="P43" s="1" t="str">
        <f aca="false">IF(G43&gt;0,IF(INDEX(CONFIRM!$H$5:$H$53,G43)&lt;&gt;"",INDEX(CONFIRM!$H$5:$H$53,G43),IFERROR(INDEX(MAP!$B$7:$B$156,MATCH(TRIM(O43),MAP!$A$7:$A$156,0)),"UNMAPPED")),IFERROR(INDEX(MAP!$B$7:$B$156,MATCH(TRIM(O43),MAP!$A$7:$A$156,0)),"UNMAPPED"))</f>
        <v>Registered Nurse</v>
      </c>
      <c r="Q43" s="48" t="n">
        <f aca="false">STACK!I43</f>
        <v>110.25</v>
      </c>
      <c r="R43" s="60" t="n">
        <f aca="false">IF(G43&gt;0,IF(INDEX(CONFIRM!$F$5:$F$53,G43)&lt;&gt;"",INDEX(CONFIRM!$F$5:$F$53,G43),IF(ISNUMBER(Q43),Q43,IF(Q43="","",IFERROR(VALUE(TRIM(SUBSTITUTE(SUBSTITUTE(LOWER(Q43),"hrs",""),"hr",""))),"")))),IF(ISNUMBER(Q43),Q43,IF(Q43="","",IFERROR(VALUE(TRIM(SUBSTITUTE(SUBSTITUTE(LOWER(Q43),"hrs",""),"hr",""))),""))))</f>
        <v>110.25</v>
      </c>
      <c r="S43" s="57" t="n">
        <f aca="false">IFERROR(INDEX(RATES!$E$6:$E$28,MATCH(P43,RATES!$A$6:$A$28,0)),0)</f>
        <v>55.8975</v>
      </c>
      <c r="T43" s="61" t="n">
        <f aca="false">IF(ISNUMBER(R43),R43,0)*S43</f>
        <v>6162.699375</v>
      </c>
      <c r="U43" s="61" t="n">
        <f aca="false">T43*INDEX(INPUTS!$H$10:$H$14,MATCH(B43,INPUTS!$A$10:$A$14,0))</f>
        <v>1140.099384375</v>
      </c>
      <c r="V43" s="61" t="n">
        <f aca="false">N(STACK!K43)</f>
        <v>0</v>
      </c>
      <c r="W43" s="61" t="n">
        <f aca="false">T43+U43+V43</f>
        <v>7302.798759375</v>
      </c>
      <c r="X43" s="61" t="n">
        <f aca="false">N(STACK!L43)</f>
        <v>0</v>
      </c>
      <c r="Y43" s="61" t="n">
        <f aca="false">W43-X43</f>
        <v>7302.798759375</v>
      </c>
      <c r="Z43" s="1" t="n">
        <f aca="false">N(STACK!J43)</f>
        <v>0</v>
      </c>
      <c r="AA43" s="1" t="str">
        <f aca="false">TRIM(IF(D43="UNMAPPED","Program not mapped. ","")&amp;IF(OR(K43="UNMAPPED",K43="UNASSIGNED"),"Category needs review. ","")&amp;IF(P43="UNMAPPED","Title not mapped. ","")&amp;IF(AND(P43&lt;&gt;"No staff time",R43=""),"Missing hours. ","")&amp;IF(M43="","Date not readable. ","")&amp;IF(N43="No","Outside fiscal year. ","")&amp;IF(AND(F43="Event",ISNUMBER(R43)),IF(R43&gt;12,"Event hours look high. ",""),"")&amp;IF(G43&gt;0,"See CONFIRM sheet.",""))</f>
        <v/>
      </c>
      <c r="AB43" s="1" t="n">
        <f aca="false">IF(N43="No",0,IF(REVIEW!O43=0,0,IF(G43&gt;0,IF(INDEX(CONFIRM!$J$5:$J$53,G43)&lt;&gt;"",INDEX(CONFIRM!$J$5:$J$53,G43),1),1)))</f>
        <v>1</v>
      </c>
      <c r="AC43" s="1" t="n">
        <f aca="false">IF(AB43=1,IF(COUNTIFS($B$5:B43,B43,$D$5:D43,D43,$AB$5:AB43,1)=1,1,0),0)</f>
        <v>0</v>
      </c>
    </row>
    <row r="44" customFormat="false" ht="15" hidden="false" customHeight="false" outlineLevel="0" collapsed="false">
      <c r="A44" s="48" t="str">
        <f aca="false">STACK!A44</f>
        <v>KVMC-0040</v>
      </c>
      <c r="B44" s="48" t="str">
        <f aca="false">STACK!B44</f>
        <v>KVMC</v>
      </c>
      <c r="C44" s="48" t="str">
        <f aca="false">STACK!E44</f>
        <v>Family Medicine Residency Program</v>
      </c>
      <c r="D44" s="1" t="str">
        <f aca="false">IFERROR(INDEX(MAP!$J$7:$J$101,MATCH(TRIM(C44),MAP!$I$7:$I$101,0)),"UNMAPPED")</f>
        <v>Family Medicine Residency Program</v>
      </c>
      <c r="E44" s="1" t="str">
        <f aca="false">IFERROR(INDEX(MAP!$K$7:$K$101,MATCH(TRIM(C44),MAP!$I$7:$I$101,0)),"")</f>
        <v>Health workforce</v>
      </c>
      <c r="F44" s="1" t="str">
        <f aca="false">IFERROR(INDEX(MAP!$L$7:$L$101,MATCH(TRIM(C44),MAP!$I$7:$I$101,0)),"")</f>
        <v>Monthly</v>
      </c>
      <c r="G44" s="1" t="n">
        <f aca="false">IFERROR(MATCH(A44,CONFIRM!$A$5:$A$53,0),0)</f>
        <v>0</v>
      </c>
      <c r="H44" s="48" t="str">
        <f aca="false">STACK!F44</f>
        <v>Health Professions Education</v>
      </c>
      <c r="I44" s="1" t="str">
        <f aca="false">IF(G44&gt;0,IF(INDEX(CONFIRM!$I$5:$I$53,G44)&lt;&gt;"",INDEX(CONFIRM!$I$5:$I$53,G44),H44),H44)</f>
        <v>Health Professions Education</v>
      </c>
      <c r="J44" s="1" t="str">
        <f aca="false">IFERROR(INDEX(MAP!$F$7:$F$74,MATCH(TRIM(I44),MAP!$E$7:$E$74,0)),"UNMAPPED")</f>
        <v>Health professions education</v>
      </c>
      <c r="K44" s="1" t="str">
        <f aca="false">IFERROR(INDEX(MAP!$G$7:$G$74,MATCH(TRIM(I44),MAP!$E$7:$E$74,0)),"UNMAPPED")</f>
        <v>7f</v>
      </c>
      <c r="L44" s="49" t="n">
        <f aca="false">STACK!G44</f>
        <v>45869</v>
      </c>
      <c r="M44" s="59" t="n">
        <f aca="false">IF(G44&gt;0,IF(INDEX(CONFIRM!$G$5:$G$53,G44)&lt;&gt;"",INDEX(CONFIRM!$G$5:$G$53,G44),IF(ISNUMBER(L44),L44,IFERROR(DATEVALUE(L44),""))),IF(ISNUMBER(L44),L44,IFERROR(DATEVALUE(L44),"")))</f>
        <v>45869</v>
      </c>
      <c r="N44" s="1" t="str">
        <f aca="false">IF(M44="","Check",IF(AND(M44&gt;=INPUTS!$C$6,M44&lt;=INPUTS!$C$7),"Yes","No"))</f>
        <v>Yes</v>
      </c>
      <c r="O44" s="48" t="str">
        <f aca="false">STACK!H44</f>
        <v>Physician</v>
      </c>
      <c r="P44" s="1" t="str">
        <f aca="false">IF(G44&gt;0,IF(INDEX(CONFIRM!$H$5:$H$53,G44)&lt;&gt;"",INDEX(CONFIRM!$H$5:$H$53,G44),IFERROR(INDEX(MAP!$B$7:$B$156,MATCH(TRIM(O44),MAP!$A$7:$A$156,0)),"UNMAPPED")),IFERROR(INDEX(MAP!$B$7:$B$156,MATCH(TRIM(O44),MAP!$A$7:$A$156,0)),"UNMAPPED"))</f>
        <v>Physician</v>
      </c>
      <c r="Q44" s="48" t="n">
        <f aca="false">STACK!I44</f>
        <v>367.5</v>
      </c>
      <c r="R44" s="60" t="n">
        <f aca="false">IF(G44&gt;0,IF(INDEX(CONFIRM!$F$5:$F$53,G44)&lt;&gt;"",INDEX(CONFIRM!$F$5:$F$53,G44),IF(ISNUMBER(Q44),Q44,IF(Q44="","",IFERROR(VALUE(TRIM(SUBSTITUTE(SUBSTITUTE(LOWER(Q44),"hrs",""),"hr",""))),"")))),IF(ISNUMBER(Q44),Q44,IF(Q44="","",IFERROR(VALUE(TRIM(SUBSTITUTE(SUBSTITUTE(LOWER(Q44),"hrs",""),"hr",""))),""))))</f>
        <v>367.5</v>
      </c>
      <c r="S44" s="57" t="n">
        <f aca="false">IFERROR(INDEX(RATES!$E$6:$E$28,MATCH(P44,RATES!$A$6:$A$28,0)),0)</f>
        <v>151.63</v>
      </c>
      <c r="T44" s="61" t="n">
        <f aca="false">IF(ISNUMBER(R44),R44,0)*S44</f>
        <v>55724.025</v>
      </c>
      <c r="U44" s="61" t="n">
        <f aca="false">T44*INDEX(INPUTS!$H$10:$H$14,MATCH(B44,INPUTS!$A$10:$A$14,0))</f>
        <v>10308.944625</v>
      </c>
      <c r="V44" s="61" t="n">
        <f aca="false">N(STACK!K44)</f>
        <v>31560</v>
      </c>
      <c r="W44" s="61" t="n">
        <f aca="false">T44+U44+V44</f>
        <v>97592.969625</v>
      </c>
      <c r="X44" s="61" t="n">
        <f aca="false">N(STACK!L44)</f>
        <v>168940</v>
      </c>
      <c r="Y44" s="61" t="n">
        <f aca="false">W44-X44</f>
        <v>-71347.030375</v>
      </c>
      <c r="Z44" s="1" t="n">
        <f aca="false">N(STACK!J44)</f>
        <v>24</v>
      </c>
      <c r="AA44" s="1" t="str">
        <f aca="false">TRIM(IF(D44="UNMAPPED","Program not mapped. ","")&amp;IF(OR(K44="UNMAPPED",K44="UNASSIGNED"),"Category needs review. ","")&amp;IF(P44="UNMAPPED","Title not mapped. ","")&amp;IF(AND(P44&lt;&gt;"No staff time",R44=""),"Missing hours. ","")&amp;IF(M44="","Date not readable. ","")&amp;IF(N44="No","Outside fiscal year. ","")&amp;IF(AND(F44="Event",ISNUMBER(R44)),IF(R44&gt;12,"Event hours look high. ",""),"")&amp;IF(G44&gt;0,"See CONFIRM sheet.",""))</f>
        <v/>
      </c>
      <c r="AB44" s="1" t="n">
        <f aca="false">IF(N44="No",0,IF(REVIEW!O44=0,0,IF(G44&gt;0,IF(INDEX(CONFIRM!$J$5:$J$53,G44)&lt;&gt;"",INDEX(CONFIRM!$J$5:$J$53,G44),1),1)))</f>
        <v>1</v>
      </c>
      <c r="AC44" s="1" t="n">
        <f aca="false">IF(AB44=1,IF(COUNTIFS($B$5:B44,B44,$D$5:D44,D44,$AB$5:AB44,1)=1,1,0),0)</f>
        <v>1</v>
      </c>
    </row>
    <row r="45" customFormat="false" ht="15" hidden="false" customHeight="false" outlineLevel="0" collapsed="false">
      <c r="A45" s="48" t="str">
        <f aca="false">STACK!A45</f>
        <v>KVMC-0041</v>
      </c>
      <c r="B45" s="48" t="str">
        <f aca="false">STACK!B45</f>
        <v>KVMC</v>
      </c>
      <c r="C45" s="48" t="str">
        <f aca="false">STACK!E45</f>
        <v>Family Medicine Residency Program</v>
      </c>
      <c r="D45" s="1" t="str">
        <f aca="false">IFERROR(INDEX(MAP!$J$7:$J$101,MATCH(TRIM(C45),MAP!$I$7:$I$101,0)),"UNMAPPED")</f>
        <v>Family Medicine Residency Program</v>
      </c>
      <c r="E45" s="1" t="str">
        <f aca="false">IFERROR(INDEX(MAP!$K$7:$K$101,MATCH(TRIM(C45),MAP!$I$7:$I$101,0)),"")</f>
        <v>Health workforce</v>
      </c>
      <c r="F45" s="1" t="str">
        <f aca="false">IFERROR(INDEX(MAP!$L$7:$L$101,MATCH(TRIM(C45),MAP!$I$7:$I$101,0)),"")</f>
        <v>Monthly</v>
      </c>
      <c r="G45" s="1" t="n">
        <f aca="false">IFERROR(MATCH(A45,CONFIRM!$A$5:$A$53,0),0)</f>
        <v>0</v>
      </c>
      <c r="H45" s="48" t="str">
        <f aca="false">STACK!F45</f>
        <v>Health Professions Education</v>
      </c>
      <c r="I45" s="1" t="str">
        <f aca="false">IF(G45&gt;0,IF(INDEX(CONFIRM!$I$5:$I$53,G45)&lt;&gt;"",INDEX(CONFIRM!$I$5:$I$53,G45),H45),H45)</f>
        <v>Health Professions Education</v>
      </c>
      <c r="J45" s="1" t="str">
        <f aca="false">IFERROR(INDEX(MAP!$F$7:$F$74,MATCH(TRIM(I45),MAP!$E$7:$E$74,0)),"UNMAPPED")</f>
        <v>Health professions education</v>
      </c>
      <c r="K45" s="1" t="str">
        <f aca="false">IFERROR(INDEX(MAP!$G$7:$G$74,MATCH(TRIM(I45),MAP!$E$7:$E$74,0)),"UNMAPPED")</f>
        <v>7f</v>
      </c>
      <c r="L45" s="49" t="n">
        <f aca="false">STACK!G45</f>
        <v>45869</v>
      </c>
      <c r="M45" s="59" t="n">
        <f aca="false">IF(G45&gt;0,IF(INDEX(CONFIRM!$G$5:$G$53,G45)&lt;&gt;"",INDEX(CONFIRM!$G$5:$G$53,G45),IF(ISNUMBER(L45),L45,IFERROR(DATEVALUE(L45),""))),IF(ISNUMBER(L45),L45,IFERROR(DATEVALUE(L45),"")))</f>
        <v>45869</v>
      </c>
      <c r="N45" s="1" t="str">
        <f aca="false">IF(M45="","Check",IF(AND(M45&gt;=INPUTS!$C$6,M45&lt;=INPUTS!$C$7),"Yes","No"))</f>
        <v>Yes</v>
      </c>
      <c r="O45" s="48" t="str">
        <f aca="false">STACK!H45</f>
        <v>Coordinator</v>
      </c>
      <c r="P45" s="1" t="str">
        <f aca="false">IF(G45&gt;0,IF(INDEX(CONFIRM!$H$5:$H$53,G45)&lt;&gt;"",INDEX(CONFIRM!$H$5:$H$53,G45),IFERROR(INDEX(MAP!$B$7:$B$156,MATCH(TRIM(O45),MAP!$A$7:$A$156,0)),"UNMAPPED")),IFERROR(INDEX(MAP!$B$7:$B$156,MATCH(TRIM(O45),MAP!$A$7:$A$156,0)),"UNMAPPED"))</f>
        <v>Program Coordinator</v>
      </c>
      <c r="Q45" s="48" t="n">
        <f aca="false">STACK!I45</f>
        <v>162</v>
      </c>
      <c r="R45" s="60" t="n">
        <f aca="false">IF(G45&gt;0,IF(INDEX(CONFIRM!$F$5:$F$53,G45)&lt;&gt;"",INDEX(CONFIRM!$F$5:$F$53,G45),IF(ISNUMBER(Q45),Q45,IF(Q45="","",IFERROR(VALUE(TRIM(SUBSTITUTE(SUBSTITUTE(LOWER(Q45),"hrs",""),"hr",""))),"")))),IF(ISNUMBER(Q45),Q45,IF(Q45="","",IFERROR(VALUE(TRIM(SUBSTITUTE(SUBSTITUTE(LOWER(Q45),"hrs",""),"hr",""))),""))))</f>
        <v>162</v>
      </c>
      <c r="S45" s="57" t="n">
        <f aca="false">IFERROR(INDEX(RATES!$E$6:$E$28,MATCH(P45,RATES!$A$6:$A$28,0)),0)</f>
        <v>35.3375</v>
      </c>
      <c r="T45" s="61" t="n">
        <f aca="false">IF(ISNUMBER(R45),R45,0)*S45</f>
        <v>5724.675</v>
      </c>
      <c r="U45" s="61" t="n">
        <f aca="false">T45*INDEX(INPUTS!$H$10:$H$14,MATCH(B45,INPUTS!$A$10:$A$14,0))</f>
        <v>1059.064875</v>
      </c>
      <c r="V45" s="61" t="n">
        <f aca="false">N(STACK!K45)</f>
        <v>0</v>
      </c>
      <c r="W45" s="61" t="n">
        <f aca="false">T45+U45+V45</f>
        <v>6783.739875</v>
      </c>
      <c r="X45" s="61" t="n">
        <f aca="false">N(STACK!L45)</f>
        <v>0</v>
      </c>
      <c r="Y45" s="61" t="n">
        <f aca="false">W45-X45</f>
        <v>6783.739875</v>
      </c>
      <c r="Z45" s="1" t="n">
        <f aca="false">N(STACK!J45)</f>
        <v>0</v>
      </c>
      <c r="AA45" s="1" t="str">
        <f aca="false">TRIM(IF(D45="UNMAPPED","Program not mapped. ","")&amp;IF(OR(K45="UNMAPPED",K45="UNASSIGNED"),"Category needs review. ","")&amp;IF(P45="UNMAPPED","Title not mapped. ","")&amp;IF(AND(P45&lt;&gt;"No staff time",R45=""),"Missing hours. ","")&amp;IF(M45="","Date not readable. ","")&amp;IF(N45="No","Outside fiscal year. ","")&amp;IF(AND(F45="Event",ISNUMBER(R45)),IF(R45&gt;12,"Event hours look high. ",""),"")&amp;IF(G45&gt;0,"See CONFIRM sheet.",""))</f>
        <v/>
      </c>
      <c r="AB45" s="1" t="n">
        <f aca="false">IF(N45="No",0,IF(REVIEW!O45=0,0,IF(G45&gt;0,IF(INDEX(CONFIRM!$J$5:$J$53,G45)&lt;&gt;"",INDEX(CONFIRM!$J$5:$J$53,G45),1),1)))</f>
        <v>1</v>
      </c>
      <c r="AC45" s="1" t="n">
        <f aca="false">IF(AB45=1,IF(COUNTIFS($B$5:B45,B45,$D$5:D45,D45,$AB$5:AB45,1)=1,1,0),0)</f>
        <v>0</v>
      </c>
    </row>
    <row r="46" customFormat="false" ht="15" hidden="false" customHeight="false" outlineLevel="0" collapsed="false">
      <c r="A46" s="48" t="str">
        <f aca="false">STACK!A46</f>
        <v>KVMC-0042</v>
      </c>
      <c r="B46" s="48" t="str">
        <f aca="false">STACK!B46</f>
        <v>KVMC</v>
      </c>
      <c r="C46" s="48" t="str">
        <f aca="false">STACK!E46</f>
        <v>Family Medicine Residency Program</v>
      </c>
      <c r="D46" s="1" t="str">
        <f aca="false">IFERROR(INDEX(MAP!$J$7:$J$101,MATCH(TRIM(C46),MAP!$I$7:$I$101,0)),"UNMAPPED")</f>
        <v>Family Medicine Residency Program</v>
      </c>
      <c r="E46" s="1" t="str">
        <f aca="false">IFERROR(INDEX(MAP!$K$7:$K$101,MATCH(TRIM(C46),MAP!$I$7:$I$101,0)),"")</f>
        <v>Health workforce</v>
      </c>
      <c r="F46" s="1" t="str">
        <f aca="false">IFERROR(INDEX(MAP!$L$7:$L$101,MATCH(TRIM(C46),MAP!$I$7:$I$101,0)),"")</f>
        <v>Monthly</v>
      </c>
      <c r="G46" s="1" t="n">
        <f aca="false">IFERROR(MATCH(A46,CONFIRM!$A$5:$A$53,0),0)</f>
        <v>0</v>
      </c>
      <c r="H46" s="48" t="str">
        <f aca="false">STACK!F46</f>
        <v>Health Professions Education</v>
      </c>
      <c r="I46" s="1" t="str">
        <f aca="false">IF(G46&gt;0,IF(INDEX(CONFIRM!$I$5:$I$53,G46)&lt;&gt;"",INDEX(CONFIRM!$I$5:$I$53,G46),H46),H46)</f>
        <v>Health Professions Education</v>
      </c>
      <c r="J46" s="1" t="str">
        <f aca="false">IFERROR(INDEX(MAP!$F$7:$F$74,MATCH(TRIM(I46),MAP!$E$7:$E$74,0)),"UNMAPPED")</f>
        <v>Health professions education</v>
      </c>
      <c r="K46" s="1" t="str">
        <f aca="false">IFERROR(INDEX(MAP!$G$7:$G$74,MATCH(TRIM(I46),MAP!$E$7:$E$74,0)),"UNMAPPED")</f>
        <v>7f</v>
      </c>
      <c r="L46" s="49" t="n">
        <f aca="false">STACK!G46</f>
        <v>45869</v>
      </c>
      <c r="M46" s="59" t="n">
        <f aca="false">IF(G46&gt;0,IF(INDEX(CONFIRM!$G$5:$G$53,G46)&lt;&gt;"",INDEX(CONFIRM!$G$5:$G$53,G46),IF(ISNUMBER(L46),L46,IFERROR(DATEVALUE(L46),""))),IF(ISNUMBER(L46),L46,IFERROR(DATEVALUE(L46),"")))</f>
        <v>45869</v>
      </c>
      <c r="N46" s="1" t="str">
        <f aca="false">IF(M46="","Check",IF(AND(M46&gt;=INPUTS!$C$6,M46&lt;=INPUTS!$C$7),"Yes","No"))</f>
        <v>Yes</v>
      </c>
      <c r="O46" s="48" t="str">
        <f aca="false">STACK!H46</f>
        <v>Resident Physician</v>
      </c>
      <c r="P46" s="1" t="str">
        <f aca="false">IF(G46&gt;0,IF(INDEX(CONFIRM!$H$5:$H$53,G46)&lt;&gt;"",INDEX(CONFIRM!$H$5:$H$53,G46),IFERROR(INDEX(MAP!$B$7:$B$156,MATCH(TRIM(O46),MAP!$A$7:$A$156,0)),"UNMAPPED")),IFERROR(INDEX(MAP!$B$7:$B$156,MATCH(TRIM(O46),MAP!$A$7:$A$156,0)),"UNMAPPED"))</f>
        <v>Resident Physician</v>
      </c>
      <c r="Q46" s="48" t="n">
        <f aca="false">STACK!I46</f>
        <v>3989.5</v>
      </c>
      <c r="R46" s="60" t="n">
        <f aca="false">IF(G46&gt;0,IF(INDEX(CONFIRM!$F$5:$F$53,G46)&lt;&gt;"",INDEX(CONFIRM!$F$5:$F$53,G46),IF(ISNUMBER(Q46),Q46,IF(Q46="","",IFERROR(VALUE(TRIM(SUBSTITUTE(SUBSTITUTE(LOWER(Q46),"hrs",""),"hr",""))),"")))),IF(ISNUMBER(Q46),Q46,IF(Q46="","",IFERROR(VALUE(TRIM(SUBSTITUTE(SUBSTITUTE(LOWER(Q46),"hrs",""),"hr",""))),""))))</f>
        <v>3989.5</v>
      </c>
      <c r="S46" s="57" t="n">
        <f aca="false">IFERROR(INDEX(RATES!$E$6:$E$28,MATCH(P46,RATES!$A$6:$A$28,0)),0)</f>
        <v>38.43</v>
      </c>
      <c r="T46" s="61" t="n">
        <f aca="false">IF(ISNUMBER(R46),R46,0)*S46</f>
        <v>153316.485</v>
      </c>
      <c r="U46" s="61" t="n">
        <f aca="false">T46*INDEX(INPUTS!$H$10:$H$14,MATCH(B46,INPUTS!$A$10:$A$14,0))</f>
        <v>28363.549725</v>
      </c>
      <c r="V46" s="61" t="n">
        <f aca="false">N(STACK!K46)</f>
        <v>0</v>
      </c>
      <c r="W46" s="61" t="n">
        <f aca="false">T46+U46+V46</f>
        <v>181680.034725</v>
      </c>
      <c r="X46" s="61" t="n">
        <f aca="false">N(STACK!L46)</f>
        <v>0</v>
      </c>
      <c r="Y46" s="61" t="n">
        <f aca="false">W46-X46</f>
        <v>181680.034725</v>
      </c>
      <c r="Z46" s="1" t="n">
        <f aca="false">N(STACK!J46)</f>
        <v>0</v>
      </c>
      <c r="AA46" s="1" t="str">
        <f aca="false">TRIM(IF(D46="UNMAPPED","Program not mapped. ","")&amp;IF(OR(K46="UNMAPPED",K46="UNASSIGNED"),"Category needs review. ","")&amp;IF(P46="UNMAPPED","Title not mapped. ","")&amp;IF(AND(P46&lt;&gt;"No staff time",R46=""),"Missing hours. ","")&amp;IF(M46="","Date not readable. ","")&amp;IF(N46="No","Outside fiscal year. ","")&amp;IF(AND(F46="Event",ISNUMBER(R46)),IF(R46&gt;12,"Event hours look high. ",""),"")&amp;IF(G46&gt;0,"See CONFIRM sheet.",""))</f>
        <v/>
      </c>
      <c r="AB46" s="1" t="n">
        <f aca="false">IF(N46="No",0,IF(REVIEW!O46=0,0,IF(G46&gt;0,IF(INDEX(CONFIRM!$J$5:$J$53,G46)&lt;&gt;"",INDEX(CONFIRM!$J$5:$J$53,G46),1),1)))</f>
        <v>1</v>
      </c>
      <c r="AC46" s="1" t="n">
        <f aca="false">IF(AB46=1,IF(COUNTIFS($B$5:B46,B46,$D$5:D46,D46,$AB$5:AB46,1)=1,1,0),0)</f>
        <v>0</v>
      </c>
    </row>
    <row r="47" customFormat="false" ht="15" hidden="false" customHeight="false" outlineLevel="0" collapsed="false">
      <c r="A47" s="48" t="str">
        <f aca="false">STACK!A47</f>
        <v>KVMC-0043</v>
      </c>
      <c r="B47" s="48" t="str">
        <f aca="false">STACK!B47</f>
        <v>KVMC</v>
      </c>
      <c r="C47" s="48" t="str">
        <f aca="false">STACK!E47</f>
        <v>Pharmacy Student Rotations</v>
      </c>
      <c r="D47" s="1" t="str">
        <f aca="false">IFERROR(INDEX(MAP!$J$7:$J$101,MATCH(TRIM(C47),MAP!$I$7:$I$101,0)),"UNMAPPED")</f>
        <v>Pharmacy Student Rotations</v>
      </c>
      <c r="E47" s="1" t="str">
        <f aca="false">IFERROR(INDEX(MAP!$K$7:$K$101,MATCH(TRIM(C47),MAP!$I$7:$I$101,0)),"")</f>
        <v>Health workforce</v>
      </c>
      <c r="F47" s="1" t="str">
        <f aca="false">IFERROR(INDEX(MAP!$L$7:$L$101,MATCH(TRIM(C47),MAP!$I$7:$I$101,0)),"")</f>
        <v>Monthly</v>
      </c>
      <c r="G47" s="1" t="n">
        <f aca="false">IFERROR(MATCH(A47,CONFIRM!$A$5:$A$53,0),0)</f>
        <v>0</v>
      </c>
      <c r="H47" s="48" t="str">
        <f aca="false">STACK!F47</f>
        <v>Health Professions Education</v>
      </c>
      <c r="I47" s="1" t="str">
        <f aca="false">IF(G47&gt;0,IF(INDEX(CONFIRM!$I$5:$I$53,G47)&lt;&gt;"",INDEX(CONFIRM!$I$5:$I$53,G47),H47),H47)</f>
        <v>Health Professions Education</v>
      </c>
      <c r="J47" s="1" t="str">
        <f aca="false">IFERROR(INDEX(MAP!$F$7:$F$74,MATCH(TRIM(I47),MAP!$E$7:$E$74,0)),"UNMAPPED")</f>
        <v>Health professions education</v>
      </c>
      <c r="K47" s="1" t="str">
        <f aca="false">IFERROR(INDEX(MAP!$G$7:$G$74,MATCH(TRIM(I47),MAP!$E$7:$E$74,0)),"UNMAPPED")</f>
        <v>7f</v>
      </c>
      <c r="L47" s="49" t="n">
        <f aca="false">STACK!G47</f>
        <v>45869</v>
      </c>
      <c r="M47" s="59" t="n">
        <f aca="false">IF(G47&gt;0,IF(INDEX(CONFIRM!$G$5:$G$53,G47)&lt;&gt;"",INDEX(CONFIRM!$G$5:$G$53,G47),IF(ISNUMBER(L47),L47,IFERROR(DATEVALUE(L47),""))),IF(ISNUMBER(L47),L47,IFERROR(DATEVALUE(L47),"")))</f>
        <v>45869</v>
      </c>
      <c r="N47" s="1" t="str">
        <f aca="false">IF(M47="","Check",IF(AND(M47&gt;=INPUTS!$C$6,M47&lt;=INPUTS!$C$7),"Yes","No"))</f>
        <v>Yes</v>
      </c>
      <c r="O47" s="48" t="str">
        <f aca="false">STACK!H47</f>
        <v>Pharmacist</v>
      </c>
      <c r="P47" s="1" t="str">
        <f aca="false">IF(G47&gt;0,IF(INDEX(CONFIRM!$H$5:$H$53,G47)&lt;&gt;"",INDEX(CONFIRM!$H$5:$H$53,G47),IFERROR(INDEX(MAP!$B$7:$B$156,MATCH(TRIM(O47),MAP!$A$7:$A$156,0)),"UNMAPPED")),IFERROR(INDEX(MAP!$B$7:$B$156,MATCH(TRIM(O47),MAP!$A$7:$A$156,0)),"UNMAPPED"))</f>
        <v>Pharmacist</v>
      </c>
      <c r="Q47" s="48" t="n">
        <f aca="false">STACK!I47</f>
        <v>77.5</v>
      </c>
      <c r="R47" s="60" t="n">
        <f aca="false">IF(G47&gt;0,IF(INDEX(CONFIRM!$F$5:$F$53,G47)&lt;&gt;"",INDEX(CONFIRM!$F$5:$F$53,G47),IF(ISNUMBER(Q47),Q47,IF(Q47="","",IFERROR(VALUE(TRIM(SUBSTITUTE(SUBSTITUTE(LOWER(Q47),"hrs",""),"hr",""))),"")))),IF(ISNUMBER(Q47),Q47,IF(Q47="","",IFERROR(VALUE(TRIM(SUBSTITUTE(SUBSTITUTE(LOWER(Q47),"hrs",""),"hr",""))),""))))</f>
        <v>77.5</v>
      </c>
      <c r="S47" s="57" t="n">
        <f aca="false">IFERROR(INDEX(RATES!$E$6:$E$28,MATCH(P47,RATES!$A$6:$A$28,0)),0)</f>
        <v>84.81</v>
      </c>
      <c r="T47" s="61" t="n">
        <f aca="false">IF(ISNUMBER(R47),R47,0)*S47</f>
        <v>6572.775</v>
      </c>
      <c r="U47" s="61" t="n">
        <f aca="false">T47*INDEX(INPUTS!$H$10:$H$14,MATCH(B47,INPUTS!$A$10:$A$14,0))</f>
        <v>1215.963375</v>
      </c>
      <c r="V47" s="61" t="n">
        <f aca="false">N(STACK!K47)</f>
        <v>215</v>
      </c>
      <c r="W47" s="61" t="n">
        <f aca="false">T47+U47+V47</f>
        <v>8003.738375</v>
      </c>
      <c r="X47" s="61" t="n">
        <f aca="false">N(STACK!L47)</f>
        <v>0</v>
      </c>
      <c r="Y47" s="61" t="n">
        <f aca="false">W47-X47</f>
        <v>8003.738375</v>
      </c>
      <c r="Z47" s="1" t="n">
        <f aca="false">N(STACK!J47)</f>
        <v>5</v>
      </c>
      <c r="AA47" s="1" t="str">
        <f aca="false">TRIM(IF(D47="UNMAPPED","Program not mapped. ","")&amp;IF(OR(K47="UNMAPPED",K47="UNASSIGNED"),"Category needs review. ","")&amp;IF(P47="UNMAPPED","Title not mapped. ","")&amp;IF(AND(P47&lt;&gt;"No staff time",R47=""),"Missing hours. ","")&amp;IF(M47="","Date not readable. ","")&amp;IF(N47="No","Outside fiscal year. ","")&amp;IF(AND(F47="Event",ISNUMBER(R47)),IF(R47&gt;12,"Event hours look high. ",""),"")&amp;IF(G47&gt;0,"See CONFIRM sheet.",""))</f>
        <v/>
      </c>
      <c r="AB47" s="1" t="n">
        <f aca="false">IF(N47="No",0,IF(REVIEW!O47=0,0,IF(G47&gt;0,IF(INDEX(CONFIRM!$J$5:$J$53,G47)&lt;&gt;"",INDEX(CONFIRM!$J$5:$J$53,G47),1),1)))</f>
        <v>1</v>
      </c>
      <c r="AC47" s="1" t="n">
        <f aca="false">IF(AB47=1,IF(COUNTIFS($B$5:B47,B47,$D$5:D47,D47,$AB$5:AB47,1)=1,1,0),0)</f>
        <v>1</v>
      </c>
    </row>
    <row r="48" customFormat="false" ht="15" hidden="false" customHeight="false" outlineLevel="0" collapsed="false">
      <c r="A48" s="48" t="str">
        <f aca="false">STACK!A48</f>
        <v>KVMC-0044</v>
      </c>
      <c r="B48" s="48" t="str">
        <f aca="false">STACK!B48</f>
        <v>KVMC</v>
      </c>
      <c r="C48" s="48" t="str">
        <f aca="false">STACK!E48</f>
        <v>Community Hypertension Control Study</v>
      </c>
      <c r="D48" s="1" t="str">
        <f aca="false">IFERROR(INDEX(MAP!$J$7:$J$101,MATCH(TRIM(C48),MAP!$I$7:$I$101,0)),"UNMAPPED")</f>
        <v>Community Hypertension Control Study</v>
      </c>
      <c r="E48" s="1" t="str">
        <f aca="false">IFERROR(INDEX(MAP!$K$7:$K$101,MATCH(TRIM(C48),MAP!$I$7:$I$101,0)),"")</f>
        <v>Chronic disease prevention</v>
      </c>
      <c r="F48" s="1" t="str">
        <f aca="false">IFERROR(INDEX(MAP!$L$7:$L$101,MATCH(TRIM(C48),MAP!$I$7:$I$101,0)),"")</f>
        <v>Monthly</v>
      </c>
      <c r="G48" s="1" t="n">
        <f aca="false">IFERROR(MATCH(A48,CONFIRM!$A$5:$A$53,0),0)</f>
        <v>0</v>
      </c>
      <c r="H48" s="48" t="str">
        <f aca="false">STACK!F48</f>
        <v>Research</v>
      </c>
      <c r="I48" s="1" t="str">
        <f aca="false">IF(G48&gt;0,IF(INDEX(CONFIRM!$I$5:$I$53,G48)&lt;&gt;"",INDEX(CONFIRM!$I$5:$I$53,G48),H48),H48)</f>
        <v>Research</v>
      </c>
      <c r="J48" s="1" t="str">
        <f aca="false">IFERROR(INDEX(MAP!$F$7:$F$74,MATCH(TRIM(I48),MAP!$E$7:$E$74,0)),"UNMAPPED")</f>
        <v>Research</v>
      </c>
      <c r="K48" s="1" t="str">
        <f aca="false">IFERROR(INDEX(MAP!$G$7:$G$74,MATCH(TRIM(I48),MAP!$E$7:$E$74,0)),"UNMAPPED")</f>
        <v>7h</v>
      </c>
      <c r="L48" s="49" t="n">
        <f aca="false">STACK!G48</f>
        <v>45869</v>
      </c>
      <c r="M48" s="59" t="n">
        <f aca="false">IF(G48&gt;0,IF(INDEX(CONFIRM!$G$5:$G$53,G48)&lt;&gt;"",INDEX(CONFIRM!$G$5:$G$53,G48),IF(ISNUMBER(L48),L48,IFERROR(DATEVALUE(L48),""))),IF(ISNUMBER(L48),L48,IFERROR(DATEVALUE(L48),"")))</f>
        <v>45869</v>
      </c>
      <c r="N48" s="1" t="str">
        <f aca="false">IF(M48="","Check",IF(AND(M48&gt;=INPUTS!$C$6,M48&lt;=INPUTS!$C$7),"Yes","No"))</f>
        <v>Yes</v>
      </c>
      <c r="O48" s="48" t="str">
        <f aca="false">STACK!H48</f>
        <v>BI Analyst</v>
      </c>
      <c r="P48" s="1" t="str">
        <f aca="false">IF(G48&gt;0,IF(INDEX(CONFIRM!$H$5:$H$53,G48)&lt;&gt;"",INDEX(CONFIRM!$H$5:$H$53,G48),IFERROR(INDEX(MAP!$B$7:$B$156,MATCH(TRIM(O48),MAP!$A$7:$A$156,0)),"UNMAPPED")),IFERROR(INDEX(MAP!$B$7:$B$156,MATCH(TRIM(O48),MAP!$A$7:$A$156,0)),"UNMAPPED"))</f>
        <v>Data Analyst</v>
      </c>
      <c r="Q48" s="48" t="n">
        <f aca="false">STACK!I48</f>
        <v>43.75</v>
      </c>
      <c r="R48" s="60" t="n">
        <f aca="false">IF(G48&gt;0,IF(INDEX(CONFIRM!$F$5:$F$53,G48)&lt;&gt;"",INDEX(CONFIRM!$F$5:$F$53,G48),IF(ISNUMBER(Q48),Q48,IF(Q48="","",IFERROR(VALUE(TRIM(SUBSTITUTE(SUBSTITUTE(LOWER(Q48),"hrs",""),"hr",""))),"")))),IF(ISNUMBER(Q48),Q48,IF(Q48="","",IFERROR(VALUE(TRIM(SUBSTITUTE(SUBSTITUTE(LOWER(Q48),"hrs",""),"hr",""))),""))))</f>
        <v>43.75</v>
      </c>
      <c r="S48" s="57" t="n">
        <f aca="false">IFERROR(INDEX(RATES!$E$6:$E$28,MATCH(P48,RATES!$A$6:$A$28,0)),0)</f>
        <v>48.83</v>
      </c>
      <c r="T48" s="61" t="n">
        <f aca="false">IF(ISNUMBER(R48),R48,0)*S48</f>
        <v>2136.3125</v>
      </c>
      <c r="U48" s="61" t="n">
        <f aca="false">T48*INDEX(INPUTS!$H$10:$H$14,MATCH(B48,INPUTS!$A$10:$A$14,0))</f>
        <v>395.2178125</v>
      </c>
      <c r="V48" s="61" t="n">
        <f aca="false">N(STACK!K48)</f>
        <v>0</v>
      </c>
      <c r="W48" s="61" t="n">
        <f aca="false">T48+U48+V48</f>
        <v>2531.5303125</v>
      </c>
      <c r="X48" s="61" t="n">
        <f aca="false">N(STACK!L48)</f>
        <v>0</v>
      </c>
      <c r="Y48" s="61" t="n">
        <f aca="false">W48-X48</f>
        <v>2531.5303125</v>
      </c>
      <c r="Z48" s="1" t="n">
        <f aca="false">N(STACK!J48)</f>
        <v>0</v>
      </c>
      <c r="AA48" s="1" t="str">
        <f aca="false">TRIM(IF(D48="UNMAPPED","Program not mapped. ","")&amp;IF(OR(K48="UNMAPPED",K48="UNASSIGNED"),"Category needs review. ","")&amp;IF(P48="UNMAPPED","Title not mapped. ","")&amp;IF(AND(P48&lt;&gt;"No staff time",R48=""),"Missing hours. ","")&amp;IF(M48="","Date not readable. ","")&amp;IF(N48="No","Outside fiscal year. ","")&amp;IF(AND(F48="Event",ISNUMBER(R48)),IF(R48&gt;12,"Event hours look high. ",""),"")&amp;IF(G48&gt;0,"See CONFIRM sheet.",""))</f>
        <v/>
      </c>
      <c r="AB48" s="1" t="n">
        <f aca="false">IF(N48="No",0,IF(REVIEW!O48=0,0,IF(G48&gt;0,IF(INDEX(CONFIRM!$J$5:$J$53,G48)&lt;&gt;"",INDEX(CONFIRM!$J$5:$J$53,G48),1),1)))</f>
        <v>1</v>
      </c>
      <c r="AC48" s="1" t="n">
        <f aca="false">IF(AB48=1,IF(COUNTIFS($B$5:B48,B48,$D$5:D48,D48,$AB$5:AB48,1)=1,1,0),0)</f>
        <v>1</v>
      </c>
    </row>
    <row r="49" customFormat="false" ht="15" hidden="false" customHeight="false" outlineLevel="0" collapsed="false">
      <c r="A49" s="48" t="str">
        <f aca="false">STACK!A49</f>
        <v>KVMC-0045</v>
      </c>
      <c r="B49" s="48" t="str">
        <f aca="false">STACK!B49</f>
        <v>KVMC</v>
      </c>
      <c r="C49" s="48" t="str">
        <f aca="false">STACK!E49</f>
        <v>Community Hypertension Control Study</v>
      </c>
      <c r="D49" s="1" t="str">
        <f aca="false">IFERROR(INDEX(MAP!$J$7:$J$101,MATCH(TRIM(C49),MAP!$I$7:$I$101,0)),"UNMAPPED")</f>
        <v>Community Hypertension Control Study</v>
      </c>
      <c r="E49" s="1" t="str">
        <f aca="false">IFERROR(INDEX(MAP!$K$7:$K$101,MATCH(TRIM(C49),MAP!$I$7:$I$101,0)),"")</f>
        <v>Chronic disease prevention</v>
      </c>
      <c r="F49" s="1" t="str">
        <f aca="false">IFERROR(INDEX(MAP!$L$7:$L$101,MATCH(TRIM(C49),MAP!$I$7:$I$101,0)),"")</f>
        <v>Monthly</v>
      </c>
      <c r="G49" s="1" t="n">
        <f aca="false">IFERROR(MATCH(A49,CONFIRM!$A$5:$A$53,0),0)</f>
        <v>0</v>
      </c>
      <c r="H49" s="48" t="str">
        <f aca="false">STACK!F49</f>
        <v>Research</v>
      </c>
      <c r="I49" s="1" t="str">
        <f aca="false">IF(G49&gt;0,IF(INDEX(CONFIRM!$I$5:$I$53,G49)&lt;&gt;"",INDEX(CONFIRM!$I$5:$I$53,G49),H49),H49)</f>
        <v>Research</v>
      </c>
      <c r="J49" s="1" t="str">
        <f aca="false">IFERROR(INDEX(MAP!$F$7:$F$74,MATCH(TRIM(I49),MAP!$E$7:$E$74,0)),"UNMAPPED")</f>
        <v>Research</v>
      </c>
      <c r="K49" s="1" t="str">
        <f aca="false">IFERROR(INDEX(MAP!$G$7:$G$74,MATCH(TRIM(I49),MAP!$E$7:$E$74,0)),"UNMAPPED")</f>
        <v>7h</v>
      </c>
      <c r="L49" s="49" t="n">
        <f aca="false">STACK!G49</f>
        <v>45869</v>
      </c>
      <c r="M49" s="59" t="n">
        <f aca="false">IF(G49&gt;0,IF(INDEX(CONFIRM!$G$5:$G$53,G49)&lt;&gt;"",INDEX(CONFIRM!$G$5:$G$53,G49),IF(ISNUMBER(L49),L49,IFERROR(DATEVALUE(L49),""))),IF(ISNUMBER(L49),L49,IFERROR(DATEVALUE(L49),"")))</f>
        <v>45869</v>
      </c>
      <c r="N49" s="1" t="str">
        <f aca="false">IF(M49="","Check",IF(AND(M49&gt;=INPUTS!$C$6,M49&lt;=INPUTS!$C$7),"Yes","No"))</f>
        <v>Yes</v>
      </c>
      <c r="O49" s="48" t="str">
        <f aca="false">STACK!H49</f>
        <v> Dr.</v>
      </c>
      <c r="P49" s="1" t="str">
        <f aca="false">IF(G49&gt;0,IF(INDEX(CONFIRM!$H$5:$H$53,G49)&lt;&gt;"",INDEX(CONFIRM!$H$5:$H$53,G49),IFERROR(INDEX(MAP!$B$7:$B$156,MATCH(TRIM(O49),MAP!$A$7:$A$156,0)),"UNMAPPED")),IFERROR(INDEX(MAP!$B$7:$B$156,MATCH(TRIM(O49),MAP!$A$7:$A$156,0)),"UNMAPPED"))</f>
        <v>Physician</v>
      </c>
      <c r="Q49" s="48" t="n">
        <f aca="false">STACK!I49</f>
        <v>23</v>
      </c>
      <c r="R49" s="60" t="n">
        <f aca="false">IF(G49&gt;0,IF(INDEX(CONFIRM!$F$5:$F$53,G49)&lt;&gt;"",INDEX(CONFIRM!$F$5:$F$53,G49),IF(ISNUMBER(Q49),Q49,IF(Q49="","",IFERROR(VALUE(TRIM(SUBSTITUTE(SUBSTITUTE(LOWER(Q49),"hrs",""),"hr",""))),"")))),IF(ISNUMBER(Q49),Q49,IF(Q49="","",IFERROR(VALUE(TRIM(SUBSTITUTE(SUBSTITUTE(LOWER(Q49),"hrs",""),"hr",""))),""))))</f>
        <v>23</v>
      </c>
      <c r="S49" s="57" t="n">
        <f aca="false">IFERROR(INDEX(RATES!$E$6:$E$28,MATCH(P49,RATES!$A$6:$A$28,0)),0)</f>
        <v>151.63</v>
      </c>
      <c r="T49" s="61" t="n">
        <f aca="false">IF(ISNUMBER(R49),R49,0)*S49</f>
        <v>3487.49</v>
      </c>
      <c r="U49" s="61" t="n">
        <f aca="false">T49*INDEX(INPUTS!$H$10:$H$14,MATCH(B49,INPUTS!$A$10:$A$14,0))</f>
        <v>645.18565</v>
      </c>
      <c r="V49" s="61" t="n">
        <f aca="false">N(STACK!K49)</f>
        <v>0</v>
      </c>
      <c r="W49" s="61" t="n">
        <f aca="false">T49+U49+V49</f>
        <v>4132.67565</v>
      </c>
      <c r="X49" s="61" t="n">
        <f aca="false">N(STACK!L49)</f>
        <v>0</v>
      </c>
      <c r="Y49" s="61" t="n">
        <f aca="false">W49-X49</f>
        <v>4132.67565</v>
      </c>
      <c r="Z49" s="1" t="n">
        <f aca="false">N(STACK!J49)</f>
        <v>0</v>
      </c>
      <c r="AA49" s="1" t="str">
        <f aca="false">TRIM(IF(D49="UNMAPPED","Program not mapped. ","")&amp;IF(OR(K49="UNMAPPED",K49="UNASSIGNED"),"Category needs review. ","")&amp;IF(P49="UNMAPPED","Title not mapped. ","")&amp;IF(AND(P49&lt;&gt;"No staff time",R49=""),"Missing hours. ","")&amp;IF(M49="","Date not readable. ","")&amp;IF(N49="No","Outside fiscal year. ","")&amp;IF(AND(F49="Event",ISNUMBER(R49)),IF(R49&gt;12,"Event hours look high. ",""),"")&amp;IF(G49&gt;0,"See CONFIRM sheet.",""))</f>
        <v/>
      </c>
      <c r="AB49" s="1" t="n">
        <f aca="false">IF(N49="No",0,IF(REVIEW!O49=0,0,IF(G49&gt;0,IF(INDEX(CONFIRM!$J$5:$J$53,G49)&lt;&gt;"",INDEX(CONFIRM!$J$5:$J$53,G49),1),1)))</f>
        <v>1</v>
      </c>
      <c r="AC49" s="1" t="n">
        <f aca="false">IF(AB49=1,IF(COUNTIFS($B$5:B49,B49,$D$5:D49,D49,$AB$5:AB49,1)=1,1,0),0)</f>
        <v>0</v>
      </c>
    </row>
    <row r="50" customFormat="false" ht="15" hidden="false" customHeight="false" outlineLevel="0" collapsed="false">
      <c r="A50" s="48" t="str">
        <f aca="false">STACK!A50</f>
        <v>KVMC-0046</v>
      </c>
      <c r="B50" s="48" t="str">
        <f aca="false">STACK!B50</f>
        <v>KVMC</v>
      </c>
      <c r="C50" s="48" t="str">
        <f aca="false">STACK!E50</f>
        <v>Community Hypertension Control Study</v>
      </c>
      <c r="D50" s="1" t="str">
        <f aca="false">IFERROR(INDEX(MAP!$J$7:$J$101,MATCH(TRIM(C50),MAP!$I$7:$I$101,0)),"UNMAPPED")</f>
        <v>Community Hypertension Control Study</v>
      </c>
      <c r="E50" s="1" t="str">
        <f aca="false">IFERROR(INDEX(MAP!$K$7:$K$101,MATCH(TRIM(C50),MAP!$I$7:$I$101,0)),"")</f>
        <v>Chronic disease prevention</v>
      </c>
      <c r="F50" s="1" t="str">
        <f aca="false">IFERROR(INDEX(MAP!$L$7:$L$101,MATCH(TRIM(C50),MAP!$I$7:$I$101,0)),"")</f>
        <v>Monthly</v>
      </c>
      <c r="G50" s="1" t="n">
        <f aca="false">IFERROR(MATCH(A50,CONFIRM!$A$5:$A$53,0),0)</f>
        <v>0</v>
      </c>
      <c r="H50" s="48" t="str">
        <f aca="false">STACK!F50</f>
        <v>Research</v>
      </c>
      <c r="I50" s="1" t="str">
        <f aca="false">IF(G50&gt;0,IF(INDEX(CONFIRM!$I$5:$I$53,G50)&lt;&gt;"",INDEX(CONFIRM!$I$5:$I$53,G50),H50),H50)</f>
        <v>Research</v>
      </c>
      <c r="J50" s="1" t="str">
        <f aca="false">IFERROR(INDEX(MAP!$F$7:$F$74,MATCH(TRIM(I50),MAP!$E$7:$E$74,0)),"UNMAPPED")</f>
        <v>Research</v>
      </c>
      <c r="K50" s="1" t="str">
        <f aca="false">IFERROR(INDEX(MAP!$G$7:$G$74,MATCH(TRIM(I50),MAP!$E$7:$E$74,0)),"UNMAPPED")</f>
        <v>7h</v>
      </c>
      <c r="L50" s="49" t="n">
        <f aca="false">STACK!G50</f>
        <v>45869</v>
      </c>
      <c r="M50" s="59" t="n">
        <f aca="false">IF(G50&gt;0,IF(INDEX(CONFIRM!$G$5:$G$53,G50)&lt;&gt;"",INDEX(CONFIRM!$G$5:$G$53,G50),IF(ISNUMBER(L50),L50,IFERROR(DATEVALUE(L50),""))),IF(ISNUMBER(L50),L50,IFERROR(DATEVALUE(L50),"")))</f>
        <v>45869</v>
      </c>
      <c r="N50" s="1" t="str">
        <f aca="false">IF(M50="","Check",IF(AND(M50&gt;=INPUTS!$C$6,M50&lt;=INPUTS!$C$7),"Yes","No"))</f>
        <v>Yes</v>
      </c>
      <c r="O50" s="48" t="str">
        <f aca="false">STACK!H50</f>
        <v>Research Coordinator</v>
      </c>
      <c r="P50" s="1" t="str">
        <f aca="false">IF(G50&gt;0,IF(INDEX(CONFIRM!$H$5:$H$53,G50)&lt;&gt;"",INDEX(CONFIRM!$H$5:$H$53,G50),IFERROR(INDEX(MAP!$B$7:$B$156,MATCH(TRIM(O50),MAP!$A$7:$A$156,0)),"UNMAPPED")),IFERROR(INDEX(MAP!$B$7:$B$156,MATCH(TRIM(O50),MAP!$A$7:$A$156,0)),"UNMAPPED"))</f>
        <v>Research Coordinator</v>
      </c>
      <c r="Q50" s="48" t="n">
        <f aca="false">STACK!I50</f>
        <v>174.75</v>
      </c>
      <c r="R50" s="60" t="n">
        <f aca="false">IF(G50&gt;0,IF(INDEX(CONFIRM!$F$5:$F$53,G50)&lt;&gt;"",INDEX(CONFIRM!$F$5:$F$53,G50),IF(ISNUMBER(Q50),Q50,IF(Q50="","",IFERROR(VALUE(TRIM(SUBSTITUTE(SUBSTITUTE(LOWER(Q50),"hrs",""),"hr",""))),"")))),IF(ISNUMBER(Q50),Q50,IF(Q50="","",IFERROR(VALUE(TRIM(SUBSTITUTE(SUBSTITUTE(LOWER(Q50),"hrs",""),"hr",""))),""))))</f>
        <v>174.75</v>
      </c>
      <c r="S50" s="57" t="n">
        <f aca="false">IFERROR(INDEX(RATES!$E$6:$E$28,MATCH(P50,RATES!$A$6:$A$28,0)),0)</f>
        <v>42.405</v>
      </c>
      <c r="T50" s="61" t="n">
        <f aca="false">IF(ISNUMBER(R50),R50,0)*S50</f>
        <v>7410.27375</v>
      </c>
      <c r="U50" s="61" t="n">
        <f aca="false">T50*INDEX(INPUTS!$H$10:$H$14,MATCH(B50,INPUTS!$A$10:$A$14,0))</f>
        <v>1370.90064375</v>
      </c>
      <c r="V50" s="61" t="n">
        <f aca="false">N(STACK!K50)</f>
        <v>10740</v>
      </c>
      <c r="W50" s="61" t="n">
        <f aca="false">T50+U50+V50</f>
        <v>19521.17439375</v>
      </c>
      <c r="X50" s="61" t="n">
        <f aca="false">N(STACK!L50)</f>
        <v>12080</v>
      </c>
      <c r="Y50" s="61" t="n">
        <f aca="false">W50-X50</f>
        <v>7441.17439375</v>
      </c>
      <c r="Z50" s="1" t="n">
        <f aca="false">N(STACK!J50)</f>
        <v>53</v>
      </c>
      <c r="AA50" s="1" t="str">
        <f aca="false">TRIM(IF(D50="UNMAPPED","Program not mapped. ","")&amp;IF(OR(K50="UNMAPPED",K50="UNASSIGNED"),"Category needs review. ","")&amp;IF(P50="UNMAPPED","Title not mapped. ","")&amp;IF(AND(P50&lt;&gt;"No staff time",R50=""),"Missing hours. ","")&amp;IF(M50="","Date not readable. ","")&amp;IF(N50="No","Outside fiscal year. ","")&amp;IF(AND(F50="Event",ISNUMBER(R50)),IF(R50&gt;12,"Event hours look high. ",""),"")&amp;IF(G50&gt;0,"See CONFIRM sheet.",""))</f>
        <v/>
      </c>
      <c r="AB50" s="1" t="n">
        <f aca="false">IF(N50="No",0,IF(REVIEW!O50=0,0,IF(G50&gt;0,IF(INDEX(CONFIRM!$J$5:$J$53,G50)&lt;&gt;"",INDEX(CONFIRM!$J$5:$J$53,G50),1),1)))</f>
        <v>1</v>
      </c>
      <c r="AC50" s="1" t="n">
        <f aca="false">IF(AB50=1,IF(COUNTIFS($B$5:B50,B50,$D$5:D50,D50,$AB$5:AB50,1)=1,1,0),0)</f>
        <v>0</v>
      </c>
    </row>
    <row r="51" customFormat="false" ht="15" hidden="false" customHeight="false" outlineLevel="0" collapsed="false">
      <c r="A51" s="48" t="str">
        <f aca="false">STACK!A51</f>
        <v>KVMC-0047</v>
      </c>
      <c r="B51" s="48" t="str">
        <f aca="false">STACK!B51</f>
        <v>KVMC</v>
      </c>
      <c r="C51" s="48" t="str">
        <f aca="false">STACK!E51</f>
        <v>Regional Health Coalition</v>
      </c>
      <c r="D51" s="1" t="str">
        <f aca="false">IFERROR(INDEX(MAP!$J$7:$J$101,MATCH(TRIM(C51),MAP!$I$7:$I$101,0)),"UNMAPPED")</f>
        <v>Regional Health Coalition</v>
      </c>
      <c r="E51" s="1" t="str">
        <f aca="false">IFERROR(INDEX(MAP!$K$7:$K$101,MATCH(TRIM(C51),MAP!$I$7:$I$101,0)),"")</f>
        <v>Community benefit infrastructure</v>
      </c>
      <c r="F51" s="1" t="str">
        <f aca="false">IFERROR(INDEX(MAP!$L$7:$L$101,MATCH(TRIM(C51),MAP!$I$7:$I$101,0)),"")</f>
        <v>Event</v>
      </c>
      <c r="G51" s="1" t="n">
        <f aca="false">IFERROR(MATCH(A51,CONFIRM!$A$5:$A$53,0),0)</f>
        <v>0</v>
      </c>
      <c r="H51" s="48" t="str">
        <f aca="false">STACK!F51</f>
        <v>Community Building - Coalition</v>
      </c>
      <c r="I51" s="1" t="str">
        <f aca="false">IF(G51&gt;0,IF(INDEX(CONFIRM!$I$5:$I$53,G51)&lt;&gt;"",INDEX(CONFIRM!$I$5:$I$53,G51),H51),H51)</f>
        <v>Community Building - Coalition</v>
      </c>
      <c r="J51" s="1" t="str">
        <f aca="false">IFERROR(INDEX(MAP!$F$7:$F$74,MATCH(TRIM(I51),MAP!$E$7:$E$74,0)),"UNMAPPED")</f>
        <v>Community building: coalition building</v>
      </c>
      <c r="K51" s="1" t="str">
        <f aca="false">IFERROR(INDEX(MAP!$G$7:$G$74,MATCH(TRIM(I51),MAP!$E$7:$E$74,0)),"UNMAPPED")</f>
        <v>II-6</v>
      </c>
      <c r="L51" s="49" t="n">
        <f aca="false">STACK!G51</f>
        <v>45873</v>
      </c>
      <c r="M51" s="59" t="n">
        <f aca="false">IF(G51&gt;0,IF(INDEX(CONFIRM!$G$5:$G$53,G51)&lt;&gt;"",INDEX(CONFIRM!$G$5:$G$53,G51),IF(ISNUMBER(L51),L51,IFERROR(DATEVALUE(L51),""))),IF(ISNUMBER(L51),L51,IFERROR(DATEVALUE(L51),"")))</f>
        <v>45873</v>
      </c>
      <c r="N51" s="1" t="str">
        <f aca="false">IF(M51="","Check",IF(AND(M51&gt;=INPUTS!$C$6,M51&lt;=INPUTS!$C$7),"Yes","No"))</f>
        <v>Yes</v>
      </c>
      <c r="O51" s="48" t="str">
        <f aca="false">STACK!H51</f>
        <v>Community Benefit Mgr</v>
      </c>
      <c r="P51" s="1" t="str">
        <f aca="false">IF(G51&gt;0,IF(INDEX(CONFIRM!$H$5:$H$53,G51)&lt;&gt;"",INDEX(CONFIRM!$H$5:$H$53,G51),IFERROR(INDEX(MAP!$B$7:$B$156,MATCH(TRIM(O51),MAP!$A$7:$A$156,0)),"UNMAPPED")),IFERROR(INDEX(MAP!$B$7:$B$156,MATCH(TRIM(O51),MAP!$A$7:$A$156,0)),"UNMAPPED"))</f>
        <v>Community Benefit Manager</v>
      </c>
      <c r="Q51" s="48" t="n">
        <f aca="false">STACK!I51</f>
        <v>2.75</v>
      </c>
      <c r="R51" s="60" t="n">
        <f aca="false">IF(G51&gt;0,IF(INDEX(CONFIRM!$F$5:$F$53,G51)&lt;&gt;"",INDEX(CONFIRM!$F$5:$F$53,G51),IF(ISNUMBER(Q51),Q51,IF(Q51="","",IFERROR(VALUE(TRIM(SUBSTITUTE(SUBSTITUTE(LOWER(Q51),"hrs",""),"hr",""))),"")))),IF(ISNUMBER(Q51),Q51,IF(Q51="","",IFERROR(VALUE(TRIM(SUBSTITUTE(SUBSTITUTE(LOWER(Q51),"hrs",""),"hr",""))),""))))</f>
        <v>2.75</v>
      </c>
      <c r="S51" s="57" t="n">
        <f aca="false">IFERROR(INDEX(RATES!$E$6:$E$28,MATCH(P51,RATES!$A$6:$A$28,0)),0)</f>
        <v>59.11</v>
      </c>
      <c r="T51" s="61" t="n">
        <f aca="false">IF(ISNUMBER(R51),R51,0)*S51</f>
        <v>162.5525</v>
      </c>
      <c r="U51" s="61" t="n">
        <f aca="false">T51*INDEX(INPUTS!$H$10:$H$14,MATCH(B51,INPUTS!$A$10:$A$14,0))</f>
        <v>30.0722125</v>
      </c>
      <c r="V51" s="61" t="n">
        <f aca="false">N(STACK!K51)</f>
        <v>0</v>
      </c>
      <c r="W51" s="61" t="n">
        <f aca="false">T51+U51+V51</f>
        <v>192.6247125</v>
      </c>
      <c r="X51" s="61" t="n">
        <f aca="false">N(STACK!L51)</f>
        <v>0</v>
      </c>
      <c r="Y51" s="61" t="n">
        <f aca="false">W51-X51</f>
        <v>192.6247125</v>
      </c>
      <c r="Z51" s="1" t="n">
        <f aca="false">N(STACK!J51)</f>
        <v>0</v>
      </c>
      <c r="AA51" s="1" t="str">
        <f aca="false">TRIM(IF(D51="UNMAPPED","Program not mapped. ","")&amp;IF(OR(K51="UNMAPPED",K51="UNASSIGNED"),"Category needs review. ","")&amp;IF(P51="UNMAPPED","Title not mapped. ","")&amp;IF(AND(P51&lt;&gt;"No staff time",R51=""),"Missing hours. ","")&amp;IF(M51="","Date not readable. ","")&amp;IF(N51="No","Outside fiscal year. ","")&amp;IF(AND(F51="Event",ISNUMBER(R51)),IF(R51&gt;12,"Event hours look high. ",""),"")&amp;IF(G51&gt;0,"See CONFIRM sheet.",""))</f>
        <v/>
      </c>
      <c r="AB51" s="1" t="n">
        <f aca="false">IF(N51="No",0,IF(REVIEW!O51=0,0,IF(G51&gt;0,IF(INDEX(CONFIRM!$J$5:$J$53,G51)&lt;&gt;"",INDEX(CONFIRM!$J$5:$J$53,G51),1),1)))</f>
        <v>1</v>
      </c>
      <c r="AC51" s="1" t="n">
        <f aca="false">IF(AB51=1,IF(COUNTIFS($B$5:B51,B51,$D$5:D51,D51,$AB$5:AB51,1)=1,1,0),0)</f>
        <v>1</v>
      </c>
    </row>
    <row r="52" customFormat="false" ht="15" hidden="false" customHeight="false" outlineLevel="0" collapsed="false">
      <c r="A52" s="48" t="str">
        <f aca="false">STACK!A52</f>
        <v>KVMC-0048</v>
      </c>
      <c r="B52" s="48" t="str">
        <f aca="false">STACK!B52</f>
        <v>KVMC</v>
      </c>
      <c r="C52" s="48" t="str">
        <f aca="false">STACK!E52</f>
        <v>Regional Health Coalition</v>
      </c>
      <c r="D52" s="1" t="str">
        <f aca="false">IFERROR(INDEX(MAP!$J$7:$J$101,MATCH(TRIM(C52),MAP!$I$7:$I$101,0)),"UNMAPPED")</f>
        <v>Regional Health Coalition</v>
      </c>
      <c r="E52" s="1" t="str">
        <f aca="false">IFERROR(INDEX(MAP!$K$7:$K$101,MATCH(TRIM(C52),MAP!$I$7:$I$101,0)),"")</f>
        <v>Community benefit infrastructure</v>
      </c>
      <c r="F52" s="1" t="str">
        <f aca="false">IFERROR(INDEX(MAP!$L$7:$L$101,MATCH(TRIM(C52),MAP!$I$7:$I$101,0)),"")</f>
        <v>Event</v>
      </c>
      <c r="G52" s="1" t="n">
        <f aca="false">IFERROR(MATCH(A52,CONFIRM!$A$5:$A$53,0),0)</f>
        <v>0</v>
      </c>
      <c r="H52" s="48" t="str">
        <f aca="false">STACK!F52</f>
        <v>Community Building - Coalition</v>
      </c>
      <c r="I52" s="1" t="str">
        <f aca="false">IF(G52&gt;0,IF(INDEX(CONFIRM!$I$5:$I$53,G52)&lt;&gt;"",INDEX(CONFIRM!$I$5:$I$53,G52),H52),H52)</f>
        <v>Community Building - Coalition</v>
      </c>
      <c r="J52" s="1" t="str">
        <f aca="false">IFERROR(INDEX(MAP!$F$7:$F$74,MATCH(TRIM(I52),MAP!$E$7:$E$74,0)),"UNMAPPED")</f>
        <v>Community building: coalition building</v>
      </c>
      <c r="K52" s="1" t="str">
        <f aca="false">IFERROR(INDEX(MAP!$G$7:$G$74,MATCH(TRIM(I52),MAP!$E$7:$E$74,0)),"UNMAPPED")</f>
        <v>II-6</v>
      </c>
      <c r="L52" s="49" t="n">
        <f aca="false">STACK!G52</f>
        <v>45873</v>
      </c>
      <c r="M52" s="59" t="n">
        <f aca="false">IF(G52&gt;0,IF(INDEX(CONFIRM!$G$5:$G$53,G52)&lt;&gt;"",INDEX(CONFIRM!$G$5:$G$53,G52),IF(ISNUMBER(L52),L52,IFERROR(DATEVALUE(L52),""))),IF(ISNUMBER(L52),L52,IFERROR(DATEVALUE(L52),"")))</f>
        <v>45873</v>
      </c>
      <c r="N52" s="1" t="str">
        <f aca="false">IF(M52="","Check",IF(AND(M52&gt;=INPUTS!$C$6,M52&lt;=INPUTS!$C$7),"Yes","No"))</f>
        <v>Yes</v>
      </c>
      <c r="O52" s="48" t="str">
        <f aca="false">STACK!H52</f>
        <v>executive director</v>
      </c>
      <c r="P52" s="1" t="str">
        <f aca="false">IF(G52&gt;0,IF(INDEX(CONFIRM!$H$5:$H$53,G52)&lt;&gt;"",INDEX(CONFIRM!$H$5:$H$53,G52),IFERROR(INDEX(MAP!$B$7:$B$156,MATCH(TRIM(O52),MAP!$A$7:$A$156,0)),"UNMAPPED")),IFERROR(INDEX(MAP!$B$7:$B$156,MATCH(TRIM(O52),MAP!$A$7:$A$156,0)),"UNMAPPED"))</f>
        <v>Director</v>
      </c>
      <c r="Q52" s="48" t="n">
        <f aca="false">STACK!I52</f>
        <v>2.5</v>
      </c>
      <c r="R52" s="60" t="n">
        <f aca="false">IF(G52&gt;0,IF(INDEX(CONFIRM!$F$5:$F$53,G52)&lt;&gt;"",INDEX(CONFIRM!$F$5:$F$53,G52),IF(ISNUMBER(Q52),Q52,IF(Q52="","",IFERROR(VALUE(TRIM(SUBSTITUTE(SUBSTITUTE(LOWER(Q52),"hrs",""),"hr",""))),"")))),IF(ISNUMBER(Q52),Q52,IF(Q52="","",IFERROR(VALUE(TRIM(SUBSTITUTE(SUBSTITUTE(LOWER(Q52),"hrs",""),"hr",""))),""))))</f>
        <v>2.5</v>
      </c>
      <c r="S52" s="57" t="n">
        <f aca="false">IFERROR(INDEX(RATES!$E$6:$E$28,MATCH(P52,RATES!$A$6:$A$28,0)),0)</f>
        <v>92.52</v>
      </c>
      <c r="T52" s="61" t="n">
        <f aca="false">IF(ISNUMBER(R52),R52,0)*S52</f>
        <v>231.3</v>
      </c>
      <c r="U52" s="61" t="n">
        <f aca="false">T52*INDEX(INPUTS!$H$10:$H$14,MATCH(B52,INPUTS!$A$10:$A$14,0))</f>
        <v>42.7905</v>
      </c>
      <c r="V52" s="61" t="n">
        <f aca="false">N(STACK!K52)</f>
        <v>145</v>
      </c>
      <c r="W52" s="61" t="n">
        <f aca="false">T52+U52+V52</f>
        <v>419.0905</v>
      </c>
      <c r="X52" s="61" t="n">
        <f aca="false">N(STACK!L52)</f>
        <v>0</v>
      </c>
      <c r="Y52" s="61" t="n">
        <f aca="false">W52-X52</f>
        <v>419.0905</v>
      </c>
      <c r="Z52" s="1" t="n">
        <f aca="false">N(STACK!J52)</f>
        <v>0</v>
      </c>
      <c r="AA52" s="1" t="str">
        <f aca="false">TRIM(IF(D52="UNMAPPED","Program not mapped. ","")&amp;IF(OR(K52="UNMAPPED",K52="UNASSIGNED"),"Category needs review. ","")&amp;IF(P52="UNMAPPED","Title not mapped. ","")&amp;IF(AND(P52&lt;&gt;"No staff time",R52=""),"Missing hours. ","")&amp;IF(M52="","Date not readable. ","")&amp;IF(N52="No","Outside fiscal year. ","")&amp;IF(AND(F52="Event",ISNUMBER(R52)),IF(R52&gt;12,"Event hours look high. ",""),"")&amp;IF(G52&gt;0,"See CONFIRM sheet.",""))</f>
        <v/>
      </c>
      <c r="AB52" s="1" t="n">
        <f aca="false">IF(N52="No",0,IF(REVIEW!O52=0,0,IF(G52&gt;0,IF(INDEX(CONFIRM!$J$5:$J$53,G52)&lt;&gt;"",INDEX(CONFIRM!$J$5:$J$53,G52),1),1)))</f>
        <v>1</v>
      </c>
      <c r="AC52" s="1" t="n">
        <f aca="false">IF(AB52=1,IF(COUNTIFS($B$5:B52,B52,$D$5:D52,D52,$AB$5:AB52,1)=1,1,0),0)</f>
        <v>0</v>
      </c>
    </row>
    <row r="53" customFormat="false" ht="15" hidden="false" customHeight="false" outlineLevel="0" collapsed="false">
      <c r="A53" s="48" t="str">
        <f aca="false">STACK!A53</f>
        <v>KVMC-0049</v>
      </c>
      <c r="B53" s="48" t="str">
        <f aca="false">STACK!B53</f>
        <v>KVMC</v>
      </c>
      <c r="C53" s="48" t="str">
        <f aca="false">STACK!E53</f>
        <v>Diabetes Prevention Classes</v>
      </c>
      <c r="D53" s="1" t="str">
        <f aca="false">IFERROR(INDEX(MAP!$J$7:$J$101,MATCH(TRIM(C53),MAP!$I$7:$I$101,0)),"UNMAPPED")</f>
        <v>Diabetes Prevention Classes</v>
      </c>
      <c r="E53" s="1" t="str">
        <f aca="false">IFERROR(INDEX(MAP!$K$7:$K$101,MATCH(TRIM(C53),MAP!$I$7:$I$101,0)),"")</f>
        <v>Chronic disease prevention</v>
      </c>
      <c r="F53" s="1" t="str">
        <f aca="false">IFERROR(INDEX(MAP!$L$7:$L$101,MATCH(TRIM(C53),MAP!$I$7:$I$101,0)),"")</f>
        <v>Event</v>
      </c>
      <c r="G53" s="1" t="n">
        <f aca="false">IFERROR(MATCH(A53,CONFIRM!$A$5:$A$53,0),0)</f>
        <v>0</v>
      </c>
      <c r="H53" s="48" t="str">
        <f aca="false">STACK!F53</f>
        <v>Community Health Education</v>
      </c>
      <c r="I53" s="1" t="str">
        <f aca="false">IF(G53&gt;0,IF(INDEX(CONFIRM!$I$5:$I$53,G53)&lt;&gt;"",INDEX(CONFIRM!$I$5:$I$53,G53),H53),H53)</f>
        <v>Community Health Education</v>
      </c>
      <c r="J53" s="1" t="str">
        <f aca="false">IFERROR(INDEX(MAP!$F$7:$F$74,MATCH(TRIM(I53),MAP!$E$7:$E$74,0)),"UNMAPPED")</f>
        <v>Community health education</v>
      </c>
      <c r="K53" s="1" t="str">
        <f aca="false">IFERROR(INDEX(MAP!$G$7:$G$74,MATCH(TRIM(I53),MAP!$E$7:$E$74,0)),"UNMAPPED")</f>
        <v>7e</v>
      </c>
      <c r="L53" s="49" t="n">
        <f aca="false">STACK!G53</f>
        <v>45874</v>
      </c>
      <c r="M53" s="59" t="n">
        <f aca="false">IF(G53&gt;0,IF(INDEX(CONFIRM!$G$5:$G$53,G53)&lt;&gt;"",INDEX(CONFIRM!$G$5:$G$53,G53),IF(ISNUMBER(L53),L53,IFERROR(DATEVALUE(L53),""))),IF(ISNUMBER(L53),L53,IFERROR(DATEVALUE(L53),"")))</f>
        <v>45874</v>
      </c>
      <c r="N53" s="1" t="str">
        <f aca="false">IF(M53="","Check",IF(AND(M53&gt;=INPUTS!$C$6,M53&lt;=INPUTS!$C$7),"Yes","No"))</f>
        <v>Yes</v>
      </c>
      <c r="O53" s="48" t="str">
        <f aca="false">STACK!H53</f>
        <v>Health Educator</v>
      </c>
      <c r="P53" s="1" t="str">
        <f aca="false">IF(G53&gt;0,IF(INDEX(CONFIRM!$H$5:$H$53,G53)&lt;&gt;"",INDEX(CONFIRM!$H$5:$H$53,G53),IFERROR(INDEX(MAP!$B$7:$B$156,MATCH(TRIM(O53),MAP!$A$7:$A$156,0)),"UNMAPPED")),IFERROR(INDEX(MAP!$B$7:$B$156,MATCH(TRIM(O53),MAP!$A$7:$A$156,0)),"UNMAPPED"))</f>
        <v>Health Educator</v>
      </c>
      <c r="Q53" s="48" t="n">
        <f aca="false">STACK!I53</f>
        <v>2.25</v>
      </c>
      <c r="R53" s="60" t="n">
        <f aca="false">IF(G53&gt;0,IF(INDEX(CONFIRM!$F$5:$F$53,G53)&lt;&gt;"",INDEX(CONFIRM!$F$5:$F$53,G53),IF(ISNUMBER(Q53),Q53,IF(Q53="","",IFERROR(VALUE(TRIM(SUBSTITUTE(SUBSTITUTE(LOWER(Q53),"hrs",""),"hr",""))),"")))),IF(ISNUMBER(Q53),Q53,IF(Q53="","",IFERROR(VALUE(TRIM(SUBSTITUTE(SUBSTITUTE(LOWER(Q53),"hrs",""),"hr",""))),""))))</f>
        <v>2.25</v>
      </c>
      <c r="S53" s="57" t="n">
        <f aca="false">IFERROR(INDEX(RATES!$E$6:$E$28,MATCH(P53,RATES!$A$6:$A$28,0)),0)</f>
        <v>37.265</v>
      </c>
      <c r="T53" s="61" t="n">
        <f aca="false">IF(ISNUMBER(R53),R53,0)*S53</f>
        <v>83.84625</v>
      </c>
      <c r="U53" s="61" t="n">
        <f aca="false">T53*INDEX(INPUTS!$H$10:$H$14,MATCH(B53,INPUTS!$A$10:$A$14,0))</f>
        <v>15.51155625</v>
      </c>
      <c r="V53" s="61" t="n">
        <f aca="false">N(STACK!K53)</f>
        <v>160</v>
      </c>
      <c r="W53" s="61" t="n">
        <f aca="false">T53+U53+V53</f>
        <v>259.35780625</v>
      </c>
      <c r="X53" s="61" t="n">
        <f aca="false">N(STACK!L53)</f>
        <v>0</v>
      </c>
      <c r="Y53" s="61" t="n">
        <f aca="false">W53-X53</f>
        <v>259.35780625</v>
      </c>
      <c r="Z53" s="1" t="n">
        <f aca="false">N(STACK!J53)</f>
        <v>18</v>
      </c>
      <c r="AA53" s="1" t="str">
        <f aca="false">TRIM(IF(D53="UNMAPPED","Program not mapped. ","")&amp;IF(OR(K53="UNMAPPED",K53="UNASSIGNED"),"Category needs review. ","")&amp;IF(P53="UNMAPPED","Title not mapped. ","")&amp;IF(AND(P53&lt;&gt;"No staff time",R53=""),"Missing hours. ","")&amp;IF(M53="","Date not readable. ","")&amp;IF(N53="No","Outside fiscal year. ","")&amp;IF(AND(F53="Event",ISNUMBER(R53)),IF(R53&gt;12,"Event hours look high. ",""),"")&amp;IF(G53&gt;0,"See CONFIRM sheet.",""))</f>
        <v/>
      </c>
      <c r="AB53" s="1" t="n">
        <f aca="false">IF(N53="No",0,IF(REVIEW!O53=0,0,IF(G53&gt;0,IF(INDEX(CONFIRM!$J$5:$J$53,G53)&lt;&gt;"",INDEX(CONFIRM!$J$5:$J$53,G53),1),1)))</f>
        <v>1</v>
      </c>
      <c r="AC53" s="1" t="n">
        <f aca="false">IF(AB53=1,IF(COUNTIFS($B$5:B53,B53,$D$5:D53,D53,$AB$5:AB53,1)=1,1,0),0)</f>
        <v>0</v>
      </c>
    </row>
    <row r="54" customFormat="false" ht="15" hidden="false" customHeight="false" outlineLevel="0" collapsed="false">
      <c r="A54" s="48" t="str">
        <f aca="false">STACK!A54</f>
        <v>KVMC-0050</v>
      </c>
      <c r="B54" s="48" t="str">
        <f aca="false">STACK!B54</f>
        <v>KVMC</v>
      </c>
      <c r="C54" s="48" t="str">
        <f aca="false">STACK!E54</f>
        <v>Diabetes Prevention Classes</v>
      </c>
      <c r="D54" s="1" t="str">
        <f aca="false">IFERROR(INDEX(MAP!$J$7:$J$101,MATCH(TRIM(C54),MAP!$I$7:$I$101,0)),"UNMAPPED")</f>
        <v>Diabetes Prevention Classes</v>
      </c>
      <c r="E54" s="1" t="str">
        <f aca="false">IFERROR(INDEX(MAP!$K$7:$K$101,MATCH(TRIM(C54),MAP!$I$7:$I$101,0)),"")</f>
        <v>Chronic disease prevention</v>
      </c>
      <c r="F54" s="1" t="str">
        <f aca="false">IFERROR(INDEX(MAP!$L$7:$L$101,MATCH(TRIM(C54),MAP!$I$7:$I$101,0)),"")</f>
        <v>Event</v>
      </c>
      <c r="G54" s="1" t="n">
        <f aca="false">IFERROR(MATCH(A54,CONFIRM!$A$5:$A$53,0),0)</f>
        <v>0</v>
      </c>
      <c r="H54" s="48" t="str">
        <f aca="false">STACK!F54</f>
        <v>Community Health Education</v>
      </c>
      <c r="I54" s="1" t="str">
        <f aca="false">IF(G54&gt;0,IF(INDEX(CONFIRM!$I$5:$I$53,G54)&lt;&gt;"",INDEX(CONFIRM!$I$5:$I$53,G54),H54),H54)</f>
        <v>Community Health Education</v>
      </c>
      <c r="J54" s="1" t="str">
        <f aca="false">IFERROR(INDEX(MAP!$F$7:$F$74,MATCH(TRIM(I54),MAP!$E$7:$E$74,0)),"UNMAPPED")</f>
        <v>Community health education</v>
      </c>
      <c r="K54" s="1" t="str">
        <f aca="false">IFERROR(INDEX(MAP!$G$7:$G$74,MATCH(TRIM(I54),MAP!$E$7:$E$74,0)),"UNMAPPED")</f>
        <v>7e</v>
      </c>
      <c r="L54" s="49" t="n">
        <f aca="false">STACK!G54</f>
        <v>45874</v>
      </c>
      <c r="M54" s="59" t="n">
        <f aca="false">IF(G54&gt;0,IF(INDEX(CONFIRM!$G$5:$G$53,G54)&lt;&gt;"",INDEX(CONFIRM!$G$5:$G$53,G54),IF(ISNUMBER(L54),L54,IFERROR(DATEVALUE(L54),""))),IF(ISNUMBER(L54),L54,IFERROR(DATEVALUE(L54),"")))</f>
        <v>45874</v>
      </c>
      <c r="N54" s="1" t="str">
        <f aca="false">IF(M54="","Check",IF(AND(M54&gt;=INPUTS!$C$6,M54&lt;=INPUTS!$C$7),"Yes","No"))</f>
        <v>Yes</v>
      </c>
      <c r="O54" s="48" t="str">
        <f aca="false">STACK!H54</f>
        <v>Nutritionist</v>
      </c>
      <c r="P54" s="1" t="str">
        <f aca="false">IF(G54&gt;0,IF(INDEX(CONFIRM!$H$5:$H$53,G54)&lt;&gt;"",INDEX(CONFIRM!$H$5:$H$53,G54),IFERROR(INDEX(MAP!$B$7:$B$156,MATCH(TRIM(O54),MAP!$A$7:$A$156,0)),"UNMAPPED")),IFERROR(INDEX(MAP!$B$7:$B$156,MATCH(TRIM(O54),MAP!$A$7:$A$156,0)),"UNMAPPED"))</f>
        <v>Registered Dietitian</v>
      </c>
      <c r="Q54" s="48" t="n">
        <f aca="false">STACK!I54</f>
        <v>1.5</v>
      </c>
      <c r="R54" s="60" t="n">
        <f aca="false">IF(G54&gt;0,IF(INDEX(CONFIRM!$F$5:$F$53,G54)&lt;&gt;"",INDEX(CONFIRM!$F$5:$F$53,G54),IF(ISNUMBER(Q54),Q54,IF(Q54="","",IFERROR(VALUE(TRIM(SUBSTITUTE(SUBSTITUTE(LOWER(Q54),"hrs",""),"hr",""))),"")))),IF(ISNUMBER(Q54),Q54,IF(Q54="","",IFERROR(VALUE(TRIM(SUBSTITUTE(SUBSTITUTE(LOWER(Q54),"hrs",""),"hr",""))),""))))</f>
        <v>1.5</v>
      </c>
      <c r="S54" s="57" t="n">
        <f aca="false">IFERROR(INDEX(RATES!$E$6:$E$28,MATCH(P54,RATES!$A$6:$A$28,0)),0)</f>
        <v>46.9025</v>
      </c>
      <c r="T54" s="61" t="n">
        <f aca="false">IF(ISNUMBER(R54),R54,0)*S54</f>
        <v>70.35375</v>
      </c>
      <c r="U54" s="61" t="n">
        <f aca="false">T54*INDEX(INPUTS!$H$10:$H$14,MATCH(B54,INPUTS!$A$10:$A$14,0))</f>
        <v>13.01544375</v>
      </c>
      <c r="V54" s="61" t="n">
        <f aca="false">N(STACK!K54)</f>
        <v>0</v>
      </c>
      <c r="W54" s="61" t="n">
        <f aca="false">T54+U54+V54</f>
        <v>83.36919375</v>
      </c>
      <c r="X54" s="61" t="n">
        <f aca="false">N(STACK!L54)</f>
        <v>0</v>
      </c>
      <c r="Y54" s="61" t="n">
        <f aca="false">W54-X54</f>
        <v>83.36919375</v>
      </c>
      <c r="Z54" s="1" t="n">
        <f aca="false">N(STACK!J54)</f>
        <v>0</v>
      </c>
      <c r="AA54" s="1" t="str">
        <f aca="false">TRIM(IF(D54="UNMAPPED","Program not mapped. ","")&amp;IF(OR(K54="UNMAPPED",K54="UNASSIGNED"),"Category needs review. ","")&amp;IF(P54="UNMAPPED","Title not mapped. ","")&amp;IF(AND(P54&lt;&gt;"No staff time",R54=""),"Missing hours. ","")&amp;IF(M54="","Date not readable. ","")&amp;IF(N54="No","Outside fiscal year. ","")&amp;IF(AND(F54="Event",ISNUMBER(R54)),IF(R54&gt;12,"Event hours look high. ",""),"")&amp;IF(G54&gt;0,"See CONFIRM sheet.",""))</f>
        <v/>
      </c>
      <c r="AB54" s="1" t="n">
        <f aca="false">IF(N54="No",0,IF(REVIEW!O54=0,0,IF(G54&gt;0,IF(INDEX(CONFIRM!$J$5:$J$53,G54)&lt;&gt;"",INDEX(CONFIRM!$J$5:$J$53,G54),1),1)))</f>
        <v>1</v>
      </c>
      <c r="AC54" s="1" t="n">
        <f aca="false">IF(AB54=1,IF(COUNTIFS($B$5:B54,B54,$D$5:D54,D54,$AB$5:AB54,1)=1,1,0),0)</f>
        <v>0</v>
      </c>
    </row>
    <row r="55" customFormat="false" ht="15" hidden="false" customHeight="false" outlineLevel="0" collapsed="false">
      <c r="A55" s="48" t="str">
        <f aca="false">STACK!A55</f>
        <v>KVMC-0051</v>
      </c>
      <c r="B55" s="48" t="str">
        <f aca="false">STACK!B55</f>
        <v>KVMC</v>
      </c>
      <c r="C55" s="48" t="str">
        <f aca="false">STACK!E55</f>
        <v>Naloxone Training and Distribution</v>
      </c>
      <c r="D55" s="1" t="str">
        <f aca="false">IFERROR(INDEX(MAP!$J$7:$J$101,MATCH(TRIM(C55),MAP!$I$7:$I$101,0)),"UNMAPPED")</f>
        <v>Naloxone Training and Distribution</v>
      </c>
      <c r="E55" s="1" t="str">
        <f aca="false">IFERROR(INDEX(MAP!$K$7:$K$101,MATCH(TRIM(C55),MAP!$I$7:$I$101,0)),"")</f>
        <v>Behavioral health</v>
      </c>
      <c r="F55" s="1" t="str">
        <f aca="false">IFERROR(INDEX(MAP!$L$7:$L$101,MATCH(TRIM(C55),MAP!$I$7:$I$101,0)),"")</f>
        <v>Event</v>
      </c>
      <c r="G55" s="1" t="n">
        <f aca="false">IFERROR(MATCH(A55,CONFIRM!$A$5:$A$53,0),0)</f>
        <v>0</v>
      </c>
      <c r="H55" s="48" t="str">
        <f aca="false">STACK!F55</f>
        <v>Community Health Education</v>
      </c>
      <c r="I55" s="1" t="str">
        <f aca="false">IF(G55&gt;0,IF(INDEX(CONFIRM!$I$5:$I$53,G55)&lt;&gt;"",INDEX(CONFIRM!$I$5:$I$53,G55),H55),H55)</f>
        <v>Community Health Education</v>
      </c>
      <c r="J55" s="1" t="str">
        <f aca="false">IFERROR(INDEX(MAP!$F$7:$F$74,MATCH(TRIM(I55),MAP!$E$7:$E$74,0)),"UNMAPPED")</f>
        <v>Community health education</v>
      </c>
      <c r="K55" s="1" t="str">
        <f aca="false">IFERROR(INDEX(MAP!$G$7:$G$74,MATCH(TRIM(I55),MAP!$E$7:$E$74,0)),"UNMAPPED")</f>
        <v>7e</v>
      </c>
      <c r="L55" s="49" t="n">
        <f aca="false">STACK!G55</f>
        <v>45876</v>
      </c>
      <c r="M55" s="59" t="n">
        <f aca="false">IF(G55&gt;0,IF(INDEX(CONFIRM!$G$5:$G$53,G55)&lt;&gt;"",INDEX(CONFIRM!$G$5:$G$53,G55),IF(ISNUMBER(L55),L55,IFERROR(DATEVALUE(L55),""))),IF(ISNUMBER(L55),L55,IFERROR(DATEVALUE(L55),"")))</f>
        <v>45876</v>
      </c>
      <c r="N55" s="1" t="str">
        <f aca="false">IF(M55="","Check",IF(AND(M55&gt;=INPUTS!$C$6,M55&lt;=INPUTS!$C$7),"Yes","No"))</f>
        <v>Yes</v>
      </c>
      <c r="O55" s="48" t="str">
        <f aca="false">STACK!H55</f>
        <v>Wellness Educator</v>
      </c>
      <c r="P55" s="1" t="str">
        <f aca="false">IF(G55&gt;0,IF(INDEX(CONFIRM!$H$5:$H$53,G55)&lt;&gt;"",INDEX(CONFIRM!$H$5:$H$53,G55),IFERROR(INDEX(MAP!$B$7:$B$156,MATCH(TRIM(O55),MAP!$A$7:$A$156,0)),"UNMAPPED")),IFERROR(INDEX(MAP!$B$7:$B$156,MATCH(TRIM(O55),MAP!$A$7:$A$156,0)),"UNMAPPED"))</f>
        <v>Health Educator</v>
      </c>
      <c r="Q55" s="48" t="n">
        <f aca="false">STACK!I55</f>
        <v>2</v>
      </c>
      <c r="R55" s="60" t="n">
        <f aca="false">IF(G55&gt;0,IF(INDEX(CONFIRM!$F$5:$F$53,G55)&lt;&gt;"",INDEX(CONFIRM!$F$5:$F$53,G55),IF(ISNUMBER(Q55),Q55,IF(Q55="","",IFERROR(VALUE(TRIM(SUBSTITUTE(SUBSTITUTE(LOWER(Q55),"hrs",""),"hr",""))),"")))),IF(ISNUMBER(Q55),Q55,IF(Q55="","",IFERROR(VALUE(TRIM(SUBSTITUTE(SUBSTITUTE(LOWER(Q55),"hrs",""),"hr",""))),""))))</f>
        <v>2</v>
      </c>
      <c r="S55" s="57" t="n">
        <f aca="false">IFERROR(INDEX(RATES!$E$6:$E$28,MATCH(P55,RATES!$A$6:$A$28,0)),0)</f>
        <v>37.265</v>
      </c>
      <c r="T55" s="61" t="n">
        <f aca="false">IF(ISNUMBER(R55),R55,0)*S55</f>
        <v>74.53</v>
      </c>
      <c r="U55" s="61" t="n">
        <f aca="false">T55*INDEX(INPUTS!$H$10:$H$14,MATCH(B55,INPUTS!$A$10:$A$14,0))</f>
        <v>13.78805</v>
      </c>
      <c r="V55" s="61" t="n">
        <f aca="false">N(STACK!K55)</f>
        <v>0</v>
      </c>
      <c r="W55" s="61" t="n">
        <f aca="false">T55+U55+V55</f>
        <v>88.31805</v>
      </c>
      <c r="X55" s="61" t="n">
        <f aca="false">N(STACK!L55)</f>
        <v>0</v>
      </c>
      <c r="Y55" s="61" t="n">
        <f aca="false">W55-X55</f>
        <v>88.31805</v>
      </c>
      <c r="Z55" s="1" t="n">
        <f aca="false">N(STACK!J55)</f>
        <v>0</v>
      </c>
      <c r="AA55" s="1" t="str">
        <f aca="false">TRIM(IF(D55="UNMAPPED","Program not mapped. ","")&amp;IF(OR(K55="UNMAPPED",K55="UNASSIGNED"),"Category needs review. ","")&amp;IF(P55="UNMAPPED","Title not mapped. ","")&amp;IF(AND(P55&lt;&gt;"No staff time",R55=""),"Missing hours. ","")&amp;IF(M55="","Date not readable. ","")&amp;IF(N55="No","Outside fiscal year. ","")&amp;IF(AND(F55="Event",ISNUMBER(R55)),IF(R55&gt;12,"Event hours look high. ",""),"")&amp;IF(G55&gt;0,"See CONFIRM sheet.",""))</f>
        <v/>
      </c>
      <c r="AB55" s="1" t="n">
        <f aca="false">IF(N55="No",0,IF(REVIEW!O55=0,0,IF(G55&gt;0,IF(INDEX(CONFIRM!$J$5:$J$53,G55)&lt;&gt;"",INDEX(CONFIRM!$J$5:$J$53,G55),1),1)))</f>
        <v>1</v>
      </c>
      <c r="AC55" s="1" t="n">
        <f aca="false">IF(AB55=1,IF(COUNTIFS($B$5:B55,B55,$D$5:D55,D55,$AB$5:AB55,1)=1,1,0),0)</f>
        <v>0</v>
      </c>
    </row>
    <row r="56" customFormat="false" ht="15" hidden="false" customHeight="false" outlineLevel="0" collapsed="false">
      <c r="A56" s="48" t="str">
        <f aca="false">STACK!A56</f>
        <v>KVMC-0052</v>
      </c>
      <c r="B56" s="48" t="str">
        <f aca="false">STACK!B56</f>
        <v>KVMC</v>
      </c>
      <c r="C56" s="48" t="str">
        <f aca="false">STACK!E56</f>
        <v>Naloxone Training and Distribution</v>
      </c>
      <c r="D56" s="1" t="str">
        <f aca="false">IFERROR(INDEX(MAP!$J$7:$J$101,MATCH(TRIM(C56),MAP!$I$7:$I$101,0)),"UNMAPPED")</f>
        <v>Naloxone Training and Distribution</v>
      </c>
      <c r="E56" s="1" t="str">
        <f aca="false">IFERROR(INDEX(MAP!$K$7:$K$101,MATCH(TRIM(C56),MAP!$I$7:$I$101,0)),"")</f>
        <v>Behavioral health</v>
      </c>
      <c r="F56" s="1" t="str">
        <f aca="false">IFERROR(INDEX(MAP!$L$7:$L$101,MATCH(TRIM(C56),MAP!$I$7:$I$101,0)),"")</f>
        <v>Event</v>
      </c>
      <c r="G56" s="1" t="n">
        <f aca="false">IFERROR(MATCH(A56,CONFIRM!$A$5:$A$53,0),0)</f>
        <v>0</v>
      </c>
      <c r="H56" s="48" t="str">
        <f aca="false">STACK!F56</f>
        <v>Community Health Education</v>
      </c>
      <c r="I56" s="1" t="str">
        <f aca="false">IF(G56&gt;0,IF(INDEX(CONFIRM!$I$5:$I$53,G56)&lt;&gt;"",INDEX(CONFIRM!$I$5:$I$53,G56),H56),H56)</f>
        <v>Community Health Education</v>
      </c>
      <c r="J56" s="1" t="str">
        <f aca="false">IFERROR(INDEX(MAP!$F$7:$F$74,MATCH(TRIM(I56),MAP!$E$7:$E$74,0)),"UNMAPPED")</f>
        <v>Community health education</v>
      </c>
      <c r="K56" s="1" t="str">
        <f aca="false">IFERROR(INDEX(MAP!$G$7:$G$74,MATCH(TRIM(I56),MAP!$E$7:$E$74,0)),"UNMAPPED")</f>
        <v>7e</v>
      </c>
      <c r="L56" s="49" t="n">
        <f aca="false">STACK!G56</f>
        <v>45876</v>
      </c>
      <c r="M56" s="59" t="n">
        <f aca="false">IF(G56&gt;0,IF(INDEX(CONFIRM!$G$5:$G$53,G56)&lt;&gt;"",INDEX(CONFIRM!$G$5:$G$53,G56),IF(ISNUMBER(L56),L56,IFERROR(DATEVALUE(L56),""))),IF(ISNUMBER(L56),L56,IFERROR(DATEVALUE(L56),"")))</f>
        <v>45876</v>
      </c>
      <c r="N56" s="1" t="str">
        <f aca="false">IF(M56="","Check",IF(AND(M56&gt;=INPUTS!$C$6,M56&lt;=INPUTS!$C$7),"Yes","No"))</f>
        <v>Yes</v>
      </c>
      <c r="O56" s="48" t="str">
        <f aca="false">STACK!H56</f>
        <v>Pharmacist</v>
      </c>
      <c r="P56" s="1" t="str">
        <f aca="false">IF(G56&gt;0,IF(INDEX(CONFIRM!$H$5:$H$53,G56)&lt;&gt;"",INDEX(CONFIRM!$H$5:$H$53,G56),IFERROR(INDEX(MAP!$B$7:$B$156,MATCH(TRIM(O56),MAP!$A$7:$A$156,0)),"UNMAPPED")),IFERROR(INDEX(MAP!$B$7:$B$156,MATCH(TRIM(O56),MAP!$A$7:$A$156,0)),"UNMAPPED"))</f>
        <v>Pharmacist</v>
      </c>
      <c r="Q56" s="48" t="n">
        <f aca="false">STACK!I56</f>
        <v>2.75</v>
      </c>
      <c r="R56" s="60" t="n">
        <f aca="false">IF(G56&gt;0,IF(INDEX(CONFIRM!$F$5:$F$53,G56)&lt;&gt;"",INDEX(CONFIRM!$F$5:$F$53,G56),IF(ISNUMBER(Q56),Q56,IF(Q56="","",IFERROR(VALUE(TRIM(SUBSTITUTE(SUBSTITUTE(LOWER(Q56),"hrs",""),"hr",""))),"")))),IF(ISNUMBER(Q56),Q56,IF(Q56="","",IFERROR(VALUE(TRIM(SUBSTITUTE(SUBSTITUTE(LOWER(Q56),"hrs",""),"hr",""))),""))))</f>
        <v>2.75</v>
      </c>
      <c r="S56" s="57" t="n">
        <f aca="false">IFERROR(INDEX(RATES!$E$6:$E$28,MATCH(P56,RATES!$A$6:$A$28,0)),0)</f>
        <v>84.81</v>
      </c>
      <c r="T56" s="61" t="n">
        <f aca="false">IF(ISNUMBER(R56),R56,0)*S56</f>
        <v>233.2275</v>
      </c>
      <c r="U56" s="61" t="n">
        <f aca="false">T56*INDEX(INPUTS!$H$10:$H$14,MATCH(B56,INPUTS!$A$10:$A$14,0))</f>
        <v>43.1470875</v>
      </c>
      <c r="V56" s="61" t="n">
        <f aca="false">N(STACK!K56)</f>
        <v>2550</v>
      </c>
      <c r="W56" s="61" t="n">
        <f aca="false">T56+U56+V56</f>
        <v>2826.3745875</v>
      </c>
      <c r="X56" s="61" t="n">
        <f aca="false">N(STACK!L56)</f>
        <v>985</v>
      </c>
      <c r="Y56" s="61" t="n">
        <f aca="false">W56-X56</f>
        <v>1841.3745875</v>
      </c>
      <c r="Z56" s="1" t="n">
        <f aca="false">N(STACK!J56)</f>
        <v>19</v>
      </c>
      <c r="AA56" s="1" t="str">
        <f aca="false">TRIM(IF(D56="UNMAPPED","Program not mapped. ","")&amp;IF(OR(K56="UNMAPPED",K56="UNASSIGNED"),"Category needs review. ","")&amp;IF(P56="UNMAPPED","Title not mapped. ","")&amp;IF(AND(P56&lt;&gt;"No staff time",R56=""),"Missing hours. ","")&amp;IF(M56="","Date not readable. ","")&amp;IF(N56="No","Outside fiscal year. ","")&amp;IF(AND(F56="Event",ISNUMBER(R56)),IF(R56&gt;12,"Event hours look high. ",""),"")&amp;IF(G56&gt;0,"See CONFIRM sheet.",""))</f>
        <v/>
      </c>
      <c r="AB56" s="1" t="n">
        <f aca="false">IF(N56="No",0,IF(REVIEW!O56=0,0,IF(G56&gt;0,IF(INDEX(CONFIRM!$J$5:$J$53,G56)&lt;&gt;"",INDEX(CONFIRM!$J$5:$J$53,G56),1),1)))</f>
        <v>1</v>
      </c>
      <c r="AC56" s="1" t="n">
        <f aca="false">IF(AB56=1,IF(COUNTIFS($B$5:B56,B56,$D$5:D56,D56,$AB$5:AB56,1)=1,1,0),0)</f>
        <v>0</v>
      </c>
    </row>
    <row r="57" customFormat="false" ht="15" hidden="false" customHeight="false" outlineLevel="0" collapsed="false">
      <c r="A57" s="48" t="str">
        <f aca="false">STACK!A57</f>
        <v>KVMC-0053</v>
      </c>
      <c r="B57" s="48" t="str">
        <f aca="false">STACK!B57</f>
        <v>KVMC</v>
      </c>
      <c r="C57" s="48" t="str">
        <f aca="false">STACK!E57</f>
        <v>Community Blood Pressure Checks</v>
      </c>
      <c r="D57" s="1" t="str">
        <f aca="false">IFERROR(INDEX(MAP!$J$7:$J$101,MATCH(TRIM(C57),MAP!$I$7:$I$101,0)),"UNMAPPED")</f>
        <v>Community Blood Pressure Checks</v>
      </c>
      <c r="E57" s="1" t="str">
        <f aca="false">IFERROR(INDEX(MAP!$K$7:$K$101,MATCH(TRIM(C57),MAP!$I$7:$I$101,0)),"")</f>
        <v>Chronic disease prevention</v>
      </c>
      <c r="F57" s="1" t="str">
        <f aca="false">IFERROR(INDEX(MAP!$L$7:$L$101,MATCH(TRIM(C57),MAP!$I$7:$I$101,0)),"")</f>
        <v>Event</v>
      </c>
      <c r="G57" s="1" t="n">
        <f aca="false">IFERROR(MATCH(A57,CONFIRM!$A$5:$A$53,0),0)</f>
        <v>0</v>
      </c>
      <c r="H57" s="48" t="str">
        <f aca="false">STACK!F57</f>
        <v>Community-Based Clinical Services</v>
      </c>
      <c r="I57" s="1" t="str">
        <f aca="false">IF(G57&gt;0,IF(INDEX(CONFIRM!$I$5:$I$53,G57)&lt;&gt;"",INDEX(CONFIRM!$I$5:$I$53,G57),H57),H57)</f>
        <v>Community-Based Clinical Services</v>
      </c>
      <c r="J57" s="1" t="str">
        <f aca="false">IFERROR(INDEX(MAP!$F$7:$F$74,MATCH(TRIM(I57),MAP!$E$7:$E$74,0)),"UNMAPPED")</f>
        <v>Community-based clinical services</v>
      </c>
      <c r="K57" s="1" t="str">
        <f aca="false">IFERROR(INDEX(MAP!$G$7:$G$74,MATCH(TRIM(I57),MAP!$E$7:$E$74,0)),"UNMAPPED")</f>
        <v>7e</v>
      </c>
      <c r="L57" s="49" t="n">
        <f aca="false">STACK!G57</f>
        <v>45878</v>
      </c>
      <c r="M57" s="59" t="n">
        <f aca="false">IF(G57&gt;0,IF(INDEX(CONFIRM!$G$5:$G$53,G57)&lt;&gt;"",INDEX(CONFIRM!$G$5:$G$53,G57),IF(ISNUMBER(L57),L57,IFERROR(DATEVALUE(L57),""))),IF(ISNUMBER(L57),L57,IFERROR(DATEVALUE(L57),"")))</f>
        <v>45878</v>
      </c>
      <c r="N57" s="1" t="str">
        <f aca="false">IF(M57="","Check",IF(AND(M57&gt;=INPUTS!$C$6,M57&lt;=INPUTS!$C$7),"Yes","No"))</f>
        <v>Yes</v>
      </c>
      <c r="O57" s="48" t="str">
        <f aca="false">STACK!H57</f>
        <v>Reg Nurse</v>
      </c>
      <c r="P57" s="1" t="str">
        <f aca="false">IF(G57&gt;0,IF(INDEX(CONFIRM!$H$5:$H$53,G57)&lt;&gt;"",INDEX(CONFIRM!$H$5:$H$53,G57),IFERROR(INDEX(MAP!$B$7:$B$156,MATCH(TRIM(O57),MAP!$A$7:$A$156,0)),"UNMAPPED")),IFERROR(INDEX(MAP!$B$7:$B$156,MATCH(TRIM(O57),MAP!$A$7:$A$156,0)),"UNMAPPED"))</f>
        <v>Registered Nurse</v>
      </c>
      <c r="Q57" s="48" t="n">
        <f aca="false">STACK!I57</f>
        <v>3.5</v>
      </c>
      <c r="R57" s="60" t="n">
        <f aca="false">IF(G57&gt;0,IF(INDEX(CONFIRM!$F$5:$F$53,G57)&lt;&gt;"",INDEX(CONFIRM!$F$5:$F$53,G57),IF(ISNUMBER(Q57),Q57,IF(Q57="","",IFERROR(VALUE(TRIM(SUBSTITUTE(SUBSTITUTE(LOWER(Q57),"hrs",""),"hr",""))),"")))),IF(ISNUMBER(Q57),Q57,IF(Q57="","",IFERROR(VALUE(TRIM(SUBSTITUTE(SUBSTITUTE(LOWER(Q57),"hrs",""),"hr",""))),""))))</f>
        <v>3.5</v>
      </c>
      <c r="S57" s="57" t="n">
        <f aca="false">IFERROR(INDEX(RATES!$E$6:$E$28,MATCH(P57,RATES!$A$6:$A$28,0)),0)</f>
        <v>55.8975</v>
      </c>
      <c r="T57" s="61" t="n">
        <f aca="false">IF(ISNUMBER(R57),R57,0)*S57</f>
        <v>195.64125</v>
      </c>
      <c r="U57" s="61" t="n">
        <f aca="false">T57*INDEX(INPUTS!$H$10:$H$14,MATCH(B57,INPUTS!$A$10:$A$14,0))</f>
        <v>36.19363125</v>
      </c>
      <c r="V57" s="61" t="n">
        <f aca="false">N(STACK!K57)</f>
        <v>100</v>
      </c>
      <c r="W57" s="61" t="n">
        <f aca="false">T57+U57+V57</f>
        <v>331.83488125</v>
      </c>
      <c r="X57" s="61" t="n">
        <f aca="false">N(STACK!L57)</f>
        <v>0</v>
      </c>
      <c r="Y57" s="61" t="n">
        <f aca="false">W57-X57</f>
        <v>331.83488125</v>
      </c>
      <c r="Z57" s="1" t="n">
        <f aca="false">N(STACK!J57)</f>
        <v>74</v>
      </c>
      <c r="AA57" s="1" t="str">
        <f aca="false">TRIM(IF(D57="UNMAPPED","Program not mapped. ","")&amp;IF(OR(K57="UNMAPPED",K57="UNASSIGNED"),"Category needs review. ","")&amp;IF(P57="UNMAPPED","Title not mapped. ","")&amp;IF(AND(P57&lt;&gt;"No staff time",R57=""),"Missing hours. ","")&amp;IF(M57="","Date not readable. ","")&amp;IF(N57="No","Outside fiscal year. ","")&amp;IF(AND(F57="Event",ISNUMBER(R57)),IF(R57&gt;12,"Event hours look high. ",""),"")&amp;IF(G57&gt;0,"See CONFIRM sheet.",""))</f>
        <v/>
      </c>
      <c r="AB57" s="1" t="n">
        <f aca="false">IF(N57="No",0,IF(REVIEW!O57=0,0,IF(G57&gt;0,IF(INDEX(CONFIRM!$J$5:$J$53,G57)&lt;&gt;"",INDEX(CONFIRM!$J$5:$J$53,G57),1),1)))</f>
        <v>1</v>
      </c>
      <c r="AC57" s="1" t="n">
        <f aca="false">IF(AB57=1,IF(COUNTIFS($B$5:B57,B57,$D$5:D57,D57,$AB$5:AB57,1)=1,1,0),0)</f>
        <v>0</v>
      </c>
    </row>
    <row r="58" customFormat="false" ht="15" hidden="false" customHeight="false" outlineLevel="0" collapsed="false">
      <c r="A58" s="48" t="str">
        <f aca="false">STACK!A58</f>
        <v>KVMC-0054</v>
      </c>
      <c r="B58" s="48" t="str">
        <f aca="false">STACK!B58</f>
        <v>KVMC</v>
      </c>
      <c r="C58" s="48" t="str">
        <f aca="false">STACK!E58</f>
        <v>Affordable Housing Partnership</v>
      </c>
      <c r="D58" s="1" t="str">
        <f aca="false">IFERROR(INDEX(MAP!$J$7:$J$101,MATCH(TRIM(C58),MAP!$I$7:$I$101,0)),"UNMAPPED")</f>
        <v>Affordable Housing Partnership</v>
      </c>
      <c r="E58" s="1" t="str">
        <f aca="false">IFERROR(INDEX(MAP!$K$7:$K$101,MATCH(TRIM(C58),MAP!$I$7:$I$101,0)),"")</f>
        <v>Food and housing security</v>
      </c>
      <c r="F58" s="1" t="str">
        <f aca="false">IFERROR(INDEX(MAP!$L$7:$L$101,MATCH(TRIM(C58),MAP!$I$7:$I$101,0)),"")</f>
        <v>Event</v>
      </c>
      <c r="G58" s="1" t="n">
        <f aca="false">IFERROR(MATCH(A58,CONFIRM!$A$5:$A$53,0),0)</f>
        <v>0</v>
      </c>
      <c r="H58" s="48" t="str">
        <f aca="false">STACK!F58</f>
        <v>Community Building - Housing</v>
      </c>
      <c r="I58" s="1" t="str">
        <f aca="false">IF(G58&gt;0,IF(INDEX(CONFIRM!$I$5:$I$53,G58)&lt;&gt;"",INDEX(CONFIRM!$I$5:$I$53,G58),H58),H58)</f>
        <v>Community Building - Housing</v>
      </c>
      <c r="J58" s="1" t="str">
        <f aca="false">IFERROR(INDEX(MAP!$F$7:$F$74,MATCH(TRIM(I58),MAP!$E$7:$E$74,0)),"UNMAPPED")</f>
        <v>Community building: physical improvements and housing</v>
      </c>
      <c r="K58" s="1" t="str">
        <f aca="false">IFERROR(INDEX(MAP!$G$7:$G$74,MATCH(TRIM(I58),MAP!$E$7:$E$74,0)),"UNMAPPED")</f>
        <v>II-1</v>
      </c>
      <c r="L58" s="49" t="n">
        <f aca="false">STACK!G58</f>
        <v>45878</v>
      </c>
      <c r="M58" s="59" t="n">
        <f aca="false">IF(G58&gt;0,IF(INDEX(CONFIRM!$G$5:$G$53,G58)&lt;&gt;"",INDEX(CONFIRM!$G$5:$G$53,G58),IF(ISNUMBER(L58),L58,IFERROR(DATEVALUE(L58),""))),IF(ISNUMBER(L58),L58,IFERROR(DATEVALUE(L58),"")))</f>
        <v>45878</v>
      </c>
      <c r="N58" s="1" t="str">
        <f aca="false">IF(M58="","Check",IF(AND(M58&gt;=INPUTS!$C$6,M58&lt;=INPUTS!$C$7),"Yes","No"))</f>
        <v>Yes</v>
      </c>
      <c r="O58" s="48" t="str">
        <f aca="false">STACK!H58</f>
        <v>Director, Mission</v>
      </c>
      <c r="P58" s="1" t="str">
        <f aca="false">IF(G58&gt;0,IF(INDEX(CONFIRM!$H$5:$H$53,G58)&lt;&gt;"",INDEX(CONFIRM!$H$5:$H$53,G58),IFERROR(INDEX(MAP!$B$7:$B$156,MATCH(TRIM(O58),MAP!$A$7:$A$156,0)),"UNMAPPED")),IFERROR(INDEX(MAP!$B$7:$B$156,MATCH(TRIM(O58),MAP!$A$7:$A$156,0)),"UNMAPPED"))</f>
        <v>Director</v>
      </c>
      <c r="Q58" s="48" t="n">
        <f aca="false">STACK!I58</f>
        <v>5.5</v>
      </c>
      <c r="R58" s="60" t="n">
        <f aca="false">IF(G58&gt;0,IF(INDEX(CONFIRM!$F$5:$F$53,G58)&lt;&gt;"",INDEX(CONFIRM!$F$5:$F$53,G58),IF(ISNUMBER(Q58),Q58,IF(Q58="","",IFERROR(VALUE(TRIM(SUBSTITUTE(SUBSTITUTE(LOWER(Q58),"hrs",""),"hr",""))),"")))),IF(ISNUMBER(Q58),Q58,IF(Q58="","",IFERROR(VALUE(TRIM(SUBSTITUTE(SUBSTITUTE(LOWER(Q58),"hrs",""),"hr",""))),""))))</f>
        <v>5.5</v>
      </c>
      <c r="S58" s="57" t="n">
        <f aca="false">IFERROR(INDEX(RATES!$E$6:$E$28,MATCH(P58,RATES!$A$6:$A$28,0)),0)</f>
        <v>92.52</v>
      </c>
      <c r="T58" s="61" t="n">
        <f aca="false">IF(ISNUMBER(R58),R58,0)*S58</f>
        <v>508.86</v>
      </c>
      <c r="U58" s="61" t="n">
        <f aca="false">T58*INDEX(INPUTS!$H$10:$H$14,MATCH(B58,INPUTS!$A$10:$A$14,0))</f>
        <v>94.1391</v>
      </c>
      <c r="V58" s="61" t="n">
        <f aca="false">N(STACK!K58)</f>
        <v>44005</v>
      </c>
      <c r="W58" s="61" t="n">
        <f aca="false">T58+U58+V58</f>
        <v>44607.9991</v>
      </c>
      <c r="X58" s="61" t="n">
        <f aca="false">N(STACK!L58)</f>
        <v>0</v>
      </c>
      <c r="Y58" s="61" t="n">
        <f aca="false">W58-X58</f>
        <v>44607.9991</v>
      </c>
      <c r="Z58" s="1" t="n">
        <f aca="false">N(STACK!J58)</f>
        <v>0</v>
      </c>
      <c r="AA58" s="1" t="str">
        <f aca="false">TRIM(IF(D58="UNMAPPED","Program not mapped. ","")&amp;IF(OR(K58="UNMAPPED",K58="UNASSIGNED"),"Category needs review. ","")&amp;IF(P58="UNMAPPED","Title not mapped. ","")&amp;IF(AND(P58&lt;&gt;"No staff time",R58=""),"Missing hours. ","")&amp;IF(M58="","Date not readable. ","")&amp;IF(N58="No","Outside fiscal year. ","")&amp;IF(AND(F58="Event",ISNUMBER(R58)),IF(R58&gt;12,"Event hours look high. ",""),"")&amp;IF(G58&gt;0,"See CONFIRM sheet.",""))</f>
        <v/>
      </c>
      <c r="AB58" s="1" t="n">
        <f aca="false">IF(N58="No",0,IF(REVIEW!O58=0,0,IF(G58&gt;0,IF(INDEX(CONFIRM!$J$5:$J$53,G58)&lt;&gt;"",INDEX(CONFIRM!$J$5:$J$53,G58),1),1)))</f>
        <v>1</v>
      </c>
      <c r="AC58" s="1" t="n">
        <f aca="false">IF(AB58=1,IF(COUNTIFS($B$5:B58,B58,$D$5:D58,D58,$AB$5:AB58,1)=1,1,0),0)</f>
        <v>0</v>
      </c>
    </row>
    <row r="59" customFormat="false" ht="15" hidden="false" customHeight="false" outlineLevel="0" collapsed="false">
      <c r="A59" s="48" t="str">
        <f aca="false">STACK!A59</f>
        <v>KVMC-0055</v>
      </c>
      <c r="B59" s="48" t="str">
        <f aca="false">STACK!B59</f>
        <v>KVMC</v>
      </c>
      <c r="C59" s="48" t="str">
        <f aca="false">STACK!E59</f>
        <v>Affordable Housing Partnership</v>
      </c>
      <c r="D59" s="1" t="str">
        <f aca="false">IFERROR(INDEX(MAP!$J$7:$J$101,MATCH(TRIM(C59),MAP!$I$7:$I$101,0)),"UNMAPPED")</f>
        <v>Affordable Housing Partnership</v>
      </c>
      <c r="E59" s="1" t="str">
        <f aca="false">IFERROR(INDEX(MAP!$K$7:$K$101,MATCH(TRIM(C59),MAP!$I$7:$I$101,0)),"")</f>
        <v>Food and housing security</v>
      </c>
      <c r="F59" s="1" t="str">
        <f aca="false">IFERROR(INDEX(MAP!$L$7:$L$101,MATCH(TRIM(C59),MAP!$I$7:$I$101,0)),"")</f>
        <v>Event</v>
      </c>
      <c r="G59" s="1" t="n">
        <f aca="false">IFERROR(MATCH(A59,CONFIRM!$A$5:$A$53,0),0)</f>
        <v>0</v>
      </c>
      <c r="H59" s="48" t="str">
        <f aca="false">STACK!F59</f>
        <v>Community Building - Housing</v>
      </c>
      <c r="I59" s="1" t="str">
        <f aca="false">IF(G59&gt;0,IF(INDEX(CONFIRM!$I$5:$I$53,G59)&lt;&gt;"",INDEX(CONFIRM!$I$5:$I$53,G59),H59),H59)</f>
        <v>Community Building - Housing</v>
      </c>
      <c r="J59" s="1" t="str">
        <f aca="false">IFERROR(INDEX(MAP!$F$7:$F$74,MATCH(TRIM(I59),MAP!$E$7:$E$74,0)),"UNMAPPED")</f>
        <v>Community building: physical improvements and housing</v>
      </c>
      <c r="K59" s="1" t="str">
        <f aca="false">IFERROR(INDEX(MAP!$G$7:$G$74,MATCH(TRIM(I59),MAP!$E$7:$E$74,0)),"UNMAPPED")</f>
        <v>II-1</v>
      </c>
      <c r="L59" s="49" t="n">
        <f aca="false">STACK!G59</f>
        <v>45878</v>
      </c>
      <c r="M59" s="59" t="n">
        <f aca="false">IF(G59&gt;0,IF(INDEX(CONFIRM!$G$5:$G$53,G59)&lt;&gt;"",INDEX(CONFIRM!$G$5:$G$53,G59),IF(ISNUMBER(L59),L59,IFERROR(DATEVALUE(L59),""))),IF(ISNUMBER(L59),L59,IFERROR(DATEVALUE(L59),"")))</f>
        <v>45878</v>
      </c>
      <c r="N59" s="1" t="str">
        <f aca="false">IF(M59="","Check",IF(AND(M59&gt;=INPUTS!$C$6,M59&lt;=INPUTS!$C$7),"Yes","No"))</f>
        <v>Yes</v>
      </c>
      <c r="O59" s="48" t="str">
        <f aca="false">STACK!H59</f>
        <v>Event Coordinator</v>
      </c>
      <c r="P59" s="1" t="str">
        <f aca="false">IF(G59&gt;0,IF(INDEX(CONFIRM!$H$5:$H$53,G59)&lt;&gt;"",INDEX(CONFIRM!$H$5:$H$53,G59),IFERROR(INDEX(MAP!$B$7:$B$156,MATCH(TRIM(O59),MAP!$A$7:$A$156,0)),"UNMAPPED")),IFERROR(INDEX(MAP!$B$7:$B$156,MATCH(TRIM(O59),MAP!$A$7:$A$156,0)),"UNMAPPED"))</f>
        <v>Program Coordinator</v>
      </c>
      <c r="Q59" s="48" t="n">
        <f aca="false">STACK!I59</f>
        <v>9.75</v>
      </c>
      <c r="R59" s="60" t="n">
        <f aca="false">IF(G59&gt;0,IF(INDEX(CONFIRM!$F$5:$F$53,G59)&lt;&gt;"",INDEX(CONFIRM!$F$5:$F$53,G59),IF(ISNUMBER(Q59),Q59,IF(Q59="","",IFERROR(VALUE(TRIM(SUBSTITUTE(SUBSTITUTE(LOWER(Q59),"hrs",""),"hr",""))),"")))),IF(ISNUMBER(Q59),Q59,IF(Q59="","",IFERROR(VALUE(TRIM(SUBSTITUTE(SUBSTITUTE(LOWER(Q59),"hrs",""),"hr",""))),""))))</f>
        <v>9.75</v>
      </c>
      <c r="S59" s="57" t="n">
        <f aca="false">IFERROR(INDEX(RATES!$E$6:$E$28,MATCH(P59,RATES!$A$6:$A$28,0)),0)</f>
        <v>35.3375</v>
      </c>
      <c r="T59" s="61" t="n">
        <f aca="false">IF(ISNUMBER(R59),R59,0)*S59</f>
        <v>344.540625</v>
      </c>
      <c r="U59" s="61" t="n">
        <f aca="false">T59*INDEX(INPUTS!$H$10:$H$14,MATCH(B59,INPUTS!$A$10:$A$14,0))</f>
        <v>63.740015625</v>
      </c>
      <c r="V59" s="61" t="n">
        <f aca="false">N(STACK!K59)</f>
        <v>0</v>
      </c>
      <c r="W59" s="61" t="n">
        <f aca="false">T59+U59+V59</f>
        <v>408.280640625</v>
      </c>
      <c r="X59" s="61" t="n">
        <f aca="false">N(STACK!L59)</f>
        <v>0</v>
      </c>
      <c r="Y59" s="61" t="n">
        <f aca="false">W59-X59</f>
        <v>408.280640625</v>
      </c>
      <c r="Z59" s="1" t="n">
        <f aca="false">N(STACK!J59)</f>
        <v>0</v>
      </c>
      <c r="AA59" s="1" t="str">
        <f aca="false">TRIM(IF(D59="UNMAPPED","Program not mapped. ","")&amp;IF(OR(K59="UNMAPPED",K59="UNASSIGNED"),"Category needs review. ","")&amp;IF(P59="UNMAPPED","Title not mapped. ","")&amp;IF(AND(P59&lt;&gt;"No staff time",R59=""),"Missing hours. ","")&amp;IF(M59="","Date not readable. ","")&amp;IF(N59="No","Outside fiscal year. ","")&amp;IF(AND(F59="Event",ISNUMBER(R59)),IF(R59&gt;12,"Event hours look high. ",""),"")&amp;IF(G59&gt;0,"See CONFIRM sheet.",""))</f>
        <v/>
      </c>
      <c r="AB59" s="1" t="n">
        <f aca="false">IF(N59="No",0,IF(REVIEW!O59=0,0,IF(G59&gt;0,IF(INDEX(CONFIRM!$J$5:$J$53,G59)&lt;&gt;"",INDEX(CONFIRM!$J$5:$J$53,G59),1),1)))</f>
        <v>1</v>
      </c>
      <c r="AC59" s="1" t="n">
        <f aca="false">IF(AB59=1,IF(COUNTIFS($B$5:B59,B59,$D$5:D59,D59,$AB$5:AB59,1)=1,1,0),0)</f>
        <v>0</v>
      </c>
    </row>
    <row r="60" customFormat="false" ht="15" hidden="false" customHeight="false" outlineLevel="0" collapsed="false">
      <c r="A60" s="48" t="str">
        <f aca="false">STACK!A60</f>
        <v>KVMC-0056</v>
      </c>
      <c r="B60" s="48" t="str">
        <f aca="false">STACK!B60</f>
        <v>KVMC</v>
      </c>
      <c r="C60" s="48" t="str">
        <f aca="false">STACK!E60</f>
        <v>In-Kind Medical Supply Donations</v>
      </c>
      <c r="D60" s="1" t="str">
        <f aca="false">IFERROR(INDEX(MAP!$J$7:$J$101,MATCH(TRIM(C60),MAP!$I$7:$I$101,0)),"UNMAPPED")</f>
        <v>In-Kind Medical Supply Donations</v>
      </c>
      <c r="E60" s="1" t="str">
        <f aca="false">IFERROR(INDEX(MAP!$K$7:$K$101,MATCH(TRIM(C60),MAP!$I$7:$I$101,0)),"")</f>
        <v>Access to care</v>
      </c>
      <c r="F60" s="1" t="str">
        <f aca="false">IFERROR(INDEX(MAP!$L$7:$L$101,MATCH(TRIM(C60),MAP!$I$7:$I$101,0)),"")</f>
        <v>Contribution</v>
      </c>
      <c r="G60" s="1" t="n">
        <f aca="false">IFERROR(MATCH(A60,CONFIRM!$A$5:$A$53,0),0)</f>
        <v>0</v>
      </c>
      <c r="H60" s="48" t="str">
        <f aca="false">STACK!F60</f>
        <v>Cash &amp; In-Kind Donations</v>
      </c>
      <c r="I60" s="1" t="str">
        <f aca="false">IF(G60&gt;0,IF(INDEX(CONFIRM!$I$5:$I$53,G60)&lt;&gt;"",INDEX(CONFIRM!$I$5:$I$53,G60),H60),H60)</f>
        <v>Cash &amp; In-Kind Donations</v>
      </c>
      <c r="J60" s="1" t="str">
        <f aca="false">IFERROR(INDEX(MAP!$F$7:$F$74,MATCH(TRIM(I60),MAP!$E$7:$E$74,0)),"UNMAPPED")</f>
        <v>Cash and in-kind contributions</v>
      </c>
      <c r="K60" s="1" t="str">
        <f aca="false">IFERROR(INDEX(MAP!$G$7:$G$74,MATCH(TRIM(I60),MAP!$E$7:$E$74,0)),"UNMAPPED")</f>
        <v>7i</v>
      </c>
      <c r="L60" s="49" t="n">
        <f aca="false">STACK!G60</f>
        <v>45881</v>
      </c>
      <c r="M60" s="59" t="n">
        <f aca="false">IF(G60&gt;0,IF(INDEX(CONFIRM!$G$5:$G$53,G60)&lt;&gt;"",INDEX(CONFIRM!$G$5:$G$53,G60),IF(ISNUMBER(L60),L60,IFERROR(DATEVALUE(L60),""))),IF(ISNUMBER(L60),L60,IFERROR(DATEVALUE(L60),"")))</f>
        <v>45881</v>
      </c>
      <c r="N60" s="1" t="str">
        <f aca="false">IF(M60="","Check",IF(AND(M60&gt;=INPUTS!$C$6,M60&lt;=INPUTS!$C$7),"Yes","No"))</f>
        <v>Yes</v>
      </c>
      <c r="O60" s="48" t="str">
        <f aca="false">STACK!H60</f>
        <v>N/A </v>
      </c>
      <c r="P60" s="1" t="str">
        <f aca="false">IF(G60&gt;0,IF(INDEX(CONFIRM!$H$5:$H$53,G60)&lt;&gt;"",INDEX(CONFIRM!$H$5:$H$53,G60),IFERROR(INDEX(MAP!$B$7:$B$156,MATCH(TRIM(O60),MAP!$A$7:$A$156,0)),"UNMAPPED")),IFERROR(INDEX(MAP!$B$7:$B$156,MATCH(TRIM(O60),MAP!$A$7:$A$156,0)),"UNMAPPED"))</f>
        <v>No staff time</v>
      </c>
      <c r="Q60" s="48" t="n">
        <f aca="false">STACK!I60</f>
        <v>0</v>
      </c>
      <c r="R60" s="60" t="n">
        <f aca="false">IF(G60&gt;0,IF(INDEX(CONFIRM!$F$5:$F$53,G60)&lt;&gt;"",INDEX(CONFIRM!$F$5:$F$53,G60),IF(ISNUMBER(Q60),Q60,IF(Q60="","",IFERROR(VALUE(TRIM(SUBSTITUTE(SUBSTITUTE(LOWER(Q60),"hrs",""),"hr",""))),"")))),IF(ISNUMBER(Q60),Q60,IF(Q60="","",IFERROR(VALUE(TRIM(SUBSTITUTE(SUBSTITUTE(LOWER(Q60),"hrs",""),"hr",""))),""))))</f>
        <v>0</v>
      </c>
      <c r="S60" s="57" t="n">
        <f aca="false">IFERROR(INDEX(RATES!$E$6:$E$28,MATCH(P60,RATES!$A$6:$A$28,0)),0)</f>
        <v>0</v>
      </c>
      <c r="T60" s="61" t="n">
        <f aca="false">IF(ISNUMBER(R60),R60,0)*S60</f>
        <v>0</v>
      </c>
      <c r="U60" s="61" t="n">
        <f aca="false">T60*INDEX(INPUTS!$H$10:$H$14,MATCH(B60,INPUTS!$A$10:$A$14,0))</f>
        <v>0</v>
      </c>
      <c r="V60" s="61" t="n">
        <f aca="false">N(STACK!K60)</f>
        <v>9090</v>
      </c>
      <c r="W60" s="61" t="n">
        <f aca="false">T60+U60+V60</f>
        <v>9090</v>
      </c>
      <c r="X60" s="61" t="n">
        <f aca="false">N(STACK!L60)</f>
        <v>0</v>
      </c>
      <c r="Y60" s="61" t="n">
        <f aca="false">W60-X60</f>
        <v>9090</v>
      </c>
      <c r="Z60" s="1" t="n">
        <f aca="false">N(STACK!J60)</f>
        <v>0</v>
      </c>
      <c r="AA60" s="1" t="str">
        <f aca="false">TRIM(IF(D60="UNMAPPED","Program not mapped. ","")&amp;IF(OR(K60="UNMAPPED",K60="UNASSIGNED"),"Category needs review. ","")&amp;IF(P60="UNMAPPED","Title not mapped. ","")&amp;IF(AND(P60&lt;&gt;"No staff time",R60=""),"Missing hours. ","")&amp;IF(M60="","Date not readable. ","")&amp;IF(N60="No","Outside fiscal year. ","")&amp;IF(AND(F60="Event",ISNUMBER(R60)),IF(R60&gt;12,"Event hours look high. ",""),"")&amp;IF(G60&gt;0,"See CONFIRM sheet.",""))</f>
        <v/>
      </c>
      <c r="AB60" s="1" t="n">
        <f aca="false">IF(N60="No",0,IF(REVIEW!O60=0,0,IF(G60&gt;0,IF(INDEX(CONFIRM!$J$5:$J$53,G60)&lt;&gt;"",INDEX(CONFIRM!$J$5:$J$53,G60),1),1)))</f>
        <v>1</v>
      </c>
      <c r="AC60" s="1" t="n">
        <f aca="false">IF(AB60=1,IF(COUNTIFS($B$5:B60,B60,$D$5:D60,D60,$AB$5:AB60,1)=1,1,0),0)</f>
        <v>1</v>
      </c>
    </row>
    <row r="61" customFormat="false" ht="15" hidden="false" customHeight="false" outlineLevel="0" collapsed="false">
      <c r="A61" s="48" t="str">
        <f aca="false">STACK!A61</f>
        <v>KVMC-0057</v>
      </c>
      <c r="B61" s="48" t="str">
        <f aca="false">STACK!B61</f>
        <v>KVMC</v>
      </c>
      <c r="C61" s="48" t="str">
        <f aca="false">STACK!E61</f>
        <v>Regional Health Coalition</v>
      </c>
      <c r="D61" s="1" t="str">
        <f aca="false">IFERROR(INDEX(MAP!$J$7:$J$101,MATCH(TRIM(C61),MAP!$I$7:$I$101,0)),"UNMAPPED")</f>
        <v>Regional Health Coalition</v>
      </c>
      <c r="E61" s="1" t="str">
        <f aca="false">IFERROR(INDEX(MAP!$K$7:$K$101,MATCH(TRIM(C61),MAP!$I$7:$I$101,0)),"")</f>
        <v>Community benefit infrastructure</v>
      </c>
      <c r="F61" s="1" t="str">
        <f aca="false">IFERROR(INDEX(MAP!$L$7:$L$101,MATCH(TRIM(C61),MAP!$I$7:$I$101,0)),"")</f>
        <v>Event</v>
      </c>
      <c r="G61" s="1" t="n">
        <f aca="false">IFERROR(MATCH(A61,CONFIRM!$A$5:$A$53,0),0)</f>
        <v>0</v>
      </c>
      <c r="H61" s="48" t="str">
        <f aca="false">STACK!F61</f>
        <v>Community Building - Coalition</v>
      </c>
      <c r="I61" s="1" t="str">
        <f aca="false">IF(G61&gt;0,IF(INDEX(CONFIRM!$I$5:$I$53,G61)&lt;&gt;"",INDEX(CONFIRM!$I$5:$I$53,G61),H61),H61)</f>
        <v>Community Building - Coalition</v>
      </c>
      <c r="J61" s="1" t="str">
        <f aca="false">IFERROR(INDEX(MAP!$F$7:$F$74,MATCH(TRIM(I61),MAP!$E$7:$E$74,0)),"UNMAPPED")</f>
        <v>Community building: coalition building</v>
      </c>
      <c r="K61" s="1" t="str">
        <f aca="false">IFERROR(INDEX(MAP!$G$7:$G$74,MATCH(TRIM(I61),MAP!$E$7:$E$74,0)),"UNMAPPED")</f>
        <v>II-6</v>
      </c>
      <c r="L61" s="49" t="n">
        <f aca="false">STACK!G61</f>
        <v>45883</v>
      </c>
      <c r="M61" s="59" t="n">
        <f aca="false">IF(G61&gt;0,IF(INDEX(CONFIRM!$G$5:$G$53,G61)&lt;&gt;"",INDEX(CONFIRM!$G$5:$G$53,G61),IF(ISNUMBER(L61),L61,IFERROR(DATEVALUE(L61),""))),IF(ISNUMBER(L61),L61,IFERROR(DATEVALUE(L61),"")))</f>
        <v>45883</v>
      </c>
      <c r="N61" s="1" t="str">
        <f aca="false">IF(M61="","Check",IF(AND(M61&gt;=INPUTS!$C$6,M61&lt;=INPUTS!$C$7),"Yes","No"))</f>
        <v>Yes</v>
      </c>
      <c r="O61" s="48" t="str">
        <f aca="false">STACK!H61</f>
        <v>Community Benefit Manager</v>
      </c>
      <c r="P61" s="1" t="str">
        <f aca="false">IF(G61&gt;0,IF(INDEX(CONFIRM!$H$5:$H$53,G61)&lt;&gt;"",INDEX(CONFIRM!$H$5:$H$53,G61),IFERROR(INDEX(MAP!$B$7:$B$156,MATCH(TRIM(O61),MAP!$A$7:$A$156,0)),"UNMAPPED")),IFERROR(INDEX(MAP!$B$7:$B$156,MATCH(TRIM(O61),MAP!$A$7:$A$156,0)),"UNMAPPED"))</f>
        <v>Community Benefit Manager</v>
      </c>
      <c r="Q61" s="48" t="n">
        <f aca="false">STACK!I61</f>
        <v>2.5</v>
      </c>
      <c r="R61" s="60" t="n">
        <f aca="false">IF(G61&gt;0,IF(INDEX(CONFIRM!$F$5:$F$53,G61)&lt;&gt;"",INDEX(CONFIRM!$F$5:$F$53,G61),IF(ISNUMBER(Q61),Q61,IF(Q61="","",IFERROR(VALUE(TRIM(SUBSTITUTE(SUBSTITUTE(LOWER(Q61),"hrs",""),"hr",""))),"")))),IF(ISNUMBER(Q61),Q61,IF(Q61="","",IFERROR(VALUE(TRIM(SUBSTITUTE(SUBSTITUTE(LOWER(Q61),"hrs",""),"hr",""))),""))))</f>
        <v>2.5</v>
      </c>
      <c r="S61" s="57" t="n">
        <f aca="false">IFERROR(INDEX(RATES!$E$6:$E$28,MATCH(P61,RATES!$A$6:$A$28,0)),0)</f>
        <v>59.11</v>
      </c>
      <c r="T61" s="61" t="n">
        <f aca="false">IF(ISNUMBER(R61),R61,0)*S61</f>
        <v>147.775</v>
      </c>
      <c r="U61" s="61" t="n">
        <f aca="false">T61*INDEX(INPUTS!$H$10:$H$14,MATCH(B61,INPUTS!$A$10:$A$14,0))</f>
        <v>27.338375</v>
      </c>
      <c r="V61" s="61" t="n">
        <f aca="false">N(STACK!K61)</f>
        <v>0</v>
      </c>
      <c r="W61" s="61" t="n">
        <f aca="false">T61+U61+V61</f>
        <v>175.113375</v>
      </c>
      <c r="X61" s="61" t="n">
        <f aca="false">N(STACK!L61)</f>
        <v>0</v>
      </c>
      <c r="Y61" s="61" t="n">
        <f aca="false">W61-X61</f>
        <v>175.113375</v>
      </c>
      <c r="Z61" s="1" t="n">
        <f aca="false">N(STACK!J61)</f>
        <v>0</v>
      </c>
      <c r="AA61" s="1" t="str">
        <f aca="false">TRIM(IF(D61="UNMAPPED","Program not mapped. ","")&amp;IF(OR(K61="UNMAPPED",K61="UNASSIGNED"),"Category needs review. ","")&amp;IF(P61="UNMAPPED","Title not mapped. ","")&amp;IF(AND(P61&lt;&gt;"No staff time",R61=""),"Missing hours. ","")&amp;IF(M61="","Date not readable. ","")&amp;IF(N61="No","Outside fiscal year. ","")&amp;IF(AND(F61="Event",ISNUMBER(R61)),IF(R61&gt;12,"Event hours look high. ",""),"")&amp;IF(G61&gt;0,"See CONFIRM sheet.",""))</f>
        <v/>
      </c>
      <c r="AB61" s="1" t="n">
        <f aca="false">IF(N61="No",0,IF(REVIEW!O61=0,0,IF(G61&gt;0,IF(INDEX(CONFIRM!$J$5:$J$53,G61)&lt;&gt;"",INDEX(CONFIRM!$J$5:$J$53,G61),1),1)))</f>
        <v>1</v>
      </c>
      <c r="AC61" s="1" t="n">
        <f aca="false">IF(AB61=1,IF(COUNTIFS($B$5:B61,B61,$D$5:D61,D61,$AB$5:AB61,1)=1,1,0),0)</f>
        <v>0</v>
      </c>
    </row>
    <row r="62" customFormat="false" ht="15" hidden="false" customHeight="false" outlineLevel="0" collapsed="false">
      <c r="A62" s="48" t="str">
        <f aca="false">STACK!A62</f>
        <v>KVMC-0058</v>
      </c>
      <c r="B62" s="48" t="str">
        <f aca="false">STACK!B62</f>
        <v>KVMC</v>
      </c>
      <c r="C62" s="48" t="str">
        <f aca="false">STACK!E62</f>
        <v>Regional Health Coalition</v>
      </c>
      <c r="D62" s="1" t="str">
        <f aca="false">IFERROR(INDEX(MAP!$J$7:$J$101,MATCH(TRIM(C62),MAP!$I$7:$I$101,0)),"UNMAPPED")</f>
        <v>Regional Health Coalition</v>
      </c>
      <c r="E62" s="1" t="str">
        <f aca="false">IFERROR(INDEX(MAP!$K$7:$K$101,MATCH(TRIM(C62),MAP!$I$7:$I$101,0)),"")</f>
        <v>Community benefit infrastructure</v>
      </c>
      <c r="F62" s="1" t="str">
        <f aca="false">IFERROR(INDEX(MAP!$L$7:$L$101,MATCH(TRIM(C62),MAP!$I$7:$I$101,0)),"")</f>
        <v>Event</v>
      </c>
      <c r="G62" s="1" t="n">
        <f aca="false">IFERROR(MATCH(A62,CONFIRM!$A$5:$A$53,0),0)</f>
        <v>0</v>
      </c>
      <c r="H62" s="48" t="str">
        <f aca="false">STACK!F62</f>
        <v>Community Building - Coalition</v>
      </c>
      <c r="I62" s="1" t="str">
        <f aca="false">IF(G62&gt;0,IF(INDEX(CONFIRM!$I$5:$I$53,G62)&lt;&gt;"",INDEX(CONFIRM!$I$5:$I$53,G62),H62),H62)</f>
        <v>Community Building - Coalition</v>
      </c>
      <c r="J62" s="1" t="str">
        <f aca="false">IFERROR(INDEX(MAP!$F$7:$F$74,MATCH(TRIM(I62),MAP!$E$7:$E$74,0)),"UNMAPPED")</f>
        <v>Community building: coalition building</v>
      </c>
      <c r="K62" s="1" t="str">
        <f aca="false">IFERROR(INDEX(MAP!$G$7:$G$74,MATCH(TRIM(I62),MAP!$E$7:$E$74,0)),"UNMAPPED")</f>
        <v>II-6</v>
      </c>
      <c r="L62" s="49" t="n">
        <f aca="false">STACK!G62</f>
        <v>45883</v>
      </c>
      <c r="M62" s="59" t="n">
        <f aca="false">IF(G62&gt;0,IF(INDEX(CONFIRM!$G$5:$G$53,G62)&lt;&gt;"",INDEX(CONFIRM!$G$5:$G$53,G62),IF(ISNUMBER(L62),L62,IFERROR(DATEVALUE(L62),""))),IF(ISNUMBER(L62),L62,IFERROR(DATEVALUE(L62),"")))</f>
        <v>45883</v>
      </c>
      <c r="N62" s="1" t="str">
        <f aca="false">IF(M62="","Check",IF(AND(M62&gt;=INPUTS!$C$6,M62&lt;=INPUTS!$C$7),"Yes","No"))</f>
        <v>Yes</v>
      </c>
      <c r="O62" s="48" t="str">
        <f aca="false">STACK!H62</f>
        <v>Director of Community Health</v>
      </c>
      <c r="P62" s="1" t="str">
        <f aca="false">IF(G62&gt;0,IF(INDEX(CONFIRM!$H$5:$H$53,G62)&lt;&gt;"",INDEX(CONFIRM!$H$5:$H$53,G62),IFERROR(INDEX(MAP!$B$7:$B$156,MATCH(TRIM(O62),MAP!$A$7:$A$156,0)),"UNMAPPED")),IFERROR(INDEX(MAP!$B$7:$B$156,MATCH(TRIM(O62),MAP!$A$7:$A$156,0)),"UNMAPPED"))</f>
        <v>Director</v>
      </c>
      <c r="Q62" s="48" t="n">
        <f aca="false">STACK!I62</f>
        <v>2.25</v>
      </c>
      <c r="R62" s="60" t="n">
        <f aca="false">IF(G62&gt;0,IF(INDEX(CONFIRM!$F$5:$F$53,G62)&lt;&gt;"",INDEX(CONFIRM!$F$5:$F$53,G62),IF(ISNUMBER(Q62),Q62,IF(Q62="","",IFERROR(VALUE(TRIM(SUBSTITUTE(SUBSTITUTE(LOWER(Q62),"hrs",""),"hr",""))),"")))),IF(ISNUMBER(Q62),Q62,IF(Q62="","",IFERROR(VALUE(TRIM(SUBSTITUTE(SUBSTITUTE(LOWER(Q62),"hrs",""),"hr",""))),""))))</f>
        <v>2.25</v>
      </c>
      <c r="S62" s="57" t="n">
        <f aca="false">IFERROR(INDEX(RATES!$E$6:$E$28,MATCH(P62,RATES!$A$6:$A$28,0)),0)</f>
        <v>92.52</v>
      </c>
      <c r="T62" s="61" t="n">
        <f aca="false">IF(ISNUMBER(R62),R62,0)*S62</f>
        <v>208.17</v>
      </c>
      <c r="U62" s="61" t="n">
        <f aca="false">T62*INDEX(INPUTS!$H$10:$H$14,MATCH(B62,INPUTS!$A$10:$A$14,0))</f>
        <v>38.51145</v>
      </c>
      <c r="V62" s="61" t="n">
        <f aca="false">N(STACK!K62)</f>
        <v>90</v>
      </c>
      <c r="W62" s="61" t="n">
        <f aca="false">T62+U62+V62</f>
        <v>336.68145</v>
      </c>
      <c r="X62" s="61" t="n">
        <f aca="false">N(STACK!L62)</f>
        <v>0</v>
      </c>
      <c r="Y62" s="61" t="n">
        <f aca="false">W62-X62</f>
        <v>336.68145</v>
      </c>
      <c r="Z62" s="1" t="n">
        <f aca="false">N(STACK!J62)</f>
        <v>0</v>
      </c>
      <c r="AA62" s="1" t="str">
        <f aca="false">TRIM(IF(D62="UNMAPPED","Program not mapped. ","")&amp;IF(OR(K62="UNMAPPED",K62="UNASSIGNED"),"Category needs review. ","")&amp;IF(P62="UNMAPPED","Title not mapped. ","")&amp;IF(AND(P62&lt;&gt;"No staff time",R62=""),"Missing hours. ","")&amp;IF(M62="","Date not readable. ","")&amp;IF(N62="No","Outside fiscal year. ","")&amp;IF(AND(F62="Event",ISNUMBER(R62)),IF(R62&gt;12,"Event hours look high. ",""),"")&amp;IF(G62&gt;0,"See CONFIRM sheet.",""))</f>
        <v/>
      </c>
      <c r="AB62" s="1" t="n">
        <f aca="false">IF(N62="No",0,IF(REVIEW!O62=0,0,IF(G62&gt;0,IF(INDEX(CONFIRM!$J$5:$J$53,G62)&lt;&gt;"",INDEX(CONFIRM!$J$5:$J$53,G62),1),1)))</f>
        <v>1</v>
      </c>
      <c r="AC62" s="1" t="n">
        <f aca="false">IF(AB62=1,IF(COUNTIFS($B$5:B62,B62,$D$5:D62,D62,$AB$5:AB62,1)=1,1,0),0)</f>
        <v>0</v>
      </c>
    </row>
    <row r="63" customFormat="false" ht="15" hidden="false" customHeight="false" outlineLevel="0" collapsed="false">
      <c r="A63" s="48" t="str">
        <f aca="false">STACK!A63</f>
        <v>KVMC-0059</v>
      </c>
      <c r="B63" s="48" t="str">
        <f aca="false">STACK!B63</f>
        <v>KVMC</v>
      </c>
      <c r="C63" s="48" t="str">
        <f aca="false">STACK!E63</f>
        <v>Naloxone Training and Distribution</v>
      </c>
      <c r="D63" s="1" t="str">
        <f aca="false">IFERROR(INDEX(MAP!$J$7:$J$101,MATCH(TRIM(C63),MAP!$I$7:$I$101,0)),"UNMAPPED")</f>
        <v>Naloxone Training and Distribution</v>
      </c>
      <c r="E63" s="1" t="str">
        <f aca="false">IFERROR(INDEX(MAP!$K$7:$K$101,MATCH(TRIM(C63),MAP!$I$7:$I$101,0)),"")</f>
        <v>Behavioral health</v>
      </c>
      <c r="F63" s="1" t="str">
        <f aca="false">IFERROR(INDEX(MAP!$L$7:$L$101,MATCH(TRIM(C63),MAP!$I$7:$I$101,0)),"")</f>
        <v>Event</v>
      </c>
      <c r="G63" s="1" t="n">
        <f aca="false">IFERROR(MATCH(A63,CONFIRM!$A$5:$A$53,0),0)</f>
        <v>0</v>
      </c>
      <c r="H63" s="48" t="str">
        <f aca="false">STACK!F63</f>
        <v>Community Health Education</v>
      </c>
      <c r="I63" s="1" t="str">
        <f aca="false">IF(G63&gt;0,IF(INDEX(CONFIRM!$I$5:$I$53,G63)&lt;&gt;"",INDEX(CONFIRM!$I$5:$I$53,G63),H63),H63)</f>
        <v>Community Health Education</v>
      </c>
      <c r="J63" s="1" t="str">
        <f aca="false">IFERROR(INDEX(MAP!$F$7:$F$74,MATCH(TRIM(I63),MAP!$E$7:$E$74,0)),"UNMAPPED")</f>
        <v>Community health education</v>
      </c>
      <c r="K63" s="1" t="str">
        <f aca="false">IFERROR(INDEX(MAP!$G$7:$G$74,MATCH(TRIM(I63),MAP!$E$7:$E$74,0)),"UNMAPPED")</f>
        <v>7e</v>
      </c>
      <c r="L63" s="49" t="n">
        <f aca="false">STACK!G63</f>
        <v>45889</v>
      </c>
      <c r="M63" s="59" t="n">
        <f aca="false">IF(G63&gt;0,IF(INDEX(CONFIRM!$G$5:$G$53,G63)&lt;&gt;"",INDEX(CONFIRM!$G$5:$G$53,G63),IF(ISNUMBER(L63),L63,IFERROR(DATEVALUE(L63),""))),IF(ISNUMBER(L63),L63,IFERROR(DATEVALUE(L63),"")))</f>
        <v>45889</v>
      </c>
      <c r="N63" s="1" t="str">
        <f aca="false">IF(M63="","Check",IF(AND(M63&gt;=INPUTS!$C$6,M63&lt;=INPUTS!$C$7),"Yes","No"))</f>
        <v>Yes</v>
      </c>
      <c r="O63" s="48" t="str">
        <f aca="false">STACK!H63</f>
        <v> CHES </v>
      </c>
      <c r="P63" s="1" t="str">
        <f aca="false">IF(G63&gt;0,IF(INDEX(CONFIRM!$H$5:$H$53,G63)&lt;&gt;"",INDEX(CONFIRM!$H$5:$H$53,G63),IFERROR(INDEX(MAP!$B$7:$B$156,MATCH(TRIM(O63),MAP!$A$7:$A$156,0)),"UNMAPPED")),IFERROR(INDEX(MAP!$B$7:$B$156,MATCH(TRIM(O63),MAP!$A$7:$A$156,0)),"UNMAPPED"))</f>
        <v>Health Educator</v>
      </c>
      <c r="Q63" s="48" t="n">
        <f aca="false">STACK!I63</f>
        <v>2.5</v>
      </c>
      <c r="R63" s="60" t="n">
        <f aca="false">IF(G63&gt;0,IF(INDEX(CONFIRM!$F$5:$F$53,G63)&lt;&gt;"",INDEX(CONFIRM!$F$5:$F$53,G63),IF(ISNUMBER(Q63),Q63,IF(Q63="","",IFERROR(VALUE(TRIM(SUBSTITUTE(SUBSTITUTE(LOWER(Q63),"hrs",""),"hr",""))),"")))),IF(ISNUMBER(Q63),Q63,IF(Q63="","",IFERROR(VALUE(TRIM(SUBSTITUTE(SUBSTITUTE(LOWER(Q63),"hrs",""),"hr",""))),""))))</f>
        <v>2.5</v>
      </c>
      <c r="S63" s="57" t="n">
        <f aca="false">IFERROR(INDEX(RATES!$E$6:$E$28,MATCH(P63,RATES!$A$6:$A$28,0)),0)</f>
        <v>37.265</v>
      </c>
      <c r="T63" s="61" t="n">
        <f aca="false">IF(ISNUMBER(R63),R63,0)*S63</f>
        <v>93.1625</v>
      </c>
      <c r="U63" s="61" t="n">
        <f aca="false">T63*INDEX(INPUTS!$H$10:$H$14,MATCH(B63,INPUTS!$A$10:$A$14,0))</f>
        <v>17.2350625</v>
      </c>
      <c r="V63" s="61" t="n">
        <f aca="false">N(STACK!K63)</f>
        <v>0</v>
      </c>
      <c r="W63" s="61" t="n">
        <f aca="false">T63+U63+V63</f>
        <v>110.3975625</v>
      </c>
      <c r="X63" s="61" t="n">
        <f aca="false">N(STACK!L63)</f>
        <v>0</v>
      </c>
      <c r="Y63" s="61" t="n">
        <f aca="false">W63-X63</f>
        <v>110.3975625</v>
      </c>
      <c r="Z63" s="1" t="n">
        <f aca="false">N(STACK!J63)</f>
        <v>0</v>
      </c>
      <c r="AA63" s="1" t="str">
        <f aca="false">TRIM(IF(D63="UNMAPPED","Program not mapped. ","")&amp;IF(OR(K63="UNMAPPED",K63="UNASSIGNED"),"Category needs review. ","")&amp;IF(P63="UNMAPPED","Title not mapped. ","")&amp;IF(AND(P63&lt;&gt;"No staff time",R63=""),"Missing hours. ","")&amp;IF(M63="","Date not readable. ","")&amp;IF(N63="No","Outside fiscal year. ","")&amp;IF(AND(F63="Event",ISNUMBER(R63)),IF(R63&gt;12,"Event hours look high. ",""),"")&amp;IF(G63&gt;0,"See CONFIRM sheet.",""))</f>
        <v/>
      </c>
      <c r="AB63" s="1" t="n">
        <f aca="false">IF(N63="No",0,IF(REVIEW!O63=0,0,IF(G63&gt;0,IF(INDEX(CONFIRM!$J$5:$J$53,G63)&lt;&gt;"",INDEX(CONFIRM!$J$5:$J$53,G63),1),1)))</f>
        <v>1</v>
      </c>
      <c r="AC63" s="1" t="n">
        <f aca="false">IF(AB63=1,IF(COUNTIFS($B$5:B63,B63,$D$5:D63,D63,$AB$5:AB63,1)=1,1,0),0)</f>
        <v>0</v>
      </c>
    </row>
    <row r="64" customFormat="false" ht="15" hidden="false" customHeight="false" outlineLevel="0" collapsed="false">
      <c r="A64" s="48" t="str">
        <f aca="false">STACK!A64</f>
        <v>KVMC-0060</v>
      </c>
      <c r="B64" s="48" t="str">
        <f aca="false">STACK!B64</f>
        <v>KVMC</v>
      </c>
      <c r="C64" s="48" t="str">
        <f aca="false">STACK!E64</f>
        <v>Naloxone Training and Distribution</v>
      </c>
      <c r="D64" s="1" t="str">
        <f aca="false">IFERROR(INDEX(MAP!$J$7:$J$101,MATCH(TRIM(C64),MAP!$I$7:$I$101,0)),"UNMAPPED")</f>
        <v>Naloxone Training and Distribution</v>
      </c>
      <c r="E64" s="1" t="str">
        <f aca="false">IFERROR(INDEX(MAP!$K$7:$K$101,MATCH(TRIM(C64),MAP!$I$7:$I$101,0)),"")</f>
        <v>Behavioral health</v>
      </c>
      <c r="F64" s="1" t="str">
        <f aca="false">IFERROR(INDEX(MAP!$L$7:$L$101,MATCH(TRIM(C64),MAP!$I$7:$I$101,0)),"")</f>
        <v>Event</v>
      </c>
      <c r="G64" s="1" t="n">
        <f aca="false">IFERROR(MATCH(A64,CONFIRM!$A$5:$A$53,0),0)</f>
        <v>0</v>
      </c>
      <c r="H64" s="48" t="str">
        <f aca="false">STACK!F64</f>
        <v>Community Health Education</v>
      </c>
      <c r="I64" s="1" t="str">
        <f aca="false">IF(G64&gt;0,IF(INDEX(CONFIRM!$I$5:$I$53,G64)&lt;&gt;"",INDEX(CONFIRM!$I$5:$I$53,G64),H64),H64)</f>
        <v>Community Health Education</v>
      </c>
      <c r="J64" s="1" t="str">
        <f aca="false">IFERROR(INDEX(MAP!$F$7:$F$74,MATCH(TRIM(I64),MAP!$E$7:$E$74,0)),"UNMAPPED")</f>
        <v>Community health education</v>
      </c>
      <c r="K64" s="1" t="str">
        <f aca="false">IFERROR(INDEX(MAP!$G$7:$G$74,MATCH(TRIM(I64),MAP!$E$7:$E$74,0)),"UNMAPPED")</f>
        <v>7e</v>
      </c>
      <c r="L64" s="49" t="n">
        <f aca="false">STACK!G64</f>
        <v>45889</v>
      </c>
      <c r="M64" s="59" t="n">
        <f aca="false">IF(G64&gt;0,IF(INDEX(CONFIRM!$G$5:$G$53,G64)&lt;&gt;"",INDEX(CONFIRM!$G$5:$G$53,G64),IF(ISNUMBER(L64),L64,IFERROR(DATEVALUE(L64),""))),IF(ISNUMBER(L64),L64,IFERROR(DATEVALUE(L64),"")))</f>
        <v>45889</v>
      </c>
      <c r="N64" s="1" t="str">
        <f aca="false">IF(M64="","Check",IF(AND(M64&gt;=INPUTS!$C$6,M64&lt;=INPUTS!$C$7),"Yes","No"))</f>
        <v>Yes</v>
      </c>
      <c r="O64" s="48" t="str">
        <f aca="false">STACK!H64</f>
        <v>Pharmacist</v>
      </c>
      <c r="P64" s="1" t="str">
        <f aca="false">IF(G64&gt;0,IF(INDEX(CONFIRM!$H$5:$H$53,G64)&lt;&gt;"",INDEX(CONFIRM!$H$5:$H$53,G64),IFERROR(INDEX(MAP!$B$7:$B$156,MATCH(TRIM(O64),MAP!$A$7:$A$156,0)),"UNMAPPED")),IFERROR(INDEX(MAP!$B$7:$B$156,MATCH(TRIM(O64),MAP!$A$7:$A$156,0)),"UNMAPPED"))</f>
        <v>Pharmacist</v>
      </c>
      <c r="Q64" s="48" t="n">
        <f aca="false">STACK!I64</f>
        <v>2.25</v>
      </c>
      <c r="R64" s="60" t="n">
        <f aca="false">IF(G64&gt;0,IF(INDEX(CONFIRM!$F$5:$F$53,G64)&lt;&gt;"",INDEX(CONFIRM!$F$5:$F$53,G64),IF(ISNUMBER(Q64),Q64,IF(Q64="","",IFERROR(VALUE(TRIM(SUBSTITUTE(SUBSTITUTE(LOWER(Q64),"hrs",""),"hr",""))),"")))),IF(ISNUMBER(Q64),Q64,IF(Q64="","",IFERROR(VALUE(TRIM(SUBSTITUTE(SUBSTITUTE(LOWER(Q64),"hrs",""),"hr",""))),""))))</f>
        <v>2.25</v>
      </c>
      <c r="S64" s="57" t="n">
        <f aca="false">IFERROR(INDEX(RATES!$E$6:$E$28,MATCH(P64,RATES!$A$6:$A$28,0)),0)</f>
        <v>84.81</v>
      </c>
      <c r="T64" s="61" t="n">
        <f aca="false">IF(ISNUMBER(R64),R64,0)*S64</f>
        <v>190.8225</v>
      </c>
      <c r="U64" s="61" t="n">
        <f aca="false">T64*INDEX(INPUTS!$H$10:$H$14,MATCH(B64,INPUTS!$A$10:$A$14,0))</f>
        <v>35.3021625</v>
      </c>
      <c r="V64" s="61" t="n">
        <f aca="false">N(STACK!K64)</f>
        <v>2420</v>
      </c>
      <c r="W64" s="61" t="n">
        <f aca="false">T64+U64+V64</f>
        <v>2646.1246625</v>
      </c>
      <c r="X64" s="61" t="n">
        <f aca="false">N(STACK!L64)</f>
        <v>1650</v>
      </c>
      <c r="Y64" s="61" t="n">
        <f aca="false">W64-X64</f>
        <v>996.1246625</v>
      </c>
      <c r="Z64" s="1" t="n">
        <f aca="false">N(STACK!J64)</f>
        <v>24</v>
      </c>
      <c r="AA64" s="1" t="str">
        <f aca="false">TRIM(IF(D64="UNMAPPED","Program not mapped. ","")&amp;IF(OR(K64="UNMAPPED",K64="UNASSIGNED"),"Category needs review. ","")&amp;IF(P64="UNMAPPED","Title not mapped. ","")&amp;IF(AND(P64&lt;&gt;"No staff time",R64=""),"Missing hours. ","")&amp;IF(M64="","Date not readable. ","")&amp;IF(N64="No","Outside fiscal year. ","")&amp;IF(AND(F64="Event",ISNUMBER(R64)),IF(R64&gt;12,"Event hours look high. ",""),"")&amp;IF(G64&gt;0,"See CONFIRM sheet.",""))</f>
        <v/>
      </c>
      <c r="AB64" s="1" t="n">
        <f aca="false">IF(N64="No",0,IF(REVIEW!O64=0,0,IF(G64&gt;0,IF(INDEX(CONFIRM!$J$5:$J$53,G64)&lt;&gt;"",INDEX(CONFIRM!$J$5:$J$53,G64),1),1)))</f>
        <v>1</v>
      </c>
      <c r="AC64" s="1" t="n">
        <f aca="false">IF(AB64=1,IF(COUNTIFS($B$5:B64,B64,$D$5:D64,D64,$AB$5:AB64,1)=1,1,0),0)</f>
        <v>0</v>
      </c>
    </row>
    <row r="65" customFormat="false" ht="15" hidden="false" customHeight="false" outlineLevel="0" collapsed="false">
      <c r="A65" s="48" t="str">
        <f aca="false">STACK!A65</f>
        <v>KVMC-0061</v>
      </c>
      <c r="B65" s="48" t="str">
        <f aca="false">STACK!B65</f>
        <v>KVMC</v>
      </c>
      <c r="C65" s="48" t="str">
        <f aca="false">STACK!E65</f>
        <v>Mental Health First Aid Training</v>
      </c>
      <c r="D65" s="1" t="str">
        <f aca="false">IFERROR(INDEX(MAP!$J$7:$J$101,MATCH(TRIM(C65),MAP!$I$7:$I$101,0)),"UNMAPPED")</f>
        <v>Mental Health First Aid Training</v>
      </c>
      <c r="E65" s="1" t="str">
        <f aca="false">IFERROR(INDEX(MAP!$K$7:$K$101,MATCH(TRIM(C65),MAP!$I$7:$I$101,0)),"")</f>
        <v>Behavioral health</v>
      </c>
      <c r="F65" s="1" t="str">
        <f aca="false">IFERROR(INDEX(MAP!$L$7:$L$101,MATCH(TRIM(C65),MAP!$I$7:$I$101,0)),"")</f>
        <v>Event</v>
      </c>
      <c r="G65" s="1" t="n">
        <f aca="false">IFERROR(MATCH(A65,CONFIRM!$A$5:$A$53,0),0)</f>
        <v>0</v>
      </c>
      <c r="H65" s="48" t="str">
        <f aca="false">STACK!F65</f>
        <v>Community Health Education</v>
      </c>
      <c r="I65" s="1" t="str">
        <f aca="false">IF(G65&gt;0,IF(INDEX(CONFIRM!$I$5:$I$53,G65)&lt;&gt;"",INDEX(CONFIRM!$I$5:$I$53,G65),H65),H65)</f>
        <v>Community Health Education</v>
      </c>
      <c r="J65" s="1" t="str">
        <f aca="false">IFERROR(INDEX(MAP!$F$7:$F$74,MATCH(TRIM(I65),MAP!$E$7:$E$74,0)),"UNMAPPED")</f>
        <v>Community health education</v>
      </c>
      <c r="K65" s="1" t="str">
        <f aca="false">IFERROR(INDEX(MAP!$G$7:$G$74,MATCH(TRIM(I65),MAP!$E$7:$E$74,0)),"UNMAPPED")</f>
        <v>7e</v>
      </c>
      <c r="L65" s="49" t="n">
        <f aca="false">STACK!G65</f>
        <v>45891</v>
      </c>
      <c r="M65" s="59" t="n">
        <f aca="false">IF(G65&gt;0,IF(INDEX(CONFIRM!$G$5:$G$53,G65)&lt;&gt;"",INDEX(CONFIRM!$G$5:$G$53,G65),IF(ISNUMBER(L65),L65,IFERROR(DATEVALUE(L65),""))),IF(ISNUMBER(L65),L65,IFERROR(DATEVALUE(L65),"")))</f>
        <v>45891</v>
      </c>
      <c r="N65" s="1" t="str">
        <f aca="false">IF(M65="","Check",IF(AND(M65&gt;=INPUTS!$C$6,M65&lt;=INPUTS!$C$7),"Yes","No"))</f>
        <v>Yes</v>
      </c>
      <c r="O65" s="48" t="str">
        <f aca="false">STACK!H65</f>
        <v>CHES</v>
      </c>
      <c r="P65" s="1" t="str">
        <f aca="false">IF(G65&gt;0,IF(INDEX(CONFIRM!$H$5:$H$53,G65)&lt;&gt;"",INDEX(CONFIRM!$H$5:$H$53,G65),IFERROR(INDEX(MAP!$B$7:$B$156,MATCH(TRIM(O65),MAP!$A$7:$A$156,0)),"UNMAPPED")),IFERROR(INDEX(MAP!$B$7:$B$156,MATCH(TRIM(O65),MAP!$A$7:$A$156,0)),"UNMAPPED"))</f>
        <v>Health Educator</v>
      </c>
      <c r="Q65" s="48" t="n">
        <f aca="false">STACK!I65</f>
        <v>8</v>
      </c>
      <c r="R65" s="60" t="n">
        <f aca="false">IF(G65&gt;0,IF(INDEX(CONFIRM!$F$5:$F$53,G65)&lt;&gt;"",INDEX(CONFIRM!$F$5:$F$53,G65),IF(ISNUMBER(Q65),Q65,IF(Q65="","",IFERROR(VALUE(TRIM(SUBSTITUTE(SUBSTITUTE(LOWER(Q65),"hrs",""),"hr",""))),"")))),IF(ISNUMBER(Q65),Q65,IF(Q65="","",IFERROR(VALUE(TRIM(SUBSTITUTE(SUBSTITUTE(LOWER(Q65),"hrs",""),"hr",""))),""))))</f>
        <v>8</v>
      </c>
      <c r="S65" s="57" t="n">
        <f aca="false">IFERROR(INDEX(RATES!$E$6:$E$28,MATCH(P65,RATES!$A$6:$A$28,0)),0)</f>
        <v>37.265</v>
      </c>
      <c r="T65" s="61" t="n">
        <f aca="false">IF(ISNUMBER(R65),R65,0)*S65</f>
        <v>298.12</v>
      </c>
      <c r="U65" s="61" t="n">
        <f aca="false">T65*INDEX(INPUTS!$H$10:$H$14,MATCH(B65,INPUTS!$A$10:$A$14,0))</f>
        <v>55.1522</v>
      </c>
      <c r="V65" s="61" t="n">
        <f aca="false">N(STACK!K65)</f>
        <v>0</v>
      </c>
      <c r="W65" s="61" t="n">
        <f aca="false">T65+U65+V65</f>
        <v>353.2722</v>
      </c>
      <c r="X65" s="61" t="n">
        <f aca="false">N(STACK!L65)</f>
        <v>0</v>
      </c>
      <c r="Y65" s="61" t="n">
        <f aca="false">W65-X65</f>
        <v>353.2722</v>
      </c>
      <c r="Z65" s="1" t="n">
        <f aca="false">N(STACK!J65)</f>
        <v>0</v>
      </c>
      <c r="AA65" s="1" t="str">
        <f aca="false">TRIM(IF(D65="UNMAPPED","Program not mapped. ","")&amp;IF(OR(K65="UNMAPPED",K65="UNASSIGNED"),"Category needs review. ","")&amp;IF(P65="UNMAPPED","Title not mapped. ","")&amp;IF(AND(P65&lt;&gt;"No staff time",R65=""),"Missing hours. ","")&amp;IF(M65="","Date not readable. ","")&amp;IF(N65="No","Outside fiscal year. ","")&amp;IF(AND(F65="Event",ISNUMBER(R65)),IF(R65&gt;12,"Event hours look high. ",""),"")&amp;IF(G65&gt;0,"See CONFIRM sheet.",""))</f>
        <v/>
      </c>
      <c r="AB65" s="1" t="n">
        <f aca="false">IF(N65="No",0,IF(REVIEW!O65=0,0,IF(G65&gt;0,IF(INDEX(CONFIRM!$J$5:$J$53,G65)&lt;&gt;"",INDEX(CONFIRM!$J$5:$J$53,G65),1),1)))</f>
        <v>1</v>
      </c>
      <c r="AC65" s="1" t="n">
        <f aca="false">IF(AB65=1,IF(COUNTIFS($B$5:B65,B65,$D$5:D65,D65,$AB$5:AB65,1)=1,1,0),0)</f>
        <v>0</v>
      </c>
    </row>
    <row r="66" customFormat="false" ht="15" hidden="false" customHeight="false" outlineLevel="0" collapsed="false">
      <c r="A66" s="48" t="str">
        <f aca="false">STACK!A66</f>
        <v>KVMC-0062</v>
      </c>
      <c r="B66" s="48" t="str">
        <f aca="false">STACK!B66</f>
        <v>KVMC</v>
      </c>
      <c r="C66" s="48" t="str">
        <f aca="false">STACK!E66</f>
        <v>Mental Health First Aid Training</v>
      </c>
      <c r="D66" s="1" t="str">
        <f aca="false">IFERROR(INDEX(MAP!$J$7:$J$101,MATCH(TRIM(C66),MAP!$I$7:$I$101,0)),"UNMAPPED")</f>
        <v>Mental Health First Aid Training</v>
      </c>
      <c r="E66" s="1" t="str">
        <f aca="false">IFERROR(INDEX(MAP!$K$7:$K$101,MATCH(TRIM(C66),MAP!$I$7:$I$101,0)),"")</f>
        <v>Behavioral health</v>
      </c>
      <c r="F66" s="1" t="str">
        <f aca="false">IFERROR(INDEX(MAP!$L$7:$L$101,MATCH(TRIM(C66),MAP!$I$7:$I$101,0)),"")</f>
        <v>Event</v>
      </c>
      <c r="G66" s="1" t="n">
        <f aca="false">IFERROR(MATCH(A66,CONFIRM!$A$5:$A$53,0),0)</f>
        <v>0</v>
      </c>
      <c r="H66" s="48" t="str">
        <f aca="false">STACK!F66</f>
        <v>Community Health Education</v>
      </c>
      <c r="I66" s="1" t="str">
        <f aca="false">IF(G66&gt;0,IF(INDEX(CONFIRM!$I$5:$I$53,G66)&lt;&gt;"",INDEX(CONFIRM!$I$5:$I$53,G66),H66),H66)</f>
        <v>Community Health Education</v>
      </c>
      <c r="J66" s="1" t="str">
        <f aca="false">IFERROR(INDEX(MAP!$F$7:$F$74,MATCH(TRIM(I66),MAP!$E$7:$E$74,0)),"UNMAPPED")</f>
        <v>Community health education</v>
      </c>
      <c r="K66" s="1" t="str">
        <f aca="false">IFERROR(INDEX(MAP!$G$7:$G$74,MATCH(TRIM(I66),MAP!$E$7:$E$74,0)),"UNMAPPED")</f>
        <v>7e</v>
      </c>
      <c r="L66" s="49" t="n">
        <f aca="false">STACK!G66</f>
        <v>45891</v>
      </c>
      <c r="M66" s="59" t="n">
        <f aca="false">IF(G66&gt;0,IF(INDEX(CONFIRM!$G$5:$G$53,G66)&lt;&gt;"",INDEX(CONFIRM!$G$5:$G$53,G66),IF(ISNUMBER(L66),L66,IFERROR(DATEVALUE(L66),""))),IF(ISNUMBER(L66),L66,IFERROR(DATEVALUE(L66),"")))</f>
        <v>45891</v>
      </c>
      <c r="N66" s="1" t="str">
        <f aca="false">IF(M66="","Check",IF(AND(M66&gt;=INPUTS!$C$6,M66&lt;=INPUTS!$C$7),"Yes","No"))</f>
        <v>Yes</v>
      </c>
      <c r="O66" s="48" t="str">
        <f aca="false">STACK!H66</f>
        <v>Clinical Social Worker</v>
      </c>
      <c r="P66" s="1" t="str">
        <f aca="false">IF(G66&gt;0,IF(INDEX(CONFIRM!$H$5:$H$53,G66)&lt;&gt;"",INDEX(CONFIRM!$H$5:$H$53,G66),IFERROR(INDEX(MAP!$B$7:$B$156,MATCH(TRIM(O66),MAP!$A$7:$A$156,0)),"UNMAPPED")),IFERROR(INDEX(MAP!$B$7:$B$156,MATCH(TRIM(O66),MAP!$A$7:$A$156,0)),"UNMAPPED"))</f>
        <v>Social Worker</v>
      </c>
      <c r="Q66" s="48" t="n">
        <f aca="false">STACK!I66</f>
        <v>8</v>
      </c>
      <c r="R66" s="60" t="n">
        <f aca="false">IF(G66&gt;0,IF(INDEX(CONFIRM!$F$5:$F$53,G66)&lt;&gt;"",INDEX(CONFIRM!$F$5:$F$53,G66),IF(ISNUMBER(Q66),Q66,IF(Q66="","",IFERROR(VALUE(TRIM(SUBSTITUTE(SUBSTITUTE(LOWER(Q66),"hrs",""),"hr",""))),"")))),IF(ISNUMBER(Q66),Q66,IF(Q66="","",IFERROR(VALUE(TRIM(SUBSTITUTE(SUBSTITUTE(LOWER(Q66),"hrs",""),"hr",""))),""))))</f>
        <v>8</v>
      </c>
      <c r="S66" s="57" t="n">
        <f aca="false">IFERROR(INDEX(RATES!$E$6:$E$28,MATCH(P66,RATES!$A$6:$A$28,0)),0)</f>
        <v>45.6175</v>
      </c>
      <c r="T66" s="61" t="n">
        <f aca="false">IF(ISNUMBER(R66),R66,0)*S66</f>
        <v>364.94</v>
      </c>
      <c r="U66" s="61" t="n">
        <f aca="false">T66*INDEX(INPUTS!$H$10:$H$14,MATCH(B66,INPUTS!$A$10:$A$14,0))</f>
        <v>67.5139</v>
      </c>
      <c r="V66" s="61" t="n">
        <f aca="false">N(STACK!K66)</f>
        <v>540</v>
      </c>
      <c r="W66" s="61" t="n">
        <f aca="false">T66+U66+V66</f>
        <v>972.4539</v>
      </c>
      <c r="X66" s="61" t="n">
        <f aca="false">N(STACK!L66)</f>
        <v>0</v>
      </c>
      <c r="Y66" s="61" t="n">
        <f aca="false">W66-X66</f>
        <v>972.4539</v>
      </c>
      <c r="Z66" s="1" t="n">
        <f aca="false">N(STACK!J66)</f>
        <v>19</v>
      </c>
      <c r="AA66" s="1" t="str">
        <f aca="false">TRIM(IF(D66="UNMAPPED","Program not mapped. ","")&amp;IF(OR(K66="UNMAPPED",K66="UNASSIGNED"),"Category needs review. ","")&amp;IF(P66="UNMAPPED","Title not mapped. ","")&amp;IF(AND(P66&lt;&gt;"No staff time",R66=""),"Missing hours. ","")&amp;IF(M66="","Date not readable. ","")&amp;IF(N66="No","Outside fiscal year. ","")&amp;IF(AND(F66="Event",ISNUMBER(R66)),IF(R66&gt;12,"Event hours look high. ",""),"")&amp;IF(G66&gt;0,"See CONFIRM sheet.",""))</f>
        <v/>
      </c>
      <c r="AB66" s="1" t="n">
        <f aca="false">IF(N66="No",0,IF(REVIEW!O66=0,0,IF(G66&gt;0,IF(INDEX(CONFIRM!$J$5:$J$53,G66)&lt;&gt;"",INDEX(CONFIRM!$J$5:$J$53,G66),1),1)))</f>
        <v>1</v>
      </c>
      <c r="AC66" s="1" t="n">
        <f aca="false">IF(AB66=1,IF(COUNTIFS($B$5:B66,B66,$D$5:D66,D66,$AB$5:AB66,1)=1,1,0),0)</f>
        <v>0</v>
      </c>
    </row>
    <row r="67" customFormat="false" ht="15" hidden="false" customHeight="false" outlineLevel="0" collapsed="false">
      <c r="A67" s="48" t="str">
        <f aca="false">STACK!A67</f>
        <v>KVMC-0063</v>
      </c>
      <c r="B67" s="48" t="str">
        <f aca="false">STACK!B67</f>
        <v>KVMC</v>
      </c>
      <c r="C67" s="48" t="str">
        <f aca="false">STACK!E67</f>
        <v>Mobile Health Screening Unit</v>
      </c>
      <c r="D67" s="1" t="str">
        <f aca="false">IFERROR(INDEX(MAP!$J$7:$J$101,MATCH(TRIM(C67),MAP!$I$7:$I$101,0)),"UNMAPPED")</f>
        <v>Mobile Health Screening Unit</v>
      </c>
      <c r="E67" s="1" t="str">
        <f aca="false">IFERROR(INDEX(MAP!$K$7:$K$101,MATCH(TRIM(C67),MAP!$I$7:$I$101,0)),"")</f>
        <v>Access to care</v>
      </c>
      <c r="F67" s="1" t="str">
        <f aca="false">IFERROR(INDEX(MAP!$L$7:$L$101,MATCH(TRIM(C67),MAP!$I$7:$I$101,0)),"")</f>
        <v>Monthly</v>
      </c>
      <c r="G67" s="1" t="n">
        <f aca="false">IFERROR(MATCH(A67,CONFIRM!$A$5:$A$53,0),0)</f>
        <v>0</v>
      </c>
      <c r="H67" s="48" t="str">
        <f aca="false">STACK!F67</f>
        <v>Community-Based Clinical Services</v>
      </c>
      <c r="I67" s="1" t="str">
        <f aca="false">IF(G67&gt;0,IF(INDEX(CONFIRM!$I$5:$I$53,G67)&lt;&gt;"",INDEX(CONFIRM!$I$5:$I$53,G67),H67),H67)</f>
        <v>Community-Based Clinical Services</v>
      </c>
      <c r="J67" s="1" t="str">
        <f aca="false">IFERROR(INDEX(MAP!$F$7:$F$74,MATCH(TRIM(I67),MAP!$E$7:$E$74,0)),"UNMAPPED")</f>
        <v>Community-based clinical services</v>
      </c>
      <c r="K67" s="1" t="str">
        <f aca="false">IFERROR(INDEX(MAP!$G$7:$G$74,MATCH(TRIM(I67),MAP!$E$7:$E$74,0)),"UNMAPPED")</f>
        <v>7e</v>
      </c>
      <c r="L67" s="49" t="n">
        <f aca="false">STACK!G67</f>
        <v>45900</v>
      </c>
      <c r="M67" s="59" t="n">
        <f aca="false">IF(G67&gt;0,IF(INDEX(CONFIRM!$G$5:$G$53,G67)&lt;&gt;"",INDEX(CONFIRM!$G$5:$G$53,G67),IF(ISNUMBER(L67),L67,IFERROR(DATEVALUE(L67),""))),IF(ISNUMBER(L67),L67,IFERROR(DATEVALUE(L67),"")))</f>
        <v>45900</v>
      </c>
      <c r="N67" s="1" t="str">
        <f aca="false">IF(M67="","Check",IF(AND(M67&gt;=INPUTS!$C$6,M67&lt;=INPUTS!$C$7),"Yes","No"))</f>
        <v>Yes</v>
      </c>
      <c r="O67" s="48" t="str">
        <f aca="false">STACK!H67</f>
        <v>Comm. Health Worker</v>
      </c>
      <c r="P67" s="1" t="str">
        <f aca="false">IF(G67&gt;0,IF(INDEX(CONFIRM!$H$5:$H$53,G67)&lt;&gt;"",INDEX(CONFIRM!$H$5:$H$53,G67),IFERROR(INDEX(MAP!$B$7:$B$156,MATCH(TRIM(O67),MAP!$A$7:$A$156,0)),"UNMAPPED")),IFERROR(INDEX(MAP!$B$7:$B$156,MATCH(TRIM(O67),MAP!$A$7:$A$156,0)),"UNMAPPED"))</f>
        <v>Community Health Worker</v>
      </c>
      <c r="Q67" s="48" t="n">
        <f aca="false">STACK!I67</f>
        <v>98.25</v>
      </c>
      <c r="R67" s="60" t="n">
        <f aca="false">IF(G67&gt;0,IF(INDEX(CONFIRM!$F$5:$F$53,G67)&lt;&gt;"",INDEX(CONFIRM!$F$5:$F$53,G67),IF(ISNUMBER(Q67),Q67,IF(Q67="","",IFERROR(VALUE(TRIM(SUBSTITUTE(SUBSTITUTE(LOWER(Q67),"hrs",""),"hr",""))),"")))),IF(ISNUMBER(Q67),Q67,IF(Q67="","",IFERROR(VALUE(TRIM(SUBSTITUTE(SUBSTITUTE(LOWER(Q67),"hrs",""),"hr",""))),""))))</f>
        <v>98.25</v>
      </c>
      <c r="S67" s="57" t="n">
        <f aca="false">IFERROR(INDEX(RATES!$E$6:$E$28,MATCH(P67,RATES!$A$6:$A$28,0)),0)</f>
        <v>27.6275</v>
      </c>
      <c r="T67" s="61" t="n">
        <f aca="false">IF(ISNUMBER(R67),R67,0)*S67</f>
        <v>2714.401875</v>
      </c>
      <c r="U67" s="61" t="n">
        <f aca="false">T67*INDEX(INPUTS!$H$10:$H$14,MATCH(B67,INPUTS!$A$10:$A$14,0))</f>
        <v>502.164346875</v>
      </c>
      <c r="V67" s="61" t="n">
        <f aca="false">N(STACK!K67)</f>
        <v>0</v>
      </c>
      <c r="W67" s="61" t="n">
        <f aca="false">T67+U67+V67</f>
        <v>3216.566221875</v>
      </c>
      <c r="X67" s="61" t="n">
        <f aca="false">N(STACK!L67)</f>
        <v>0</v>
      </c>
      <c r="Y67" s="61" t="n">
        <f aca="false">W67-X67</f>
        <v>3216.566221875</v>
      </c>
      <c r="Z67" s="1" t="n">
        <f aca="false">N(STACK!J67)</f>
        <v>0</v>
      </c>
      <c r="AA67" s="1" t="str">
        <f aca="false">TRIM(IF(D67="UNMAPPED","Program not mapped. ","")&amp;IF(OR(K67="UNMAPPED",K67="UNASSIGNED"),"Category needs review. ","")&amp;IF(P67="UNMAPPED","Title not mapped. ","")&amp;IF(AND(P67&lt;&gt;"No staff time",R67=""),"Missing hours. ","")&amp;IF(M67="","Date not readable. ","")&amp;IF(N67="No","Outside fiscal year. ","")&amp;IF(AND(F67="Event",ISNUMBER(R67)),IF(R67&gt;12,"Event hours look high. ",""),"")&amp;IF(G67&gt;0,"See CONFIRM sheet.",""))</f>
        <v/>
      </c>
      <c r="AB67" s="1" t="n">
        <f aca="false">IF(N67="No",0,IF(REVIEW!O67=0,0,IF(G67&gt;0,IF(INDEX(CONFIRM!$J$5:$J$53,G67)&lt;&gt;"",INDEX(CONFIRM!$J$5:$J$53,G67),1),1)))</f>
        <v>1</v>
      </c>
      <c r="AC67" s="1" t="n">
        <f aca="false">IF(AB67=1,IF(COUNTIFS($B$5:B67,B67,$D$5:D67,D67,$AB$5:AB67,1)=1,1,0),0)</f>
        <v>0</v>
      </c>
    </row>
    <row r="68" customFormat="false" ht="15" hidden="false" customHeight="false" outlineLevel="0" collapsed="false">
      <c r="A68" s="48" t="str">
        <f aca="false">STACK!A68</f>
        <v>KVMC-0064</v>
      </c>
      <c r="B68" s="48" t="str">
        <f aca="false">STACK!B68</f>
        <v>KVMC</v>
      </c>
      <c r="C68" s="48" t="str">
        <f aca="false">STACK!E68</f>
        <v>Mobile Health Screening Unit</v>
      </c>
      <c r="D68" s="1" t="str">
        <f aca="false">IFERROR(INDEX(MAP!$J$7:$J$101,MATCH(TRIM(C68),MAP!$I$7:$I$101,0)),"UNMAPPED")</f>
        <v>Mobile Health Screening Unit</v>
      </c>
      <c r="E68" s="1" t="str">
        <f aca="false">IFERROR(INDEX(MAP!$K$7:$K$101,MATCH(TRIM(C68),MAP!$I$7:$I$101,0)),"")</f>
        <v>Access to care</v>
      </c>
      <c r="F68" s="1" t="str">
        <f aca="false">IFERROR(INDEX(MAP!$L$7:$L$101,MATCH(TRIM(C68),MAP!$I$7:$I$101,0)),"")</f>
        <v>Monthly</v>
      </c>
      <c r="G68" s="1" t="n">
        <f aca="false">IFERROR(MATCH(A68,CONFIRM!$A$5:$A$53,0),0)</f>
        <v>0</v>
      </c>
      <c r="H68" s="48" t="str">
        <f aca="false">STACK!F68</f>
        <v>Community-Based Clinical Services</v>
      </c>
      <c r="I68" s="1" t="str">
        <f aca="false">IF(G68&gt;0,IF(INDEX(CONFIRM!$I$5:$I$53,G68)&lt;&gt;"",INDEX(CONFIRM!$I$5:$I$53,G68),H68),H68)</f>
        <v>Community-Based Clinical Services</v>
      </c>
      <c r="J68" s="1" t="str">
        <f aca="false">IFERROR(INDEX(MAP!$F$7:$F$74,MATCH(TRIM(I68),MAP!$E$7:$E$74,0)),"UNMAPPED")</f>
        <v>Community-based clinical services</v>
      </c>
      <c r="K68" s="1" t="str">
        <f aca="false">IFERROR(INDEX(MAP!$G$7:$G$74,MATCH(TRIM(I68),MAP!$E$7:$E$74,0)),"UNMAPPED")</f>
        <v>7e</v>
      </c>
      <c r="L68" s="49" t="n">
        <f aca="false">STACK!G68</f>
        <v>45900</v>
      </c>
      <c r="M68" s="59" t="n">
        <f aca="false">IF(G68&gt;0,IF(INDEX(CONFIRM!$G$5:$G$53,G68)&lt;&gt;"",INDEX(CONFIRM!$G$5:$G$53,G68),IF(ISNUMBER(L68),L68,IFERROR(DATEVALUE(L68),""))),IF(ISNUMBER(L68),L68,IFERROR(DATEVALUE(L68),"")))</f>
        <v>45900</v>
      </c>
      <c r="N68" s="1" t="str">
        <f aca="false">IF(M68="","Check",IF(AND(M68&gt;=INPUTS!$C$6,M68&lt;=INPUTS!$C$7),"Yes","No"))</f>
        <v>Yes</v>
      </c>
      <c r="O68" s="48" t="str">
        <f aca="false">STACK!H68</f>
        <v>Medical Assistant</v>
      </c>
      <c r="P68" s="1" t="str">
        <f aca="false">IF(G68&gt;0,IF(INDEX(CONFIRM!$H$5:$H$53,G68)&lt;&gt;"",INDEX(CONFIRM!$H$5:$H$53,G68),IFERROR(INDEX(MAP!$B$7:$B$156,MATCH(TRIM(O68),MAP!$A$7:$A$156,0)),"UNMAPPED")),IFERROR(INDEX(MAP!$B$7:$B$156,MATCH(TRIM(O68),MAP!$A$7:$A$156,0)),"UNMAPPED"))</f>
        <v>Medical Assistant</v>
      </c>
      <c r="Q68" s="48" t="n">
        <f aca="false">STACK!I68</f>
        <v>114</v>
      </c>
      <c r="R68" s="60" t="n">
        <f aca="false">IF(G68&gt;0,IF(INDEX(CONFIRM!$F$5:$F$53,G68)&lt;&gt;"",INDEX(CONFIRM!$F$5:$F$53,G68),IF(ISNUMBER(Q68),Q68,IF(Q68="","",IFERROR(VALUE(TRIM(SUBSTITUTE(SUBSTITUTE(LOWER(Q68),"hrs",""),"hr",""))),"")))),IF(ISNUMBER(Q68),Q68,IF(Q68="","",IFERROR(VALUE(TRIM(SUBSTITUTE(SUBSTITUTE(LOWER(Q68),"hrs",""),"hr",""))),""))))</f>
        <v>114</v>
      </c>
      <c r="S68" s="57" t="n">
        <f aca="false">IFERROR(INDEX(RATES!$E$6:$E$28,MATCH(P68,RATES!$A$6:$A$28,0)),0)</f>
        <v>25.37875</v>
      </c>
      <c r="T68" s="61" t="n">
        <f aca="false">IF(ISNUMBER(R68),R68,0)*S68</f>
        <v>2893.1775</v>
      </c>
      <c r="U68" s="61" t="n">
        <f aca="false">T68*INDEX(INPUTS!$H$10:$H$14,MATCH(B68,INPUTS!$A$10:$A$14,0))</f>
        <v>535.2378375</v>
      </c>
      <c r="V68" s="61" t="n">
        <f aca="false">N(STACK!K68)</f>
        <v>0</v>
      </c>
      <c r="W68" s="61" t="n">
        <f aca="false">T68+U68+V68</f>
        <v>3428.4153375</v>
      </c>
      <c r="X68" s="61" t="n">
        <f aca="false">N(STACK!L68)</f>
        <v>0</v>
      </c>
      <c r="Y68" s="61" t="n">
        <f aca="false">W68-X68</f>
        <v>3428.4153375</v>
      </c>
      <c r="Z68" s="1" t="n">
        <f aca="false">N(STACK!J68)</f>
        <v>0</v>
      </c>
      <c r="AA68" s="1" t="str">
        <f aca="false">TRIM(IF(D68="UNMAPPED","Program not mapped. ","")&amp;IF(OR(K68="UNMAPPED",K68="UNASSIGNED"),"Category needs review. ","")&amp;IF(P68="UNMAPPED","Title not mapped. ","")&amp;IF(AND(P68&lt;&gt;"No staff time",R68=""),"Missing hours. ","")&amp;IF(M68="","Date not readable. ","")&amp;IF(N68="No","Outside fiscal year. ","")&amp;IF(AND(F68="Event",ISNUMBER(R68)),IF(R68&gt;12,"Event hours look high. ",""),"")&amp;IF(G68&gt;0,"See CONFIRM sheet.",""))</f>
        <v/>
      </c>
      <c r="AB68" s="1" t="n">
        <f aca="false">IF(N68="No",0,IF(REVIEW!O68=0,0,IF(G68&gt;0,IF(INDEX(CONFIRM!$J$5:$J$53,G68)&lt;&gt;"",INDEX(CONFIRM!$J$5:$J$53,G68),1),1)))</f>
        <v>1</v>
      </c>
      <c r="AC68" s="1" t="n">
        <f aca="false">IF(AB68=1,IF(COUNTIFS($B$5:B68,B68,$D$5:D68,D68,$AB$5:AB68,1)=1,1,0),0)</f>
        <v>0</v>
      </c>
    </row>
    <row r="69" customFormat="false" ht="15" hidden="false" customHeight="false" outlineLevel="0" collapsed="false">
      <c r="A69" s="48" t="str">
        <f aca="false">STACK!A69</f>
        <v>KVMC-0065</v>
      </c>
      <c r="B69" s="48" t="str">
        <f aca="false">STACK!B69</f>
        <v>KVMC</v>
      </c>
      <c r="C69" s="48" t="str">
        <f aca="false">STACK!E69</f>
        <v>Mobile Health Screening Unit</v>
      </c>
      <c r="D69" s="1" t="str">
        <f aca="false">IFERROR(INDEX(MAP!$J$7:$J$101,MATCH(TRIM(C69),MAP!$I$7:$I$101,0)),"UNMAPPED")</f>
        <v>Mobile Health Screening Unit</v>
      </c>
      <c r="E69" s="1" t="str">
        <f aca="false">IFERROR(INDEX(MAP!$K$7:$K$101,MATCH(TRIM(C69),MAP!$I$7:$I$101,0)),"")</f>
        <v>Access to care</v>
      </c>
      <c r="F69" s="1" t="str">
        <f aca="false">IFERROR(INDEX(MAP!$L$7:$L$101,MATCH(TRIM(C69),MAP!$I$7:$I$101,0)),"")</f>
        <v>Monthly</v>
      </c>
      <c r="G69" s="1" t="n">
        <f aca="false">IFERROR(MATCH(A69,CONFIRM!$A$5:$A$53,0),0)</f>
        <v>0</v>
      </c>
      <c r="H69" s="48" t="str">
        <f aca="false">STACK!F69</f>
        <v>Community-Based Clinical Services</v>
      </c>
      <c r="I69" s="1" t="str">
        <f aca="false">IF(G69&gt;0,IF(INDEX(CONFIRM!$I$5:$I$53,G69)&lt;&gt;"",INDEX(CONFIRM!$I$5:$I$53,G69),H69),H69)</f>
        <v>Community-Based Clinical Services</v>
      </c>
      <c r="J69" s="1" t="str">
        <f aca="false">IFERROR(INDEX(MAP!$F$7:$F$74,MATCH(TRIM(I69),MAP!$E$7:$E$74,0)),"UNMAPPED")</f>
        <v>Community-based clinical services</v>
      </c>
      <c r="K69" s="1" t="str">
        <f aca="false">IFERROR(INDEX(MAP!$G$7:$G$74,MATCH(TRIM(I69),MAP!$E$7:$E$74,0)),"UNMAPPED")</f>
        <v>7e</v>
      </c>
      <c r="L69" s="49" t="n">
        <f aca="false">STACK!G69</f>
        <v>45900</v>
      </c>
      <c r="M69" s="59" t="n">
        <f aca="false">IF(G69&gt;0,IF(INDEX(CONFIRM!$G$5:$G$53,G69)&lt;&gt;"",INDEX(CONFIRM!$G$5:$G$53,G69),IF(ISNUMBER(L69),L69,IFERROR(DATEVALUE(L69),""))),IF(ISNUMBER(L69),L69,IFERROR(DATEVALUE(L69),"")))</f>
        <v>45900</v>
      </c>
      <c r="N69" s="1" t="str">
        <f aca="false">IF(M69="","Check",IF(AND(M69&gt;=INPUTS!$C$6,M69&lt;=INPUTS!$C$7),"Yes","No"))</f>
        <v>Yes</v>
      </c>
      <c r="O69" s="48" t="str">
        <f aca="false">STACK!H69</f>
        <v>RN II</v>
      </c>
      <c r="P69" s="1" t="str">
        <f aca="false">IF(G69&gt;0,IF(INDEX(CONFIRM!$H$5:$H$53,G69)&lt;&gt;"",INDEX(CONFIRM!$H$5:$H$53,G69),IFERROR(INDEX(MAP!$B$7:$B$156,MATCH(TRIM(O69),MAP!$A$7:$A$156,0)),"UNMAPPED")),IFERROR(INDEX(MAP!$B$7:$B$156,MATCH(TRIM(O69),MAP!$A$7:$A$156,0)),"UNMAPPED"))</f>
        <v>Registered Nurse</v>
      </c>
      <c r="Q69" s="48" t="n">
        <f aca="false">STACK!I69</f>
        <v>149.25</v>
      </c>
      <c r="R69" s="60" t="n">
        <f aca="false">IF(G69&gt;0,IF(INDEX(CONFIRM!$F$5:$F$53,G69)&lt;&gt;"",INDEX(CONFIRM!$F$5:$F$53,G69),IF(ISNUMBER(Q69),Q69,IF(Q69="","",IFERROR(VALUE(TRIM(SUBSTITUTE(SUBSTITUTE(LOWER(Q69),"hrs",""),"hr",""))),"")))),IF(ISNUMBER(Q69),Q69,IF(Q69="","",IFERROR(VALUE(TRIM(SUBSTITUTE(SUBSTITUTE(LOWER(Q69),"hrs",""),"hr",""))),""))))</f>
        <v>149.25</v>
      </c>
      <c r="S69" s="57" t="n">
        <f aca="false">IFERROR(INDEX(RATES!$E$6:$E$28,MATCH(P69,RATES!$A$6:$A$28,0)),0)</f>
        <v>55.8975</v>
      </c>
      <c r="T69" s="61" t="n">
        <f aca="false">IF(ISNUMBER(R69),R69,0)*S69</f>
        <v>8342.701875</v>
      </c>
      <c r="U69" s="61" t="n">
        <f aca="false">T69*INDEX(INPUTS!$H$10:$H$14,MATCH(B69,INPUTS!$A$10:$A$14,0))</f>
        <v>1543.399846875</v>
      </c>
      <c r="V69" s="61" t="n">
        <f aca="false">N(STACK!K69)</f>
        <v>10775</v>
      </c>
      <c r="W69" s="61" t="n">
        <f aca="false">T69+U69+V69</f>
        <v>20661.101721875</v>
      </c>
      <c r="X69" s="61" t="n">
        <f aca="false">N(STACK!L69)</f>
        <v>0</v>
      </c>
      <c r="Y69" s="61" t="n">
        <f aca="false">W69-X69</f>
        <v>20661.101721875</v>
      </c>
      <c r="Z69" s="1" t="n">
        <f aca="false">N(STACK!J69)</f>
        <v>408</v>
      </c>
      <c r="AA69" s="1" t="str">
        <f aca="false">TRIM(IF(D69="UNMAPPED","Program not mapped. ","")&amp;IF(OR(K69="UNMAPPED",K69="UNASSIGNED"),"Category needs review. ","")&amp;IF(P69="UNMAPPED","Title not mapped. ","")&amp;IF(AND(P69&lt;&gt;"No staff time",R69=""),"Missing hours. ","")&amp;IF(M69="","Date not readable. ","")&amp;IF(N69="No","Outside fiscal year. ","")&amp;IF(AND(F69="Event",ISNUMBER(R69)),IF(R69&gt;12,"Event hours look high. ",""),"")&amp;IF(G69&gt;0,"See CONFIRM sheet.",""))</f>
        <v/>
      </c>
      <c r="AB69" s="1" t="n">
        <f aca="false">IF(N69="No",0,IF(REVIEW!O69=0,0,IF(G69&gt;0,IF(INDEX(CONFIRM!$J$5:$J$53,G69)&lt;&gt;"",INDEX(CONFIRM!$J$5:$J$53,G69),1),1)))</f>
        <v>1</v>
      </c>
      <c r="AC69" s="1" t="n">
        <f aca="false">IF(AB69=1,IF(COUNTIFS($B$5:B69,B69,$D$5:D69,D69,$AB$5:AB69,1)=1,1,0),0)</f>
        <v>0</v>
      </c>
    </row>
    <row r="70" customFormat="false" ht="15" hidden="false" customHeight="false" outlineLevel="0" collapsed="false">
      <c r="A70" s="48" t="str">
        <f aca="false">STACK!A70</f>
        <v>KVMC-0066</v>
      </c>
      <c r="B70" s="48" t="str">
        <f aca="false">STACK!B70</f>
        <v>KVMC</v>
      </c>
      <c r="C70" s="48" t="str">
        <f aca="false">STACK!E70</f>
        <v>Free Clinic Provider Staffing</v>
      </c>
      <c r="D70" s="1" t="str">
        <f aca="false">IFERROR(INDEX(MAP!$J$7:$J$101,MATCH(TRIM(C70),MAP!$I$7:$I$101,0)),"UNMAPPED")</f>
        <v>Free Clinic Provider Staffing</v>
      </c>
      <c r="E70" s="1" t="str">
        <f aca="false">IFERROR(INDEX(MAP!$K$7:$K$101,MATCH(TRIM(C70),MAP!$I$7:$I$101,0)),"")</f>
        <v>Access to care</v>
      </c>
      <c r="F70" s="1" t="str">
        <f aca="false">IFERROR(INDEX(MAP!$L$7:$L$101,MATCH(TRIM(C70),MAP!$I$7:$I$101,0)),"")</f>
        <v>Monthly</v>
      </c>
      <c r="G70" s="1" t="n">
        <f aca="false">IFERROR(MATCH(A70,CONFIRM!$A$5:$A$53,0),0)</f>
        <v>0</v>
      </c>
      <c r="H70" s="48" t="str">
        <f aca="false">STACK!F70</f>
        <v>Community-Based Clinical Services</v>
      </c>
      <c r="I70" s="1" t="str">
        <f aca="false">IF(G70&gt;0,IF(INDEX(CONFIRM!$I$5:$I$53,G70)&lt;&gt;"",INDEX(CONFIRM!$I$5:$I$53,G70),H70),H70)</f>
        <v>Community-Based Clinical Services</v>
      </c>
      <c r="J70" s="1" t="str">
        <f aca="false">IFERROR(INDEX(MAP!$F$7:$F$74,MATCH(TRIM(I70),MAP!$E$7:$E$74,0)),"UNMAPPED")</f>
        <v>Community-based clinical services</v>
      </c>
      <c r="K70" s="1" t="str">
        <f aca="false">IFERROR(INDEX(MAP!$G$7:$G$74,MATCH(TRIM(I70),MAP!$E$7:$E$74,0)),"UNMAPPED")</f>
        <v>7e</v>
      </c>
      <c r="L70" s="49" t="n">
        <f aca="false">STACK!G70</f>
        <v>45900</v>
      </c>
      <c r="M70" s="59" t="n">
        <f aca="false">IF(G70&gt;0,IF(INDEX(CONFIRM!$G$5:$G$53,G70)&lt;&gt;"",INDEX(CONFIRM!$G$5:$G$53,G70),IF(ISNUMBER(L70),L70,IFERROR(DATEVALUE(L70),""))),IF(ISNUMBER(L70),L70,IFERROR(DATEVALUE(L70),"")))</f>
        <v>45900</v>
      </c>
      <c r="N70" s="1" t="str">
        <f aca="false">IF(M70="","Check",IF(AND(M70&gt;=INPUTS!$C$6,M70&lt;=INPUTS!$C$7),"Yes","No"))</f>
        <v>Yes</v>
      </c>
      <c r="O70" s="48" t="str">
        <f aca="false">STACK!H70</f>
        <v>APRN</v>
      </c>
      <c r="P70" s="1" t="str">
        <f aca="false">IF(G70&gt;0,IF(INDEX(CONFIRM!$H$5:$H$53,G70)&lt;&gt;"",INDEX(CONFIRM!$H$5:$H$53,G70),IFERROR(INDEX(MAP!$B$7:$B$156,MATCH(TRIM(O70),MAP!$A$7:$A$156,0)),"UNMAPPED")),IFERROR(INDEX(MAP!$B$7:$B$156,MATCH(TRIM(O70),MAP!$A$7:$A$156,0)),"UNMAPPED"))</f>
        <v>Nurse Practitioner</v>
      </c>
      <c r="Q70" s="48" t="n">
        <f aca="false">STACK!I70</f>
        <v>43.25</v>
      </c>
      <c r="R70" s="60" t="n">
        <f aca="false">IF(G70&gt;0,IF(INDEX(CONFIRM!$F$5:$F$53,G70)&lt;&gt;"",INDEX(CONFIRM!$F$5:$F$53,G70),IF(ISNUMBER(Q70),Q70,IF(Q70="","",IFERROR(VALUE(TRIM(SUBSTITUTE(SUBSTITUTE(LOWER(Q70),"hrs",""),"hr",""))),"")))),IF(ISNUMBER(Q70),Q70,IF(Q70="","",IFERROR(VALUE(TRIM(SUBSTITUTE(SUBSTITUTE(LOWER(Q70),"hrs",""),"hr",""))),""))))</f>
        <v>43.25</v>
      </c>
      <c r="S70" s="57" t="n">
        <f aca="false">IFERROR(INDEX(RATES!$E$6:$E$28,MATCH(P70,RATES!$A$6:$A$28,0)),0)</f>
        <v>79.67</v>
      </c>
      <c r="T70" s="61" t="n">
        <f aca="false">IF(ISNUMBER(R70),R70,0)*S70</f>
        <v>3445.7275</v>
      </c>
      <c r="U70" s="61" t="n">
        <f aca="false">T70*INDEX(INPUTS!$H$10:$H$14,MATCH(B70,INPUTS!$A$10:$A$14,0))</f>
        <v>637.4595875</v>
      </c>
      <c r="V70" s="61" t="n">
        <f aca="false">N(STACK!K70)</f>
        <v>3660</v>
      </c>
      <c r="W70" s="61" t="n">
        <f aca="false">T70+U70+V70</f>
        <v>7743.1870875</v>
      </c>
      <c r="X70" s="61" t="n">
        <f aca="false">N(STACK!L70)</f>
        <v>0</v>
      </c>
      <c r="Y70" s="61" t="n">
        <f aca="false">W70-X70</f>
        <v>7743.1870875</v>
      </c>
      <c r="Z70" s="1" t="n">
        <f aca="false">N(STACK!J70)</f>
        <v>296</v>
      </c>
      <c r="AA70" s="1" t="str">
        <f aca="false">TRIM(IF(D70="UNMAPPED","Program not mapped. ","")&amp;IF(OR(K70="UNMAPPED",K70="UNASSIGNED"),"Category needs review. ","")&amp;IF(P70="UNMAPPED","Title not mapped. ","")&amp;IF(AND(P70&lt;&gt;"No staff time",R70=""),"Missing hours. ","")&amp;IF(M70="","Date not readable. ","")&amp;IF(N70="No","Outside fiscal year. ","")&amp;IF(AND(F70="Event",ISNUMBER(R70)),IF(R70&gt;12,"Event hours look high. ",""),"")&amp;IF(G70&gt;0,"See CONFIRM sheet.",""))</f>
        <v/>
      </c>
      <c r="AB70" s="1" t="n">
        <f aca="false">IF(N70="No",0,IF(REVIEW!O70=0,0,IF(G70&gt;0,IF(INDEX(CONFIRM!$J$5:$J$53,G70)&lt;&gt;"",INDEX(CONFIRM!$J$5:$J$53,G70),1),1)))</f>
        <v>1</v>
      </c>
      <c r="AC70" s="1" t="n">
        <f aca="false">IF(AB70=1,IF(COUNTIFS($B$5:B70,B70,$D$5:D70,D70,$AB$5:AB70,1)=1,1,0),0)</f>
        <v>0</v>
      </c>
    </row>
    <row r="71" customFormat="false" ht="15" hidden="false" customHeight="false" outlineLevel="0" collapsed="false">
      <c r="A71" s="48" t="str">
        <f aca="false">STACK!A71</f>
        <v>KVMC-0067</v>
      </c>
      <c r="B71" s="48" t="str">
        <f aca="false">STACK!B71</f>
        <v>KVMC</v>
      </c>
      <c r="C71" s="48" t="str">
        <f aca="false">STACK!E71</f>
        <v>Free Clinic Provider Staffing</v>
      </c>
      <c r="D71" s="1" t="str">
        <f aca="false">IFERROR(INDEX(MAP!$J$7:$J$101,MATCH(TRIM(C71),MAP!$I$7:$I$101,0)),"UNMAPPED")</f>
        <v>Free Clinic Provider Staffing</v>
      </c>
      <c r="E71" s="1" t="str">
        <f aca="false">IFERROR(INDEX(MAP!$K$7:$K$101,MATCH(TRIM(C71),MAP!$I$7:$I$101,0)),"")</f>
        <v>Access to care</v>
      </c>
      <c r="F71" s="1" t="str">
        <f aca="false">IFERROR(INDEX(MAP!$L$7:$L$101,MATCH(TRIM(C71),MAP!$I$7:$I$101,0)),"")</f>
        <v>Monthly</v>
      </c>
      <c r="G71" s="1" t="n">
        <f aca="false">IFERROR(MATCH(A71,CONFIRM!$A$5:$A$53,0),0)</f>
        <v>0</v>
      </c>
      <c r="H71" s="48" t="str">
        <f aca="false">STACK!F71</f>
        <v>Community-Based Clinical Services</v>
      </c>
      <c r="I71" s="1" t="str">
        <f aca="false">IF(G71&gt;0,IF(INDEX(CONFIRM!$I$5:$I$53,G71)&lt;&gt;"",INDEX(CONFIRM!$I$5:$I$53,G71),H71),H71)</f>
        <v>Community-Based Clinical Services</v>
      </c>
      <c r="J71" s="1" t="str">
        <f aca="false">IFERROR(INDEX(MAP!$F$7:$F$74,MATCH(TRIM(I71),MAP!$E$7:$E$74,0)),"UNMAPPED")</f>
        <v>Community-based clinical services</v>
      </c>
      <c r="K71" s="1" t="str">
        <f aca="false">IFERROR(INDEX(MAP!$G$7:$G$74,MATCH(TRIM(I71),MAP!$E$7:$E$74,0)),"UNMAPPED")</f>
        <v>7e</v>
      </c>
      <c r="L71" s="49" t="n">
        <f aca="false">STACK!G71</f>
        <v>45900</v>
      </c>
      <c r="M71" s="59" t="n">
        <f aca="false">IF(G71&gt;0,IF(INDEX(CONFIRM!$G$5:$G$53,G71)&lt;&gt;"",INDEX(CONFIRM!$G$5:$G$53,G71),IF(ISNUMBER(L71),L71,IFERROR(DATEVALUE(L71),""))),IF(ISNUMBER(L71),L71,IFERROR(DATEVALUE(L71),"")))</f>
        <v>45900</v>
      </c>
      <c r="N71" s="1" t="str">
        <f aca="false">IF(M71="","Check",IF(AND(M71&gt;=INPUTS!$C$6,M71&lt;=INPUTS!$C$7),"Yes","No"))</f>
        <v>Yes</v>
      </c>
      <c r="O71" s="48" t="str">
        <f aca="false">STACK!H71</f>
        <v>Pharmacist II </v>
      </c>
      <c r="P71" s="1" t="str">
        <f aca="false">IF(G71&gt;0,IF(INDEX(CONFIRM!$H$5:$H$53,G71)&lt;&gt;"",INDEX(CONFIRM!$H$5:$H$53,G71),IFERROR(INDEX(MAP!$B$7:$B$156,MATCH(TRIM(O71),MAP!$A$7:$A$156,0)),"UNMAPPED")),IFERROR(INDEX(MAP!$B$7:$B$156,MATCH(TRIM(O71),MAP!$A$7:$A$156,0)),"UNMAPPED"))</f>
        <v>Pharmacist</v>
      </c>
      <c r="Q71" s="48" t="n">
        <f aca="false">STACK!I71</f>
        <v>21.25</v>
      </c>
      <c r="R71" s="60" t="n">
        <f aca="false">IF(G71&gt;0,IF(INDEX(CONFIRM!$F$5:$F$53,G71)&lt;&gt;"",INDEX(CONFIRM!$F$5:$F$53,G71),IF(ISNUMBER(Q71),Q71,IF(Q71="","",IFERROR(VALUE(TRIM(SUBSTITUTE(SUBSTITUTE(LOWER(Q71),"hrs",""),"hr",""))),"")))),IF(ISNUMBER(Q71),Q71,IF(Q71="","",IFERROR(VALUE(TRIM(SUBSTITUTE(SUBSTITUTE(LOWER(Q71),"hrs",""),"hr",""))),""))))</f>
        <v>21.25</v>
      </c>
      <c r="S71" s="57" t="n">
        <f aca="false">IFERROR(INDEX(RATES!$E$6:$E$28,MATCH(P71,RATES!$A$6:$A$28,0)),0)</f>
        <v>84.81</v>
      </c>
      <c r="T71" s="61" t="n">
        <f aca="false">IF(ISNUMBER(R71),R71,0)*S71</f>
        <v>1802.2125</v>
      </c>
      <c r="U71" s="61" t="n">
        <f aca="false">T71*INDEX(INPUTS!$H$10:$H$14,MATCH(B71,INPUTS!$A$10:$A$14,0))</f>
        <v>333.4093125</v>
      </c>
      <c r="V71" s="61" t="n">
        <f aca="false">N(STACK!K71)</f>
        <v>0</v>
      </c>
      <c r="W71" s="61" t="n">
        <f aca="false">T71+U71+V71</f>
        <v>2135.6218125</v>
      </c>
      <c r="X71" s="61" t="n">
        <f aca="false">N(STACK!L71)</f>
        <v>0</v>
      </c>
      <c r="Y71" s="61" t="n">
        <f aca="false">W71-X71</f>
        <v>2135.6218125</v>
      </c>
      <c r="Z71" s="1" t="n">
        <f aca="false">N(STACK!J71)</f>
        <v>0</v>
      </c>
      <c r="AA71" s="1" t="str">
        <f aca="false">TRIM(IF(D71="UNMAPPED","Program not mapped. ","")&amp;IF(OR(K71="UNMAPPED",K71="UNASSIGNED"),"Category needs review. ","")&amp;IF(P71="UNMAPPED","Title not mapped. ","")&amp;IF(AND(P71&lt;&gt;"No staff time",R71=""),"Missing hours. ","")&amp;IF(M71="","Date not readable. ","")&amp;IF(N71="No","Outside fiscal year. ","")&amp;IF(AND(F71="Event",ISNUMBER(R71)),IF(R71&gt;12,"Event hours look high. ",""),"")&amp;IF(G71&gt;0,"See CONFIRM sheet.",""))</f>
        <v/>
      </c>
      <c r="AB71" s="1" t="n">
        <f aca="false">IF(N71="No",0,IF(REVIEW!O71=0,0,IF(G71&gt;0,IF(INDEX(CONFIRM!$J$5:$J$53,G71)&lt;&gt;"",INDEX(CONFIRM!$J$5:$J$53,G71),1),1)))</f>
        <v>1</v>
      </c>
      <c r="AC71" s="1" t="n">
        <f aca="false">IF(AB71=1,IF(COUNTIFS($B$5:B71,B71,$D$5:D71,D71,$AB$5:AB71,1)=1,1,0),0)</f>
        <v>0</v>
      </c>
    </row>
    <row r="72" customFormat="false" ht="15" hidden="false" customHeight="false" outlineLevel="0" collapsed="false">
      <c r="A72" s="48" t="str">
        <f aca="false">STACK!A72</f>
        <v>KVMC-0068</v>
      </c>
      <c r="B72" s="48" t="str">
        <f aca="false">STACK!B72</f>
        <v>KVMC</v>
      </c>
      <c r="C72" s="48" t="str">
        <f aca="false">STACK!E72</f>
        <v>Free Clinic Provider Staffing</v>
      </c>
      <c r="D72" s="1" t="str">
        <f aca="false">IFERROR(INDEX(MAP!$J$7:$J$101,MATCH(TRIM(C72),MAP!$I$7:$I$101,0)),"UNMAPPED")</f>
        <v>Free Clinic Provider Staffing</v>
      </c>
      <c r="E72" s="1" t="str">
        <f aca="false">IFERROR(INDEX(MAP!$K$7:$K$101,MATCH(TRIM(C72),MAP!$I$7:$I$101,0)),"")</f>
        <v>Access to care</v>
      </c>
      <c r="F72" s="1" t="str">
        <f aca="false">IFERROR(INDEX(MAP!$L$7:$L$101,MATCH(TRIM(C72),MAP!$I$7:$I$101,0)),"")</f>
        <v>Monthly</v>
      </c>
      <c r="G72" s="1" t="n">
        <f aca="false">IFERROR(MATCH(A72,CONFIRM!$A$5:$A$53,0),0)</f>
        <v>0</v>
      </c>
      <c r="H72" s="48" t="str">
        <f aca="false">STACK!F72</f>
        <v>Community-Based Clinical Services</v>
      </c>
      <c r="I72" s="1" t="str">
        <f aca="false">IF(G72&gt;0,IF(INDEX(CONFIRM!$I$5:$I$53,G72)&lt;&gt;"",INDEX(CONFIRM!$I$5:$I$53,G72),H72),H72)</f>
        <v>Community-Based Clinical Services</v>
      </c>
      <c r="J72" s="1" t="str">
        <f aca="false">IFERROR(INDEX(MAP!$F$7:$F$74,MATCH(TRIM(I72),MAP!$E$7:$E$74,0)),"UNMAPPED")</f>
        <v>Community-based clinical services</v>
      </c>
      <c r="K72" s="1" t="str">
        <f aca="false">IFERROR(INDEX(MAP!$G$7:$G$74,MATCH(TRIM(I72),MAP!$E$7:$E$74,0)),"UNMAPPED")</f>
        <v>7e</v>
      </c>
      <c r="L72" s="49" t="n">
        <f aca="false">STACK!G72</f>
        <v>45900</v>
      </c>
      <c r="M72" s="59" t="n">
        <f aca="false">IF(G72&gt;0,IF(INDEX(CONFIRM!$G$5:$G$53,G72)&lt;&gt;"",INDEX(CONFIRM!$G$5:$G$53,G72),IF(ISNUMBER(L72),L72,IFERROR(DATEVALUE(L72),""))),IF(ISNUMBER(L72),L72,IFERROR(DATEVALUE(L72),"")))</f>
        <v>45900</v>
      </c>
      <c r="N72" s="1" t="str">
        <f aca="false">IF(M72="","Check",IF(AND(M72&gt;=INPUTS!$C$6,M72&lt;=INPUTS!$C$7),"Yes","No"))</f>
        <v>Yes</v>
      </c>
      <c r="O72" s="48" t="str">
        <f aca="false">STACK!H72</f>
        <v>R.N.</v>
      </c>
      <c r="P72" s="1" t="str">
        <f aca="false">IF(G72&gt;0,IF(INDEX(CONFIRM!$H$5:$H$53,G72)&lt;&gt;"",INDEX(CONFIRM!$H$5:$H$53,G72),IFERROR(INDEX(MAP!$B$7:$B$156,MATCH(TRIM(O72),MAP!$A$7:$A$156,0)),"UNMAPPED")),IFERROR(INDEX(MAP!$B$7:$B$156,MATCH(TRIM(O72),MAP!$A$7:$A$156,0)),"UNMAPPED"))</f>
        <v>Registered Nurse</v>
      </c>
      <c r="Q72" s="48" t="n">
        <f aca="false">STACK!I72</f>
        <v>50.75</v>
      </c>
      <c r="R72" s="60" t="n">
        <f aca="false">IF(G72&gt;0,IF(INDEX(CONFIRM!$F$5:$F$53,G72)&lt;&gt;"",INDEX(CONFIRM!$F$5:$F$53,G72),IF(ISNUMBER(Q72),Q72,IF(Q72="","",IFERROR(VALUE(TRIM(SUBSTITUTE(SUBSTITUTE(LOWER(Q72),"hrs",""),"hr",""))),"")))),IF(ISNUMBER(Q72),Q72,IF(Q72="","",IFERROR(VALUE(TRIM(SUBSTITUTE(SUBSTITUTE(LOWER(Q72),"hrs",""),"hr",""))),""))))</f>
        <v>50.75</v>
      </c>
      <c r="S72" s="57" t="n">
        <f aca="false">IFERROR(INDEX(RATES!$E$6:$E$28,MATCH(P72,RATES!$A$6:$A$28,0)),0)</f>
        <v>55.8975</v>
      </c>
      <c r="T72" s="61" t="n">
        <f aca="false">IF(ISNUMBER(R72),R72,0)*S72</f>
        <v>2836.798125</v>
      </c>
      <c r="U72" s="61" t="n">
        <f aca="false">T72*INDEX(INPUTS!$H$10:$H$14,MATCH(B72,INPUTS!$A$10:$A$14,0))</f>
        <v>524.807653125</v>
      </c>
      <c r="V72" s="61" t="n">
        <f aca="false">N(STACK!K72)</f>
        <v>0</v>
      </c>
      <c r="W72" s="61" t="n">
        <f aca="false">T72+U72+V72</f>
        <v>3361.605778125</v>
      </c>
      <c r="X72" s="61" t="n">
        <f aca="false">N(STACK!L72)</f>
        <v>0</v>
      </c>
      <c r="Y72" s="61" t="n">
        <f aca="false">W72-X72</f>
        <v>3361.605778125</v>
      </c>
      <c r="Z72" s="1" t="n">
        <f aca="false">N(STACK!J72)</f>
        <v>0</v>
      </c>
      <c r="AA72" s="1" t="str">
        <f aca="false">TRIM(IF(D72="UNMAPPED","Program not mapped. ","")&amp;IF(OR(K72="UNMAPPED",K72="UNASSIGNED"),"Category needs review. ","")&amp;IF(P72="UNMAPPED","Title not mapped. ","")&amp;IF(AND(P72&lt;&gt;"No staff time",R72=""),"Missing hours. ","")&amp;IF(M72="","Date not readable. ","")&amp;IF(N72="No","Outside fiscal year. ","")&amp;IF(AND(F72="Event",ISNUMBER(R72)),IF(R72&gt;12,"Event hours look high. ",""),"")&amp;IF(G72&gt;0,"See CONFIRM sheet.",""))</f>
        <v/>
      </c>
      <c r="AB72" s="1" t="n">
        <f aca="false">IF(N72="No",0,IF(REVIEW!O72=0,0,IF(G72&gt;0,IF(INDEX(CONFIRM!$J$5:$J$53,G72)&lt;&gt;"",INDEX(CONFIRM!$J$5:$J$53,G72),1),1)))</f>
        <v>1</v>
      </c>
      <c r="AC72" s="1" t="n">
        <f aca="false">IF(AB72=1,IF(COUNTIFS($B$5:B72,B72,$D$5:D72,D72,$AB$5:AB72,1)=1,1,0),0)</f>
        <v>0</v>
      </c>
    </row>
    <row r="73" customFormat="false" ht="15" hidden="false" customHeight="false" outlineLevel="0" collapsed="false">
      <c r="A73" s="48" t="str">
        <f aca="false">STACK!A73</f>
        <v>KVMC-0069</v>
      </c>
      <c r="B73" s="48" t="str">
        <f aca="false">STACK!B73</f>
        <v>KVMC</v>
      </c>
      <c r="C73" s="48" t="str">
        <f aca="false">STACK!E73</f>
        <v>Community Health Worker Outreach</v>
      </c>
      <c r="D73" s="1" t="str">
        <f aca="false">IFERROR(INDEX(MAP!$J$7:$J$101,MATCH(TRIM(C73),MAP!$I$7:$I$101,0)),"UNMAPPED")</f>
        <v>Community Health Worker Outreach</v>
      </c>
      <c r="E73" s="1" t="str">
        <f aca="false">IFERROR(INDEX(MAP!$K$7:$K$101,MATCH(TRIM(C73),MAP!$I$7:$I$101,0)),"")</f>
        <v>Access to care</v>
      </c>
      <c r="F73" s="1" t="str">
        <f aca="false">IFERROR(INDEX(MAP!$L$7:$L$101,MATCH(TRIM(C73),MAP!$I$7:$I$101,0)),"")</f>
        <v>Monthly</v>
      </c>
      <c r="G73" s="1" t="n">
        <f aca="false">IFERROR(MATCH(A73,CONFIRM!$A$5:$A$53,0),0)</f>
        <v>0</v>
      </c>
      <c r="H73" s="48" t="str">
        <f aca="false">STACK!F73</f>
        <v>Health Care Support Services</v>
      </c>
      <c r="I73" s="1" t="str">
        <f aca="false">IF(G73&gt;0,IF(INDEX(CONFIRM!$I$5:$I$53,G73)&lt;&gt;"",INDEX(CONFIRM!$I$5:$I$53,G73),H73),H73)</f>
        <v>Health Care Support Services</v>
      </c>
      <c r="J73" s="1" t="str">
        <f aca="false">IFERROR(INDEX(MAP!$F$7:$F$74,MATCH(TRIM(I73),MAP!$E$7:$E$74,0)),"UNMAPPED")</f>
        <v>Health care support services</v>
      </c>
      <c r="K73" s="1" t="str">
        <f aca="false">IFERROR(INDEX(MAP!$G$7:$G$74,MATCH(TRIM(I73),MAP!$E$7:$E$74,0)),"UNMAPPED")</f>
        <v>7e</v>
      </c>
      <c r="L73" s="49" t="n">
        <f aca="false">STACK!G73</f>
        <v>45900</v>
      </c>
      <c r="M73" s="59" t="n">
        <f aca="false">IF(G73&gt;0,IF(INDEX(CONFIRM!$G$5:$G$53,G73)&lt;&gt;"",INDEX(CONFIRM!$G$5:$G$53,G73),IF(ISNUMBER(L73),L73,IFERROR(DATEVALUE(L73),""))),IF(ISNUMBER(L73),L73,IFERROR(DATEVALUE(L73),"")))</f>
        <v>45900</v>
      </c>
      <c r="N73" s="1" t="str">
        <f aca="false">IF(M73="","Check",IF(AND(M73&gt;=INPUTS!$C$6,M73&lt;=INPUTS!$C$7),"Yes","No"))</f>
        <v>Yes</v>
      </c>
      <c r="O73" s="48" t="str">
        <f aca="false">STACK!H73</f>
        <v>CHW II</v>
      </c>
      <c r="P73" s="1" t="str">
        <f aca="false">IF(G73&gt;0,IF(INDEX(CONFIRM!$H$5:$H$53,G73)&lt;&gt;"",INDEX(CONFIRM!$H$5:$H$53,G73),IFERROR(INDEX(MAP!$B$7:$B$156,MATCH(TRIM(O73),MAP!$A$7:$A$156,0)),"UNMAPPED")),IFERROR(INDEX(MAP!$B$7:$B$156,MATCH(TRIM(O73),MAP!$A$7:$A$156,0)),"UNMAPPED"))</f>
        <v>Community Health Worker</v>
      </c>
      <c r="Q73" s="48" t="n">
        <f aca="false">STACK!I73</f>
        <v>498.25</v>
      </c>
      <c r="R73" s="60" t="n">
        <f aca="false">IF(G73&gt;0,IF(INDEX(CONFIRM!$F$5:$F$53,G73)&lt;&gt;"",INDEX(CONFIRM!$F$5:$F$53,G73),IF(ISNUMBER(Q73),Q73,IF(Q73="","",IFERROR(VALUE(TRIM(SUBSTITUTE(SUBSTITUTE(LOWER(Q73),"hrs",""),"hr",""))),"")))),IF(ISNUMBER(Q73),Q73,IF(Q73="","",IFERROR(VALUE(TRIM(SUBSTITUTE(SUBSTITUTE(LOWER(Q73),"hrs",""),"hr",""))),""))))</f>
        <v>498.25</v>
      </c>
      <c r="S73" s="57" t="n">
        <f aca="false">IFERROR(INDEX(RATES!$E$6:$E$28,MATCH(P73,RATES!$A$6:$A$28,0)),0)</f>
        <v>27.6275</v>
      </c>
      <c r="T73" s="61" t="n">
        <f aca="false">IF(ISNUMBER(R73),R73,0)*S73</f>
        <v>13765.401875</v>
      </c>
      <c r="U73" s="61" t="n">
        <f aca="false">T73*INDEX(INPUTS!$H$10:$H$14,MATCH(B73,INPUTS!$A$10:$A$14,0))</f>
        <v>2546.599346875</v>
      </c>
      <c r="V73" s="61" t="n">
        <f aca="false">N(STACK!K73)</f>
        <v>2950</v>
      </c>
      <c r="W73" s="61" t="n">
        <f aca="false">T73+U73+V73</f>
        <v>19262.001221875</v>
      </c>
      <c r="X73" s="61" t="n">
        <f aca="false">N(STACK!L73)</f>
        <v>0</v>
      </c>
      <c r="Y73" s="61" t="n">
        <f aca="false">W73-X73</f>
        <v>19262.001221875</v>
      </c>
      <c r="Z73" s="1" t="n">
        <f aca="false">N(STACK!J73)</f>
        <v>670</v>
      </c>
      <c r="AA73" s="1" t="str">
        <f aca="false">TRIM(IF(D73="UNMAPPED","Program not mapped. ","")&amp;IF(OR(K73="UNMAPPED",K73="UNASSIGNED"),"Category needs review. ","")&amp;IF(P73="UNMAPPED","Title not mapped. ","")&amp;IF(AND(P73&lt;&gt;"No staff time",R73=""),"Missing hours. ","")&amp;IF(M73="","Date not readable. ","")&amp;IF(N73="No","Outside fiscal year. ","")&amp;IF(AND(F73="Event",ISNUMBER(R73)),IF(R73&gt;12,"Event hours look high. ",""),"")&amp;IF(G73&gt;0,"See CONFIRM sheet.",""))</f>
        <v/>
      </c>
      <c r="AB73" s="1" t="n">
        <f aca="false">IF(N73="No",0,IF(REVIEW!O73=0,0,IF(G73&gt;0,IF(INDEX(CONFIRM!$J$5:$J$53,G73)&lt;&gt;"",INDEX(CONFIRM!$J$5:$J$53,G73),1),1)))</f>
        <v>1</v>
      </c>
      <c r="AC73" s="1" t="n">
        <f aca="false">IF(AB73=1,IF(COUNTIFS($B$5:B73,B73,$D$5:D73,D73,$AB$5:AB73,1)=1,1,0),0)</f>
        <v>0</v>
      </c>
    </row>
    <row r="74" customFormat="false" ht="15" hidden="false" customHeight="false" outlineLevel="0" collapsed="false">
      <c r="A74" s="48" t="str">
        <f aca="false">STACK!A74</f>
        <v>KVMC-0070</v>
      </c>
      <c r="B74" s="48" t="str">
        <f aca="false">STACK!B74</f>
        <v>KVMC</v>
      </c>
      <c r="C74" s="48" t="str">
        <f aca="false">STACK!E74</f>
        <v>Community Health Worker Outreach</v>
      </c>
      <c r="D74" s="1" t="str">
        <f aca="false">IFERROR(INDEX(MAP!$J$7:$J$101,MATCH(TRIM(C74),MAP!$I$7:$I$101,0)),"UNMAPPED")</f>
        <v>Community Health Worker Outreach</v>
      </c>
      <c r="E74" s="1" t="str">
        <f aca="false">IFERROR(INDEX(MAP!$K$7:$K$101,MATCH(TRIM(C74),MAP!$I$7:$I$101,0)),"")</f>
        <v>Access to care</v>
      </c>
      <c r="F74" s="1" t="str">
        <f aca="false">IFERROR(INDEX(MAP!$L$7:$L$101,MATCH(TRIM(C74),MAP!$I$7:$I$101,0)),"")</f>
        <v>Monthly</v>
      </c>
      <c r="G74" s="1" t="n">
        <f aca="false">IFERROR(MATCH(A74,CONFIRM!$A$5:$A$53,0),0)</f>
        <v>0</v>
      </c>
      <c r="H74" s="48" t="str">
        <f aca="false">STACK!F74</f>
        <v>Health Care Support Services</v>
      </c>
      <c r="I74" s="1" t="str">
        <f aca="false">IF(G74&gt;0,IF(INDEX(CONFIRM!$I$5:$I$53,G74)&lt;&gt;"",INDEX(CONFIRM!$I$5:$I$53,G74),H74),H74)</f>
        <v>Health Care Support Services</v>
      </c>
      <c r="J74" s="1" t="str">
        <f aca="false">IFERROR(INDEX(MAP!$F$7:$F$74,MATCH(TRIM(I74),MAP!$E$7:$E$74,0)),"UNMAPPED")</f>
        <v>Health care support services</v>
      </c>
      <c r="K74" s="1" t="str">
        <f aca="false">IFERROR(INDEX(MAP!$G$7:$G$74,MATCH(TRIM(I74),MAP!$E$7:$E$74,0)),"UNMAPPED")</f>
        <v>7e</v>
      </c>
      <c r="L74" s="49" t="n">
        <f aca="false">STACK!G74</f>
        <v>45900</v>
      </c>
      <c r="M74" s="59" t="n">
        <f aca="false">IF(G74&gt;0,IF(INDEX(CONFIRM!$G$5:$G$53,G74)&lt;&gt;"",INDEX(CONFIRM!$G$5:$G$53,G74),IF(ISNUMBER(L74),L74,IFERROR(DATEVALUE(L74),""))),IF(ISNUMBER(L74),L74,IFERROR(DATEVALUE(L74),"")))</f>
        <v>45900</v>
      </c>
      <c r="N74" s="1" t="str">
        <f aca="false">IF(M74="","Check",IF(AND(M74&gt;=INPUTS!$C$6,M74&lt;=INPUTS!$C$7),"Yes","No"))</f>
        <v>Yes</v>
      </c>
      <c r="O74" s="48" t="str">
        <f aca="false">STACK!H74</f>
        <v>Financial Navigator</v>
      </c>
      <c r="P74" s="1" t="str">
        <f aca="false">IF(G74&gt;0,IF(INDEX(CONFIRM!$H$5:$H$53,G74)&lt;&gt;"",INDEX(CONFIRM!$H$5:$H$53,G74),IFERROR(INDEX(MAP!$B$7:$B$156,MATCH(TRIM(O74),MAP!$A$7:$A$156,0)),"UNMAPPED")),IFERROR(INDEX(MAP!$B$7:$B$156,MATCH(TRIM(O74),MAP!$A$7:$A$156,0)),"UNMAPPED"))</f>
        <v>Patient Navigator</v>
      </c>
      <c r="Q74" s="48" t="n">
        <f aca="false">STACK!I74</f>
        <v>187.75</v>
      </c>
      <c r="R74" s="60" t="n">
        <f aca="false">IF(G74&gt;0,IF(INDEX(CONFIRM!$F$5:$F$53,G74)&lt;&gt;"",INDEX(CONFIRM!$F$5:$F$53,G74),IF(ISNUMBER(Q74),Q74,IF(Q74="","",IFERROR(VALUE(TRIM(SUBSTITUTE(SUBSTITUTE(LOWER(Q74),"hrs",""),"hr",""))),"")))),IF(ISNUMBER(Q74),Q74,IF(Q74="","",IFERROR(VALUE(TRIM(SUBSTITUTE(SUBSTITUTE(LOWER(Q74),"hrs",""),"hr",""))),""))))</f>
        <v>187.75</v>
      </c>
      <c r="S74" s="57" t="n">
        <f aca="false">IFERROR(INDEX(RATES!$E$6:$E$28,MATCH(P74,RATES!$A$6:$A$28,0)),0)</f>
        <v>30.84</v>
      </c>
      <c r="T74" s="61" t="n">
        <f aca="false">IF(ISNUMBER(R74),R74,0)*S74</f>
        <v>5790.21</v>
      </c>
      <c r="U74" s="61" t="n">
        <f aca="false">T74*INDEX(INPUTS!$H$10:$H$14,MATCH(B74,INPUTS!$A$10:$A$14,0))</f>
        <v>1071.18885</v>
      </c>
      <c r="V74" s="61" t="n">
        <f aca="false">N(STACK!K74)</f>
        <v>0</v>
      </c>
      <c r="W74" s="61" t="n">
        <f aca="false">T74+U74+V74</f>
        <v>6861.39885</v>
      </c>
      <c r="X74" s="61" t="n">
        <f aca="false">N(STACK!L74)</f>
        <v>0</v>
      </c>
      <c r="Y74" s="61" t="n">
        <f aca="false">W74-X74</f>
        <v>6861.39885</v>
      </c>
      <c r="Z74" s="1" t="n">
        <f aca="false">N(STACK!J74)</f>
        <v>0</v>
      </c>
      <c r="AA74" s="1" t="str">
        <f aca="false">TRIM(IF(D74="UNMAPPED","Program not mapped. ","")&amp;IF(OR(K74="UNMAPPED",K74="UNASSIGNED"),"Category needs review. ","")&amp;IF(P74="UNMAPPED","Title not mapped. ","")&amp;IF(AND(P74&lt;&gt;"No staff time",R74=""),"Missing hours. ","")&amp;IF(M74="","Date not readable. ","")&amp;IF(N74="No","Outside fiscal year. ","")&amp;IF(AND(F74="Event",ISNUMBER(R74)),IF(R74&gt;12,"Event hours look high. ",""),"")&amp;IF(G74&gt;0,"See CONFIRM sheet.",""))</f>
        <v/>
      </c>
      <c r="AB74" s="1" t="n">
        <f aca="false">IF(N74="No",0,IF(REVIEW!O74=0,0,IF(G74&gt;0,IF(INDEX(CONFIRM!$J$5:$J$53,G74)&lt;&gt;"",INDEX(CONFIRM!$J$5:$J$53,G74),1),1)))</f>
        <v>1</v>
      </c>
      <c r="AC74" s="1" t="n">
        <f aca="false">IF(AB74=1,IF(COUNTIFS($B$5:B74,B74,$D$5:D74,D74,$AB$5:AB74,1)=1,1,0),0)</f>
        <v>0</v>
      </c>
    </row>
    <row r="75" customFormat="false" ht="15" hidden="false" customHeight="false" outlineLevel="0" collapsed="false">
      <c r="A75" s="48" t="str">
        <f aca="false">STACK!A75</f>
        <v>KVMC-0071</v>
      </c>
      <c r="B75" s="48" t="str">
        <f aca="false">STACK!B75</f>
        <v>KVMC</v>
      </c>
      <c r="C75" s="48" t="str">
        <f aca="false">STACK!E75</f>
        <v>Medication Assistance Program</v>
      </c>
      <c r="D75" s="1" t="str">
        <f aca="false">IFERROR(INDEX(MAP!$J$7:$J$101,MATCH(TRIM(C75),MAP!$I$7:$I$101,0)),"UNMAPPED")</f>
        <v>Medication Assistance Program</v>
      </c>
      <c r="E75" s="1" t="str">
        <f aca="false">IFERROR(INDEX(MAP!$K$7:$K$101,MATCH(TRIM(C75),MAP!$I$7:$I$101,0)),"")</f>
        <v>Access to care</v>
      </c>
      <c r="F75" s="1" t="str">
        <f aca="false">IFERROR(INDEX(MAP!$L$7:$L$101,MATCH(TRIM(C75),MAP!$I$7:$I$101,0)),"")</f>
        <v>Monthly</v>
      </c>
      <c r="G75" s="1" t="n">
        <f aca="false">IFERROR(MATCH(A75,CONFIRM!$A$5:$A$53,0),0)</f>
        <v>0</v>
      </c>
      <c r="H75" s="48" t="str">
        <f aca="false">STACK!F75</f>
        <v>Health Care Support Services</v>
      </c>
      <c r="I75" s="1" t="str">
        <f aca="false">IF(G75&gt;0,IF(INDEX(CONFIRM!$I$5:$I$53,G75)&lt;&gt;"",INDEX(CONFIRM!$I$5:$I$53,G75),H75),H75)</f>
        <v>Health Care Support Services</v>
      </c>
      <c r="J75" s="1" t="str">
        <f aca="false">IFERROR(INDEX(MAP!$F$7:$F$74,MATCH(TRIM(I75),MAP!$E$7:$E$74,0)),"UNMAPPED")</f>
        <v>Health care support services</v>
      </c>
      <c r="K75" s="1" t="str">
        <f aca="false">IFERROR(INDEX(MAP!$G$7:$G$74,MATCH(TRIM(I75),MAP!$E$7:$E$74,0)),"UNMAPPED")</f>
        <v>7e</v>
      </c>
      <c r="L75" s="49" t="n">
        <f aca="false">STACK!G75</f>
        <v>45900</v>
      </c>
      <c r="M75" s="59" t="n">
        <f aca="false">IF(G75&gt;0,IF(INDEX(CONFIRM!$G$5:$G$53,G75)&lt;&gt;"",INDEX(CONFIRM!$G$5:$G$53,G75),IF(ISNUMBER(L75),L75,IFERROR(DATEVALUE(L75),""))),IF(ISNUMBER(L75),L75,IFERROR(DATEVALUE(L75),"")))</f>
        <v>45900</v>
      </c>
      <c r="N75" s="1" t="str">
        <f aca="false">IF(M75="","Check",IF(AND(M75&gt;=INPUTS!$C$6,M75&lt;=INPUTS!$C$7),"Yes","No"))</f>
        <v>Yes</v>
      </c>
      <c r="O75" s="48" t="str">
        <f aca="false">STACK!H75</f>
        <v>Navigator</v>
      </c>
      <c r="P75" s="1" t="str">
        <f aca="false">IF(G75&gt;0,IF(INDEX(CONFIRM!$H$5:$H$53,G75)&lt;&gt;"",INDEX(CONFIRM!$H$5:$H$53,G75),IFERROR(INDEX(MAP!$B$7:$B$156,MATCH(TRIM(O75),MAP!$A$7:$A$156,0)),"UNMAPPED")),IFERROR(INDEX(MAP!$B$7:$B$156,MATCH(TRIM(O75),MAP!$A$7:$A$156,0)),"UNMAPPED"))</f>
        <v>Patient Navigator</v>
      </c>
      <c r="Q75" s="48" t="n">
        <f aca="false">STACK!I75</f>
        <v>111.75</v>
      </c>
      <c r="R75" s="60" t="n">
        <f aca="false">IF(G75&gt;0,IF(INDEX(CONFIRM!$F$5:$F$53,G75)&lt;&gt;"",INDEX(CONFIRM!$F$5:$F$53,G75),IF(ISNUMBER(Q75),Q75,IF(Q75="","",IFERROR(VALUE(TRIM(SUBSTITUTE(SUBSTITUTE(LOWER(Q75),"hrs",""),"hr",""))),"")))),IF(ISNUMBER(Q75),Q75,IF(Q75="","",IFERROR(VALUE(TRIM(SUBSTITUTE(SUBSTITUTE(LOWER(Q75),"hrs",""),"hr",""))),""))))</f>
        <v>111.75</v>
      </c>
      <c r="S75" s="57" t="n">
        <f aca="false">IFERROR(INDEX(RATES!$E$6:$E$28,MATCH(P75,RATES!$A$6:$A$28,0)),0)</f>
        <v>30.84</v>
      </c>
      <c r="T75" s="61" t="n">
        <f aca="false">IF(ISNUMBER(R75),R75,0)*S75</f>
        <v>3446.37</v>
      </c>
      <c r="U75" s="61" t="n">
        <f aca="false">T75*INDEX(INPUTS!$H$10:$H$14,MATCH(B75,INPUTS!$A$10:$A$14,0))</f>
        <v>637.57845</v>
      </c>
      <c r="V75" s="61" t="n">
        <f aca="false">N(STACK!K75)</f>
        <v>0</v>
      </c>
      <c r="W75" s="61" t="n">
        <f aca="false">T75+U75+V75</f>
        <v>4083.94845</v>
      </c>
      <c r="X75" s="61" t="n">
        <f aca="false">N(STACK!L75)</f>
        <v>0</v>
      </c>
      <c r="Y75" s="61" t="n">
        <f aca="false">W75-X75</f>
        <v>4083.94845</v>
      </c>
      <c r="Z75" s="1" t="n">
        <f aca="false">N(STACK!J75)</f>
        <v>0</v>
      </c>
      <c r="AA75" s="1" t="str">
        <f aca="false">TRIM(IF(D75="UNMAPPED","Program not mapped. ","")&amp;IF(OR(K75="UNMAPPED",K75="UNASSIGNED"),"Category needs review. ","")&amp;IF(P75="UNMAPPED","Title not mapped. ","")&amp;IF(AND(P75&lt;&gt;"No staff time",R75=""),"Missing hours. ","")&amp;IF(M75="","Date not readable. ","")&amp;IF(N75="No","Outside fiscal year. ","")&amp;IF(AND(F75="Event",ISNUMBER(R75)),IF(R75&gt;12,"Event hours look high. ",""),"")&amp;IF(G75&gt;0,"See CONFIRM sheet.",""))</f>
        <v/>
      </c>
      <c r="AB75" s="1" t="n">
        <f aca="false">IF(N75="No",0,IF(REVIEW!O75=0,0,IF(G75&gt;0,IF(INDEX(CONFIRM!$J$5:$J$53,G75)&lt;&gt;"",INDEX(CONFIRM!$J$5:$J$53,G75),1),1)))</f>
        <v>1</v>
      </c>
      <c r="AC75" s="1" t="n">
        <f aca="false">IF(AB75=1,IF(COUNTIFS($B$5:B75,B75,$D$5:D75,D75,$AB$5:AB75,1)=1,1,0),0)</f>
        <v>0</v>
      </c>
    </row>
    <row r="76" customFormat="false" ht="15" hidden="false" customHeight="false" outlineLevel="0" collapsed="false">
      <c r="A76" s="48" t="str">
        <f aca="false">STACK!A76</f>
        <v>KVMC-0072</v>
      </c>
      <c r="B76" s="48" t="str">
        <f aca="false">STACK!B76</f>
        <v>KVMC</v>
      </c>
      <c r="C76" s="48" t="str">
        <f aca="false">STACK!E76</f>
        <v>Medication Assistance Program</v>
      </c>
      <c r="D76" s="1" t="str">
        <f aca="false">IFERROR(INDEX(MAP!$J$7:$J$101,MATCH(TRIM(C76),MAP!$I$7:$I$101,0)),"UNMAPPED")</f>
        <v>Medication Assistance Program</v>
      </c>
      <c r="E76" s="1" t="str">
        <f aca="false">IFERROR(INDEX(MAP!$K$7:$K$101,MATCH(TRIM(C76),MAP!$I$7:$I$101,0)),"")</f>
        <v>Access to care</v>
      </c>
      <c r="F76" s="1" t="str">
        <f aca="false">IFERROR(INDEX(MAP!$L$7:$L$101,MATCH(TRIM(C76),MAP!$I$7:$I$101,0)),"")</f>
        <v>Monthly</v>
      </c>
      <c r="G76" s="1" t="n">
        <f aca="false">IFERROR(MATCH(A76,CONFIRM!$A$5:$A$53,0),0)</f>
        <v>0</v>
      </c>
      <c r="H76" s="48" t="str">
        <f aca="false">STACK!F76</f>
        <v>Health Care Support Services</v>
      </c>
      <c r="I76" s="1" t="str">
        <f aca="false">IF(G76&gt;0,IF(INDEX(CONFIRM!$I$5:$I$53,G76)&lt;&gt;"",INDEX(CONFIRM!$I$5:$I$53,G76),H76),H76)</f>
        <v>Health Care Support Services</v>
      </c>
      <c r="J76" s="1" t="str">
        <f aca="false">IFERROR(INDEX(MAP!$F$7:$F$74,MATCH(TRIM(I76),MAP!$E$7:$E$74,0)),"UNMAPPED")</f>
        <v>Health care support services</v>
      </c>
      <c r="K76" s="1" t="str">
        <f aca="false">IFERROR(INDEX(MAP!$G$7:$G$74,MATCH(TRIM(I76),MAP!$E$7:$E$74,0)),"UNMAPPED")</f>
        <v>7e</v>
      </c>
      <c r="L76" s="49" t="n">
        <f aca="false">STACK!G76</f>
        <v>45900</v>
      </c>
      <c r="M76" s="59" t="n">
        <f aca="false">IF(G76&gt;0,IF(INDEX(CONFIRM!$G$5:$G$53,G76)&lt;&gt;"",INDEX(CONFIRM!$G$5:$G$53,G76),IF(ISNUMBER(L76),L76,IFERROR(DATEVALUE(L76),""))),IF(ISNUMBER(L76),L76,IFERROR(DATEVALUE(L76),"")))</f>
        <v>45900</v>
      </c>
      <c r="N76" s="1" t="str">
        <f aca="false">IF(M76="","Check",IF(AND(M76&gt;=INPUTS!$C$6,M76&lt;=INPUTS!$C$7),"Yes","No"))</f>
        <v>Yes</v>
      </c>
      <c r="O76" s="48" t="str">
        <f aca="false">STACK!H76</f>
        <v>Staff Pharmacist</v>
      </c>
      <c r="P76" s="1" t="str">
        <f aca="false">IF(G76&gt;0,IF(INDEX(CONFIRM!$H$5:$H$53,G76)&lt;&gt;"",INDEX(CONFIRM!$H$5:$H$53,G76),IFERROR(INDEX(MAP!$B$7:$B$156,MATCH(TRIM(O76),MAP!$A$7:$A$156,0)),"UNMAPPED")),IFERROR(INDEX(MAP!$B$7:$B$156,MATCH(TRIM(O76),MAP!$A$7:$A$156,0)),"UNMAPPED"))</f>
        <v>Pharmacist</v>
      </c>
      <c r="Q76" s="48" t="n">
        <f aca="false">STACK!I76</f>
        <v>21.25</v>
      </c>
      <c r="R76" s="60" t="n">
        <f aca="false">IF(G76&gt;0,IF(INDEX(CONFIRM!$F$5:$F$53,G76)&lt;&gt;"",INDEX(CONFIRM!$F$5:$F$53,G76),IF(ISNUMBER(Q76),Q76,IF(Q76="","",IFERROR(VALUE(TRIM(SUBSTITUTE(SUBSTITUTE(LOWER(Q76),"hrs",""),"hr",""))),"")))),IF(ISNUMBER(Q76),Q76,IF(Q76="","",IFERROR(VALUE(TRIM(SUBSTITUTE(SUBSTITUTE(LOWER(Q76),"hrs",""),"hr",""))),""))))</f>
        <v>21.25</v>
      </c>
      <c r="S76" s="57" t="n">
        <f aca="false">IFERROR(INDEX(RATES!$E$6:$E$28,MATCH(P76,RATES!$A$6:$A$28,0)),0)</f>
        <v>84.81</v>
      </c>
      <c r="T76" s="61" t="n">
        <f aca="false">IF(ISNUMBER(R76),R76,0)*S76</f>
        <v>1802.2125</v>
      </c>
      <c r="U76" s="61" t="n">
        <f aca="false">T76*INDEX(INPUTS!$H$10:$H$14,MATCH(B76,INPUTS!$A$10:$A$14,0))</f>
        <v>333.4093125</v>
      </c>
      <c r="V76" s="61" t="n">
        <f aca="false">N(STACK!K76)</f>
        <v>24975</v>
      </c>
      <c r="W76" s="61" t="n">
        <f aca="false">T76+U76+V76</f>
        <v>27110.6218125</v>
      </c>
      <c r="X76" s="61" t="n">
        <f aca="false">N(STACK!L76)</f>
        <v>0</v>
      </c>
      <c r="Y76" s="61" t="n">
        <f aca="false">W76-X76</f>
        <v>27110.6218125</v>
      </c>
      <c r="Z76" s="1" t="n">
        <f aca="false">N(STACK!J76)</f>
        <v>88</v>
      </c>
      <c r="AA76" s="1" t="str">
        <f aca="false">TRIM(IF(D76="UNMAPPED","Program not mapped. ","")&amp;IF(OR(K76="UNMAPPED",K76="UNASSIGNED"),"Category needs review. ","")&amp;IF(P76="UNMAPPED","Title not mapped. ","")&amp;IF(AND(P76&lt;&gt;"No staff time",R76=""),"Missing hours. ","")&amp;IF(M76="","Date not readable. ","")&amp;IF(N76="No","Outside fiscal year. ","")&amp;IF(AND(F76="Event",ISNUMBER(R76)),IF(R76&gt;12,"Event hours look high. ",""),"")&amp;IF(G76&gt;0,"See CONFIRM sheet.",""))</f>
        <v/>
      </c>
      <c r="AB76" s="1" t="n">
        <f aca="false">IF(N76="No",0,IF(REVIEW!O76=0,0,IF(G76&gt;0,IF(INDEX(CONFIRM!$J$5:$J$53,G76)&lt;&gt;"",INDEX(CONFIRM!$J$5:$J$53,G76),1),1)))</f>
        <v>1</v>
      </c>
      <c r="AC76" s="1" t="n">
        <f aca="false">IF(AB76=1,IF(COUNTIFS($B$5:B76,B76,$D$5:D76,D76,$AB$5:AB76,1)=1,1,0),0)</f>
        <v>0</v>
      </c>
    </row>
    <row r="77" customFormat="false" ht="15" hidden="false" customHeight="false" outlineLevel="0" collapsed="false">
      <c r="A77" s="48" t="str">
        <f aca="false">STACK!A77</f>
        <v>KVMC-0073</v>
      </c>
      <c r="B77" s="48" t="str">
        <f aca="false">STACK!B77</f>
        <v>KVMC</v>
      </c>
      <c r="C77" s="48" t="str">
        <f aca="false">STACK!E77</f>
        <v>Community Health Needs Assessment</v>
      </c>
      <c r="D77" s="1" t="str">
        <f aca="false">IFERROR(INDEX(MAP!$J$7:$J$101,MATCH(TRIM(C77),MAP!$I$7:$I$101,0)),"UNMAPPED")</f>
        <v>Community Health Needs Assessment</v>
      </c>
      <c r="E77" s="1" t="str">
        <f aca="false">IFERROR(INDEX(MAP!$K$7:$K$101,MATCH(TRIM(C77),MAP!$I$7:$I$101,0)),"")</f>
        <v>Community benefit infrastructure</v>
      </c>
      <c r="F77" s="1" t="str">
        <f aca="false">IFERROR(INDEX(MAP!$L$7:$L$101,MATCH(TRIM(C77),MAP!$I$7:$I$101,0)),"")</f>
        <v>Monthly</v>
      </c>
      <c r="G77" s="1" t="n">
        <f aca="false">IFERROR(MATCH(A77,CONFIRM!$A$5:$A$53,0),0)</f>
        <v>0</v>
      </c>
      <c r="H77" s="48" t="str">
        <f aca="false">STACK!F77</f>
        <v>CB Operations</v>
      </c>
      <c r="I77" s="1" t="str">
        <f aca="false">IF(G77&gt;0,IF(INDEX(CONFIRM!$I$5:$I$53,G77)&lt;&gt;"",INDEX(CONFIRM!$I$5:$I$53,G77),H77),H77)</f>
        <v>CB Operations</v>
      </c>
      <c r="J77" s="1" t="str">
        <f aca="false">IFERROR(INDEX(MAP!$F$7:$F$74,MATCH(TRIM(I77),MAP!$E$7:$E$74,0)),"UNMAPPED")</f>
        <v>Community benefit operations</v>
      </c>
      <c r="K77" s="1" t="str">
        <f aca="false">IFERROR(INDEX(MAP!$G$7:$G$74,MATCH(TRIM(I77),MAP!$E$7:$E$74,0)),"UNMAPPED")</f>
        <v>7e</v>
      </c>
      <c r="L77" s="49" t="n">
        <f aca="false">STACK!G77</f>
        <v>45900</v>
      </c>
      <c r="M77" s="59" t="n">
        <f aca="false">IF(G77&gt;0,IF(INDEX(CONFIRM!$G$5:$G$53,G77)&lt;&gt;"",INDEX(CONFIRM!$G$5:$G$53,G77),IF(ISNUMBER(L77),L77,IFERROR(DATEVALUE(L77),""))),IF(ISNUMBER(L77),L77,IFERROR(DATEVALUE(L77),"")))</f>
        <v>45900</v>
      </c>
      <c r="N77" s="1" t="str">
        <f aca="false">IF(M77="","Check",IF(AND(M77&gt;=INPUTS!$C$6,M77&lt;=INPUTS!$C$7),"Yes","No"))</f>
        <v>Yes</v>
      </c>
      <c r="O77" s="48" t="str">
        <f aca="false">STACK!H77</f>
        <v>Manager Community Benefit</v>
      </c>
      <c r="P77" s="1" t="str">
        <f aca="false">IF(G77&gt;0,IF(INDEX(CONFIRM!$H$5:$H$53,G77)&lt;&gt;"",INDEX(CONFIRM!$H$5:$H$53,G77),IFERROR(INDEX(MAP!$B$7:$B$156,MATCH(TRIM(O77),MAP!$A$7:$A$156,0)),"UNMAPPED")),IFERROR(INDEX(MAP!$B$7:$B$156,MATCH(TRIM(O77),MAP!$A$7:$A$156,0)),"UNMAPPED"))</f>
        <v>Community Benefit Manager</v>
      </c>
      <c r="Q77" s="48" t="n">
        <f aca="false">STACK!I77</f>
        <v>34</v>
      </c>
      <c r="R77" s="60" t="n">
        <f aca="false">IF(G77&gt;0,IF(INDEX(CONFIRM!$F$5:$F$53,G77)&lt;&gt;"",INDEX(CONFIRM!$F$5:$F$53,G77),IF(ISNUMBER(Q77),Q77,IF(Q77="","",IFERROR(VALUE(TRIM(SUBSTITUTE(SUBSTITUTE(LOWER(Q77),"hrs",""),"hr",""))),"")))),IF(ISNUMBER(Q77),Q77,IF(Q77="","",IFERROR(VALUE(TRIM(SUBSTITUTE(SUBSTITUTE(LOWER(Q77),"hrs",""),"hr",""))),""))))</f>
        <v>34</v>
      </c>
      <c r="S77" s="57" t="n">
        <f aca="false">IFERROR(INDEX(RATES!$E$6:$E$28,MATCH(P77,RATES!$A$6:$A$28,0)),0)</f>
        <v>59.11</v>
      </c>
      <c r="T77" s="61" t="n">
        <f aca="false">IF(ISNUMBER(R77),R77,0)*S77</f>
        <v>2009.74</v>
      </c>
      <c r="U77" s="61" t="n">
        <f aca="false">T77*INDEX(INPUTS!$H$10:$H$14,MATCH(B77,INPUTS!$A$10:$A$14,0))</f>
        <v>371.8019</v>
      </c>
      <c r="V77" s="61" t="n">
        <f aca="false">N(STACK!K77)</f>
        <v>1435</v>
      </c>
      <c r="W77" s="61" t="n">
        <f aca="false">T77+U77+V77</f>
        <v>3816.5419</v>
      </c>
      <c r="X77" s="61" t="n">
        <f aca="false">N(STACK!L77)</f>
        <v>0</v>
      </c>
      <c r="Y77" s="61" t="n">
        <f aca="false">W77-X77</f>
        <v>3816.5419</v>
      </c>
      <c r="Z77" s="1" t="n">
        <f aca="false">N(STACK!J77)</f>
        <v>0</v>
      </c>
      <c r="AA77" s="1" t="str">
        <f aca="false">TRIM(IF(D77="UNMAPPED","Program not mapped. ","")&amp;IF(OR(K77="UNMAPPED",K77="UNASSIGNED"),"Category needs review. ","")&amp;IF(P77="UNMAPPED","Title not mapped. ","")&amp;IF(AND(P77&lt;&gt;"No staff time",R77=""),"Missing hours. ","")&amp;IF(M77="","Date not readable. ","")&amp;IF(N77="No","Outside fiscal year. ","")&amp;IF(AND(F77="Event",ISNUMBER(R77)),IF(R77&gt;12,"Event hours look high. ",""),"")&amp;IF(G77&gt;0,"See CONFIRM sheet.",""))</f>
        <v/>
      </c>
      <c r="AB77" s="1" t="n">
        <f aca="false">IF(N77="No",0,IF(REVIEW!O77=0,0,IF(G77&gt;0,IF(INDEX(CONFIRM!$J$5:$J$53,G77)&lt;&gt;"",INDEX(CONFIRM!$J$5:$J$53,G77),1),1)))</f>
        <v>1</v>
      </c>
      <c r="AC77" s="1" t="n">
        <f aca="false">IF(AB77=1,IF(COUNTIFS($B$5:B77,B77,$D$5:D77,D77,$AB$5:AB77,1)=1,1,0),0)</f>
        <v>0</v>
      </c>
    </row>
    <row r="78" customFormat="false" ht="15" hidden="false" customHeight="false" outlineLevel="0" collapsed="false">
      <c r="A78" s="48" t="str">
        <f aca="false">STACK!A78</f>
        <v>KVMC-0074</v>
      </c>
      <c r="B78" s="48" t="str">
        <f aca="false">STACK!B78</f>
        <v>KVMC</v>
      </c>
      <c r="C78" s="48" t="str">
        <f aca="false">STACK!E78</f>
        <v>Community Health Needs Assessment</v>
      </c>
      <c r="D78" s="1" t="str">
        <f aca="false">IFERROR(INDEX(MAP!$J$7:$J$101,MATCH(TRIM(C78),MAP!$I$7:$I$101,0)),"UNMAPPED")</f>
        <v>Community Health Needs Assessment</v>
      </c>
      <c r="E78" s="1" t="str">
        <f aca="false">IFERROR(INDEX(MAP!$K$7:$K$101,MATCH(TRIM(C78),MAP!$I$7:$I$101,0)),"")</f>
        <v>Community benefit infrastructure</v>
      </c>
      <c r="F78" s="1" t="str">
        <f aca="false">IFERROR(INDEX(MAP!$L$7:$L$101,MATCH(TRIM(C78),MAP!$I$7:$I$101,0)),"")</f>
        <v>Monthly</v>
      </c>
      <c r="G78" s="1" t="n">
        <f aca="false">IFERROR(MATCH(A78,CONFIRM!$A$5:$A$53,0),0)</f>
        <v>0</v>
      </c>
      <c r="H78" s="48" t="str">
        <f aca="false">STACK!F78</f>
        <v>CB Operations</v>
      </c>
      <c r="I78" s="1" t="str">
        <f aca="false">IF(G78&gt;0,IF(INDEX(CONFIRM!$I$5:$I$53,G78)&lt;&gt;"",INDEX(CONFIRM!$I$5:$I$53,G78),H78),H78)</f>
        <v>CB Operations</v>
      </c>
      <c r="J78" s="1" t="str">
        <f aca="false">IFERROR(INDEX(MAP!$F$7:$F$74,MATCH(TRIM(I78),MAP!$E$7:$E$74,0)),"UNMAPPED")</f>
        <v>Community benefit operations</v>
      </c>
      <c r="K78" s="1" t="str">
        <f aca="false">IFERROR(INDEX(MAP!$G$7:$G$74,MATCH(TRIM(I78),MAP!$E$7:$E$74,0)),"UNMAPPED")</f>
        <v>7e</v>
      </c>
      <c r="L78" s="49" t="n">
        <f aca="false">STACK!G78</f>
        <v>45900</v>
      </c>
      <c r="M78" s="59" t="n">
        <f aca="false">IF(G78&gt;0,IF(INDEX(CONFIRM!$G$5:$G$53,G78)&lt;&gt;"",INDEX(CONFIRM!$G$5:$G$53,G78),IF(ISNUMBER(L78),L78,IFERROR(DATEVALUE(L78),""))),IF(ISNUMBER(L78),L78,IFERROR(DATEVALUE(L78),"")))</f>
        <v>45900</v>
      </c>
      <c r="N78" s="1" t="str">
        <f aca="false">IF(M78="","Check",IF(AND(M78&gt;=INPUTS!$C$6,M78&lt;=INPUTS!$C$7),"Yes","No"))</f>
        <v>Yes</v>
      </c>
      <c r="O78" s="48" t="str">
        <f aca="false">STACK!H78</f>
        <v>Data Analyst </v>
      </c>
      <c r="P78" s="1" t="str">
        <f aca="false">IF(G78&gt;0,IF(INDEX(CONFIRM!$H$5:$H$53,G78)&lt;&gt;"",INDEX(CONFIRM!$H$5:$H$53,G78),IFERROR(INDEX(MAP!$B$7:$B$156,MATCH(TRIM(O78),MAP!$A$7:$A$156,0)),"UNMAPPED")),IFERROR(INDEX(MAP!$B$7:$B$156,MATCH(TRIM(O78),MAP!$A$7:$A$156,0)),"UNMAPPED"))</f>
        <v>Data Analyst</v>
      </c>
      <c r="Q78" s="48" t="n">
        <f aca="false">STACK!I78</f>
        <v>21.5</v>
      </c>
      <c r="R78" s="60" t="n">
        <f aca="false">IF(G78&gt;0,IF(INDEX(CONFIRM!$F$5:$F$53,G78)&lt;&gt;"",INDEX(CONFIRM!$F$5:$F$53,G78),IF(ISNUMBER(Q78),Q78,IF(Q78="","",IFERROR(VALUE(TRIM(SUBSTITUTE(SUBSTITUTE(LOWER(Q78),"hrs",""),"hr",""))),"")))),IF(ISNUMBER(Q78),Q78,IF(Q78="","",IFERROR(VALUE(TRIM(SUBSTITUTE(SUBSTITUTE(LOWER(Q78),"hrs",""),"hr",""))),""))))</f>
        <v>21.5</v>
      </c>
      <c r="S78" s="57" t="n">
        <f aca="false">IFERROR(INDEX(RATES!$E$6:$E$28,MATCH(P78,RATES!$A$6:$A$28,0)),0)</f>
        <v>48.83</v>
      </c>
      <c r="T78" s="61" t="n">
        <f aca="false">IF(ISNUMBER(R78),R78,0)*S78</f>
        <v>1049.845</v>
      </c>
      <c r="U78" s="61" t="n">
        <f aca="false">T78*INDEX(INPUTS!$H$10:$H$14,MATCH(B78,INPUTS!$A$10:$A$14,0))</f>
        <v>194.221325</v>
      </c>
      <c r="V78" s="61" t="n">
        <f aca="false">N(STACK!K78)</f>
        <v>0</v>
      </c>
      <c r="W78" s="61" t="n">
        <f aca="false">T78+U78+V78</f>
        <v>1244.066325</v>
      </c>
      <c r="X78" s="61" t="n">
        <f aca="false">N(STACK!L78)</f>
        <v>0</v>
      </c>
      <c r="Y78" s="61" t="n">
        <f aca="false">W78-X78</f>
        <v>1244.066325</v>
      </c>
      <c r="Z78" s="1" t="n">
        <f aca="false">N(STACK!J78)</f>
        <v>0</v>
      </c>
      <c r="AA78" s="1" t="str">
        <f aca="false">TRIM(IF(D78="UNMAPPED","Program not mapped. ","")&amp;IF(OR(K78="UNMAPPED",K78="UNASSIGNED"),"Category needs review. ","")&amp;IF(P78="UNMAPPED","Title not mapped. ","")&amp;IF(AND(P78&lt;&gt;"No staff time",R78=""),"Missing hours. ","")&amp;IF(M78="","Date not readable. ","")&amp;IF(N78="No","Outside fiscal year. ","")&amp;IF(AND(F78="Event",ISNUMBER(R78)),IF(R78&gt;12,"Event hours look high. ",""),"")&amp;IF(G78&gt;0,"See CONFIRM sheet.",""))</f>
        <v/>
      </c>
      <c r="AB78" s="1" t="n">
        <f aca="false">IF(N78="No",0,IF(REVIEW!O78=0,0,IF(G78&gt;0,IF(INDEX(CONFIRM!$J$5:$J$53,G78)&lt;&gt;"",INDEX(CONFIRM!$J$5:$J$53,G78),1),1)))</f>
        <v>1</v>
      </c>
      <c r="AC78" s="1" t="n">
        <f aca="false">IF(AB78=1,IF(COUNTIFS($B$5:B78,B78,$D$5:D78,D78,$AB$5:AB78,1)=1,1,0),0)</f>
        <v>0</v>
      </c>
    </row>
    <row r="79" customFormat="false" ht="15" hidden="false" customHeight="false" outlineLevel="0" collapsed="false">
      <c r="A79" s="48" t="str">
        <f aca="false">STACK!A79</f>
        <v>KVMC-0075</v>
      </c>
      <c r="B79" s="48" t="str">
        <f aca="false">STACK!B79</f>
        <v>KVMC</v>
      </c>
      <c r="C79" s="48" t="str">
        <f aca="false">STACK!E79</f>
        <v>Community Benefit Program Administration</v>
      </c>
      <c r="D79" s="1" t="str">
        <f aca="false">IFERROR(INDEX(MAP!$J$7:$J$101,MATCH(TRIM(C79),MAP!$I$7:$I$101,0)),"UNMAPPED")</f>
        <v>Community Benefit Program Administration</v>
      </c>
      <c r="E79" s="1" t="str">
        <f aca="false">IFERROR(INDEX(MAP!$K$7:$K$101,MATCH(TRIM(C79),MAP!$I$7:$I$101,0)),"")</f>
        <v>Community benefit infrastructure</v>
      </c>
      <c r="F79" s="1" t="str">
        <f aca="false">IFERROR(INDEX(MAP!$L$7:$L$101,MATCH(TRIM(C79),MAP!$I$7:$I$101,0)),"")</f>
        <v>Monthly</v>
      </c>
      <c r="G79" s="1" t="n">
        <f aca="false">IFERROR(MATCH(A79,CONFIRM!$A$5:$A$53,0),0)</f>
        <v>0</v>
      </c>
      <c r="H79" s="48" t="str">
        <f aca="false">STACK!F79</f>
        <v>CB Operations</v>
      </c>
      <c r="I79" s="1" t="str">
        <f aca="false">IF(G79&gt;0,IF(INDEX(CONFIRM!$I$5:$I$53,G79)&lt;&gt;"",INDEX(CONFIRM!$I$5:$I$53,G79),H79),H79)</f>
        <v>CB Operations</v>
      </c>
      <c r="J79" s="1" t="str">
        <f aca="false">IFERROR(INDEX(MAP!$F$7:$F$74,MATCH(TRIM(I79),MAP!$E$7:$E$74,0)),"UNMAPPED")</f>
        <v>Community benefit operations</v>
      </c>
      <c r="K79" s="1" t="str">
        <f aca="false">IFERROR(INDEX(MAP!$G$7:$G$74,MATCH(TRIM(I79),MAP!$E$7:$E$74,0)),"UNMAPPED")</f>
        <v>7e</v>
      </c>
      <c r="L79" s="49" t="n">
        <f aca="false">STACK!G79</f>
        <v>45900</v>
      </c>
      <c r="M79" s="59" t="n">
        <f aca="false">IF(G79&gt;0,IF(INDEX(CONFIRM!$G$5:$G$53,G79)&lt;&gt;"",INDEX(CONFIRM!$G$5:$G$53,G79),IF(ISNUMBER(L79),L79,IFERROR(DATEVALUE(L79),""))),IF(ISNUMBER(L79),L79,IFERROR(DATEVALUE(L79),"")))</f>
        <v>45900</v>
      </c>
      <c r="N79" s="1" t="str">
        <f aca="false">IF(M79="","Check",IF(AND(M79&gt;=INPUTS!$C$6,M79&lt;=INPUTS!$C$7),"Yes","No"))</f>
        <v>Yes</v>
      </c>
      <c r="O79" s="48" t="str">
        <f aca="false">STACK!H79</f>
        <v>Admin. Assistant</v>
      </c>
      <c r="P79" s="1" t="str">
        <f aca="false">IF(G79&gt;0,IF(INDEX(CONFIRM!$H$5:$H$53,G79)&lt;&gt;"",INDEX(CONFIRM!$H$5:$H$53,G79),IFERROR(INDEX(MAP!$B$7:$B$156,MATCH(TRIM(O79),MAP!$A$7:$A$156,0)),"UNMAPPED")),IFERROR(INDEX(MAP!$B$7:$B$156,MATCH(TRIM(O79),MAP!$A$7:$A$156,0)),"UNMAPPED"))</f>
        <v>Administrative Assistant</v>
      </c>
      <c r="Q79" s="48" t="n">
        <f aca="false">STACK!I79</f>
        <v>61.75</v>
      </c>
      <c r="R79" s="60" t="n">
        <f aca="false">IF(G79&gt;0,IF(INDEX(CONFIRM!$F$5:$F$53,G79)&lt;&gt;"",INDEX(CONFIRM!$F$5:$F$53,G79),IF(ISNUMBER(Q79),Q79,IF(Q79="","",IFERROR(VALUE(TRIM(SUBSTITUTE(SUBSTITUTE(LOWER(Q79),"hrs",""),"hr",""))),"")))),IF(ISNUMBER(Q79),Q79,IF(Q79="","",IFERROR(VALUE(TRIM(SUBSTITUTE(SUBSTITUTE(LOWER(Q79),"hrs",""),"hr",""))),""))))</f>
        <v>61.75</v>
      </c>
      <c r="S79" s="57" t="n">
        <f aca="false">IFERROR(INDEX(RATES!$E$6:$E$28,MATCH(P79,RATES!$A$6:$A$28,0)),0)</f>
        <v>26.985</v>
      </c>
      <c r="T79" s="61" t="n">
        <f aca="false">IF(ISNUMBER(R79),R79,0)*S79</f>
        <v>1666.32375</v>
      </c>
      <c r="U79" s="61" t="n">
        <f aca="false">T79*INDEX(INPUTS!$H$10:$H$14,MATCH(B79,INPUTS!$A$10:$A$14,0))</f>
        <v>308.26989375</v>
      </c>
      <c r="V79" s="61" t="n">
        <f aca="false">N(STACK!K79)</f>
        <v>0</v>
      </c>
      <c r="W79" s="61" t="n">
        <f aca="false">T79+U79+V79</f>
        <v>1974.59364375</v>
      </c>
      <c r="X79" s="61" t="n">
        <f aca="false">N(STACK!L79)</f>
        <v>0</v>
      </c>
      <c r="Y79" s="61" t="n">
        <f aca="false">W79-X79</f>
        <v>1974.59364375</v>
      </c>
      <c r="Z79" s="1" t="n">
        <f aca="false">N(STACK!J79)</f>
        <v>0</v>
      </c>
      <c r="AA79" s="1" t="str">
        <f aca="false">TRIM(IF(D79="UNMAPPED","Program not mapped. ","")&amp;IF(OR(K79="UNMAPPED",K79="UNASSIGNED"),"Category needs review. ","")&amp;IF(P79="UNMAPPED","Title not mapped. ","")&amp;IF(AND(P79&lt;&gt;"No staff time",R79=""),"Missing hours. ","")&amp;IF(M79="","Date not readable. ","")&amp;IF(N79="No","Outside fiscal year. ","")&amp;IF(AND(F79="Event",ISNUMBER(R79)),IF(R79&gt;12,"Event hours look high. ",""),"")&amp;IF(G79&gt;0,"See CONFIRM sheet.",""))</f>
        <v/>
      </c>
      <c r="AB79" s="1" t="n">
        <f aca="false">IF(N79="No",0,IF(REVIEW!O79=0,0,IF(G79&gt;0,IF(INDEX(CONFIRM!$J$5:$J$53,G79)&lt;&gt;"",INDEX(CONFIRM!$J$5:$J$53,G79),1),1)))</f>
        <v>1</v>
      </c>
      <c r="AC79" s="1" t="n">
        <f aca="false">IF(AB79=1,IF(COUNTIFS($B$5:B79,B79,$D$5:D79,D79,$AB$5:AB79,1)=1,1,0),0)</f>
        <v>0</v>
      </c>
    </row>
    <row r="80" customFormat="false" ht="15" hidden="false" customHeight="false" outlineLevel="0" collapsed="false">
      <c r="A80" s="48" t="str">
        <f aca="false">STACK!A80</f>
        <v>KVMC-0076</v>
      </c>
      <c r="B80" s="48" t="str">
        <f aca="false">STACK!B80</f>
        <v>KVMC</v>
      </c>
      <c r="C80" s="48" t="str">
        <f aca="false">STACK!E80</f>
        <v>Community Benefit Program Administration</v>
      </c>
      <c r="D80" s="1" t="str">
        <f aca="false">IFERROR(INDEX(MAP!$J$7:$J$101,MATCH(TRIM(C80),MAP!$I$7:$I$101,0)),"UNMAPPED")</f>
        <v>Community Benefit Program Administration</v>
      </c>
      <c r="E80" s="1" t="str">
        <f aca="false">IFERROR(INDEX(MAP!$K$7:$K$101,MATCH(TRIM(C80),MAP!$I$7:$I$101,0)),"")</f>
        <v>Community benefit infrastructure</v>
      </c>
      <c r="F80" s="1" t="str">
        <f aca="false">IFERROR(INDEX(MAP!$L$7:$L$101,MATCH(TRIM(C80),MAP!$I$7:$I$101,0)),"")</f>
        <v>Monthly</v>
      </c>
      <c r="G80" s="1" t="n">
        <f aca="false">IFERROR(MATCH(A80,CONFIRM!$A$5:$A$53,0),0)</f>
        <v>0</v>
      </c>
      <c r="H80" s="48" t="str">
        <f aca="false">STACK!F80</f>
        <v>CB Operations</v>
      </c>
      <c r="I80" s="1" t="str">
        <f aca="false">IF(G80&gt;0,IF(INDEX(CONFIRM!$I$5:$I$53,G80)&lt;&gt;"",INDEX(CONFIRM!$I$5:$I$53,G80),H80),H80)</f>
        <v>CB Operations</v>
      </c>
      <c r="J80" s="1" t="str">
        <f aca="false">IFERROR(INDEX(MAP!$F$7:$F$74,MATCH(TRIM(I80),MAP!$E$7:$E$74,0)),"UNMAPPED")</f>
        <v>Community benefit operations</v>
      </c>
      <c r="K80" s="1" t="str">
        <f aca="false">IFERROR(INDEX(MAP!$G$7:$G$74,MATCH(TRIM(I80),MAP!$E$7:$E$74,0)),"UNMAPPED")</f>
        <v>7e</v>
      </c>
      <c r="L80" s="49" t="n">
        <f aca="false">STACK!G80</f>
        <v>45900</v>
      </c>
      <c r="M80" s="59" t="n">
        <f aca="false">IF(G80&gt;0,IF(INDEX(CONFIRM!$G$5:$G$53,G80)&lt;&gt;"",INDEX(CONFIRM!$G$5:$G$53,G80),IF(ISNUMBER(L80),L80,IFERROR(DATEVALUE(L80),""))),IF(ISNUMBER(L80),L80,IFERROR(DATEVALUE(L80),"")))</f>
        <v>45900</v>
      </c>
      <c r="N80" s="1" t="str">
        <f aca="false">IF(M80="","Check",IF(AND(M80&gt;=INPUTS!$C$6,M80&lt;=INPUTS!$C$7),"Yes","No"))</f>
        <v>Yes</v>
      </c>
      <c r="O80" s="48" t="str">
        <f aca="false">STACK!H80</f>
        <v>Community Benefit Manager</v>
      </c>
      <c r="P80" s="1" t="str">
        <f aca="false">IF(G80&gt;0,IF(INDEX(CONFIRM!$H$5:$H$53,G80)&lt;&gt;"",INDEX(CONFIRM!$H$5:$H$53,G80),IFERROR(INDEX(MAP!$B$7:$B$156,MATCH(TRIM(O80),MAP!$A$7:$A$156,0)),"UNMAPPED")),IFERROR(INDEX(MAP!$B$7:$B$156,MATCH(TRIM(O80),MAP!$A$7:$A$156,0)),"UNMAPPED"))</f>
        <v>Community Benefit Manager</v>
      </c>
      <c r="Q80" s="48" t="n">
        <f aca="false">STACK!I80</f>
        <v>90.25</v>
      </c>
      <c r="R80" s="60" t="n">
        <f aca="false">IF(G80&gt;0,IF(INDEX(CONFIRM!$F$5:$F$53,G80)&lt;&gt;"",INDEX(CONFIRM!$F$5:$F$53,G80),IF(ISNUMBER(Q80),Q80,IF(Q80="","",IFERROR(VALUE(TRIM(SUBSTITUTE(SUBSTITUTE(LOWER(Q80),"hrs",""),"hr",""))),"")))),IF(ISNUMBER(Q80),Q80,IF(Q80="","",IFERROR(VALUE(TRIM(SUBSTITUTE(SUBSTITUTE(LOWER(Q80),"hrs",""),"hr",""))),""))))</f>
        <v>90.25</v>
      </c>
      <c r="S80" s="57" t="n">
        <f aca="false">IFERROR(INDEX(RATES!$E$6:$E$28,MATCH(P80,RATES!$A$6:$A$28,0)),0)</f>
        <v>59.11</v>
      </c>
      <c r="T80" s="61" t="n">
        <f aca="false">IF(ISNUMBER(R80),R80,0)*S80</f>
        <v>5334.6775</v>
      </c>
      <c r="U80" s="61" t="n">
        <f aca="false">T80*INDEX(INPUTS!$H$10:$H$14,MATCH(B80,INPUTS!$A$10:$A$14,0))</f>
        <v>986.9153375</v>
      </c>
      <c r="V80" s="61" t="n">
        <f aca="false">N(STACK!K80)</f>
        <v>1120</v>
      </c>
      <c r="W80" s="61" t="n">
        <f aca="false">T80+U80+V80</f>
        <v>7441.5928375</v>
      </c>
      <c r="X80" s="61" t="n">
        <f aca="false">N(STACK!L80)</f>
        <v>0</v>
      </c>
      <c r="Y80" s="61" t="n">
        <f aca="false">W80-X80</f>
        <v>7441.5928375</v>
      </c>
      <c r="Z80" s="1" t="n">
        <f aca="false">N(STACK!J80)</f>
        <v>0</v>
      </c>
      <c r="AA80" s="1" t="str">
        <f aca="false">TRIM(IF(D80="UNMAPPED","Program not mapped. ","")&amp;IF(OR(K80="UNMAPPED",K80="UNASSIGNED"),"Category needs review. ","")&amp;IF(P80="UNMAPPED","Title not mapped. ","")&amp;IF(AND(P80&lt;&gt;"No staff time",R80=""),"Missing hours. ","")&amp;IF(M80="","Date not readable. ","")&amp;IF(N80="No","Outside fiscal year. ","")&amp;IF(AND(F80="Event",ISNUMBER(R80)),IF(R80&gt;12,"Event hours look high. ",""),"")&amp;IF(G80&gt;0,"See CONFIRM sheet.",""))</f>
        <v/>
      </c>
      <c r="AB80" s="1" t="n">
        <f aca="false">IF(N80="No",0,IF(REVIEW!O80=0,0,IF(G80&gt;0,IF(INDEX(CONFIRM!$J$5:$J$53,G80)&lt;&gt;"",INDEX(CONFIRM!$J$5:$J$53,G80),1),1)))</f>
        <v>1</v>
      </c>
      <c r="AC80" s="1" t="n">
        <f aca="false">IF(AB80=1,IF(COUNTIFS($B$5:B80,B80,$D$5:D80,D80,$AB$5:AB80,1)=1,1,0),0)</f>
        <v>0</v>
      </c>
    </row>
    <row r="81" customFormat="false" ht="15" hidden="false" customHeight="false" outlineLevel="0" collapsed="false">
      <c r="A81" s="48" t="str">
        <f aca="false">STACK!A81</f>
        <v>KVMC-0077</v>
      </c>
      <c r="B81" s="48" t="str">
        <f aca="false">STACK!B81</f>
        <v>KVMC</v>
      </c>
      <c r="C81" s="48" t="str">
        <f aca="false">STACK!E81</f>
        <v>Interpreter Services for Community Clinics</v>
      </c>
      <c r="D81" s="1" t="str">
        <f aca="false">IFERROR(INDEX(MAP!$J$7:$J$101,MATCH(TRIM(C81),MAP!$I$7:$I$101,0)),"UNMAPPED")</f>
        <v>Interpreter Services for Community Clinics</v>
      </c>
      <c r="E81" s="1" t="str">
        <f aca="false">IFERROR(INDEX(MAP!$K$7:$K$101,MATCH(TRIM(C81),MAP!$I$7:$I$101,0)),"")</f>
        <v>Access to care</v>
      </c>
      <c r="F81" s="1" t="str">
        <f aca="false">IFERROR(INDEX(MAP!$L$7:$L$101,MATCH(TRIM(C81),MAP!$I$7:$I$101,0)),"")</f>
        <v>Monthly</v>
      </c>
      <c r="G81" s="1" t="n">
        <f aca="false">IFERROR(MATCH(A81,CONFIRM!$A$5:$A$53,0),0)</f>
        <v>0</v>
      </c>
      <c r="H81" s="48" t="str">
        <f aca="false">STACK!F81</f>
        <v>Health Care Support Services</v>
      </c>
      <c r="I81" s="1" t="str">
        <f aca="false">IF(G81&gt;0,IF(INDEX(CONFIRM!$I$5:$I$53,G81)&lt;&gt;"",INDEX(CONFIRM!$I$5:$I$53,G81),H81),H81)</f>
        <v>Health Care Support Services</v>
      </c>
      <c r="J81" s="1" t="str">
        <f aca="false">IFERROR(INDEX(MAP!$F$7:$F$74,MATCH(TRIM(I81),MAP!$E$7:$E$74,0)),"UNMAPPED")</f>
        <v>Health care support services</v>
      </c>
      <c r="K81" s="1" t="str">
        <f aca="false">IFERROR(INDEX(MAP!$G$7:$G$74,MATCH(TRIM(I81),MAP!$E$7:$E$74,0)),"UNMAPPED")</f>
        <v>7e</v>
      </c>
      <c r="L81" s="49" t="n">
        <f aca="false">STACK!G81</f>
        <v>45900</v>
      </c>
      <c r="M81" s="59" t="n">
        <f aca="false">IF(G81&gt;0,IF(INDEX(CONFIRM!$G$5:$G$53,G81)&lt;&gt;"",INDEX(CONFIRM!$G$5:$G$53,G81),IF(ISNUMBER(L81),L81,IFERROR(DATEVALUE(L81),""))),IF(ISNUMBER(L81),L81,IFERROR(DATEVALUE(L81),"")))</f>
        <v>45900</v>
      </c>
      <c r="N81" s="1" t="str">
        <f aca="false">IF(M81="","Check",IF(AND(M81&gt;=INPUTS!$C$6,M81&lt;=INPUTS!$C$7),"Yes","No"))</f>
        <v>Yes</v>
      </c>
      <c r="O81" s="48" t="str">
        <f aca="false">STACK!H81</f>
        <v>Interp.</v>
      </c>
      <c r="P81" s="1" t="str">
        <f aca="false">IF(G81&gt;0,IF(INDEX(CONFIRM!$H$5:$H$53,G81)&lt;&gt;"",INDEX(CONFIRM!$H$5:$H$53,G81),IFERROR(INDEX(MAP!$B$7:$B$156,MATCH(TRIM(O81),MAP!$A$7:$A$156,0)),"UNMAPPED")),IFERROR(INDEX(MAP!$B$7:$B$156,MATCH(TRIM(O81),MAP!$A$7:$A$156,0)),"UNMAPPED"))</f>
        <v>Interpreter</v>
      </c>
      <c r="Q81" s="48" t="n">
        <f aca="false">STACK!I81</f>
        <v>76.75</v>
      </c>
      <c r="R81" s="60" t="n">
        <f aca="false">IF(G81&gt;0,IF(INDEX(CONFIRM!$F$5:$F$53,G81)&lt;&gt;"",INDEX(CONFIRM!$F$5:$F$53,G81),IF(ISNUMBER(Q81),Q81,IF(Q81="","",IFERROR(VALUE(TRIM(SUBSTITUTE(SUBSTITUTE(LOWER(Q81),"hrs",""),"hr",""))),"")))),IF(ISNUMBER(Q81),Q81,IF(Q81="","",IFERROR(VALUE(TRIM(SUBSTITUTE(SUBSTITUTE(LOWER(Q81),"hrs",""),"hr",""))),""))))</f>
        <v>76.75</v>
      </c>
      <c r="S81" s="57" t="n">
        <f aca="false">IFERROR(INDEX(RATES!$E$6:$E$28,MATCH(P81,RATES!$A$6:$A$28,0)),0)</f>
        <v>32.7675</v>
      </c>
      <c r="T81" s="61" t="n">
        <f aca="false">IF(ISNUMBER(R81),R81,0)*S81</f>
        <v>2514.905625</v>
      </c>
      <c r="U81" s="61" t="n">
        <f aca="false">T81*INDEX(INPUTS!$H$10:$H$14,MATCH(B81,INPUTS!$A$10:$A$14,0))</f>
        <v>465.257540625</v>
      </c>
      <c r="V81" s="61" t="n">
        <f aca="false">N(STACK!K81)</f>
        <v>0</v>
      </c>
      <c r="W81" s="61" t="n">
        <f aca="false">T81+U81+V81</f>
        <v>2980.163165625</v>
      </c>
      <c r="X81" s="61" t="n">
        <f aca="false">N(STACK!L81)</f>
        <v>0</v>
      </c>
      <c r="Y81" s="61" t="n">
        <f aca="false">W81-X81</f>
        <v>2980.163165625</v>
      </c>
      <c r="Z81" s="1" t="n">
        <f aca="false">N(STACK!J81)</f>
        <v>168</v>
      </c>
      <c r="AA81" s="1" t="str">
        <f aca="false">TRIM(IF(D81="UNMAPPED","Program not mapped. ","")&amp;IF(OR(K81="UNMAPPED",K81="UNASSIGNED"),"Category needs review. ","")&amp;IF(P81="UNMAPPED","Title not mapped. ","")&amp;IF(AND(P81&lt;&gt;"No staff time",R81=""),"Missing hours. ","")&amp;IF(M81="","Date not readable. ","")&amp;IF(N81="No","Outside fiscal year. ","")&amp;IF(AND(F81="Event",ISNUMBER(R81)),IF(R81&gt;12,"Event hours look high. ",""),"")&amp;IF(G81&gt;0,"See CONFIRM sheet.",""))</f>
        <v/>
      </c>
      <c r="AB81" s="1" t="n">
        <f aca="false">IF(N81="No",0,IF(REVIEW!O81=0,0,IF(G81&gt;0,IF(INDEX(CONFIRM!$J$5:$J$53,G81)&lt;&gt;"",INDEX(CONFIRM!$J$5:$J$53,G81),1),1)))</f>
        <v>1</v>
      </c>
      <c r="AC81" s="1" t="n">
        <f aca="false">IF(AB81=1,IF(COUNTIFS($B$5:B81,B81,$D$5:D81,D81,$AB$5:AB81,1)=1,1,0),0)</f>
        <v>0</v>
      </c>
    </row>
    <row r="82" customFormat="false" ht="15" hidden="false" customHeight="false" outlineLevel="0" collapsed="false">
      <c r="A82" s="48" t="str">
        <f aca="false">STACK!A82</f>
        <v>KVMC-0078</v>
      </c>
      <c r="B82" s="48" t="str">
        <f aca="false">STACK!B82</f>
        <v>KVMC</v>
      </c>
      <c r="C82" s="48" t="str">
        <f aca="false">STACK!E82</f>
        <v>Nursing Student Clinical Rotations</v>
      </c>
      <c r="D82" s="1" t="str">
        <f aca="false">IFERROR(INDEX(MAP!$J$7:$J$101,MATCH(TRIM(C82),MAP!$I$7:$I$101,0)),"UNMAPPED")</f>
        <v>Nursing Student Clinical Rotations</v>
      </c>
      <c r="E82" s="1" t="str">
        <f aca="false">IFERROR(INDEX(MAP!$K$7:$K$101,MATCH(TRIM(C82),MAP!$I$7:$I$101,0)),"")</f>
        <v>Health workforce</v>
      </c>
      <c r="F82" s="1" t="str">
        <f aca="false">IFERROR(INDEX(MAP!$L$7:$L$101,MATCH(TRIM(C82),MAP!$I$7:$I$101,0)),"")</f>
        <v>Monthly</v>
      </c>
      <c r="G82" s="1" t="n">
        <f aca="false">IFERROR(MATCH(A82,CONFIRM!$A$5:$A$53,0),0)</f>
        <v>0</v>
      </c>
      <c r="H82" s="48" t="str">
        <f aca="false">STACK!F82</f>
        <v>Health Professions Education</v>
      </c>
      <c r="I82" s="1" t="str">
        <f aca="false">IF(G82&gt;0,IF(INDEX(CONFIRM!$I$5:$I$53,G82)&lt;&gt;"",INDEX(CONFIRM!$I$5:$I$53,G82),H82),H82)</f>
        <v>Health Professions Education</v>
      </c>
      <c r="J82" s="1" t="str">
        <f aca="false">IFERROR(INDEX(MAP!$F$7:$F$74,MATCH(TRIM(I82),MAP!$E$7:$E$74,0)),"UNMAPPED")</f>
        <v>Health professions education</v>
      </c>
      <c r="K82" s="1" t="str">
        <f aca="false">IFERROR(INDEX(MAP!$G$7:$G$74,MATCH(TRIM(I82),MAP!$E$7:$E$74,0)),"UNMAPPED")</f>
        <v>7f</v>
      </c>
      <c r="L82" s="49" t="n">
        <f aca="false">STACK!G82</f>
        <v>45900</v>
      </c>
      <c r="M82" s="59" t="n">
        <f aca="false">IF(G82&gt;0,IF(INDEX(CONFIRM!$G$5:$G$53,G82)&lt;&gt;"",INDEX(CONFIRM!$G$5:$G$53,G82),IF(ISNUMBER(L82),L82,IFERROR(DATEVALUE(L82),""))),IF(ISNUMBER(L82),L82,IFERROR(DATEVALUE(L82),"")))</f>
        <v>45900</v>
      </c>
      <c r="N82" s="1" t="str">
        <f aca="false">IF(M82="","Check",IF(AND(M82&gt;=INPUTS!$C$6,M82&lt;=INPUTS!$C$7),"Yes","No"))</f>
        <v>Yes</v>
      </c>
      <c r="O82" s="48" t="str">
        <f aca="false">STACK!H82</f>
        <v>Clinical Nurse Educator</v>
      </c>
      <c r="P82" s="1" t="str">
        <f aca="false">IF(G82&gt;0,IF(INDEX(CONFIRM!$H$5:$H$53,G82)&lt;&gt;"",INDEX(CONFIRM!$H$5:$H$53,G82),IFERROR(INDEX(MAP!$B$7:$B$156,MATCH(TRIM(O82),MAP!$A$7:$A$156,0)),"UNMAPPED")),IFERROR(INDEX(MAP!$B$7:$B$156,MATCH(TRIM(O82),MAP!$A$7:$A$156,0)),"UNMAPPED"))</f>
        <v>Clinical Nurse Educator</v>
      </c>
      <c r="Q82" s="48" t="n">
        <f aca="false">STACK!I82</f>
        <v>133.25</v>
      </c>
      <c r="R82" s="60" t="n">
        <f aca="false">IF(G82&gt;0,IF(INDEX(CONFIRM!$F$5:$F$53,G82)&lt;&gt;"",INDEX(CONFIRM!$F$5:$F$53,G82),IF(ISNUMBER(Q82),Q82,IF(Q82="","",IFERROR(VALUE(TRIM(SUBSTITUTE(SUBSTITUTE(LOWER(Q82),"hrs",""),"hr",""))),"")))),IF(ISNUMBER(Q82),Q82,IF(Q82="","",IFERROR(VALUE(TRIM(SUBSTITUTE(SUBSTITUTE(LOWER(Q82),"hrs",""),"hr",""))),""))))</f>
        <v>133.25</v>
      </c>
      <c r="S82" s="57" t="n">
        <f aca="false">IFERROR(INDEX(RATES!$E$6:$E$28,MATCH(P82,RATES!$A$6:$A$28,0)),0)</f>
        <v>62.965</v>
      </c>
      <c r="T82" s="61" t="n">
        <f aca="false">IF(ISNUMBER(R82),R82,0)*S82</f>
        <v>8390.08625</v>
      </c>
      <c r="U82" s="61" t="n">
        <f aca="false">T82*INDEX(INPUTS!$H$10:$H$14,MATCH(B82,INPUTS!$A$10:$A$14,0))</f>
        <v>1552.16595625</v>
      </c>
      <c r="V82" s="61" t="n">
        <f aca="false">N(STACK!K82)</f>
        <v>800</v>
      </c>
      <c r="W82" s="61" t="n">
        <f aca="false">T82+U82+V82</f>
        <v>10742.25220625</v>
      </c>
      <c r="X82" s="61" t="n">
        <f aca="false">N(STACK!L82)</f>
        <v>0</v>
      </c>
      <c r="Y82" s="61" t="n">
        <f aca="false">W82-X82</f>
        <v>10742.25220625</v>
      </c>
      <c r="Z82" s="1" t="n">
        <f aca="false">N(STACK!J82)</f>
        <v>53</v>
      </c>
      <c r="AA82" s="1" t="str">
        <f aca="false">TRIM(IF(D82="UNMAPPED","Program not mapped. ","")&amp;IF(OR(K82="UNMAPPED",K82="UNASSIGNED"),"Category needs review. ","")&amp;IF(P82="UNMAPPED","Title not mapped. ","")&amp;IF(AND(P82&lt;&gt;"No staff time",R82=""),"Missing hours. ","")&amp;IF(M82="","Date not readable. ","")&amp;IF(N82="No","Outside fiscal year. ","")&amp;IF(AND(F82="Event",ISNUMBER(R82)),IF(R82&gt;12,"Event hours look high. ",""),"")&amp;IF(G82&gt;0,"See CONFIRM sheet.",""))</f>
        <v/>
      </c>
      <c r="AB82" s="1" t="n">
        <f aca="false">IF(N82="No",0,IF(REVIEW!O82=0,0,IF(G82&gt;0,IF(INDEX(CONFIRM!$J$5:$J$53,G82)&lt;&gt;"",INDEX(CONFIRM!$J$5:$J$53,G82),1),1)))</f>
        <v>1</v>
      </c>
      <c r="AC82" s="1" t="n">
        <f aca="false">IF(AB82=1,IF(COUNTIFS($B$5:B82,B82,$D$5:D82,D82,$AB$5:AB82,1)=1,1,0),0)</f>
        <v>0</v>
      </c>
    </row>
    <row r="83" customFormat="false" ht="15" hidden="false" customHeight="false" outlineLevel="0" collapsed="false">
      <c r="A83" s="48" t="str">
        <f aca="false">STACK!A83</f>
        <v>KVMC-0079</v>
      </c>
      <c r="B83" s="48" t="str">
        <f aca="false">STACK!B83</f>
        <v>KVMC</v>
      </c>
      <c r="C83" s="48" t="str">
        <f aca="false">STACK!E83</f>
        <v>Nursing Student Clinical Rotations</v>
      </c>
      <c r="D83" s="1" t="str">
        <f aca="false">IFERROR(INDEX(MAP!$J$7:$J$101,MATCH(TRIM(C83),MAP!$I$7:$I$101,0)),"UNMAPPED")</f>
        <v>Nursing Student Clinical Rotations</v>
      </c>
      <c r="E83" s="1" t="str">
        <f aca="false">IFERROR(INDEX(MAP!$K$7:$K$101,MATCH(TRIM(C83),MAP!$I$7:$I$101,0)),"")</f>
        <v>Health workforce</v>
      </c>
      <c r="F83" s="1" t="str">
        <f aca="false">IFERROR(INDEX(MAP!$L$7:$L$101,MATCH(TRIM(C83),MAP!$I$7:$I$101,0)),"")</f>
        <v>Monthly</v>
      </c>
      <c r="G83" s="1" t="n">
        <f aca="false">IFERROR(MATCH(A83,CONFIRM!$A$5:$A$53,0),0)</f>
        <v>0</v>
      </c>
      <c r="H83" s="48" t="str">
        <f aca="false">STACK!F83</f>
        <v>Health Professions Education</v>
      </c>
      <c r="I83" s="1" t="str">
        <f aca="false">IF(G83&gt;0,IF(INDEX(CONFIRM!$I$5:$I$53,G83)&lt;&gt;"",INDEX(CONFIRM!$I$5:$I$53,G83),H83),H83)</f>
        <v>Health Professions Education</v>
      </c>
      <c r="J83" s="1" t="str">
        <f aca="false">IFERROR(INDEX(MAP!$F$7:$F$74,MATCH(TRIM(I83),MAP!$E$7:$E$74,0)),"UNMAPPED")</f>
        <v>Health professions education</v>
      </c>
      <c r="K83" s="1" t="str">
        <f aca="false">IFERROR(INDEX(MAP!$G$7:$G$74,MATCH(TRIM(I83),MAP!$E$7:$E$74,0)),"UNMAPPED")</f>
        <v>7f</v>
      </c>
      <c r="L83" s="49" t="n">
        <f aca="false">STACK!G83</f>
        <v>45900</v>
      </c>
      <c r="M83" s="59" t="n">
        <f aca="false">IF(G83&gt;0,IF(INDEX(CONFIRM!$G$5:$G$53,G83)&lt;&gt;"",INDEX(CONFIRM!$G$5:$G$53,G83),IF(ISNUMBER(L83),L83,IFERROR(DATEVALUE(L83),""))),IF(ISNUMBER(L83),L83,IFERROR(DATEVALUE(L83),"")))</f>
        <v>45900</v>
      </c>
      <c r="N83" s="1" t="str">
        <f aca="false">IF(M83="","Check",IF(AND(M83&gt;=INPUTS!$C$6,M83&lt;=INPUTS!$C$7),"Yes","No"))</f>
        <v>Yes</v>
      </c>
      <c r="O83" s="48" t="str">
        <f aca="false">STACK!H83</f>
        <v>RN</v>
      </c>
      <c r="P83" s="1" t="str">
        <f aca="false">IF(G83&gt;0,IF(INDEX(CONFIRM!$H$5:$H$53,G83)&lt;&gt;"",INDEX(CONFIRM!$H$5:$H$53,G83),IFERROR(INDEX(MAP!$B$7:$B$156,MATCH(TRIM(O83),MAP!$A$7:$A$156,0)),"UNMAPPED")),IFERROR(INDEX(MAP!$B$7:$B$156,MATCH(TRIM(O83),MAP!$A$7:$A$156,0)),"UNMAPPED"))</f>
        <v>Registered Nurse</v>
      </c>
      <c r="Q83" s="48" t="n">
        <f aca="false">STACK!I83</f>
        <v>214.25</v>
      </c>
      <c r="R83" s="60" t="n">
        <f aca="false">IF(G83&gt;0,IF(INDEX(CONFIRM!$F$5:$F$53,G83)&lt;&gt;"",INDEX(CONFIRM!$F$5:$F$53,G83),IF(ISNUMBER(Q83),Q83,IF(Q83="","",IFERROR(VALUE(TRIM(SUBSTITUTE(SUBSTITUTE(LOWER(Q83),"hrs",""),"hr",""))),"")))),IF(ISNUMBER(Q83),Q83,IF(Q83="","",IFERROR(VALUE(TRIM(SUBSTITUTE(SUBSTITUTE(LOWER(Q83),"hrs",""),"hr",""))),""))))</f>
        <v>214.25</v>
      </c>
      <c r="S83" s="57" t="n">
        <f aca="false">IFERROR(INDEX(RATES!$E$6:$E$28,MATCH(P83,RATES!$A$6:$A$28,0)),0)</f>
        <v>55.8975</v>
      </c>
      <c r="T83" s="61" t="n">
        <f aca="false">IF(ISNUMBER(R83),R83,0)*S83</f>
        <v>11976.039375</v>
      </c>
      <c r="U83" s="61" t="n">
        <f aca="false">T83*INDEX(INPUTS!$H$10:$H$14,MATCH(B83,INPUTS!$A$10:$A$14,0))</f>
        <v>2215.567284375</v>
      </c>
      <c r="V83" s="61" t="n">
        <f aca="false">N(STACK!K83)</f>
        <v>0</v>
      </c>
      <c r="W83" s="61" t="n">
        <f aca="false">T83+U83+V83</f>
        <v>14191.606659375</v>
      </c>
      <c r="X83" s="61" t="n">
        <f aca="false">N(STACK!L83)</f>
        <v>0</v>
      </c>
      <c r="Y83" s="61" t="n">
        <f aca="false">W83-X83</f>
        <v>14191.606659375</v>
      </c>
      <c r="Z83" s="1" t="n">
        <f aca="false">N(STACK!J83)</f>
        <v>0</v>
      </c>
      <c r="AA83" s="1" t="str">
        <f aca="false">TRIM(IF(D83="UNMAPPED","Program not mapped. ","")&amp;IF(OR(K83="UNMAPPED",K83="UNASSIGNED"),"Category needs review. ","")&amp;IF(P83="UNMAPPED","Title not mapped. ","")&amp;IF(AND(P83&lt;&gt;"No staff time",R83=""),"Missing hours. ","")&amp;IF(M83="","Date not readable. ","")&amp;IF(N83="No","Outside fiscal year. ","")&amp;IF(AND(F83="Event",ISNUMBER(R83)),IF(R83&gt;12,"Event hours look high. ",""),"")&amp;IF(G83&gt;0,"See CONFIRM sheet.",""))</f>
        <v/>
      </c>
      <c r="AB83" s="1" t="n">
        <f aca="false">IF(N83="No",0,IF(REVIEW!O83=0,0,IF(G83&gt;0,IF(INDEX(CONFIRM!$J$5:$J$53,G83)&lt;&gt;"",INDEX(CONFIRM!$J$5:$J$53,G83),1),1)))</f>
        <v>1</v>
      </c>
      <c r="AC83" s="1" t="n">
        <f aca="false">IF(AB83=1,IF(COUNTIFS($B$5:B83,B83,$D$5:D83,D83,$AB$5:AB83,1)=1,1,0),0)</f>
        <v>0</v>
      </c>
    </row>
    <row r="84" customFormat="false" ht="15" hidden="false" customHeight="false" outlineLevel="0" collapsed="false">
      <c r="A84" s="48" t="str">
        <f aca="false">STACK!A84</f>
        <v>KVMC-0080</v>
      </c>
      <c r="B84" s="48" t="str">
        <f aca="false">STACK!B84</f>
        <v>KVMC</v>
      </c>
      <c r="C84" s="48" t="str">
        <f aca="false">STACK!E84</f>
        <v>Family Medicine Residency Program</v>
      </c>
      <c r="D84" s="1" t="str">
        <f aca="false">IFERROR(INDEX(MAP!$J$7:$J$101,MATCH(TRIM(C84),MAP!$I$7:$I$101,0)),"UNMAPPED")</f>
        <v>Family Medicine Residency Program</v>
      </c>
      <c r="E84" s="1" t="str">
        <f aca="false">IFERROR(INDEX(MAP!$K$7:$K$101,MATCH(TRIM(C84),MAP!$I$7:$I$101,0)),"")</f>
        <v>Health workforce</v>
      </c>
      <c r="F84" s="1" t="str">
        <f aca="false">IFERROR(INDEX(MAP!$L$7:$L$101,MATCH(TRIM(C84),MAP!$I$7:$I$101,0)),"")</f>
        <v>Monthly</v>
      </c>
      <c r="G84" s="1" t="n">
        <f aca="false">IFERROR(MATCH(A84,CONFIRM!$A$5:$A$53,0),0)</f>
        <v>0</v>
      </c>
      <c r="H84" s="48" t="str">
        <f aca="false">STACK!F84</f>
        <v>Health Professions Education</v>
      </c>
      <c r="I84" s="1" t="str">
        <f aca="false">IF(G84&gt;0,IF(INDEX(CONFIRM!$I$5:$I$53,G84)&lt;&gt;"",INDEX(CONFIRM!$I$5:$I$53,G84),H84),H84)</f>
        <v>Health Professions Education</v>
      </c>
      <c r="J84" s="1" t="str">
        <f aca="false">IFERROR(INDEX(MAP!$F$7:$F$74,MATCH(TRIM(I84),MAP!$E$7:$E$74,0)),"UNMAPPED")</f>
        <v>Health professions education</v>
      </c>
      <c r="K84" s="1" t="str">
        <f aca="false">IFERROR(INDEX(MAP!$G$7:$G$74,MATCH(TRIM(I84),MAP!$E$7:$E$74,0)),"UNMAPPED")</f>
        <v>7f</v>
      </c>
      <c r="L84" s="49" t="n">
        <f aca="false">STACK!G84</f>
        <v>45900</v>
      </c>
      <c r="M84" s="59" t="n">
        <f aca="false">IF(G84&gt;0,IF(INDEX(CONFIRM!$G$5:$G$53,G84)&lt;&gt;"",INDEX(CONFIRM!$G$5:$G$53,G84),IF(ISNUMBER(L84),L84,IFERROR(DATEVALUE(L84),""))),IF(ISNUMBER(L84),L84,IFERROR(DATEVALUE(L84),"")))</f>
        <v>45900</v>
      </c>
      <c r="N84" s="1" t="str">
        <f aca="false">IF(M84="","Check",IF(AND(M84&gt;=INPUTS!$C$6,M84&lt;=INPUTS!$C$7),"Yes","No"))</f>
        <v>Yes</v>
      </c>
      <c r="O84" s="48" t="str">
        <f aca="false">STACK!H84</f>
        <v>Staff Physician</v>
      </c>
      <c r="P84" s="1" t="str">
        <f aca="false">IF(G84&gt;0,IF(INDEX(CONFIRM!$H$5:$H$53,G84)&lt;&gt;"",INDEX(CONFIRM!$H$5:$H$53,G84),IFERROR(INDEX(MAP!$B$7:$B$156,MATCH(TRIM(O84),MAP!$A$7:$A$156,0)),"UNMAPPED")),IFERROR(INDEX(MAP!$B$7:$B$156,MATCH(TRIM(O84),MAP!$A$7:$A$156,0)),"UNMAPPED"))</f>
        <v>Physician</v>
      </c>
      <c r="Q84" s="48" t="n">
        <f aca="false">STACK!I84</f>
        <v>388.25</v>
      </c>
      <c r="R84" s="60" t="n">
        <f aca="false">IF(G84&gt;0,IF(INDEX(CONFIRM!$F$5:$F$53,G84)&lt;&gt;"",INDEX(CONFIRM!$F$5:$F$53,G84),IF(ISNUMBER(Q84),Q84,IF(Q84="","",IFERROR(VALUE(TRIM(SUBSTITUTE(SUBSTITUTE(LOWER(Q84),"hrs",""),"hr",""))),"")))),IF(ISNUMBER(Q84),Q84,IF(Q84="","",IFERROR(VALUE(TRIM(SUBSTITUTE(SUBSTITUTE(LOWER(Q84),"hrs",""),"hr",""))),""))))</f>
        <v>388.25</v>
      </c>
      <c r="S84" s="57" t="n">
        <f aca="false">IFERROR(INDEX(RATES!$E$6:$E$28,MATCH(P84,RATES!$A$6:$A$28,0)),0)</f>
        <v>151.63</v>
      </c>
      <c r="T84" s="61" t="n">
        <f aca="false">IF(ISNUMBER(R84),R84,0)*S84</f>
        <v>58870.3475</v>
      </c>
      <c r="U84" s="61" t="n">
        <f aca="false">T84*INDEX(INPUTS!$H$10:$H$14,MATCH(B84,INPUTS!$A$10:$A$14,0))</f>
        <v>10891.0142875</v>
      </c>
      <c r="V84" s="61" t="n">
        <f aca="false">N(STACK!K84)</f>
        <v>35940</v>
      </c>
      <c r="W84" s="61" t="n">
        <f aca="false">T84+U84+V84</f>
        <v>105701.3617875</v>
      </c>
      <c r="X84" s="61" t="n">
        <f aca="false">N(STACK!L84)</f>
        <v>160085</v>
      </c>
      <c r="Y84" s="61" t="n">
        <f aca="false">W84-X84</f>
        <v>-54383.6382125</v>
      </c>
      <c r="Z84" s="1" t="n">
        <f aca="false">N(STACK!J84)</f>
        <v>0</v>
      </c>
      <c r="AA84" s="1" t="str">
        <f aca="false">TRIM(IF(D84="UNMAPPED","Program not mapped. ","")&amp;IF(OR(K84="UNMAPPED",K84="UNASSIGNED"),"Category needs review. ","")&amp;IF(P84="UNMAPPED","Title not mapped. ","")&amp;IF(AND(P84&lt;&gt;"No staff time",R84=""),"Missing hours. ","")&amp;IF(M84="","Date not readable. ","")&amp;IF(N84="No","Outside fiscal year. ","")&amp;IF(AND(F84="Event",ISNUMBER(R84)),IF(R84&gt;12,"Event hours look high. ",""),"")&amp;IF(G84&gt;0,"See CONFIRM sheet.",""))</f>
        <v/>
      </c>
      <c r="AB84" s="1" t="n">
        <f aca="false">IF(N84="No",0,IF(REVIEW!O84=0,0,IF(G84&gt;0,IF(INDEX(CONFIRM!$J$5:$J$53,G84)&lt;&gt;"",INDEX(CONFIRM!$J$5:$J$53,G84),1),1)))</f>
        <v>1</v>
      </c>
      <c r="AC84" s="1" t="n">
        <f aca="false">IF(AB84=1,IF(COUNTIFS($B$5:B84,B84,$D$5:D84,D84,$AB$5:AB84,1)=1,1,0),0)</f>
        <v>0</v>
      </c>
    </row>
    <row r="85" customFormat="false" ht="15" hidden="false" customHeight="false" outlineLevel="0" collapsed="false">
      <c r="A85" s="48" t="str">
        <f aca="false">STACK!A85</f>
        <v>KVMC-0081</v>
      </c>
      <c r="B85" s="48" t="str">
        <f aca="false">STACK!B85</f>
        <v>KVMC</v>
      </c>
      <c r="C85" s="48" t="str">
        <f aca="false">STACK!E85</f>
        <v>Family Medicine Residency Program</v>
      </c>
      <c r="D85" s="1" t="str">
        <f aca="false">IFERROR(INDEX(MAP!$J$7:$J$101,MATCH(TRIM(C85),MAP!$I$7:$I$101,0)),"UNMAPPED")</f>
        <v>Family Medicine Residency Program</v>
      </c>
      <c r="E85" s="1" t="str">
        <f aca="false">IFERROR(INDEX(MAP!$K$7:$K$101,MATCH(TRIM(C85),MAP!$I$7:$I$101,0)),"")</f>
        <v>Health workforce</v>
      </c>
      <c r="F85" s="1" t="str">
        <f aca="false">IFERROR(INDEX(MAP!$L$7:$L$101,MATCH(TRIM(C85),MAP!$I$7:$I$101,0)),"")</f>
        <v>Monthly</v>
      </c>
      <c r="G85" s="1" t="n">
        <f aca="false">IFERROR(MATCH(A85,CONFIRM!$A$5:$A$53,0),0)</f>
        <v>0</v>
      </c>
      <c r="H85" s="48" t="str">
        <f aca="false">STACK!F85</f>
        <v>Health Professions Education</v>
      </c>
      <c r="I85" s="1" t="str">
        <f aca="false">IF(G85&gt;0,IF(INDEX(CONFIRM!$I$5:$I$53,G85)&lt;&gt;"",INDEX(CONFIRM!$I$5:$I$53,G85),H85),H85)</f>
        <v>Health Professions Education</v>
      </c>
      <c r="J85" s="1" t="str">
        <f aca="false">IFERROR(INDEX(MAP!$F$7:$F$74,MATCH(TRIM(I85),MAP!$E$7:$E$74,0)),"UNMAPPED")</f>
        <v>Health professions education</v>
      </c>
      <c r="K85" s="1" t="str">
        <f aca="false">IFERROR(INDEX(MAP!$G$7:$G$74,MATCH(TRIM(I85),MAP!$E$7:$E$74,0)),"UNMAPPED")</f>
        <v>7f</v>
      </c>
      <c r="L85" s="49" t="n">
        <f aca="false">STACK!G85</f>
        <v>45900</v>
      </c>
      <c r="M85" s="59" t="n">
        <f aca="false">IF(G85&gt;0,IF(INDEX(CONFIRM!$G$5:$G$53,G85)&lt;&gt;"",INDEX(CONFIRM!$G$5:$G$53,G85),IF(ISNUMBER(L85),L85,IFERROR(DATEVALUE(L85),""))),IF(ISNUMBER(L85),L85,IFERROR(DATEVALUE(L85),"")))</f>
        <v>45900</v>
      </c>
      <c r="N85" s="1" t="str">
        <f aca="false">IF(M85="","Check",IF(AND(M85&gt;=INPUTS!$C$6,M85&lt;=INPUTS!$C$7),"Yes","No"))</f>
        <v>Yes</v>
      </c>
      <c r="O85" s="48" t="str">
        <f aca="false">STACK!H85</f>
        <v>Residency Coordinator</v>
      </c>
      <c r="P85" s="1" t="str">
        <f aca="false">IF(G85&gt;0,IF(INDEX(CONFIRM!$H$5:$H$53,G85)&lt;&gt;"",INDEX(CONFIRM!$H$5:$H$53,G85),IFERROR(INDEX(MAP!$B$7:$B$156,MATCH(TRIM(O85),MAP!$A$7:$A$156,0)),"UNMAPPED")),IFERROR(INDEX(MAP!$B$7:$B$156,MATCH(TRIM(O85),MAP!$A$7:$A$156,0)),"UNMAPPED"))</f>
        <v>Program Coordinator</v>
      </c>
      <c r="Q85" s="48" t="n">
        <f aca="false">STACK!I85</f>
        <v>165</v>
      </c>
      <c r="R85" s="60" t="n">
        <f aca="false">IF(G85&gt;0,IF(INDEX(CONFIRM!$F$5:$F$53,G85)&lt;&gt;"",INDEX(CONFIRM!$F$5:$F$53,G85),IF(ISNUMBER(Q85),Q85,IF(Q85="","",IFERROR(VALUE(TRIM(SUBSTITUTE(SUBSTITUTE(LOWER(Q85),"hrs",""),"hr",""))),"")))),IF(ISNUMBER(Q85),Q85,IF(Q85="","",IFERROR(VALUE(TRIM(SUBSTITUTE(SUBSTITUTE(LOWER(Q85),"hrs",""),"hr",""))),""))))</f>
        <v>165</v>
      </c>
      <c r="S85" s="57" t="n">
        <f aca="false">IFERROR(INDEX(RATES!$E$6:$E$28,MATCH(P85,RATES!$A$6:$A$28,0)),0)</f>
        <v>35.3375</v>
      </c>
      <c r="T85" s="61" t="n">
        <f aca="false">IF(ISNUMBER(R85),R85,0)*S85</f>
        <v>5830.6875</v>
      </c>
      <c r="U85" s="61" t="n">
        <f aca="false">T85*INDEX(INPUTS!$H$10:$H$14,MATCH(B85,INPUTS!$A$10:$A$14,0))</f>
        <v>1078.6771875</v>
      </c>
      <c r="V85" s="61" t="n">
        <f aca="false">N(STACK!K85)</f>
        <v>0</v>
      </c>
      <c r="W85" s="61" t="n">
        <f aca="false">T85+U85+V85</f>
        <v>6909.3646875</v>
      </c>
      <c r="X85" s="61" t="n">
        <f aca="false">N(STACK!L85)</f>
        <v>0</v>
      </c>
      <c r="Y85" s="61" t="n">
        <f aca="false">W85-X85</f>
        <v>6909.3646875</v>
      </c>
      <c r="Z85" s="1" t="n">
        <f aca="false">N(STACK!J85)</f>
        <v>0</v>
      </c>
      <c r="AA85" s="1" t="str">
        <f aca="false">TRIM(IF(D85="UNMAPPED","Program not mapped. ","")&amp;IF(OR(K85="UNMAPPED",K85="UNASSIGNED"),"Category needs review. ","")&amp;IF(P85="UNMAPPED","Title not mapped. ","")&amp;IF(AND(P85&lt;&gt;"No staff time",R85=""),"Missing hours. ","")&amp;IF(M85="","Date not readable. ","")&amp;IF(N85="No","Outside fiscal year. ","")&amp;IF(AND(F85="Event",ISNUMBER(R85)),IF(R85&gt;12,"Event hours look high. ",""),"")&amp;IF(G85&gt;0,"See CONFIRM sheet.",""))</f>
        <v/>
      </c>
      <c r="AB85" s="1" t="n">
        <f aca="false">IF(N85="No",0,IF(REVIEW!O85=0,0,IF(G85&gt;0,IF(INDEX(CONFIRM!$J$5:$J$53,G85)&lt;&gt;"",INDEX(CONFIRM!$J$5:$J$53,G85),1),1)))</f>
        <v>1</v>
      </c>
      <c r="AC85" s="1" t="n">
        <f aca="false">IF(AB85=1,IF(COUNTIFS($B$5:B85,B85,$D$5:D85,D85,$AB$5:AB85,1)=1,1,0),0)</f>
        <v>0</v>
      </c>
    </row>
    <row r="86" customFormat="false" ht="15" hidden="false" customHeight="false" outlineLevel="0" collapsed="false">
      <c r="A86" s="48" t="str">
        <f aca="false">STACK!A86</f>
        <v>KVMC-0082</v>
      </c>
      <c r="B86" s="48" t="str">
        <f aca="false">STACK!B86</f>
        <v>KVMC</v>
      </c>
      <c r="C86" s="48" t="str">
        <f aca="false">STACK!E86</f>
        <v>Family Medicine Residency Program</v>
      </c>
      <c r="D86" s="1" t="str">
        <f aca="false">IFERROR(INDEX(MAP!$J$7:$J$101,MATCH(TRIM(C86),MAP!$I$7:$I$101,0)),"UNMAPPED")</f>
        <v>Family Medicine Residency Program</v>
      </c>
      <c r="E86" s="1" t="str">
        <f aca="false">IFERROR(INDEX(MAP!$K$7:$K$101,MATCH(TRIM(C86),MAP!$I$7:$I$101,0)),"")</f>
        <v>Health workforce</v>
      </c>
      <c r="F86" s="1" t="str">
        <f aca="false">IFERROR(INDEX(MAP!$L$7:$L$101,MATCH(TRIM(C86),MAP!$I$7:$I$101,0)),"")</f>
        <v>Monthly</v>
      </c>
      <c r="G86" s="1" t="n">
        <f aca="false">IFERROR(MATCH(A86,CONFIRM!$A$5:$A$53,0),0)</f>
        <v>0</v>
      </c>
      <c r="H86" s="48" t="str">
        <f aca="false">STACK!F86</f>
        <v>Health Professions Education</v>
      </c>
      <c r="I86" s="1" t="str">
        <f aca="false">IF(G86&gt;0,IF(INDEX(CONFIRM!$I$5:$I$53,G86)&lt;&gt;"",INDEX(CONFIRM!$I$5:$I$53,G86),H86),H86)</f>
        <v>Health Professions Education</v>
      </c>
      <c r="J86" s="1" t="str">
        <f aca="false">IFERROR(INDEX(MAP!$F$7:$F$74,MATCH(TRIM(I86),MAP!$E$7:$E$74,0)),"UNMAPPED")</f>
        <v>Health professions education</v>
      </c>
      <c r="K86" s="1" t="str">
        <f aca="false">IFERROR(INDEX(MAP!$G$7:$G$74,MATCH(TRIM(I86),MAP!$E$7:$E$74,0)),"UNMAPPED")</f>
        <v>7f</v>
      </c>
      <c r="L86" s="49" t="n">
        <f aca="false">STACK!G86</f>
        <v>45900</v>
      </c>
      <c r="M86" s="59" t="n">
        <f aca="false">IF(G86&gt;0,IF(INDEX(CONFIRM!$G$5:$G$53,G86)&lt;&gt;"",INDEX(CONFIRM!$G$5:$G$53,G86),IF(ISNUMBER(L86),L86,IFERROR(DATEVALUE(L86),""))),IF(ISNUMBER(L86),L86,IFERROR(DATEVALUE(L86),"")))</f>
        <v>45900</v>
      </c>
      <c r="N86" s="1" t="str">
        <f aca="false">IF(M86="","Check",IF(AND(M86&gt;=INPUTS!$C$6,M86&lt;=INPUTS!$C$7),"Yes","No"))</f>
        <v>Yes</v>
      </c>
      <c r="O86" s="48" t="str">
        <f aca="false">STACK!H86</f>
        <v>PGY-3 </v>
      </c>
      <c r="P86" s="1" t="str">
        <f aca="false">IF(G86&gt;0,IF(INDEX(CONFIRM!$H$5:$H$53,G86)&lt;&gt;"",INDEX(CONFIRM!$H$5:$H$53,G86),IFERROR(INDEX(MAP!$B$7:$B$156,MATCH(TRIM(O86),MAP!$A$7:$A$156,0)),"UNMAPPED")),IFERROR(INDEX(MAP!$B$7:$B$156,MATCH(TRIM(O86),MAP!$A$7:$A$156,0)),"UNMAPPED"))</f>
        <v>Resident Physician</v>
      </c>
      <c r="Q86" s="48" t="n">
        <f aca="false">STACK!I86</f>
        <v>4264</v>
      </c>
      <c r="R86" s="60" t="n">
        <f aca="false">IF(G86&gt;0,IF(INDEX(CONFIRM!$F$5:$F$53,G86)&lt;&gt;"",INDEX(CONFIRM!$F$5:$F$53,G86),IF(ISNUMBER(Q86),Q86,IF(Q86="","",IFERROR(VALUE(TRIM(SUBSTITUTE(SUBSTITUTE(LOWER(Q86),"hrs",""),"hr",""))),"")))),IF(ISNUMBER(Q86),Q86,IF(Q86="","",IFERROR(VALUE(TRIM(SUBSTITUTE(SUBSTITUTE(LOWER(Q86),"hrs",""),"hr",""))),""))))</f>
        <v>4264</v>
      </c>
      <c r="S86" s="57" t="n">
        <f aca="false">IFERROR(INDEX(RATES!$E$6:$E$28,MATCH(P86,RATES!$A$6:$A$28,0)),0)</f>
        <v>38.43</v>
      </c>
      <c r="T86" s="61" t="n">
        <f aca="false">IF(ISNUMBER(R86),R86,0)*S86</f>
        <v>163865.52</v>
      </c>
      <c r="U86" s="61" t="n">
        <f aca="false">T86*INDEX(INPUTS!$H$10:$H$14,MATCH(B86,INPUTS!$A$10:$A$14,0))</f>
        <v>30315.1212</v>
      </c>
      <c r="V86" s="61" t="n">
        <f aca="false">N(STACK!K86)</f>
        <v>0</v>
      </c>
      <c r="W86" s="61" t="n">
        <f aca="false">T86+U86+V86</f>
        <v>194180.6412</v>
      </c>
      <c r="X86" s="61" t="n">
        <f aca="false">N(STACK!L86)</f>
        <v>0</v>
      </c>
      <c r="Y86" s="61" t="n">
        <f aca="false">W86-X86</f>
        <v>194180.6412</v>
      </c>
      <c r="Z86" s="1" t="n">
        <f aca="false">N(STACK!J86)</f>
        <v>0</v>
      </c>
      <c r="AA86" s="1" t="str">
        <f aca="false">TRIM(IF(D86="UNMAPPED","Program not mapped. ","")&amp;IF(OR(K86="UNMAPPED",K86="UNASSIGNED"),"Category needs review. ","")&amp;IF(P86="UNMAPPED","Title not mapped. ","")&amp;IF(AND(P86&lt;&gt;"No staff time",R86=""),"Missing hours. ","")&amp;IF(M86="","Date not readable. ","")&amp;IF(N86="No","Outside fiscal year. ","")&amp;IF(AND(F86="Event",ISNUMBER(R86)),IF(R86&gt;12,"Event hours look high. ",""),"")&amp;IF(G86&gt;0,"See CONFIRM sheet.",""))</f>
        <v/>
      </c>
      <c r="AB86" s="1" t="n">
        <f aca="false">IF(N86="No",0,IF(REVIEW!O86=0,0,IF(G86&gt;0,IF(INDEX(CONFIRM!$J$5:$J$53,G86)&lt;&gt;"",INDEX(CONFIRM!$J$5:$J$53,G86),1),1)))</f>
        <v>1</v>
      </c>
      <c r="AC86" s="1" t="n">
        <f aca="false">IF(AB86=1,IF(COUNTIFS($B$5:B86,B86,$D$5:D86,D86,$AB$5:AB86,1)=1,1,0),0)</f>
        <v>0</v>
      </c>
    </row>
    <row r="87" customFormat="false" ht="15" hidden="false" customHeight="false" outlineLevel="0" collapsed="false">
      <c r="A87" s="48" t="str">
        <f aca="false">STACK!A87</f>
        <v>KVMC-0083</v>
      </c>
      <c r="B87" s="48" t="str">
        <f aca="false">STACK!B87</f>
        <v>KVMC</v>
      </c>
      <c r="C87" s="48" t="str">
        <f aca="false">STACK!E87</f>
        <v>Pharmacy Student Rotations</v>
      </c>
      <c r="D87" s="1" t="str">
        <f aca="false">IFERROR(INDEX(MAP!$J$7:$J$101,MATCH(TRIM(C87),MAP!$I$7:$I$101,0)),"UNMAPPED")</f>
        <v>Pharmacy Student Rotations</v>
      </c>
      <c r="E87" s="1" t="str">
        <f aca="false">IFERROR(INDEX(MAP!$K$7:$K$101,MATCH(TRIM(C87),MAP!$I$7:$I$101,0)),"")</f>
        <v>Health workforce</v>
      </c>
      <c r="F87" s="1" t="str">
        <f aca="false">IFERROR(INDEX(MAP!$L$7:$L$101,MATCH(TRIM(C87),MAP!$I$7:$I$101,0)),"")</f>
        <v>Monthly</v>
      </c>
      <c r="G87" s="1" t="n">
        <f aca="false">IFERROR(MATCH(A87,CONFIRM!$A$5:$A$53,0),0)</f>
        <v>0</v>
      </c>
      <c r="H87" s="48" t="str">
        <f aca="false">STACK!F87</f>
        <v>Health Professions Education</v>
      </c>
      <c r="I87" s="1" t="str">
        <f aca="false">IF(G87&gt;0,IF(INDEX(CONFIRM!$I$5:$I$53,G87)&lt;&gt;"",INDEX(CONFIRM!$I$5:$I$53,G87),H87),H87)</f>
        <v>Health Professions Education</v>
      </c>
      <c r="J87" s="1" t="str">
        <f aca="false">IFERROR(INDEX(MAP!$F$7:$F$74,MATCH(TRIM(I87),MAP!$E$7:$E$74,0)),"UNMAPPED")</f>
        <v>Health professions education</v>
      </c>
      <c r="K87" s="1" t="str">
        <f aca="false">IFERROR(INDEX(MAP!$G$7:$G$74,MATCH(TRIM(I87),MAP!$E$7:$E$74,0)),"UNMAPPED")</f>
        <v>7f</v>
      </c>
      <c r="L87" s="49" t="n">
        <f aca="false">STACK!G87</f>
        <v>45900</v>
      </c>
      <c r="M87" s="59" t="n">
        <f aca="false">IF(G87&gt;0,IF(INDEX(CONFIRM!$G$5:$G$53,G87)&lt;&gt;"",INDEX(CONFIRM!$G$5:$G$53,G87),IF(ISNUMBER(L87),L87,IFERROR(DATEVALUE(L87),""))),IF(ISNUMBER(L87),L87,IFERROR(DATEVALUE(L87),"")))</f>
        <v>45900</v>
      </c>
      <c r="N87" s="1" t="str">
        <f aca="false">IF(M87="","Check",IF(AND(M87&gt;=INPUTS!$C$6,M87&lt;=INPUTS!$C$7),"Yes","No"))</f>
        <v>Yes</v>
      </c>
      <c r="O87" s="48" t="str">
        <f aca="false">STACK!H87</f>
        <v>Pharm.D.</v>
      </c>
      <c r="P87" s="1" t="str">
        <f aca="false">IF(G87&gt;0,IF(INDEX(CONFIRM!$H$5:$H$53,G87)&lt;&gt;"",INDEX(CONFIRM!$H$5:$H$53,G87),IFERROR(INDEX(MAP!$B$7:$B$156,MATCH(TRIM(O87),MAP!$A$7:$A$156,0)),"UNMAPPED")),IFERROR(INDEX(MAP!$B$7:$B$156,MATCH(TRIM(O87),MAP!$A$7:$A$156,0)),"UNMAPPED"))</f>
        <v>Pharmacist</v>
      </c>
      <c r="Q87" s="48" t="n">
        <f aca="false">STACK!I87</f>
        <v>85.75</v>
      </c>
      <c r="R87" s="60" t="n">
        <f aca="false">IF(G87&gt;0,IF(INDEX(CONFIRM!$F$5:$F$53,G87)&lt;&gt;"",INDEX(CONFIRM!$F$5:$F$53,G87),IF(ISNUMBER(Q87),Q87,IF(Q87="","",IFERROR(VALUE(TRIM(SUBSTITUTE(SUBSTITUTE(LOWER(Q87),"hrs",""),"hr",""))),"")))),IF(ISNUMBER(Q87),Q87,IF(Q87="","",IFERROR(VALUE(TRIM(SUBSTITUTE(SUBSTITUTE(LOWER(Q87),"hrs",""),"hr",""))),""))))</f>
        <v>85.75</v>
      </c>
      <c r="S87" s="57" t="n">
        <f aca="false">IFERROR(INDEX(RATES!$E$6:$E$28,MATCH(P87,RATES!$A$6:$A$28,0)),0)</f>
        <v>84.81</v>
      </c>
      <c r="T87" s="61" t="n">
        <f aca="false">IF(ISNUMBER(R87),R87,0)*S87</f>
        <v>7272.4575</v>
      </c>
      <c r="U87" s="61" t="n">
        <f aca="false">T87*INDEX(INPUTS!$H$10:$H$14,MATCH(B87,INPUTS!$A$10:$A$14,0))</f>
        <v>1345.4046375</v>
      </c>
      <c r="V87" s="61" t="n">
        <f aca="false">N(STACK!K87)</f>
        <v>240</v>
      </c>
      <c r="W87" s="61" t="n">
        <f aca="false">T87+U87+V87</f>
        <v>8857.8621375</v>
      </c>
      <c r="X87" s="61" t="n">
        <f aca="false">N(STACK!L87)</f>
        <v>0</v>
      </c>
      <c r="Y87" s="61" t="n">
        <f aca="false">W87-X87</f>
        <v>8857.8621375</v>
      </c>
      <c r="Z87" s="1" t="n">
        <f aca="false">N(STACK!J87)</f>
        <v>3</v>
      </c>
      <c r="AA87" s="1" t="str">
        <f aca="false">TRIM(IF(D87="UNMAPPED","Program not mapped. ","")&amp;IF(OR(K87="UNMAPPED",K87="UNASSIGNED"),"Category needs review. ","")&amp;IF(P87="UNMAPPED","Title not mapped. ","")&amp;IF(AND(P87&lt;&gt;"No staff time",R87=""),"Missing hours. ","")&amp;IF(M87="","Date not readable. ","")&amp;IF(N87="No","Outside fiscal year. ","")&amp;IF(AND(F87="Event",ISNUMBER(R87)),IF(R87&gt;12,"Event hours look high. ",""),"")&amp;IF(G87&gt;0,"See CONFIRM sheet.",""))</f>
        <v/>
      </c>
      <c r="AB87" s="1" t="n">
        <f aca="false">IF(N87="No",0,IF(REVIEW!O87=0,0,IF(G87&gt;0,IF(INDEX(CONFIRM!$J$5:$J$53,G87)&lt;&gt;"",INDEX(CONFIRM!$J$5:$J$53,G87),1),1)))</f>
        <v>1</v>
      </c>
      <c r="AC87" s="1" t="n">
        <f aca="false">IF(AB87=1,IF(COUNTIFS($B$5:B87,B87,$D$5:D87,D87,$AB$5:AB87,1)=1,1,0),0)</f>
        <v>0</v>
      </c>
    </row>
    <row r="88" customFormat="false" ht="15" hidden="false" customHeight="false" outlineLevel="0" collapsed="false">
      <c r="A88" s="48" t="str">
        <f aca="false">STACK!A88</f>
        <v>KVMC-0084</v>
      </c>
      <c r="B88" s="48" t="str">
        <f aca="false">STACK!B88</f>
        <v>KVMC</v>
      </c>
      <c r="C88" s="48" t="str">
        <f aca="false">STACK!E88</f>
        <v>Community Hypertension Control Study</v>
      </c>
      <c r="D88" s="1" t="str">
        <f aca="false">IFERROR(INDEX(MAP!$J$7:$J$101,MATCH(TRIM(C88),MAP!$I$7:$I$101,0)),"UNMAPPED")</f>
        <v>Community Hypertension Control Study</v>
      </c>
      <c r="E88" s="1" t="str">
        <f aca="false">IFERROR(INDEX(MAP!$K$7:$K$101,MATCH(TRIM(C88),MAP!$I$7:$I$101,0)),"")</f>
        <v>Chronic disease prevention</v>
      </c>
      <c r="F88" s="1" t="str">
        <f aca="false">IFERROR(INDEX(MAP!$L$7:$L$101,MATCH(TRIM(C88),MAP!$I$7:$I$101,0)),"")</f>
        <v>Monthly</v>
      </c>
      <c r="G88" s="1" t="n">
        <f aca="false">IFERROR(MATCH(A88,CONFIRM!$A$5:$A$53,0),0)</f>
        <v>0</v>
      </c>
      <c r="H88" s="48" t="str">
        <f aca="false">STACK!F88</f>
        <v>Research</v>
      </c>
      <c r="I88" s="1" t="str">
        <f aca="false">IF(G88&gt;0,IF(INDEX(CONFIRM!$I$5:$I$53,G88)&lt;&gt;"",INDEX(CONFIRM!$I$5:$I$53,G88),H88),H88)</f>
        <v>Research</v>
      </c>
      <c r="J88" s="1" t="str">
        <f aca="false">IFERROR(INDEX(MAP!$F$7:$F$74,MATCH(TRIM(I88),MAP!$E$7:$E$74,0)),"UNMAPPED")</f>
        <v>Research</v>
      </c>
      <c r="K88" s="1" t="str">
        <f aca="false">IFERROR(INDEX(MAP!$G$7:$G$74,MATCH(TRIM(I88),MAP!$E$7:$E$74,0)),"UNMAPPED")</f>
        <v>7h</v>
      </c>
      <c r="L88" s="49" t="n">
        <f aca="false">STACK!G88</f>
        <v>45900</v>
      </c>
      <c r="M88" s="59" t="n">
        <f aca="false">IF(G88&gt;0,IF(INDEX(CONFIRM!$G$5:$G$53,G88)&lt;&gt;"",INDEX(CONFIRM!$G$5:$G$53,G88),IF(ISNUMBER(L88),L88,IFERROR(DATEVALUE(L88),""))),IF(ISNUMBER(L88),L88,IFERROR(DATEVALUE(L88),"")))</f>
        <v>45900</v>
      </c>
      <c r="N88" s="1" t="str">
        <f aca="false">IF(M88="","Check",IF(AND(M88&gt;=INPUTS!$C$6,M88&lt;=INPUTS!$C$7),"Yes","No"))</f>
        <v>Yes</v>
      </c>
      <c r="O88" s="48" t="str">
        <f aca="false">STACK!H88</f>
        <v>Sr Data Analyst</v>
      </c>
      <c r="P88" s="1" t="str">
        <f aca="false">IF(G88&gt;0,IF(INDEX(CONFIRM!$H$5:$H$53,G88)&lt;&gt;"",INDEX(CONFIRM!$H$5:$H$53,G88),IFERROR(INDEX(MAP!$B$7:$B$156,MATCH(TRIM(O88),MAP!$A$7:$A$156,0)),"UNMAPPED")),IFERROR(INDEX(MAP!$B$7:$B$156,MATCH(TRIM(O88),MAP!$A$7:$A$156,0)),"UNMAPPED"))</f>
        <v>Data Analyst</v>
      </c>
      <c r="Q88" s="48" t="n">
        <f aca="false">STACK!I88</f>
        <v>42.75</v>
      </c>
      <c r="R88" s="60" t="n">
        <f aca="false">IF(G88&gt;0,IF(INDEX(CONFIRM!$F$5:$F$53,G88)&lt;&gt;"",INDEX(CONFIRM!$F$5:$F$53,G88),IF(ISNUMBER(Q88),Q88,IF(Q88="","",IFERROR(VALUE(TRIM(SUBSTITUTE(SUBSTITUTE(LOWER(Q88),"hrs",""),"hr",""))),"")))),IF(ISNUMBER(Q88),Q88,IF(Q88="","",IFERROR(VALUE(TRIM(SUBSTITUTE(SUBSTITUTE(LOWER(Q88),"hrs",""),"hr",""))),""))))</f>
        <v>42.75</v>
      </c>
      <c r="S88" s="57" t="n">
        <f aca="false">IFERROR(INDEX(RATES!$E$6:$E$28,MATCH(P88,RATES!$A$6:$A$28,0)),0)</f>
        <v>48.83</v>
      </c>
      <c r="T88" s="61" t="n">
        <f aca="false">IF(ISNUMBER(R88),R88,0)*S88</f>
        <v>2087.4825</v>
      </c>
      <c r="U88" s="61" t="n">
        <f aca="false">T88*INDEX(INPUTS!$H$10:$H$14,MATCH(B88,INPUTS!$A$10:$A$14,0))</f>
        <v>386.1842625</v>
      </c>
      <c r="V88" s="61" t="n">
        <f aca="false">N(STACK!K88)</f>
        <v>0</v>
      </c>
      <c r="W88" s="61" t="n">
        <f aca="false">T88+U88+V88</f>
        <v>2473.6667625</v>
      </c>
      <c r="X88" s="61" t="n">
        <f aca="false">N(STACK!L88)</f>
        <v>0</v>
      </c>
      <c r="Y88" s="61" t="n">
        <f aca="false">W88-X88</f>
        <v>2473.6667625</v>
      </c>
      <c r="Z88" s="1" t="n">
        <f aca="false">N(STACK!J88)</f>
        <v>0</v>
      </c>
      <c r="AA88" s="1" t="str">
        <f aca="false">TRIM(IF(D88="UNMAPPED","Program not mapped. ","")&amp;IF(OR(K88="UNMAPPED",K88="UNASSIGNED"),"Category needs review. ","")&amp;IF(P88="UNMAPPED","Title not mapped. ","")&amp;IF(AND(P88&lt;&gt;"No staff time",R88=""),"Missing hours. ","")&amp;IF(M88="","Date not readable. ","")&amp;IF(N88="No","Outside fiscal year. ","")&amp;IF(AND(F88="Event",ISNUMBER(R88)),IF(R88&gt;12,"Event hours look high. ",""),"")&amp;IF(G88&gt;0,"See CONFIRM sheet.",""))</f>
        <v/>
      </c>
      <c r="AB88" s="1" t="n">
        <f aca="false">IF(N88="No",0,IF(REVIEW!O88=0,0,IF(G88&gt;0,IF(INDEX(CONFIRM!$J$5:$J$53,G88)&lt;&gt;"",INDEX(CONFIRM!$J$5:$J$53,G88),1),1)))</f>
        <v>1</v>
      </c>
      <c r="AC88" s="1" t="n">
        <f aca="false">IF(AB88=1,IF(COUNTIFS($B$5:B88,B88,$D$5:D88,D88,$AB$5:AB88,1)=1,1,0),0)</f>
        <v>0</v>
      </c>
    </row>
    <row r="89" customFormat="false" ht="15" hidden="false" customHeight="false" outlineLevel="0" collapsed="false">
      <c r="A89" s="48" t="str">
        <f aca="false">STACK!A89</f>
        <v>KVMC-0085</v>
      </c>
      <c r="B89" s="48" t="str">
        <f aca="false">STACK!B89</f>
        <v>KVMC</v>
      </c>
      <c r="C89" s="48" t="str">
        <f aca="false">STACK!E89</f>
        <v>Community Hypertension Control Study</v>
      </c>
      <c r="D89" s="1" t="str">
        <f aca="false">IFERROR(INDEX(MAP!$J$7:$J$101,MATCH(TRIM(C89),MAP!$I$7:$I$101,0)),"UNMAPPED")</f>
        <v>Community Hypertension Control Study</v>
      </c>
      <c r="E89" s="1" t="str">
        <f aca="false">IFERROR(INDEX(MAP!$K$7:$K$101,MATCH(TRIM(C89),MAP!$I$7:$I$101,0)),"")</f>
        <v>Chronic disease prevention</v>
      </c>
      <c r="F89" s="1" t="str">
        <f aca="false">IFERROR(INDEX(MAP!$L$7:$L$101,MATCH(TRIM(C89),MAP!$I$7:$I$101,0)),"")</f>
        <v>Monthly</v>
      </c>
      <c r="G89" s="1" t="n">
        <f aca="false">IFERROR(MATCH(A89,CONFIRM!$A$5:$A$53,0),0)</f>
        <v>0</v>
      </c>
      <c r="H89" s="48" t="str">
        <f aca="false">STACK!F89</f>
        <v>Research</v>
      </c>
      <c r="I89" s="1" t="str">
        <f aca="false">IF(G89&gt;0,IF(INDEX(CONFIRM!$I$5:$I$53,G89)&lt;&gt;"",INDEX(CONFIRM!$I$5:$I$53,G89),H89),H89)</f>
        <v>Research</v>
      </c>
      <c r="J89" s="1" t="str">
        <f aca="false">IFERROR(INDEX(MAP!$F$7:$F$74,MATCH(TRIM(I89),MAP!$E$7:$E$74,0)),"UNMAPPED")</f>
        <v>Research</v>
      </c>
      <c r="K89" s="1" t="str">
        <f aca="false">IFERROR(INDEX(MAP!$G$7:$G$74,MATCH(TRIM(I89),MAP!$E$7:$E$74,0)),"UNMAPPED")</f>
        <v>7h</v>
      </c>
      <c r="L89" s="49" t="n">
        <f aca="false">STACK!G89</f>
        <v>45900</v>
      </c>
      <c r="M89" s="59" t="n">
        <f aca="false">IF(G89&gt;0,IF(INDEX(CONFIRM!$G$5:$G$53,G89)&lt;&gt;"",INDEX(CONFIRM!$G$5:$G$53,G89),IF(ISNUMBER(L89),L89,IFERROR(DATEVALUE(L89),""))),IF(ISNUMBER(L89),L89,IFERROR(DATEVALUE(L89),"")))</f>
        <v>45900</v>
      </c>
      <c r="N89" s="1" t="str">
        <f aca="false">IF(M89="","Check",IF(AND(M89&gt;=INPUTS!$C$6,M89&lt;=INPUTS!$C$7),"Yes","No"))</f>
        <v>Yes</v>
      </c>
      <c r="O89" s="48" t="str">
        <f aca="false">STACK!H89</f>
        <v>Physician</v>
      </c>
      <c r="P89" s="1" t="str">
        <f aca="false">IF(G89&gt;0,IF(INDEX(CONFIRM!$H$5:$H$53,G89)&lt;&gt;"",INDEX(CONFIRM!$H$5:$H$53,G89),IFERROR(INDEX(MAP!$B$7:$B$156,MATCH(TRIM(O89),MAP!$A$7:$A$156,0)),"UNMAPPED")),IFERROR(INDEX(MAP!$B$7:$B$156,MATCH(TRIM(O89),MAP!$A$7:$A$156,0)),"UNMAPPED"))</f>
        <v>Physician</v>
      </c>
      <c r="Q89" s="48" t="n">
        <f aca="false">STACK!I89</f>
        <v>16</v>
      </c>
      <c r="R89" s="60" t="n">
        <f aca="false">IF(G89&gt;0,IF(INDEX(CONFIRM!$F$5:$F$53,G89)&lt;&gt;"",INDEX(CONFIRM!$F$5:$F$53,G89),IF(ISNUMBER(Q89),Q89,IF(Q89="","",IFERROR(VALUE(TRIM(SUBSTITUTE(SUBSTITUTE(LOWER(Q89),"hrs",""),"hr",""))),"")))),IF(ISNUMBER(Q89),Q89,IF(Q89="","",IFERROR(VALUE(TRIM(SUBSTITUTE(SUBSTITUTE(LOWER(Q89),"hrs",""),"hr",""))),""))))</f>
        <v>16</v>
      </c>
      <c r="S89" s="57" t="n">
        <f aca="false">IFERROR(INDEX(RATES!$E$6:$E$28,MATCH(P89,RATES!$A$6:$A$28,0)),0)</f>
        <v>151.63</v>
      </c>
      <c r="T89" s="61" t="n">
        <f aca="false">IF(ISNUMBER(R89),R89,0)*S89</f>
        <v>2426.08</v>
      </c>
      <c r="U89" s="61" t="n">
        <f aca="false">T89*INDEX(INPUTS!$H$10:$H$14,MATCH(B89,INPUTS!$A$10:$A$14,0))</f>
        <v>448.8248</v>
      </c>
      <c r="V89" s="61" t="n">
        <f aca="false">N(STACK!K89)</f>
        <v>0</v>
      </c>
      <c r="W89" s="61" t="n">
        <f aca="false">T89+U89+V89</f>
        <v>2874.9048</v>
      </c>
      <c r="X89" s="61" t="n">
        <f aca="false">N(STACK!L89)</f>
        <v>0</v>
      </c>
      <c r="Y89" s="61" t="n">
        <f aca="false">W89-X89</f>
        <v>2874.9048</v>
      </c>
      <c r="Z89" s="1" t="n">
        <f aca="false">N(STACK!J89)</f>
        <v>0</v>
      </c>
      <c r="AA89" s="1" t="str">
        <f aca="false">TRIM(IF(D89="UNMAPPED","Program not mapped. ","")&amp;IF(OR(K89="UNMAPPED",K89="UNASSIGNED"),"Category needs review. ","")&amp;IF(P89="UNMAPPED","Title not mapped. ","")&amp;IF(AND(P89&lt;&gt;"No staff time",R89=""),"Missing hours. ","")&amp;IF(M89="","Date not readable. ","")&amp;IF(N89="No","Outside fiscal year. ","")&amp;IF(AND(F89="Event",ISNUMBER(R89)),IF(R89&gt;12,"Event hours look high. ",""),"")&amp;IF(G89&gt;0,"See CONFIRM sheet.",""))</f>
        <v/>
      </c>
      <c r="AB89" s="1" t="n">
        <f aca="false">IF(N89="No",0,IF(REVIEW!O89=0,0,IF(G89&gt;0,IF(INDEX(CONFIRM!$J$5:$J$53,G89)&lt;&gt;"",INDEX(CONFIRM!$J$5:$J$53,G89),1),1)))</f>
        <v>1</v>
      </c>
      <c r="AC89" s="1" t="n">
        <f aca="false">IF(AB89=1,IF(COUNTIFS($B$5:B89,B89,$D$5:D89,D89,$AB$5:AB89,1)=1,1,0),0)</f>
        <v>0</v>
      </c>
    </row>
    <row r="90" customFormat="false" ht="15" hidden="false" customHeight="false" outlineLevel="0" collapsed="false">
      <c r="A90" s="48" t="str">
        <f aca="false">STACK!A90</f>
        <v>KVMC-0086</v>
      </c>
      <c r="B90" s="48" t="str">
        <f aca="false">STACK!B90</f>
        <v>KVMC</v>
      </c>
      <c r="C90" s="48" t="str">
        <f aca="false">STACK!E90</f>
        <v>Community Hypertension Control Study</v>
      </c>
      <c r="D90" s="1" t="str">
        <f aca="false">IFERROR(INDEX(MAP!$J$7:$J$101,MATCH(TRIM(C90),MAP!$I$7:$I$101,0)),"UNMAPPED")</f>
        <v>Community Hypertension Control Study</v>
      </c>
      <c r="E90" s="1" t="str">
        <f aca="false">IFERROR(INDEX(MAP!$K$7:$K$101,MATCH(TRIM(C90),MAP!$I$7:$I$101,0)),"")</f>
        <v>Chronic disease prevention</v>
      </c>
      <c r="F90" s="1" t="str">
        <f aca="false">IFERROR(INDEX(MAP!$L$7:$L$101,MATCH(TRIM(C90),MAP!$I$7:$I$101,0)),"")</f>
        <v>Monthly</v>
      </c>
      <c r="G90" s="1" t="n">
        <f aca="false">IFERROR(MATCH(A90,CONFIRM!$A$5:$A$53,0),0)</f>
        <v>0</v>
      </c>
      <c r="H90" s="48" t="str">
        <f aca="false">STACK!F90</f>
        <v>Research</v>
      </c>
      <c r="I90" s="1" t="str">
        <f aca="false">IF(G90&gt;0,IF(INDEX(CONFIRM!$I$5:$I$53,G90)&lt;&gt;"",INDEX(CONFIRM!$I$5:$I$53,G90),H90),H90)</f>
        <v>Research</v>
      </c>
      <c r="J90" s="1" t="str">
        <f aca="false">IFERROR(INDEX(MAP!$F$7:$F$74,MATCH(TRIM(I90),MAP!$E$7:$E$74,0)),"UNMAPPED")</f>
        <v>Research</v>
      </c>
      <c r="K90" s="1" t="str">
        <f aca="false">IFERROR(INDEX(MAP!$G$7:$G$74,MATCH(TRIM(I90),MAP!$E$7:$E$74,0)),"UNMAPPED")</f>
        <v>7h</v>
      </c>
      <c r="L90" s="49" t="n">
        <f aca="false">STACK!G90</f>
        <v>45900</v>
      </c>
      <c r="M90" s="59" t="n">
        <f aca="false">IF(G90&gt;0,IF(INDEX(CONFIRM!$G$5:$G$53,G90)&lt;&gt;"",INDEX(CONFIRM!$G$5:$G$53,G90),IF(ISNUMBER(L90),L90,IFERROR(DATEVALUE(L90),""))),IF(ISNUMBER(L90),L90,IFERROR(DATEVALUE(L90),"")))</f>
        <v>45900</v>
      </c>
      <c r="N90" s="1" t="str">
        <f aca="false">IF(M90="","Check",IF(AND(M90&gt;=INPUTS!$C$6,M90&lt;=INPUTS!$C$7),"Yes","No"))</f>
        <v>Yes</v>
      </c>
      <c r="O90" s="48" t="str">
        <f aca="false">STACK!H90</f>
        <v>Research Coordinator</v>
      </c>
      <c r="P90" s="1" t="str">
        <f aca="false">IF(G90&gt;0,IF(INDEX(CONFIRM!$H$5:$H$53,G90)&lt;&gt;"",INDEX(CONFIRM!$H$5:$H$53,G90),IFERROR(INDEX(MAP!$B$7:$B$156,MATCH(TRIM(O90),MAP!$A$7:$A$156,0)),"UNMAPPED")),IFERROR(INDEX(MAP!$B$7:$B$156,MATCH(TRIM(O90),MAP!$A$7:$A$156,0)),"UNMAPPED"))</f>
        <v>Research Coordinator</v>
      </c>
      <c r="Q90" s="48" t="n">
        <f aca="false">STACK!I90</f>
        <v>158</v>
      </c>
      <c r="R90" s="60" t="n">
        <f aca="false">IF(G90&gt;0,IF(INDEX(CONFIRM!$F$5:$F$53,G90)&lt;&gt;"",INDEX(CONFIRM!$F$5:$F$53,G90),IF(ISNUMBER(Q90),Q90,IF(Q90="","",IFERROR(VALUE(TRIM(SUBSTITUTE(SUBSTITUTE(LOWER(Q90),"hrs",""),"hr",""))),"")))),IF(ISNUMBER(Q90),Q90,IF(Q90="","",IFERROR(VALUE(TRIM(SUBSTITUTE(SUBSTITUTE(LOWER(Q90),"hrs",""),"hr",""))),""))))</f>
        <v>158</v>
      </c>
      <c r="S90" s="57" t="n">
        <f aca="false">IFERROR(INDEX(RATES!$E$6:$E$28,MATCH(P90,RATES!$A$6:$A$28,0)),0)</f>
        <v>42.405</v>
      </c>
      <c r="T90" s="61" t="n">
        <f aca="false">IF(ISNUMBER(R90),R90,0)*S90</f>
        <v>6699.99</v>
      </c>
      <c r="U90" s="61" t="n">
        <f aca="false">T90*INDEX(INPUTS!$H$10:$H$14,MATCH(B90,INPUTS!$A$10:$A$14,0))</f>
        <v>1239.49815</v>
      </c>
      <c r="V90" s="61" t="n">
        <f aca="false">N(STACK!K90)</f>
        <v>8485</v>
      </c>
      <c r="W90" s="61" t="n">
        <f aca="false">T90+U90+V90</f>
        <v>16424.48815</v>
      </c>
      <c r="X90" s="61" t="n">
        <f aca="false">N(STACK!L90)</f>
        <v>12185</v>
      </c>
      <c r="Y90" s="61" t="n">
        <f aca="false">W90-X90</f>
        <v>4239.48815</v>
      </c>
      <c r="Z90" s="1" t="n">
        <f aca="false">N(STACK!J90)</f>
        <v>71</v>
      </c>
      <c r="AA90" s="1" t="str">
        <f aca="false">TRIM(IF(D90="UNMAPPED","Program not mapped. ","")&amp;IF(OR(K90="UNMAPPED",K90="UNASSIGNED"),"Category needs review. ","")&amp;IF(P90="UNMAPPED","Title not mapped. ","")&amp;IF(AND(P90&lt;&gt;"No staff time",R90=""),"Missing hours. ","")&amp;IF(M90="","Date not readable. ","")&amp;IF(N90="No","Outside fiscal year. ","")&amp;IF(AND(F90="Event",ISNUMBER(R90)),IF(R90&gt;12,"Event hours look high. ",""),"")&amp;IF(G90&gt;0,"See CONFIRM sheet.",""))</f>
        <v/>
      </c>
      <c r="AB90" s="1" t="n">
        <f aca="false">IF(N90="No",0,IF(REVIEW!O90=0,0,IF(G90&gt;0,IF(INDEX(CONFIRM!$J$5:$J$53,G90)&lt;&gt;"",INDEX(CONFIRM!$J$5:$J$53,G90),1),1)))</f>
        <v>1</v>
      </c>
      <c r="AC90" s="1" t="n">
        <f aca="false">IF(AB90=1,IF(COUNTIFS($B$5:B90,B90,$D$5:D90,D90,$AB$5:AB90,1)=1,1,0),0)</f>
        <v>0</v>
      </c>
    </row>
    <row r="91" customFormat="false" ht="15" hidden="false" customHeight="false" outlineLevel="0" collapsed="false">
      <c r="A91" s="48" t="str">
        <f aca="false">STACK!A91</f>
        <v>KVMC-0087</v>
      </c>
      <c r="B91" s="48" t="str">
        <f aca="false">STACK!B91</f>
        <v>KVMC</v>
      </c>
      <c r="C91" s="48" t="str">
        <f aca="false">STACK!E91</f>
        <v>Community Blood Pressure Checks</v>
      </c>
      <c r="D91" s="1" t="str">
        <f aca="false">IFERROR(INDEX(MAP!$J$7:$J$101,MATCH(TRIM(C91),MAP!$I$7:$I$101,0)),"UNMAPPED")</f>
        <v>Community Blood Pressure Checks</v>
      </c>
      <c r="E91" s="1" t="str">
        <f aca="false">IFERROR(INDEX(MAP!$K$7:$K$101,MATCH(TRIM(C91),MAP!$I$7:$I$101,0)),"")</f>
        <v>Chronic disease prevention</v>
      </c>
      <c r="F91" s="1" t="str">
        <f aca="false">IFERROR(INDEX(MAP!$L$7:$L$101,MATCH(TRIM(C91),MAP!$I$7:$I$101,0)),"")</f>
        <v>Event</v>
      </c>
      <c r="G91" s="1" t="n">
        <f aca="false">IFERROR(MATCH(A91,CONFIRM!$A$5:$A$53,0),0)</f>
        <v>0</v>
      </c>
      <c r="H91" s="48" t="str">
        <f aca="false">STACK!F91</f>
        <v>Community-Based Clinical Services</v>
      </c>
      <c r="I91" s="1" t="str">
        <f aca="false">IF(G91&gt;0,IF(INDEX(CONFIRM!$I$5:$I$53,G91)&lt;&gt;"",INDEX(CONFIRM!$I$5:$I$53,G91),H91),H91)</f>
        <v>Community-Based Clinical Services</v>
      </c>
      <c r="J91" s="1" t="str">
        <f aca="false">IFERROR(INDEX(MAP!$F$7:$F$74,MATCH(TRIM(I91),MAP!$E$7:$E$74,0)),"UNMAPPED")</f>
        <v>Community-based clinical services</v>
      </c>
      <c r="K91" s="1" t="str">
        <f aca="false">IFERROR(INDEX(MAP!$G$7:$G$74,MATCH(TRIM(I91),MAP!$E$7:$E$74,0)),"UNMAPPED")</f>
        <v>7e</v>
      </c>
      <c r="L91" s="49" t="n">
        <f aca="false">STACK!G91</f>
        <v>45901</v>
      </c>
      <c r="M91" s="59" t="n">
        <f aca="false">IF(G91&gt;0,IF(INDEX(CONFIRM!$G$5:$G$53,G91)&lt;&gt;"",INDEX(CONFIRM!$G$5:$G$53,G91),IF(ISNUMBER(L91),L91,IFERROR(DATEVALUE(L91),""))),IF(ISNUMBER(L91),L91,IFERROR(DATEVALUE(L91),"")))</f>
        <v>45901</v>
      </c>
      <c r="N91" s="1" t="str">
        <f aca="false">IF(M91="","Check",IF(AND(M91&gt;=INPUTS!$C$6,M91&lt;=INPUTS!$C$7),"Yes","No"))</f>
        <v>Yes</v>
      </c>
      <c r="O91" s="48" t="str">
        <f aca="false">STACK!H91</f>
        <v>Charge RN</v>
      </c>
      <c r="P91" s="1" t="str">
        <f aca="false">IF(G91&gt;0,IF(INDEX(CONFIRM!$H$5:$H$53,G91)&lt;&gt;"",INDEX(CONFIRM!$H$5:$H$53,G91),IFERROR(INDEX(MAP!$B$7:$B$156,MATCH(TRIM(O91),MAP!$A$7:$A$156,0)),"UNMAPPED")),IFERROR(INDEX(MAP!$B$7:$B$156,MATCH(TRIM(O91),MAP!$A$7:$A$156,0)),"UNMAPPED"))</f>
        <v>Registered Nurse</v>
      </c>
      <c r="Q91" s="48" t="n">
        <f aca="false">STACK!I91</f>
        <v>4.25</v>
      </c>
      <c r="R91" s="60" t="n">
        <f aca="false">IF(G91&gt;0,IF(INDEX(CONFIRM!$F$5:$F$53,G91)&lt;&gt;"",INDEX(CONFIRM!$F$5:$F$53,G91),IF(ISNUMBER(Q91),Q91,IF(Q91="","",IFERROR(VALUE(TRIM(SUBSTITUTE(SUBSTITUTE(LOWER(Q91),"hrs",""),"hr",""))),"")))),IF(ISNUMBER(Q91),Q91,IF(Q91="","",IFERROR(VALUE(TRIM(SUBSTITUTE(SUBSTITUTE(LOWER(Q91),"hrs",""),"hr",""))),""))))</f>
        <v>4.25</v>
      </c>
      <c r="S91" s="57" t="n">
        <f aca="false">IFERROR(INDEX(RATES!$E$6:$E$28,MATCH(P91,RATES!$A$6:$A$28,0)),0)</f>
        <v>55.8975</v>
      </c>
      <c r="T91" s="61" t="n">
        <f aca="false">IF(ISNUMBER(R91),R91,0)*S91</f>
        <v>237.564375</v>
      </c>
      <c r="U91" s="61" t="n">
        <f aca="false">T91*INDEX(INPUTS!$H$10:$H$14,MATCH(B91,INPUTS!$A$10:$A$14,0))</f>
        <v>43.949409375</v>
      </c>
      <c r="V91" s="61" t="n">
        <f aca="false">N(STACK!K91)</f>
        <v>115</v>
      </c>
      <c r="W91" s="61" t="n">
        <f aca="false">T91+U91+V91</f>
        <v>396.513784375</v>
      </c>
      <c r="X91" s="61" t="n">
        <f aca="false">N(STACK!L91)</f>
        <v>0</v>
      </c>
      <c r="Y91" s="61" t="n">
        <f aca="false">W91-X91</f>
        <v>396.513784375</v>
      </c>
      <c r="Z91" s="1" t="n">
        <f aca="false">N(STACK!J91)</f>
        <v>80</v>
      </c>
      <c r="AA91" s="1" t="str">
        <f aca="false">TRIM(IF(D91="UNMAPPED","Program not mapped. ","")&amp;IF(OR(K91="UNMAPPED",K91="UNASSIGNED"),"Category needs review. ","")&amp;IF(P91="UNMAPPED","Title not mapped. ","")&amp;IF(AND(P91&lt;&gt;"No staff time",R91=""),"Missing hours. ","")&amp;IF(M91="","Date not readable. ","")&amp;IF(N91="No","Outside fiscal year. ","")&amp;IF(AND(F91="Event",ISNUMBER(R91)),IF(R91&gt;12,"Event hours look high. ",""),"")&amp;IF(G91&gt;0,"See CONFIRM sheet.",""))</f>
        <v/>
      </c>
      <c r="AB91" s="1" t="n">
        <f aca="false">IF(N91="No",0,IF(REVIEW!O91=0,0,IF(G91&gt;0,IF(INDEX(CONFIRM!$J$5:$J$53,G91)&lt;&gt;"",INDEX(CONFIRM!$J$5:$J$53,G91),1),1)))</f>
        <v>1</v>
      </c>
      <c r="AC91" s="1" t="n">
        <f aca="false">IF(AB91=1,IF(COUNTIFS($B$5:B91,B91,$D$5:D91,D91,$AB$5:AB91,1)=1,1,0),0)</f>
        <v>0</v>
      </c>
    </row>
    <row r="92" customFormat="false" ht="15" hidden="false" customHeight="false" outlineLevel="0" collapsed="false">
      <c r="A92" s="48" t="str">
        <f aca="false">STACK!A92</f>
        <v>KVMC-0088</v>
      </c>
      <c r="B92" s="48" t="str">
        <f aca="false">STACK!B92</f>
        <v>KVMC</v>
      </c>
      <c r="C92" s="48" t="str">
        <f aca="false">STACK!E92</f>
        <v>Community Blood Pressure Checks</v>
      </c>
      <c r="D92" s="1" t="str">
        <f aca="false">IFERROR(INDEX(MAP!$J$7:$J$101,MATCH(TRIM(C92),MAP!$I$7:$I$101,0)),"UNMAPPED")</f>
        <v>Community Blood Pressure Checks</v>
      </c>
      <c r="E92" s="1" t="str">
        <f aca="false">IFERROR(INDEX(MAP!$K$7:$K$101,MATCH(TRIM(C92),MAP!$I$7:$I$101,0)),"")</f>
        <v>Chronic disease prevention</v>
      </c>
      <c r="F92" s="1" t="str">
        <f aca="false">IFERROR(INDEX(MAP!$L$7:$L$101,MATCH(TRIM(C92),MAP!$I$7:$I$101,0)),"")</f>
        <v>Event</v>
      </c>
      <c r="G92" s="1" t="n">
        <f aca="false">IFERROR(MATCH(A92,CONFIRM!$A$5:$A$53,0),0)</f>
        <v>0</v>
      </c>
      <c r="H92" s="48" t="str">
        <f aca="false">STACK!F92</f>
        <v>Community-Based Clinical Services</v>
      </c>
      <c r="I92" s="1" t="str">
        <f aca="false">IF(G92&gt;0,IF(INDEX(CONFIRM!$I$5:$I$53,G92)&lt;&gt;"",INDEX(CONFIRM!$I$5:$I$53,G92),H92),H92)</f>
        <v>Community-Based Clinical Services</v>
      </c>
      <c r="J92" s="1" t="str">
        <f aca="false">IFERROR(INDEX(MAP!$F$7:$F$74,MATCH(TRIM(I92),MAP!$E$7:$E$74,0)),"UNMAPPED")</f>
        <v>Community-based clinical services</v>
      </c>
      <c r="K92" s="1" t="str">
        <f aca="false">IFERROR(INDEX(MAP!$G$7:$G$74,MATCH(TRIM(I92),MAP!$E$7:$E$74,0)),"UNMAPPED")</f>
        <v>7e</v>
      </c>
      <c r="L92" s="49" t="n">
        <f aca="false">STACK!G92</f>
        <v>45903</v>
      </c>
      <c r="M92" s="59" t="n">
        <f aca="false">IF(G92&gt;0,IF(INDEX(CONFIRM!$G$5:$G$53,G92)&lt;&gt;"",INDEX(CONFIRM!$G$5:$G$53,G92),IF(ISNUMBER(L92),L92,IFERROR(DATEVALUE(L92),""))),IF(ISNUMBER(L92),L92,IFERROR(DATEVALUE(L92),"")))</f>
        <v>45903</v>
      </c>
      <c r="N92" s="1" t="str">
        <f aca="false">IF(M92="","Check",IF(AND(M92&gt;=INPUTS!$C$6,M92&lt;=INPUTS!$C$7),"Yes","No"))</f>
        <v>Yes</v>
      </c>
      <c r="O92" s="48" t="str">
        <f aca="false">STACK!H92</f>
        <v>R.N.</v>
      </c>
      <c r="P92" s="1" t="str">
        <f aca="false">IF(G92&gt;0,IF(INDEX(CONFIRM!$H$5:$H$53,G92)&lt;&gt;"",INDEX(CONFIRM!$H$5:$H$53,G92),IFERROR(INDEX(MAP!$B$7:$B$156,MATCH(TRIM(O92),MAP!$A$7:$A$156,0)),"UNMAPPED")),IFERROR(INDEX(MAP!$B$7:$B$156,MATCH(TRIM(O92),MAP!$A$7:$A$156,0)),"UNMAPPED"))</f>
        <v>Registered Nurse</v>
      </c>
      <c r="Q92" s="48" t="n">
        <f aca="false">STACK!I92</f>
        <v>3.5</v>
      </c>
      <c r="R92" s="60" t="n">
        <f aca="false">IF(G92&gt;0,IF(INDEX(CONFIRM!$F$5:$F$53,G92)&lt;&gt;"",INDEX(CONFIRM!$F$5:$F$53,G92),IF(ISNUMBER(Q92),Q92,IF(Q92="","",IFERROR(VALUE(TRIM(SUBSTITUTE(SUBSTITUTE(LOWER(Q92),"hrs",""),"hr",""))),"")))),IF(ISNUMBER(Q92),Q92,IF(Q92="","",IFERROR(VALUE(TRIM(SUBSTITUTE(SUBSTITUTE(LOWER(Q92),"hrs",""),"hr",""))),""))))</f>
        <v>3.5</v>
      </c>
      <c r="S92" s="57" t="n">
        <f aca="false">IFERROR(INDEX(RATES!$E$6:$E$28,MATCH(P92,RATES!$A$6:$A$28,0)),0)</f>
        <v>55.8975</v>
      </c>
      <c r="T92" s="61" t="n">
        <f aca="false">IF(ISNUMBER(R92),R92,0)*S92</f>
        <v>195.64125</v>
      </c>
      <c r="U92" s="61" t="n">
        <f aca="false">T92*INDEX(INPUTS!$H$10:$H$14,MATCH(B92,INPUTS!$A$10:$A$14,0))</f>
        <v>36.19363125</v>
      </c>
      <c r="V92" s="61" t="n">
        <f aca="false">N(STACK!K92)</f>
        <v>60</v>
      </c>
      <c r="W92" s="61" t="n">
        <f aca="false">T92+U92+V92</f>
        <v>291.83488125</v>
      </c>
      <c r="X92" s="61" t="n">
        <f aca="false">N(STACK!L92)</f>
        <v>0</v>
      </c>
      <c r="Y92" s="61" t="n">
        <f aca="false">W92-X92</f>
        <v>291.83488125</v>
      </c>
      <c r="Z92" s="1" t="n">
        <f aca="false">N(STACK!J92)</f>
        <v>69</v>
      </c>
      <c r="AA92" s="1" t="str">
        <f aca="false">TRIM(IF(D92="UNMAPPED","Program not mapped. ","")&amp;IF(OR(K92="UNMAPPED",K92="UNASSIGNED"),"Category needs review. ","")&amp;IF(P92="UNMAPPED","Title not mapped. ","")&amp;IF(AND(P92&lt;&gt;"No staff time",R92=""),"Missing hours. ","")&amp;IF(M92="","Date not readable. ","")&amp;IF(N92="No","Outside fiscal year. ","")&amp;IF(AND(F92="Event",ISNUMBER(R92)),IF(R92&gt;12,"Event hours look high. ",""),"")&amp;IF(G92&gt;0,"See CONFIRM sheet.",""))</f>
        <v/>
      </c>
      <c r="AB92" s="1" t="n">
        <f aca="false">IF(N92="No",0,IF(REVIEW!O92=0,0,IF(G92&gt;0,IF(INDEX(CONFIRM!$J$5:$J$53,G92)&lt;&gt;"",INDEX(CONFIRM!$J$5:$J$53,G92),1),1)))</f>
        <v>1</v>
      </c>
      <c r="AC92" s="1" t="n">
        <f aca="false">IF(AB92=1,IF(COUNTIFS($B$5:B92,B92,$D$5:D92,D92,$AB$5:AB92,1)=1,1,0),0)</f>
        <v>0</v>
      </c>
    </row>
    <row r="93" customFormat="false" ht="15" hidden="false" customHeight="false" outlineLevel="0" collapsed="false">
      <c r="A93" s="48" t="str">
        <f aca="false">STACK!A93</f>
        <v>KVMC-0089</v>
      </c>
      <c r="B93" s="48" t="str">
        <f aca="false">STACK!B93</f>
        <v>KVMC</v>
      </c>
      <c r="C93" s="48" t="str">
        <f aca="false">STACK!E93</f>
        <v>Mental Health First Aid Training</v>
      </c>
      <c r="D93" s="1" t="str">
        <f aca="false">IFERROR(INDEX(MAP!$J$7:$J$101,MATCH(TRIM(C93),MAP!$I$7:$I$101,0)),"UNMAPPED")</f>
        <v>Mental Health First Aid Training</v>
      </c>
      <c r="E93" s="1" t="str">
        <f aca="false">IFERROR(INDEX(MAP!$K$7:$K$101,MATCH(TRIM(C93),MAP!$I$7:$I$101,0)),"")</f>
        <v>Behavioral health</v>
      </c>
      <c r="F93" s="1" t="str">
        <f aca="false">IFERROR(INDEX(MAP!$L$7:$L$101,MATCH(TRIM(C93),MAP!$I$7:$I$101,0)),"")</f>
        <v>Event</v>
      </c>
      <c r="G93" s="1" t="n">
        <f aca="false">IFERROR(MATCH(A93,CONFIRM!$A$5:$A$53,0),0)</f>
        <v>0</v>
      </c>
      <c r="H93" s="48" t="str">
        <f aca="false">STACK!F93</f>
        <v>Community Health Education</v>
      </c>
      <c r="I93" s="1" t="str">
        <f aca="false">IF(G93&gt;0,IF(INDEX(CONFIRM!$I$5:$I$53,G93)&lt;&gt;"",INDEX(CONFIRM!$I$5:$I$53,G93),H93),H93)</f>
        <v>Community Health Education</v>
      </c>
      <c r="J93" s="1" t="str">
        <f aca="false">IFERROR(INDEX(MAP!$F$7:$F$74,MATCH(TRIM(I93),MAP!$E$7:$E$74,0)),"UNMAPPED")</f>
        <v>Community health education</v>
      </c>
      <c r="K93" s="1" t="str">
        <f aca="false">IFERROR(INDEX(MAP!$G$7:$G$74,MATCH(TRIM(I93),MAP!$E$7:$E$74,0)),"UNMAPPED")</f>
        <v>7e</v>
      </c>
      <c r="L93" s="49" t="n">
        <f aca="false">STACK!G93</f>
        <v>45906</v>
      </c>
      <c r="M93" s="59" t="n">
        <f aca="false">IF(G93&gt;0,IF(INDEX(CONFIRM!$G$5:$G$53,G93)&lt;&gt;"",INDEX(CONFIRM!$G$5:$G$53,G93),IF(ISNUMBER(L93),L93,IFERROR(DATEVALUE(L93),""))),IF(ISNUMBER(L93),L93,IFERROR(DATEVALUE(L93),"")))</f>
        <v>45906</v>
      </c>
      <c r="N93" s="1" t="str">
        <f aca="false">IF(M93="","Check",IF(AND(M93&gt;=INPUTS!$C$6,M93&lt;=INPUTS!$C$7),"Yes","No"))</f>
        <v>Yes</v>
      </c>
      <c r="O93" s="48" t="str">
        <f aca="false">STACK!H93</f>
        <v>Hlth Educator </v>
      </c>
      <c r="P93" s="1" t="str">
        <f aca="false">IF(G93&gt;0,IF(INDEX(CONFIRM!$H$5:$H$53,G93)&lt;&gt;"",INDEX(CONFIRM!$H$5:$H$53,G93),IFERROR(INDEX(MAP!$B$7:$B$156,MATCH(TRIM(O93),MAP!$A$7:$A$156,0)),"UNMAPPED")),IFERROR(INDEX(MAP!$B$7:$B$156,MATCH(TRIM(O93),MAP!$A$7:$A$156,0)),"UNMAPPED"))</f>
        <v>Health Educator</v>
      </c>
      <c r="Q93" s="48" t="n">
        <f aca="false">STACK!I93</f>
        <v>8</v>
      </c>
      <c r="R93" s="60" t="n">
        <f aca="false">IF(G93&gt;0,IF(INDEX(CONFIRM!$F$5:$F$53,G93)&lt;&gt;"",INDEX(CONFIRM!$F$5:$F$53,G93),IF(ISNUMBER(Q93),Q93,IF(Q93="","",IFERROR(VALUE(TRIM(SUBSTITUTE(SUBSTITUTE(LOWER(Q93),"hrs",""),"hr",""))),"")))),IF(ISNUMBER(Q93),Q93,IF(Q93="","",IFERROR(VALUE(TRIM(SUBSTITUTE(SUBSTITUTE(LOWER(Q93),"hrs",""),"hr",""))),""))))</f>
        <v>8</v>
      </c>
      <c r="S93" s="57" t="n">
        <f aca="false">IFERROR(INDEX(RATES!$E$6:$E$28,MATCH(P93,RATES!$A$6:$A$28,0)),0)</f>
        <v>37.265</v>
      </c>
      <c r="T93" s="61" t="n">
        <f aca="false">IF(ISNUMBER(R93),R93,0)*S93</f>
        <v>298.12</v>
      </c>
      <c r="U93" s="61" t="n">
        <f aca="false">T93*INDEX(INPUTS!$H$10:$H$14,MATCH(B93,INPUTS!$A$10:$A$14,0))</f>
        <v>55.1522</v>
      </c>
      <c r="V93" s="61" t="n">
        <f aca="false">N(STACK!K93)</f>
        <v>0</v>
      </c>
      <c r="W93" s="61" t="n">
        <f aca="false">T93+U93+V93</f>
        <v>353.2722</v>
      </c>
      <c r="X93" s="61" t="n">
        <f aca="false">N(STACK!L93)</f>
        <v>0</v>
      </c>
      <c r="Y93" s="61" t="n">
        <f aca="false">W93-X93</f>
        <v>353.2722</v>
      </c>
      <c r="Z93" s="1" t="n">
        <f aca="false">N(STACK!J93)</f>
        <v>0</v>
      </c>
      <c r="AA93" s="1" t="str">
        <f aca="false">TRIM(IF(D93="UNMAPPED","Program not mapped. ","")&amp;IF(OR(K93="UNMAPPED",K93="UNASSIGNED"),"Category needs review. ","")&amp;IF(P93="UNMAPPED","Title not mapped. ","")&amp;IF(AND(P93&lt;&gt;"No staff time",R93=""),"Missing hours. ","")&amp;IF(M93="","Date not readable. ","")&amp;IF(N93="No","Outside fiscal year. ","")&amp;IF(AND(F93="Event",ISNUMBER(R93)),IF(R93&gt;12,"Event hours look high. ",""),"")&amp;IF(G93&gt;0,"See CONFIRM sheet.",""))</f>
        <v/>
      </c>
      <c r="AB93" s="1" t="n">
        <f aca="false">IF(N93="No",0,IF(REVIEW!O93=0,0,IF(G93&gt;0,IF(INDEX(CONFIRM!$J$5:$J$53,G93)&lt;&gt;"",INDEX(CONFIRM!$J$5:$J$53,G93),1),1)))</f>
        <v>1</v>
      </c>
      <c r="AC93" s="1" t="n">
        <f aca="false">IF(AB93=1,IF(COUNTIFS($B$5:B93,B93,$D$5:D93,D93,$AB$5:AB93,1)=1,1,0),0)</f>
        <v>0</v>
      </c>
    </row>
    <row r="94" customFormat="false" ht="15" hidden="false" customHeight="false" outlineLevel="0" collapsed="false">
      <c r="A94" s="48" t="str">
        <f aca="false">STACK!A94</f>
        <v>KVMC-0090</v>
      </c>
      <c r="B94" s="48" t="str">
        <f aca="false">STACK!B94</f>
        <v>KVMC</v>
      </c>
      <c r="C94" s="48" t="str">
        <f aca="false">STACK!E94</f>
        <v>Mental Health First Aid Training</v>
      </c>
      <c r="D94" s="1" t="str">
        <f aca="false">IFERROR(INDEX(MAP!$J$7:$J$101,MATCH(TRIM(C94),MAP!$I$7:$I$101,0)),"UNMAPPED")</f>
        <v>Mental Health First Aid Training</v>
      </c>
      <c r="E94" s="1" t="str">
        <f aca="false">IFERROR(INDEX(MAP!$K$7:$K$101,MATCH(TRIM(C94),MAP!$I$7:$I$101,0)),"")</f>
        <v>Behavioral health</v>
      </c>
      <c r="F94" s="1" t="str">
        <f aca="false">IFERROR(INDEX(MAP!$L$7:$L$101,MATCH(TRIM(C94),MAP!$I$7:$I$101,0)),"")</f>
        <v>Event</v>
      </c>
      <c r="G94" s="1" t="n">
        <f aca="false">IFERROR(MATCH(A94,CONFIRM!$A$5:$A$53,0),0)</f>
        <v>0</v>
      </c>
      <c r="H94" s="48" t="str">
        <f aca="false">STACK!F94</f>
        <v>Community Health Education</v>
      </c>
      <c r="I94" s="1" t="str">
        <f aca="false">IF(G94&gt;0,IF(INDEX(CONFIRM!$I$5:$I$53,G94)&lt;&gt;"",INDEX(CONFIRM!$I$5:$I$53,G94),H94),H94)</f>
        <v>Community Health Education</v>
      </c>
      <c r="J94" s="1" t="str">
        <f aca="false">IFERROR(INDEX(MAP!$F$7:$F$74,MATCH(TRIM(I94),MAP!$E$7:$E$74,0)),"UNMAPPED")</f>
        <v>Community health education</v>
      </c>
      <c r="K94" s="1" t="str">
        <f aca="false">IFERROR(INDEX(MAP!$G$7:$G$74,MATCH(TRIM(I94),MAP!$E$7:$E$74,0)),"UNMAPPED")</f>
        <v>7e</v>
      </c>
      <c r="L94" s="49" t="n">
        <f aca="false">STACK!G94</f>
        <v>45906</v>
      </c>
      <c r="M94" s="59" t="n">
        <f aca="false">IF(G94&gt;0,IF(INDEX(CONFIRM!$G$5:$G$53,G94)&lt;&gt;"",INDEX(CONFIRM!$G$5:$G$53,G94),IF(ISNUMBER(L94),L94,IFERROR(DATEVALUE(L94),""))),IF(ISNUMBER(L94),L94,IFERROR(DATEVALUE(L94),"")))</f>
        <v>45906</v>
      </c>
      <c r="N94" s="1" t="str">
        <f aca="false">IF(M94="","Check",IF(AND(M94&gt;=INPUTS!$C$6,M94&lt;=INPUTS!$C$7),"Yes","No"))</f>
        <v>Yes</v>
      </c>
      <c r="O94" s="48" t="str">
        <f aca="false">STACK!H94</f>
        <v>LMSW</v>
      </c>
      <c r="P94" s="1" t="str">
        <f aca="false">IF(G94&gt;0,IF(INDEX(CONFIRM!$H$5:$H$53,G94)&lt;&gt;"",INDEX(CONFIRM!$H$5:$H$53,G94),IFERROR(INDEX(MAP!$B$7:$B$156,MATCH(TRIM(O94),MAP!$A$7:$A$156,0)),"UNMAPPED")),IFERROR(INDEX(MAP!$B$7:$B$156,MATCH(TRIM(O94),MAP!$A$7:$A$156,0)),"UNMAPPED"))</f>
        <v>Social Worker</v>
      </c>
      <c r="Q94" s="48" t="n">
        <f aca="false">STACK!I94</f>
        <v>8</v>
      </c>
      <c r="R94" s="60" t="n">
        <f aca="false">IF(G94&gt;0,IF(INDEX(CONFIRM!$F$5:$F$53,G94)&lt;&gt;"",INDEX(CONFIRM!$F$5:$F$53,G94),IF(ISNUMBER(Q94),Q94,IF(Q94="","",IFERROR(VALUE(TRIM(SUBSTITUTE(SUBSTITUTE(LOWER(Q94),"hrs",""),"hr",""))),"")))),IF(ISNUMBER(Q94),Q94,IF(Q94="","",IFERROR(VALUE(TRIM(SUBSTITUTE(SUBSTITUTE(LOWER(Q94),"hrs",""),"hr",""))),""))))</f>
        <v>8</v>
      </c>
      <c r="S94" s="57" t="n">
        <f aca="false">IFERROR(INDEX(RATES!$E$6:$E$28,MATCH(P94,RATES!$A$6:$A$28,0)),0)</f>
        <v>45.6175</v>
      </c>
      <c r="T94" s="61" t="n">
        <f aca="false">IF(ISNUMBER(R94),R94,0)*S94</f>
        <v>364.94</v>
      </c>
      <c r="U94" s="61" t="n">
        <f aca="false">T94*INDEX(INPUTS!$H$10:$H$14,MATCH(B94,INPUTS!$A$10:$A$14,0))</f>
        <v>67.5139</v>
      </c>
      <c r="V94" s="61" t="n">
        <f aca="false">N(STACK!K94)</f>
        <v>450</v>
      </c>
      <c r="W94" s="61" t="n">
        <f aca="false">T94+U94+V94</f>
        <v>882.4539</v>
      </c>
      <c r="X94" s="61" t="n">
        <f aca="false">N(STACK!L94)</f>
        <v>0</v>
      </c>
      <c r="Y94" s="61" t="n">
        <f aca="false">W94-X94</f>
        <v>882.4539</v>
      </c>
      <c r="Z94" s="1" t="n">
        <f aca="false">N(STACK!J94)</f>
        <v>28</v>
      </c>
      <c r="AA94" s="1" t="str">
        <f aca="false">TRIM(IF(D94="UNMAPPED","Program not mapped. ","")&amp;IF(OR(K94="UNMAPPED",K94="UNASSIGNED"),"Category needs review. ","")&amp;IF(P94="UNMAPPED","Title not mapped. ","")&amp;IF(AND(P94&lt;&gt;"No staff time",R94=""),"Missing hours. ","")&amp;IF(M94="","Date not readable. ","")&amp;IF(N94="No","Outside fiscal year. ","")&amp;IF(AND(F94="Event",ISNUMBER(R94)),IF(R94&gt;12,"Event hours look high. ",""),"")&amp;IF(G94&gt;0,"See CONFIRM sheet.",""))</f>
        <v/>
      </c>
      <c r="AB94" s="1" t="n">
        <f aca="false">IF(N94="No",0,IF(REVIEW!O94=0,0,IF(G94&gt;0,IF(INDEX(CONFIRM!$J$5:$J$53,G94)&lt;&gt;"",INDEX(CONFIRM!$J$5:$J$53,G94),1),1)))</f>
        <v>1</v>
      </c>
      <c r="AC94" s="1" t="n">
        <f aca="false">IF(AB94=1,IF(COUNTIFS($B$5:B94,B94,$D$5:D94,D94,$AB$5:AB94,1)=1,1,0),0)</f>
        <v>0</v>
      </c>
    </row>
    <row r="95" customFormat="false" ht="15" hidden="false" customHeight="false" outlineLevel="0" collapsed="false">
      <c r="A95" s="48" t="str">
        <f aca="false">STACK!A95</f>
        <v>KVMC-0091</v>
      </c>
      <c r="B95" s="48" t="str">
        <f aca="false">STACK!B95</f>
        <v>KVMC</v>
      </c>
      <c r="C95" s="48" t="str">
        <f aca="false">STACK!E95</f>
        <v>Tobacco Cessation Classes</v>
      </c>
      <c r="D95" s="1" t="str">
        <f aca="false">IFERROR(INDEX(MAP!$J$7:$J$101,MATCH(TRIM(C95),MAP!$I$7:$I$101,0)),"UNMAPPED")</f>
        <v>Tobacco Cessation Classes</v>
      </c>
      <c r="E95" s="1" t="str">
        <f aca="false">IFERROR(INDEX(MAP!$K$7:$K$101,MATCH(TRIM(C95),MAP!$I$7:$I$101,0)),"")</f>
        <v>Chronic disease prevention</v>
      </c>
      <c r="F95" s="1" t="str">
        <f aca="false">IFERROR(INDEX(MAP!$L$7:$L$101,MATCH(TRIM(C95),MAP!$I$7:$I$101,0)),"")</f>
        <v>Event</v>
      </c>
      <c r="G95" s="1" t="n">
        <f aca="false">IFERROR(MATCH(A95,CONFIRM!$A$5:$A$53,0),0)</f>
        <v>0</v>
      </c>
      <c r="H95" s="48" t="str">
        <f aca="false">STACK!F95</f>
        <v>Community Health Education</v>
      </c>
      <c r="I95" s="1" t="str">
        <f aca="false">IF(G95&gt;0,IF(INDEX(CONFIRM!$I$5:$I$53,G95)&lt;&gt;"",INDEX(CONFIRM!$I$5:$I$53,G95),H95),H95)</f>
        <v>Community Health Education</v>
      </c>
      <c r="J95" s="1" t="str">
        <f aca="false">IFERROR(INDEX(MAP!$F$7:$F$74,MATCH(TRIM(I95),MAP!$E$7:$E$74,0)),"UNMAPPED")</f>
        <v>Community health education</v>
      </c>
      <c r="K95" s="1" t="str">
        <f aca="false">IFERROR(INDEX(MAP!$G$7:$G$74,MATCH(TRIM(I95),MAP!$E$7:$E$74,0)),"UNMAPPED")</f>
        <v>7e</v>
      </c>
      <c r="L95" s="49" t="n">
        <f aca="false">STACK!G95</f>
        <v>45908</v>
      </c>
      <c r="M95" s="59" t="n">
        <f aca="false">IF(G95&gt;0,IF(INDEX(CONFIRM!$G$5:$G$53,G95)&lt;&gt;"",INDEX(CONFIRM!$G$5:$G$53,G95),IF(ISNUMBER(L95),L95,IFERROR(DATEVALUE(L95),""))),IF(ISNUMBER(L95),L95,IFERROR(DATEVALUE(L95),"")))</f>
        <v>45908</v>
      </c>
      <c r="N95" s="1" t="str">
        <f aca="false">IF(M95="","Check",IF(AND(M95&gt;=INPUTS!$C$6,M95&lt;=INPUTS!$C$7),"Yes","No"))</f>
        <v>Yes</v>
      </c>
      <c r="O95" s="48" t="str">
        <f aca="false">STACK!H95</f>
        <v>Phys Therapist</v>
      </c>
      <c r="P95" s="1" t="str">
        <f aca="false">IF(G95&gt;0,IF(INDEX(CONFIRM!$H$5:$H$53,G95)&lt;&gt;"",INDEX(CONFIRM!$H$5:$H$53,G95),IFERROR(INDEX(MAP!$B$7:$B$156,MATCH(TRIM(O95),MAP!$A$7:$A$156,0)),"UNMAPPED")),IFERROR(INDEX(MAP!$B$7:$B$156,MATCH(TRIM(O95),MAP!$A$7:$A$156,0)),"UNMAPPED"))</f>
        <v>Licensed Therapist</v>
      </c>
      <c r="Q95" s="48" t="n">
        <f aca="false">STACK!I95</f>
        <v>2</v>
      </c>
      <c r="R95" s="60" t="n">
        <f aca="false">IF(G95&gt;0,IF(INDEX(CONFIRM!$F$5:$F$53,G95)&lt;&gt;"",INDEX(CONFIRM!$F$5:$F$53,G95),IF(ISNUMBER(Q95),Q95,IF(Q95="","",IFERROR(VALUE(TRIM(SUBSTITUTE(SUBSTITUTE(LOWER(Q95),"hrs",""),"hr",""))),"")))),IF(ISNUMBER(Q95),Q95,IF(Q95="","",IFERROR(VALUE(TRIM(SUBSTITUTE(SUBSTITUTE(LOWER(Q95),"hrs",""),"hr",""))),""))))</f>
        <v>2</v>
      </c>
      <c r="S95" s="57" t="n">
        <f aca="false">IFERROR(INDEX(RATES!$E$6:$E$28,MATCH(P95,RATES!$A$6:$A$28,0)),0)</f>
        <v>53.97</v>
      </c>
      <c r="T95" s="61" t="n">
        <f aca="false">IF(ISNUMBER(R95),R95,0)*S95</f>
        <v>107.94</v>
      </c>
      <c r="U95" s="61" t="n">
        <f aca="false">T95*INDEX(INPUTS!$H$10:$H$14,MATCH(B95,INPUTS!$A$10:$A$14,0))</f>
        <v>19.9689</v>
      </c>
      <c r="V95" s="61" t="n">
        <f aca="false">N(STACK!K95)</f>
        <v>140</v>
      </c>
      <c r="W95" s="61" t="n">
        <f aca="false">T95+U95+V95</f>
        <v>267.9089</v>
      </c>
      <c r="X95" s="61" t="n">
        <f aca="false">N(STACK!L95)</f>
        <v>0</v>
      </c>
      <c r="Y95" s="61" t="n">
        <f aca="false">W95-X95</f>
        <v>267.9089</v>
      </c>
      <c r="Z95" s="1" t="n">
        <f aca="false">N(STACK!J95)</f>
        <v>15</v>
      </c>
      <c r="AA95" s="1" t="str">
        <f aca="false">TRIM(IF(D95="UNMAPPED","Program not mapped. ","")&amp;IF(OR(K95="UNMAPPED",K95="UNASSIGNED"),"Category needs review. ","")&amp;IF(P95="UNMAPPED","Title not mapped. ","")&amp;IF(AND(P95&lt;&gt;"No staff time",R95=""),"Missing hours. ","")&amp;IF(M95="","Date not readable. ","")&amp;IF(N95="No","Outside fiscal year. ","")&amp;IF(AND(F95="Event",ISNUMBER(R95)),IF(R95&gt;12,"Event hours look high. ",""),"")&amp;IF(G95&gt;0,"See CONFIRM sheet.",""))</f>
        <v/>
      </c>
      <c r="AB95" s="1" t="n">
        <f aca="false">IF(N95="No",0,IF(REVIEW!O95=0,0,IF(G95&gt;0,IF(INDEX(CONFIRM!$J$5:$J$53,G95)&lt;&gt;"",INDEX(CONFIRM!$J$5:$J$53,G95),1),1)))</f>
        <v>1</v>
      </c>
      <c r="AC95" s="1" t="n">
        <f aca="false">IF(AB95=1,IF(COUNTIFS($B$5:B95,B95,$D$5:D95,D95,$AB$5:AB95,1)=1,1,0),0)</f>
        <v>0</v>
      </c>
    </row>
    <row r="96" customFormat="false" ht="15" hidden="false" customHeight="false" outlineLevel="0" collapsed="false">
      <c r="A96" s="48" t="str">
        <f aca="false">STACK!A96</f>
        <v>KVMC-0092</v>
      </c>
      <c r="B96" s="48" t="str">
        <f aca="false">STACK!B96</f>
        <v>KVMC</v>
      </c>
      <c r="C96" s="48" t="str">
        <f aca="false">STACK!E96</f>
        <v>Grief Support Group</v>
      </c>
      <c r="D96" s="1" t="str">
        <f aca="false">IFERROR(INDEX(MAP!$J$7:$J$101,MATCH(TRIM(C96),MAP!$I$7:$I$101,0)),"UNMAPPED")</f>
        <v>Grief Support Group</v>
      </c>
      <c r="E96" s="1" t="str">
        <f aca="false">IFERROR(INDEX(MAP!$K$7:$K$101,MATCH(TRIM(C96),MAP!$I$7:$I$101,0)),"")</f>
        <v>Behavioral health</v>
      </c>
      <c r="F96" s="1" t="str">
        <f aca="false">IFERROR(INDEX(MAP!$L$7:$L$101,MATCH(TRIM(C96),MAP!$I$7:$I$101,0)),"")</f>
        <v>Event</v>
      </c>
      <c r="G96" s="1" t="n">
        <f aca="false">IFERROR(MATCH(A96,CONFIRM!$A$5:$A$53,0),0)</f>
        <v>0</v>
      </c>
      <c r="H96" s="48" t="str">
        <f aca="false">STACK!F96</f>
        <v>Health Care Support Services</v>
      </c>
      <c r="I96" s="1" t="str">
        <f aca="false">IF(G96&gt;0,IF(INDEX(CONFIRM!$I$5:$I$53,G96)&lt;&gt;"",INDEX(CONFIRM!$I$5:$I$53,G96),H96),H96)</f>
        <v>Health Care Support Services</v>
      </c>
      <c r="J96" s="1" t="str">
        <f aca="false">IFERROR(INDEX(MAP!$F$7:$F$74,MATCH(TRIM(I96),MAP!$E$7:$E$74,0)),"UNMAPPED")</f>
        <v>Health care support services</v>
      </c>
      <c r="K96" s="1" t="str">
        <f aca="false">IFERROR(INDEX(MAP!$G$7:$G$74,MATCH(TRIM(I96),MAP!$E$7:$E$74,0)),"UNMAPPED")</f>
        <v>7e</v>
      </c>
      <c r="L96" s="49" t="n">
        <f aca="false">STACK!G96</f>
        <v>45913</v>
      </c>
      <c r="M96" s="59" t="n">
        <f aca="false">IF(G96&gt;0,IF(INDEX(CONFIRM!$G$5:$G$53,G96)&lt;&gt;"",INDEX(CONFIRM!$G$5:$G$53,G96),IF(ISNUMBER(L96),L96,IFERROR(DATEVALUE(L96),""))),IF(ISNUMBER(L96),L96,IFERROR(DATEVALUE(L96),"")))</f>
        <v>45913</v>
      </c>
      <c r="N96" s="1" t="str">
        <f aca="false">IF(M96="","Check",IF(AND(M96&gt;=INPUTS!$C$6,M96&lt;=INPUTS!$C$7),"Yes","No"))</f>
        <v>Yes</v>
      </c>
      <c r="O96" s="48" t="str">
        <f aca="false">STACK!H96</f>
        <v>Chaplain</v>
      </c>
      <c r="P96" s="1" t="str">
        <f aca="false">IF(G96&gt;0,IF(INDEX(CONFIRM!$H$5:$H$53,G96)&lt;&gt;"",INDEX(CONFIRM!$H$5:$H$53,G96),IFERROR(INDEX(MAP!$B$7:$B$156,MATCH(TRIM(O96),MAP!$A$7:$A$156,0)),"UNMAPPED")),IFERROR(INDEX(MAP!$B$7:$B$156,MATCH(TRIM(O96),MAP!$A$7:$A$156,0)),"UNMAPPED"))</f>
        <v>Chaplain</v>
      </c>
      <c r="Q96" s="48" t="n">
        <f aca="false">STACK!I96</f>
        <v>2</v>
      </c>
      <c r="R96" s="60" t="n">
        <f aca="false">IF(G96&gt;0,IF(INDEX(CONFIRM!$F$5:$F$53,G96)&lt;&gt;"",INDEX(CONFIRM!$F$5:$F$53,G96),IF(ISNUMBER(Q96),Q96,IF(Q96="","",IFERROR(VALUE(TRIM(SUBSTITUTE(SUBSTITUTE(LOWER(Q96),"hrs",""),"hr",""))),"")))),IF(ISNUMBER(Q96),Q96,IF(Q96="","",IFERROR(VALUE(TRIM(SUBSTITUTE(SUBSTITUTE(LOWER(Q96),"hrs",""),"hr",""))),""))))</f>
        <v>2</v>
      </c>
      <c r="S96" s="57" t="n">
        <f aca="false">IFERROR(INDEX(RATES!$E$6:$E$28,MATCH(P96,RATES!$A$6:$A$28,0)),0)</f>
        <v>39.835</v>
      </c>
      <c r="T96" s="61" t="n">
        <f aca="false">IF(ISNUMBER(R96),R96,0)*S96</f>
        <v>79.67</v>
      </c>
      <c r="U96" s="61" t="n">
        <f aca="false">T96*INDEX(INPUTS!$H$10:$H$14,MATCH(B96,INPUTS!$A$10:$A$14,0))</f>
        <v>14.73895</v>
      </c>
      <c r="V96" s="61" t="n">
        <f aca="false">N(STACK!K96)</f>
        <v>55</v>
      </c>
      <c r="W96" s="61" t="n">
        <f aca="false">T96+U96+V96</f>
        <v>149.40895</v>
      </c>
      <c r="X96" s="61" t="n">
        <f aca="false">N(STACK!L96)</f>
        <v>0</v>
      </c>
      <c r="Y96" s="61" t="n">
        <f aca="false">W96-X96</f>
        <v>149.40895</v>
      </c>
      <c r="Z96" s="1" t="n">
        <f aca="false">N(STACK!J96)</f>
        <v>15</v>
      </c>
      <c r="AA96" s="1" t="str">
        <f aca="false">TRIM(IF(D96="UNMAPPED","Program not mapped. ","")&amp;IF(OR(K96="UNMAPPED",K96="UNASSIGNED"),"Category needs review. ","")&amp;IF(P96="UNMAPPED","Title not mapped. ","")&amp;IF(AND(P96&lt;&gt;"No staff time",R96=""),"Missing hours. ","")&amp;IF(M96="","Date not readable. ","")&amp;IF(N96="No","Outside fiscal year. ","")&amp;IF(AND(F96="Event",ISNUMBER(R96)),IF(R96&gt;12,"Event hours look high. ",""),"")&amp;IF(G96&gt;0,"See CONFIRM sheet.",""))</f>
        <v/>
      </c>
      <c r="AB96" s="1" t="n">
        <f aca="false">IF(N96="No",0,IF(REVIEW!O96=0,0,IF(G96&gt;0,IF(INDEX(CONFIRM!$J$5:$J$53,G96)&lt;&gt;"",INDEX(CONFIRM!$J$5:$J$53,G96),1),1)))</f>
        <v>1</v>
      </c>
      <c r="AC96" s="1" t="n">
        <f aca="false">IF(AB96=1,IF(COUNTIFS($B$5:B96,B96,$D$5:D96,D96,$AB$5:AB96,1)=1,1,0),0)</f>
        <v>1</v>
      </c>
    </row>
    <row r="97" customFormat="false" ht="15" hidden="false" customHeight="false" outlineLevel="0" collapsed="false">
      <c r="A97" s="48" t="str">
        <f aca="false">STACK!A97</f>
        <v>KVMC-0093</v>
      </c>
      <c r="B97" s="48" t="str">
        <f aca="false">STACK!B97</f>
        <v>KVMC</v>
      </c>
      <c r="C97" s="48" t="str">
        <f aca="false">STACK!E97</f>
        <v>Grief Support Group</v>
      </c>
      <c r="D97" s="1" t="str">
        <f aca="false">IFERROR(INDEX(MAP!$J$7:$J$101,MATCH(TRIM(C97),MAP!$I$7:$I$101,0)),"UNMAPPED")</f>
        <v>Grief Support Group</v>
      </c>
      <c r="E97" s="1" t="str">
        <f aca="false">IFERROR(INDEX(MAP!$K$7:$K$101,MATCH(TRIM(C97),MAP!$I$7:$I$101,0)),"")</f>
        <v>Behavioral health</v>
      </c>
      <c r="F97" s="1" t="str">
        <f aca="false">IFERROR(INDEX(MAP!$L$7:$L$101,MATCH(TRIM(C97),MAP!$I$7:$I$101,0)),"")</f>
        <v>Event</v>
      </c>
      <c r="G97" s="1" t="n">
        <f aca="false">IFERROR(MATCH(A97,CONFIRM!$A$5:$A$53,0),0)</f>
        <v>0</v>
      </c>
      <c r="H97" s="48" t="str">
        <f aca="false">STACK!F97</f>
        <v>Health Care Support Services</v>
      </c>
      <c r="I97" s="1" t="str">
        <f aca="false">IF(G97&gt;0,IF(INDEX(CONFIRM!$I$5:$I$53,G97)&lt;&gt;"",INDEX(CONFIRM!$I$5:$I$53,G97),H97),H97)</f>
        <v>Health Care Support Services</v>
      </c>
      <c r="J97" s="1" t="str">
        <f aca="false">IFERROR(INDEX(MAP!$F$7:$F$74,MATCH(TRIM(I97),MAP!$E$7:$E$74,0)),"UNMAPPED")</f>
        <v>Health care support services</v>
      </c>
      <c r="K97" s="1" t="str">
        <f aca="false">IFERROR(INDEX(MAP!$G$7:$G$74,MATCH(TRIM(I97),MAP!$E$7:$E$74,0)),"UNMAPPED")</f>
        <v>7e</v>
      </c>
      <c r="L97" s="49" t="n">
        <f aca="false">STACK!G97</f>
        <v>45913</v>
      </c>
      <c r="M97" s="59" t="n">
        <f aca="false">IF(G97&gt;0,IF(INDEX(CONFIRM!$G$5:$G$53,G97)&lt;&gt;"",INDEX(CONFIRM!$G$5:$G$53,G97),IF(ISNUMBER(L97),L97,IFERROR(DATEVALUE(L97),""))),IF(ISNUMBER(L97),L97,IFERROR(DATEVALUE(L97),"")))</f>
        <v>45913</v>
      </c>
      <c r="N97" s="1" t="str">
        <f aca="false">IF(M97="","Check",IF(AND(M97&gt;=INPUTS!$C$6,M97&lt;=INPUTS!$C$7),"Yes","No"))</f>
        <v>Yes</v>
      </c>
      <c r="O97" s="48" t="str">
        <f aca="false">STACK!H97</f>
        <v>LMSW</v>
      </c>
      <c r="P97" s="1" t="str">
        <f aca="false">IF(G97&gt;0,IF(INDEX(CONFIRM!$H$5:$H$53,G97)&lt;&gt;"",INDEX(CONFIRM!$H$5:$H$53,G97),IFERROR(INDEX(MAP!$B$7:$B$156,MATCH(TRIM(O97),MAP!$A$7:$A$156,0)),"UNMAPPED")),IFERROR(INDEX(MAP!$B$7:$B$156,MATCH(TRIM(O97),MAP!$A$7:$A$156,0)),"UNMAPPED"))</f>
        <v>Social Worker</v>
      </c>
      <c r="Q97" s="48" t="n">
        <f aca="false">STACK!I97</f>
        <v>2</v>
      </c>
      <c r="R97" s="60" t="n">
        <f aca="false">IF(G97&gt;0,IF(INDEX(CONFIRM!$F$5:$F$53,G97)&lt;&gt;"",INDEX(CONFIRM!$F$5:$F$53,G97),IF(ISNUMBER(Q97),Q97,IF(Q97="","",IFERROR(VALUE(TRIM(SUBSTITUTE(SUBSTITUTE(LOWER(Q97),"hrs",""),"hr",""))),"")))),IF(ISNUMBER(Q97),Q97,IF(Q97="","",IFERROR(VALUE(TRIM(SUBSTITUTE(SUBSTITUTE(LOWER(Q97),"hrs",""),"hr",""))),""))))</f>
        <v>2</v>
      </c>
      <c r="S97" s="57" t="n">
        <f aca="false">IFERROR(INDEX(RATES!$E$6:$E$28,MATCH(P97,RATES!$A$6:$A$28,0)),0)</f>
        <v>45.6175</v>
      </c>
      <c r="T97" s="61" t="n">
        <f aca="false">IF(ISNUMBER(R97),R97,0)*S97</f>
        <v>91.235</v>
      </c>
      <c r="U97" s="61" t="n">
        <f aca="false">T97*INDEX(INPUTS!$H$10:$H$14,MATCH(B97,INPUTS!$A$10:$A$14,0))</f>
        <v>16.878475</v>
      </c>
      <c r="V97" s="61" t="n">
        <f aca="false">N(STACK!K97)</f>
        <v>0</v>
      </c>
      <c r="W97" s="61" t="n">
        <f aca="false">T97+U97+V97</f>
        <v>108.113475</v>
      </c>
      <c r="X97" s="61" t="n">
        <f aca="false">N(STACK!L97)</f>
        <v>0</v>
      </c>
      <c r="Y97" s="61" t="n">
        <f aca="false">W97-X97</f>
        <v>108.113475</v>
      </c>
      <c r="Z97" s="1" t="n">
        <f aca="false">N(STACK!J97)</f>
        <v>0</v>
      </c>
      <c r="AA97" s="1" t="str">
        <f aca="false">TRIM(IF(D97="UNMAPPED","Program not mapped. ","")&amp;IF(OR(K97="UNMAPPED",K97="UNASSIGNED"),"Category needs review. ","")&amp;IF(P97="UNMAPPED","Title not mapped. ","")&amp;IF(AND(P97&lt;&gt;"No staff time",R97=""),"Missing hours. ","")&amp;IF(M97="","Date not readable. ","")&amp;IF(N97="No","Outside fiscal year. ","")&amp;IF(AND(F97="Event",ISNUMBER(R97)),IF(R97&gt;12,"Event hours look high. ",""),"")&amp;IF(G97&gt;0,"See CONFIRM sheet.",""))</f>
        <v/>
      </c>
      <c r="AB97" s="1" t="n">
        <f aca="false">IF(N97="No",0,IF(REVIEW!O97=0,0,IF(G97&gt;0,IF(INDEX(CONFIRM!$J$5:$J$53,G97)&lt;&gt;"",INDEX(CONFIRM!$J$5:$J$53,G97),1),1)))</f>
        <v>1</v>
      </c>
      <c r="AC97" s="1" t="n">
        <f aca="false">IF(AB97=1,IF(COUNTIFS($B$5:B97,B97,$D$5:D97,D97,$AB$5:AB97,1)=1,1,0),0)</f>
        <v>0</v>
      </c>
    </row>
    <row r="98" customFormat="false" ht="15" hidden="false" customHeight="false" outlineLevel="0" collapsed="false">
      <c r="A98" s="48" t="str">
        <f aca="false">STACK!A98</f>
        <v>KVMC-0094</v>
      </c>
      <c r="B98" s="48" t="str">
        <f aca="false">STACK!B98</f>
        <v>KVMC</v>
      </c>
      <c r="C98" s="48" t="str">
        <f aca="false">STACK!E98</f>
        <v>Grief Support Group</v>
      </c>
      <c r="D98" s="1" t="str">
        <f aca="false">IFERROR(INDEX(MAP!$J$7:$J$101,MATCH(TRIM(C98),MAP!$I$7:$I$101,0)),"UNMAPPED")</f>
        <v>Grief Support Group</v>
      </c>
      <c r="E98" s="1" t="str">
        <f aca="false">IFERROR(INDEX(MAP!$K$7:$K$101,MATCH(TRIM(C98),MAP!$I$7:$I$101,0)),"")</f>
        <v>Behavioral health</v>
      </c>
      <c r="F98" s="1" t="str">
        <f aca="false">IFERROR(INDEX(MAP!$L$7:$L$101,MATCH(TRIM(C98),MAP!$I$7:$I$101,0)),"")</f>
        <v>Event</v>
      </c>
      <c r="G98" s="1" t="n">
        <f aca="false">IFERROR(MATCH(A98,CONFIRM!$A$5:$A$53,0),0)</f>
        <v>0</v>
      </c>
      <c r="H98" s="48" t="str">
        <f aca="false">STACK!F98</f>
        <v>Health Care Support Services</v>
      </c>
      <c r="I98" s="1" t="str">
        <f aca="false">IF(G98&gt;0,IF(INDEX(CONFIRM!$I$5:$I$53,G98)&lt;&gt;"",INDEX(CONFIRM!$I$5:$I$53,G98),H98),H98)</f>
        <v>Health Care Support Services</v>
      </c>
      <c r="J98" s="1" t="str">
        <f aca="false">IFERROR(INDEX(MAP!$F$7:$F$74,MATCH(TRIM(I98),MAP!$E$7:$E$74,0)),"UNMAPPED")</f>
        <v>Health care support services</v>
      </c>
      <c r="K98" s="1" t="str">
        <f aca="false">IFERROR(INDEX(MAP!$G$7:$G$74,MATCH(TRIM(I98),MAP!$E$7:$E$74,0)),"UNMAPPED")</f>
        <v>7e</v>
      </c>
      <c r="L98" s="49" t="n">
        <f aca="false">STACK!G98</f>
        <v>45915</v>
      </c>
      <c r="M98" s="59" t="n">
        <f aca="false">IF(G98&gt;0,IF(INDEX(CONFIRM!$G$5:$G$53,G98)&lt;&gt;"",INDEX(CONFIRM!$G$5:$G$53,G98),IF(ISNUMBER(L98),L98,IFERROR(DATEVALUE(L98),""))),IF(ISNUMBER(L98),L98,IFERROR(DATEVALUE(L98),"")))</f>
        <v>45915</v>
      </c>
      <c r="N98" s="1" t="str">
        <f aca="false">IF(M98="","Check",IF(AND(M98&gt;=INPUTS!$C$6,M98&lt;=INPUTS!$C$7),"Yes","No"))</f>
        <v>Yes</v>
      </c>
      <c r="O98" s="48" t="str">
        <f aca="false">STACK!H98</f>
        <v>Staff Chaplain</v>
      </c>
      <c r="P98" s="1" t="str">
        <f aca="false">IF(G98&gt;0,IF(INDEX(CONFIRM!$H$5:$H$53,G98)&lt;&gt;"",INDEX(CONFIRM!$H$5:$H$53,G98),IFERROR(INDEX(MAP!$B$7:$B$156,MATCH(TRIM(O98),MAP!$A$7:$A$156,0)),"UNMAPPED")),IFERROR(INDEX(MAP!$B$7:$B$156,MATCH(TRIM(O98),MAP!$A$7:$A$156,0)),"UNMAPPED"))</f>
        <v>Chaplain</v>
      </c>
      <c r="Q98" s="48" t="n">
        <f aca="false">STACK!I98</f>
        <v>2.25</v>
      </c>
      <c r="R98" s="60" t="n">
        <f aca="false">IF(G98&gt;0,IF(INDEX(CONFIRM!$F$5:$F$53,G98)&lt;&gt;"",INDEX(CONFIRM!$F$5:$F$53,G98),IF(ISNUMBER(Q98),Q98,IF(Q98="","",IFERROR(VALUE(TRIM(SUBSTITUTE(SUBSTITUTE(LOWER(Q98),"hrs",""),"hr",""))),"")))),IF(ISNUMBER(Q98),Q98,IF(Q98="","",IFERROR(VALUE(TRIM(SUBSTITUTE(SUBSTITUTE(LOWER(Q98),"hrs",""),"hr",""))),""))))</f>
        <v>2.25</v>
      </c>
      <c r="S98" s="57" t="n">
        <f aca="false">IFERROR(INDEX(RATES!$E$6:$E$28,MATCH(P98,RATES!$A$6:$A$28,0)),0)</f>
        <v>39.835</v>
      </c>
      <c r="T98" s="61" t="n">
        <f aca="false">IF(ISNUMBER(R98),R98,0)*S98</f>
        <v>89.62875</v>
      </c>
      <c r="U98" s="61" t="n">
        <f aca="false">T98*INDEX(INPUTS!$H$10:$H$14,MATCH(B98,INPUTS!$A$10:$A$14,0))</f>
        <v>16.58131875</v>
      </c>
      <c r="V98" s="61" t="n">
        <f aca="false">N(STACK!K98)</f>
        <v>30</v>
      </c>
      <c r="W98" s="61" t="n">
        <f aca="false">T98+U98+V98</f>
        <v>136.21006875</v>
      </c>
      <c r="X98" s="61" t="n">
        <f aca="false">N(STACK!L98)</f>
        <v>0</v>
      </c>
      <c r="Y98" s="61" t="n">
        <f aca="false">W98-X98</f>
        <v>136.21006875</v>
      </c>
      <c r="Z98" s="1" t="n">
        <f aca="false">N(STACK!J98)</f>
        <v>16</v>
      </c>
      <c r="AA98" s="1" t="str">
        <f aca="false">TRIM(IF(D98="UNMAPPED","Program not mapped. ","")&amp;IF(OR(K98="UNMAPPED",K98="UNASSIGNED"),"Category needs review. ","")&amp;IF(P98="UNMAPPED","Title not mapped. ","")&amp;IF(AND(P98&lt;&gt;"No staff time",R98=""),"Missing hours. ","")&amp;IF(M98="","Date not readable. ","")&amp;IF(N98="No","Outside fiscal year. ","")&amp;IF(AND(F98="Event",ISNUMBER(R98)),IF(R98&gt;12,"Event hours look high. ",""),"")&amp;IF(G98&gt;0,"See CONFIRM sheet.",""))</f>
        <v/>
      </c>
      <c r="AB98" s="1" t="n">
        <f aca="false">IF(N98="No",0,IF(REVIEW!O98=0,0,IF(G98&gt;0,IF(INDEX(CONFIRM!$J$5:$J$53,G98)&lt;&gt;"",INDEX(CONFIRM!$J$5:$J$53,G98),1),1)))</f>
        <v>1</v>
      </c>
      <c r="AC98" s="1" t="n">
        <f aca="false">IF(AB98=1,IF(COUNTIFS($B$5:B98,B98,$D$5:D98,D98,$AB$5:AB98,1)=1,1,0),0)</f>
        <v>0</v>
      </c>
    </row>
    <row r="99" customFormat="false" ht="15" hidden="false" customHeight="false" outlineLevel="0" collapsed="false">
      <c r="A99" s="48" t="str">
        <f aca="false">STACK!A99</f>
        <v>KVMC-0095</v>
      </c>
      <c r="B99" s="48" t="str">
        <f aca="false">STACK!B99</f>
        <v>KVMC</v>
      </c>
      <c r="C99" s="48" t="str">
        <f aca="false">STACK!E99</f>
        <v>Grief Support Group</v>
      </c>
      <c r="D99" s="1" t="str">
        <f aca="false">IFERROR(INDEX(MAP!$J$7:$J$101,MATCH(TRIM(C99),MAP!$I$7:$I$101,0)),"UNMAPPED")</f>
        <v>Grief Support Group</v>
      </c>
      <c r="E99" s="1" t="str">
        <f aca="false">IFERROR(INDEX(MAP!$K$7:$K$101,MATCH(TRIM(C99),MAP!$I$7:$I$101,0)),"")</f>
        <v>Behavioral health</v>
      </c>
      <c r="F99" s="1" t="str">
        <f aca="false">IFERROR(INDEX(MAP!$L$7:$L$101,MATCH(TRIM(C99),MAP!$I$7:$I$101,0)),"")</f>
        <v>Event</v>
      </c>
      <c r="G99" s="1" t="n">
        <f aca="false">IFERROR(MATCH(A99,CONFIRM!$A$5:$A$53,0),0)</f>
        <v>0</v>
      </c>
      <c r="H99" s="48" t="str">
        <f aca="false">STACK!F99</f>
        <v>Health Care Support Services</v>
      </c>
      <c r="I99" s="1" t="str">
        <f aca="false">IF(G99&gt;0,IF(INDEX(CONFIRM!$I$5:$I$53,G99)&lt;&gt;"",INDEX(CONFIRM!$I$5:$I$53,G99),H99),H99)</f>
        <v>Health Care Support Services</v>
      </c>
      <c r="J99" s="1" t="str">
        <f aca="false">IFERROR(INDEX(MAP!$F$7:$F$74,MATCH(TRIM(I99),MAP!$E$7:$E$74,0)),"UNMAPPED")</f>
        <v>Health care support services</v>
      </c>
      <c r="K99" s="1" t="str">
        <f aca="false">IFERROR(INDEX(MAP!$G$7:$G$74,MATCH(TRIM(I99),MAP!$E$7:$E$74,0)),"UNMAPPED")</f>
        <v>7e</v>
      </c>
      <c r="L99" s="49" t="n">
        <f aca="false">STACK!G99</f>
        <v>45915</v>
      </c>
      <c r="M99" s="59" t="n">
        <f aca="false">IF(G99&gt;0,IF(INDEX(CONFIRM!$G$5:$G$53,G99)&lt;&gt;"",INDEX(CONFIRM!$G$5:$G$53,G99),IF(ISNUMBER(L99),L99,IFERROR(DATEVALUE(L99),""))),IF(ISNUMBER(L99),L99,IFERROR(DATEVALUE(L99),"")))</f>
        <v>45915</v>
      </c>
      <c r="N99" s="1" t="str">
        <f aca="false">IF(M99="","Check",IF(AND(M99&gt;=INPUTS!$C$6,M99&lt;=INPUTS!$C$7),"Yes","No"))</f>
        <v>Yes</v>
      </c>
      <c r="O99" s="48" t="str">
        <f aca="false">STACK!H99</f>
        <v>MSW</v>
      </c>
      <c r="P99" s="1" t="str">
        <f aca="false">IF(G99&gt;0,IF(INDEX(CONFIRM!$H$5:$H$53,G99)&lt;&gt;"",INDEX(CONFIRM!$H$5:$H$53,G99),IFERROR(INDEX(MAP!$B$7:$B$156,MATCH(TRIM(O99),MAP!$A$7:$A$156,0)),"UNMAPPED")),IFERROR(INDEX(MAP!$B$7:$B$156,MATCH(TRIM(O99),MAP!$A$7:$A$156,0)),"UNMAPPED"))</f>
        <v>Social Worker</v>
      </c>
      <c r="Q99" s="48" t="n">
        <f aca="false">STACK!I99</f>
        <v>2</v>
      </c>
      <c r="R99" s="60" t="n">
        <f aca="false">IF(G99&gt;0,IF(INDEX(CONFIRM!$F$5:$F$53,G99)&lt;&gt;"",INDEX(CONFIRM!$F$5:$F$53,G99),IF(ISNUMBER(Q99),Q99,IF(Q99="","",IFERROR(VALUE(TRIM(SUBSTITUTE(SUBSTITUTE(LOWER(Q99),"hrs",""),"hr",""))),"")))),IF(ISNUMBER(Q99),Q99,IF(Q99="","",IFERROR(VALUE(TRIM(SUBSTITUTE(SUBSTITUTE(LOWER(Q99),"hrs",""),"hr",""))),""))))</f>
        <v>2</v>
      </c>
      <c r="S99" s="57" t="n">
        <f aca="false">IFERROR(INDEX(RATES!$E$6:$E$28,MATCH(P99,RATES!$A$6:$A$28,0)),0)</f>
        <v>45.6175</v>
      </c>
      <c r="T99" s="61" t="n">
        <f aca="false">IF(ISNUMBER(R99),R99,0)*S99</f>
        <v>91.235</v>
      </c>
      <c r="U99" s="61" t="n">
        <f aca="false">T99*INDEX(INPUTS!$H$10:$H$14,MATCH(B99,INPUTS!$A$10:$A$14,0))</f>
        <v>16.878475</v>
      </c>
      <c r="V99" s="61" t="n">
        <f aca="false">N(STACK!K99)</f>
        <v>0</v>
      </c>
      <c r="W99" s="61" t="n">
        <f aca="false">T99+U99+V99</f>
        <v>108.113475</v>
      </c>
      <c r="X99" s="61" t="n">
        <f aca="false">N(STACK!L99)</f>
        <v>0</v>
      </c>
      <c r="Y99" s="61" t="n">
        <f aca="false">W99-X99</f>
        <v>108.113475</v>
      </c>
      <c r="Z99" s="1" t="n">
        <f aca="false">N(STACK!J99)</f>
        <v>0</v>
      </c>
      <c r="AA99" s="1" t="str">
        <f aca="false">TRIM(IF(D99="UNMAPPED","Program not mapped. ","")&amp;IF(OR(K99="UNMAPPED",K99="UNASSIGNED"),"Category needs review. ","")&amp;IF(P99="UNMAPPED","Title not mapped. ","")&amp;IF(AND(P99&lt;&gt;"No staff time",R99=""),"Missing hours. ","")&amp;IF(M99="","Date not readable. ","")&amp;IF(N99="No","Outside fiscal year. ","")&amp;IF(AND(F99="Event",ISNUMBER(R99)),IF(R99&gt;12,"Event hours look high. ",""),"")&amp;IF(G99&gt;0,"See CONFIRM sheet.",""))</f>
        <v/>
      </c>
      <c r="AB99" s="1" t="n">
        <f aca="false">IF(N99="No",0,IF(REVIEW!O99=0,0,IF(G99&gt;0,IF(INDEX(CONFIRM!$J$5:$J$53,G99)&lt;&gt;"",INDEX(CONFIRM!$J$5:$J$53,G99),1),1)))</f>
        <v>1</v>
      </c>
      <c r="AC99" s="1" t="n">
        <f aca="false">IF(AB99=1,IF(COUNTIFS($B$5:B99,B99,$D$5:D99,D99,$AB$5:AB99,1)=1,1,0),0)</f>
        <v>0</v>
      </c>
    </row>
    <row r="100" customFormat="false" ht="15" hidden="false" customHeight="false" outlineLevel="0" collapsed="false">
      <c r="A100" s="48" t="str">
        <f aca="false">STACK!A100</f>
        <v>KVMC-0096</v>
      </c>
      <c r="B100" s="48" t="str">
        <f aca="false">STACK!B100</f>
        <v>KVMC</v>
      </c>
      <c r="C100" s="48" t="str">
        <f aca="false">STACK!E100</f>
        <v>Grief Support Group</v>
      </c>
      <c r="D100" s="1" t="str">
        <f aca="false">IFERROR(INDEX(MAP!$J$7:$J$101,MATCH(TRIM(C100),MAP!$I$7:$I$101,0)),"UNMAPPED")</f>
        <v>Grief Support Group</v>
      </c>
      <c r="E100" s="1" t="str">
        <f aca="false">IFERROR(INDEX(MAP!$K$7:$K$101,MATCH(TRIM(C100),MAP!$I$7:$I$101,0)),"")</f>
        <v>Behavioral health</v>
      </c>
      <c r="F100" s="1" t="str">
        <f aca="false">IFERROR(INDEX(MAP!$L$7:$L$101,MATCH(TRIM(C100),MAP!$I$7:$I$101,0)),"")</f>
        <v>Event</v>
      </c>
      <c r="G100" s="1" t="n">
        <f aca="false">IFERROR(MATCH(A100,CONFIRM!$A$5:$A$53,0),0)</f>
        <v>0</v>
      </c>
      <c r="H100" s="48" t="str">
        <f aca="false">STACK!F100</f>
        <v>Health Care Support Services</v>
      </c>
      <c r="I100" s="1" t="str">
        <f aca="false">IF(G100&gt;0,IF(INDEX(CONFIRM!$I$5:$I$53,G100)&lt;&gt;"",INDEX(CONFIRM!$I$5:$I$53,G100),H100),H100)</f>
        <v>Health Care Support Services</v>
      </c>
      <c r="J100" s="1" t="str">
        <f aca="false">IFERROR(INDEX(MAP!$F$7:$F$74,MATCH(TRIM(I100),MAP!$E$7:$E$74,0)),"UNMAPPED")</f>
        <v>Health care support services</v>
      </c>
      <c r="K100" s="1" t="str">
        <f aca="false">IFERROR(INDEX(MAP!$G$7:$G$74,MATCH(TRIM(I100),MAP!$E$7:$E$74,0)),"UNMAPPED")</f>
        <v>7e</v>
      </c>
      <c r="L100" s="49" t="n">
        <f aca="false">STACK!G100</f>
        <v>45916</v>
      </c>
      <c r="M100" s="59" t="n">
        <f aca="false">IF(G100&gt;0,IF(INDEX(CONFIRM!$G$5:$G$53,G100)&lt;&gt;"",INDEX(CONFIRM!$G$5:$G$53,G100),IF(ISNUMBER(L100),L100,IFERROR(DATEVALUE(L100),""))),IF(ISNUMBER(L100),L100,IFERROR(DATEVALUE(L100),"")))</f>
        <v>45916</v>
      </c>
      <c r="N100" s="1" t="str">
        <f aca="false">IF(M100="","Check",IF(AND(M100&gt;=INPUTS!$C$6,M100&lt;=INPUTS!$C$7),"Yes","No"))</f>
        <v>Yes</v>
      </c>
      <c r="O100" s="48" t="str">
        <f aca="false">STACK!H100</f>
        <v>Spiritual Care</v>
      </c>
      <c r="P100" s="1" t="str">
        <f aca="false">IF(G100&gt;0,IF(INDEX(CONFIRM!$H$5:$H$53,G100)&lt;&gt;"",INDEX(CONFIRM!$H$5:$H$53,G100),IFERROR(INDEX(MAP!$B$7:$B$156,MATCH(TRIM(O100),MAP!$A$7:$A$156,0)),"UNMAPPED")),IFERROR(INDEX(MAP!$B$7:$B$156,MATCH(TRIM(O100),MAP!$A$7:$A$156,0)),"UNMAPPED"))</f>
        <v>Chaplain</v>
      </c>
      <c r="Q100" s="48" t="n">
        <f aca="false">STACK!I100</f>
        <v>2</v>
      </c>
      <c r="R100" s="60" t="n">
        <f aca="false">IF(G100&gt;0,IF(INDEX(CONFIRM!$F$5:$F$53,G100)&lt;&gt;"",INDEX(CONFIRM!$F$5:$F$53,G100),IF(ISNUMBER(Q100),Q100,IF(Q100="","",IFERROR(VALUE(TRIM(SUBSTITUTE(SUBSTITUTE(LOWER(Q100),"hrs",""),"hr",""))),"")))),IF(ISNUMBER(Q100),Q100,IF(Q100="","",IFERROR(VALUE(TRIM(SUBSTITUTE(SUBSTITUTE(LOWER(Q100),"hrs",""),"hr",""))),""))))</f>
        <v>2</v>
      </c>
      <c r="S100" s="57" t="n">
        <f aca="false">IFERROR(INDEX(RATES!$E$6:$E$28,MATCH(P100,RATES!$A$6:$A$28,0)),0)</f>
        <v>39.835</v>
      </c>
      <c r="T100" s="61" t="n">
        <f aca="false">IF(ISNUMBER(R100),R100,0)*S100</f>
        <v>79.67</v>
      </c>
      <c r="U100" s="61" t="n">
        <f aca="false">T100*INDEX(INPUTS!$H$10:$H$14,MATCH(B100,INPUTS!$A$10:$A$14,0))</f>
        <v>14.73895</v>
      </c>
      <c r="V100" s="61" t="n">
        <f aca="false">N(STACK!K100)</f>
        <v>35</v>
      </c>
      <c r="W100" s="61" t="n">
        <f aca="false">T100+U100+V100</f>
        <v>129.40895</v>
      </c>
      <c r="X100" s="61" t="n">
        <f aca="false">N(STACK!L100)</f>
        <v>0</v>
      </c>
      <c r="Y100" s="61" t="n">
        <f aca="false">W100-X100</f>
        <v>129.40895</v>
      </c>
      <c r="Z100" s="1" t="n">
        <f aca="false">N(STACK!J100)</f>
        <v>14</v>
      </c>
      <c r="AA100" s="1" t="str">
        <f aca="false">TRIM(IF(D100="UNMAPPED","Program not mapped. ","")&amp;IF(OR(K100="UNMAPPED",K100="UNASSIGNED"),"Category needs review. ","")&amp;IF(P100="UNMAPPED","Title not mapped. ","")&amp;IF(AND(P100&lt;&gt;"No staff time",R100=""),"Missing hours. ","")&amp;IF(M100="","Date not readable. ","")&amp;IF(N100="No","Outside fiscal year. ","")&amp;IF(AND(F100="Event",ISNUMBER(R100)),IF(R100&gt;12,"Event hours look high. ",""),"")&amp;IF(G100&gt;0,"See CONFIRM sheet.",""))</f>
        <v/>
      </c>
      <c r="AB100" s="1" t="n">
        <f aca="false">IF(N100="No",0,IF(REVIEW!O100=0,0,IF(G100&gt;0,IF(INDEX(CONFIRM!$J$5:$J$53,G100)&lt;&gt;"",INDEX(CONFIRM!$J$5:$J$53,G100),1),1)))</f>
        <v>1</v>
      </c>
      <c r="AC100" s="1" t="n">
        <f aca="false">IF(AB100=1,IF(COUNTIFS($B$5:B100,B100,$D$5:D100,D100,$AB$5:AB100,1)=1,1,0),0)</f>
        <v>0</v>
      </c>
    </row>
    <row r="101" customFormat="false" ht="15" hidden="false" customHeight="false" outlineLevel="0" collapsed="false">
      <c r="A101" s="48" t="str">
        <f aca="false">STACK!A101</f>
        <v>KVMC-0097</v>
      </c>
      <c r="B101" s="48" t="str">
        <f aca="false">STACK!B101</f>
        <v>KVMC</v>
      </c>
      <c r="C101" s="48" t="str">
        <f aca="false">STACK!E101</f>
        <v>Grief Support Group</v>
      </c>
      <c r="D101" s="1" t="str">
        <f aca="false">IFERROR(INDEX(MAP!$J$7:$J$101,MATCH(TRIM(C101),MAP!$I$7:$I$101,0)),"UNMAPPED")</f>
        <v>Grief Support Group</v>
      </c>
      <c r="E101" s="1" t="str">
        <f aca="false">IFERROR(INDEX(MAP!$K$7:$K$101,MATCH(TRIM(C101),MAP!$I$7:$I$101,0)),"")</f>
        <v>Behavioral health</v>
      </c>
      <c r="F101" s="1" t="str">
        <f aca="false">IFERROR(INDEX(MAP!$L$7:$L$101,MATCH(TRIM(C101),MAP!$I$7:$I$101,0)),"")</f>
        <v>Event</v>
      </c>
      <c r="G101" s="1" t="n">
        <f aca="false">IFERROR(MATCH(A101,CONFIRM!$A$5:$A$53,0),0)</f>
        <v>0</v>
      </c>
      <c r="H101" s="48" t="str">
        <f aca="false">STACK!F101</f>
        <v>Health Care Support Services</v>
      </c>
      <c r="I101" s="1" t="str">
        <f aca="false">IF(G101&gt;0,IF(INDEX(CONFIRM!$I$5:$I$53,G101)&lt;&gt;"",INDEX(CONFIRM!$I$5:$I$53,G101),H101),H101)</f>
        <v>Health Care Support Services</v>
      </c>
      <c r="J101" s="1" t="str">
        <f aca="false">IFERROR(INDEX(MAP!$F$7:$F$74,MATCH(TRIM(I101),MAP!$E$7:$E$74,0)),"UNMAPPED")</f>
        <v>Health care support services</v>
      </c>
      <c r="K101" s="1" t="str">
        <f aca="false">IFERROR(INDEX(MAP!$G$7:$G$74,MATCH(TRIM(I101),MAP!$E$7:$E$74,0)),"UNMAPPED")</f>
        <v>7e</v>
      </c>
      <c r="L101" s="49" t="n">
        <f aca="false">STACK!G101</f>
        <v>45916</v>
      </c>
      <c r="M101" s="59" t="n">
        <f aca="false">IF(G101&gt;0,IF(INDEX(CONFIRM!$G$5:$G$53,G101)&lt;&gt;"",INDEX(CONFIRM!$G$5:$G$53,G101),IF(ISNUMBER(L101),L101,IFERROR(DATEVALUE(L101),""))),IF(ISNUMBER(L101),L101,IFERROR(DATEVALUE(L101),"")))</f>
        <v>45916</v>
      </c>
      <c r="N101" s="1" t="str">
        <f aca="false">IF(M101="","Check",IF(AND(M101&gt;=INPUTS!$C$6,M101&lt;=INPUTS!$C$7),"Yes","No"))</f>
        <v>Yes</v>
      </c>
      <c r="O101" s="48" t="str">
        <f aca="false">STACK!H101</f>
        <v>Social Worker</v>
      </c>
      <c r="P101" s="1" t="str">
        <f aca="false">IF(G101&gt;0,IF(INDEX(CONFIRM!$H$5:$H$53,G101)&lt;&gt;"",INDEX(CONFIRM!$H$5:$H$53,G101),IFERROR(INDEX(MAP!$B$7:$B$156,MATCH(TRIM(O101),MAP!$A$7:$A$156,0)),"UNMAPPED")),IFERROR(INDEX(MAP!$B$7:$B$156,MATCH(TRIM(O101),MAP!$A$7:$A$156,0)),"UNMAPPED"))</f>
        <v>Social Worker</v>
      </c>
      <c r="Q101" s="48" t="n">
        <f aca="false">STACK!I101</f>
        <v>2</v>
      </c>
      <c r="R101" s="60" t="n">
        <f aca="false">IF(G101&gt;0,IF(INDEX(CONFIRM!$F$5:$F$53,G101)&lt;&gt;"",INDEX(CONFIRM!$F$5:$F$53,G101),IF(ISNUMBER(Q101),Q101,IF(Q101="","",IFERROR(VALUE(TRIM(SUBSTITUTE(SUBSTITUTE(LOWER(Q101),"hrs",""),"hr",""))),"")))),IF(ISNUMBER(Q101),Q101,IF(Q101="","",IFERROR(VALUE(TRIM(SUBSTITUTE(SUBSTITUTE(LOWER(Q101),"hrs",""),"hr",""))),""))))</f>
        <v>2</v>
      </c>
      <c r="S101" s="57" t="n">
        <f aca="false">IFERROR(INDEX(RATES!$E$6:$E$28,MATCH(P101,RATES!$A$6:$A$28,0)),0)</f>
        <v>45.6175</v>
      </c>
      <c r="T101" s="61" t="n">
        <f aca="false">IF(ISNUMBER(R101),R101,0)*S101</f>
        <v>91.235</v>
      </c>
      <c r="U101" s="61" t="n">
        <f aca="false">T101*INDEX(INPUTS!$H$10:$H$14,MATCH(B101,INPUTS!$A$10:$A$14,0))</f>
        <v>16.878475</v>
      </c>
      <c r="V101" s="61" t="n">
        <f aca="false">N(STACK!K101)</f>
        <v>0</v>
      </c>
      <c r="W101" s="61" t="n">
        <f aca="false">T101+U101+V101</f>
        <v>108.113475</v>
      </c>
      <c r="X101" s="61" t="n">
        <f aca="false">N(STACK!L101)</f>
        <v>0</v>
      </c>
      <c r="Y101" s="61" t="n">
        <f aca="false">W101-X101</f>
        <v>108.113475</v>
      </c>
      <c r="Z101" s="1" t="n">
        <f aca="false">N(STACK!J101)</f>
        <v>0</v>
      </c>
      <c r="AA101" s="1" t="str">
        <f aca="false">TRIM(IF(D101="UNMAPPED","Program not mapped. ","")&amp;IF(OR(K101="UNMAPPED",K101="UNASSIGNED"),"Category needs review. ","")&amp;IF(P101="UNMAPPED","Title not mapped. ","")&amp;IF(AND(P101&lt;&gt;"No staff time",R101=""),"Missing hours. ","")&amp;IF(M101="","Date not readable. ","")&amp;IF(N101="No","Outside fiscal year. ","")&amp;IF(AND(F101="Event",ISNUMBER(R101)),IF(R101&gt;12,"Event hours look high. ",""),"")&amp;IF(G101&gt;0,"See CONFIRM sheet.",""))</f>
        <v/>
      </c>
      <c r="AB101" s="1" t="n">
        <f aca="false">IF(N101="No",0,IF(REVIEW!O101=0,0,IF(G101&gt;0,IF(INDEX(CONFIRM!$J$5:$J$53,G101)&lt;&gt;"",INDEX(CONFIRM!$J$5:$J$53,G101),1),1)))</f>
        <v>1</v>
      </c>
      <c r="AC101" s="1" t="n">
        <f aca="false">IF(AB101=1,IF(COUNTIFS($B$5:B101,B101,$D$5:D101,D101,$AB$5:AB101,1)=1,1,0),0)</f>
        <v>0</v>
      </c>
    </row>
    <row r="102" customFormat="false" ht="15" hidden="false" customHeight="false" outlineLevel="0" collapsed="false">
      <c r="A102" s="48" t="str">
        <f aca="false">STACK!A102</f>
        <v>KVMC-0098</v>
      </c>
      <c r="B102" s="48" t="str">
        <f aca="false">STACK!B102</f>
        <v>KVMC</v>
      </c>
      <c r="C102" s="48" t="str">
        <f aca="false">STACK!E102</f>
        <v>Diabetes Prevention Classes</v>
      </c>
      <c r="D102" s="1" t="str">
        <f aca="false">IFERROR(INDEX(MAP!$J$7:$J$101,MATCH(TRIM(C102),MAP!$I$7:$I$101,0)),"UNMAPPED")</f>
        <v>Diabetes Prevention Classes</v>
      </c>
      <c r="E102" s="1" t="str">
        <f aca="false">IFERROR(INDEX(MAP!$K$7:$K$101,MATCH(TRIM(C102),MAP!$I$7:$I$101,0)),"")</f>
        <v>Chronic disease prevention</v>
      </c>
      <c r="F102" s="1" t="str">
        <f aca="false">IFERROR(INDEX(MAP!$L$7:$L$101,MATCH(TRIM(C102),MAP!$I$7:$I$101,0)),"")</f>
        <v>Event</v>
      </c>
      <c r="G102" s="1" t="n">
        <f aca="false">IFERROR(MATCH(A102,CONFIRM!$A$5:$A$53,0),0)</f>
        <v>0</v>
      </c>
      <c r="H102" s="48" t="str">
        <f aca="false">STACK!F102</f>
        <v>Community Health Education</v>
      </c>
      <c r="I102" s="1" t="str">
        <f aca="false">IF(G102&gt;0,IF(INDEX(CONFIRM!$I$5:$I$53,G102)&lt;&gt;"",INDEX(CONFIRM!$I$5:$I$53,G102),H102),H102)</f>
        <v>Community Health Education</v>
      </c>
      <c r="J102" s="1" t="str">
        <f aca="false">IFERROR(INDEX(MAP!$F$7:$F$74,MATCH(TRIM(I102),MAP!$E$7:$E$74,0)),"UNMAPPED")</f>
        <v>Community health education</v>
      </c>
      <c r="K102" s="1" t="str">
        <f aca="false">IFERROR(INDEX(MAP!$G$7:$G$74,MATCH(TRIM(I102),MAP!$E$7:$E$74,0)),"UNMAPPED")</f>
        <v>7e</v>
      </c>
      <c r="L102" s="49" t="n">
        <f aca="false">STACK!G102</f>
        <v>45917</v>
      </c>
      <c r="M102" s="59" t="n">
        <f aca="false">IF(G102&gt;0,IF(INDEX(CONFIRM!$G$5:$G$53,G102)&lt;&gt;"",INDEX(CONFIRM!$G$5:$G$53,G102),IF(ISNUMBER(L102),L102,IFERROR(DATEVALUE(L102),""))),IF(ISNUMBER(L102),L102,IFERROR(DATEVALUE(L102),"")))</f>
        <v>45917</v>
      </c>
      <c r="N102" s="1" t="str">
        <f aca="false">IF(M102="","Check",IF(AND(M102&gt;=INPUTS!$C$6,M102&lt;=INPUTS!$C$7),"Yes","No"))</f>
        <v>Yes</v>
      </c>
      <c r="O102" s="48" t="str">
        <f aca="false">STACK!H102</f>
        <v>Health Educator</v>
      </c>
      <c r="P102" s="1" t="str">
        <f aca="false">IF(G102&gt;0,IF(INDEX(CONFIRM!$H$5:$H$53,G102)&lt;&gt;"",INDEX(CONFIRM!$H$5:$H$53,G102),IFERROR(INDEX(MAP!$B$7:$B$156,MATCH(TRIM(O102),MAP!$A$7:$A$156,0)),"UNMAPPED")),IFERROR(INDEX(MAP!$B$7:$B$156,MATCH(TRIM(O102),MAP!$A$7:$A$156,0)),"UNMAPPED"))</f>
        <v>Health Educator</v>
      </c>
      <c r="Q102" s="48" t="n">
        <f aca="false">STACK!I102</f>
        <v>3</v>
      </c>
      <c r="R102" s="60" t="n">
        <f aca="false">IF(G102&gt;0,IF(INDEX(CONFIRM!$F$5:$F$53,G102)&lt;&gt;"",INDEX(CONFIRM!$F$5:$F$53,G102),IF(ISNUMBER(Q102),Q102,IF(Q102="","",IFERROR(VALUE(TRIM(SUBSTITUTE(SUBSTITUTE(LOWER(Q102),"hrs",""),"hr",""))),"")))),IF(ISNUMBER(Q102),Q102,IF(Q102="","",IFERROR(VALUE(TRIM(SUBSTITUTE(SUBSTITUTE(LOWER(Q102),"hrs",""),"hr",""))),""))))</f>
        <v>3</v>
      </c>
      <c r="S102" s="57" t="n">
        <f aca="false">IFERROR(INDEX(RATES!$E$6:$E$28,MATCH(P102,RATES!$A$6:$A$28,0)),0)</f>
        <v>37.265</v>
      </c>
      <c r="T102" s="61" t="n">
        <f aca="false">IF(ISNUMBER(R102),R102,0)*S102</f>
        <v>111.795</v>
      </c>
      <c r="U102" s="61" t="n">
        <f aca="false">T102*INDEX(INPUTS!$H$10:$H$14,MATCH(B102,INPUTS!$A$10:$A$14,0))</f>
        <v>20.682075</v>
      </c>
      <c r="V102" s="61" t="n">
        <f aca="false">N(STACK!K102)</f>
        <v>135</v>
      </c>
      <c r="W102" s="61" t="n">
        <f aca="false">T102+U102+V102</f>
        <v>267.477075</v>
      </c>
      <c r="X102" s="61" t="n">
        <f aca="false">N(STACK!L102)</f>
        <v>0</v>
      </c>
      <c r="Y102" s="61" t="n">
        <f aca="false">W102-X102</f>
        <v>267.477075</v>
      </c>
      <c r="Z102" s="1" t="n">
        <f aca="false">N(STACK!J102)</f>
        <v>12</v>
      </c>
      <c r="AA102" s="1" t="str">
        <f aca="false">TRIM(IF(D102="UNMAPPED","Program not mapped. ","")&amp;IF(OR(K102="UNMAPPED",K102="UNASSIGNED"),"Category needs review. ","")&amp;IF(P102="UNMAPPED","Title not mapped. ","")&amp;IF(AND(P102&lt;&gt;"No staff time",R102=""),"Missing hours. ","")&amp;IF(M102="","Date not readable. ","")&amp;IF(N102="No","Outside fiscal year. ","")&amp;IF(AND(F102="Event",ISNUMBER(R102)),IF(R102&gt;12,"Event hours look high. ",""),"")&amp;IF(G102&gt;0,"See CONFIRM sheet.",""))</f>
        <v/>
      </c>
      <c r="AB102" s="1" t="n">
        <f aca="false">IF(N102="No",0,IF(REVIEW!O102=0,0,IF(G102&gt;0,IF(INDEX(CONFIRM!$J$5:$J$53,G102)&lt;&gt;"",INDEX(CONFIRM!$J$5:$J$53,G102),1),1)))</f>
        <v>1</v>
      </c>
      <c r="AC102" s="1" t="n">
        <f aca="false">IF(AB102=1,IF(COUNTIFS($B$5:B102,B102,$D$5:D102,D102,$AB$5:AB102,1)=1,1,0),0)</f>
        <v>0</v>
      </c>
    </row>
    <row r="103" customFormat="false" ht="15" hidden="false" customHeight="false" outlineLevel="0" collapsed="false">
      <c r="A103" s="48" t="str">
        <f aca="false">STACK!A103</f>
        <v>KVMC-0099</v>
      </c>
      <c r="B103" s="48" t="str">
        <f aca="false">STACK!B103</f>
        <v>KVMC</v>
      </c>
      <c r="C103" s="48" t="str">
        <f aca="false">STACK!E103</f>
        <v>Diabetes Prevention Classes</v>
      </c>
      <c r="D103" s="1" t="str">
        <f aca="false">IFERROR(INDEX(MAP!$J$7:$J$101,MATCH(TRIM(C103),MAP!$I$7:$I$101,0)),"UNMAPPED")</f>
        <v>Diabetes Prevention Classes</v>
      </c>
      <c r="E103" s="1" t="str">
        <f aca="false">IFERROR(INDEX(MAP!$K$7:$K$101,MATCH(TRIM(C103),MAP!$I$7:$I$101,0)),"")</f>
        <v>Chronic disease prevention</v>
      </c>
      <c r="F103" s="1" t="str">
        <f aca="false">IFERROR(INDEX(MAP!$L$7:$L$101,MATCH(TRIM(C103),MAP!$I$7:$I$101,0)),"")</f>
        <v>Event</v>
      </c>
      <c r="G103" s="1" t="n">
        <f aca="false">IFERROR(MATCH(A103,CONFIRM!$A$5:$A$53,0),0)</f>
        <v>0</v>
      </c>
      <c r="H103" s="48" t="str">
        <f aca="false">STACK!F103</f>
        <v>Community Health Education</v>
      </c>
      <c r="I103" s="1" t="str">
        <f aca="false">IF(G103&gt;0,IF(INDEX(CONFIRM!$I$5:$I$53,G103)&lt;&gt;"",INDEX(CONFIRM!$I$5:$I$53,G103),H103),H103)</f>
        <v>Community Health Education</v>
      </c>
      <c r="J103" s="1" t="str">
        <f aca="false">IFERROR(INDEX(MAP!$F$7:$F$74,MATCH(TRIM(I103),MAP!$E$7:$E$74,0)),"UNMAPPED")</f>
        <v>Community health education</v>
      </c>
      <c r="K103" s="1" t="str">
        <f aca="false">IFERROR(INDEX(MAP!$G$7:$G$74,MATCH(TRIM(I103),MAP!$E$7:$E$74,0)),"UNMAPPED")</f>
        <v>7e</v>
      </c>
      <c r="L103" s="49" t="n">
        <f aca="false">STACK!G103</f>
        <v>45917</v>
      </c>
      <c r="M103" s="59" t="n">
        <f aca="false">IF(G103&gt;0,IF(INDEX(CONFIRM!$G$5:$G$53,G103)&lt;&gt;"",INDEX(CONFIRM!$G$5:$G$53,G103),IF(ISNUMBER(L103),L103,IFERROR(DATEVALUE(L103),""))),IF(ISNUMBER(L103),L103,IFERROR(DATEVALUE(L103),"")))</f>
        <v>45917</v>
      </c>
      <c r="N103" s="1" t="str">
        <f aca="false">IF(M103="","Check",IF(AND(M103&gt;=INPUTS!$C$6,M103&lt;=INPUTS!$C$7),"Yes","No"))</f>
        <v>Yes</v>
      </c>
      <c r="O103" s="48" t="str">
        <f aca="false">STACK!H103</f>
        <v>Nutritionist</v>
      </c>
      <c r="P103" s="1" t="str">
        <f aca="false">IF(G103&gt;0,IF(INDEX(CONFIRM!$H$5:$H$53,G103)&lt;&gt;"",INDEX(CONFIRM!$H$5:$H$53,G103),IFERROR(INDEX(MAP!$B$7:$B$156,MATCH(TRIM(O103),MAP!$A$7:$A$156,0)),"UNMAPPED")),IFERROR(INDEX(MAP!$B$7:$B$156,MATCH(TRIM(O103),MAP!$A$7:$A$156,0)),"UNMAPPED"))</f>
        <v>Registered Dietitian</v>
      </c>
      <c r="Q103" s="48" t="n">
        <f aca="false">STACK!I103</f>
        <v>2</v>
      </c>
      <c r="R103" s="60" t="n">
        <f aca="false">IF(G103&gt;0,IF(INDEX(CONFIRM!$F$5:$F$53,G103)&lt;&gt;"",INDEX(CONFIRM!$F$5:$F$53,G103),IF(ISNUMBER(Q103),Q103,IF(Q103="","",IFERROR(VALUE(TRIM(SUBSTITUTE(SUBSTITUTE(LOWER(Q103),"hrs",""),"hr",""))),"")))),IF(ISNUMBER(Q103),Q103,IF(Q103="","",IFERROR(VALUE(TRIM(SUBSTITUTE(SUBSTITUTE(LOWER(Q103),"hrs",""),"hr",""))),""))))</f>
        <v>2</v>
      </c>
      <c r="S103" s="57" t="n">
        <f aca="false">IFERROR(INDEX(RATES!$E$6:$E$28,MATCH(P103,RATES!$A$6:$A$28,0)),0)</f>
        <v>46.9025</v>
      </c>
      <c r="T103" s="61" t="n">
        <f aca="false">IF(ISNUMBER(R103),R103,0)*S103</f>
        <v>93.805</v>
      </c>
      <c r="U103" s="61" t="n">
        <f aca="false">T103*INDEX(INPUTS!$H$10:$H$14,MATCH(B103,INPUTS!$A$10:$A$14,0))</f>
        <v>17.353925</v>
      </c>
      <c r="V103" s="61" t="n">
        <f aca="false">N(STACK!K103)</f>
        <v>0</v>
      </c>
      <c r="W103" s="61" t="n">
        <f aca="false">T103+U103+V103</f>
        <v>111.158925</v>
      </c>
      <c r="X103" s="61" t="n">
        <f aca="false">N(STACK!L103)</f>
        <v>0</v>
      </c>
      <c r="Y103" s="61" t="n">
        <f aca="false">W103-X103</f>
        <v>111.158925</v>
      </c>
      <c r="Z103" s="1" t="n">
        <f aca="false">N(STACK!J103)</f>
        <v>0</v>
      </c>
      <c r="AA103" s="1" t="str">
        <f aca="false">TRIM(IF(D103="UNMAPPED","Program not mapped. ","")&amp;IF(OR(K103="UNMAPPED",K103="UNASSIGNED"),"Category needs review. ","")&amp;IF(P103="UNMAPPED","Title not mapped. ","")&amp;IF(AND(P103&lt;&gt;"No staff time",R103=""),"Missing hours. ","")&amp;IF(M103="","Date not readable. ","")&amp;IF(N103="No","Outside fiscal year. ","")&amp;IF(AND(F103="Event",ISNUMBER(R103)),IF(R103&gt;12,"Event hours look high. ",""),"")&amp;IF(G103&gt;0,"See CONFIRM sheet.",""))</f>
        <v/>
      </c>
      <c r="AB103" s="1" t="n">
        <f aca="false">IF(N103="No",0,IF(REVIEW!O103=0,0,IF(G103&gt;0,IF(INDEX(CONFIRM!$J$5:$J$53,G103)&lt;&gt;"",INDEX(CONFIRM!$J$5:$J$53,G103),1),1)))</f>
        <v>1</v>
      </c>
      <c r="AC103" s="1" t="n">
        <f aca="false">IF(AB103=1,IF(COUNTIFS($B$5:B103,B103,$D$5:D103,D103,$AB$5:AB103,1)=1,1,0),0)</f>
        <v>0</v>
      </c>
    </row>
    <row r="104" customFormat="false" ht="15" hidden="false" customHeight="false" outlineLevel="0" collapsed="false">
      <c r="A104" s="48" t="str">
        <f aca="false">STACK!A104</f>
        <v>KVMC-0100</v>
      </c>
      <c r="B104" s="48" t="str">
        <f aca="false">STACK!B104</f>
        <v>KVMC</v>
      </c>
      <c r="C104" s="48" t="str">
        <f aca="false">STACK!E104</f>
        <v>School-Based Health Center Support Grant</v>
      </c>
      <c r="D104" s="1" t="str">
        <f aca="false">IFERROR(INDEX(MAP!$J$7:$J$101,MATCH(TRIM(C104),MAP!$I$7:$I$101,0)),"UNMAPPED")</f>
        <v>School-Based Health Center Support Grant</v>
      </c>
      <c r="E104" s="1" t="str">
        <f aca="false">IFERROR(INDEX(MAP!$K$7:$K$101,MATCH(TRIM(C104),MAP!$I$7:$I$101,0)),"")</f>
        <v>Maternal and child health</v>
      </c>
      <c r="F104" s="1" t="str">
        <f aca="false">IFERROR(INDEX(MAP!$L$7:$L$101,MATCH(TRIM(C104),MAP!$I$7:$I$101,0)),"")</f>
        <v>Contribution</v>
      </c>
      <c r="G104" s="1" t="n">
        <f aca="false">IFERROR(MATCH(A104,CONFIRM!$A$5:$A$53,0),0)</f>
        <v>0</v>
      </c>
      <c r="H104" s="48" t="str">
        <f aca="false">STACK!F104</f>
        <v>Cash &amp; In-Kind Donations</v>
      </c>
      <c r="I104" s="1" t="str">
        <f aca="false">IF(G104&gt;0,IF(INDEX(CONFIRM!$I$5:$I$53,G104)&lt;&gt;"",INDEX(CONFIRM!$I$5:$I$53,G104),H104),H104)</f>
        <v>Cash &amp; In-Kind Donations</v>
      </c>
      <c r="J104" s="1" t="str">
        <f aca="false">IFERROR(INDEX(MAP!$F$7:$F$74,MATCH(TRIM(I104),MAP!$E$7:$E$74,0)),"UNMAPPED")</f>
        <v>Cash and in-kind contributions</v>
      </c>
      <c r="K104" s="1" t="str">
        <f aca="false">IFERROR(INDEX(MAP!$G$7:$G$74,MATCH(TRIM(I104),MAP!$E$7:$E$74,0)),"UNMAPPED")</f>
        <v>7i</v>
      </c>
      <c r="L104" s="49" t="n">
        <f aca="false">STACK!G104</f>
        <v>45918</v>
      </c>
      <c r="M104" s="59" t="n">
        <f aca="false">IF(G104&gt;0,IF(INDEX(CONFIRM!$G$5:$G$53,G104)&lt;&gt;"",INDEX(CONFIRM!$G$5:$G$53,G104),IF(ISNUMBER(L104),L104,IFERROR(DATEVALUE(L104),""))),IF(ISNUMBER(L104),L104,IFERROR(DATEVALUE(L104),"")))</f>
        <v>45918</v>
      </c>
      <c r="N104" s="1" t="str">
        <f aca="false">IF(M104="","Check",IF(AND(M104&gt;=INPUTS!$C$6,M104&lt;=INPUTS!$C$7),"Yes","No"))</f>
        <v>Yes</v>
      </c>
      <c r="O104" s="48" t="str">
        <f aca="false">STACK!H104</f>
        <v>n.a.</v>
      </c>
      <c r="P104" s="1" t="str">
        <f aca="false">IF(G104&gt;0,IF(INDEX(CONFIRM!$H$5:$H$53,G104)&lt;&gt;"",INDEX(CONFIRM!$H$5:$H$53,G104),IFERROR(INDEX(MAP!$B$7:$B$156,MATCH(TRIM(O104),MAP!$A$7:$A$156,0)),"UNMAPPED")),IFERROR(INDEX(MAP!$B$7:$B$156,MATCH(TRIM(O104),MAP!$A$7:$A$156,0)),"UNMAPPED"))</f>
        <v>No staff time</v>
      </c>
      <c r="Q104" s="48" t="n">
        <f aca="false">STACK!I104</f>
        <v>0</v>
      </c>
      <c r="R104" s="60" t="n">
        <f aca="false">IF(G104&gt;0,IF(INDEX(CONFIRM!$F$5:$F$53,G104)&lt;&gt;"",INDEX(CONFIRM!$F$5:$F$53,G104),IF(ISNUMBER(Q104),Q104,IF(Q104="","",IFERROR(VALUE(TRIM(SUBSTITUTE(SUBSTITUTE(LOWER(Q104),"hrs",""),"hr",""))),"")))),IF(ISNUMBER(Q104),Q104,IF(Q104="","",IFERROR(VALUE(TRIM(SUBSTITUTE(SUBSTITUTE(LOWER(Q104),"hrs",""),"hr",""))),""))))</f>
        <v>0</v>
      </c>
      <c r="S104" s="57" t="n">
        <f aca="false">IFERROR(INDEX(RATES!$E$6:$E$28,MATCH(P104,RATES!$A$6:$A$28,0)),0)</f>
        <v>0</v>
      </c>
      <c r="T104" s="61" t="n">
        <f aca="false">IF(ISNUMBER(R104),R104,0)*S104</f>
        <v>0</v>
      </c>
      <c r="U104" s="61" t="n">
        <f aca="false">T104*INDEX(INPUTS!$H$10:$H$14,MATCH(B104,INPUTS!$A$10:$A$14,0))</f>
        <v>0</v>
      </c>
      <c r="V104" s="61" t="n">
        <f aca="false">N(STACK!K104)</f>
        <v>67360</v>
      </c>
      <c r="W104" s="61" t="n">
        <f aca="false">T104+U104+V104</f>
        <v>67360</v>
      </c>
      <c r="X104" s="61" t="n">
        <f aca="false">N(STACK!L104)</f>
        <v>0</v>
      </c>
      <c r="Y104" s="61" t="n">
        <f aca="false">W104-X104</f>
        <v>67360</v>
      </c>
      <c r="Z104" s="1" t="n">
        <f aca="false">N(STACK!J104)</f>
        <v>0</v>
      </c>
      <c r="AA104" s="1" t="str">
        <f aca="false">TRIM(IF(D104="UNMAPPED","Program not mapped. ","")&amp;IF(OR(K104="UNMAPPED",K104="UNASSIGNED"),"Category needs review. ","")&amp;IF(P104="UNMAPPED","Title not mapped. ","")&amp;IF(AND(P104&lt;&gt;"No staff time",R104=""),"Missing hours. ","")&amp;IF(M104="","Date not readable. ","")&amp;IF(N104="No","Outside fiscal year. ","")&amp;IF(AND(F104="Event",ISNUMBER(R104)),IF(R104&gt;12,"Event hours look high. ",""),"")&amp;IF(G104&gt;0,"See CONFIRM sheet.",""))</f>
        <v/>
      </c>
      <c r="AB104" s="1" t="n">
        <f aca="false">IF(N104="No",0,IF(REVIEW!O104=0,0,IF(G104&gt;0,IF(INDEX(CONFIRM!$J$5:$J$53,G104)&lt;&gt;"",INDEX(CONFIRM!$J$5:$J$53,G104),1),1)))</f>
        <v>1</v>
      </c>
      <c r="AC104" s="1" t="n">
        <f aca="false">IF(AB104=1,IF(COUNTIFS($B$5:B104,B104,$D$5:D104,D104,$AB$5:AB104,1)=1,1,0),0)</f>
        <v>1</v>
      </c>
    </row>
    <row r="105" customFormat="false" ht="15" hidden="false" customHeight="false" outlineLevel="0" collapsed="false">
      <c r="A105" s="48" t="str">
        <f aca="false">STACK!A105</f>
        <v>KVMC-0101</v>
      </c>
      <c r="B105" s="48" t="str">
        <f aca="false">STACK!B105</f>
        <v>KVMC</v>
      </c>
      <c r="C105" s="48" t="str">
        <f aca="false">STACK!E105</f>
        <v>Free Clinic Operating Grant</v>
      </c>
      <c r="D105" s="1" t="str">
        <f aca="false">IFERROR(INDEX(MAP!$J$7:$J$101,MATCH(TRIM(C105),MAP!$I$7:$I$101,0)),"UNMAPPED")</f>
        <v>Free Clinic Operating Grant</v>
      </c>
      <c r="E105" s="1" t="str">
        <f aca="false">IFERROR(INDEX(MAP!$K$7:$K$101,MATCH(TRIM(C105),MAP!$I$7:$I$101,0)),"")</f>
        <v>Access to care</v>
      </c>
      <c r="F105" s="1" t="str">
        <f aca="false">IFERROR(INDEX(MAP!$L$7:$L$101,MATCH(TRIM(C105),MAP!$I$7:$I$101,0)),"")</f>
        <v>Contribution</v>
      </c>
      <c r="G105" s="1" t="n">
        <f aca="false">IFERROR(MATCH(A105,CONFIRM!$A$5:$A$53,0),0)</f>
        <v>0</v>
      </c>
      <c r="H105" s="48" t="str">
        <f aca="false">STACK!F105</f>
        <v>Cash &amp; In-Kind Donations</v>
      </c>
      <c r="I105" s="1" t="str">
        <f aca="false">IF(G105&gt;0,IF(INDEX(CONFIRM!$I$5:$I$53,G105)&lt;&gt;"",INDEX(CONFIRM!$I$5:$I$53,G105),H105),H105)</f>
        <v>Cash &amp; In-Kind Donations</v>
      </c>
      <c r="J105" s="1" t="str">
        <f aca="false">IFERROR(INDEX(MAP!$F$7:$F$74,MATCH(TRIM(I105),MAP!$E$7:$E$74,0)),"UNMAPPED")</f>
        <v>Cash and in-kind contributions</v>
      </c>
      <c r="K105" s="1" t="str">
        <f aca="false">IFERROR(INDEX(MAP!$G$7:$G$74,MATCH(TRIM(I105),MAP!$E$7:$E$74,0)),"UNMAPPED")</f>
        <v>7i</v>
      </c>
      <c r="L105" s="49" t="n">
        <f aca="false">STACK!G105</f>
        <v>45927</v>
      </c>
      <c r="M105" s="59" t="n">
        <f aca="false">IF(G105&gt;0,IF(INDEX(CONFIRM!$G$5:$G$53,G105)&lt;&gt;"",INDEX(CONFIRM!$G$5:$G$53,G105),IF(ISNUMBER(L105),L105,IFERROR(DATEVALUE(L105),""))),IF(ISNUMBER(L105),L105,IFERROR(DATEVALUE(L105),"")))</f>
        <v>45927</v>
      </c>
      <c r="N105" s="1" t="str">
        <f aca="false">IF(M105="","Check",IF(AND(M105&gt;=INPUTS!$C$6,M105&lt;=INPUTS!$C$7),"Yes","No"))</f>
        <v>Yes</v>
      </c>
      <c r="O105" s="48" t="str">
        <f aca="false">STACK!H105</f>
        <v>N/A</v>
      </c>
      <c r="P105" s="1" t="str">
        <f aca="false">IF(G105&gt;0,IF(INDEX(CONFIRM!$H$5:$H$53,G105)&lt;&gt;"",INDEX(CONFIRM!$H$5:$H$53,G105),IFERROR(INDEX(MAP!$B$7:$B$156,MATCH(TRIM(O105),MAP!$A$7:$A$156,0)),"UNMAPPED")),IFERROR(INDEX(MAP!$B$7:$B$156,MATCH(TRIM(O105),MAP!$A$7:$A$156,0)),"UNMAPPED"))</f>
        <v>No staff time</v>
      </c>
      <c r="Q105" s="48" t="n">
        <f aca="false">STACK!I105</f>
        <v>0</v>
      </c>
      <c r="R105" s="60" t="n">
        <f aca="false">IF(G105&gt;0,IF(INDEX(CONFIRM!$F$5:$F$53,G105)&lt;&gt;"",INDEX(CONFIRM!$F$5:$F$53,G105),IF(ISNUMBER(Q105),Q105,IF(Q105="","",IFERROR(VALUE(TRIM(SUBSTITUTE(SUBSTITUTE(LOWER(Q105),"hrs",""),"hr",""))),"")))),IF(ISNUMBER(Q105),Q105,IF(Q105="","",IFERROR(VALUE(TRIM(SUBSTITUTE(SUBSTITUTE(LOWER(Q105),"hrs",""),"hr",""))),""))))</f>
        <v>0</v>
      </c>
      <c r="S105" s="57" t="n">
        <f aca="false">IFERROR(INDEX(RATES!$E$6:$E$28,MATCH(P105,RATES!$A$6:$A$28,0)),0)</f>
        <v>0</v>
      </c>
      <c r="T105" s="61" t="n">
        <f aca="false">IF(ISNUMBER(R105),R105,0)*S105</f>
        <v>0</v>
      </c>
      <c r="U105" s="61" t="n">
        <f aca="false">T105*INDEX(INPUTS!$H$10:$H$14,MATCH(B105,INPUTS!$A$10:$A$14,0))</f>
        <v>0</v>
      </c>
      <c r="V105" s="61" t="n">
        <f aca="false">N(STACK!K105)</f>
        <v>113185</v>
      </c>
      <c r="W105" s="61" t="n">
        <f aca="false">T105+U105+V105</f>
        <v>113185</v>
      </c>
      <c r="X105" s="61" t="n">
        <f aca="false">N(STACK!L105)</f>
        <v>0</v>
      </c>
      <c r="Y105" s="61" t="n">
        <f aca="false">W105-X105</f>
        <v>113185</v>
      </c>
      <c r="Z105" s="1" t="n">
        <f aca="false">N(STACK!J105)</f>
        <v>0</v>
      </c>
      <c r="AA105" s="1" t="str">
        <f aca="false">TRIM(IF(D105="UNMAPPED","Program not mapped. ","")&amp;IF(OR(K105="UNMAPPED",K105="UNASSIGNED"),"Category needs review. ","")&amp;IF(P105="UNMAPPED","Title not mapped. ","")&amp;IF(AND(P105&lt;&gt;"No staff time",R105=""),"Missing hours. ","")&amp;IF(M105="","Date not readable. ","")&amp;IF(N105="No","Outside fiscal year. ","")&amp;IF(AND(F105="Event",ISNUMBER(R105)),IF(R105&gt;12,"Event hours look high. ",""),"")&amp;IF(G105&gt;0,"See CONFIRM sheet.",""))</f>
        <v/>
      </c>
      <c r="AB105" s="1" t="n">
        <f aca="false">IF(N105="No",0,IF(REVIEW!O105=0,0,IF(G105&gt;0,IF(INDEX(CONFIRM!$J$5:$J$53,G105)&lt;&gt;"",INDEX(CONFIRM!$J$5:$J$53,G105),1),1)))</f>
        <v>1</v>
      </c>
      <c r="AC105" s="1" t="n">
        <f aca="false">IF(AB105=1,IF(COUNTIFS($B$5:B105,B105,$D$5:D105,D105,$AB$5:AB105,1)=1,1,0),0)</f>
        <v>1</v>
      </c>
    </row>
    <row r="106" customFormat="false" ht="15" hidden="false" customHeight="false" outlineLevel="0" collapsed="false">
      <c r="A106" s="48" t="str">
        <f aca="false">STACK!A106</f>
        <v>KVMC-0102</v>
      </c>
      <c r="B106" s="48" t="str">
        <f aca="false">STACK!B106</f>
        <v>KVMC</v>
      </c>
      <c r="C106" s="48" t="str">
        <f aca="false">STACK!E106</f>
        <v>Community Emergency Preparedness Drills</v>
      </c>
      <c r="D106" s="1" t="str">
        <f aca="false">IFERROR(INDEX(MAP!$J$7:$J$101,MATCH(TRIM(C106),MAP!$I$7:$I$101,0)),"UNMAPPED")</f>
        <v>Community Emergency Preparedness Drills</v>
      </c>
      <c r="E106" s="1" t="str">
        <f aca="false">IFERROR(INDEX(MAP!$K$7:$K$101,MATCH(TRIM(C106),MAP!$I$7:$I$101,0)),"")</f>
        <v>Community benefit infrastructure</v>
      </c>
      <c r="F106" s="1" t="str">
        <f aca="false">IFERROR(INDEX(MAP!$L$7:$L$101,MATCH(TRIM(C106),MAP!$I$7:$I$101,0)),"")</f>
        <v>Event</v>
      </c>
      <c r="G106" s="1" t="n">
        <f aca="false">IFERROR(MATCH(A106,CONFIRM!$A$5:$A$53,0),0)</f>
        <v>0</v>
      </c>
      <c r="H106" s="48" t="str">
        <f aca="false">STACK!F106</f>
        <v>Community Building - Community Support</v>
      </c>
      <c r="I106" s="1" t="str">
        <f aca="false">IF(G106&gt;0,IF(INDEX(CONFIRM!$I$5:$I$53,G106)&lt;&gt;"",INDEX(CONFIRM!$I$5:$I$53,G106),H106),H106)</f>
        <v>Community Building - Community Support</v>
      </c>
      <c r="J106" s="1" t="str">
        <f aca="false">IFERROR(INDEX(MAP!$F$7:$F$74,MATCH(TRIM(I106),MAP!$E$7:$E$74,0)),"UNMAPPED")</f>
        <v>Community building: community support</v>
      </c>
      <c r="K106" s="1" t="str">
        <f aca="false">IFERROR(INDEX(MAP!$G$7:$G$74,MATCH(TRIM(I106),MAP!$E$7:$E$74,0)),"UNMAPPED")</f>
        <v>II-3</v>
      </c>
      <c r="L106" s="49" t="n">
        <f aca="false">STACK!G106</f>
        <v>45929</v>
      </c>
      <c r="M106" s="59" t="n">
        <f aca="false">IF(G106&gt;0,IF(INDEX(CONFIRM!$G$5:$G$53,G106)&lt;&gt;"",INDEX(CONFIRM!$G$5:$G$53,G106),IF(ISNUMBER(L106),L106,IFERROR(DATEVALUE(L106),""))),IF(ISNUMBER(L106),L106,IFERROR(DATEVALUE(L106),"")))</f>
        <v>45929</v>
      </c>
      <c r="N106" s="1" t="str">
        <f aca="false">IF(M106="","Check",IF(AND(M106&gt;=INPUTS!$C$6,M106&lt;=INPUTS!$C$7),"Yes","No"))</f>
        <v>Yes</v>
      </c>
      <c r="O106" s="48" t="str">
        <f aca="false">STACK!H106</f>
        <v>Paramedic</v>
      </c>
      <c r="P106" s="1" t="str">
        <f aca="false">IF(G106&gt;0,IF(INDEX(CONFIRM!$H$5:$H$53,G106)&lt;&gt;"",INDEX(CONFIRM!$H$5:$H$53,G106),IFERROR(INDEX(MAP!$B$7:$B$156,MATCH(TRIM(O106),MAP!$A$7:$A$156,0)),"UNMAPPED")),IFERROR(INDEX(MAP!$B$7:$B$156,MATCH(TRIM(O106),MAP!$A$7:$A$156,0)),"UNMAPPED"))</f>
        <v>Paramedic</v>
      </c>
      <c r="Q106" s="48" t="n">
        <f aca="false">STACK!I106</f>
        <v>7.75</v>
      </c>
      <c r="R106" s="60" t="n">
        <f aca="false">IF(G106&gt;0,IF(INDEX(CONFIRM!$F$5:$F$53,G106)&lt;&gt;"",INDEX(CONFIRM!$F$5:$F$53,G106),IF(ISNUMBER(Q106),Q106,IF(Q106="","",IFERROR(VALUE(TRIM(SUBSTITUTE(SUBSTITUTE(LOWER(Q106),"hrs",""),"hr",""))),"")))),IF(ISNUMBER(Q106),Q106,IF(Q106="","",IFERROR(VALUE(TRIM(SUBSTITUTE(SUBSTITUTE(LOWER(Q106),"hrs",""),"hr",""))),""))))</f>
        <v>7.75</v>
      </c>
      <c r="S106" s="57" t="n">
        <f aca="false">IFERROR(INDEX(RATES!$E$6:$E$28,MATCH(P106,RATES!$A$6:$A$28,0)),0)</f>
        <v>34.695</v>
      </c>
      <c r="T106" s="61" t="n">
        <f aca="false">IF(ISNUMBER(R106),R106,0)*S106</f>
        <v>268.88625</v>
      </c>
      <c r="U106" s="61" t="n">
        <f aca="false">T106*INDEX(INPUTS!$H$10:$H$14,MATCH(B106,INPUTS!$A$10:$A$14,0))</f>
        <v>49.74395625</v>
      </c>
      <c r="V106" s="61" t="n">
        <f aca="false">N(STACK!K106)</f>
        <v>1765</v>
      </c>
      <c r="W106" s="61" t="n">
        <f aca="false">T106+U106+V106</f>
        <v>2083.63020625</v>
      </c>
      <c r="X106" s="61" t="n">
        <f aca="false">N(STACK!L106)</f>
        <v>0</v>
      </c>
      <c r="Y106" s="61" t="n">
        <f aca="false">W106-X106</f>
        <v>2083.63020625</v>
      </c>
      <c r="Z106" s="1" t="n">
        <f aca="false">N(STACK!J106)</f>
        <v>112</v>
      </c>
      <c r="AA106" s="1" t="str">
        <f aca="false">TRIM(IF(D106="UNMAPPED","Program not mapped. ","")&amp;IF(OR(K106="UNMAPPED",K106="UNASSIGNED"),"Category needs review. ","")&amp;IF(P106="UNMAPPED","Title not mapped. ","")&amp;IF(AND(P106&lt;&gt;"No staff time",R106=""),"Missing hours. ","")&amp;IF(M106="","Date not readable. ","")&amp;IF(N106="No","Outside fiscal year. ","")&amp;IF(AND(F106="Event",ISNUMBER(R106)),IF(R106&gt;12,"Event hours look high. ",""),"")&amp;IF(G106&gt;0,"See CONFIRM sheet.",""))</f>
        <v/>
      </c>
      <c r="AB106" s="1" t="n">
        <f aca="false">IF(N106="No",0,IF(REVIEW!O106=0,0,IF(G106&gt;0,IF(INDEX(CONFIRM!$J$5:$J$53,G106)&lt;&gt;"",INDEX(CONFIRM!$J$5:$J$53,G106),1),1)))</f>
        <v>1</v>
      </c>
      <c r="AC106" s="1" t="n">
        <f aca="false">IF(AB106=1,IF(COUNTIFS($B$5:B106,B106,$D$5:D106,D106,$AB$5:AB106,1)=1,1,0),0)</f>
        <v>1</v>
      </c>
    </row>
    <row r="107" customFormat="false" ht="15" hidden="false" customHeight="false" outlineLevel="0" collapsed="false">
      <c r="A107" s="48" t="str">
        <f aca="false">STACK!A107</f>
        <v>KVMC-0103</v>
      </c>
      <c r="B107" s="48" t="str">
        <f aca="false">STACK!B107</f>
        <v>KVMC</v>
      </c>
      <c r="C107" s="48" t="str">
        <f aca="false">STACK!E107</f>
        <v>Community Emergency Preparedness Drills</v>
      </c>
      <c r="D107" s="1" t="str">
        <f aca="false">IFERROR(INDEX(MAP!$J$7:$J$101,MATCH(TRIM(C107),MAP!$I$7:$I$101,0)),"UNMAPPED")</f>
        <v>Community Emergency Preparedness Drills</v>
      </c>
      <c r="E107" s="1" t="str">
        <f aca="false">IFERROR(INDEX(MAP!$K$7:$K$101,MATCH(TRIM(C107),MAP!$I$7:$I$101,0)),"")</f>
        <v>Community benefit infrastructure</v>
      </c>
      <c r="F107" s="1" t="str">
        <f aca="false">IFERROR(INDEX(MAP!$L$7:$L$101,MATCH(TRIM(C107),MAP!$I$7:$I$101,0)),"")</f>
        <v>Event</v>
      </c>
      <c r="G107" s="1" t="n">
        <f aca="false">IFERROR(MATCH(A107,CONFIRM!$A$5:$A$53,0),0)</f>
        <v>0</v>
      </c>
      <c r="H107" s="48" t="str">
        <f aca="false">STACK!F107</f>
        <v>Community Building - Community Support</v>
      </c>
      <c r="I107" s="1" t="str">
        <f aca="false">IF(G107&gt;0,IF(INDEX(CONFIRM!$I$5:$I$53,G107)&lt;&gt;"",INDEX(CONFIRM!$I$5:$I$53,G107),H107),H107)</f>
        <v>Community Building - Community Support</v>
      </c>
      <c r="J107" s="1" t="str">
        <f aca="false">IFERROR(INDEX(MAP!$F$7:$F$74,MATCH(TRIM(I107),MAP!$E$7:$E$74,0)),"UNMAPPED")</f>
        <v>Community building: community support</v>
      </c>
      <c r="K107" s="1" t="str">
        <f aca="false">IFERROR(INDEX(MAP!$G$7:$G$74,MATCH(TRIM(I107),MAP!$E$7:$E$74,0)),"UNMAPPED")</f>
        <v>II-3</v>
      </c>
      <c r="L107" s="49" t="n">
        <f aca="false">STACK!G107</f>
        <v>45929</v>
      </c>
      <c r="M107" s="59" t="n">
        <f aca="false">IF(G107&gt;0,IF(INDEX(CONFIRM!$G$5:$G$53,G107)&lt;&gt;"",INDEX(CONFIRM!$G$5:$G$53,G107),IF(ISNUMBER(L107),L107,IFERROR(DATEVALUE(L107),""))),IF(ISNUMBER(L107),L107,IFERROR(DATEVALUE(L107),"")))</f>
        <v>45929</v>
      </c>
      <c r="N107" s="1" t="str">
        <f aca="false">IF(M107="","Check",IF(AND(M107&gt;=INPUTS!$C$6,M107&lt;=INPUTS!$C$7),"Yes","No"))</f>
        <v>Yes</v>
      </c>
      <c r="O107" s="48" t="str">
        <f aca="false">STACK!H107</f>
        <v>Program Coordinator</v>
      </c>
      <c r="P107" s="1" t="str">
        <f aca="false">IF(G107&gt;0,IF(INDEX(CONFIRM!$H$5:$H$53,G107)&lt;&gt;"",INDEX(CONFIRM!$H$5:$H$53,G107),IFERROR(INDEX(MAP!$B$7:$B$156,MATCH(TRIM(O107),MAP!$A$7:$A$156,0)),"UNMAPPED")),IFERROR(INDEX(MAP!$B$7:$B$156,MATCH(TRIM(O107),MAP!$A$7:$A$156,0)),"UNMAPPED"))</f>
        <v>Program Coordinator</v>
      </c>
      <c r="Q107" s="48" t="n">
        <f aca="false">STACK!I107</f>
        <v>4.25</v>
      </c>
      <c r="R107" s="60" t="n">
        <f aca="false">IF(G107&gt;0,IF(INDEX(CONFIRM!$F$5:$F$53,G107)&lt;&gt;"",INDEX(CONFIRM!$F$5:$F$53,G107),IF(ISNUMBER(Q107),Q107,IF(Q107="","",IFERROR(VALUE(TRIM(SUBSTITUTE(SUBSTITUTE(LOWER(Q107),"hrs",""),"hr",""))),"")))),IF(ISNUMBER(Q107),Q107,IF(Q107="","",IFERROR(VALUE(TRIM(SUBSTITUTE(SUBSTITUTE(LOWER(Q107),"hrs",""),"hr",""))),""))))</f>
        <v>4.25</v>
      </c>
      <c r="S107" s="57" t="n">
        <f aca="false">IFERROR(INDEX(RATES!$E$6:$E$28,MATCH(P107,RATES!$A$6:$A$28,0)),0)</f>
        <v>35.3375</v>
      </c>
      <c r="T107" s="61" t="n">
        <f aca="false">IF(ISNUMBER(R107),R107,0)*S107</f>
        <v>150.184375</v>
      </c>
      <c r="U107" s="61" t="n">
        <f aca="false">T107*INDEX(INPUTS!$H$10:$H$14,MATCH(B107,INPUTS!$A$10:$A$14,0))</f>
        <v>27.784109375</v>
      </c>
      <c r="V107" s="61" t="n">
        <f aca="false">N(STACK!K107)</f>
        <v>0</v>
      </c>
      <c r="W107" s="61" t="n">
        <f aca="false">T107+U107+V107</f>
        <v>177.968484375</v>
      </c>
      <c r="X107" s="61" t="n">
        <f aca="false">N(STACK!L107)</f>
        <v>0</v>
      </c>
      <c r="Y107" s="61" t="n">
        <f aca="false">W107-X107</f>
        <v>177.968484375</v>
      </c>
      <c r="Z107" s="1" t="n">
        <f aca="false">N(STACK!J107)</f>
        <v>0</v>
      </c>
      <c r="AA107" s="1" t="str">
        <f aca="false">TRIM(IF(D107="UNMAPPED","Program not mapped. ","")&amp;IF(OR(K107="UNMAPPED",K107="UNASSIGNED"),"Category needs review. ","")&amp;IF(P107="UNMAPPED","Title not mapped. ","")&amp;IF(AND(P107&lt;&gt;"No staff time",R107=""),"Missing hours. ","")&amp;IF(M107="","Date not readable. ","")&amp;IF(N107="No","Outside fiscal year. ","")&amp;IF(AND(F107="Event",ISNUMBER(R107)),IF(R107&gt;12,"Event hours look high. ",""),"")&amp;IF(G107&gt;0,"See CONFIRM sheet.",""))</f>
        <v/>
      </c>
      <c r="AB107" s="1" t="n">
        <f aca="false">IF(N107="No",0,IF(REVIEW!O107=0,0,IF(G107&gt;0,IF(INDEX(CONFIRM!$J$5:$J$53,G107)&lt;&gt;"",INDEX(CONFIRM!$J$5:$J$53,G107),1),1)))</f>
        <v>1</v>
      </c>
      <c r="AC107" s="1" t="n">
        <f aca="false">IF(AB107=1,IF(COUNTIFS($B$5:B107,B107,$D$5:D107,D107,$AB$5:AB107,1)=1,1,0),0)</f>
        <v>0</v>
      </c>
    </row>
    <row r="108" customFormat="false" ht="15" hidden="false" customHeight="false" outlineLevel="0" collapsed="false">
      <c r="A108" s="48" t="str">
        <f aca="false">STACK!A108</f>
        <v>KVMC-0104</v>
      </c>
      <c r="B108" s="48" t="str">
        <f aca="false">STACK!B108</f>
        <v>KVMC</v>
      </c>
      <c r="C108" s="48" t="str">
        <f aca="false">STACK!E108</f>
        <v>Community Emergency Preparedness Drills</v>
      </c>
      <c r="D108" s="1" t="str">
        <f aca="false">IFERROR(INDEX(MAP!$J$7:$J$101,MATCH(TRIM(C108),MAP!$I$7:$I$101,0)),"UNMAPPED")</f>
        <v>Community Emergency Preparedness Drills</v>
      </c>
      <c r="E108" s="1" t="str">
        <f aca="false">IFERROR(INDEX(MAP!$K$7:$K$101,MATCH(TRIM(C108),MAP!$I$7:$I$101,0)),"")</f>
        <v>Community benefit infrastructure</v>
      </c>
      <c r="F108" s="1" t="str">
        <f aca="false">IFERROR(INDEX(MAP!$L$7:$L$101,MATCH(TRIM(C108),MAP!$I$7:$I$101,0)),"")</f>
        <v>Event</v>
      </c>
      <c r="G108" s="1" t="n">
        <f aca="false">IFERROR(MATCH(A108,CONFIRM!$A$5:$A$53,0),0)</f>
        <v>0</v>
      </c>
      <c r="H108" s="48" t="str">
        <f aca="false">STACK!F108</f>
        <v>Community Building - Community Support</v>
      </c>
      <c r="I108" s="1" t="str">
        <f aca="false">IF(G108&gt;0,IF(INDEX(CONFIRM!$I$5:$I$53,G108)&lt;&gt;"",INDEX(CONFIRM!$I$5:$I$53,G108),H108),H108)</f>
        <v>Community Building - Community Support</v>
      </c>
      <c r="J108" s="1" t="str">
        <f aca="false">IFERROR(INDEX(MAP!$F$7:$F$74,MATCH(TRIM(I108),MAP!$E$7:$E$74,0)),"UNMAPPED")</f>
        <v>Community building: community support</v>
      </c>
      <c r="K108" s="1" t="str">
        <f aca="false">IFERROR(INDEX(MAP!$G$7:$G$74,MATCH(TRIM(I108),MAP!$E$7:$E$74,0)),"UNMAPPED")</f>
        <v>II-3</v>
      </c>
      <c r="L108" s="49" t="n">
        <f aca="false">STACK!G108</f>
        <v>45929</v>
      </c>
      <c r="M108" s="59" t="n">
        <f aca="false">IF(G108&gt;0,IF(INDEX(CONFIRM!$G$5:$G$53,G108)&lt;&gt;"",INDEX(CONFIRM!$G$5:$G$53,G108),IF(ISNUMBER(L108),L108,IFERROR(DATEVALUE(L108),""))),IF(ISNUMBER(L108),L108,IFERROR(DATEVALUE(L108),"")))</f>
        <v>45929</v>
      </c>
      <c r="N108" s="1" t="str">
        <f aca="false">IF(M108="","Check",IF(AND(M108&gt;=INPUTS!$C$6,M108&lt;=INPUTS!$C$7),"Yes","No"))</f>
        <v>Yes</v>
      </c>
      <c r="O108" s="48" t="str">
        <f aca="false">STACK!H108</f>
        <v>Registered Nurse</v>
      </c>
      <c r="P108" s="1" t="str">
        <f aca="false">IF(G108&gt;0,IF(INDEX(CONFIRM!$H$5:$H$53,G108)&lt;&gt;"",INDEX(CONFIRM!$H$5:$H$53,G108),IFERROR(INDEX(MAP!$B$7:$B$156,MATCH(TRIM(O108),MAP!$A$7:$A$156,0)),"UNMAPPED")),IFERROR(INDEX(MAP!$B$7:$B$156,MATCH(TRIM(O108),MAP!$A$7:$A$156,0)),"UNMAPPED"))</f>
        <v>Registered Nurse</v>
      </c>
      <c r="Q108" s="48" t="n">
        <f aca="false">STACK!I108</f>
        <v>7</v>
      </c>
      <c r="R108" s="60" t="n">
        <f aca="false">IF(G108&gt;0,IF(INDEX(CONFIRM!$F$5:$F$53,G108)&lt;&gt;"",INDEX(CONFIRM!$F$5:$F$53,G108),IF(ISNUMBER(Q108),Q108,IF(Q108="","",IFERROR(VALUE(TRIM(SUBSTITUTE(SUBSTITUTE(LOWER(Q108),"hrs",""),"hr",""))),"")))),IF(ISNUMBER(Q108),Q108,IF(Q108="","",IFERROR(VALUE(TRIM(SUBSTITUTE(SUBSTITUTE(LOWER(Q108),"hrs",""),"hr",""))),""))))</f>
        <v>7</v>
      </c>
      <c r="S108" s="57" t="n">
        <f aca="false">IFERROR(INDEX(RATES!$E$6:$E$28,MATCH(P108,RATES!$A$6:$A$28,0)),0)</f>
        <v>55.8975</v>
      </c>
      <c r="T108" s="61" t="n">
        <f aca="false">IF(ISNUMBER(R108),R108,0)*S108</f>
        <v>391.2825</v>
      </c>
      <c r="U108" s="61" t="n">
        <f aca="false">T108*INDEX(INPUTS!$H$10:$H$14,MATCH(B108,INPUTS!$A$10:$A$14,0))</f>
        <v>72.3872625</v>
      </c>
      <c r="V108" s="61" t="n">
        <f aca="false">N(STACK!K108)</f>
        <v>0</v>
      </c>
      <c r="W108" s="61" t="n">
        <f aca="false">T108+U108+V108</f>
        <v>463.6697625</v>
      </c>
      <c r="X108" s="61" t="n">
        <f aca="false">N(STACK!L108)</f>
        <v>0</v>
      </c>
      <c r="Y108" s="61" t="n">
        <f aca="false">W108-X108</f>
        <v>463.6697625</v>
      </c>
      <c r="Z108" s="1" t="n">
        <f aca="false">N(STACK!J108)</f>
        <v>0</v>
      </c>
      <c r="AA108" s="1" t="str">
        <f aca="false">TRIM(IF(D108="UNMAPPED","Program not mapped. ","")&amp;IF(OR(K108="UNMAPPED",K108="UNASSIGNED"),"Category needs review. ","")&amp;IF(P108="UNMAPPED","Title not mapped. ","")&amp;IF(AND(P108&lt;&gt;"No staff time",R108=""),"Missing hours. ","")&amp;IF(M108="","Date not readable. ","")&amp;IF(N108="No","Outside fiscal year. ","")&amp;IF(AND(F108="Event",ISNUMBER(R108)),IF(R108&gt;12,"Event hours look high. ",""),"")&amp;IF(G108&gt;0,"See CONFIRM sheet.",""))</f>
        <v/>
      </c>
      <c r="AB108" s="1" t="n">
        <f aca="false">IF(N108="No",0,IF(REVIEW!O108=0,0,IF(G108&gt;0,IF(INDEX(CONFIRM!$J$5:$J$53,G108)&lt;&gt;"",INDEX(CONFIRM!$J$5:$J$53,G108),1),1)))</f>
        <v>1</v>
      </c>
      <c r="AC108" s="1" t="n">
        <f aca="false">IF(AB108=1,IF(COUNTIFS($B$5:B108,B108,$D$5:D108,D108,$AB$5:AB108,1)=1,1,0),0)</f>
        <v>0</v>
      </c>
    </row>
    <row r="109" customFormat="false" ht="15" hidden="false" customHeight="false" outlineLevel="0" collapsed="false">
      <c r="A109" s="48" t="str">
        <f aca="false">STACK!A109</f>
        <v>KVMC-0105</v>
      </c>
      <c r="B109" s="48" t="str">
        <f aca="false">STACK!B109</f>
        <v>KVMC</v>
      </c>
      <c r="C109" s="48" t="str">
        <f aca="false">STACK!E109</f>
        <v>Mobile Health Screening Unit</v>
      </c>
      <c r="D109" s="1" t="str">
        <f aca="false">IFERROR(INDEX(MAP!$J$7:$J$101,MATCH(TRIM(C109),MAP!$I$7:$I$101,0)),"UNMAPPED")</f>
        <v>Mobile Health Screening Unit</v>
      </c>
      <c r="E109" s="1" t="str">
        <f aca="false">IFERROR(INDEX(MAP!$K$7:$K$101,MATCH(TRIM(C109),MAP!$I$7:$I$101,0)),"")</f>
        <v>Access to care</v>
      </c>
      <c r="F109" s="1" t="str">
        <f aca="false">IFERROR(INDEX(MAP!$L$7:$L$101,MATCH(TRIM(C109),MAP!$I$7:$I$101,0)),"")</f>
        <v>Monthly</v>
      </c>
      <c r="G109" s="1" t="n">
        <f aca="false">IFERROR(MATCH(A109,CONFIRM!$A$5:$A$53,0),0)</f>
        <v>0</v>
      </c>
      <c r="H109" s="48" t="str">
        <f aca="false">STACK!F109</f>
        <v>Community-Based Clinical Services</v>
      </c>
      <c r="I109" s="1" t="str">
        <f aca="false">IF(G109&gt;0,IF(INDEX(CONFIRM!$I$5:$I$53,G109)&lt;&gt;"",INDEX(CONFIRM!$I$5:$I$53,G109),H109),H109)</f>
        <v>Community-Based Clinical Services</v>
      </c>
      <c r="J109" s="1" t="str">
        <f aca="false">IFERROR(INDEX(MAP!$F$7:$F$74,MATCH(TRIM(I109),MAP!$E$7:$E$74,0)),"UNMAPPED")</f>
        <v>Community-based clinical services</v>
      </c>
      <c r="K109" s="1" t="str">
        <f aca="false">IFERROR(INDEX(MAP!$G$7:$G$74,MATCH(TRIM(I109),MAP!$E$7:$E$74,0)),"UNMAPPED")</f>
        <v>7e</v>
      </c>
      <c r="L109" s="49" t="n">
        <f aca="false">STACK!G109</f>
        <v>45930</v>
      </c>
      <c r="M109" s="59" t="n">
        <f aca="false">IF(G109&gt;0,IF(INDEX(CONFIRM!$G$5:$G$53,G109)&lt;&gt;"",INDEX(CONFIRM!$G$5:$G$53,G109),IF(ISNUMBER(L109),L109,IFERROR(DATEVALUE(L109),""))),IF(ISNUMBER(L109),L109,IFERROR(DATEVALUE(L109),"")))</f>
        <v>45930</v>
      </c>
      <c r="N109" s="1" t="str">
        <f aca="false">IF(M109="","Check",IF(AND(M109&gt;=INPUTS!$C$6,M109&lt;=INPUTS!$C$7),"Yes","No"))</f>
        <v>Yes</v>
      </c>
      <c r="O109" s="48" t="str">
        <f aca="false">STACK!H109</f>
        <v>Community Health Worker</v>
      </c>
      <c r="P109" s="1" t="str">
        <f aca="false">IF(G109&gt;0,IF(INDEX(CONFIRM!$H$5:$H$53,G109)&lt;&gt;"",INDEX(CONFIRM!$H$5:$H$53,G109),IFERROR(INDEX(MAP!$B$7:$B$156,MATCH(TRIM(O109),MAP!$A$7:$A$156,0)),"UNMAPPED")),IFERROR(INDEX(MAP!$B$7:$B$156,MATCH(TRIM(O109),MAP!$A$7:$A$156,0)),"UNMAPPED"))</f>
        <v>Community Health Worker</v>
      </c>
      <c r="Q109" s="48" t="n">
        <f aca="false">STACK!I109</f>
        <v>102.25</v>
      </c>
      <c r="R109" s="60" t="n">
        <f aca="false">IF(G109&gt;0,IF(INDEX(CONFIRM!$F$5:$F$53,G109)&lt;&gt;"",INDEX(CONFIRM!$F$5:$F$53,G109),IF(ISNUMBER(Q109),Q109,IF(Q109="","",IFERROR(VALUE(TRIM(SUBSTITUTE(SUBSTITUTE(LOWER(Q109),"hrs",""),"hr",""))),"")))),IF(ISNUMBER(Q109),Q109,IF(Q109="","",IFERROR(VALUE(TRIM(SUBSTITUTE(SUBSTITUTE(LOWER(Q109),"hrs",""),"hr",""))),""))))</f>
        <v>102.25</v>
      </c>
      <c r="S109" s="57" t="n">
        <f aca="false">IFERROR(INDEX(RATES!$E$6:$E$28,MATCH(P109,RATES!$A$6:$A$28,0)),0)</f>
        <v>27.6275</v>
      </c>
      <c r="T109" s="61" t="n">
        <f aca="false">IF(ISNUMBER(R109),R109,0)*S109</f>
        <v>2824.911875</v>
      </c>
      <c r="U109" s="61" t="n">
        <f aca="false">T109*INDEX(INPUTS!$H$10:$H$14,MATCH(B109,INPUTS!$A$10:$A$14,0))</f>
        <v>522.608696875</v>
      </c>
      <c r="V109" s="61" t="n">
        <f aca="false">N(STACK!K109)</f>
        <v>0</v>
      </c>
      <c r="W109" s="61" t="n">
        <f aca="false">T109+U109+V109</f>
        <v>3347.520571875</v>
      </c>
      <c r="X109" s="61" t="n">
        <f aca="false">N(STACK!L109)</f>
        <v>0</v>
      </c>
      <c r="Y109" s="61" t="n">
        <f aca="false">W109-X109</f>
        <v>3347.520571875</v>
      </c>
      <c r="Z109" s="1" t="n">
        <f aca="false">N(STACK!J109)</f>
        <v>0</v>
      </c>
      <c r="AA109" s="1" t="str">
        <f aca="false">TRIM(IF(D109="UNMAPPED","Program not mapped. ","")&amp;IF(OR(K109="UNMAPPED",K109="UNASSIGNED"),"Category needs review. ","")&amp;IF(P109="UNMAPPED","Title not mapped. ","")&amp;IF(AND(P109&lt;&gt;"No staff time",R109=""),"Missing hours. ","")&amp;IF(M109="","Date not readable. ","")&amp;IF(N109="No","Outside fiscal year. ","")&amp;IF(AND(F109="Event",ISNUMBER(R109)),IF(R109&gt;12,"Event hours look high. ",""),"")&amp;IF(G109&gt;0,"See CONFIRM sheet.",""))</f>
        <v/>
      </c>
      <c r="AB109" s="1" t="n">
        <f aca="false">IF(N109="No",0,IF(REVIEW!O109=0,0,IF(G109&gt;0,IF(INDEX(CONFIRM!$J$5:$J$53,G109)&lt;&gt;"",INDEX(CONFIRM!$J$5:$J$53,G109),1),1)))</f>
        <v>1</v>
      </c>
      <c r="AC109" s="1" t="n">
        <f aca="false">IF(AB109=1,IF(COUNTIFS($B$5:B109,B109,$D$5:D109,D109,$AB$5:AB109,1)=1,1,0),0)</f>
        <v>0</v>
      </c>
    </row>
    <row r="110" customFormat="false" ht="15" hidden="false" customHeight="false" outlineLevel="0" collapsed="false">
      <c r="A110" s="48" t="str">
        <f aca="false">STACK!A110</f>
        <v>KVMC-0106</v>
      </c>
      <c r="B110" s="48" t="str">
        <f aca="false">STACK!B110</f>
        <v>KVMC</v>
      </c>
      <c r="C110" s="48" t="str">
        <f aca="false">STACK!E110</f>
        <v>Mobile Health Screening Unit</v>
      </c>
      <c r="D110" s="1" t="str">
        <f aca="false">IFERROR(INDEX(MAP!$J$7:$J$101,MATCH(TRIM(C110),MAP!$I$7:$I$101,0)),"UNMAPPED")</f>
        <v>Mobile Health Screening Unit</v>
      </c>
      <c r="E110" s="1" t="str">
        <f aca="false">IFERROR(INDEX(MAP!$K$7:$K$101,MATCH(TRIM(C110),MAP!$I$7:$I$101,0)),"")</f>
        <v>Access to care</v>
      </c>
      <c r="F110" s="1" t="str">
        <f aca="false">IFERROR(INDEX(MAP!$L$7:$L$101,MATCH(TRIM(C110),MAP!$I$7:$I$101,0)),"")</f>
        <v>Monthly</v>
      </c>
      <c r="G110" s="1" t="n">
        <f aca="false">IFERROR(MATCH(A110,CONFIRM!$A$5:$A$53,0),0)</f>
        <v>0</v>
      </c>
      <c r="H110" s="48" t="str">
        <f aca="false">STACK!F110</f>
        <v>Community-Based Clinical Services</v>
      </c>
      <c r="I110" s="1" t="str">
        <f aca="false">IF(G110&gt;0,IF(INDEX(CONFIRM!$I$5:$I$53,G110)&lt;&gt;"",INDEX(CONFIRM!$I$5:$I$53,G110),H110),H110)</f>
        <v>Community-Based Clinical Services</v>
      </c>
      <c r="J110" s="1" t="str">
        <f aca="false">IFERROR(INDEX(MAP!$F$7:$F$74,MATCH(TRIM(I110),MAP!$E$7:$E$74,0)),"UNMAPPED")</f>
        <v>Community-based clinical services</v>
      </c>
      <c r="K110" s="1" t="str">
        <f aca="false">IFERROR(INDEX(MAP!$G$7:$G$74,MATCH(TRIM(I110),MAP!$E$7:$E$74,0)),"UNMAPPED")</f>
        <v>7e</v>
      </c>
      <c r="L110" s="49" t="n">
        <f aca="false">STACK!G110</f>
        <v>45930</v>
      </c>
      <c r="M110" s="59" t="n">
        <f aca="false">IF(G110&gt;0,IF(INDEX(CONFIRM!$G$5:$G$53,G110)&lt;&gt;"",INDEX(CONFIRM!$G$5:$G$53,G110),IF(ISNUMBER(L110),L110,IFERROR(DATEVALUE(L110),""))),IF(ISNUMBER(L110),L110,IFERROR(DATEVALUE(L110),"")))</f>
        <v>45930</v>
      </c>
      <c r="N110" s="1" t="str">
        <f aca="false">IF(M110="","Check",IF(AND(M110&gt;=INPUTS!$C$6,M110&lt;=INPUTS!$C$7),"Yes","No"))</f>
        <v>Yes</v>
      </c>
      <c r="O110" s="48" t="str">
        <f aca="false">STACK!H110</f>
        <v>Medical Assistant</v>
      </c>
      <c r="P110" s="1" t="str">
        <f aca="false">IF(G110&gt;0,IF(INDEX(CONFIRM!$H$5:$H$53,G110)&lt;&gt;"",INDEX(CONFIRM!$H$5:$H$53,G110),IFERROR(INDEX(MAP!$B$7:$B$156,MATCH(TRIM(O110),MAP!$A$7:$A$156,0)),"UNMAPPED")),IFERROR(INDEX(MAP!$B$7:$B$156,MATCH(TRIM(O110),MAP!$A$7:$A$156,0)),"UNMAPPED"))</f>
        <v>Medical Assistant</v>
      </c>
      <c r="Q110" s="48" t="n">
        <f aca="false">STACK!I110</f>
        <v>110</v>
      </c>
      <c r="R110" s="60" t="n">
        <f aca="false">IF(G110&gt;0,IF(INDEX(CONFIRM!$F$5:$F$53,G110)&lt;&gt;"",INDEX(CONFIRM!$F$5:$F$53,G110),IF(ISNUMBER(Q110),Q110,IF(Q110="","",IFERROR(VALUE(TRIM(SUBSTITUTE(SUBSTITUTE(LOWER(Q110),"hrs",""),"hr",""))),"")))),IF(ISNUMBER(Q110),Q110,IF(Q110="","",IFERROR(VALUE(TRIM(SUBSTITUTE(SUBSTITUTE(LOWER(Q110),"hrs",""),"hr",""))),""))))</f>
        <v>110</v>
      </c>
      <c r="S110" s="57" t="n">
        <f aca="false">IFERROR(INDEX(RATES!$E$6:$E$28,MATCH(P110,RATES!$A$6:$A$28,0)),0)</f>
        <v>25.37875</v>
      </c>
      <c r="T110" s="61" t="n">
        <f aca="false">IF(ISNUMBER(R110),R110,0)*S110</f>
        <v>2791.6625</v>
      </c>
      <c r="U110" s="61" t="n">
        <f aca="false">T110*INDEX(INPUTS!$H$10:$H$14,MATCH(B110,INPUTS!$A$10:$A$14,0))</f>
        <v>516.4575625</v>
      </c>
      <c r="V110" s="61" t="n">
        <f aca="false">N(STACK!K110)</f>
        <v>0</v>
      </c>
      <c r="W110" s="61" t="n">
        <f aca="false">T110+U110+V110</f>
        <v>3308.1200625</v>
      </c>
      <c r="X110" s="61" t="n">
        <f aca="false">N(STACK!L110)</f>
        <v>0</v>
      </c>
      <c r="Y110" s="61" t="n">
        <f aca="false">W110-X110</f>
        <v>3308.1200625</v>
      </c>
      <c r="Z110" s="1" t="n">
        <f aca="false">N(STACK!J110)</f>
        <v>0</v>
      </c>
      <c r="AA110" s="1" t="str">
        <f aca="false">TRIM(IF(D110="UNMAPPED","Program not mapped. ","")&amp;IF(OR(K110="UNMAPPED",K110="UNASSIGNED"),"Category needs review. ","")&amp;IF(P110="UNMAPPED","Title not mapped. ","")&amp;IF(AND(P110&lt;&gt;"No staff time",R110=""),"Missing hours. ","")&amp;IF(M110="","Date not readable. ","")&amp;IF(N110="No","Outside fiscal year. ","")&amp;IF(AND(F110="Event",ISNUMBER(R110)),IF(R110&gt;12,"Event hours look high. ",""),"")&amp;IF(G110&gt;0,"See CONFIRM sheet.",""))</f>
        <v/>
      </c>
      <c r="AB110" s="1" t="n">
        <f aca="false">IF(N110="No",0,IF(REVIEW!O110=0,0,IF(G110&gt;0,IF(INDEX(CONFIRM!$J$5:$J$53,G110)&lt;&gt;"",INDEX(CONFIRM!$J$5:$J$53,G110),1),1)))</f>
        <v>1</v>
      </c>
      <c r="AC110" s="1" t="n">
        <f aca="false">IF(AB110=1,IF(COUNTIFS($B$5:B110,B110,$D$5:D110,D110,$AB$5:AB110,1)=1,1,0),0)</f>
        <v>0</v>
      </c>
    </row>
    <row r="111" customFormat="false" ht="15" hidden="false" customHeight="false" outlineLevel="0" collapsed="false">
      <c r="A111" s="48" t="str">
        <f aca="false">STACK!A111</f>
        <v>KVMC-0107</v>
      </c>
      <c r="B111" s="48" t="str">
        <f aca="false">STACK!B111</f>
        <v>KVMC</v>
      </c>
      <c r="C111" s="48" t="str">
        <f aca="false">STACK!E111</f>
        <v>Mobile Health Screening Unit</v>
      </c>
      <c r="D111" s="1" t="str">
        <f aca="false">IFERROR(INDEX(MAP!$J$7:$J$101,MATCH(TRIM(C111),MAP!$I$7:$I$101,0)),"UNMAPPED")</f>
        <v>Mobile Health Screening Unit</v>
      </c>
      <c r="E111" s="1" t="str">
        <f aca="false">IFERROR(INDEX(MAP!$K$7:$K$101,MATCH(TRIM(C111),MAP!$I$7:$I$101,0)),"")</f>
        <v>Access to care</v>
      </c>
      <c r="F111" s="1" t="str">
        <f aca="false">IFERROR(INDEX(MAP!$L$7:$L$101,MATCH(TRIM(C111),MAP!$I$7:$I$101,0)),"")</f>
        <v>Monthly</v>
      </c>
      <c r="G111" s="1" t="n">
        <f aca="false">IFERROR(MATCH(A111,CONFIRM!$A$5:$A$53,0),0)</f>
        <v>0</v>
      </c>
      <c r="H111" s="48" t="str">
        <f aca="false">STACK!F111</f>
        <v>Community-Based Clinical Services</v>
      </c>
      <c r="I111" s="1" t="str">
        <f aca="false">IF(G111&gt;0,IF(INDEX(CONFIRM!$I$5:$I$53,G111)&lt;&gt;"",INDEX(CONFIRM!$I$5:$I$53,G111),H111),H111)</f>
        <v>Community-Based Clinical Services</v>
      </c>
      <c r="J111" s="1" t="str">
        <f aca="false">IFERROR(INDEX(MAP!$F$7:$F$74,MATCH(TRIM(I111),MAP!$E$7:$E$74,0)),"UNMAPPED")</f>
        <v>Community-based clinical services</v>
      </c>
      <c r="K111" s="1" t="str">
        <f aca="false">IFERROR(INDEX(MAP!$G$7:$G$74,MATCH(TRIM(I111),MAP!$E$7:$E$74,0)),"UNMAPPED")</f>
        <v>7e</v>
      </c>
      <c r="L111" s="49" t="n">
        <f aca="false">STACK!G111</f>
        <v>45930</v>
      </c>
      <c r="M111" s="59" t="n">
        <f aca="false">IF(G111&gt;0,IF(INDEX(CONFIRM!$G$5:$G$53,G111)&lt;&gt;"",INDEX(CONFIRM!$G$5:$G$53,G111),IF(ISNUMBER(L111),L111,IFERROR(DATEVALUE(L111),""))),IF(ISNUMBER(L111),L111,IFERROR(DATEVALUE(L111),"")))</f>
        <v>45930</v>
      </c>
      <c r="N111" s="1" t="str">
        <f aca="false">IF(M111="","Check",IF(AND(M111&gt;=INPUTS!$C$6,M111&lt;=INPUTS!$C$7),"Yes","No"))</f>
        <v>Yes</v>
      </c>
      <c r="O111" s="48" t="str">
        <f aca="false">STACK!H111</f>
        <v>Registered Nurse</v>
      </c>
      <c r="P111" s="1" t="str">
        <f aca="false">IF(G111&gt;0,IF(INDEX(CONFIRM!$H$5:$H$53,G111)&lt;&gt;"",INDEX(CONFIRM!$H$5:$H$53,G111),IFERROR(INDEX(MAP!$B$7:$B$156,MATCH(TRIM(O111),MAP!$A$7:$A$156,0)),"UNMAPPED")),IFERROR(INDEX(MAP!$B$7:$B$156,MATCH(TRIM(O111),MAP!$A$7:$A$156,0)),"UNMAPPED"))</f>
        <v>Registered Nurse</v>
      </c>
      <c r="Q111" s="48" t="n">
        <f aca="false">STACK!I111</f>
        <v>147.5</v>
      </c>
      <c r="R111" s="60" t="n">
        <f aca="false">IF(G111&gt;0,IF(INDEX(CONFIRM!$F$5:$F$53,G111)&lt;&gt;"",INDEX(CONFIRM!$F$5:$F$53,G111),IF(ISNUMBER(Q111),Q111,IF(Q111="","",IFERROR(VALUE(TRIM(SUBSTITUTE(SUBSTITUTE(LOWER(Q111),"hrs",""),"hr",""))),"")))),IF(ISNUMBER(Q111),Q111,IF(Q111="","",IFERROR(VALUE(TRIM(SUBSTITUTE(SUBSTITUTE(LOWER(Q111),"hrs",""),"hr",""))),""))))</f>
        <v>147.5</v>
      </c>
      <c r="S111" s="57" t="n">
        <f aca="false">IFERROR(INDEX(RATES!$E$6:$E$28,MATCH(P111,RATES!$A$6:$A$28,0)),0)</f>
        <v>55.8975</v>
      </c>
      <c r="T111" s="61" t="n">
        <f aca="false">IF(ISNUMBER(R111),R111,0)*S111</f>
        <v>8244.88125</v>
      </c>
      <c r="U111" s="61" t="n">
        <f aca="false">T111*INDEX(INPUTS!$H$10:$H$14,MATCH(B111,INPUTS!$A$10:$A$14,0))</f>
        <v>1525.30303125</v>
      </c>
      <c r="V111" s="61" t="n">
        <f aca="false">N(STACK!K111)</f>
        <v>7940</v>
      </c>
      <c r="W111" s="61" t="n">
        <f aca="false">T111+U111+V111</f>
        <v>17710.18428125</v>
      </c>
      <c r="X111" s="61" t="n">
        <f aca="false">N(STACK!L111)</f>
        <v>0</v>
      </c>
      <c r="Y111" s="61" t="n">
        <f aca="false">W111-X111</f>
        <v>17710.18428125</v>
      </c>
      <c r="Z111" s="1" t="n">
        <f aca="false">N(STACK!J111)</f>
        <v>357</v>
      </c>
      <c r="AA111" s="1" t="str">
        <f aca="false">TRIM(IF(D111="UNMAPPED","Program not mapped. ","")&amp;IF(OR(K111="UNMAPPED",K111="UNASSIGNED"),"Category needs review. ","")&amp;IF(P111="UNMAPPED","Title not mapped. ","")&amp;IF(AND(P111&lt;&gt;"No staff time",R111=""),"Missing hours. ","")&amp;IF(M111="","Date not readable. ","")&amp;IF(N111="No","Outside fiscal year. ","")&amp;IF(AND(F111="Event",ISNUMBER(R111)),IF(R111&gt;12,"Event hours look high. ",""),"")&amp;IF(G111&gt;0,"See CONFIRM sheet.",""))</f>
        <v/>
      </c>
      <c r="AB111" s="1" t="n">
        <f aca="false">IF(N111="No",0,IF(REVIEW!O111=0,0,IF(G111&gt;0,IF(INDEX(CONFIRM!$J$5:$J$53,G111)&lt;&gt;"",INDEX(CONFIRM!$J$5:$J$53,G111),1),1)))</f>
        <v>1</v>
      </c>
      <c r="AC111" s="1" t="n">
        <f aca="false">IF(AB111=1,IF(COUNTIFS($B$5:B111,B111,$D$5:D111,D111,$AB$5:AB111,1)=1,1,0),0)</f>
        <v>0</v>
      </c>
    </row>
    <row r="112" customFormat="false" ht="15" hidden="false" customHeight="false" outlineLevel="0" collapsed="false">
      <c r="A112" s="48" t="str">
        <f aca="false">STACK!A112</f>
        <v>KVMC-0108</v>
      </c>
      <c r="B112" s="48" t="str">
        <f aca="false">STACK!B112</f>
        <v>KVMC</v>
      </c>
      <c r="C112" s="48" t="str">
        <f aca="false">STACK!E112</f>
        <v>Grief Support Group</v>
      </c>
      <c r="D112" s="1" t="str">
        <f aca="false">IFERROR(INDEX(MAP!$J$7:$J$101,MATCH(TRIM(C112),MAP!$I$7:$I$101,0)),"UNMAPPED")</f>
        <v>Grief Support Group</v>
      </c>
      <c r="E112" s="1" t="str">
        <f aca="false">IFERROR(INDEX(MAP!$K$7:$K$101,MATCH(TRIM(C112),MAP!$I$7:$I$101,0)),"")</f>
        <v>Behavioral health</v>
      </c>
      <c r="F112" s="1" t="str">
        <f aca="false">IFERROR(INDEX(MAP!$L$7:$L$101,MATCH(TRIM(C112),MAP!$I$7:$I$101,0)),"")</f>
        <v>Event</v>
      </c>
      <c r="G112" s="1" t="n">
        <f aca="false">IFERROR(MATCH(A112,CONFIRM!$A$5:$A$53,0),0)</f>
        <v>0</v>
      </c>
      <c r="H112" s="48" t="str">
        <f aca="false">STACK!F112</f>
        <v>Health Care Support Services</v>
      </c>
      <c r="I112" s="1" t="str">
        <f aca="false">IF(G112&gt;0,IF(INDEX(CONFIRM!$I$5:$I$53,G112)&lt;&gt;"",INDEX(CONFIRM!$I$5:$I$53,G112),H112),H112)</f>
        <v>Health Care Support Services</v>
      </c>
      <c r="J112" s="1" t="str">
        <f aca="false">IFERROR(INDEX(MAP!$F$7:$F$74,MATCH(TRIM(I112),MAP!$E$7:$E$74,0)),"UNMAPPED")</f>
        <v>Health care support services</v>
      </c>
      <c r="K112" s="1" t="str">
        <f aca="false">IFERROR(INDEX(MAP!$G$7:$G$74,MATCH(TRIM(I112),MAP!$E$7:$E$74,0)),"UNMAPPED")</f>
        <v>7e</v>
      </c>
      <c r="L112" s="49" t="n">
        <f aca="false">STACK!G112</f>
        <v>45930</v>
      </c>
      <c r="M112" s="59" t="n">
        <f aca="false">IF(G112&gt;0,IF(INDEX(CONFIRM!$G$5:$G$53,G112)&lt;&gt;"",INDEX(CONFIRM!$G$5:$G$53,G112),IF(ISNUMBER(L112),L112,IFERROR(DATEVALUE(L112),""))),IF(ISNUMBER(L112),L112,IFERROR(DATEVALUE(L112),"")))</f>
        <v>45930</v>
      </c>
      <c r="N112" s="1" t="str">
        <f aca="false">IF(M112="","Check",IF(AND(M112&gt;=INPUTS!$C$6,M112&lt;=INPUTS!$C$7),"Yes","No"))</f>
        <v>Yes</v>
      </c>
      <c r="O112" s="48" t="str">
        <f aca="false">STACK!H112</f>
        <v>Chaplain</v>
      </c>
      <c r="P112" s="1" t="str">
        <f aca="false">IF(G112&gt;0,IF(INDEX(CONFIRM!$H$5:$H$53,G112)&lt;&gt;"",INDEX(CONFIRM!$H$5:$H$53,G112),IFERROR(INDEX(MAP!$B$7:$B$156,MATCH(TRIM(O112),MAP!$A$7:$A$156,0)),"UNMAPPED")),IFERROR(INDEX(MAP!$B$7:$B$156,MATCH(TRIM(O112),MAP!$A$7:$A$156,0)),"UNMAPPED"))</f>
        <v>Chaplain</v>
      </c>
      <c r="Q112" s="48" t="n">
        <f aca="false">STACK!I112</f>
        <v>2.25</v>
      </c>
      <c r="R112" s="60" t="n">
        <f aca="false">IF(G112&gt;0,IF(INDEX(CONFIRM!$F$5:$F$53,G112)&lt;&gt;"",INDEX(CONFIRM!$F$5:$F$53,G112),IF(ISNUMBER(Q112),Q112,IF(Q112="","",IFERROR(VALUE(TRIM(SUBSTITUTE(SUBSTITUTE(LOWER(Q112),"hrs",""),"hr",""))),"")))),IF(ISNUMBER(Q112),Q112,IF(Q112="","",IFERROR(VALUE(TRIM(SUBSTITUTE(SUBSTITUTE(LOWER(Q112),"hrs",""),"hr",""))),""))))</f>
        <v>2.25</v>
      </c>
      <c r="S112" s="57" t="n">
        <f aca="false">IFERROR(INDEX(RATES!$E$6:$E$28,MATCH(P112,RATES!$A$6:$A$28,0)),0)</f>
        <v>39.835</v>
      </c>
      <c r="T112" s="61" t="n">
        <f aca="false">IF(ISNUMBER(R112),R112,0)*S112</f>
        <v>89.62875</v>
      </c>
      <c r="U112" s="61" t="n">
        <f aca="false">T112*INDEX(INPUTS!$H$10:$H$14,MATCH(B112,INPUTS!$A$10:$A$14,0))</f>
        <v>16.58131875</v>
      </c>
      <c r="V112" s="61" t="n">
        <f aca="false">N(STACK!K112)</f>
        <v>30</v>
      </c>
      <c r="W112" s="61" t="n">
        <f aca="false">T112+U112+V112</f>
        <v>136.21006875</v>
      </c>
      <c r="X112" s="61" t="n">
        <f aca="false">N(STACK!L112)</f>
        <v>0</v>
      </c>
      <c r="Y112" s="61" t="n">
        <f aca="false">W112-X112</f>
        <v>136.21006875</v>
      </c>
      <c r="Z112" s="1" t="n">
        <f aca="false">N(STACK!J112)</f>
        <v>15</v>
      </c>
      <c r="AA112" s="1" t="str">
        <f aca="false">TRIM(IF(D112="UNMAPPED","Program not mapped. ","")&amp;IF(OR(K112="UNMAPPED",K112="UNASSIGNED"),"Category needs review. ","")&amp;IF(P112="UNMAPPED","Title not mapped. ","")&amp;IF(AND(P112&lt;&gt;"No staff time",R112=""),"Missing hours. ","")&amp;IF(M112="","Date not readable. ","")&amp;IF(N112="No","Outside fiscal year. ","")&amp;IF(AND(F112="Event",ISNUMBER(R112)),IF(R112&gt;12,"Event hours look high. ",""),"")&amp;IF(G112&gt;0,"See CONFIRM sheet.",""))</f>
        <v/>
      </c>
      <c r="AB112" s="1" t="n">
        <f aca="false">IF(N112="No",0,IF(REVIEW!O112=0,0,IF(G112&gt;0,IF(INDEX(CONFIRM!$J$5:$J$53,G112)&lt;&gt;"",INDEX(CONFIRM!$J$5:$J$53,G112),1),1)))</f>
        <v>1</v>
      </c>
      <c r="AC112" s="1" t="n">
        <f aca="false">IF(AB112=1,IF(COUNTIFS($B$5:B112,B112,$D$5:D112,D112,$AB$5:AB112,1)=1,1,0),0)</f>
        <v>0</v>
      </c>
    </row>
    <row r="113" customFormat="false" ht="15" hidden="false" customHeight="false" outlineLevel="0" collapsed="false">
      <c r="A113" s="48" t="str">
        <f aca="false">STACK!A113</f>
        <v>KVMC-0109</v>
      </c>
      <c r="B113" s="48" t="str">
        <f aca="false">STACK!B113</f>
        <v>KVMC</v>
      </c>
      <c r="C113" s="48" t="str">
        <f aca="false">STACK!E113</f>
        <v>Grief Support Group</v>
      </c>
      <c r="D113" s="1" t="str">
        <f aca="false">IFERROR(INDEX(MAP!$J$7:$J$101,MATCH(TRIM(C113),MAP!$I$7:$I$101,0)),"UNMAPPED")</f>
        <v>Grief Support Group</v>
      </c>
      <c r="E113" s="1" t="str">
        <f aca="false">IFERROR(INDEX(MAP!$K$7:$K$101,MATCH(TRIM(C113),MAP!$I$7:$I$101,0)),"")</f>
        <v>Behavioral health</v>
      </c>
      <c r="F113" s="1" t="str">
        <f aca="false">IFERROR(INDEX(MAP!$L$7:$L$101,MATCH(TRIM(C113),MAP!$I$7:$I$101,0)),"")</f>
        <v>Event</v>
      </c>
      <c r="G113" s="1" t="n">
        <f aca="false">IFERROR(MATCH(A113,CONFIRM!$A$5:$A$53,0),0)</f>
        <v>0</v>
      </c>
      <c r="H113" s="48" t="str">
        <f aca="false">STACK!F113</f>
        <v>Health Care Support Services</v>
      </c>
      <c r="I113" s="1" t="str">
        <f aca="false">IF(G113&gt;0,IF(INDEX(CONFIRM!$I$5:$I$53,G113)&lt;&gt;"",INDEX(CONFIRM!$I$5:$I$53,G113),H113),H113)</f>
        <v>Health Care Support Services</v>
      </c>
      <c r="J113" s="1" t="str">
        <f aca="false">IFERROR(INDEX(MAP!$F$7:$F$74,MATCH(TRIM(I113),MAP!$E$7:$E$74,0)),"UNMAPPED")</f>
        <v>Health care support services</v>
      </c>
      <c r="K113" s="1" t="str">
        <f aca="false">IFERROR(INDEX(MAP!$G$7:$G$74,MATCH(TRIM(I113),MAP!$E$7:$E$74,0)),"UNMAPPED")</f>
        <v>7e</v>
      </c>
      <c r="L113" s="49" t="n">
        <f aca="false">STACK!G113</f>
        <v>45930</v>
      </c>
      <c r="M113" s="59" t="n">
        <f aca="false">IF(G113&gt;0,IF(INDEX(CONFIRM!$G$5:$G$53,G113)&lt;&gt;"",INDEX(CONFIRM!$G$5:$G$53,G113),IF(ISNUMBER(L113),L113,IFERROR(DATEVALUE(L113),""))),IF(ISNUMBER(L113),L113,IFERROR(DATEVALUE(L113),"")))</f>
        <v>45930</v>
      </c>
      <c r="N113" s="1" t="str">
        <f aca="false">IF(M113="","Check",IF(AND(M113&gt;=INPUTS!$C$6,M113&lt;=INPUTS!$C$7),"Yes","No"))</f>
        <v>Yes</v>
      </c>
      <c r="O113" s="48" t="str">
        <f aca="false">STACK!H113</f>
        <v>LCSW </v>
      </c>
      <c r="P113" s="1" t="str">
        <f aca="false">IF(G113&gt;0,IF(INDEX(CONFIRM!$H$5:$H$53,G113)&lt;&gt;"",INDEX(CONFIRM!$H$5:$H$53,G113),IFERROR(INDEX(MAP!$B$7:$B$156,MATCH(TRIM(O113),MAP!$A$7:$A$156,0)),"UNMAPPED")),IFERROR(INDEX(MAP!$B$7:$B$156,MATCH(TRIM(O113),MAP!$A$7:$A$156,0)),"UNMAPPED"))</f>
        <v>Social Worker</v>
      </c>
      <c r="Q113" s="48" t="n">
        <f aca="false">STACK!I113</f>
        <v>1.5</v>
      </c>
      <c r="R113" s="60" t="n">
        <f aca="false">IF(G113&gt;0,IF(INDEX(CONFIRM!$F$5:$F$53,G113)&lt;&gt;"",INDEX(CONFIRM!$F$5:$F$53,G113),IF(ISNUMBER(Q113),Q113,IF(Q113="","",IFERROR(VALUE(TRIM(SUBSTITUTE(SUBSTITUTE(LOWER(Q113),"hrs",""),"hr",""))),"")))),IF(ISNUMBER(Q113),Q113,IF(Q113="","",IFERROR(VALUE(TRIM(SUBSTITUTE(SUBSTITUTE(LOWER(Q113),"hrs",""),"hr",""))),""))))</f>
        <v>1.5</v>
      </c>
      <c r="S113" s="57" t="n">
        <f aca="false">IFERROR(INDEX(RATES!$E$6:$E$28,MATCH(P113,RATES!$A$6:$A$28,0)),0)</f>
        <v>45.6175</v>
      </c>
      <c r="T113" s="61" t="n">
        <f aca="false">IF(ISNUMBER(R113),R113,0)*S113</f>
        <v>68.42625</v>
      </c>
      <c r="U113" s="61" t="n">
        <f aca="false">T113*INDEX(INPUTS!$H$10:$H$14,MATCH(B113,INPUTS!$A$10:$A$14,0))</f>
        <v>12.65885625</v>
      </c>
      <c r="V113" s="61" t="n">
        <f aca="false">N(STACK!K113)</f>
        <v>0</v>
      </c>
      <c r="W113" s="61" t="n">
        <f aca="false">T113+U113+V113</f>
        <v>81.08510625</v>
      </c>
      <c r="X113" s="61" t="n">
        <f aca="false">N(STACK!L113)</f>
        <v>0</v>
      </c>
      <c r="Y113" s="61" t="n">
        <f aca="false">W113-X113</f>
        <v>81.08510625</v>
      </c>
      <c r="Z113" s="1" t="n">
        <f aca="false">N(STACK!J113)</f>
        <v>0</v>
      </c>
      <c r="AA113" s="1" t="str">
        <f aca="false">TRIM(IF(D113="UNMAPPED","Program not mapped. ","")&amp;IF(OR(K113="UNMAPPED",K113="UNASSIGNED"),"Category needs review. ","")&amp;IF(P113="UNMAPPED","Title not mapped. ","")&amp;IF(AND(P113&lt;&gt;"No staff time",R113=""),"Missing hours. ","")&amp;IF(M113="","Date not readable. ","")&amp;IF(N113="No","Outside fiscal year. ","")&amp;IF(AND(F113="Event",ISNUMBER(R113)),IF(R113&gt;12,"Event hours look high. ",""),"")&amp;IF(G113&gt;0,"See CONFIRM sheet.",""))</f>
        <v/>
      </c>
      <c r="AB113" s="1" t="n">
        <f aca="false">IF(N113="No",0,IF(REVIEW!O113=0,0,IF(G113&gt;0,IF(INDEX(CONFIRM!$J$5:$J$53,G113)&lt;&gt;"",INDEX(CONFIRM!$J$5:$J$53,G113),1),1)))</f>
        <v>1</v>
      </c>
      <c r="AC113" s="1" t="n">
        <f aca="false">IF(AB113=1,IF(COUNTIFS($B$5:B113,B113,$D$5:D113,D113,$AB$5:AB113,1)=1,1,0),0)</f>
        <v>0</v>
      </c>
    </row>
    <row r="114" customFormat="false" ht="15" hidden="false" customHeight="false" outlineLevel="0" collapsed="false">
      <c r="A114" s="48" t="str">
        <f aca="false">STACK!A114</f>
        <v>KVMC-0110</v>
      </c>
      <c r="B114" s="48" t="str">
        <f aca="false">STACK!B114</f>
        <v>KVMC</v>
      </c>
      <c r="C114" s="48" t="str">
        <f aca="false">STACK!E114</f>
        <v>Tobacco Cessation Classes</v>
      </c>
      <c r="D114" s="1" t="str">
        <f aca="false">IFERROR(INDEX(MAP!$J$7:$J$101,MATCH(TRIM(C114),MAP!$I$7:$I$101,0)),"UNMAPPED")</f>
        <v>Tobacco Cessation Classes</v>
      </c>
      <c r="E114" s="1" t="str">
        <f aca="false">IFERROR(INDEX(MAP!$K$7:$K$101,MATCH(TRIM(C114),MAP!$I$7:$I$101,0)),"")</f>
        <v>Chronic disease prevention</v>
      </c>
      <c r="F114" s="1" t="str">
        <f aca="false">IFERROR(INDEX(MAP!$L$7:$L$101,MATCH(TRIM(C114),MAP!$I$7:$I$101,0)),"")</f>
        <v>Event</v>
      </c>
      <c r="G114" s="1" t="n">
        <f aca="false">IFERROR(MATCH(A114,CONFIRM!$A$5:$A$53,0),0)</f>
        <v>0</v>
      </c>
      <c r="H114" s="48" t="str">
        <f aca="false">STACK!F114</f>
        <v>Community Health Education</v>
      </c>
      <c r="I114" s="1" t="str">
        <f aca="false">IF(G114&gt;0,IF(INDEX(CONFIRM!$I$5:$I$53,G114)&lt;&gt;"",INDEX(CONFIRM!$I$5:$I$53,G114),H114),H114)</f>
        <v>Community Health Education</v>
      </c>
      <c r="J114" s="1" t="str">
        <f aca="false">IFERROR(INDEX(MAP!$F$7:$F$74,MATCH(TRIM(I114),MAP!$E$7:$E$74,0)),"UNMAPPED")</f>
        <v>Community health education</v>
      </c>
      <c r="K114" s="1" t="str">
        <f aca="false">IFERROR(INDEX(MAP!$G$7:$G$74,MATCH(TRIM(I114),MAP!$E$7:$E$74,0)),"UNMAPPED")</f>
        <v>7e</v>
      </c>
      <c r="L114" s="49" t="n">
        <f aca="false">STACK!G114</f>
        <v>45930</v>
      </c>
      <c r="M114" s="59" t="n">
        <f aca="false">IF(G114&gt;0,IF(INDEX(CONFIRM!$G$5:$G$53,G114)&lt;&gt;"",INDEX(CONFIRM!$G$5:$G$53,G114),IF(ISNUMBER(L114),L114,IFERROR(DATEVALUE(L114),""))),IF(ISNUMBER(L114),L114,IFERROR(DATEVALUE(L114),"")))</f>
        <v>45930</v>
      </c>
      <c r="N114" s="1" t="str">
        <f aca="false">IF(M114="","Check",IF(AND(M114&gt;=INPUTS!$C$6,M114&lt;=INPUTS!$C$7),"Yes","No"))</f>
        <v>Yes</v>
      </c>
      <c r="O114" s="48" t="str">
        <f aca="false">STACK!H114</f>
        <v> Phys Therapist</v>
      </c>
      <c r="P114" s="1" t="str">
        <f aca="false">IF(G114&gt;0,IF(INDEX(CONFIRM!$H$5:$H$53,G114)&lt;&gt;"",INDEX(CONFIRM!$H$5:$H$53,G114),IFERROR(INDEX(MAP!$B$7:$B$156,MATCH(TRIM(O114),MAP!$A$7:$A$156,0)),"UNMAPPED")),IFERROR(INDEX(MAP!$B$7:$B$156,MATCH(TRIM(O114),MAP!$A$7:$A$156,0)),"UNMAPPED"))</f>
        <v>Licensed Therapist</v>
      </c>
      <c r="Q114" s="48" t="n">
        <f aca="false">STACK!I114</f>
        <v>2</v>
      </c>
      <c r="R114" s="60" t="n">
        <f aca="false">IF(G114&gt;0,IF(INDEX(CONFIRM!$F$5:$F$53,G114)&lt;&gt;"",INDEX(CONFIRM!$F$5:$F$53,G114),IF(ISNUMBER(Q114),Q114,IF(Q114="","",IFERROR(VALUE(TRIM(SUBSTITUTE(SUBSTITUTE(LOWER(Q114),"hrs",""),"hr",""))),"")))),IF(ISNUMBER(Q114),Q114,IF(Q114="","",IFERROR(VALUE(TRIM(SUBSTITUTE(SUBSTITUTE(LOWER(Q114),"hrs",""),"hr",""))),""))))</f>
        <v>2</v>
      </c>
      <c r="S114" s="57" t="n">
        <f aca="false">IFERROR(INDEX(RATES!$E$6:$E$28,MATCH(P114,RATES!$A$6:$A$28,0)),0)</f>
        <v>53.97</v>
      </c>
      <c r="T114" s="61" t="n">
        <f aca="false">IF(ISNUMBER(R114),R114,0)*S114</f>
        <v>107.94</v>
      </c>
      <c r="U114" s="61" t="n">
        <f aca="false">T114*INDEX(INPUTS!$H$10:$H$14,MATCH(B114,INPUTS!$A$10:$A$14,0))</f>
        <v>19.9689</v>
      </c>
      <c r="V114" s="61" t="n">
        <f aca="false">N(STACK!K114)</f>
        <v>255</v>
      </c>
      <c r="W114" s="61" t="n">
        <f aca="false">T114+U114+V114</f>
        <v>382.9089</v>
      </c>
      <c r="X114" s="61" t="n">
        <f aca="false">N(STACK!L114)</f>
        <v>0</v>
      </c>
      <c r="Y114" s="61" t="n">
        <f aca="false">W114-X114</f>
        <v>382.9089</v>
      </c>
      <c r="Z114" s="1" t="n">
        <f aca="false">N(STACK!J114)</f>
        <v>10</v>
      </c>
      <c r="AA114" s="1" t="str">
        <f aca="false">TRIM(IF(D114="UNMAPPED","Program not mapped. ","")&amp;IF(OR(K114="UNMAPPED",K114="UNASSIGNED"),"Category needs review. ","")&amp;IF(P114="UNMAPPED","Title not mapped. ","")&amp;IF(AND(P114&lt;&gt;"No staff time",R114=""),"Missing hours. ","")&amp;IF(M114="","Date not readable. ","")&amp;IF(N114="No","Outside fiscal year. ","")&amp;IF(AND(F114="Event",ISNUMBER(R114)),IF(R114&gt;12,"Event hours look high. ",""),"")&amp;IF(G114&gt;0,"See CONFIRM sheet.",""))</f>
        <v/>
      </c>
      <c r="AB114" s="1" t="n">
        <f aca="false">IF(N114="No",0,IF(REVIEW!O114=0,0,IF(G114&gt;0,IF(INDEX(CONFIRM!$J$5:$J$53,G114)&lt;&gt;"",INDEX(CONFIRM!$J$5:$J$53,G114),1),1)))</f>
        <v>1</v>
      </c>
      <c r="AC114" s="1" t="n">
        <f aca="false">IF(AB114=1,IF(COUNTIFS($B$5:B114,B114,$D$5:D114,D114,$AB$5:AB114,1)=1,1,0),0)</f>
        <v>0</v>
      </c>
    </row>
    <row r="115" customFormat="false" ht="15" hidden="false" customHeight="false" outlineLevel="0" collapsed="false">
      <c r="A115" s="48" t="str">
        <f aca="false">STACK!A115</f>
        <v>KVMC-0111</v>
      </c>
      <c r="B115" s="48" t="str">
        <f aca="false">STACK!B115</f>
        <v>KVMC</v>
      </c>
      <c r="C115" s="48" t="str">
        <f aca="false">STACK!E115</f>
        <v>Free Clinic Provider Staffing</v>
      </c>
      <c r="D115" s="1" t="str">
        <f aca="false">IFERROR(INDEX(MAP!$J$7:$J$101,MATCH(TRIM(C115),MAP!$I$7:$I$101,0)),"UNMAPPED")</f>
        <v>Free Clinic Provider Staffing</v>
      </c>
      <c r="E115" s="1" t="str">
        <f aca="false">IFERROR(INDEX(MAP!$K$7:$K$101,MATCH(TRIM(C115),MAP!$I$7:$I$101,0)),"")</f>
        <v>Access to care</v>
      </c>
      <c r="F115" s="1" t="str">
        <f aca="false">IFERROR(INDEX(MAP!$L$7:$L$101,MATCH(TRIM(C115),MAP!$I$7:$I$101,0)),"")</f>
        <v>Monthly</v>
      </c>
      <c r="G115" s="1" t="n">
        <f aca="false">IFERROR(MATCH(A115,CONFIRM!$A$5:$A$53,0),0)</f>
        <v>0</v>
      </c>
      <c r="H115" s="48" t="str">
        <f aca="false">STACK!F115</f>
        <v>Community-Based Clinical Services</v>
      </c>
      <c r="I115" s="1" t="str">
        <f aca="false">IF(G115&gt;0,IF(INDEX(CONFIRM!$I$5:$I$53,G115)&lt;&gt;"",INDEX(CONFIRM!$I$5:$I$53,G115),H115),H115)</f>
        <v>Community-Based Clinical Services</v>
      </c>
      <c r="J115" s="1" t="str">
        <f aca="false">IFERROR(INDEX(MAP!$F$7:$F$74,MATCH(TRIM(I115),MAP!$E$7:$E$74,0)),"UNMAPPED")</f>
        <v>Community-based clinical services</v>
      </c>
      <c r="K115" s="1" t="str">
        <f aca="false">IFERROR(INDEX(MAP!$G$7:$G$74,MATCH(TRIM(I115),MAP!$E$7:$E$74,0)),"UNMAPPED")</f>
        <v>7e</v>
      </c>
      <c r="L115" s="49" t="n">
        <f aca="false">STACK!G115</f>
        <v>45930</v>
      </c>
      <c r="M115" s="59" t="n">
        <f aca="false">IF(G115&gt;0,IF(INDEX(CONFIRM!$G$5:$G$53,G115)&lt;&gt;"",INDEX(CONFIRM!$G$5:$G$53,G115),IF(ISNUMBER(L115),L115,IFERROR(DATEVALUE(L115),""))),IF(ISNUMBER(L115),L115,IFERROR(DATEVALUE(L115),"")))</f>
        <v>45930</v>
      </c>
      <c r="N115" s="1" t="str">
        <f aca="false">IF(M115="","Check",IF(AND(M115&gt;=INPUTS!$C$6,M115&lt;=INPUTS!$C$7),"Yes","No"))</f>
        <v>Yes</v>
      </c>
      <c r="O115" s="48" t="str">
        <f aca="false">STACK!H115</f>
        <v>APRN</v>
      </c>
      <c r="P115" s="1" t="str">
        <f aca="false">IF(G115&gt;0,IF(INDEX(CONFIRM!$H$5:$H$53,G115)&lt;&gt;"",INDEX(CONFIRM!$H$5:$H$53,G115),IFERROR(INDEX(MAP!$B$7:$B$156,MATCH(TRIM(O115),MAP!$A$7:$A$156,0)),"UNMAPPED")),IFERROR(INDEX(MAP!$B$7:$B$156,MATCH(TRIM(O115),MAP!$A$7:$A$156,0)),"UNMAPPED"))</f>
        <v>Nurse Practitioner</v>
      </c>
      <c r="Q115" s="48" t="n">
        <f aca="false">STACK!I115</f>
        <v>42</v>
      </c>
      <c r="R115" s="60" t="n">
        <f aca="false">IF(G115&gt;0,IF(INDEX(CONFIRM!$F$5:$F$53,G115)&lt;&gt;"",INDEX(CONFIRM!$F$5:$F$53,G115),IF(ISNUMBER(Q115),Q115,IF(Q115="","",IFERROR(VALUE(TRIM(SUBSTITUTE(SUBSTITUTE(LOWER(Q115),"hrs",""),"hr",""))),"")))),IF(ISNUMBER(Q115),Q115,IF(Q115="","",IFERROR(VALUE(TRIM(SUBSTITUTE(SUBSTITUTE(LOWER(Q115),"hrs",""),"hr",""))),""))))</f>
        <v>42</v>
      </c>
      <c r="S115" s="57" t="n">
        <f aca="false">IFERROR(INDEX(RATES!$E$6:$E$28,MATCH(P115,RATES!$A$6:$A$28,0)),0)</f>
        <v>79.67</v>
      </c>
      <c r="T115" s="61" t="n">
        <f aca="false">IF(ISNUMBER(R115),R115,0)*S115</f>
        <v>3346.14</v>
      </c>
      <c r="U115" s="61" t="n">
        <f aca="false">T115*INDEX(INPUTS!$H$10:$H$14,MATCH(B115,INPUTS!$A$10:$A$14,0))</f>
        <v>619.0359</v>
      </c>
      <c r="V115" s="61" t="n">
        <f aca="false">N(STACK!K115)</f>
        <v>5625</v>
      </c>
      <c r="W115" s="61" t="n">
        <f aca="false">T115+U115+V115</f>
        <v>9590.1759</v>
      </c>
      <c r="X115" s="61" t="n">
        <f aca="false">N(STACK!L115)</f>
        <v>0</v>
      </c>
      <c r="Y115" s="61" t="n">
        <f aca="false">W115-X115</f>
        <v>9590.1759</v>
      </c>
      <c r="Z115" s="1" t="n">
        <f aca="false">N(STACK!J115)</f>
        <v>234</v>
      </c>
      <c r="AA115" s="1" t="str">
        <f aca="false">TRIM(IF(D115="UNMAPPED","Program not mapped. ","")&amp;IF(OR(K115="UNMAPPED",K115="UNASSIGNED"),"Category needs review. ","")&amp;IF(P115="UNMAPPED","Title not mapped. ","")&amp;IF(AND(P115&lt;&gt;"No staff time",R115=""),"Missing hours. ","")&amp;IF(M115="","Date not readable. ","")&amp;IF(N115="No","Outside fiscal year. ","")&amp;IF(AND(F115="Event",ISNUMBER(R115)),IF(R115&gt;12,"Event hours look high. ",""),"")&amp;IF(G115&gt;0,"See CONFIRM sheet.",""))</f>
        <v/>
      </c>
      <c r="AB115" s="1" t="n">
        <f aca="false">IF(N115="No",0,IF(REVIEW!O115=0,0,IF(G115&gt;0,IF(INDEX(CONFIRM!$J$5:$J$53,G115)&lt;&gt;"",INDEX(CONFIRM!$J$5:$J$53,G115),1),1)))</f>
        <v>1</v>
      </c>
      <c r="AC115" s="1" t="n">
        <f aca="false">IF(AB115=1,IF(COUNTIFS($B$5:B115,B115,$D$5:D115,D115,$AB$5:AB115,1)=1,1,0),0)</f>
        <v>0</v>
      </c>
    </row>
    <row r="116" customFormat="false" ht="15" hidden="false" customHeight="false" outlineLevel="0" collapsed="false">
      <c r="A116" s="48" t="str">
        <f aca="false">STACK!A116</f>
        <v>KVMC-0112</v>
      </c>
      <c r="B116" s="48" t="str">
        <f aca="false">STACK!B116</f>
        <v>KVMC</v>
      </c>
      <c r="C116" s="48" t="str">
        <f aca="false">STACK!E116</f>
        <v>Free Clinic Provider Staffing</v>
      </c>
      <c r="D116" s="1" t="str">
        <f aca="false">IFERROR(INDEX(MAP!$J$7:$J$101,MATCH(TRIM(C116),MAP!$I$7:$I$101,0)),"UNMAPPED")</f>
        <v>Free Clinic Provider Staffing</v>
      </c>
      <c r="E116" s="1" t="str">
        <f aca="false">IFERROR(INDEX(MAP!$K$7:$K$101,MATCH(TRIM(C116),MAP!$I$7:$I$101,0)),"")</f>
        <v>Access to care</v>
      </c>
      <c r="F116" s="1" t="str">
        <f aca="false">IFERROR(INDEX(MAP!$L$7:$L$101,MATCH(TRIM(C116),MAP!$I$7:$I$101,0)),"")</f>
        <v>Monthly</v>
      </c>
      <c r="G116" s="1" t="n">
        <f aca="false">IFERROR(MATCH(A116,CONFIRM!$A$5:$A$53,0),0)</f>
        <v>0</v>
      </c>
      <c r="H116" s="48" t="str">
        <f aca="false">STACK!F116</f>
        <v>Community-Based Clinical Services</v>
      </c>
      <c r="I116" s="1" t="str">
        <f aca="false">IF(G116&gt;0,IF(INDEX(CONFIRM!$I$5:$I$53,G116)&lt;&gt;"",INDEX(CONFIRM!$I$5:$I$53,G116),H116),H116)</f>
        <v>Community-Based Clinical Services</v>
      </c>
      <c r="J116" s="1" t="str">
        <f aca="false">IFERROR(INDEX(MAP!$F$7:$F$74,MATCH(TRIM(I116),MAP!$E$7:$E$74,0)),"UNMAPPED")</f>
        <v>Community-based clinical services</v>
      </c>
      <c r="K116" s="1" t="str">
        <f aca="false">IFERROR(INDEX(MAP!$G$7:$G$74,MATCH(TRIM(I116),MAP!$E$7:$E$74,0)),"UNMAPPED")</f>
        <v>7e</v>
      </c>
      <c r="L116" s="49" t="n">
        <f aca="false">STACK!G116</f>
        <v>45930</v>
      </c>
      <c r="M116" s="59" t="n">
        <f aca="false">IF(G116&gt;0,IF(INDEX(CONFIRM!$G$5:$G$53,G116)&lt;&gt;"",INDEX(CONFIRM!$G$5:$G$53,G116),IF(ISNUMBER(L116),L116,IFERROR(DATEVALUE(L116),""))),IF(ISNUMBER(L116),L116,IFERROR(DATEVALUE(L116),"")))</f>
        <v>45930</v>
      </c>
      <c r="N116" s="1" t="str">
        <f aca="false">IF(M116="","Check",IF(AND(M116&gt;=INPUTS!$C$6,M116&lt;=INPUTS!$C$7),"Yes","No"))</f>
        <v>Yes</v>
      </c>
      <c r="O116" s="48" t="str">
        <f aca="false">STACK!H116</f>
        <v>Pharmacist</v>
      </c>
      <c r="P116" s="1" t="str">
        <f aca="false">IF(G116&gt;0,IF(INDEX(CONFIRM!$H$5:$H$53,G116)&lt;&gt;"",INDEX(CONFIRM!$H$5:$H$53,G116),IFERROR(INDEX(MAP!$B$7:$B$156,MATCH(TRIM(O116),MAP!$A$7:$A$156,0)),"UNMAPPED")),IFERROR(INDEX(MAP!$B$7:$B$156,MATCH(TRIM(O116),MAP!$A$7:$A$156,0)),"UNMAPPED"))</f>
        <v>Pharmacist</v>
      </c>
      <c r="Q116" s="48" t="n">
        <f aca="false">STACK!I116</f>
        <v>13.25</v>
      </c>
      <c r="R116" s="60" t="n">
        <f aca="false">IF(G116&gt;0,IF(INDEX(CONFIRM!$F$5:$F$53,G116)&lt;&gt;"",INDEX(CONFIRM!$F$5:$F$53,G116),IF(ISNUMBER(Q116),Q116,IF(Q116="","",IFERROR(VALUE(TRIM(SUBSTITUTE(SUBSTITUTE(LOWER(Q116),"hrs",""),"hr",""))),"")))),IF(ISNUMBER(Q116),Q116,IF(Q116="","",IFERROR(VALUE(TRIM(SUBSTITUTE(SUBSTITUTE(LOWER(Q116),"hrs",""),"hr",""))),""))))</f>
        <v>13.25</v>
      </c>
      <c r="S116" s="57" t="n">
        <f aca="false">IFERROR(INDEX(RATES!$E$6:$E$28,MATCH(P116,RATES!$A$6:$A$28,0)),0)</f>
        <v>84.81</v>
      </c>
      <c r="T116" s="61" t="n">
        <f aca="false">IF(ISNUMBER(R116),R116,0)*S116</f>
        <v>1123.7325</v>
      </c>
      <c r="U116" s="61" t="n">
        <f aca="false">T116*INDEX(INPUTS!$H$10:$H$14,MATCH(B116,INPUTS!$A$10:$A$14,0))</f>
        <v>207.8905125</v>
      </c>
      <c r="V116" s="61" t="n">
        <f aca="false">N(STACK!K116)</f>
        <v>0</v>
      </c>
      <c r="W116" s="61" t="n">
        <f aca="false">T116+U116+V116</f>
        <v>1331.6230125</v>
      </c>
      <c r="X116" s="61" t="n">
        <f aca="false">N(STACK!L116)</f>
        <v>0</v>
      </c>
      <c r="Y116" s="61" t="n">
        <f aca="false">W116-X116</f>
        <v>1331.6230125</v>
      </c>
      <c r="Z116" s="1" t="n">
        <f aca="false">N(STACK!J116)</f>
        <v>0</v>
      </c>
      <c r="AA116" s="1" t="str">
        <f aca="false">TRIM(IF(D116="UNMAPPED","Program not mapped. ","")&amp;IF(OR(K116="UNMAPPED",K116="UNASSIGNED"),"Category needs review. ","")&amp;IF(P116="UNMAPPED","Title not mapped. ","")&amp;IF(AND(P116&lt;&gt;"No staff time",R116=""),"Missing hours. ","")&amp;IF(M116="","Date not readable. ","")&amp;IF(N116="No","Outside fiscal year. ","")&amp;IF(AND(F116="Event",ISNUMBER(R116)),IF(R116&gt;12,"Event hours look high. ",""),"")&amp;IF(G116&gt;0,"See CONFIRM sheet.",""))</f>
        <v/>
      </c>
      <c r="AB116" s="1" t="n">
        <f aca="false">IF(N116="No",0,IF(REVIEW!O116=0,0,IF(G116&gt;0,IF(INDEX(CONFIRM!$J$5:$J$53,G116)&lt;&gt;"",INDEX(CONFIRM!$J$5:$J$53,G116),1),1)))</f>
        <v>1</v>
      </c>
      <c r="AC116" s="1" t="n">
        <f aca="false">IF(AB116=1,IF(COUNTIFS($B$5:B116,B116,$D$5:D116,D116,$AB$5:AB116,1)=1,1,0),0)</f>
        <v>0</v>
      </c>
    </row>
    <row r="117" customFormat="false" ht="15" hidden="false" customHeight="false" outlineLevel="0" collapsed="false">
      <c r="A117" s="48" t="str">
        <f aca="false">STACK!A117</f>
        <v>KVMC-0113</v>
      </c>
      <c r="B117" s="48" t="str">
        <f aca="false">STACK!B117</f>
        <v>KVMC</v>
      </c>
      <c r="C117" s="48" t="str">
        <f aca="false">STACK!E117</f>
        <v>Free Clinic Provider Staffing</v>
      </c>
      <c r="D117" s="1" t="str">
        <f aca="false">IFERROR(INDEX(MAP!$J$7:$J$101,MATCH(TRIM(C117),MAP!$I$7:$I$101,0)),"UNMAPPED")</f>
        <v>Free Clinic Provider Staffing</v>
      </c>
      <c r="E117" s="1" t="str">
        <f aca="false">IFERROR(INDEX(MAP!$K$7:$K$101,MATCH(TRIM(C117),MAP!$I$7:$I$101,0)),"")</f>
        <v>Access to care</v>
      </c>
      <c r="F117" s="1" t="str">
        <f aca="false">IFERROR(INDEX(MAP!$L$7:$L$101,MATCH(TRIM(C117),MAP!$I$7:$I$101,0)),"")</f>
        <v>Monthly</v>
      </c>
      <c r="G117" s="1" t="n">
        <f aca="false">IFERROR(MATCH(A117,CONFIRM!$A$5:$A$53,0),0)</f>
        <v>0</v>
      </c>
      <c r="H117" s="48" t="str">
        <f aca="false">STACK!F117</f>
        <v>Community-Based Clinical Services</v>
      </c>
      <c r="I117" s="1" t="str">
        <f aca="false">IF(G117&gt;0,IF(INDEX(CONFIRM!$I$5:$I$53,G117)&lt;&gt;"",INDEX(CONFIRM!$I$5:$I$53,G117),H117),H117)</f>
        <v>Community-Based Clinical Services</v>
      </c>
      <c r="J117" s="1" t="str">
        <f aca="false">IFERROR(INDEX(MAP!$F$7:$F$74,MATCH(TRIM(I117),MAP!$E$7:$E$74,0)),"UNMAPPED")</f>
        <v>Community-based clinical services</v>
      </c>
      <c r="K117" s="1" t="str">
        <f aca="false">IFERROR(INDEX(MAP!$G$7:$G$74,MATCH(TRIM(I117),MAP!$E$7:$E$74,0)),"UNMAPPED")</f>
        <v>7e</v>
      </c>
      <c r="L117" s="49" t="n">
        <f aca="false">STACK!G117</f>
        <v>45930</v>
      </c>
      <c r="M117" s="59" t="n">
        <f aca="false">IF(G117&gt;0,IF(INDEX(CONFIRM!$G$5:$G$53,G117)&lt;&gt;"",INDEX(CONFIRM!$G$5:$G$53,G117),IF(ISNUMBER(L117),L117,IFERROR(DATEVALUE(L117),""))),IF(ISNUMBER(L117),L117,IFERROR(DATEVALUE(L117),"")))</f>
        <v>45930</v>
      </c>
      <c r="N117" s="1" t="str">
        <f aca="false">IF(M117="","Check",IF(AND(M117&gt;=INPUTS!$C$6,M117&lt;=INPUTS!$C$7),"Yes","No"))</f>
        <v>Yes</v>
      </c>
      <c r="O117" s="48" t="str">
        <f aca="false">STACK!H117</f>
        <v>Reg Nurse</v>
      </c>
      <c r="P117" s="1" t="str">
        <f aca="false">IF(G117&gt;0,IF(INDEX(CONFIRM!$H$5:$H$53,G117)&lt;&gt;"",INDEX(CONFIRM!$H$5:$H$53,G117),IFERROR(INDEX(MAP!$B$7:$B$156,MATCH(TRIM(O117),MAP!$A$7:$A$156,0)),"UNMAPPED")),IFERROR(INDEX(MAP!$B$7:$B$156,MATCH(TRIM(O117),MAP!$A$7:$A$156,0)),"UNMAPPED"))</f>
        <v>Registered Nurse</v>
      </c>
      <c r="Q117" s="48" t="n">
        <f aca="false">STACK!I117</f>
        <v>41.75</v>
      </c>
      <c r="R117" s="60" t="n">
        <f aca="false">IF(G117&gt;0,IF(INDEX(CONFIRM!$F$5:$F$53,G117)&lt;&gt;"",INDEX(CONFIRM!$F$5:$F$53,G117),IF(ISNUMBER(Q117),Q117,IF(Q117="","",IFERROR(VALUE(TRIM(SUBSTITUTE(SUBSTITUTE(LOWER(Q117),"hrs",""),"hr",""))),"")))),IF(ISNUMBER(Q117),Q117,IF(Q117="","",IFERROR(VALUE(TRIM(SUBSTITUTE(SUBSTITUTE(LOWER(Q117),"hrs",""),"hr",""))),""))))</f>
        <v>41.75</v>
      </c>
      <c r="S117" s="57" t="n">
        <f aca="false">IFERROR(INDEX(RATES!$E$6:$E$28,MATCH(P117,RATES!$A$6:$A$28,0)),0)</f>
        <v>55.8975</v>
      </c>
      <c r="T117" s="61" t="n">
        <f aca="false">IF(ISNUMBER(R117),R117,0)*S117</f>
        <v>2333.720625</v>
      </c>
      <c r="U117" s="61" t="n">
        <f aca="false">T117*INDEX(INPUTS!$H$10:$H$14,MATCH(B117,INPUTS!$A$10:$A$14,0))</f>
        <v>431.738315625</v>
      </c>
      <c r="V117" s="61" t="n">
        <f aca="false">N(STACK!K117)</f>
        <v>0</v>
      </c>
      <c r="W117" s="61" t="n">
        <f aca="false">T117+U117+V117</f>
        <v>2765.458940625</v>
      </c>
      <c r="X117" s="61" t="n">
        <f aca="false">N(STACK!L117)</f>
        <v>0</v>
      </c>
      <c r="Y117" s="61" t="n">
        <f aca="false">W117-X117</f>
        <v>2765.458940625</v>
      </c>
      <c r="Z117" s="1" t="n">
        <f aca="false">N(STACK!J117)</f>
        <v>0</v>
      </c>
      <c r="AA117" s="1" t="str">
        <f aca="false">TRIM(IF(D117="UNMAPPED","Program not mapped. ","")&amp;IF(OR(K117="UNMAPPED",K117="UNASSIGNED"),"Category needs review. ","")&amp;IF(P117="UNMAPPED","Title not mapped. ","")&amp;IF(AND(P117&lt;&gt;"No staff time",R117=""),"Missing hours. ","")&amp;IF(M117="","Date not readable. ","")&amp;IF(N117="No","Outside fiscal year. ","")&amp;IF(AND(F117="Event",ISNUMBER(R117)),IF(R117&gt;12,"Event hours look high. ",""),"")&amp;IF(G117&gt;0,"See CONFIRM sheet.",""))</f>
        <v/>
      </c>
      <c r="AB117" s="1" t="n">
        <f aca="false">IF(N117="No",0,IF(REVIEW!O117=0,0,IF(G117&gt;0,IF(INDEX(CONFIRM!$J$5:$J$53,G117)&lt;&gt;"",INDEX(CONFIRM!$J$5:$J$53,G117),1),1)))</f>
        <v>1</v>
      </c>
      <c r="AC117" s="1" t="n">
        <f aca="false">IF(AB117=1,IF(COUNTIFS($B$5:B117,B117,$D$5:D117,D117,$AB$5:AB117,1)=1,1,0),0)</f>
        <v>0</v>
      </c>
    </row>
    <row r="118" customFormat="false" ht="15" hidden="false" customHeight="false" outlineLevel="0" collapsed="false">
      <c r="A118" s="48" t="str">
        <f aca="false">STACK!A118</f>
        <v>KVMC-0114</v>
      </c>
      <c r="B118" s="48" t="str">
        <f aca="false">STACK!B118</f>
        <v>KVMC</v>
      </c>
      <c r="C118" s="48" t="str">
        <f aca="false">STACK!E118</f>
        <v>Community Health Worker Outreach</v>
      </c>
      <c r="D118" s="1" t="str">
        <f aca="false">IFERROR(INDEX(MAP!$J$7:$J$101,MATCH(TRIM(C118),MAP!$I$7:$I$101,0)),"UNMAPPED")</f>
        <v>Community Health Worker Outreach</v>
      </c>
      <c r="E118" s="1" t="str">
        <f aca="false">IFERROR(INDEX(MAP!$K$7:$K$101,MATCH(TRIM(C118),MAP!$I$7:$I$101,0)),"")</f>
        <v>Access to care</v>
      </c>
      <c r="F118" s="1" t="str">
        <f aca="false">IFERROR(INDEX(MAP!$L$7:$L$101,MATCH(TRIM(C118),MAP!$I$7:$I$101,0)),"")</f>
        <v>Monthly</v>
      </c>
      <c r="G118" s="1" t="n">
        <f aca="false">IFERROR(MATCH(A118,CONFIRM!$A$5:$A$53,0),0)</f>
        <v>0</v>
      </c>
      <c r="H118" s="48" t="str">
        <f aca="false">STACK!F118</f>
        <v>Health Care Support Services</v>
      </c>
      <c r="I118" s="1" t="str">
        <f aca="false">IF(G118&gt;0,IF(INDEX(CONFIRM!$I$5:$I$53,G118)&lt;&gt;"",INDEX(CONFIRM!$I$5:$I$53,G118),H118),H118)</f>
        <v>Health Care Support Services</v>
      </c>
      <c r="J118" s="1" t="str">
        <f aca="false">IFERROR(INDEX(MAP!$F$7:$F$74,MATCH(TRIM(I118),MAP!$E$7:$E$74,0)),"UNMAPPED")</f>
        <v>Health care support services</v>
      </c>
      <c r="K118" s="1" t="str">
        <f aca="false">IFERROR(INDEX(MAP!$G$7:$G$74,MATCH(TRIM(I118),MAP!$E$7:$E$74,0)),"UNMAPPED")</f>
        <v>7e</v>
      </c>
      <c r="L118" s="49" t="n">
        <f aca="false">STACK!G118</f>
        <v>45930</v>
      </c>
      <c r="M118" s="59" t="n">
        <f aca="false">IF(G118&gt;0,IF(INDEX(CONFIRM!$G$5:$G$53,G118)&lt;&gt;"",INDEX(CONFIRM!$G$5:$G$53,G118),IF(ISNUMBER(L118),L118,IFERROR(DATEVALUE(L118),""))),IF(ISNUMBER(L118),L118,IFERROR(DATEVALUE(L118),"")))</f>
        <v>45930</v>
      </c>
      <c r="N118" s="1" t="str">
        <f aca="false">IF(M118="","Check",IF(AND(M118&gt;=INPUTS!$C$6,M118&lt;=INPUTS!$C$7),"Yes","No"))</f>
        <v>Yes</v>
      </c>
      <c r="O118" s="48" t="str">
        <f aca="false">STACK!H118</f>
        <v>Outreach Worker</v>
      </c>
      <c r="P118" s="1" t="str">
        <f aca="false">IF(G118&gt;0,IF(INDEX(CONFIRM!$H$5:$H$53,G118)&lt;&gt;"",INDEX(CONFIRM!$H$5:$H$53,G118),IFERROR(INDEX(MAP!$B$7:$B$156,MATCH(TRIM(O118),MAP!$A$7:$A$156,0)),"UNMAPPED")),IFERROR(INDEX(MAP!$B$7:$B$156,MATCH(TRIM(O118),MAP!$A$7:$A$156,0)),"UNMAPPED"))</f>
        <v>Community Health Worker</v>
      </c>
      <c r="Q118" s="48" t="n">
        <f aca="false">STACK!I118</f>
        <v>499.5</v>
      </c>
      <c r="R118" s="60" t="n">
        <f aca="false">IF(G118&gt;0,IF(INDEX(CONFIRM!$F$5:$F$53,G118)&lt;&gt;"",INDEX(CONFIRM!$F$5:$F$53,G118),IF(ISNUMBER(Q118),Q118,IF(Q118="","",IFERROR(VALUE(TRIM(SUBSTITUTE(SUBSTITUTE(LOWER(Q118),"hrs",""),"hr",""))),"")))),IF(ISNUMBER(Q118),Q118,IF(Q118="","",IFERROR(VALUE(TRIM(SUBSTITUTE(SUBSTITUTE(LOWER(Q118),"hrs",""),"hr",""))),""))))</f>
        <v>499.5</v>
      </c>
      <c r="S118" s="57" t="n">
        <f aca="false">IFERROR(INDEX(RATES!$E$6:$E$28,MATCH(P118,RATES!$A$6:$A$28,0)),0)</f>
        <v>27.6275</v>
      </c>
      <c r="T118" s="61" t="n">
        <f aca="false">IF(ISNUMBER(R118),R118,0)*S118</f>
        <v>13799.93625</v>
      </c>
      <c r="U118" s="61" t="n">
        <f aca="false">T118*INDEX(INPUTS!$H$10:$H$14,MATCH(B118,INPUTS!$A$10:$A$14,0))</f>
        <v>2552.98820625</v>
      </c>
      <c r="V118" s="61" t="n">
        <f aca="false">N(STACK!K118)</f>
        <v>2070</v>
      </c>
      <c r="W118" s="61" t="n">
        <f aca="false">T118+U118+V118</f>
        <v>18422.92445625</v>
      </c>
      <c r="X118" s="61" t="n">
        <f aca="false">N(STACK!L118)</f>
        <v>0</v>
      </c>
      <c r="Y118" s="61" t="n">
        <f aca="false">W118-X118</f>
        <v>18422.92445625</v>
      </c>
      <c r="Z118" s="1" t="n">
        <f aca="false">N(STACK!J118)</f>
        <v>481</v>
      </c>
      <c r="AA118" s="1" t="str">
        <f aca="false">TRIM(IF(D118="UNMAPPED","Program not mapped. ","")&amp;IF(OR(K118="UNMAPPED",K118="UNASSIGNED"),"Category needs review. ","")&amp;IF(P118="UNMAPPED","Title not mapped. ","")&amp;IF(AND(P118&lt;&gt;"No staff time",R118=""),"Missing hours. ","")&amp;IF(M118="","Date not readable. ","")&amp;IF(N118="No","Outside fiscal year. ","")&amp;IF(AND(F118="Event",ISNUMBER(R118)),IF(R118&gt;12,"Event hours look high. ",""),"")&amp;IF(G118&gt;0,"See CONFIRM sheet.",""))</f>
        <v/>
      </c>
      <c r="AB118" s="1" t="n">
        <f aca="false">IF(N118="No",0,IF(REVIEW!O118=0,0,IF(G118&gt;0,IF(INDEX(CONFIRM!$J$5:$J$53,G118)&lt;&gt;"",INDEX(CONFIRM!$J$5:$J$53,G118),1),1)))</f>
        <v>1</v>
      </c>
      <c r="AC118" s="1" t="n">
        <f aca="false">IF(AB118=1,IF(COUNTIFS($B$5:B118,B118,$D$5:D118,D118,$AB$5:AB118,1)=1,1,0),0)</f>
        <v>0</v>
      </c>
    </row>
    <row r="119" customFormat="false" ht="15" hidden="false" customHeight="false" outlineLevel="0" collapsed="false">
      <c r="A119" s="48" t="str">
        <f aca="false">STACK!A119</f>
        <v>KVMC-0115</v>
      </c>
      <c r="B119" s="48" t="str">
        <f aca="false">STACK!B119</f>
        <v>KVMC</v>
      </c>
      <c r="C119" s="48" t="str">
        <f aca="false">STACK!E119</f>
        <v>Community Health Worker Outreach</v>
      </c>
      <c r="D119" s="1" t="str">
        <f aca="false">IFERROR(INDEX(MAP!$J$7:$J$101,MATCH(TRIM(C119),MAP!$I$7:$I$101,0)),"UNMAPPED")</f>
        <v>Community Health Worker Outreach</v>
      </c>
      <c r="E119" s="1" t="str">
        <f aca="false">IFERROR(INDEX(MAP!$K$7:$K$101,MATCH(TRIM(C119),MAP!$I$7:$I$101,0)),"")</f>
        <v>Access to care</v>
      </c>
      <c r="F119" s="1" t="str">
        <f aca="false">IFERROR(INDEX(MAP!$L$7:$L$101,MATCH(TRIM(C119),MAP!$I$7:$I$101,0)),"")</f>
        <v>Monthly</v>
      </c>
      <c r="G119" s="1" t="n">
        <f aca="false">IFERROR(MATCH(A119,CONFIRM!$A$5:$A$53,0),0)</f>
        <v>0</v>
      </c>
      <c r="H119" s="48" t="str">
        <f aca="false">STACK!F119</f>
        <v>Health Care Support Services</v>
      </c>
      <c r="I119" s="1" t="str">
        <f aca="false">IF(G119&gt;0,IF(INDEX(CONFIRM!$I$5:$I$53,G119)&lt;&gt;"",INDEX(CONFIRM!$I$5:$I$53,G119),H119),H119)</f>
        <v>Health Care Support Services</v>
      </c>
      <c r="J119" s="1" t="str">
        <f aca="false">IFERROR(INDEX(MAP!$F$7:$F$74,MATCH(TRIM(I119),MAP!$E$7:$E$74,0)),"UNMAPPED")</f>
        <v>Health care support services</v>
      </c>
      <c r="K119" s="1" t="str">
        <f aca="false">IFERROR(INDEX(MAP!$G$7:$G$74,MATCH(TRIM(I119),MAP!$E$7:$E$74,0)),"UNMAPPED")</f>
        <v>7e</v>
      </c>
      <c r="L119" s="49" t="n">
        <f aca="false">STACK!G119</f>
        <v>45930</v>
      </c>
      <c r="M119" s="59" t="n">
        <f aca="false">IF(G119&gt;0,IF(INDEX(CONFIRM!$G$5:$G$53,G119)&lt;&gt;"",INDEX(CONFIRM!$G$5:$G$53,G119),IF(ISNUMBER(L119),L119,IFERROR(DATEVALUE(L119),""))),IF(ISNUMBER(L119),L119,IFERROR(DATEVALUE(L119),"")))</f>
        <v>45930</v>
      </c>
      <c r="N119" s="1" t="str">
        <f aca="false">IF(M119="","Check",IF(AND(M119&gt;=INPUTS!$C$6,M119&lt;=INPUTS!$C$7),"Yes","No"))</f>
        <v>Yes</v>
      </c>
      <c r="O119" s="48" t="str">
        <f aca="false">STACK!H119</f>
        <v>Navigator</v>
      </c>
      <c r="P119" s="1" t="str">
        <f aca="false">IF(G119&gt;0,IF(INDEX(CONFIRM!$H$5:$H$53,G119)&lt;&gt;"",INDEX(CONFIRM!$H$5:$H$53,G119),IFERROR(INDEX(MAP!$B$7:$B$156,MATCH(TRIM(O119),MAP!$A$7:$A$156,0)),"UNMAPPED")),IFERROR(INDEX(MAP!$B$7:$B$156,MATCH(TRIM(O119),MAP!$A$7:$A$156,0)),"UNMAPPED"))</f>
        <v>Patient Navigator</v>
      </c>
      <c r="Q119" s="48" t="n">
        <f aca="false">STACK!I119</f>
        <v>205.25</v>
      </c>
      <c r="R119" s="60" t="n">
        <f aca="false">IF(G119&gt;0,IF(INDEX(CONFIRM!$F$5:$F$53,G119)&lt;&gt;"",INDEX(CONFIRM!$F$5:$F$53,G119),IF(ISNUMBER(Q119),Q119,IF(Q119="","",IFERROR(VALUE(TRIM(SUBSTITUTE(SUBSTITUTE(LOWER(Q119),"hrs",""),"hr",""))),"")))),IF(ISNUMBER(Q119),Q119,IF(Q119="","",IFERROR(VALUE(TRIM(SUBSTITUTE(SUBSTITUTE(LOWER(Q119),"hrs",""),"hr",""))),""))))</f>
        <v>205.25</v>
      </c>
      <c r="S119" s="57" t="n">
        <f aca="false">IFERROR(INDEX(RATES!$E$6:$E$28,MATCH(P119,RATES!$A$6:$A$28,0)),0)</f>
        <v>30.84</v>
      </c>
      <c r="T119" s="61" t="n">
        <f aca="false">IF(ISNUMBER(R119),R119,0)*S119</f>
        <v>6329.91</v>
      </c>
      <c r="U119" s="61" t="n">
        <f aca="false">T119*INDEX(INPUTS!$H$10:$H$14,MATCH(B119,INPUTS!$A$10:$A$14,0))</f>
        <v>1171.03335</v>
      </c>
      <c r="V119" s="61" t="n">
        <f aca="false">N(STACK!K119)</f>
        <v>0</v>
      </c>
      <c r="W119" s="61" t="n">
        <f aca="false">T119+U119+V119</f>
        <v>7500.94335</v>
      </c>
      <c r="X119" s="61" t="n">
        <f aca="false">N(STACK!L119)</f>
        <v>0</v>
      </c>
      <c r="Y119" s="61" t="n">
        <f aca="false">W119-X119</f>
        <v>7500.94335</v>
      </c>
      <c r="Z119" s="1" t="n">
        <f aca="false">N(STACK!J119)</f>
        <v>0</v>
      </c>
      <c r="AA119" s="1" t="str">
        <f aca="false">TRIM(IF(D119="UNMAPPED","Program not mapped. ","")&amp;IF(OR(K119="UNMAPPED",K119="UNASSIGNED"),"Category needs review. ","")&amp;IF(P119="UNMAPPED","Title not mapped. ","")&amp;IF(AND(P119&lt;&gt;"No staff time",R119=""),"Missing hours. ","")&amp;IF(M119="","Date not readable. ","")&amp;IF(N119="No","Outside fiscal year. ","")&amp;IF(AND(F119="Event",ISNUMBER(R119)),IF(R119&gt;12,"Event hours look high. ",""),"")&amp;IF(G119&gt;0,"See CONFIRM sheet.",""))</f>
        <v/>
      </c>
      <c r="AB119" s="1" t="n">
        <f aca="false">IF(N119="No",0,IF(REVIEW!O119=0,0,IF(G119&gt;0,IF(INDEX(CONFIRM!$J$5:$J$53,G119)&lt;&gt;"",INDEX(CONFIRM!$J$5:$J$53,G119),1),1)))</f>
        <v>1</v>
      </c>
      <c r="AC119" s="1" t="n">
        <f aca="false">IF(AB119=1,IF(COUNTIFS($B$5:B119,B119,$D$5:D119,D119,$AB$5:AB119,1)=1,1,0),0)</f>
        <v>0</v>
      </c>
    </row>
    <row r="120" customFormat="false" ht="15" hidden="false" customHeight="false" outlineLevel="0" collapsed="false">
      <c r="A120" s="48" t="str">
        <f aca="false">STACK!A120</f>
        <v>KVMC-0116</v>
      </c>
      <c r="B120" s="48" t="str">
        <f aca="false">STACK!B120</f>
        <v>KVMC</v>
      </c>
      <c r="C120" s="48" t="str">
        <f aca="false">STACK!E120</f>
        <v>Medication Assistance Program</v>
      </c>
      <c r="D120" s="1" t="str">
        <f aca="false">IFERROR(INDEX(MAP!$J$7:$J$101,MATCH(TRIM(C120),MAP!$I$7:$I$101,0)),"UNMAPPED")</f>
        <v>Medication Assistance Program</v>
      </c>
      <c r="E120" s="1" t="str">
        <f aca="false">IFERROR(INDEX(MAP!$K$7:$K$101,MATCH(TRIM(C120),MAP!$I$7:$I$101,0)),"")</f>
        <v>Access to care</v>
      </c>
      <c r="F120" s="1" t="str">
        <f aca="false">IFERROR(INDEX(MAP!$L$7:$L$101,MATCH(TRIM(C120),MAP!$I$7:$I$101,0)),"")</f>
        <v>Monthly</v>
      </c>
      <c r="G120" s="1" t="n">
        <f aca="false">IFERROR(MATCH(A120,CONFIRM!$A$5:$A$53,0),0)</f>
        <v>0</v>
      </c>
      <c r="H120" s="48" t="str">
        <f aca="false">STACK!F120</f>
        <v>Health Care Support Services</v>
      </c>
      <c r="I120" s="1" t="str">
        <f aca="false">IF(G120&gt;0,IF(INDEX(CONFIRM!$I$5:$I$53,G120)&lt;&gt;"",INDEX(CONFIRM!$I$5:$I$53,G120),H120),H120)</f>
        <v>Health Care Support Services</v>
      </c>
      <c r="J120" s="1" t="str">
        <f aca="false">IFERROR(INDEX(MAP!$F$7:$F$74,MATCH(TRIM(I120),MAP!$E$7:$E$74,0)),"UNMAPPED")</f>
        <v>Health care support services</v>
      </c>
      <c r="K120" s="1" t="str">
        <f aca="false">IFERROR(INDEX(MAP!$G$7:$G$74,MATCH(TRIM(I120),MAP!$E$7:$E$74,0)),"UNMAPPED")</f>
        <v>7e</v>
      </c>
      <c r="L120" s="49" t="n">
        <f aca="false">STACK!G120</f>
        <v>45930</v>
      </c>
      <c r="M120" s="59" t="n">
        <f aca="false">IF(G120&gt;0,IF(INDEX(CONFIRM!$G$5:$G$53,G120)&lt;&gt;"",INDEX(CONFIRM!$G$5:$G$53,G120),IF(ISNUMBER(L120),L120,IFERROR(DATEVALUE(L120),""))),IF(ISNUMBER(L120),L120,IFERROR(DATEVALUE(L120),"")))</f>
        <v>45930</v>
      </c>
      <c r="N120" s="1" t="str">
        <f aca="false">IF(M120="","Check",IF(AND(M120&gt;=INPUTS!$C$6,M120&lt;=INPUTS!$C$7),"Yes","No"))</f>
        <v>Yes</v>
      </c>
      <c r="O120" s="48" t="str">
        <f aca="false">STACK!H120</f>
        <v>Navigator</v>
      </c>
      <c r="P120" s="1" t="str">
        <f aca="false">IF(G120&gt;0,IF(INDEX(CONFIRM!$H$5:$H$53,G120)&lt;&gt;"",INDEX(CONFIRM!$H$5:$H$53,G120),IFERROR(INDEX(MAP!$B$7:$B$156,MATCH(TRIM(O120),MAP!$A$7:$A$156,0)),"UNMAPPED")),IFERROR(INDEX(MAP!$B$7:$B$156,MATCH(TRIM(O120),MAP!$A$7:$A$156,0)),"UNMAPPED"))</f>
        <v>Patient Navigator</v>
      </c>
      <c r="Q120" s="48" t="n">
        <f aca="false">STACK!I120</f>
        <v>111.75</v>
      </c>
      <c r="R120" s="60" t="n">
        <f aca="false">IF(G120&gt;0,IF(INDEX(CONFIRM!$F$5:$F$53,G120)&lt;&gt;"",INDEX(CONFIRM!$F$5:$F$53,G120),IF(ISNUMBER(Q120),Q120,IF(Q120="","",IFERROR(VALUE(TRIM(SUBSTITUTE(SUBSTITUTE(LOWER(Q120),"hrs",""),"hr",""))),"")))),IF(ISNUMBER(Q120),Q120,IF(Q120="","",IFERROR(VALUE(TRIM(SUBSTITUTE(SUBSTITUTE(LOWER(Q120),"hrs",""),"hr",""))),""))))</f>
        <v>111.75</v>
      </c>
      <c r="S120" s="57" t="n">
        <f aca="false">IFERROR(INDEX(RATES!$E$6:$E$28,MATCH(P120,RATES!$A$6:$A$28,0)),0)</f>
        <v>30.84</v>
      </c>
      <c r="T120" s="61" t="n">
        <f aca="false">IF(ISNUMBER(R120),R120,0)*S120</f>
        <v>3446.37</v>
      </c>
      <c r="U120" s="61" t="n">
        <f aca="false">T120*INDEX(INPUTS!$H$10:$H$14,MATCH(B120,INPUTS!$A$10:$A$14,0))</f>
        <v>637.57845</v>
      </c>
      <c r="V120" s="61" t="n">
        <f aca="false">N(STACK!K120)</f>
        <v>0</v>
      </c>
      <c r="W120" s="61" t="n">
        <f aca="false">T120+U120+V120</f>
        <v>4083.94845</v>
      </c>
      <c r="X120" s="61" t="n">
        <f aca="false">N(STACK!L120)</f>
        <v>0</v>
      </c>
      <c r="Y120" s="61" t="n">
        <f aca="false">W120-X120</f>
        <v>4083.94845</v>
      </c>
      <c r="Z120" s="1" t="n">
        <f aca="false">N(STACK!J120)</f>
        <v>0</v>
      </c>
      <c r="AA120" s="1" t="str">
        <f aca="false">TRIM(IF(D120="UNMAPPED","Program not mapped. ","")&amp;IF(OR(K120="UNMAPPED",K120="UNASSIGNED"),"Category needs review. ","")&amp;IF(P120="UNMAPPED","Title not mapped. ","")&amp;IF(AND(P120&lt;&gt;"No staff time",R120=""),"Missing hours. ","")&amp;IF(M120="","Date not readable. ","")&amp;IF(N120="No","Outside fiscal year. ","")&amp;IF(AND(F120="Event",ISNUMBER(R120)),IF(R120&gt;12,"Event hours look high. ",""),"")&amp;IF(G120&gt;0,"See CONFIRM sheet.",""))</f>
        <v/>
      </c>
      <c r="AB120" s="1" t="n">
        <f aca="false">IF(N120="No",0,IF(REVIEW!O120=0,0,IF(G120&gt;0,IF(INDEX(CONFIRM!$J$5:$J$53,G120)&lt;&gt;"",INDEX(CONFIRM!$J$5:$J$53,G120),1),1)))</f>
        <v>1</v>
      </c>
      <c r="AC120" s="1" t="n">
        <f aca="false">IF(AB120=1,IF(COUNTIFS($B$5:B120,B120,$D$5:D120,D120,$AB$5:AB120,1)=1,1,0),0)</f>
        <v>0</v>
      </c>
    </row>
    <row r="121" customFormat="false" ht="15" hidden="false" customHeight="false" outlineLevel="0" collapsed="false">
      <c r="A121" s="48" t="str">
        <f aca="false">STACK!A121</f>
        <v>KVMC-0117</v>
      </c>
      <c r="B121" s="48" t="str">
        <f aca="false">STACK!B121</f>
        <v>KVMC</v>
      </c>
      <c r="C121" s="48" t="str">
        <f aca="false">STACK!E121</f>
        <v>Medication Assistance Program</v>
      </c>
      <c r="D121" s="1" t="str">
        <f aca="false">IFERROR(INDEX(MAP!$J$7:$J$101,MATCH(TRIM(C121),MAP!$I$7:$I$101,0)),"UNMAPPED")</f>
        <v>Medication Assistance Program</v>
      </c>
      <c r="E121" s="1" t="str">
        <f aca="false">IFERROR(INDEX(MAP!$K$7:$K$101,MATCH(TRIM(C121),MAP!$I$7:$I$101,0)),"")</f>
        <v>Access to care</v>
      </c>
      <c r="F121" s="1" t="str">
        <f aca="false">IFERROR(INDEX(MAP!$L$7:$L$101,MATCH(TRIM(C121),MAP!$I$7:$I$101,0)),"")</f>
        <v>Monthly</v>
      </c>
      <c r="G121" s="1" t="n">
        <f aca="false">IFERROR(MATCH(A121,CONFIRM!$A$5:$A$53,0),0)</f>
        <v>0</v>
      </c>
      <c r="H121" s="48" t="str">
        <f aca="false">STACK!F121</f>
        <v>Health Care Support Services</v>
      </c>
      <c r="I121" s="1" t="str">
        <f aca="false">IF(G121&gt;0,IF(INDEX(CONFIRM!$I$5:$I$53,G121)&lt;&gt;"",INDEX(CONFIRM!$I$5:$I$53,G121),H121),H121)</f>
        <v>Health Care Support Services</v>
      </c>
      <c r="J121" s="1" t="str">
        <f aca="false">IFERROR(INDEX(MAP!$F$7:$F$74,MATCH(TRIM(I121),MAP!$E$7:$E$74,0)),"UNMAPPED")</f>
        <v>Health care support services</v>
      </c>
      <c r="K121" s="1" t="str">
        <f aca="false">IFERROR(INDEX(MAP!$G$7:$G$74,MATCH(TRIM(I121),MAP!$E$7:$E$74,0)),"UNMAPPED")</f>
        <v>7e</v>
      </c>
      <c r="L121" s="49" t="n">
        <f aca="false">STACK!G121</f>
        <v>45930</v>
      </c>
      <c r="M121" s="59" t="n">
        <f aca="false">IF(G121&gt;0,IF(INDEX(CONFIRM!$G$5:$G$53,G121)&lt;&gt;"",INDEX(CONFIRM!$G$5:$G$53,G121),IF(ISNUMBER(L121),L121,IFERROR(DATEVALUE(L121),""))),IF(ISNUMBER(L121),L121,IFERROR(DATEVALUE(L121),"")))</f>
        <v>45930</v>
      </c>
      <c r="N121" s="1" t="str">
        <f aca="false">IF(M121="","Check",IF(AND(M121&gt;=INPUTS!$C$6,M121&lt;=INPUTS!$C$7),"Yes","No"))</f>
        <v>Yes</v>
      </c>
      <c r="O121" s="48" t="str">
        <f aca="false">STACK!H121</f>
        <v>Pharm.D.</v>
      </c>
      <c r="P121" s="1" t="str">
        <f aca="false">IF(G121&gt;0,IF(INDEX(CONFIRM!$H$5:$H$53,G121)&lt;&gt;"",INDEX(CONFIRM!$H$5:$H$53,G121),IFERROR(INDEX(MAP!$B$7:$B$156,MATCH(TRIM(O121),MAP!$A$7:$A$156,0)),"UNMAPPED")),IFERROR(INDEX(MAP!$B$7:$B$156,MATCH(TRIM(O121),MAP!$A$7:$A$156,0)),"UNMAPPED"))</f>
        <v>Pharmacist</v>
      </c>
      <c r="Q121" s="48" t="n">
        <f aca="false">STACK!I121</f>
        <v>20.5</v>
      </c>
      <c r="R121" s="60" t="n">
        <f aca="false">IF(G121&gt;0,IF(INDEX(CONFIRM!$F$5:$F$53,G121)&lt;&gt;"",INDEX(CONFIRM!$F$5:$F$53,G121),IF(ISNUMBER(Q121),Q121,IF(Q121="","",IFERROR(VALUE(TRIM(SUBSTITUTE(SUBSTITUTE(LOWER(Q121),"hrs",""),"hr",""))),"")))),IF(ISNUMBER(Q121),Q121,IF(Q121="","",IFERROR(VALUE(TRIM(SUBSTITUTE(SUBSTITUTE(LOWER(Q121),"hrs",""),"hr",""))),""))))</f>
        <v>20.5</v>
      </c>
      <c r="S121" s="57" t="n">
        <f aca="false">IFERROR(INDEX(RATES!$E$6:$E$28,MATCH(P121,RATES!$A$6:$A$28,0)),0)</f>
        <v>84.81</v>
      </c>
      <c r="T121" s="61" t="n">
        <f aca="false">IF(ISNUMBER(R121),R121,0)*S121</f>
        <v>1738.605</v>
      </c>
      <c r="U121" s="61" t="n">
        <f aca="false">T121*INDEX(INPUTS!$H$10:$H$14,MATCH(B121,INPUTS!$A$10:$A$14,0))</f>
        <v>321.641925</v>
      </c>
      <c r="V121" s="61" t="n">
        <f aca="false">N(STACK!K121)</f>
        <v>24395</v>
      </c>
      <c r="W121" s="61" t="n">
        <f aca="false">T121+U121+V121</f>
        <v>26455.246925</v>
      </c>
      <c r="X121" s="61" t="n">
        <f aca="false">N(STACK!L121)</f>
        <v>0</v>
      </c>
      <c r="Y121" s="61" t="n">
        <f aca="false">W121-X121</f>
        <v>26455.246925</v>
      </c>
      <c r="Z121" s="1" t="n">
        <f aca="false">N(STACK!J121)</f>
        <v>165</v>
      </c>
      <c r="AA121" s="1" t="str">
        <f aca="false">TRIM(IF(D121="UNMAPPED","Program not mapped. ","")&amp;IF(OR(K121="UNMAPPED",K121="UNASSIGNED"),"Category needs review. ","")&amp;IF(P121="UNMAPPED","Title not mapped. ","")&amp;IF(AND(P121&lt;&gt;"No staff time",R121=""),"Missing hours. ","")&amp;IF(M121="","Date not readable. ","")&amp;IF(N121="No","Outside fiscal year. ","")&amp;IF(AND(F121="Event",ISNUMBER(R121)),IF(R121&gt;12,"Event hours look high. ",""),"")&amp;IF(G121&gt;0,"See CONFIRM sheet.",""))</f>
        <v/>
      </c>
      <c r="AB121" s="1" t="n">
        <f aca="false">IF(N121="No",0,IF(REVIEW!O121=0,0,IF(G121&gt;0,IF(INDEX(CONFIRM!$J$5:$J$53,G121)&lt;&gt;"",INDEX(CONFIRM!$J$5:$J$53,G121),1),1)))</f>
        <v>1</v>
      </c>
      <c r="AC121" s="1" t="n">
        <f aca="false">IF(AB121=1,IF(COUNTIFS($B$5:B121,B121,$D$5:D121,D121,$AB$5:AB121,1)=1,1,0),0)</f>
        <v>0</v>
      </c>
    </row>
    <row r="122" customFormat="false" ht="15" hidden="false" customHeight="false" outlineLevel="0" collapsed="false">
      <c r="A122" s="48" t="str">
        <f aca="false">STACK!A122</f>
        <v>KVMC-0118</v>
      </c>
      <c r="B122" s="48" t="str">
        <f aca="false">STACK!B122</f>
        <v>KVMC</v>
      </c>
      <c r="C122" s="48" t="str">
        <f aca="false">STACK!E122</f>
        <v>Community Health Needs Assessment</v>
      </c>
      <c r="D122" s="1" t="str">
        <f aca="false">IFERROR(INDEX(MAP!$J$7:$J$101,MATCH(TRIM(C122),MAP!$I$7:$I$101,0)),"UNMAPPED")</f>
        <v>Community Health Needs Assessment</v>
      </c>
      <c r="E122" s="1" t="str">
        <f aca="false">IFERROR(INDEX(MAP!$K$7:$K$101,MATCH(TRIM(C122),MAP!$I$7:$I$101,0)),"")</f>
        <v>Community benefit infrastructure</v>
      </c>
      <c r="F122" s="1" t="str">
        <f aca="false">IFERROR(INDEX(MAP!$L$7:$L$101,MATCH(TRIM(C122),MAP!$I$7:$I$101,0)),"")</f>
        <v>Monthly</v>
      </c>
      <c r="G122" s="1" t="n">
        <f aca="false">IFERROR(MATCH(A122,CONFIRM!$A$5:$A$53,0),0)</f>
        <v>0</v>
      </c>
      <c r="H122" s="48" t="str">
        <f aca="false">STACK!F122</f>
        <v>CB Operations</v>
      </c>
      <c r="I122" s="1" t="str">
        <f aca="false">IF(G122&gt;0,IF(INDEX(CONFIRM!$I$5:$I$53,G122)&lt;&gt;"",INDEX(CONFIRM!$I$5:$I$53,G122),H122),H122)</f>
        <v>CB Operations</v>
      </c>
      <c r="J122" s="1" t="str">
        <f aca="false">IFERROR(INDEX(MAP!$F$7:$F$74,MATCH(TRIM(I122),MAP!$E$7:$E$74,0)),"UNMAPPED")</f>
        <v>Community benefit operations</v>
      </c>
      <c r="K122" s="1" t="str">
        <f aca="false">IFERROR(INDEX(MAP!$G$7:$G$74,MATCH(TRIM(I122),MAP!$E$7:$E$74,0)),"UNMAPPED")</f>
        <v>7e</v>
      </c>
      <c r="L122" s="49" t="n">
        <f aca="false">STACK!G122</f>
        <v>45930</v>
      </c>
      <c r="M122" s="59" t="n">
        <f aca="false">IF(G122&gt;0,IF(INDEX(CONFIRM!$G$5:$G$53,G122)&lt;&gt;"",INDEX(CONFIRM!$G$5:$G$53,G122),IF(ISNUMBER(L122),L122,IFERROR(DATEVALUE(L122),""))),IF(ISNUMBER(L122),L122,IFERROR(DATEVALUE(L122),"")))</f>
        <v>45930</v>
      </c>
      <c r="N122" s="1" t="str">
        <f aca="false">IF(M122="","Check",IF(AND(M122&gt;=INPUTS!$C$6,M122&lt;=INPUTS!$C$7),"Yes","No"))</f>
        <v>Yes</v>
      </c>
      <c r="O122" s="48" t="str">
        <f aca="false">STACK!H122</f>
        <v>mgr, community benefit</v>
      </c>
      <c r="P122" s="1" t="str">
        <f aca="false">IF(G122&gt;0,IF(INDEX(CONFIRM!$H$5:$H$53,G122)&lt;&gt;"",INDEX(CONFIRM!$H$5:$H$53,G122),IFERROR(INDEX(MAP!$B$7:$B$156,MATCH(TRIM(O122),MAP!$A$7:$A$156,0)),"UNMAPPED")),IFERROR(INDEX(MAP!$B$7:$B$156,MATCH(TRIM(O122),MAP!$A$7:$A$156,0)),"UNMAPPED"))</f>
        <v>Community Benefit Manager</v>
      </c>
      <c r="Q122" s="48" t="n">
        <f aca="false">STACK!I122</f>
        <v>43.5</v>
      </c>
      <c r="R122" s="60" t="n">
        <f aca="false">IF(G122&gt;0,IF(INDEX(CONFIRM!$F$5:$F$53,G122)&lt;&gt;"",INDEX(CONFIRM!$F$5:$F$53,G122),IF(ISNUMBER(Q122),Q122,IF(Q122="","",IFERROR(VALUE(TRIM(SUBSTITUTE(SUBSTITUTE(LOWER(Q122),"hrs",""),"hr",""))),"")))),IF(ISNUMBER(Q122),Q122,IF(Q122="","",IFERROR(VALUE(TRIM(SUBSTITUTE(SUBSTITUTE(LOWER(Q122),"hrs",""),"hr",""))),""))))</f>
        <v>43.5</v>
      </c>
      <c r="S122" s="57" t="n">
        <f aca="false">IFERROR(INDEX(RATES!$E$6:$E$28,MATCH(P122,RATES!$A$6:$A$28,0)),0)</f>
        <v>59.11</v>
      </c>
      <c r="T122" s="61" t="n">
        <f aca="false">IF(ISNUMBER(R122),R122,0)*S122</f>
        <v>2571.285</v>
      </c>
      <c r="U122" s="61" t="n">
        <f aca="false">T122*INDEX(INPUTS!$H$10:$H$14,MATCH(B122,INPUTS!$A$10:$A$14,0))</f>
        <v>475.687725</v>
      </c>
      <c r="V122" s="61" t="n">
        <f aca="false">N(STACK!K122)</f>
        <v>3470</v>
      </c>
      <c r="W122" s="61" t="n">
        <f aca="false">T122+U122+V122</f>
        <v>6516.972725</v>
      </c>
      <c r="X122" s="61" t="n">
        <f aca="false">N(STACK!L122)</f>
        <v>0</v>
      </c>
      <c r="Y122" s="61" t="n">
        <f aca="false">W122-X122</f>
        <v>6516.972725</v>
      </c>
      <c r="Z122" s="1" t="n">
        <f aca="false">N(STACK!J122)</f>
        <v>0</v>
      </c>
      <c r="AA122" s="1" t="str">
        <f aca="false">TRIM(IF(D122="UNMAPPED","Program not mapped. ","")&amp;IF(OR(K122="UNMAPPED",K122="UNASSIGNED"),"Category needs review. ","")&amp;IF(P122="UNMAPPED","Title not mapped. ","")&amp;IF(AND(P122&lt;&gt;"No staff time",R122=""),"Missing hours. ","")&amp;IF(M122="","Date not readable. ","")&amp;IF(N122="No","Outside fiscal year. ","")&amp;IF(AND(F122="Event",ISNUMBER(R122)),IF(R122&gt;12,"Event hours look high. ",""),"")&amp;IF(G122&gt;0,"See CONFIRM sheet.",""))</f>
        <v/>
      </c>
      <c r="AB122" s="1" t="n">
        <f aca="false">IF(N122="No",0,IF(REVIEW!O122=0,0,IF(G122&gt;0,IF(INDEX(CONFIRM!$J$5:$J$53,G122)&lt;&gt;"",INDEX(CONFIRM!$J$5:$J$53,G122),1),1)))</f>
        <v>1</v>
      </c>
      <c r="AC122" s="1" t="n">
        <f aca="false">IF(AB122=1,IF(COUNTIFS($B$5:B122,B122,$D$5:D122,D122,$AB$5:AB122,1)=1,1,0),0)</f>
        <v>0</v>
      </c>
    </row>
    <row r="123" customFormat="false" ht="15" hidden="false" customHeight="false" outlineLevel="0" collapsed="false">
      <c r="A123" s="48" t="str">
        <f aca="false">STACK!A123</f>
        <v>KVMC-0119</v>
      </c>
      <c r="B123" s="48" t="str">
        <f aca="false">STACK!B123</f>
        <v>KVMC</v>
      </c>
      <c r="C123" s="48" t="str">
        <f aca="false">STACK!E123</f>
        <v>Community Health Needs Assessment</v>
      </c>
      <c r="D123" s="1" t="str">
        <f aca="false">IFERROR(INDEX(MAP!$J$7:$J$101,MATCH(TRIM(C123),MAP!$I$7:$I$101,0)),"UNMAPPED")</f>
        <v>Community Health Needs Assessment</v>
      </c>
      <c r="E123" s="1" t="str">
        <f aca="false">IFERROR(INDEX(MAP!$K$7:$K$101,MATCH(TRIM(C123),MAP!$I$7:$I$101,0)),"")</f>
        <v>Community benefit infrastructure</v>
      </c>
      <c r="F123" s="1" t="str">
        <f aca="false">IFERROR(INDEX(MAP!$L$7:$L$101,MATCH(TRIM(C123),MAP!$I$7:$I$101,0)),"")</f>
        <v>Monthly</v>
      </c>
      <c r="G123" s="1" t="n">
        <f aca="false">IFERROR(MATCH(A123,CONFIRM!$A$5:$A$53,0),0)</f>
        <v>0</v>
      </c>
      <c r="H123" s="48" t="str">
        <f aca="false">STACK!F123</f>
        <v>CB Operations</v>
      </c>
      <c r="I123" s="1" t="str">
        <f aca="false">IF(G123&gt;0,IF(INDEX(CONFIRM!$I$5:$I$53,G123)&lt;&gt;"",INDEX(CONFIRM!$I$5:$I$53,G123),H123),H123)</f>
        <v>CB Operations</v>
      </c>
      <c r="J123" s="1" t="str">
        <f aca="false">IFERROR(INDEX(MAP!$F$7:$F$74,MATCH(TRIM(I123),MAP!$E$7:$E$74,0)),"UNMAPPED")</f>
        <v>Community benefit operations</v>
      </c>
      <c r="K123" s="1" t="str">
        <f aca="false">IFERROR(INDEX(MAP!$G$7:$G$74,MATCH(TRIM(I123),MAP!$E$7:$E$74,0)),"UNMAPPED")</f>
        <v>7e</v>
      </c>
      <c r="L123" s="49" t="n">
        <f aca="false">STACK!G123</f>
        <v>45930</v>
      </c>
      <c r="M123" s="59" t="n">
        <f aca="false">IF(G123&gt;0,IF(INDEX(CONFIRM!$G$5:$G$53,G123)&lt;&gt;"",INDEX(CONFIRM!$G$5:$G$53,G123),IF(ISNUMBER(L123),L123,IFERROR(DATEVALUE(L123),""))),IF(ISNUMBER(L123),L123,IFERROR(DATEVALUE(L123),"")))</f>
        <v>45930</v>
      </c>
      <c r="N123" s="1" t="str">
        <f aca="false">IF(M123="","Check",IF(AND(M123&gt;=INPUTS!$C$6,M123&lt;=INPUTS!$C$7),"Yes","No"))</f>
        <v>Yes</v>
      </c>
      <c r="O123" s="48" t="str">
        <f aca="false">STACK!H123</f>
        <v>Data Analyst</v>
      </c>
      <c r="P123" s="1" t="str">
        <f aca="false">IF(G123&gt;0,IF(INDEX(CONFIRM!$H$5:$H$53,G123)&lt;&gt;"",INDEX(CONFIRM!$H$5:$H$53,G123),IFERROR(INDEX(MAP!$B$7:$B$156,MATCH(TRIM(O123),MAP!$A$7:$A$156,0)),"UNMAPPED")),IFERROR(INDEX(MAP!$B$7:$B$156,MATCH(TRIM(O123),MAP!$A$7:$A$156,0)),"UNMAPPED"))</f>
        <v>Data Analyst</v>
      </c>
      <c r="Q123" s="48" t="n">
        <f aca="false">STACK!I123</f>
        <v>32.75</v>
      </c>
      <c r="R123" s="60" t="n">
        <f aca="false">IF(G123&gt;0,IF(INDEX(CONFIRM!$F$5:$F$53,G123)&lt;&gt;"",INDEX(CONFIRM!$F$5:$F$53,G123),IF(ISNUMBER(Q123),Q123,IF(Q123="","",IFERROR(VALUE(TRIM(SUBSTITUTE(SUBSTITUTE(LOWER(Q123),"hrs",""),"hr",""))),"")))),IF(ISNUMBER(Q123),Q123,IF(Q123="","",IFERROR(VALUE(TRIM(SUBSTITUTE(SUBSTITUTE(LOWER(Q123),"hrs",""),"hr",""))),""))))</f>
        <v>32.75</v>
      </c>
      <c r="S123" s="57" t="n">
        <f aca="false">IFERROR(INDEX(RATES!$E$6:$E$28,MATCH(P123,RATES!$A$6:$A$28,0)),0)</f>
        <v>48.83</v>
      </c>
      <c r="T123" s="61" t="n">
        <f aca="false">IF(ISNUMBER(R123),R123,0)*S123</f>
        <v>1599.1825</v>
      </c>
      <c r="U123" s="61" t="n">
        <f aca="false">T123*INDEX(INPUTS!$H$10:$H$14,MATCH(B123,INPUTS!$A$10:$A$14,0))</f>
        <v>295.8487625</v>
      </c>
      <c r="V123" s="61" t="n">
        <f aca="false">N(STACK!K123)</f>
        <v>0</v>
      </c>
      <c r="W123" s="61" t="n">
        <f aca="false">T123+U123+V123</f>
        <v>1895.0312625</v>
      </c>
      <c r="X123" s="61" t="n">
        <f aca="false">N(STACK!L123)</f>
        <v>0</v>
      </c>
      <c r="Y123" s="61" t="n">
        <f aca="false">W123-X123</f>
        <v>1895.0312625</v>
      </c>
      <c r="Z123" s="1" t="n">
        <f aca="false">N(STACK!J123)</f>
        <v>0</v>
      </c>
      <c r="AA123" s="1" t="str">
        <f aca="false">TRIM(IF(D123="UNMAPPED","Program not mapped. ","")&amp;IF(OR(K123="UNMAPPED",K123="UNASSIGNED"),"Category needs review. ","")&amp;IF(P123="UNMAPPED","Title not mapped. ","")&amp;IF(AND(P123&lt;&gt;"No staff time",R123=""),"Missing hours. ","")&amp;IF(M123="","Date not readable. ","")&amp;IF(N123="No","Outside fiscal year. ","")&amp;IF(AND(F123="Event",ISNUMBER(R123)),IF(R123&gt;12,"Event hours look high. ",""),"")&amp;IF(G123&gt;0,"See CONFIRM sheet.",""))</f>
        <v/>
      </c>
      <c r="AB123" s="1" t="n">
        <f aca="false">IF(N123="No",0,IF(REVIEW!O123=0,0,IF(G123&gt;0,IF(INDEX(CONFIRM!$J$5:$J$53,G123)&lt;&gt;"",INDEX(CONFIRM!$J$5:$J$53,G123),1),1)))</f>
        <v>1</v>
      </c>
      <c r="AC123" s="1" t="n">
        <f aca="false">IF(AB123=1,IF(COUNTIFS($B$5:B123,B123,$D$5:D123,D123,$AB$5:AB123,1)=1,1,0),0)</f>
        <v>0</v>
      </c>
    </row>
    <row r="124" customFormat="false" ht="15" hidden="false" customHeight="false" outlineLevel="0" collapsed="false">
      <c r="A124" s="48" t="str">
        <f aca="false">STACK!A124</f>
        <v>KVMC-0120</v>
      </c>
      <c r="B124" s="48" t="str">
        <f aca="false">STACK!B124</f>
        <v>KVMC</v>
      </c>
      <c r="C124" s="48" t="str">
        <f aca="false">STACK!E124</f>
        <v>Community Benefit Program Administration</v>
      </c>
      <c r="D124" s="1" t="str">
        <f aca="false">IFERROR(INDEX(MAP!$J$7:$J$101,MATCH(TRIM(C124),MAP!$I$7:$I$101,0)),"UNMAPPED")</f>
        <v>Community Benefit Program Administration</v>
      </c>
      <c r="E124" s="1" t="str">
        <f aca="false">IFERROR(INDEX(MAP!$K$7:$K$101,MATCH(TRIM(C124),MAP!$I$7:$I$101,0)),"")</f>
        <v>Community benefit infrastructure</v>
      </c>
      <c r="F124" s="1" t="str">
        <f aca="false">IFERROR(INDEX(MAP!$L$7:$L$101,MATCH(TRIM(C124),MAP!$I$7:$I$101,0)),"")</f>
        <v>Monthly</v>
      </c>
      <c r="G124" s="1" t="n">
        <f aca="false">IFERROR(MATCH(A124,CONFIRM!$A$5:$A$53,0),0)</f>
        <v>0</v>
      </c>
      <c r="H124" s="48" t="str">
        <f aca="false">STACK!F124</f>
        <v>CB Operations</v>
      </c>
      <c r="I124" s="1" t="str">
        <f aca="false">IF(G124&gt;0,IF(INDEX(CONFIRM!$I$5:$I$53,G124)&lt;&gt;"",INDEX(CONFIRM!$I$5:$I$53,G124),H124),H124)</f>
        <v>CB Operations</v>
      </c>
      <c r="J124" s="1" t="str">
        <f aca="false">IFERROR(INDEX(MAP!$F$7:$F$74,MATCH(TRIM(I124),MAP!$E$7:$E$74,0)),"UNMAPPED")</f>
        <v>Community benefit operations</v>
      </c>
      <c r="K124" s="1" t="str">
        <f aca="false">IFERROR(INDEX(MAP!$G$7:$G$74,MATCH(TRIM(I124),MAP!$E$7:$E$74,0)),"UNMAPPED")</f>
        <v>7e</v>
      </c>
      <c r="L124" s="49" t="n">
        <f aca="false">STACK!G124</f>
        <v>45930</v>
      </c>
      <c r="M124" s="59" t="n">
        <f aca="false">IF(G124&gt;0,IF(INDEX(CONFIRM!$G$5:$G$53,G124)&lt;&gt;"",INDEX(CONFIRM!$G$5:$G$53,G124),IF(ISNUMBER(L124),L124,IFERROR(DATEVALUE(L124),""))),IF(ISNUMBER(L124),L124,IFERROR(DATEVALUE(L124),"")))</f>
        <v>45930</v>
      </c>
      <c r="N124" s="1" t="str">
        <f aca="false">IF(M124="","Check",IF(AND(M124&gt;=INPUTS!$C$6,M124&lt;=INPUTS!$C$7),"Yes","No"))</f>
        <v>Yes</v>
      </c>
      <c r="O124" s="48" t="str">
        <f aca="false">STACK!H124</f>
        <v> Administrative Assistant</v>
      </c>
      <c r="P124" s="1" t="str">
        <f aca="false">IF(G124&gt;0,IF(INDEX(CONFIRM!$H$5:$H$53,G124)&lt;&gt;"",INDEX(CONFIRM!$H$5:$H$53,G124),IFERROR(INDEX(MAP!$B$7:$B$156,MATCH(TRIM(O124),MAP!$A$7:$A$156,0)),"UNMAPPED")),IFERROR(INDEX(MAP!$B$7:$B$156,MATCH(TRIM(O124),MAP!$A$7:$A$156,0)),"UNMAPPED"))</f>
        <v>Administrative Assistant</v>
      </c>
      <c r="Q124" s="48" t="n">
        <f aca="false">STACK!I124</f>
        <v>67.5</v>
      </c>
      <c r="R124" s="60" t="n">
        <f aca="false">IF(G124&gt;0,IF(INDEX(CONFIRM!$F$5:$F$53,G124)&lt;&gt;"",INDEX(CONFIRM!$F$5:$F$53,G124),IF(ISNUMBER(Q124),Q124,IF(Q124="","",IFERROR(VALUE(TRIM(SUBSTITUTE(SUBSTITUTE(LOWER(Q124),"hrs",""),"hr",""))),"")))),IF(ISNUMBER(Q124),Q124,IF(Q124="","",IFERROR(VALUE(TRIM(SUBSTITUTE(SUBSTITUTE(LOWER(Q124),"hrs",""),"hr",""))),""))))</f>
        <v>67.5</v>
      </c>
      <c r="S124" s="57" t="n">
        <f aca="false">IFERROR(INDEX(RATES!$E$6:$E$28,MATCH(P124,RATES!$A$6:$A$28,0)),0)</f>
        <v>26.985</v>
      </c>
      <c r="T124" s="61" t="n">
        <f aca="false">IF(ISNUMBER(R124),R124,0)*S124</f>
        <v>1821.4875</v>
      </c>
      <c r="U124" s="61" t="n">
        <f aca="false">T124*INDEX(INPUTS!$H$10:$H$14,MATCH(B124,INPUTS!$A$10:$A$14,0))</f>
        <v>336.9751875</v>
      </c>
      <c r="V124" s="61" t="n">
        <f aca="false">N(STACK!K124)</f>
        <v>0</v>
      </c>
      <c r="W124" s="61" t="n">
        <f aca="false">T124+U124+V124</f>
        <v>2158.4626875</v>
      </c>
      <c r="X124" s="61" t="n">
        <f aca="false">N(STACK!L124)</f>
        <v>0</v>
      </c>
      <c r="Y124" s="61" t="n">
        <f aca="false">W124-X124</f>
        <v>2158.4626875</v>
      </c>
      <c r="Z124" s="1" t="n">
        <f aca="false">N(STACK!J124)</f>
        <v>0</v>
      </c>
      <c r="AA124" s="1" t="str">
        <f aca="false">TRIM(IF(D124="UNMAPPED","Program not mapped. ","")&amp;IF(OR(K124="UNMAPPED",K124="UNASSIGNED"),"Category needs review. ","")&amp;IF(P124="UNMAPPED","Title not mapped. ","")&amp;IF(AND(P124&lt;&gt;"No staff time",R124=""),"Missing hours. ","")&amp;IF(M124="","Date not readable. ","")&amp;IF(N124="No","Outside fiscal year. ","")&amp;IF(AND(F124="Event",ISNUMBER(R124)),IF(R124&gt;12,"Event hours look high. ",""),"")&amp;IF(G124&gt;0,"See CONFIRM sheet.",""))</f>
        <v/>
      </c>
      <c r="AB124" s="1" t="n">
        <f aca="false">IF(N124="No",0,IF(REVIEW!O124=0,0,IF(G124&gt;0,IF(INDEX(CONFIRM!$J$5:$J$53,G124)&lt;&gt;"",INDEX(CONFIRM!$J$5:$J$53,G124),1),1)))</f>
        <v>1</v>
      </c>
      <c r="AC124" s="1" t="n">
        <f aca="false">IF(AB124=1,IF(COUNTIFS($B$5:B124,B124,$D$5:D124,D124,$AB$5:AB124,1)=1,1,0),0)</f>
        <v>0</v>
      </c>
    </row>
    <row r="125" customFormat="false" ht="15" hidden="false" customHeight="false" outlineLevel="0" collapsed="false">
      <c r="A125" s="48" t="str">
        <f aca="false">STACK!A125</f>
        <v>KVMC-0121</v>
      </c>
      <c r="B125" s="48" t="str">
        <f aca="false">STACK!B125</f>
        <v>KVMC</v>
      </c>
      <c r="C125" s="48" t="str">
        <f aca="false">STACK!E125</f>
        <v>Community Benefit Program Administration</v>
      </c>
      <c r="D125" s="1" t="str">
        <f aca="false">IFERROR(INDEX(MAP!$J$7:$J$101,MATCH(TRIM(C125),MAP!$I$7:$I$101,0)),"UNMAPPED")</f>
        <v>Community Benefit Program Administration</v>
      </c>
      <c r="E125" s="1" t="str">
        <f aca="false">IFERROR(INDEX(MAP!$K$7:$K$101,MATCH(TRIM(C125),MAP!$I$7:$I$101,0)),"")</f>
        <v>Community benefit infrastructure</v>
      </c>
      <c r="F125" s="1" t="str">
        <f aca="false">IFERROR(INDEX(MAP!$L$7:$L$101,MATCH(TRIM(C125),MAP!$I$7:$I$101,0)),"")</f>
        <v>Monthly</v>
      </c>
      <c r="G125" s="1" t="n">
        <f aca="false">IFERROR(MATCH(A125,CONFIRM!$A$5:$A$53,0),0)</f>
        <v>0</v>
      </c>
      <c r="H125" s="48" t="str">
        <f aca="false">STACK!F125</f>
        <v>CB Operations</v>
      </c>
      <c r="I125" s="1" t="str">
        <f aca="false">IF(G125&gt;0,IF(INDEX(CONFIRM!$I$5:$I$53,G125)&lt;&gt;"",INDEX(CONFIRM!$I$5:$I$53,G125),H125),H125)</f>
        <v>CB Operations</v>
      </c>
      <c r="J125" s="1" t="str">
        <f aca="false">IFERROR(INDEX(MAP!$F$7:$F$74,MATCH(TRIM(I125),MAP!$E$7:$E$74,0)),"UNMAPPED")</f>
        <v>Community benefit operations</v>
      </c>
      <c r="K125" s="1" t="str">
        <f aca="false">IFERROR(INDEX(MAP!$G$7:$G$74,MATCH(TRIM(I125),MAP!$E$7:$E$74,0)),"UNMAPPED")</f>
        <v>7e</v>
      </c>
      <c r="L125" s="49" t="n">
        <f aca="false">STACK!G125</f>
        <v>45930</v>
      </c>
      <c r="M125" s="59" t="n">
        <f aca="false">IF(G125&gt;0,IF(INDEX(CONFIRM!$G$5:$G$53,G125)&lt;&gt;"",INDEX(CONFIRM!$G$5:$G$53,G125),IF(ISNUMBER(L125),L125,IFERROR(DATEVALUE(L125),""))),IF(ISNUMBER(L125),L125,IFERROR(DATEVALUE(L125),"")))</f>
        <v>45930</v>
      </c>
      <c r="N125" s="1" t="str">
        <f aca="false">IF(M125="","Check",IF(AND(M125&gt;=INPUTS!$C$6,M125&lt;=INPUTS!$C$7),"Yes","No"))</f>
        <v>Yes</v>
      </c>
      <c r="O125" s="48" t="str">
        <f aca="false">STACK!H125</f>
        <v>Community Health Manager</v>
      </c>
      <c r="P125" s="1" t="str">
        <f aca="false">IF(G125&gt;0,IF(INDEX(CONFIRM!$H$5:$H$53,G125)&lt;&gt;"",INDEX(CONFIRM!$H$5:$H$53,G125),IFERROR(INDEX(MAP!$B$7:$B$156,MATCH(TRIM(O125),MAP!$A$7:$A$156,0)),"UNMAPPED")),IFERROR(INDEX(MAP!$B$7:$B$156,MATCH(TRIM(O125),MAP!$A$7:$A$156,0)),"UNMAPPED"))</f>
        <v>Community Benefit Manager</v>
      </c>
      <c r="Q125" s="48" t="n">
        <f aca="false">STACK!I125</f>
        <v>86.5</v>
      </c>
      <c r="R125" s="60" t="n">
        <f aca="false">IF(G125&gt;0,IF(INDEX(CONFIRM!$F$5:$F$53,G125)&lt;&gt;"",INDEX(CONFIRM!$F$5:$F$53,G125),IF(ISNUMBER(Q125),Q125,IF(Q125="","",IFERROR(VALUE(TRIM(SUBSTITUTE(SUBSTITUTE(LOWER(Q125),"hrs",""),"hr",""))),"")))),IF(ISNUMBER(Q125),Q125,IF(Q125="","",IFERROR(VALUE(TRIM(SUBSTITUTE(SUBSTITUTE(LOWER(Q125),"hrs",""),"hr",""))),""))))</f>
        <v>86.5</v>
      </c>
      <c r="S125" s="57" t="n">
        <f aca="false">IFERROR(INDEX(RATES!$E$6:$E$28,MATCH(P125,RATES!$A$6:$A$28,0)),0)</f>
        <v>59.11</v>
      </c>
      <c r="T125" s="61" t="n">
        <f aca="false">IF(ISNUMBER(R125),R125,0)*S125</f>
        <v>5113.015</v>
      </c>
      <c r="U125" s="61" t="n">
        <f aca="false">T125*INDEX(INPUTS!$H$10:$H$14,MATCH(B125,INPUTS!$A$10:$A$14,0))</f>
        <v>945.907775</v>
      </c>
      <c r="V125" s="61" t="n">
        <f aca="false">N(STACK!K125)</f>
        <v>810</v>
      </c>
      <c r="W125" s="61" t="n">
        <f aca="false">T125+U125+V125</f>
        <v>6868.922775</v>
      </c>
      <c r="X125" s="61" t="n">
        <f aca="false">N(STACK!L125)</f>
        <v>0</v>
      </c>
      <c r="Y125" s="61" t="n">
        <f aca="false">W125-X125</f>
        <v>6868.922775</v>
      </c>
      <c r="Z125" s="1" t="n">
        <f aca="false">N(STACK!J125)</f>
        <v>0</v>
      </c>
      <c r="AA125" s="1" t="str">
        <f aca="false">TRIM(IF(D125="UNMAPPED","Program not mapped. ","")&amp;IF(OR(K125="UNMAPPED",K125="UNASSIGNED"),"Category needs review. ","")&amp;IF(P125="UNMAPPED","Title not mapped. ","")&amp;IF(AND(P125&lt;&gt;"No staff time",R125=""),"Missing hours. ","")&amp;IF(M125="","Date not readable. ","")&amp;IF(N125="No","Outside fiscal year. ","")&amp;IF(AND(F125="Event",ISNUMBER(R125)),IF(R125&gt;12,"Event hours look high. ",""),"")&amp;IF(G125&gt;0,"See CONFIRM sheet.",""))</f>
        <v/>
      </c>
      <c r="AB125" s="1" t="n">
        <f aca="false">IF(N125="No",0,IF(REVIEW!O125=0,0,IF(G125&gt;0,IF(INDEX(CONFIRM!$J$5:$J$53,G125)&lt;&gt;"",INDEX(CONFIRM!$J$5:$J$53,G125),1),1)))</f>
        <v>1</v>
      </c>
      <c r="AC125" s="1" t="n">
        <f aca="false">IF(AB125=1,IF(COUNTIFS($B$5:B125,B125,$D$5:D125,D125,$AB$5:AB125,1)=1,1,0),0)</f>
        <v>0</v>
      </c>
    </row>
    <row r="126" customFormat="false" ht="15" hidden="false" customHeight="false" outlineLevel="0" collapsed="false">
      <c r="A126" s="48" t="str">
        <f aca="false">STACK!A126</f>
        <v>KVMC-0122</v>
      </c>
      <c r="B126" s="48" t="str">
        <f aca="false">STACK!B126</f>
        <v>KVMC</v>
      </c>
      <c r="C126" s="48" t="str">
        <f aca="false">STACK!E126</f>
        <v>Interpreter Services for Community Clinics</v>
      </c>
      <c r="D126" s="1" t="str">
        <f aca="false">IFERROR(INDEX(MAP!$J$7:$J$101,MATCH(TRIM(C126),MAP!$I$7:$I$101,0)),"UNMAPPED")</f>
        <v>Interpreter Services for Community Clinics</v>
      </c>
      <c r="E126" s="1" t="str">
        <f aca="false">IFERROR(INDEX(MAP!$K$7:$K$101,MATCH(TRIM(C126),MAP!$I$7:$I$101,0)),"")</f>
        <v>Access to care</v>
      </c>
      <c r="F126" s="1" t="str">
        <f aca="false">IFERROR(INDEX(MAP!$L$7:$L$101,MATCH(TRIM(C126),MAP!$I$7:$I$101,0)),"")</f>
        <v>Monthly</v>
      </c>
      <c r="G126" s="1" t="n">
        <f aca="false">IFERROR(MATCH(A126,CONFIRM!$A$5:$A$53,0),0)</f>
        <v>0</v>
      </c>
      <c r="H126" s="48" t="str">
        <f aca="false">STACK!F126</f>
        <v>Health Care Support Services</v>
      </c>
      <c r="I126" s="1" t="str">
        <f aca="false">IF(G126&gt;0,IF(INDEX(CONFIRM!$I$5:$I$53,G126)&lt;&gt;"",INDEX(CONFIRM!$I$5:$I$53,G126),H126),H126)</f>
        <v>Health Care Support Services</v>
      </c>
      <c r="J126" s="1" t="str">
        <f aca="false">IFERROR(INDEX(MAP!$F$7:$F$74,MATCH(TRIM(I126),MAP!$E$7:$E$74,0)),"UNMAPPED")</f>
        <v>Health care support services</v>
      </c>
      <c r="K126" s="1" t="str">
        <f aca="false">IFERROR(INDEX(MAP!$G$7:$G$74,MATCH(TRIM(I126),MAP!$E$7:$E$74,0)),"UNMAPPED")</f>
        <v>7e</v>
      </c>
      <c r="L126" s="49" t="n">
        <f aca="false">STACK!G126</f>
        <v>45930</v>
      </c>
      <c r="M126" s="59" t="n">
        <f aca="false">IF(G126&gt;0,IF(INDEX(CONFIRM!$G$5:$G$53,G126)&lt;&gt;"",INDEX(CONFIRM!$G$5:$G$53,G126),IF(ISNUMBER(L126),L126,IFERROR(DATEVALUE(L126),""))),IF(ISNUMBER(L126),L126,IFERROR(DATEVALUE(L126),"")))</f>
        <v>45930</v>
      </c>
      <c r="N126" s="1" t="str">
        <f aca="false">IF(M126="","Check",IF(AND(M126&gt;=INPUTS!$C$6,M126&lt;=INPUTS!$C$7),"Yes","No"))</f>
        <v>Yes</v>
      </c>
      <c r="O126" s="48" t="str">
        <f aca="false">STACK!H126</f>
        <v>Interp.</v>
      </c>
      <c r="P126" s="1" t="str">
        <f aca="false">IF(G126&gt;0,IF(INDEX(CONFIRM!$H$5:$H$53,G126)&lt;&gt;"",INDEX(CONFIRM!$H$5:$H$53,G126),IFERROR(INDEX(MAP!$B$7:$B$156,MATCH(TRIM(O126),MAP!$A$7:$A$156,0)),"UNMAPPED")),IFERROR(INDEX(MAP!$B$7:$B$156,MATCH(TRIM(O126),MAP!$A$7:$A$156,0)),"UNMAPPED"))</f>
        <v>Interpreter</v>
      </c>
      <c r="Q126" s="48" t="n">
        <f aca="false">STACK!I126</f>
        <v>64</v>
      </c>
      <c r="R126" s="60" t="n">
        <f aca="false">IF(G126&gt;0,IF(INDEX(CONFIRM!$F$5:$F$53,G126)&lt;&gt;"",INDEX(CONFIRM!$F$5:$F$53,G126),IF(ISNUMBER(Q126),Q126,IF(Q126="","",IFERROR(VALUE(TRIM(SUBSTITUTE(SUBSTITUTE(LOWER(Q126),"hrs",""),"hr",""))),"")))),IF(ISNUMBER(Q126),Q126,IF(Q126="","",IFERROR(VALUE(TRIM(SUBSTITUTE(SUBSTITUTE(LOWER(Q126),"hrs",""),"hr",""))),""))))</f>
        <v>64</v>
      </c>
      <c r="S126" s="57" t="n">
        <f aca="false">IFERROR(INDEX(RATES!$E$6:$E$28,MATCH(P126,RATES!$A$6:$A$28,0)),0)</f>
        <v>32.7675</v>
      </c>
      <c r="T126" s="61" t="n">
        <f aca="false">IF(ISNUMBER(R126),R126,0)*S126</f>
        <v>2097.12</v>
      </c>
      <c r="U126" s="61" t="n">
        <f aca="false">T126*INDEX(INPUTS!$H$10:$H$14,MATCH(B126,INPUTS!$A$10:$A$14,0))</f>
        <v>387.9672</v>
      </c>
      <c r="V126" s="61" t="n">
        <f aca="false">N(STACK!K126)</f>
        <v>0</v>
      </c>
      <c r="W126" s="61" t="n">
        <f aca="false">T126+U126+V126</f>
        <v>2485.0872</v>
      </c>
      <c r="X126" s="61" t="n">
        <f aca="false">N(STACK!L126)</f>
        <v>0</v>
      </c>
      <c r="Y126" s="61" t="n">
        <f aca="false">W126-X126</f>
        <v>2485.0872</v>
      </c>
      <c r="Z126" s="1" t="n">
        <f aca="false">N(STACK!J126)</f>
        <v>164</v>
      </c>
      <c r="AA126" s="1" t="str">
        <f aca="false">TRIM(IF(D126="UNMAPPED","Program not mapped. ","")&amp;IF(OR(K126="UNMAPPED",K126="UNASSIGNED"),"Category needs review. ","")&amp;IF(P126="UNMAPPED","Title not mapped. ","")&amp;IF(AND(P126&lt;&gt;"No staff time",R126=""),"Missing hours. ","")&amp;IF(M126="","Date not readable. ","")&amp;IF(N126="No","Outside fiscal year. ","")&amp;IF(AND(F126="Event",ISNUMBER(R126)),IF(R126&gt;12,"Event hours look high. ",""),"")&amp;IF(G126&gt;0,"See CONFIRM sheet.",""))</f>
        <v/>
      </c>
      <c r="AB126" s="1" t="n">
        <f aca="false">IF(N126="No",0,IF(REVIEW!O126=0,0,IF(G126&gt;0,IF(INDEX(CONFIRM!$J$5:$J$53,G126)&lt;&gt;"",INDEX(CONFIRM!$J$5:$J$53,G126),1),1)))</f>
        <v>1</v>
      </c>
      <c r="AC126" s="1" t="n">
        <f aca="false">IF(AB126=1,IF(COUNTIFS($B$5:B126,B126,$D$5:D126,D126,$AB$5:AB126,1)=1,1,0),0)</f>
        <v>0</v>
      </c>
    </row>
    <row r="127" customFormat="false" ht="15" hidden="false" customHeight="false" outlineLevel="0" collapsed="false">
      <c r="A127" s="48" t="str">
        <f aca="false">STACK!A127</f>
        <v>KVMC-0123</v>
      </c>
      <c r="B127" s="48" t="str">
        <f aca="false">STACK!B127</f>
        <v>KVMC</v>
      </c>
      <c r="C127" s="48" t="str">
        <f aca="false">STACK!E127</f>
        <v>Nursing Student Clinical Rotations</v>
      </c>
      <c r="D127" s="1" t="str">
        <f aca="false">IFERROR(INDEX(MAP!$J$7:$J$101,MATCH(TRIM(C127),MAP!$I$7:$I$101,0)),"UNMAPPED")</f>
        <v>Nursing Student Clinical Rotations</v>
      </c>
      <c r="E127" s="1" t="str">
        <f aca="false">IFERROR(INDEX(MAP!$K$7:$K$101,MATCH(TRIM(C127),MAP!$I$7:$I$101,0)),"")</f>
        <v>Health workforce</v>
      </c>
      <c r="F127" s="1" t="str">
        <f aca="false">IFERROR(INDEX(MAP!$L$7:$L$101,MATCH(TRIM(C127),MAP!$I$7:$I$101,0)),"")</f>
        <v>Monthly</v>
      </c>
      <c r="G127" s="1" t="n">
        <f aca="false">IFERROR(MATCH(A127,CONFIRM!$A$5:$A$53,0),0)</f>
        <v>0</v>
      </c>
      <c r="H127" s="48" t="str">
        <f aca="false">STACK!F127</f>
        <v>Health Professions Education</v>
      </c>
      <c r="I127" s="1" t="str">
        <f aca="false">IF(G127&gt;0,IF(INDEX(CONFIRM!$I$5:$I$53,G127)&lt;&gt;"",INDEX(CONFIRM!$I$5:$I$53,G127),H127),H127)</f>
        <v>Health Professions Education</v>
      </c>
      <c r="J127" s="1" t="str">
        <f aca="false">IFERROR(INDEX(MAP!$F$7:$F$74,MATCH(TRIM(I127),MAP!$E$7:$E$74,0)),"UNMAPPED")</f>
        <v>Health professions education</v>
      </c>
      <c r="K127" s="1" t="str">
        <f aca="false">IFERROR(INDEX(MAP!$G$7:$G$74,MATCH(TRIM(I127),MAP!$E$7:$E$74,0)),"UNMAPPED")</f>
        <v>7f</v>
      </c>
      <c r="L127" s="49" t="n">
        <f aca="false">STACK!G127</f>
        <v>45930</v>
      </c>
      <c r="M127" s="59" t="n">
        <f aca="false">IF(G127&gt;0,IF(INDEX(CONFIRM!$G$5:$G$53,G127)&lt;&gt;"",INDEX(CONFIRM!$G$5:$G$53,G127),IF(ISNUMBER(L127),L127,IFERROR(DATEVALUE(L127),""))),IF(ISNUMBER(L127),L127,IFERROR(DATEVALUE(L127),"")))</f>
        <v>45930</v>
      </c>
      <c r="N127" s="1" t="str">
        <f aca="false">IF(M127="","Check",IF(AND(M127&gt;=INPUTS!$C$6,M127&lt;=INPUTS!$C$7),"Yes","No"))</f>
        <v>Yes</v>
      </c>
      <c r="O127" s="48" t="str">
        <f aca="false">STACK!H127</f>
        <v>Educator, Nursing</v>
      </c>
      <c r="P127" s="1" t="str">
        <f aca="false">IF(G127&gt;0,IF(INDEX(CONFIRM!$H$5:$H$53,G127)&lt;&gt;"",INDEX(CONFIRM!$H$5:$H$53,G127),IFERROR(INDEX(MAP!$B$7:$B$156,MATCH(TRIM(O127),MAP!$A$7:$A$156,0)),"UNMAPPED")),IFERROR(INDEX(MAP!$B$7:$B$156,MATCH(TRIM(O127),MAP!$A$7:$A$156,0)),"UNMAPPED"))</f>
        <v>Clinical Nurse Educator</v>
      </c>
      <c r="Q127" s="48" t="n">
        <f aca="false">STACK!I127</f>
        <v>116.75</v>
      </c>
      <c r="R127" s="60" t="n">
        <f aca="false">IF(G127&gt;0,IF(INDEX(CONFIRM!$F$5:$F$53,G127)&lt;&gt;"",INDEX(CONFIRM!$F$5:$F$53,G127),IF(ISNUMBER(Q127),Q127,IF(Q127="","",IFERROR(VALUE(TRIM(SUBSTITUTE(SUBSTITUTE(LOWER(Q127),"hrs",""),"hr",""))),"")))),IF(ISNUMBER(Q127),Q127,IF(Q127="","",IFERROR(VALUE(TRIM(SUBSTITUTE(SUBSTITUTE(LOWER(Q127),"hrs",""),"hr",""))),""))))</f>
        <v>116.75</v>
      </c>
      <c r="S127" s="57" t="n">
        <f aca="false">IFERROR(INDEX(RATES!$E$6:$E$28,MATCH(P127,RATES!$A$6:$A$28,0)),0)</f>
        <v>62.965</v>
      </c>
      <c r="T127" s="61" t="n">
        <f aca="false">IF(ISNUMBER(R127),R127,0)*S127</f>
        <v>7351.16375</v>
      </c>
      <c r="U127" s="61" t="n">
        <f aca="false">T127*INDEX(INPUTS!$H$10:$H$14,MATCH(B127,INPUTS!$A$10:$A$14,0))</f>
        <v>1359.96529375</v>
      </c>
      <c r="V127" s="61" t="n">
        <f aca="false">N(STACK!K127)</f>
        <v>765</v>
      </c>
      <c r="W127" s="61" t="n">
        <f aca="false">T127+U127+V127</f>
        <v>9476.12904375</v>
      </c>
      <c r="X127" s="61" t="n">
        <f aca="false">N(STACK!L127)</f>
        <v>0</v>
      </c>
      <c r="Y127" s="61" t="n">
        <f aca="false">W127-X127</f>
        <v>9476.12904375</v>
      </c>
      <c r="Z127" s="1" t="n">
        <f aca="false">N(STACK!J127)</f>
        <v>36</v>
      </c>
      <c r="AA127" s="1" t="str">
        <f aca="false">TRIM(IF(D127="UNMAPPED","Program not mapped. ","")&amp;IF(OR(K127="UNMAPPED",K127="UNASSIGNED"),"Category needs review. ","")&amp;IF(P127="UNMAPPED","Title not mapped. ","")&amp;IF(AND(P127&lt;&gt;"No staff time",R127=""),"Missing hours. ","")&amp;IF(M127="","Date not readable. ","")&amp;IF(N127="No","Outside fiscal year. ","")&amp;IF(AND(F127="Event",ISNUMBER(R127)),IF(R127&gt;12,"Event hours look high. ",""),"")&amp;IF(G127&gt;0,"See CONFIRM sheet.",""))</f>
        <v/>
      </c>
      <c r="AB127" s="1" t="n">
        <f aca="false">IF(N127="No",0,IF(REVIEW!O127=0,0,IF(G127&gt;0,IF(INDEX(CONFIRM!$J$5:$J$53,G127)&lt;&gt;"",INDEX(CONFIRM!$J$5:$J$53,G127),1),1)))</f>
        <v>1</v>
      </c>
      <c r="AC127" s="1" t="n">
        <f aca="false">IF(AB127=1,IF(COUNTIFS($B$5:B127,B127,$D$5:D127,D127,$AB$5:AB127,1)=1,1,0),0)</f>
        <v>0</v>
      </c>
    </row>
    <row r="128" customFormat="false" ht="15" hidden="false" customHeight="false" outlineLevel="0" collapsed="false">
      <c r="A128" s="48" t="str">
        <f aca="false">STACK!A128</f>
        <v>KVMC-0124</v>
      </c>
      <c r="B128" s="48" t="str">
        <f aca="false">STACK!B128</f>
        <v>KVMC</v>
      </c>
      <c r="C128" s="48" t="str">
        <f aca="false">STACK!E128</f>
        <v>Nursing Student Clinical Rotations</v>
      </c>
      <c r="D128" s="1" t="str">
        <f aca="false">IFERROR(INDEX(MAP!$J$7:$J$101,MATCH(TRIM(C128),MAP!$I$7:$I$101,0)),"UNMAPPED")</f>
        <v>Nursing Student Clinical Rotations</v>
      </c>
      <c r="E128" s="1" t="str">
        <f aca="false">IFERROR(INDEX(MAP!$K$7:$K$101,MATCH(TRIM(C128),MAP!$I$7:$I$101,0)),"")</f>
        <v>Health workforce</v>
      </c>
      <c r="F128" s="1" t="str">
        <f aca="false">IFERROR(INDEX(MAP!$L$7:$L$101,MATCH(TRIM(C128),MAP!$I$7:$I$101,0)),"")</f>
        <v>Monthly</v>
      </c>
      <c r="G128" s="1" t="n">
        <f aca="false">IFERROR(MATCH(A128,CONFIRM!$A$5:$A$53,0),0)</f>
        <v>0</v>
      </c>
      <c r="H128" s="48" t="str">
        <f aca="false">STACK!F128</f>
        <v>Health Professions Education</v>
      </c>
      <c r="I128" s="1" t="str">
        <f aca="false">IF(G128&gt;0,IF(INDEX(CONFIRM!$I$5:$I$53,G128)&lt;&gt;"",INDEX(CONFIRM!$I$5:$I$53,G128),H128),H128)</f>
        <v>Health Professions Education</v>
      </c>
      <c r="J128" s="1" t="str">
        <f aca="false">IFERROR(INDEX(MAP!$F$7:$F$74,MATCH(TRIM(I128),MAP!$E$7:$E$74,0)),"UNMAPPED")</f>
        <v>Health professions education</v>
      </c>
      <c r="K128" s="1" t="str">
        <f aca="false">IFERROR(INDEX(MAP!$G$7:$G$74,MATCH(TRIM(I128),MAP!$E$7:$E$74,0)),"UNMAPPED")</f>
        <v>7f</v>
      </c>
      <c r="L128" s="49" t="n">
        <f aca="false">STACK!G128</f>
        <v>45930</v>
      </c>
      <c r="M128" s="59" t="n">
        <f aca="false">IF(G128&gt;0,IF(INDEX(CONFIRM!$G$5:$G$53,G128)&lt;&gt;"",INDEX(CONFIRM!$G$5:$G$53,G128),IF(ISNUMBER(L128),L128,IFERROR(DATEVALUE(L128),""))),IF(ISNUMBER(L128),L128,IFERROR(DATEVALUE(L128),"")))</f>
        <v>45930</v>
      </c>
      <c r="N128" s="1" t="str">
        <f aca="false">IF(M128="","Check",IF(AND(M128&gt;=INPUTS!$C$6,M128&lt;=INPUTS!$C$7),"Yes","No"))</f>
        <v>Yes</v>
      </c>
      <c r="O128" s="48" t="str">
        <f aca="false">STACK!H128</f>
        <v>Charge RN</v>
      </c>
      <c r="P128" s="1" t="str">
        <f aca="false">IF(G128&gt;0,IF(INDEX(CONFIRM!$H$5:$H$53,G128)&lt;&gt;"",INDEX(CONFIRM!$H$5:$H$53,G128),IFERROR(INDEX(MAP!$B$7:$B$156,MATCH(TRIM(O128),MAP!$A$7:$A$156,0)),"UNMAPPED")),IFERROR(INDEX(MAP!$B$7:$B$156,MATCH(TRIM(O128),MAP!$A$7:$A$156,0)),"UNMAPPED"))</f>
        <v>Registered Nurse</v>
      </c>
      <c r="Q128" s="48" t="n">
        <f aca="false">STACK!I128</f>
        <v>282</v>
      </c>
      <c r="R128" s="60" t="n">
        <f aca="false">IF(G128&gt;0,IF(INDEX(CONFIRM!$F$5:$F$53,G128)&lt;&gt;"",INDEX(CONFIRM!$F$5:$F$53,G128),IF(ISNUMBER(Q128),Q128,IF(Q128="","",IFERROR(VALUE(TRIM(SUBSTITUTE(SUBSTITUTE(LOWER(Q128),"hrs",""),"hr",""))),"")))),IF(ISNUMBER(Q128),Q128,IF(Q128="","",IFERROR(VALUE(TRIM(SUBSTITUTE(SUBSTITUTE(LOWER(Q128),"hrs",""),"hr",""))),""))))</f>
        <v>282</v>
      </c>
      <c r="S128" s="57" t="n">
        <f aca="false">IFERROR(INDEX(RATES!$E$6:$E$28,MATCH(P128,RATES!$A$6:$A$28,0)),0)</f>
        <v>55.8975</v>
      </c>
      <c r="T128" s="61" t="n">
        <f aca="false">IF(ISNUMBER(R128),R128,0)*S128</f>
        <v>15763.095</v>
      </c>
      <c r="U128" s="61" t="n">
        <f aca="false">T128*INDEX(INPUTS!$H$10:$H$14,MATCH(B128,INPUTS!$A$10:$A$14,0))</f>
        <v>2916.172575</v>
      </c>
      <c r="V128" s="61" t="n">
        <f aca="false">N(STACK!K128)</f>
        <v>0</v>
      </c>
      <c r="W128" s="61" t="n">
        <f aca="false">T128+U128+V128</f>
        <v>18679.267575</v>
      </c>
      <c r="X128" s="61" t="n">
        <f aca="false">N(STACK!L128)</f>
        <v>0</v>
      </c>
      <c r="Y128" s="61" t="n">
        <f aca="false">W128-X128</f>
        <v>18679.267575</v>
      </c>
      <c r="Z128" s="1" t="n">
        <f aca="false">N(STACK!J128)</f>
        <v>0</v>
      </c>
      <c r="AA128" s="1" t="str">
        <f aca="false">TRIM(IF(D128="UNMAPPED","Program not mapped. ","")&amp;IF(OR(K128="UNMAPPED",K128="UNASSIGNED"),"Category needs review. ","")&amp;IF(P128="UNMAPPED","Title not mapped. ","")&amp;IF(AND(P128&lt;&gt;"No staff time",R128=""),"Missing hours. ","")&amp;IF(M128="","Date not readable. ","")&amp;IF(N128="No","Outside fiscal year. ","")&amp;IF(AND(F128="Event",ISNUMBER(R128)),IF(R128&gt;12,"Event hours look high. ",""),"")&amp;IF(G128&gt;0,"See CONFIRM sheet.",""))</f>
        <v/>
      </c>
      <c r="AB128" s="1" t="n">
        <f aca="false">IF(N128="No",0,IF(REVIEW!O128=0,0,IF(G128&gt;0,IF(INDEX(CONFIRM!$J$5:$J$53,G128)&lt;&gt;"",INDEX(CONFIRM!$J$5:$J$53,G128),1),1)))</f>
        <v>1</v>
      </c>
      <c r="AC128" s="1" t="n">
        <f aca="false">IF(AB128=1,IF(COUNTIFS($B$5:B128,B128,$D$5:D128,D128,$AB$5:AB128,1)=1,1,0),0)</f>
        <v>0</v>
      </c>
    </row>
    <row r="129" customFormat="false" ht="15" hidden="false" customHeight="false" outlineLevel="0" collapsed="false">
      <c r="A129" s="48" t="str">
        <f aca="false">STACK!A129</f>
        <v>KVMC-0125</v>
      </c>
      <c r="B129" s="48" t="str">
        <f aca="false">STACK!B129</f>
        <v>KVMC</v>
      </c>
      <c r="C129" s="48" t="str">
        <f aca="false">STACK!E129</f>
        <v>Family Medicine Residency Program</v>
      </c>
      <c r="D129" s="1" t="str">
        <f aca="false">IFERROR(INDEX(MAP!$J$7:$J$101,MATCH(TRIM(C129),MAP!$I$7:$I$101,0)),"UNMAPPED")</f>
        <v>Family Medicine Residency Program</v>
      </c>
      <c r="E129" s="1" t="str">
        <f aca="false">IFERROR(INDEX(MAP!$K$7:$K$101,MATCH(TRIM(C129),MAP!$I$7:$I$101,0)),"")</f>
        <v>Health workforce</v>
      </c>
      <c r="F129" s="1" t="str">
        <f aca="false">IFERROR(INDEX(MAP!$L$7:$L$101,MATCH(TRIM(C129),MAP!$I$7:$I$101,0)),"")</f>
        <v>Monthly</v>
      </c>
      <c r="G129" s="1" t="n">
        <f aca="false">IFERROR(MATCH(A129,CONFIRM!$A$5:$A$53,0),0)</f>
        <v>0</v>
      </c>
      <c r="H129" s="48" t="str">
        <f aca="false">STACK!F129</f>
        <v>Health Professions Education</v>
      </c>
      <c r="I129" s="1" t="str">
        <f aca="false">IF(G129&gt;0,IF(INDEX(CONFIRM!$I$5:$I$53,G129)&lt;&gt;"",INDEX(CONFIRM!$I$5:$I$53,G129),H129),H129)</f>
        <v>Health Professions Education</v>
      </c>
      <c r="J129" s="1" t="str">
        <f aca="false">IFERROR(INDEX(MAP!$F$7:$F$74,MATCH(TRIM(I129),MAP!$E$7:$E$74,0)),"UNMAPPED")</f>
        <v>Health professions education</v>
      </c>
      <c r="K129" s="1" t="str">
        <f aca="false">IFERROR(INDEX(MAP!$G$7:$G$74,MATCH(TRIM(I129),MAP!$E$7:$E$74,0)),"UNMAPPED")</f>
        <v>7f</v>
      </c>
      <c r="L129" s="49" t="n">
        <f aca="false">STACK!G129</f>
        <v>45930</v>
      </c>
      <c r="M129" s="59" t="n">
        <f aca="false">IF(G129&gt;0,IF(INDEX(CONFIRM!$G$5:$G$53,G129)&lt;&gt;"",INDEX(CONFIRM!$G$5:$G$53,G129),IF(ISNUMBER(L129),L129,IFERROR(DATEVALUE(L129),""))),IF(ISNUMBER(L129),L129,IFERROR(DATEVALUE(L129),"")))</f>
        <v>45930</v>
      </c>
      <c r="N129" s="1" t="str">
        <f aca="false">IF(M129="","Check",IF(AND(M129&gt;=INPUTS!$C$6,M129&lt;=INPUTS!$C$7),"Yes","No"))</f>
        <v>Yes</v>
      </c>
      <c r="O129" s="48" t="str">
        <f aca="false">STACK!H129</f>
        <v>Dr.</v>
      </c>
      <c r="P129" s="1" t="str">
        <f aca="false">IF(G129&gt;0,IF(INDEX(CONFIRM!$H$5:$H$53,G129)&lt;&gt;"",INDEX(CONFIRM!$H$5:$H$53,G129),IFERROR(INDEX(MAP!$B$7:$B$156,MATCH(TRIM(O129),MAP!$A$7:$A$156,0)),"UNMAPPED")),IFERROR(INDEX(MAP!$B$7:$B$156,MATCH(TRIM(O129),MAP!$A$7:$A$156,0)),"UNMAPPED"))</f>
        <v>Physician</v>
      </c>
      <c r="Q129" s="48" t="n">
        <f aca="false">STACK!I129</f>
        <v>410.25</v>
      </c>
      <c r="R129" s="60" t="n">
        <f aca="false">IF(G129&gt;0,IF(INDEX(CONFIRM!$F$5:$F$53,G129)&lt;&gt;"",INDEX(CONFIRM!$F$5:$F$53,G129),IF(ISNUMBER(Q129),Q129,IF(Q129="","",IFERROR(VALUE(TRIM(SUBSTITUTE(SUBSTITUTE(LOWER(Q129),"hrs",""),"hr",""))),"")))),IF(ISNUMBER(Q129),Q129,IF(Q129="","",IFERROR(VALUE(TRIM(SUBSTITUTE(SUBSTITUTE(LOWER(Q129),"hrs",""),"hr",""))),""))))</f>
        <v>410.25</v>
      </c>
      <c r="S129" s="57" t="n">
        <f aca="false">IFERROR(INDEX(RATES!$E$6:$E$28,MATCH(P129,RATES!$A$6:$A$28,0)),0)</f>
        <v>151.63</v>
      </c>
      <c r="T129" s="61" t="n">
        <f aca="false">IF(ISNUMBER(R129),R129,0)*S129</f>
        <v>62206.2075</v>
      </c>
      <c r="U129" s="61" t="n">
        <f aca="false">T129*INDEX(INPUTS!$H$10:$H$14,MATCH(B129,INPUTS!$A$10:$A$14,0))</f>
        <v>11508.1483875</v>
      </c>
      <c r="V129" s="61" t="n">
        <f aca="false">N(STACK!K129)</f>
        <v>33305</v>
      </c>
      <c r="W129" s="61" t="n">
        <f aca="false">T129+U129+V129</f>
        <v>107019.3558875</v>
      </c>
      <c r="X129" s="61" t="n">
        <f aca="false">N(STACK!L129)</f>
        <v>169490</v>
      </c>
      <c r="Y129" s="61" t="n">
        <f aca="false">W129-X129</f>
        <v>-62470.6441125</v>
      </c>
      <c r="Z129" s="1" t="n">
        <f aca="false">N(STACK!J129)</f>
        <v>0</v>
      </c>
      <c r="AA129" s="1" t="str">
        <f aca="false">TRIM(IF(D129="UNMAPPED","Program not mapped. ","")&amp;IF(OR(K129="UNMAPPED",K129="UNASSIGNED"),"Category needs review. ","")&amp;IF(P129="UNMAPPED","Title not mapped. ","")&amp;IF(AND(P129&lt;&gt;"No staff time",R129=""),"Missing hours. ","")&amp;IF(M129="","Date not readable. ","")&amp;IF(N129="No","Outside fiscal year. ","")&amp;IF(AND(F129="Event",ISNUMBER(R129)),IF(R129&gt;12,"Event hours look high. ",""),"")&amp;IF(G129&gt;0,"See CONFIRM sheet.",""))</f>
        <v/>
      </c>
      <c r="AB129" s="1" t="n">
        <f aca="false">IF(N129="No",0,IF(REVIEW!O129=0,0,IF(G129&gt;0,IF(INDEX(CONFIRM!$J$5:$J$53,G129)&lt;&gt;"",INDEX(CONFIRM!$J$5:$J$53,G129),1),1)))</f>
        <v>1</v>
      </c>
      <c r="AC129" s="1" t="n">
        <f aca="false">IF(AB129=1,IF(COUNTIFS($B$5:B129,B129,$D$5:D129,D129,$AB$5:AB129,1)=1,1,0),0)</f>
        <v>0</v>
      </c>
    </row>
    <row r="130" customFormat="false" ht="15" hidden="false" customHeight="false" outlineLevel="0" collapsed="false">
      <c r="A130" s="48" t="str">
        <f aca="false">STACK!A130</f>
        <v>KVMC-0126</v>
      </c>
      <c r="B130" s="48" t="str">
        <f aca="false">STACK!B130</f>
        <v>KVMC</v>
      </c>
      <c r="C130" s="48" t="str">
        <f aca="false">STACK!E130</f>
        <v>Family Medicine Residency Program</v>
      </c>
      <c r="D130" s="1" t="str">
        <f aca="false">IFERROR(INDEX(MAP!$J$7:$J$101,MATCH(TRIM(C130),MAP!$I$7:$I$101,0)),"UNMAPPED")</f>
        <v>Family Medicine Residency Program</v>
      </c>
      <c r="E130" s="1" t="str">
        <f aca="false">IFERROR(INDEX(MAP!$K$7:$K$101,MATCH(TRIM(C130),MAP!$I$7:$I$101,0)),"")</f>
        <v>Health workforce</v>
      </c>
      <c r="F130" s="1" t="str">
        <f aca="false">IFERROR(INDEX(MAP!$L$7:$L$101,MATCH(TRIM(C130),MAP!$I$7:$I$101,0)),"")</f>
        <v>Monthly</v>
      </c>
      <c r="G130" s="1" t="n">
        <f aca="false">IFERROR(MATCH(A130,CONFIRM!$A$5:$A$53,0),0)</f>
        <v>0</v>
      </c>
      <c r="H130" s="48" t="str">
        <f aca="false">STACK!F130</f>
        <v>Health Professions Education</v>
      </c>
      <c r="I130" s="1" t="str">
        <f aca="false">IF(G130&gt;0,IF(INDEX(CONFIRM!$I$5:$I$53,G130)&lt;&gt;"",INDEX(CONFIRM!$I$5:$I$53,G130),H130),H130)</f>
        <v>Health Professions Education</v>
      </c>
      <c r="J130" s="1" t="str">
        <f aca="false">IFERROR(INDEX(MAP!$F$7:$F$74,MATCH(TRIM(I130),MAP!$E$7:$E$74,0)),"UNMAPPED")</f>
        <v>Health professions education</v>
      </c>
      <c r="K130" s="1" t="str">
        <f aca="false">IFERROR(INDEX(MAP!$G$7:$G$74,MATCH(TRIM(I130),MAP!$E$7:$E$74,0)),"UNMAPPED")</f>
        <v>7f</v>
      </c>
      <c r="L130" s="49" t="n">
        <f aca="false">STACK!G130</f>
        <v>45930</v>
      </c>
      <c r="M130" s="59" t="n">
        <f aca="false">IF(G130&gt;0,IF(INDEX(CONFIRM!$G$5:$G$53,G130)&lt;&gt;"",INDEX(CONFIRM!$G$5:$G$53,G130),IF(ISNUMBER(L130),L130,IFERROR(DATEVALUE(L130),""))),IF(ISNUMBER(L130),L130,IFERROR(DATEVALUE(L130),"")))</f>
        <v>45930</v>
      </c>
      <c r="N130" s="1" t="str">
        <f aca="false">IF(M130="","Check",IF(AND(M130&gt;=INPUTS!$C$6,M130&lt;=INPUTS!$C$7),"Yes","No"))</f>
        <v>Yes</v>
      </c>
      <c r="O130" s="48" t="str">
        <f aca="false">STACK!H130</f>
        <v>Residency Coordinator</v>
      </c>
      <c r="P130" s="1" t="str">
        <f aca="false">IF(G130&gt;0,IF(INDEX(CONFIRM!$H$5:$H$53,G130)&lt;&gt;"",INDEX(CONFIRM!$H$5:$H$53,G130),IFERROR(INDEX(MAP!$B$7:$B$156,MATCH(TRIM(O130),MAP!$A$7:$A$156,0)),"UNMAPPED")),IFERROR(INDEX(MAP!$B$7:$B$156,MATCH(TRIM(O130),MAP!$A$7:$A$156,0)),"UNMAPPED"))</f>
        <v>Program Coordinator</v>
      </c>
      <c r="Q130" s="48" t="n">
        <f aca="false">STACK!I130</f>
        <v>167</v>
      </c>
      <c r="R130" s="60" t="n">
        <f aca="false">IF(G130&gt;0,IF(INDEX(CONFIRM!$F$5:$F$53,G130)&lt;&gt;"",INDEX(CONFIRM!$F$5:$F$53,G130),IF(ISNUMBER(Q130),Q130,IF(Q130="","",IFERROR(VALUE(TRIM(SUBSTITUTE(SUBSTITUTE(LOWER(Q130),"hrs",""),"hr",""))),"")))),IF(ISNUMBER(Q130),Q130,IF(Q130="","",IFERROR(VALUE(TRIM(SUBSTITUTE(SUBSTITUTE(LOWER(Q130),"hrs",""),"hr",""))),""))))</f>
        <v>167</v>
      </c>
      <c r="S130" s="57" t="n">
        <f aca="false">IFERROR(INDEX(RATES!$E$6:$E$28,MATCH(P130,RATES!$A$6:$A$28,0)),0)</f>
        <v>35.3375</v>
      </c>
      <c r="T130" s="61" t="n">
        <f aca="false">IF(ISNUMBER(R130),R130,0)*S130</f>
        <v>5901.3625</v>
      </c>
      <c r="U130" s="61" t="n">
        <f aca="false">T130*INDEX(INPUTS!$H$10:$H$14,MATCH(B130,INPUTS!$A$10:$A$14,0))</f>
        <v>1091.7520625</v>
      </c>
      <c r="V130" s="61" t="n">
        <f aca="false">N(STACK!K130)</f>
        <v>0</v>
      </c>
      <c r="W130" s="61" t="n">
        <f aca="false">T130+U130+V130</f>
        <v>6993.1145625</v>
      </c>
      <c r="X130" s="61" t="n">
        <f aca="false">N(STACK!L130)</f>
        <v>0</v>
      </c>
      <c r="Y130" s="61" t="n">
        <f aca="false">W130-X130</f>
        <v>6993.1145625</v>
      </c>
      <c r="Z130" s="1" t="n">
        <f aca="false">N(STACK!J130)</f>
        <v>0</v>
      </c>
      <c r="AA130" s="1" t="str">
        <f aca="false">TRIM(IF(D130="UNMAPPED","Program not mapped. ","")&amp;IF(OR(K130="UNMAPPED",K130="UNASSIGNED"),"Category needs review. ","")&amp;IF(P130="UNMAPPED","Title not mapped. ","")&amp;IF(AND(P130&lt;&gt;"No staff time",R130=""),"Missing hours. ","")&amp;IF(M130="","Date not readable. ","")&amp;IF(N130="No","Outside fiscal year. ","")&amp;IF(AND(F130="Event",ISNUMBER(R130)),IF(R130&gt;12,"Event hours look high. ",""),"")&amp;IF(G130&gt;0,"See CONFIRM sheet.",""))</f>
        <v/>
      </c>
      <c r="AB130" s="1" t="n">
        <f aca="false">IF(N130="No",0,IF(REVIEW!O130=0,0,IF(G130&gt;0,IF(INDEX(CONFIRM!$J$5:$J$53,G130)&lt;&gt;"",INDEX(CONFIRM!$J$5:$J$53,G130),1),1)))</f>
        <v>1</v>
      </c>
      <c r="AC130" s="1" t="n">
        <f aca="false">IF(AB130=1,IF(COUNTIFS($B$5:B130,B130,$D$5:D130,D130,$AB$5:AB130,1)=1,1,0),0)</f>
        <v>0</v>
      </c>
    </row>
    <row r="131" customFormat="false" ht="15" hidden="false" customHeight="false" outlineLevel="0" collapsed="false">
      <c r="A131" s="48" t="str">
        <f aca="false">STACK!A131</f>
        <v>KVMC-0127</v>
      </c>
      <c r="B131" s="48" t="str">
        <f aca="false">STACK!B131</f>
        <v>KVMC</v>
      </c>
      <c r="C131" s="48" t="str">
        <f aca="false">STACK!E131</f>
        <v>Family Medicine Residency Program</v>
      </c>
      <c r="D131" s="1" t="str">
        <f aca="false">IFERROR(INDEX(MAP!$J$7:$J$101,MATCH(TRIM(C131),MAP!$I$7:$I$101,0)),"UNMAPPED")</f>
        <v>Family Medicine Residency Program</v>
      </c>
      <c r="E131" s="1" t="str">
        <f aca="false">IFERROR(INDEX(MAP!$K$7:$K$101,MATCH(TRIM(C131),MAP!$I$7:$I$101,0)),"")</f>
        <v>Health workforce</v>
      </c>
      <c r="F131" s="1" t="str">
        <f aca="false">IFERROR(INDEX(MAP!$L$7:$L$101,MATCH(TRIM(C131),MAP!$I$7:$I$101,0)),"")</f>
        <v>Monthly</v>
      </c>
      <c r="G131" s="1" t="n">
        <f aca="false">IFERROR(MATCH(A131,CONFIRM!$A$5:$A$53,0),0)</f>
        <v>0</v>
      </c>
      <c r="H131" s="48" t="str">
        <f aca="false">STACK!F131</f>
        <v>Health Professions Education</v>
      </c>
      <c r="I131" s="1" t="str">
        <f aca="false">IF(G131&gt;0,IF(INDEX(CONFIRM!$I$5:$I$53,G131)&lt;&gt;"",INDEX(CONFIRM!$I$5:$I$53,G131),H131),H131)</f>
        <v>Health Professions Education</v>
      </c>
      <c r="J131" s="1" t="str">
        <f aca="false">IFERROR(INDEX(MAP!$F$7:$F$74,MATCH(TRIM(I131),MAP!$E$7:$E$74,0)),"UNMAPPED")</f>
        <v>Health professions education</v>
      </c>
      <c r="K131" s="1" t="str">
        <f aca="false">IFERROR(INDEX(MAP!$G$7:$G$74,MATCH(TRIM(I131),MAP!$E$7:$E$74,0)),"UNMAPPED")</f>
        <v>7f</v>
      </c>
      <c r="L131" s="49" t="n">
        <f aca="false">STACK!G131</f>
        <v>45930</v>
      </c>
      <c r="M131" s="59" t="n">
        <f aca="false">IF(G131&gt;0,IF(INDEX(CONFIRM!$G$5:$G$53,G131)&lt;&gt;"",INDEX(CONFIRM!$G$5:$G$53,G131),IF(ISNUMBER(L131),L131,IFERROR(DATEVALUE(L131),""))),IF(ISNUMBER(L131),L131,IFERROR(DATEVALUE(L131),"")))</f>
        <v>45930</v>
      </c>
      <c r="N131" s="1" t="str">
        <f aca="false">IF(M131="","Check",IF(AND(M131&gt;=INPUTS!$C$6,M131&lt;=INPUTS!$C$7),"Yes","No"))</f>
        <v>Yes</v>
      </c>
      <c r="O131" s="48" t="str">
        <f aca="false">STACK!H131</f>
        <v>Resident Physician</v>
      </c>
      <c r="P131" s="1" t="str">
        <f aca="false">IF(G131&gt;0,IF(INDEX(CONFIRM!$H$5:$H$53,G131)&lt;&gt;"",INDEX(CONFIRM!$H$5:$H$53,G131),IFERROR(INDEX(MAP!$B$7:$B$156,MATCH(TRIM(O131),MAP!$A$7:$A$156,0)),"UNMAPPED")),IFERROR(INDEX(MAP!$B$7:$B$156,MATCH(TRIM(O131),MAP!$A$7:$A$156,0)),"UNMAPPED"))</f>
        <v>Resident Physician</v>
      </c>
      <c r="Q131" s="48" t="n">
        <f aca="false">STACK!I131</f>
        <v>3939.5</v>
      </c>
      <c r="R131" s="60" t="n">
        <f aca="false">IF(G131&gt;0,IF(INDEX(CONFIRM!$F$5:$F$53,G131)&lt;&gt;"",INDEX(CONFIRM!$F$5:$F$53,G131),IF(ISNUMBER(Q131),Q131,IF(Q131="","",IFERROR(VALUE(TRIM(SUBSTITUTE(SUBSTITUTE(LOWER(Q131),"hrs",""),"hr",""))),"")))),IF(ISNUMBER(Q131),Q131,IF(Q131="","",IFERROR(VALUE(TRIM(SUBSTITUTE(SUBSTITUTE(LOWER(Q131),"hrs",""),"hr",""))),""))))</f>
        <v>3939.5</v>
      </c>
      <c r="S131" s="57" t="n">
        <f aca="false">IFERROR(INDEX(RATES!$E$6:$E$28,MATCH(P131,RATES!$A$6:$A$28,0)),0)</f>
        <v>38.43</v>
      </c>
      <c r="T131" s="61" t="n">
        <f aca="false">IF(ISNUMBER(R131),R131,0)*S131</f>
        <v>151394.985</v>
      </c>
      <c r="U131" s="61" t="n">
        <f aca="false">T131*INDEX(INPUTS!$H$10:$H$14,MATCH(B131,INPUTS!$A$10:$A$14,0))</f>
        <v>28008.072225</v>
      </c>
      <c r="V131" s="61" t="n">
        <f aca="false">N(STACK!K131)</f>
        <v>0</v>
      </c>
      <c r="W131" s="61" t="n">
        <f aca="false">T131+U131+V131</f>
        <v>179403.057225</v>
      </c>
      <c r="X131" s="61" t="n">
        <f aca="false">N(STACK!L131)</f>
        <v>0</v>
      </c>
      <c r="Y131" s="61" t="n">
        <f aca="false">W131-X131</f>
        <v>179403.057225</v>
      </c>
      <c r="Z131" s="1" t="n">
        <f aca="false">N(STACK!J131)</f>
        <v>0</v>
      </c>
      <c r="AA131" s="1" t="str">
        <f aca="false">TRIM(IF(D131="UNMAPPED","Program not mapped. ","")&amp;IF(OR(K131="UNMAPPED",K131="UNASSIGNED"),"Category needs review. ","")&amp;IF(P131="UNMAPPED","Title not mapped. ","")&amp;IF(AND(P131&lt;&gt;"No staff time",R131=""),"Missing hours. ","")&amp;IF(M131="","Date not readable. ","")&amp;IF(N131="No","Outside fiscal year. ","")&amp;IF(AND(F131="Event",ISNUMBER(R131)),IF(R131&gt;12,"Event hours look high. ",""),"")&amp;IF(G131&gt;0,"See CONFIRM sheet.",""))</f>
        <v/>
      </c>
      <c r="AB131" s="1" t="n">
        <f aca="false">IF(N131="No",0,IF(REVIEW!O131=0,0,IF(G131&gt;0,IF(INDEX(CONFIRM!$J$5:$J$53,G131)&lt;&gt;"",INDEX(CONFIRM!$J$5:$J$53,G131),1),1)))</f>
        <v>1</v>
      </c>
      <c r="AC131" s="1" t="n">
        <f aca="false">IF(AB131=1,IF(COUNTIFS($B$5:B131,B131,$D$5:D131,D131,$AB$5:AB131,1)=1,1,0),0)</f>
        <v>0</v>
      </c>
    </row>
    <row r="132" customFormat="false" ht="15" hidden="false" customHeight="false" outlineLevel="0" collapsed="false">
      <c r="A132" s="48" t="str">
        <f aca="false">STACK!A132</f>
        <v>KVMC-0128</v>
      </c>
      <c r="B132" s="48" t="str">
        <f aca="false">STACK!B132</f>
        <v>KVMC</v>
      </c>
      <c r="C132" s="48" t="str">
        <f aca="false">STACK!E132</f>
        <v>Pharmacy Student Rotations</v>
      </c>
      <c r="D132" s="1" t="str">
        <f aca="false">IFERROR(INDEX(MAP!$J$7:$J$101,MATCH(TRIM(C132),MAP!$I$7:$I$101,0)),"UNMAPPED")</f>
        <v>Pharmacy Student Rotations</v>
      </c>
      <c r="E132" s="1" t="str">
        <f aca="false">IFERROR(INDEX(MAP!$K$7:$K$101,MATCH(TRIM(C132),MAP!$I$7:$I$101,0)),"")</f>
        <v>Health workforce</v>
      </c>
      <c r="F132" s="1" t="str">
        <f aca="false">IFERROR(INDEX(MAP!$L$7:$L$101,MATCH(TRIM(C132),MAP!$I$7:$I$101,0)),"")</f>
        <v>Monthly</v>
      </c>
      <c r="G132" s="1" t="n">
        <f aca="false">IFERROR(MATCH(A132,CONFIRM!$A$5:$A$53,0),0)</f>
        <v>0</v>
      </c>
      <c r="H132" s="48" t="str">
        <f aca="false">STACK!F132</f>
        <v>Health Professions Education</v>
      </c>
      <c r="I132" s="1" t="str">
        <f aca="false">IF(G132&gt;0,IF(INDEX(CONFIRM!$I$5:$I$53,G132)&lt;&gt;"",INDEX(CONFIRM!$I$5:$I$53,G132),H132),H132)</f>
        <v>Health Professions Education</v>
      </c>
      <c r="J132" s="1" t="str">
        <f aca="false">IFERROR(INDEX(MAP!$F$7:$F$74,MATCH(TRIM(I132),MAP!$E$7:$E$74,0)),"UNMAPPED")</f>
        <v>Health professions education</v>
      </c>
      <c r="K132" s="1" t="str">
        <f aca="false">IFERROR(INDEX(MAP!$G$7:$G$74,MATCH(TRIM(I132),MAP!$E$7:$E$74,0)),"UNMAPPED")</f>
        <v>7f</v>
      </c>
      <c r="L132" s="49" t="n">
        <f aca="false">STACK!G132</f>
        <v>45930</v>
      </c>
      <c r="M132" s="59" t="n">
        <f aca="false">IF(G132&gt;0,IF(INDEX(CONFIRM!$G$5:$G$53,G132)&lt;&gt;"",INDEX(CONFIRM!$G$5:$G$53,G132),IF(ISNUMBER(L132),L132,IFERROR(DATEVALUE(L132),""))),IF(ISNUMBER(L132),L132,IFERROR(DATEVALUE(L132),"")))</f>
        <v>45930</v>
      </c>
      <c r="N132" s="1" t="str">
        <f aca="false">IF(M132="","Check",IF(AND(M132&gt;=INPUTS!$C$6,M132&lt;=INPUTS!$C$7),"Yes","No"))</f>
        <v>Yes</v>
      </c>
      <c r="O132" s="48" t="str">
        <f aca="false">STACK!H132</f>
        <v>PharmD </v>
      </c>
      <c r="P132" s="1" t="str">
        <f aca="false">IF(G132&gt;0,IF(INDEX(CONFIRM!$H$5:$H$53,G132)&lt;&gt;"",INDEX(CONFIRM!$H$5:$H$53,G132),IFERROR(INDEX(MAP!$B$7:$B$156,MATCH(TRIM(O132),MAP!$A$7:$A$156,0)),"UNMAPPED")),IFERROR(INDEX(MAP!$B$7:$B$156,MATCH(TRIM(O132),MAP!$A$7:$A$156,0)),"UNMAPPED"))</f>
        <v>Pharmacist</v>
      </c>
      <c r="Q132" s="48" t="n">
        <f aca="false">STACK!I132</f>
        <v>85.5</v>
      </c>
      <c r="R132" s="60" t="n">
        <f aca="false">IF(G132&gt;0,IF(INDEX(CONFIRM!$F$5:$F$53,G132)&lt;&gt;"",INDEX(CONFIRM!$F$5:$F$53,G132),IF(ISNUMBER(Q132),Q132,IF(Q132="","",IFERROR(VALUE(TRIM(SUBSTITUTE(SUBSTITUTE(LOWER(Q132),"hrs",""),"hr",""))),"")))),IF(ISNUMBER(Q132),Q132,IF(Q132="","",IFERROR(VALUE(TRIM(SUBSTITUTE(SUBSTITUTE(LOWER(Q132),"hrs",""),"hr",""))),""))))</f>
        <v>85.5</v>
      </c>
      <c r="S132" s="57" t="n">
        <f aca="false">IFERROR(INDEX(RATES!$E$6:$E$28,MATCH(P132,RATES!$A$6:$A$28,0)),0)</f>
        <v>84.81</v>
      </c>
      <c r="T132" s="61" t="n">
        <f aca="false">IF(ISNUMBER(R132),R132,0)*S132</f>
        <v>7251.255</v>
      </c>
      <c r="U132" s="61" t="n">
        <f aca="false">T132*INDEX(INPUTS!$H$10:$H$14,MATCH(B132,INPUTS!$A$10:$A$14,0))</f>
        <v>1341.482175</v>
      </c>
      <c r="V132" s="61" t="n">
        <f aca="false">N(STACK!K132)</f>
        <v>140</v>
      </c>
      <c r="W132" s="61" t="n">
        <f aca="false">T132+U132+V132</f>
        <v>8732.737175</v>
      </c>
      <c r="X132" s="61" t="n">
        <f aca="false">N(STACK!L132)</f>
        <v>0</v>
      </c>
      <c r="Y132" s="61" t="n">
        <f aca="false">W132-X132</f>
        <v>8732.737175</v>
      </c>
      <c r="Z132" s="1" t="n">
        <f aca="false">N(STACK!J132)</f>
        <v>6</v>
      </c>
      <c r="AA132" s="1" t="str">
        <f aca="false">TRIM(IF(D132="UNMAPPED","Program not mapped. ","")&amp;IF(OR(K132="UNMAPPED",K132="UNASSIGNED"),"Category needs review. ","")&amp;IF(P132="UNMAPPED","Title not mapped. ","")&amp;IF(AND(P132&lt;&gt;"No staff time",R132=""),"Missing hours. ","")&amp;IF(M132="","Date not readable. ","")&amp;IF(N132="No","Outside fiscal year. ","")&amp;IF(AND(F132="Event",ISNUMBER(R132)),IF(R132&gt;12,"Event hours look high. ",""),"")&amp;IF(G132&gt;0,"See CONFIRM sheet.",""))</f>
        <v/>
      </c>
      <c r="AB132" s="1" t="n">
        <f aca="false">IF(N132="No",0,IF(REVIEW!O132=0,0,IF(G132&gt;0,IF(INDEX(CONFIRM!$J$5:$J$53,G132)&lt;&gt;"",INDEX(CONFIRM!$J$5:$J$53,G132),1),1)))</f>
        <v>1</v>
      </c>
      <c r="AC132" s="1" t="n">
        <f aca="false">IF(AB132=1,IF(COUNTIFS($B$5:B132,B132,$D$5:D132,D132,$AB$5:AB132,1)=1,1,0),0)</f>
        <v>0</v>
      </c>
    </row>
    <row r="133" customFormat="false" ht="15" hidden="false" customHeight="false" outlineLevel="0" collapsed="false">
      <c r="A133" s="48" t="str">
        <f aca="false">STACK!A133</f>
        <v>KVMC-0129</v>
      </c>
      <c r="B133" s="48" t="str">
        <f aca="false">STACK!B133</f>
        <v>KVMC</v>
      </c>
      <c r="C133" s="48" t="str">
        <f aca="false">STACK!E133</f>
        <v>Community Hypertension Control Study</v>
      </c>
      <c r="D133" s="1" t="str">
        <f aca="false">IFERROR(INDEX(MAP!$J$7:$J$101,MATCH(TRIM(C133),MAP!$I$7:$I$101,0)),"UNMAPPED")</f>
        <v>Community Hypertension Control Study</v>
      </c>
      <c r="E133" s="1" t="str">
        <f aca="false">IFERROR(INDEX(MAP!$K$7:$K$101,MATCH(TRIM(C133),MAP!$I$7:$I$101,0)),"")</f>
        <v>Chronic disease prevention</v>
      </c>
      <c r="F133" s="1" t="str">
        <f aca="false">IFERROR(INDEX(MAP!$L$7:$L$101,MATCH(TRIM(C133),MAP!$I$7:$I$101,0)),"")</f>
        <v>Monthly</v>
      </c>
      <c r="G133" s="1" t="n">
        <f aca="false">IFERROR(MATCH(A133,CONFIRM!$A$5:$A$53,0),0)</f>
        <v>0</v>
      </c>
      <c r="H133" s="48" t="str">
        <f aca="false">STACK!F133</f>
        <v>Research</v>
      </c>
      <c r="I133" s="1" t="str">
        <f aca="false">IF(G133&gt;0,IF(INDEX(CONFIRM!$I$5:$I$53,G133)&lt;&gt;"",INDEX(CONFIRM!$I$5:$I$53,G133),H133),H133)</f>
        <v>Research</v>
      </c>
      <c r="J133" s="1" t="str">
        <f aca="false">IFERROR(INDEX(MAP!$F$7:$F$74,MATCH(TRIM(I133),MAP!$E$7:$E$74,0)),"UNMAPPED")</f>
        <v>Research</v>
      </c>
      <c r="K133" s="1" t="str">
        <f aca="false">IFERROR(INDEX(MAP!$G$7:$G$74,MATCH(TRIM(I133),MAP!$E$7:$E$74,0)),"UNMAPPED")</f>
        <v>7h</v>
      </c>
      <c r="L133" s="49" t="n">
        <f aca="false">STACK!G133</f>
        <v>45930</v>
      </c>
      <c r="M133" s="59" t="n">
        <f aca="false">IF(G133&gt;0,IF(INDEX(CONFIRM!$G$5:$G$53,G133)&lt;&gt;"",INDEX(CONFIRM!$G$5:$G$53,G133),IF(ISNUMBER(L133),L133,IFERROR(DATEVALUE(L133),""))),IF(ISNUMBER(L133),L133,IFERROR(DATEVALUE(L133),"")))</f>
        <v>45930</v>
      </c>
      <c r="N133" s="1" t="str">
        <f aca="false">IF(M133="","Check",IF(AND(M133&gt;=INPUTS!$C$6,M133&lt;=INPUTS!$C$7),"Yes","No"))</f>
        <v>Yes</v>
      </c>
      <c r="O133" s="48" t="str">
        <f aca="false">STACK!H133</f>
        <v>BI Analyst</v>
      </c>
      <c r="P133" s="1" t="str">
        <f aca="false">IF(G133&gt;0,IF(INDEX(CONFIRM!$H$5:$H$53,G133)&lt;&gt;"",INDEX(CONFIRM!$H$5:$H$53,G133),IFERROR(INDEX(MAP!$B$7:$B$156,MATCH(TRIM(O133),MAP!$A$7:$A$156,0)),"UNMAPPED")),IFERROR(INDEX(MAP!$B$7:$B$156,MATCH(TRIM(O133),MAP!$A$7:$A$156,0)),"UNMAPPED"))</f>
        <v>Data Analyst</v>
      </c>
      <c r="Q133" s="48" t="n">
        <f aca="false">STACK!I133</f>
        <v>43</v>
      </c>
      <c r="R133" s="60" t="n">
        <f aca="false">IF(G133&gt;0,IF(INDEX(CONFIRM!$F$5:$F$53,G133)&lt;&gt;"",INDEX(CONFIRM!$F$5:$F$53,G133),IF(ISNUMBER(Q133),Q133,IF(Q133="","",IFERROR(VALUE(TRIM(SUBSTITUTE(SUBSTITUTE(LOWER(Q133),"hrs",""),"hr",""))),"")))),IF(ISNUMBER(Q133),Q133,IF(Q133="","",IFERROR(VALUE(TRIM(SUBSTITUTE(SUBSTITUTE(LOWER(Q133),"hrs",""),"hr",""))),""))))</f>
        <v>43</v>
      </c>
      <c r="S133" s="57" t="n">
        <f aca="false">IFERROR(INDEX(RATES!$E$6:$E$28,MATCH(P133,RATES!$A$6:$A$28,0)),0)</f>
        <v>48.83</v>
      </c>
      <c r="T133" s="61" t="n">
        <f aca="false">IF(ISNUMBER(R133),R133,0)*S133</f>
        <v>2099.69</v>
      </c>
      <c r="U133" s="61" t="n">
        <f aca="false">T133*INDEX(INPUTS!$H$10:$H$14,MATCH(B133,INPUTS!$A$10:$A$14,0))</f>
        <v>388.44265</v>
      </c>
      <c r="V133" s="61" t="n">
        <f aca="false">N(STACK!K133)</f>
        <v>0</v>
      </c>
      <c r="W133" s="61" t="n">
        <f aca="false">T133+U133+V133</f>
        <v>2488.13265</v>
      </c>
      <c r="X133" s="61" t="n">
        <f aca="false">N(STACK!L133)</f>
        <v>0</v>
      </c>
      <c r="Y133" s="61" t="n">
        <f aca="false">W133-X133</f>
        <v>2488.13265</v>
      </c>
      <c r="Z133" s="1" t="n">
        <f aca="false">N(STACK!J133)</f>
        <v>0</v>
      </c>
      <c r="AA133" s="1" t="str">
        <f aca="false">TRIM(IF(D133="UNMAPPED","Program not mapped. ","")&amp;IF(OR(K133="UNMAPPED",K133="UNASSIGNED"),"Category needs review. ","")&amp;IF(P133="UNMAPPED","Title not mapped. ","")&amp;IF(AND(P133&lt;&gt;"No staff time",R133=""),"Missing hours. ","")&amp;IF(M133="","Date not readable. ","")&amp;IF(N133="No","Outside fiscal year. ","")&amp;IF(AND(F133="Event",ISNUMBER(R133)),IF(R133&gt;12,"Event hours look high. ",""),"")&amp;IF(G133&gt;0,"See CONFIRM sheet.",""))</f>
        <v/>
      </c>
      <c r="AB133" s="1" t="n">
        <f aca="false">IF(N133="No",0,IF(REVIEW!O133=0,0,IF(G133&gt;0,IF(INDEX(CONFIRM!$J$5:$J$53,G133)&lt;&gt;"",INDEX(CONFIRM!$J$5:$J$53,G133),1),1)))</f>
        <v>1</v>
      </c>
      <c r="AC133" s="1" t="n">
        <f aca="false">IF(AB133=1,IF(COUNTIFS($B$5:B133,B133,$D$5:D133,D133,$AB$5:AB133,1)=1,1,0),0)</f>
        <v>0</v>
      </c>
    </row>
    <row r="134" customFormat="false" ht="15" hidden="false" customHeight="false" outlineLevel="0" collapsed="false">
      <c r="A134" s="48" t="str">
        <f aca="false">STACK!A134</f>
        <v>KVMC-0130</v>
      </c>
      <c r="B134" s="48" t="str">
        <f aca="false">STACK!B134</f>
        <v>KVMC</v>
      </c>
      <c r="C134" s="48" t="str">
        <f aca="false">STACK!E134</f>
        <v>Community Hypertension Control Study</v>
      </c>
      <c r="D134" s="1" t="str">
        <f aca="false">IFERROR(INDEX(MAP!$J$7:$J$101,MATCH(TRIM(C134),MAP!$I$7:$I$101,0)),"UNMAPPED")</f>
        <v>Community Hypertension Control Study</v>
      </c>
      <c r="E134" s="1" t="str">
        <f aca="false">IFERROR(INDEX(MAP!$K$7:$K$101,MATCH(TRIM(C134),MAP!$I$7:$I$101,0)),"")</f>
        <v>Chronic disease prevention</v>
      </c>
      <c r="F134" s="1" t="str">
        <f aca="false">IFERROR(INDEX(MAP!$L$7:$L$101,MATCH(TRIM(C134),MAP!$I$7:$I$101,0)),"")</f>
        <v>Monthly</v>
      </c>
      <c r="G134" s="1" t="n">
        <f aca="false">IFERROR(MATCH(A134,CONFIRM!$A$5:$A$53,0),0)</f>
        <v>0</v>
      </c>
      <c r="H134" s="48" t="str">
        <f aca="false">STACK!F134</f>
        <v>Research</v>
      </c>
      <c r="I134" s="1" t="str">
        <f aca="false">IF(G134&gt;0,IF(INDEX(CONFIRM!$I$5:$I$53,G134)&lt;&gt;"",INDEX(CONFIRM!$I$5:$I$53,G134),H134),H134)</f>
        <v>Research</v>
      </c>
      <c r="J134" s="1" t="str">
        <f aca="false">IFERROR(INDEX(MAP!$F$7:$F$74,MATCH(TRIM(I134),MAP!$E$7:$E$74,0)),"UNMAPPED")</f>
        <v>Research</v>
      </c>
      <c r="K134" s="1" t="str">
        <f aca="false">IFERROR(INDEX(MAP!$G$7:$G$74,MATCH(TRIM(I134),MAP!$E$7:$E$74,0)),"UNMAPPED")</f>
        <v>7h</v>
      </c>
      <c r="L134" s="49" t="n">
        <f aca="false">STACK!G134</f>
        <v>45930</v>
      </c>
      <c r="M134" s="59" t="n">
        <f aca="false">IF(G134&gt;0,IF(INDEX(CONFIRM!$G$5:$G$53,G134)&lt;&gt;"",INDEX(CONFIRM!$G$5:$G$53,G134),IF(ISNUMBER(L134),L134,IFERROR(DATEVALUE(L134),""))),IF(ISNUMBER(L134),L134,IFERROR(DATEVALUE(L134),"")))</f>
        <v>45930</v>
      </c>
      <c r="N134" s="1" t="str">
        <f aca="false">IF(M134="","Check",IF(AND(M134&gt;=INPUTS!$C$6,M134&lt;=INPUTS!$C$7),"Yes","No"))</f>
        <v>Yes</v>
      </c>
      <c r="O134" s="48" t="str">
        <f aca="false">STACK!H134</f>
        <v>Physician</v>
      </c>
      <c r="P134" s="1" t="str">
        <f aca="false">IF(G134&gt;0,IF(INDEX(CONFIRM!$H$5:$H$53,G134)&lt;&gt;"",INDEX(CONFIRM!$H$5:$H$53,G134),IFERROR(INDEX(MAP!$B$7:$B$156,MATCH(TRIM(O134),MAP!$A$7:$A$156,0)),"UNMAPPED")),IFERROR(INDEX(MAP!$B$7:$B$156,MATCH(TRIM(O134),MAP!$A$7:$A$156,0)),"UNMAPPED"))</f>
        <v>Physician</v>
      </c>
      <c r="Q134" s="48" t="n">
        <f aca="false">STACK!I134</f>
        <v>24.5</v>
      </c>
      <c r="R134" s="60" t="n">
        <f aca="false">IF(G134&gt;0,IF(INDEX(CONFIRM!$F$5:$F$53,G134)&lt;&gt;"",INDEX(CONFIRM!$F$5:$F$53,G134),IF(ISNUMBER(Q134),Q134,IF(Q134="","",IFERROR(VALUE(TRIM(SUBSTITUTE(SUBSTITUTE(LOWER(Q134),"hrs",""),"hr",""))),"")))),IF(ISNUMBER(Q134),Q134,IF(Q134="","",IFERROR(VALUE(TRIM(SUBSTITUTE(SUBSTITUTE(LOWER(Q134),"hrs",""),"hr",""))),""))))</f>
        <v>24.5</v>
      </c>
      <c r="S134" s="57" t="n">
        <f aca="false">IFERROR(INDEX(RATES!$E$6:$E$28,MATCH(P134,RATES!$A$6:$A$28,0)),0)</f>
        <v>151.63</v>
      </c>
      <c r="T134" s="61" t="n">
        <f aca="false">IF(ISNUMBER(R134),R134,0)*S134</f>
        <v>3714.935</v>
      </c>
      <c r="U134" s="61" t="n">
        <f aca="false">T134*INDEX(INPUTS!$H$10:$H$14,MATCH(B134,INPUTS!$A$10:$A$14,0))</f>
        <v>687.262975</v>
      </c>
      <c r="V134" s="61" t="n">
        <f aca="false">N(STACK!K134)</f>
        <v>0</v>
      </c>
      <c r="W134" s="61" t="n">
        <f aca="false">T134+U134+V134</f>
        <v>4402.197975</v>
      </c>
      <c r="X134" s="61" t="n">
        <f aca="false">N(STACK!L134)</f>
        <v>0</v>
      </c>
      <c r="Y134" s="61" t="n">
        <f aca="false">W134-X134</f>
        <v>4402.197975</v>
      </c>
      <c r="Z134" s="1" t="n">
        <f aca="false">N(STACK!J134)</f>
        <v>0</v>
      </c>
      <c r="AA134" s="1" t="str">
        <f aca="false">TRIM(IF(D134="UNMAPPED","Program not mapped. ","")&amp;IF(OR(K134="UNMAPPED",K134="UNASSIGNED"),"Category needs review. ","")&amp;IF(P134="UNMAPPED","Title not mapped. ","")&amp;IF(AND(P134&lt;&gt;"No staff time",R134=""),"Missing hours. ","")&amp;IF(M134="","Date not readable. ","")&amp;IF(N134="No","Outside fiscal year. ","")&amp;IF(AND(F134="Event",ISNUMBER(R134)),IF(R134&gt;12,"Event hours look high. ",""),"")&amp;IF(G134&gt;0,"See CONFIRM sheet.",""))</f>
        <v/>
      </c>
      <c r="AB134" s="1" t="n">
        <f aca="false">IF(N134="No",0,IF(REVIEW!O134=0,0,IF(G134&gt;0,IF(INDEX(CONFIRM!$J$5:$J$53,G134)&lt;&gt;"",INDEX(CONFIRM!$J$5:$J$53,G134),1),1)))</f>
        <v>1</v>
      </c>
      <c r="AC134" s="1" t="n">
        <f aca="false">IF(AB134=1,IF(COUNTIFS($B$5:B134,B134,$D$5:D134,D134,$AB$5:AB134,1)=1,1,0),0)</f>
        <v>0</v>
      </c>
    </row>
    <row r="135" customFormat="false" ht="15" hidden="false" customHeight="false" outlineLevel="0" collapsed="false">
      <c r="A135" s="48" t="str">
        <f aca="false">STACK!A135</f>
        <v>KVMC-0131</v>
      </c>
      <c r="B135" s="48" t="str">
        <f aca="false">STACK!B135</f>
        <v>KVMC</v>
      </c>
      <c r="C135" s="48" t="str">
        <f aca="false">STACK!E135</f>
        <v>Community Hypertension Control Study</v>
      </c>
      <c r="D135" s="1" t="str">
        <f aca="false">IFERROR(INDEX(MAP!$J$7:$J$101,MATCH(TRIM(C135),MAP!$I$7:$I$101,0)),"UNMAPPED")</f>
        <v>Community Hypertension Control Study</v>
      </c>
      <c r="E135" s="1" t="str">
        <f aca="false">IFERROR(INDEX(MAP!$K$7:$K$101,MATCH(TRIM(C135),MAP!$I$7:$I$101,0)),"")</f>
        <v>Chronic disease prevention</v>
      </c>
      <c r="F135" s="1" t="str">
        <f aca="false">IFERROR(INDEX(MAP!$L$7:$L$101,MATCH(TRIM(C135),MAP!$I$7:$I$101,0)),"")</f>
        <v>Monthly</v>
      </c>
      <c r="G135" s="1" t="n">
        <f aca="false">IFERROR(MATCH(A135,CONFIRM!$A$5:$A$53,0),0)</f>
        <v>0</v>
      </c>
      <c r="H135" s="48" t="str">
        <f aca="false">STACK!F135</f>
        <v>Research</v>
      </c>
      <c r="I135" s="1" t="str">
        <f aca="false">IF(G135&gt;0,IF(INDEX(CONFIRM!$I$5:$I$53,G135)&lt;&gt;"",INDEX(CONFIRM!$I$5:$I$53,G135),H135),H135)</f>
        <v>Research</v>
      </c>
      <c r="J135" s="1" t="str">
        <f aca="false">IFERROR(INDEX(MAP!$F$7:$F$74,MATCH(TRIM(I135),MAP!$E$7:$E$74,0)),"UNMAPPED")</f>
        <v>Research</v>
      </c>
      <c r="K135" s="1" t="str">
        <f aca="false">IFERROR(INDEX(MAP!$G$7:$G$74,MATCH(TRIM(I135),MAP!$E$7:$E$74,0)),"UNMAPPED")</f>
        <v>7h</v>
      </c>
      <c r="L135" s="49" t="n">
        <f aca="false">STACK!G135</f>
        <v>45930</v>
      </c>
      <c r="M135" s="59" t="n">
        <f aca="false">IF(G135&gt;0,IF(INDEX(CONFIRM!$G$5:$G$53,G135)&lt;&gt;"",INDEX(CONFIRM!$G$5:$G$53,G135),IF(ISNUMBER(L135),L135,IFERROR(DATEVALUE(L135),""))),IF(ISNUMBER(L135),L135,IFERROR(DATEVALUE(L135),"")))</f>
        <v>45930</v>
      </c>
      <c r="N135" s="1" t="str">
        <f aca="false">IF(M135="","Check",IF(AND(M135&gt;=INPUTS!$C$6,M135&lt;=INPUTS!$C$7),"Yes","No"))</f>
        <v>Yes</v>
      </c>
      <c r="O135" s="48" t="str">
        <f aca="false">STACK!H135</f>
        <v>CRC</v>
      </c>
      <c r="P135" s="1" t="str">
        <f aca="false">IF(G135&gt;0,IF(INDEX(CONFIRM!$H$5:$H$53,G135)&lt;&gt;"",INDEX(CONFIRM!$H$5:$H$53,G135),IFERROR(INDEX(MAP!$B$7:$B$156,MATCH(TRIM(O135),MAP!$A$7:$A$156,0)),"UNMAPPED")),IFERROR(INDEX(MAP!$B$7:$B$156,MATCH(TRIM(O135),MAP!$A$7:$A$156,0)),"UNMAPPED"))</f>
        <v>Research Coordinator</v>
      </c>
      <c r="Q135" s="48" t="n">
        <f aca="false">STACK!I135</f>
        <v>168.5</v>
      </c>
      <c r="R135" s="60" t="n">
        <f aca="false">IF(G135&gt;0,IF(INDEX(CONFIRM!$F$5:$F$53,G135)&lt;&gt;"",INDEX(CONFIRM!$F$5:$F$53,G135),IF(ISNUMBER(Q135),Q135,IF(Q135="","",IFERROR(VALUE(TRIM(SUBSTITUTE(SUBSTITUTE(LOWER(Q135),"hrs",""),"hr",""))),"")))),IF(ISNUMBER(Q135),Q135,IF(Q135="","",IFERROR(VALUE(TRIM(SUBSTITUTE(SUBSTITUTE(LOWER(Q135),"hrs",""),"hr",""))),""))))</f>
        <v>168.5</v>
      </c>
      <c r="S135" s="57" t="n">
        <f aca="false">IFERROR(INDEX(RATES!$E$6:$E$28,MATCH(P135,RATES!$A$6:$A$28,0)),0)</f>
        <v>42.405</v>
      </c>
      <c r="T135" s="61" t="n">
        <f aca="false">IF(ISNUMBER(R135),R135,0)*S135</f>
        <v>7145.2425</v>
      </c>
      <c r="U135" s="61" t="n">
        <f aca="false">T135*INDEX(INPUTS!$H$10:$H$14,MATCH(B135,INPUTS!$A$10:$A$14,0))</f>
        <v>1321.8698625</v>
      </c>
      <c r="V135" s="61" t="n">
        <f aca="false">N(STACK!K135)</f>
        <v>7820</v>
      </c>
      <c r="W135" s="61" t="n">
        <f aca="false">T135+U135+V135</f>
        <v>16287.1123625</v>
      </c>
      <c r="X135" s="61" t="n">
        <f aca="false">N(STACK!L135)</f>
        <v>12230</v>
      </c>
      <c r="Y135" s="61" t="n">
        <f aca="false">W135-X135</f>
        <v>4057.1123625</v>
      </c>
      <c r="Z135" s="1" t="n">
        <f aca="false">N(STACK!J135)</f>
        <v>56</v>
      </c>
      <c r="AA135" s="1" t="str">
        <f aca="false">TRIM(IF(D135="UNMAPPED","Program not mapped. ","")&amp;IF(OR(K135="UNMAPPED",K135="UNASSIGNED"),"Category needs review. ","")&amp;IF(P135="UNMAPPED","Title not mapped. ","")&amp;IF(AND(P135&lt;&gt;"No staff time",R135=""),"Missing hours. ","")&amp;IF(M135="","Date not readable. ","")&amp;IF(N135="No","Outside fiscal year. ","")&amp;IF(AND(F135="Event",ISNUMBER(R135)),IF(R135&gt;12,"Event hours look high. ",""),"")&amp;IF(G135&gt;0,"See CONFIRM sheet.",""))</f>
        <v/>
      </c>
      <c r="AB135" s="1" t="n">
        <f aca="false">IF(N135="No",0,IF(REVIEW!O135=0,0,IF(G135&gt;0,IF(INDEX(CONFIRM!$J$5:$J$53,G135)&lt;&gt;"",INDEX(CONFIRM!$J$5:$J$53,G135),1),1)))</f>
        <v>1</v>
      </c>
      <c r="AC135" s="1" t="n">
        <f aca="false">IF(AB135=1,IF(COUNTIFS($B$5:B135,B135,$D$5:D135,D135,$AB$5:AB135,1)=1,1,0),0)</f>
        <v>0</v>
      </c>
    </row>
    <row r="136" customFormat="false" ht="15" hidden="false" customHeight="false" outlineLevel="0" collapsed="false">
      <c r="A136" s="48" t="str">
        <f aca="false">STACK!A136</f>
        <v>KVMC-0132</v>
      </c>
      <c r="B136" s="48" t="str">
        <f aca="false">STACK!B136</f>
        <v>KVMC</v>
      </c>
      <c r="C136" s="48" t="str">
        <f aca="false">STACK!E136</f>
        <v>Community Blood Pressure Checks</v>
      </c>
      <c r="D136" s="1" t="str">
        <f aca="false">IFERROR(INDEX(MAP!$J$7:$J$101,MATCH(TRIM(C136),MAP!$I$7:$I$101,0)),"UNMAPPED")</f>
        <v>Community Blood Pressure Checks</v>
      </c>
      <c r="E136" s="1" t="str">
        <f aca="false">IFERROR(INDEX(MAP!$K$7:$K$101,MATCH(TRIM(C136),MAP!$I$7:$I$101,0)),"")</f>
        <v>Chronic disease prevention</v>
      </c>
      <c r="F136" s="1" t="str">
        <f aca="false">IFERROR(INDEX(MAP!$L$7:$L$101,MATCH(TRIM(C136),MAP!$I$7:$I$101,0)),"")</f>
        <v>Event</v>
      </c>
      <c r="G136" s="1" t="n">
        <f aca="false">IFERROR(MATCH(A136,CONFIRM!$A$5:$A$53,0),0)</f>
        <v>0</v>
      </c>
      <c r="H136" s="48" t="str">
        <f aca="false">STACK!F136</f>
        <v>Community-Based Clinical Services</v>
      </c>
      <c r="I136" s="1" t="str">
        <f aca="false">IF(G136&gt;0,IF(INDEX(CONFIRM!$I$5:$I$53,G136)&lt;&gt;"",INDEX(CONFIRM!$I$5:$I$53,G136),H136),H136)</f>
        <v>Community-Based Clinical Services</v>
      </c>
      <c r="J136" s="1" t="str">
        <f aca="false">IFERROR(INDEX(MAP!$F$7:$F$74,MATCH(TRIM(I136),MAP!$E$7:$E$74,0)),"UNMAPPED")</f>
        <v>Community-based clinical services</v>
      </c>
      <c r="K136" s="1" t="str">
        <f aca="false">IFERROR(INDEX(MAP!$G$7:$G$74,MATCH(TRIM(I136),MAP!$E$7:$E$74,0)),"UNMAPPED")</f>
        <v>7e</v>
      </c>
      <c r="L136" s="49" t="n">
        <f aca="false">STACK!G136</f>
        <v>45934</v>
      </c>
      <c r="M136" s="59" t="n">
        <f aca="false">IF(G136&gt;0,IF(INDEX(CONFIRM!$G$5:$G$53,G136)&lt;&gt;"",INDEX(CONFIRM!$G$5:$G$53,G136),IF(ISNUMBER(L136),L136,IFERROR(DATEVALUE(L136),""))),IF(ISNUMBER(L136),L136,IFERROR(DATEVALUE(L136),"")))</f>
        <v>45934</v>
      </c>
      <c r="N136" s="1" t="str">
        <f aca="false">IF(M136="","Check",IF(AND(M136&gt;=INPUTS!$C$6,M136&lt;=INPUTS!$C$7),"Yes","No"))</f>
        <v>Yes</v>
      </c>
      <c r="O136" s="48" t="str">
        <f aca="false">STACK!H136</f>
        <v>RN III</v>
      </c>
      <c r="P136" s="1" t="str">
        <f aca="false">IF(G136&gt;0,IF(INDEX(CONFIRM!$H$5:$H$53,G136)&lt;&gt;"",INDEX(CONFIRM!$H$5:$H$53,G136),IFERROR(INDEX(MAP!$B$7:$B$156,MATCH(TRIM(O136),MAP!$A$7:$A$156,0)),"UNMAPPED")),IFERROR(INDEX(MAP!$B$7:$B$156,MATCH(TRIM(O136),MAP!$A$7:$A$156,0)),"UNMAPPED"))</f>
        <v>Registered Nurse</v>
      </c>
      <c r="Q136" s="48" t="n">
        <f aca="false">STACK!I136</f>
        <v>4.5</v>
      </c>
      <c r="R136" s="60" t="n">
        <f aca="false">IF(G136&gt;0,IF(INDEX(CONFIRM!$F$5:$F$53,G136)&lt;&gt;"",INDEX(CONFIRM!$F$5:$F$53,G136),IF(ISNUMBER(Q136),Q136,IF(Q136="","",IFERROR(VALUE(TRIM(SUBSTITUTE(SUBSTITUTE(LOWER(Q136),"hrs",""),"hr",""))),"")))),IF(ISNUMBER(Q136),Q136,IF(Q136="","",IFERROR(VALUE(TRIM(SUBSTITUTE(SUBSTITUTE(LOWER(Q136),"hrs",""),"hr",""))),""))))</f>
        <v>4.5</v>
      </c>
      <c r="S136" s="57" t="n">
        <f aca="false">IFERROR(INDEX(RATES!$E$6:$E$28,MATCH(P136,RATES!$A$6:$A$28,0)),0)</f>
        <v>55.8975</v>
      </c>
      <c r="T136" s="61" t="n">
        <f aca="false">IF(ISNUMBER(R136),R136,0)*S136</f>
        <v>251.53875</v>
      </c>
      <c r="U136" s="61" t="n">
        <f aca="false">T136*INDEX(INPUTS!$H$10:$H$14,MATCH(B136,INPUTS!$A$10:$A$14,0))</f>
        <v>46.53466875</v>
      </c>
      <c r="V136" s="61" t="n">
        <f aca="false">N(STACK!K136)</f>
        <v>45</v>
      </c>
      <c r="W136" s="61" t="n">
        <f aca="false">T136+U136+V136</f>
        <v>343.07341875</v>
      </c>
      <c r="X136" s="61" t="n">
        <f aca="false">N(STACK!L136)</f>
        <v>0</v>
      </c>
      <c r="Y136" s="61" t="n">
        <f aca="false">W136-X136</f>
        <v>343.07341875</v>
      </c>
      <c r="Z136" s="1" t="n">
        <f aca="false">N(STACK!J136)</f>
        <v>50</v>
      </c>
      <c r="AA136" s="1" t="str">
        <f aca="false">TRIM(IF(D136="UNMAPPED","Program not mapped. ","")&amp;IF(OR(K136="UNMAPPED",K136="UNASSIGNED"),"Category needs review. ","")&amp;IF(P136="UNMAPPED","Title not mapped. ","")&amp;IF(AND(P136&lt;&gt;"No staff time",R136=""),"Missing hours. ","")&amp;IF(M136="","Date not readable. ","")&amp;IF(N136="No","Outside fiscal year. ","")&amp;IF(AND(F136="Event",ISNUMBER(R136)),IF(R136&gt;12,"Event hours look high. ",""),"")&amp;IF(G136&gt;0,"See CONFIRM sheet.",""))</f>
        <v/>
      </c>
      <c r="AB136" s="1" t="n">
        <f aca="false">IF(N136="No",0,IF(REVIEW!O136=0,0,IF(G136&gt;0,IF(INDEX(CONFIRM!$J$5:$J$53,G136)&lt;&gt;"",INDEX(CONFIRM!$J$5:$J$53,G136),1),1)))</f>
        <v>1</v>
      </c>
      <c r="AC136" s="1" t="n">
        <f aca="false">IF(AB136=1,IF(COUNTIFS($B$5:B136,B136,$D$5:D136,D136,$AB$5:AB136,1)=1,1,0),0)</f>
        <v>0</v>
      </c>
    </row>
    <row r="137" customFormat="false" ht="15" hidden="false" customHeight="false" outlineLevel="0" collapsed="false">
      <c r="A137" s="48" t="str">
        <f aca="false">STACK!A137</f>
        <v>KVMC-0133</v>
      </c>
      <c r="B137" s="48" t="str">
        <f aca="false">STACK!B137</f>
        <v>KVMC</v>
      </c>
      <c r="C137" s="48" t="str">
        <f aca="false">STACK!E137</f>
        <v>Grief Support Group</v>
      </c>
      <c r="D137" s="1" t="str">
        <f aca="false">IFERROR(INDEX(MAP!$J$7:$J$101,MATCH(TRIM(C137),MAP!$I$7:$I$101,0)),"UNMAPPED")</f>
        <v>Grief Support Group</v>
      </c>
      <c r="E137" s="1" t="str">
        <f aca="false">IFERROR(INDEX(MAP!$K$7:$K$101,MATCH(TRIM(C137),MAP!$I$7:$I$101,0)),"")</f>
        <v>Behavioral health</v>
      </c>
      <c r="F137" s="1" t="str">
        <f aca="false">IFERROR(INDEX(MAP!$L$7:$L$101,MATCH(TRIM(C137),MAP!$I$7:$I$101,0)),"")</f>
        <v>Event</v>
      </c>
      <c r="G137" s="1" t="n">
        <f aca="false">IFERROR(MATCH(A137,CONFIRM!$A$5:$A$53,0),0)</f>
        <v>0</v>
      </c>
      <c r="H137" s="48" t="str">
        <f aca="false">STACK!F137</f>
        <v>Health Care Support Services</v>
      </c>
      <c r="I137" s="1" t="str">
        <f aca="false">IF(G137&gt;0,IF(INDEX(CONFIRM!$I$5:$I$53,G137)&lt;&gt;"",INDEX(CONFIRM!$I$5:$I$53,G137),H137),H137)</f>
        <v>Health Care Support Services</v>
      </c>
      <c r="J137" s="1" t="str">
        <f aca="false">IFERROR(INDEX(MAP!$F$7:$F$74,MATCH(TRIM(I137),MAP!$E$7:$E$74,0)),"UNMAPPED")</f>
        <v>Health care support services</v>
      </c>
      <c r="K137" s="1" t="str">
        <f aca="false">IFERROR(INDEX(MAP!$G$7:$G$74,MATCH(TRIM(I137),MAP!$E$7:$E$74,0)),"UNMAPPED")</f>
        <v>7e</v>
      </c>
      <c r="L137" s="49" t="n">
        <f aca="false">STACK!G137</f>
        <v>45936</v>
      </c>
      <c r="M137" s="59" t="n">
        <f aca="false">IF(G137&gt;0,IF(INDEX(CONFIRM!$G$5:$G$53,G137)&lt;&gt;"",INDEX(CONFIRM!$G$5:$G$53,G137),IF(ISNUMBER(L137),L137,IFERROR(DATEVALUE(L137),""))),IF(ISNUMBER(L137),L137,IFERROR(DATEVALUE(L137),"")))</f>
        <v>45936</v>
      </c>
      <c r="N137" s="1" t="str">
        <f aca="false">IF(M137="","Check",IF(AND(M137&gt;=INPUTS!$C$6,M137&lt;=INPUTS!$C$7),"Yes","No"))</f>
        <v>Yes</v>
      </c>
      <c r="O137" s="48" t="str">
        <f aca="false">STACK!H137</f>
        <v>Staff Chaplain</v>
      </c>
      <c r="P137" s="1" t="str">
        <f aca="false">IF(G137&gt;0,IF(INDEX(CONFIRM!$H$5:$H$53,G137)&lt;&gt;"",INDEX(CONFIRM!$H$5:$H$53,G137),IFERROR(INDEX(MAP!$B$7:$B$156,MATCH(TRIM(O137),MAP!$A$7:$A$156,0)),"UNMAPPED")),IFERROR(INDEX(MAP!$B$7:$B$156,MATCH(TRIM(O137),MAP!$A$7:$A$156,0)),"UNMAPPED"))</f>
        <v>Chaplain</v>
      </c>
      <c r="Q137" s="48" t="n">
        <f aca="false">STACK!I137</f>
        <v>2.25</v>
      </c>
      <c r="R137" s="60" t="n">
        <f aca="false">IF(G137&gt;0,IF(INDEX(CONFIRM!$F$5:$F$53,G137)&lt;&gt;"",INDEX(CONFIRM!$F$5:$F$53,G137),IF(ISNUMBER(Q137),Q137,IF(Q137="","",IFERROR(VALUE(TRIM(SUBSTITUTE(SUBSTITUTE(LOWER(Q137),"hrs",""),"hr",""))),"")))),IF(ISNUMBER(Q137),Q137,IF(Q137="","",IFERROR(VALUE(TRIM(SUBSTITUTE(SUBSTITUTE(LOWER(Q137),"hrs",""),"hr",""))),""))))</f>
        <v>2.25</v>
      </c>
      <c r="S137" s="57" t="n">
        <f aca="false">IFERROR(INDEX(RATES!$E$6:$E$28,MATCH(P137,RATES!$A$6:$A$28,0)),0)</f>
        <v>39.835</v>
      </c>
      <c r="T137" s="61" t="n">
        <f aca="false">IF(ISNUMBER(R137),R137,0)*S137</f>
        <v>89.62875</v>
      </c>
      <c r="U137" s="61" t="n">
        <f aca="false">T137*INDEX(INPUTS!$H$10:$H$14,MATCH(B137,INPUTS!$A$10:$A$14,0))</f>
        <v>16.58131875</v>
      </c>
      <c r="V137" s="61" t="n">
        <f aca="false">N(STACK!K137)</f>
        <v>20</v>
      </c>
      <c r="W137" s="61" t="n">
        <f aca="false">T137+U137+V137</f>
        <v>126.21006875</v>
      </c>
      <c r="X137" s="61" t="n">
        <f aca="false">N(STACK!L137)</f>
        <v>0</v>
      </c>
      <c r="Y137" s="61" t="n">
        <f aca="false">W137-X137</f>
        <v>126.21006875</v>
      </c>
      <c r="Z137" s="1" t="n">
        <f aca="false">N(STACK!J137)</f>
        <v>11</v>
      </c>
      <c r="AA137" s="1" t="str">
        <f aca="false">TRIM(IF(D137="UNMAPPED","Program not mapped. ","")&amp;IF(OR(K137="UNMAPPED",K137="UNASSIGNED"),"Category needs review. ","")&amp;IF(P137="UNMAPPED","Title not mapped. ","")&amp;IF(AND(P137&lt;&gt;"No staff time",R137=""),"Missing hours. ","")&amp;IF(M137="","Date not readable. ","")&amp;IF(N137="No","Outside fiscal year. ","")&amp;IF(AND(F137="Event",ISNUMBER(R137)),IF(R137&gt;12,"Event hours look high. ",""),"")&amp;IF(G137&gt;0,"See CONFIRM sheet.",""))</f>
        <v/>
      </c>
      <c r="AB137" s="1" t="n">
        <f aca="false">IF(N137="No",0,IF(REVIEW!O137=0,0,IF(G137&gt;0,IF(INDEX(CONFIRM!$J$5:$J$53,G137)&lt;&gt;"",INDEX(CONFIRM!$J$5:$J$53,G137),1),1)))</f>
        <v>1</v>
      </c>
      <c r="AC137" s="1" t="n">
        <f aca="false">IF(AB137=1,IF(COUNTIFS($B$5:B137,B137,$D$5:D137,D137,$AB$5:AB137,1)=1,1,0),0)</f>
        <v>0</v>
      </c>
    </row>
    <row r="138" customFormat="false" ht="15" hidden="false" customHeight="false" outlineLevel="0" collapsed="false">
      <c r="A138" s="48" t="str">
        <f aca="false">STACK!A138</f>
        <v>KVMC-0134</v>
      </c>
      <c r="B138" s="48" t="str">
        <f aca="false">STACK!B138</f>
        <v>KVMC</v>
      </c>
      <c r="C138" s="48" t="str">
        <f aca="false">STACK!E138</f>
        <v>Grief Support Group</v>
      </c>
      <c r="D138" s="1" t="str">
        <f aca="false">IFERROR(INDEX(MAP!$J$7:$J$101,MATCH(TRIM(C138),MAP!$I$7:$I$101,0)),"UNMAPPED")</f>
        <v>Grief Support Group</v>
      </c>
      <c r="E138" s="1" t="str">
        <f aca="false">IFERROR(INDEX(MAP!$K$7:$K$101,MATCH(TRIM(C138),MAP!$I$7:$I$101,0)),"")</f>
        <v>Behavioral health</v>
      </c>
      <c r="F138" s="1" t="str">
        <f aca="false">IFERROR(INDEX(MAP!$L$7:$L$101,MATCH(TRIM(C138),MAP!$I$7:$I$101,0)),"")</f>
        <v>Event</v>
      </c>
      <c r="G138" s="1" t="n">
        <f aca="false">IFERROR(MATCH(A138,CONFIRM!$A$5:$A$53,0),0)</f>
        <v>0</v>
      </c>
      <c r="H138" s="48" t="str">
        <f aca="false">STACK!F138</f>
        <v>Health Care Support Services</v>
      </c>
      <c r="I138" s="1" t="str">
        <f aca="false">IF(G138&gt;0,IF(INDEX(CONFIRM!$I$5:$I$53,G138)&lt;&gt;"",INDEX(CONFIRM!$I$5:$I$53,G138),H138),H138)</f>
        <v>Health Care Support Services</v>
      </c>
      <c r="J138" s="1" t="str">
        <f aca="false">IFERROR(INDEX(MAP!$F$7:$F$74,MATCH(TRIM(I138),MAP!$E$7:$E$74,0)),"UNMAPPED")</f>
        <v>Health care support services</v>
      </c>
      <c r="K138" s="1" t="str">
        <f aca="false">IFERROR(INDEX(MAP!$G$7:$G$74,MATCH(TRIM(I138),MAP!$E$7:$E$74,0)),"UNMAPPED")</f>
        <v>7e</v>
      </c>
      <c r="L138" s="49" t="n">
        <f aca="false">STACK!G138</f>
        <v>45936</v>
      </c>
      <c r="M138" s="59" t="n">
        <f aca="false">IF(G138&gt;0,IF(INDEX(CONFIRM!$G$5:$G$53,G138)&lt;&gt;"",INDEX(CONFIRM!$G$5:$G$53,G138),IF(ISNUMBER(L138),L138,IFERROR(DATEVALUE(L138),""))),IF(ISNUMBER(L138),L138,IFERROR(DATEVALUE(L138),"")))</f>
        <v>45936</v>
      </c>
      <c r="N138" s="1" t="str">
        <f aca="false">IF(M138="","Check",IF(AND(M138&gt;=INPUTS!$C$6,M138&lt;=INPUTS!$C$7),"Yes","No"))</f>
        <v>Yes</v>
      </c>
      <c r="O138" s="48" t="str">
        <f aca="false">STACK!H138</f>
        <v>lcsw</v>
      </c>
      <c r="P138" s="1" t="str">
        <f aca="false">IF(G138&gt;0,IF(INDEX(CONFIRM!$H$5:$H$53,G138)&lt;&gt;"",INDEX(CONFIRM!$H$5:$H$53,G138),IFERROR(INDEX(MAP!$B$7:$B$156,MATCH(TRIM(O138),MAP!$A$7:$A$156,0)),"UNMAPPED")),IFERROR(INDEX(MAP!$B$7:$B$156,MATCH(TRIM(O138),MAP!$A$7:$A$156,0)),"UNMAPPED"))</f>
        <v>Social Worker</v>
      </c>
      <c r="Q138" s="48" t="n">
        <f aca="false">STACK!I138</f>
        <v>1.75</v>
      </c>
      <c r="R138" s="60" t="n">
        <f aca="false">IF(G138&gt;0,IF(INDEX(CONFIRM!$F$5:$F$53,G138)&lt;&gt;"",INDEX(CONFIRM!$F$5:$F$53,G138),IF(ISNUMBER(Q138),Q138,IF(Q138="","",IFERROR(VALUE(TRIM(SUBSTITUTE(SUBSTITUTE(LOWER(Q138),"hrs",""),"hr",""))),"")))),IF(ISNUMBER(Q138),Q138,IF(Q138="","",IFERROR(VALUE(TRIM(SUBSTITUTE(SUBSTITUTE(LOWER(Q138),"hrs",""),"hr",""))),""))))</f>
        <v>1.75</v>
      </c>
      <c r="S138" s="57" t="n">
        <f aca="false">IFERROR(INDEX(RATES!$E$6:$E$28,MATCH(P138,RATES!$A$6:$A$28,0)),0)</f>
        <v>45.6175</v>
      </c>
      <c r="T138" s="61" t="n">
        <f aca="false">IF(ISNUMBER(R138),R138,0)*S138</f>
        <v>79.830625</v>
      </c>
      <c r="U138" s="61" t="n">
        <f aca="false">T138*INDEX(INPUTS!$H$10:$H$14,MATCH(B138,INPUTS!$A$10:$A$14,0))</f>
        <v>14.768665625</v>
      </c>
      <c r="V138" s="61" t="n">
        <f aca="false">N(STACK!K138)</f>
        <v>0</v>
      </c>
      <c r="W138" s="61" t="n">
        <f aca="false">T138+U138+V138</f>
        <v>94.599290625</v>
      </c>
      <c r="X138" s="61" t="n">
        <f aca="false">N(STACK!L138)</f>
        <v>0</v>
      </c>
      <c r="Y138" s="61" t="n">
        <f aca="false">W138-X138</f>
        <v>94.599290625</v>
      </c>
      <c r="Z138" s="1" t="n">
        <f aca="false">N(STACK!J138)</f>
        <v>0</v>
      </c>
      <c r="AA138" s="1" t="str">
        <f aca="false">TRIM(IF(D138="UNMAPPED","Program not mapped. ","")&amp;IF(OR(K138="UNMAPPED",K138="UNASSIGNED"),"Category needs review. ","")&amp;IF(P138="UNMAPPED","Title not mapped. ","")&amp;IF(AND(P138&lt;&gt;"No staff time",R138=""),"Missing hours. ","")&amp;IF(M138="","Date not readable. ","")&amp;IF(N138="No","Outside fiscal year. ","")&amp;IF(AND(F138="Event",ISNUMBER(R138)),IF(R138&gt;12,"Event hours look high. ",""),"")&amp;IF(G138&gt;0,"See CONFIRM sheet.",""))</f>
        <v/>
      </c>
      <c r="AB138" s="1" t="n">
        <f aca="false">IF(N138="No",0,IF(REVIEW!O138=0,0,IF(G138&gt;0,IF(INDEX(CONFIRM!$J$5:$J$53,G138)&lt;&gt;"",INDEX(CONFIRM!$J$5:$J$53,G138),1),1)))</f>
        <v>1</v>
      </c>
      <c r="AC138" s="1" t="n">
        <f aca="false">IF(AB138=1,IF(COUNTIFS($B$5:B138,B138,$D$5:D138,D138,$AB$5:AB138,1)=1,1,0),0)</f>
        <v>0</v>
      </c>
    </row>
    <row r="139" customFormat="false" ht="15" hidden="false" customHeight="false" outlineLevel="0" collapsed="false">
      <c r="A139" s="48" t="str">
        <f aca="false">STACK!A139</f>
        <v>KVMC-0135</v>
      </c>
      <c r="B139" s="48" t="str">
        <f aca="false">STACK!B139</f>
        <v>KVMC</v>
      </c>
      <c r="C139" s="48" t="str">
        <f aca="false">STACK!E139</f>
        <v>Tobacco Cessation Classes</v>
      </c>
      <c r="D139" s="1" t="str">
        <f aca="false">IFERROR(INDEX(MAP!$J$7:$J$101,MATCH(TRIM(C139),MAP!$I$7:$I$101,0)),"UNMAPPED")</f>
        <v>Tobacco Cessation Classes</v>
      </c>
      <c r="E139" s="1" t="str">
        <f aca="false">IFERROR(INDEX(MAP!$K$7:$K$101,MATCH(TRIM(C139),MAP!$I$7:$I$101,0)),"")</f>
        <v>Chronic disease prevention</v>
      </c>
      <c r="F139" s="1" t="str">
        <f aca="false">IFERROR(INDEX(MAP!$L$7:$L$101,MATCH(TRIM(C139),MAP!$I$7:$I$101,0)),"")</f>
        <v>Event</v>
      </c>
      <c r="G139" s="1" t="n">
        <f aca="false">IFERROR(MATCH(A139,CONFIRM!$A$5:$A$53,0),0)</f>
        <v>0</v>
      </c>
      <c r="H139" s="48" t="str">
        <f aca="false">STACK!F139</f>
        <v>Community Health Education</v>
      </c>
      <c r="I139" s="1" t="str">
        <f aca="false">IF(G139&gt;0,IF(INDEX(CONFIRM!$I$5:$I$53,G139)&lt;&gt;"",INDEX(CONFIRM!$I$5:$I$53,G139),H139),H139)</f>
        <v>Community Health Education</v>
      </c>
      <c r="J139" s="1" t="str">
        <f aca="false">IFERROR(INDEX(MAP!$F$7:$F$74,MATCH(TRIM(I139),MAP!$E$7:$E$74,0)),"UNMAPPED")</f>
        <v>Community health education</v>
      </c>
      <c r="K139" s="1" t="str">
        <f aca="false">IFERROR(INDEX(MAP!$G$7:$G$74,MATCH(TRIM(I139),MAP!$E$7:$E$74,0)),"UNMAPPED")</f>
        <v>7e</v>
      </c>
      <c r="L139" s="49" t="n">
        <f aca="false">STACK!G139</f>
        <v>45936</v>
      </c>
      <c r="M139" s="59" t="n">
        <f aca="false">IF(G139&gt;0,IF(INDEX(CONFIRM!$G$5:$G$53,G139)&lt;&gt;"",INDEX(CONFIRM!$G$5:$G$53,G139),IF(ISNUMBER(L139),L139,IFERROR(DATEVALUE(L139),""))),IF(ISNUMBER(L139),L139,IFERROR(DATEVALUE(L139),"")))</f>
        <v>45936</v>
      </c>
      <c r="N139" s="1" t="str">
        <f aca="false">IF(M139="","Check",IF(AND(M139&gt;=INPUTS!$C$6,M139&lt;=INPUTS!$C$7),"Yes","No"))</f>
        <v>Yes</v>
      </c>
      <c r="O139" s="48" t="str">
        <f aca="false">STACK!H139</f>
        <v>Resp. Therapy</v>
      </c>
      <c r="P139" s="1" t="str">
        <f aca="false">IF(G139&gt;0,IF(INDEX(CONFIRM!$H$5:$H$53,G139)&lt;&gt;"",INDEX(CONFIRM!$H$5:$H$53,G139),IFERROR(INDEX(MAP!$B$7:$B$156,MATCH(TRIM(O139),MAP!$A$7:$A$156,0)),"UNMAPPED")),IFERROR(INDEX(MAP!$B$7:$B$156,MATCH(TRIM(O139),MAP!$A$7:$A$156,0)),"UNMAPPED"))</f>
        <v>Licensed Therapist</v>
      </c>
      <c r="Q139" s="48" t="n">
        <f aca="false">STACK!I139</f>
        <v>2</v>
      </c>
      <c r="R139" s="60" t="n">
        <f aca="false">IF(G139&gt;0,IF(INDEX(CONFIRM!$F$5:$F$53,G139)&lt;&gt;"",INDEX(CONFIRM!$F$5:$F$53,G139),IF(ISNUMBER(Q139),Q139,IF(Q139="","",IFERROR(VALUE(TRIM(SUBSTITUTE(SUBSTITUTE(LOWER(Q139),"hrs",""),"hr",""))),"")))),IF(ISNUMBER(Q139),Q139,IF(Q139="","",IFERROR(VALUE(TRIM(SUBSTITUTE(SUBSTITUTE(LOWER(Q139),"hrs",""),"hr",""))),""))))</f>
        <v>2</v>
      </c>
      <c r="S139" s="57" t="n">
        <f aca="false">IFERROR(INDEX(RATES!$E$6:$E$28,MATCH(P139,RATES!$A$6:$A$28,0)),0)</f>
        <v>53.97</v>
      </c>
      <c r="T139" s="61" t="n">
        <f aca="false">IF(ISNUMBER(R139),R139,0)*S139</f>
        <v>107.94</v>
      </c>
      <c r="U139" s="61" t="n">
        <f aca="false">T139*INDEX(INPUTS!$H$10:$H$14,MATCH(B139,INPUTS!$A$10:$A$14,0))</f>
        <v>19.9689</v>
      </c>
      <c r="V139" s="61" t="n">
        <f aca="false">N(STACK!K139)</f>
        <v>120</v>
      </c>
      <c r="W139" s="61" t="n">
        <f aca="false">T139+U139+V139</f>
        <v>247.9089</v>
      </c>
      <c r="X139" s="61" t="n">
        <f aca="false">N(STACK!L139)</f>
        <v>0</v>
      </c>
      <c r="Y139" s="61" t="n">
        <f aca="false">W139-X139</f>
        <v>247.9089</v>
      </c>
      <c r="Z139" s="1" t="n">
        <f aca="false">N(STACK!J139)</f>
        <v>14</v>
      </c>
      <c r="AA139" s="1" t="str">
        <f aca="false">TRIM(IF(D139="UNMAPPED","Program not mapped. ","")&amp;IF(OR(K139="UNMAPPED",K139="UNASSIGNED"),"Category needs review. ","")&amp;IF(P139="UNMAPPED","Title not mapped. ","")&amp;IF(AND(P139&lt;&gt;"No staff time",R139=""),"Missing hours. ","")&amp;IF(M139="","Date not readable. ","")&amp;IF(N139="No","Outside fiscal year. ","")&amp;IF(AND(F139="Event",ISNUMBER(R139)),IF(R139&gt;12,"Event hours look high. ",""),"")&amp;IF(G139&gt;0,"See CONFIRM sheet.",""))</f>
        <v/>
      </c>
      <c r="AB139" s="1" t="n">
        <f aca="false">IF(N139="No",0,IF(REVIEW!O139=0,0,IF(G139&gt;0,IF(INDEX(CONFIRM!$J$5:$J$53,G139)&lt;&gt;"",INDEX(CONFIRM!$J$5:$J$53,G139),1),1)))</f>
        <v>1</v>
      </c>
      <c r="AC139" s="1" t="n">
        <f aca="false">IF(AB139=1,IF(COUNTIFS($B$5:B139,B139,$D$5:D139,D139,$AB$5:AB139,1)=1,1,0),0)</f>
        <v>0</v>
      </c>
    </row>
    <row r="140" customFormat="false" ht="15" hidden="false" customHeight="false" outlineLevel="0" collapsed="false">
      <c r="A140" s="48" t="str">
        <f aca="false">STACK!A140</f>
        <v>KVMC-0136</v>
      </c>
      <c r="B140" s="48" t="str">
        <f aca="false">STACK!B140</f>
        <v>KVMC</v>
      </c>
      <c r="C140" s="48" t="str">
        <f aca="false">STACK!E140</f>
        <v>Community Emergency Preparedness Drills</v>
      </c>
      <c r="D140" s="1" t="str">
        <f aca="false">IFERROR(INDEX(MAP!$J$7:$J$101,MATCH(TRIM(C140),MAP!$I$7:$I$101,0)),"UNMAPPED")</f>
        <v>Community Emergency Preparedness Drills</v>
      </c>
      <c r="E140" s="1" t="str">
        <f aca="false">IFERROR(INDEX(MAP!$K$7:$K$101,MATCH(TRIM(C140),MAP!$I$7:$I$101,0)),"")</f>
        <v>Community benefit infrastructure</v>
      </c>
      <c r="F140" s="1" t="str">
        <f aca="false">IFERROR(INDEX(MAP!$L$7:$L$101,MATCH(TRIM(C140),MAP!$I$7:$I$101,0)),"")</f>
        <v>Event</v>
      </c>
      <c r="G140" s="1" t="n">
        <f aca="false">IFERROR(MATCH(A140,CONFIRM!$A$5:$A$53,0),0)</f>
        <v>0</v>
      </c>
      <c r="H140" s="48" t="str">
        <f aca="false">STACK!F140</f>
        <v>Community Building - Community Support</v>
      </c>
      <c r="I140" s="1" t="str">
        <f aca="false">IF(G140&gt;0,IF(INDEX(CONFIRM!$I$5:$I$53,G140)&lt;&gt;"",INDEX(CONFIRM!$I$5:$I$53,G140),H140),H140)</f>
        <v>Community Building - Community Support</v>
      </c>
      <c r="J140" s="1" t="str">
        <f aca="false">IFERROR(INDEX(MAP!$F$7:$F$74,MATCH(TRIM(I140),MAP!$E$7:$E$74,0)),"UNMAPPED")</f>
        <v>Community building: community support</v>
      </c>
      <c r="K140" s="1" t="str">
        <f aca="false">IFERROR(INDEX(MAP!$G$7:$G$74,MATCH(TRIM(I140),MAP!$E$7:$E$74,0)),"UNMAPPED")</f>
        <v>II-3</v>
      </c>
      <c r="L140" s="49" t="n">
        <f aca="false">STACK!G140</f>
        <v>45937</v>
      </c>
      <c r="M140" s="59" t="n">
        <f aca="false">IF(G140&gt;0,IF(INDEX(CONFIRM!$G$5:$G$53,G140)&lt;&gt;"",INDEX(CONFIRM!$G$5:$G$53,G140),IF(ISNUMBER(L140),L140,IFERROR(DATEVALUE(L140),""))),IF(ISNUMBER(L140),L140,IFERROR(DATEVALUE(L140),"")))</f>
        <v>45937</v>
      </c>
      <c r="N140" s="1" t="str">
        <f aca="false">IF(M140="","Check",IF(AND(M140&gt;=INPUTS!$C$6,M140&lt;=INPUTS!$C$7),"Yes","No"))</f>
        <v>Yes</v>
      </c>
      <c r="O140" s="48" t="str">
        <f aca="false">STACK!H140</f>
        <v>FLIGHT PARAMEDIC</v>
      </c>
      <c r="P140" s="1" t="str">
        <f aca="false">IF(G140&gt;0,IF(INDEX(CONFIRM!$H$5:$H$53,G140)&lt;&gt;"",INDEX(CONFIRM!$H$5:$H$53,G140),IFERROR(INDEX(MAP!$B$7:$B$156,MATCH(TRIM(O140),MAP!$A$7:$A$156,0)),"UNMAPPED")),IFERROR(INDEX(MAP!$B$7:$B$156,MATCH(TRIM(O140),MAP!$A$7:$A$156,0)),"UNMAPPED"))</f>
        <v>Paramedic</v>
      </c>
      <c r="Q140" s="48" t="n">
        <f aca="false">STACK!I140</f>
        <v>6</v>
      </c>
      <c r="R140" s="60" t="n">
        <f aca="false">IF(G140&gt;0,IF(INDEX(CONFIRM!$F$5:$F$53,G140)&lt;&gt;"",INDEX(CONFIRM!$F$5:$F$53,G140),IF(ISNUMBER(Q140),Q140,IF(Q140="","",IFERROR(VALUE(TRIM(SUBSTITUTE(SUBSTITUTE(LOWER(Q140),"hrs",""),"hr",""))),"")))),IF(ISNUMBER(Q140),Q140,IF(Q140="","",IFERROR(VALUE(TRIM(SUBSTITUTE(SUBSTITUTE(LOWER(Q140),"hrs",""),"hr",""))),""))))</f>
        <v>6</v>
      </c>
      <c r="S140" s="57" t="n">
        <f aca="false">IFERROR(INDEX(RATES!$E$6:$E$28,MATCH(P140,RATES!$A$6:$A$28,0)),0)</f>
        <v>34.695</v>
      </c>
      <c r="T140" s="61" t="n">
        <f aca="false">IF(ISNUMBER(R140),R140,0)*S140</f>
        <v>208.17</v>
      </c>
      <c r="U140" s="61" t="n">
        <f aca="false">T140*INDEX(INPUTS!$H$10:$H$14,MATCH(B140,INPUTS!$A$10:$A$14,0))</f>
        <v>38.51145</v>
      </c>
      <c r="V140" s="61" t="n">
        <f aca="false">N(STACK!K140)</f>
        <v>1820</v>
      </c>
      <c r="W140" s="61" t="n">
        <f aca="false">T140+U140+V140</f>
        <v>2066.68145</v>
      </c>
      <c r="X140" s="61" t="n">
        <f aca="false">N(STACK!L140)</f>
        <v>0</v>
      </c>
      <c r="Y140" s="61" t="n">
        <f aca="false">W140-X140</f>
        <v>2066.68145</v>
      </c>
      <c r="Z140" s="1" t="n">
        <f aca="false">N(STACK!J140)</f>
        <v>108</v>
      </c>
      <c r="AA140" s="1" t="str">
        <f aca="false">TRIM(IF(D140="UNMAPPED","Program not mapped. ","")&amp;IF(OR(K140="UNMAPPED",K140="UNASSIGNED"),"Category needs review. ","")&amp;IF(P140="UNMAPPED","Title not mapped. ","")&amp;IF(AND(P140&lt;&gt;"No staff time",R140=""),"Missing hours. ","")&amp;IF(M140="","Date not readable. ","")&amp;IF(N140="No","Outside fiscal year. ","")&amp;IF(AND(F140="Event",ISNUMBER(R140)),IF(R140&gt;12,"Event hours look high. ",""),"")&amp;IF(G140&gt;0,"See CONFIRM sheet.",""))</f>
        <v/>
      </c>
      <c r="AB140" s="1" t="n">
        <f aca="false">IF(N140="No",0,IF(REVIEW!O140=0,0,IF(G140&gt;0,IF(INDEX(CONFIRM!$J$5:$J$53,G140)&lt;&gt;"",INDEX(CONFIRM!$J$5:$J$53,G140),1),1)))</f>
        <v>1</v>
      </c>
      <c r="AC140" s="1" t="n">
        <f aca="false">IF(AB140=1,IF(COUNTIFS($B$5:B140,B140,$D$5:D140,D140,$AB$5:AB140,1)=1,1,0),0)</f>
        <v>0</v>
      </c>
    </row>
    <row r="141" customFormat="false" ht="15" hidden="false" customHeight="false" outlineLevel="0" collapsed="false">
      <c r="A141" s="48" t="str">
        <f aca="false">STACK!A141</f>
        <v>KVMC-0137</v>
      </c>
      <c r="B141" s="48" t="str">
        <f aca="false">STACK!B141</f>
        <v>KVMC</v>
      </c>
      <c r="C141" s="48" t="str">
        <f aca="false">STACK!E141</f>
        <v>Community Emergency Preparedness Drills</v>
      </c>
      <c r="D141" s="1" t="str">
        <f aca="false">IFERROR(INDEX(MAP!$J$7:$J$101,MATCH(TRIM(C141),MAP!$I$7:$I$101,0)),"UNMAPPED")</f>
        <v>Community Emergency Preparedness Drills</v>
      </c>
      <c r="E141" s="1" t="str">
        <f aca="false">IFERROR(INDEX(MAP!$K$7:$K$101,MATCH(TRIM(C141),MAP!$I$7:$I$101,0)),"")</f>
        <v>Community benefit infrastructure</v>
      </c>
      <c r="F141" s="1" t="str">
        <f aca="false">IFERROR(INDEX(MAP!$L$7:$L$101,MATCH(TRIM(C141),MAP!$I$7:$I$101,0)),"")</f>
        <v>Event</v>
      </c>
      <c r="G141" s="1" t="n">
        <f aca="false">IFERROR(MATCH(A141,CONFIRM!$A$5:$A$53,0),0)</f>
        <v>0</v>
      </c>
      <c r="H141" s="48" t="str">
        <f aca="false">STACK!F141</f>
        <v>Community Building - Community Support</v>
      </c>
      <c r="I141" s="1" t="str">
        <f aca="false">IF(G141&gt;0,IF(INDEX(CONFIRM!$I$5:$I$53,G141)&lt;&gt;"",INDEX(CONFIRM!$I$5:$I$53,G141),H141),H141)</f>
        <v>Community Building - Community Support</v>
      </c>
      <c r="J141" s="1" t="str">
        <f aca="false">IFERROR(INDEX(MAP!$F$7:$F$74,MATCH(TRIM(I141),MAP!$E$7:$E$74,0)),"UNMAPPED")</f>
        <v>Community building: community support</v>
      </c>
      <c r="K141" s="1" t="str">
        <f aca="false">IFERROR(INDEX(MAP!$G$7:$G$74,MATCH(TRIM(I141),MAP!$E$7:$E$74,0)),"UNMAPPED")</f>
        <v>II-3</v>
      </c>
      <c r="L141" s="49" t="n">
        <f aca="false">STACK!G141</f>
        <v>45937</v>
      </c>
      <c r="M141" s="59" t="n">
        <f aca="false">IF(G141&gt;0,IF(INDEX(CONFIRM!$G$5:$G$53,G141)&lt;&gt;"",INDEX(CONFIRM!$G$5:$G$53,G141),IF(ISNUMBER(L141),L141,IFERROR(DATEVALUE(L141),""))),IF(ISNUMBER(L141),L141,IFERROR(DATEVALUE(L141),"")))</f>
        <v>45937</v>
      </c>
      <c r="N141" s="1" t="str">
        <f aca="false">IF(M141="","Check",IF(AND(M141&gt;=INPUTS!$C$6,M141&lt;=INPUTS!$C$7),"Yes","No"))</f>
        <v>Yes</v>
      </c>
      <c r="O141" s="48" t="str">
        <f aca="false">STACK!H141</f>
        <v>Event Coordinator</v>
      </c>
      <c r="P141" s="1" t="str">
        <f aca="false">IF(G141&gt;0,IF(INDEX(CONFIRM!$H$5:$H$53,G141)&lt;&gt;"",INDEX(CONFIRM!$H$5:$H$53,G141),IFERROR(INDEX(MAP!$B$7:$B$156,MATCH(TRIM(O141),MAP!$A$7:$A$156,0)),"UNMAPPED")),IFERROR(INDEX(MAP!$B$7:$B$156,MATCH(TRIM(O141),MAP!$A$7:$A$156,0)),"UNMAPPED"))</f>
        <v>Program Coordinator</v>
      </c>
      <c r="Q141" s="48" t="n">
        <f aca="false">STACK!I141</f>
        <v>5.25</v>
      </c>
      <c r="R141" s="60" t="n">
        <f aca="false">IF(G141&gt;0,IF(INDEX(CONFIRM!$F$5:$F$53,G141)&lt;&gt;"",INDEX(CONFIRM!$F$5:$F$53,G141),IF(ISNUMBER(Q141),Q141,IF(Q141="","",IFERROR(VALUE(TRIM(SUBSTITUTE(SUBSTITUTE(LOWER(Q141),"hrs",""),"hr",""))),"")))),IF(ISNUMBER(Q141),Q141,IF(Q141="","",IFERROR(VALUE(TRIM(SUBSTITUTE(SUBSTITUTE(LOWER(Q141),"hrs",""),"hr",""))),""))))</f>
        <v>5.25</v>
      </c>
      <c r="S141" s="57" t="n">
        <f aca="false">IFERROR(INDEX(RATES!$E$6:$E$28,MATCH(P141,RATES!$A$6:$A$28,0)),0)</f>
        <v>35.3375</v>
      </c>
      <c r="T141" s="61" t="n">
        <f aca="false">IF(ISNUMBER(R141),R141,0)*S141</f>
        <v>185.521875</v>
      </c>
      <c r="U141" s="61" t="n">
        <f aca="false">T141*INDEX(INPUTS!$H$10:$H$14,MATCH(B141,INPUTS!$A$10:$A$14,0))</f>
        <v>34.321546875</v>
      </c>
      <c r="V141" s="61" t="n">
        <f aca="false">N(STACK!K141)</f>
        <v>0</v>
      </c>
      <c r="W141" s="61" t="n">
        <f aca="false">T141+U141+V141</f>
        <v>219.843421875</v>
      </c>
      <c r="X141" s="61" t="n">
        <f aca="false">N(STACK!L141)</f>
        <v>0</v>
      </c>
      <c r="Y141" s="61" t="n">
        <f aca="false">W141-X141</f>
        <v>219.843421875</v>
      </c>
      <c r="Z141" s="1" t="n">
        <f aca="false">N(STACK!J141)</f>
        <v>0</v>
      </c>
      <c r="AA141" s="1" t="str">
        <f aca="false">TRIM(IF(D141="UNMAPPED","Program not mapped. ","")&amp;IF(OR(K141="UNMAPPED",K141="UNASSIGNED"),"Category needs review. ","")&amp;IF(P141="UNMAPPED","Title not mapped. ","")&amp;IF(AND(P141&lt;&gt;"No staff time",R141=""),"Missing hours. ","")&amp;IF(M141="","Date not readable. ","")&amp;IF(N141="No","Outside fiscal year. ","")&amp;IF(AND(F141="Event",ISNUMBER(R141)),IF(R141&gt;12,"Event hours look high. ",""),"")&amp;IF(G141&gt;0,"See CONFIRM sheet.",""))</f>
        <v/>
      </c>
      <c r="AB141" s="1" t="n">
        <f aca="false">IF(N141="No",0,IF(REVIEW!O141=0,0,IF(G141&gt;0,IF(INDEX(CONFIRM!$J$5:$J$53,G141)&lt;&gt;"",INDEX(CONFIRM!$J$5:$J$53,G141),1),1)))</f>
        <v>1</v>
      </c>
      <c r="AC141" s="1" t="n">
        <f aca="false">IF(AB141=1,IF(COUNTIFS($B$5:B141,B141,$D$5:D141,D141,$AB$5:AB141,1)=1,1,0),0)</f>
        <v>0</v>
      </c>
    </row>
    <row r="142" customFormat="false" ht="15" hidden="false" customHeight="false" outlineLevel="0" collapsed="false">
      <c r="A142" s="48" t="str">
        <f aca="false">STACK!A142</f>
        <v>KVMC-0138</v>
      </c>
      <c r="B142" s="48" t="str">
        <f aca="false">STACK!B142</f>
        <v>KVMC</v>
      </c>
      <c r="C142" s="48" t="str">
        <f aca="false">STACK!E142</f>
        <v>Community Emergency Preparedness Drills</v>
      </c>
      <c r="D142" s="1" t="str">
        <f aca="false">IFERROR(INDEX(MAP!$J$7:$J$101,MATCH(TRIM(C142),MAP!$I$7:$I$101,0)),"UNMAPPED")</f>
        <v>Community Emergency Preparedness Drills</v>
      </c>
      <c r="E142" s="1" t="str">
        <f aca="false">IFERROR(INDEX(MAP!$K$7:$K$101,MATCH(TRIM(C142),MAP!$I$7:$I$101,0)),"")</f>
        <v>Community benefit infrastructure</v>
      </c>
      <c r="F142" s="1" t="str">
        <f aca="false">IFERROR(INDEX(MAP!$L$7:$L$101,MATCH(TRIM(C142),MAP!$I$7:$I$101,0)),"")</f>
        <v>Event</v>
      </c>
      <c r="G142" s="1" t="n">
        <f aca="false">IFERROR(MATCH(A142,CONFIRM!$A$5:$A$53,0),0)</f>
        <v>0</v>
      </c>
      <c r="H142" s="48" t="str">
        <f aca="false">STACK!F142</f>
        <v>Community Building - Community Support</v>
      </c>
      <c r="I142" s="1" t="str">
        <f aca="false">IF(G142&gt;0,IF(INDEX(CONFIRM!$I$5:$I$53,G142)&lt;&gt;"",INDEX(CONFIRM!$I$5:$I$53,G142),H142),H142)</f>
        <v>Community Building - Community Support</v>
      </c>
      <c r="J142" s="1" t="str">
        <f aca="false">IFERROR(INDEX(MAP!$F$7:$F$74,MATCH(TRIM(I142),MAP!$E$7:$E$74,0)),"UNMAPPED")</f>
        <v>Community building: community support</v>
      </c>
      <c r="K142" s="1" t="str">
        <f aca="false">IFERROR(INDEX(MAP!$G$7:$G$74,MATCH(TRIM(I142),MAP!$E$7:$E$74,0)),"UNMAPPED")</f>
        <v>II-3</v>
      </c>
      <c r="L142" s="49" t="n">
        <f aca="false">STACK!G142</f>
        <v>45937</v>
      </c>
      <c r="M142" s="59" t="n">
        <f aca="false">IF(G142&gt;0,IF(INDEX(CONFIRM!$G$5:$G$53,G142)&lt;&gt;"",INDEX(CONFIRM!$G$5:$G$53,G142),IF(ISNUMBER(L142),L142,IFERROR(DATEVALUE(L142),""))),IF(ISNUMBER(L142),L142,IFERROR(DATEVALUE(L142),"")))</f>
        <v>45937</v>
      </c>
      <c r="N142" s="1" t="str">
        <f aca="false">IF(M142="","Check",IF(AND(M142&gt;=INPUTS!$C$6,M142&lt;=INPUTS!$C$7),"Yes","No"))</f>
        <v>Yes</v>
      </c>
      <c r="O142" s="48" t="str">
        <f aca="false">STACK!H142</f>
        <v>Registered Nurse</v>
      </c>
      <c r="P142" s="1" t="str">
        <f aca="false">IF(G142&gt;0,IF(INDEX(CONFIRM!$H$5:$H$53,G142)&lt;&gt;"",INDEX(CONFIRM!$H$5:$H$53,G142),IFERROR(INDEX(MAP!$B$7:$B$156,MATCH(TRIM(O142),MAP!$A$7:$A$156,0)),"UNMAPPED")),IFERROR(INDEX(MAP!$B$7:$B$156,MATCH(TRIM(O142),MAP!$A$7:$A$156,0)),"UNMAPPED"))</f>
        <v>Registered Nurse</v>
      </c>
      <c r="Q142" s="48" t="n">
        <f aca="false">STACK!I142</f>
        <v>6</v>
      </c>
      <c r="R142" s="60" t="n">
        <f aca="false">IF(G142&gt;0,IF(INDEX(CONFIRM!$F$5:$F$53,G142)&lt;&gt;"",INDEX(CONFIRM!$F$5:$F$53,G142),IF(ISNUMBER(Q142),Q142,IF(Q142="","",IFERROR(VALUE(TRIM(SUBSTITUTE(SUBSTITUTE(LOWER(Q142),"hrs",""),"hr",""))),"")))),IF(ISNUMBER(Q142),Q142,IF(Q142="","",IFERROR(VALUE(TRIM(SUBSTITUTE(SUBSTITUTE(LOWER(Q142),"hrs",""),"hr",""))),""))))</f>
        <v>6</v>
      </c>
      <c r="S142" s="57" t="n">
        <f aca="false">IFERROR(INDEX(RATES!$E$6:$E$28,MATCH(P142,RATES!$A$6:$A$28,0)),0)</f>
        <v>55.8975</v>
      </c>
      <c r="T142" s="61" t="n">
        <f aca="false">IF(ISNUMBER(R142),R142,0)*S142</f>
        <v>335.385</v>
      </c>
      <c r="U142" s="61" t="n">
        <f aca="false">T142*INDEX(INPUTS!$H$10:$H$14,MATCH(B142,INPUTS!$A$10:$A$14,0))</f>
        <v>62.046225</v>
      </c>
      <c r="V142" s="61" t="n">
        <f aca="false">N(STACK!K142)</f>
        <v>0</v>
      </c>
      <c r="W142" s="61" t="n">
        <f aca="false">T142+U142+V142</f>
        <v>397.431225</v>
      </c>
      <c r="X142" s="61" t="n">
        <f aca="false">N(STACK!L142)</f>
        <v>0</v>
      </c>
      <c r="Y142" s="61" t="n">
        <f aca="false">W142-X142</f>
        <v>397.431225</v>
      </c>
      <c r="Z142" s="1" t="n">
        <f aca="false">N(STACK!J142)</f>
        <v>0</v>
      </c>
      <c r="AA142" s="1" t="str">
        <f aca="false">TRIM(IF(D142="UNMAPPED","Program not mapped. ","")&amp;IF(OR(K142="UNMAPPED",K142="UNASSIGNED"),"Category needs review. ","")&amp;IF(P142="UNMAPPED","Title not mapped. ","")&amp;IF(AND(P142&lt;&gt;"No staff time",R142=""),"Missing hours. ","")&amp;IF(M142="","Date not readable. ","")&amp;IF(N142="No","Outside fiscal year. ","")&amp;IF(AND(F142="Event",ISNUMBER(R142)),IF(R142&gt;12,"Event hours look high. ",""),"")&amp;IF(G142&gt;0,"See CONFIRM sheet.",""))</f>
        <v/>
      </c>
      <c r="AB142" s="1" t="n">
        <f aca="false">IF(N142="No",0,IF(REVIEW!O142=0,0,IF(G142&gt;0,IF(INDEX(CONFIRM!$J$5:$J$53,G142)&lt;&gt;"",INDEX(CONFIRM!$J$5:$J$53,G142),1),1)))</f>
        <v>1</v>
      </c>
      <c r="AC142" s="1" t="n">
        <f aca="false">IF(AB142=1,IF(COUNTIFS($B$5:B142,B142,$D$5:D142,D142,$AB$5:AB142,1)=1,1,0),0)</f>
        <v>0</v>
      </c>
    </row>
    <row r="143" customFormat="false" ht="15" hidden="false" customHeight="false" outlineLevel="0" collapsed="false">
      <c r="A143" s="48" t="str">
        <f aca="false">STACK!A143</f>
        <v>KVMC-0139</v>
      </c>
      <c r="B143" s="48" t="str">
        <f aca="false">STACK!B143</f>
        <v>KVMC</v>
      </c>
      <c r="C143" s="48" t="str">
        <f aca="false">STACK!E143</f>
        <v>Diabetes Prevention Classes</v>
      </c>
      <c r="D143" s="1" t="str">
        <f aca="false">IFERROR(INDEX(MAP!$J$7:$J$101,MATCH(TRIM(C143),MAP!$I$7:$I$101,0)),"UNMAPPED")</f>
        <v>Diabetes Prevention Classes</v>
      </c>
      <c r="E143" s="1" t="str">
        <f aca="false">IFERROR(INDEX(MAP!$K$7:$K$101,MATCH(TRIM(C143),MAP!$I$7:$I$101,0)),"")</f>
        <v>Chronic disease prevention</v>
      </c>
      <c r="F143" s="1" t="str">
        <f aca="false">IFERROR(INDEX(MAP!$L$7:$L$101,MATCH(TRIM(C143),MAP!$I$7:$I$101,0)),"")</f>
        <v>Event</v>
      </c>
      <c r="G143" s="1" t="n">
        <f aca="false">IFERROR(MATCH(A143,CONFIRM!$A$5:$A$53,0),0)</f>
        <v>0</v>
      </c>
      <c r="H143" s="48" t="str">
        <f aca="false">STACK!F143</f>
        <v>Community Health Education</v>
      </c>
      <c r="I143" s="1" t="str">
        <f aca="false">IF(G143&gt;0,IF(INDEX(CONFIRM!$I$5:$I$53,G143)&lt;&gt;"",INDEX(CONFIRM!$I$5:$I$53,G143),H143),H143)</f>
        <v>Community Health Education</v>
      </c>
      <c r="J143" s="1" t="str">
        <f aca="false">IFERROR(INDEX(MAP!$F$7:$F$74,MATCH(TRIM(I143),MAP!$E$7:$E$74,0)),"UNMAPPED")</f>
        <v>Community health education</v>
      </c>
      <c r="K143" s="1" t="str">
        <f aca="false">IFERROR(INDEX(MAP!$G$7:$G$74,MATCH(TRIM(I143),MAP!$E$7:$E$74,0)),"UNMAPPED")</f>
        <v>7e</v>
      </c>
      <c r="L143" s="49" t="n">
        <f aca="false">STACK!G143</f>
        <v>45941</v>
      </c>
      <c r="M143" s="59" t="n">
        <f aca="false">IF(G143&gt;0,IF(INDEX(CONFIRM!$G$5:$G$53,G143)&lt;&gt;"",INDEX(CONFIRM!$G$5:$G$53,G143),IF(ISNUMBER(L143),L143,IFERROR(DATEVALUE(L143),""))),IF(ISNUMBER(L143),L143,IFERROR(DATEVALUE(L143),"")))</f>
        <v>45941</v>
      </c>
      <c r="N143" s="1" t="str">
        <f aca="false">IF(M143="","Check",IF(AND(M143&gt;=INPUTS!$C$6,M143&lt;=INPUTS!$C$7),"Yes","No"))</f>
        <v>Yes</v>
      </c>
      <c r="O143" s="48" t="str">
        <f aca="false">STACK!H143</f>
        <v>HEALTH ED</v>
      </c>
      <c r="P143" s="1" t="str">
        <f aca="false">IF(G143&gt;0,IF(INDEX(CONFIRM!$H$5:$H$53,G143)&lt;&gt;"",INDEX(CONFIRM!$H$5:$H$53,G143),IFERROR(INDEX(MAP!$B$7:$B$156,MATCH(TRIM(O143),MAP!$A$7:$A$156,0)),"UNMAPPED")),IFERROR(INDEX(MAP!$B$7:$B$156,MATCH(TRIM(O143),MAP!$A$7:$A$156,0)),"UNMAPPED"))</f>
        <v>Health Educator</v>
      </c>
      <c r="Q143" s="48" t="n">
        <f aca="false">STACK!I143</f>
        <v>2.75</v>
      </c>
      <c r="R143" s="60" t="n">
        <f aca="false">IF(G143&gt;0,IF(INDEX(CONFIRM!$F$5:$F$53,G143)&lt;&gt;"",INDEX(CONFIRM!$F$5:$F$53,G143),IF(ISNUMBER(Q143),Q143,IF(Q143="","",IFERROR(VALUE(TRIM(SUBSTITUTE(SUBSTITUTE(LOWER(Q143),"hrs",""),"hr",""))),"")))),IF(ISNUMBER(Q143),Q143,IF(Q143="","",IFERROR(VALUE(TRIM(SUBSTITUTE(SUBSTITUTE(LOWER(Q143),"hrs",""),"hr",""))),""))))</f>
        <v>2.75</v>
      </c>
      <c r="S143" s="57" t="n">
        <f aca="false">IFERROR(INDEX(RATES!$E$6:$E$28,MATCH(P143,RATES!$A$6:$A$28,0)),0)</f>
        <v>37.265</v>
      </c>
      <c r="T143" s="61" t="n">
        <f aca="false">IF(ISNUMBER(R143),R143,0)*S143</f>
        <v>102.47875</v>
      </c>
      <c r="U143" s="61" t="n">
        <f aca="false">T143*INDEX(INPUTS!$H$10:$H$14,MATCH(B143,INPUTS!$A$10:$A$14,0))</f>
        <v>18.95856875</v>
      </c>
      <c r="V143" s="61" t="n">
        <f aca="false">N(STACK!K143)</f>
        <v>60</v>
      </c>
      <c r="W143" s="61" t="n">
        <f aca="false">T143+U143+V143</f>
        <v>181.43731875</v>
      </c>
      <c r="X143" s="61" t="n">
        <f aca="false">N(STACK!L143)</f>
        <v>0</v>
      </c>
      <c r="Y143" s="61" t="n">
        <f aca="false">W143-X143</f>
        <v>181.43731875</v>
      </c>
      <c r="Z143" s="1" t="n">
        <f aca="false">N(STACK!J143)</f>
        <v>21</v>
      </c>
      <c r="AA143" s="1" t="str">
        <f aca="false">TRIM(IF(D143="UNMAPPED","Program not mapped. ","")&amp;IF(OR(K143="UNMAPPED",K143="UNASSIGNED"),"Category needs review. ","")&amp;IF(P143="UNMAPPED","Title not mapped. ","")&amp;IF(AND(P143&lt;&gt;"No staff time",R143=""),"Missing hours. ","")&amp;IF(M143="","Date not readable. ","")&amp;IF(N143="No","Outside fiscal year. ","")&amp;IF(AND(F143="Event",ISNUMBER(R143)),IF(R143&gt;12,"Event hours look high. ",""),"")&amp;IF(G143&gt;0,"See CONFIRM sheet.",""))</f>
        <v/>
      </c>
      <c r="AB143" s="1" t="n">
        <f aca="false">IF(N143="No",0,IF(REVIEW!O143=0,0,IF(G143&gt;0,IF(INDEX(CONFIRM!$J$5:$J$53,G143)&lt;&gt;"",INDEX(CONFIRM!$J$5:$J$53,G143),1),1)))</f>
        <v>1</v>
      </c>
      <c r="AC143" s="1" t="n">
        <f aca="false">IF(AB143=1,IF(COUNTIFS($B$5:B143,B143,$D$5:D143,D143,$AB$5:AB143,1)=1,1,0),0)</f>
        <v>0</v>
      </c>
    </row>
    <row r="144" customFormat="false" ht="15" hidden="false" customHeight="false" outlineLevel="0" collapsed="false">
      <c r="A144" s="48" t="str">
        <f aca="false">STACK!A144</f>
        <v>KVMC-0140</v>
      </c>
      <c r="B144" s="48" t="str">
        <f aca="false">STACK!B144</f>
        <v>KVMC</v>
      </c>
      <c r="C144" s="48" t="str">
        <f aca="false">STACK!E144</f>
        <v>Diabetes Prevention Classes</v>
      </c>
      <c r="D144" s="1" t="str">
        <f aca="false">IFERROR(INDEX(MAP!$J$7:$J$101,MATCH(TRIM(C144),MAP!$I$7:$I$101,0)),"UNMAPPED")</f>
        <v>Diabetes Prevention Classes</v>
      </c>
      <c r="E144" s="1" t="str">
        <f aca="false">IFERROR(INDEX(MAP!$K$7:$K$101,MATCH(TRIM(C144),MAP!$I$7:$I$101,0)),"")</f>
        <v>Chronic disease prevention</v>
      </c>
      <c r="F144" s="1" t="str">
        <f aca="false">IFERROR(INDEX(MAP!$L$7:$L$101,MATCH(TRIM(C144),MAP!$I$7:$I$101,0)),"")</f>
        <v>Event</v>
      </c>
      <c r="G144" s="1" t="n">
        <f aca="false">IFERROR(MATCH(A144,CONFIRM!$A$5:$A$53,0),0)</f>
        <v>0</v>
      </c>
      <c r="H144" s="48" t="str">
        <f aca="false">STACK!F144</f>
        <v>Community Health Education</v>
      </c>
      <c r="I144" s="1" t="str">
        <f aca="false">IF(G144&gt;0,IF(INDEX(CONFIRM!$I$5:$I$53,G144)&lt;&gt;"",INDEX(CONFIRM!$I$5:$I$53,G144),H144),H144)</f>
        <v>Community Health Education</v>
      </c>
      <c r="J144" s="1" t="str">
        <f aca="false">IFERROR(INDEX(MAP!$F$7:$F$74,MATCH(TRIM(I144),MAP!$E$7:$E$74,0)),"UNMAPPED")</f>
        <v>Community health education</v>
      </c>
      <c r="K144" s="1" t="str">
        <f aca="false">IFERROR(INDEX(MAP!$G$7:$G$74,MATCH(TRIM(I144),MAP!$E$7:$E$74,0)),"UNMAPPED")</f>
        <v>7e</v>
      </c>
      <c r="L144" s="49" t="n">
        <f aca="false">STACK!G144</f>
        <v>45941</v>
      </c>
      <c r="M144" s="59" t="n">
        <f aca="false">IF(G144&gt;0,IF(INDEX(CONFIRM!$G$5:$G$53,G144)&lt;&gt;"",INDEX(CONFIRM!$G$5:$G$53,G144),IF(ISNUMBER(L144),L144,IFERROR(DATEVALUE(L144),""))),IF(ISNUMBER(L144),L144,IFERROR(DATEVALUE(L144),"")))</f>
        <v>45941</v>
      </c>
      <c r="N144" s="1" t="str">
        <f aca="false">IF(M144="","Check",IF(AND(M144&gt;=INPUTS!$C$6,M144&lt;=INPUTS!$C$7),"Yes","No"))</f>
        <v>Yes</v>
      </c>
      <c r="O144" s="48" t="str">
        <f aca="false">STACK!H144</f>
        <v>Health Education Specialist</v>
      </c>
      <c r="P144" s="1" t="str">
        <f aca="false">IF(G144&gt;0,IF(INDEX(CONFIRM!$H$5:$H$53,G144)&lt;&gt;"",INDEX(CONFIRM!$H$5:$H$53,G144),IFERROR(INDEX(MAP!$B$7:$B$156,MATCH(TRIM(O144),MAP!$A$7:$A$156,0)),"UNMAPPED")),IFERROR(INDEX(MAP!$B$7:$B$156,MATCH(TRIM(O144),MAP!$A$7:$A$156,0)),"UNMAPPED"))</f>
        <v>Health Educator</v>
      </c>
      <c r="Q144" s="48" t="n">
        <f aca="false">STACK!I144</f>
        <v>3</v>
      </c>
      <c r="R144" s="60" t="n">
        <f aca="false">IF(G144&gt;0,IF(INDEX(CONFIRM!$F$5:$F$53,G144)&lt;&gt;"",INDEX(CONFIRM!$F$5:$F$53,G144),IF(ISNUMBER(Q144),Q144,IF(Q144="","",IFERROR(VALUE(TRIM(SUBSTITUTE(SUBSTITUTE(LOWER(Q144),"hrs",""),"hr",""))),"")))),IF(ISNUMBER(Q144),Q144,IF(Q144="","",IFERROR(VALUE(TRIM(SUBSTITUTE(SUBSTITUTE(LOWER(Q144),"hrs",""),"hr",""))),""))))</f>
        <v>3</v>
      </c>
      <c r="S144" s="57" t="n">
        <f aca="false">IFERROR(INDEX(RATES!$E$6:$E$28,MATCH(P144,RATES!$A$6:$A$28,0)),0)</f>
        <v>37.265</v>
      </c>
      <c r="T144" s="61" t="n">
        <f aca="false">IF(ISNUMBER(R144),R144,0)*S144</f>
        <v>111.795</v>
      </c>
      <c r="U144" s="61" t="n">
        <f aca="false">T144*INDEX(INPUTS!$H$10:$H$14,MATCH(B144,INPUTS!$A$10:$A$14,0))</f>
        <v>20.682075</v>
      </c>
      <c r="V144" s="61" t="n">
        <f aca="false">N(STACK!K144)</f>
        <v>165</v>
      </c>
      <c r="W144" s="61" t="n">
        <f aca="false">T144+U144+V144</f>
        <v>297.477075</v>
      </c>
      <c r="X144" s="61" t="n">
        <f aca="false">N(STACK!L144)</f>
        <v>0</v>
      </c>
      <c r="Y144" s="61" t="n">
        <f aca="false">W144-X144</f>
        <v>297.477075</v>
      </c>
      <c r="Z144" s="1" t="n">
        <f aca="false">N(STACK!J144)</f>
        <v>19</v>
      </c>
      <c r="AA144" s="1" t="str">
        <f aca="false">TRIM(IF(D144="UNMAPPED","Program not mapped. ","")&amp;IF(OR(K144="UNMAPPED",K144="UNASSIGNED"),"Category needs review. ","")&amp;IF(P144="UNMAPPED","Title not mapped. ","")&amp;IF(AND(P144&lt;&gt;"No staff time",R144=""),"Missing hours. ","")&amp;IF(M144="","Date not readable. ","")&amp;IF(N144="No","Outside fiscal year. ","")&amp;IF(AND(F144="Event",ISNUMBER(R144)),IF(R144&gt;12,"Event hours look high. ",""),"")&amp;IF(G144&gt;0,"See CONFIRM sheet.",""))</f>
        <v/>
      </c>
      <c r="AB144" s="1" t="n">
        <f aca="false">IF(N144="No",0,IF(REVIEW!O144=0,0,IF(G144&gt;0,IF(INDEX(CONFIRM!$J$5:$J$53,G144)&lt;&gt;"",INDEX(CONFIRM!$J$5:$J$53,G144),1),1)))</f>
        <v>1</v>
      </c>
      <c r="AC144" s="1" t="n">
        <f aca="false">IF(AB144=1,IF(COUNTIFS($B$5:B144,B144,$D$5:D144,D144,$AB$5:AB144,1)=1,1,0),0)</f>
        <v>0</v>
      </c>
    </row>
    <row r="145" customFormat="false" ht="15" hidden="false" customHeight="false" outlineLevel="0" collapsed="false">
      <c r="A145" s="48" t="str">
        <f aca="false">STACK!A145</f>
        <v>KVMC-0141</v>
      </c>
      <c r="B145" s="48" t="str">
        <f aca="false">STACK!B145</f>
        <v>KVMC</v>
      </c>
      <c r="C145" s="48" t="str">
        <f aca="false">STACK!E145</f>
        <v>Diabetes Prevention Classes</v>
      </c>
      <c r="D145" s="1" t="str">
        <f aca="false">IFERROR(INDEX(MAP!$J$7:$J$101,MATCH(TRIM(C145),MAP!$I$7:$I$101,0)),"UNMAPPED")</f>
        <v>Diabetes Prevention Classes</v>
      </c>
      <c r="E145" s="1" t="str">
        <f aca="false">IFERROR(INDEX(MAP!$K$7:$K$101,MATCH(TRIM(C145),MAP!$I$7:$I$101,0)),"")</f>
        <v>Chronic disease prevention</v>
      </c>
      <c r="F145" s="1" t="str">
        <f aca="false">IFERROR(INDEX(MAP!$L$7:$L$101,MATCH(TRIM(C145),MAP!$I$7:$I$101,0)),"")</f>
        <v>Event</v>
      </c>
      <c r="G145" s="1" t="n">
        <f aca="false">IFERROR(MATCH(A145,CONFIRM!$A$5:$A$53,0),0)</f>
        <v>0</v>
      </c>
      <c r="H145" s="48" t="str">
        <f aca="false">STACK!F145</f>
        <v>Community Health Education</v>
      </c>
      <c r="I145" s="1" t="str">
        <f aca="false">IF(G145&gt;0,IF(INDEX(CONFIRM!$I$5:$I$53,G145)&lt;&gt;"",INDEX(CONFIRM!$I$5:$I$53,G145),H145),H145)</f>
        <v>Community Health Education</v>
      </c>
      <c r="J145" s="1" t="str">
        <f aca="false">IFERROR(INDEX(MAP!$F$7:$F$74,MATCH(TRIM(I145),MAP!$E$7:$E$74,0)),"UNMAPPED")</f>
        <v>Community health education</v>
      </c>
      <c r="K145" s="1" t="str">
        <f aca="false">IFERROR(INDEX(MAP!$G$7:$G$74,MATCH(TRIM(I145),MAP!$E$7:$E$74,0)),"UNMAPPED")</f>
        <v>7e</v>
      </c>
      <c r="L145" s="49" t="n">
        <f aca="false">STACK!G145</f>
        <v>45941</v>
      </c>
      <c r="M145" s="59" t="n">
        <f aca="false">IF(G145&gt;0,IF(INDEX(CONFIRM!$G$5:$G$53,G145)&lt;&gt;"",INDEX(CONFIRM!$G$5:$G$53,G145),IF(ISNUMBER(L145),L145,IFERROR(DATEVALUE(L145),""))),IF(ISNUMBER(L145),L145,IFERROR(DATEVALUE(L145),"")))</f>
        <v>45941</v>
      </c>
      <c r="N145" s="1" t="str">
        <f aca="false">IF(M145="","Check",IF(AND(M145&gt;=INPUTS!$C$6,M145&lt;=INPUTS!$C$7),"Yes","No"))</f>
        <v>Yes</v>
      </c>
      <c r="O145" s="48" t="str">
        <f aca="false">STACK!H145</f>
        <v>Dietitian</v>
      </c>
      <c r="P145" s="1" t="str">
        <f aca="false">IF(G145&gt;0,IF(INDEX(CONFIRM!$H$5:$H$53,G145)&lt;&gt;"",INDEX(CONFIRM!$H$5:$H$53,G145),IFERROR(INDEX(MAP!$B$7:$B$156,MATCH(TRIM(O145),MAP!$A$7:$A$156,0)),"UNMAPPED")),IFERROR(INDEX(MAP!$B$7:$B$156,MATCH(TRIM(O145),MAP!$A$7:$A$156,0)),"UNMAPPED"))</f>
        <v>Registered Dietitian</v>
      </c>
      <c r="Q145" s="48" t="n">
        <f aca="false">STACK!I145</f>
        <v>1.75</v>
      </c>
      <c r="R145" s="60" t="n">
        <f aca="false">IF(G145&gt;0,IF(INDEX(CONFIRM!$F$5:$F$53,G145)&lt;&gt;"",INDEX(CONFIRM!$F$5:$F$53,G145),IF(ISNUMBER(Q145),Q145,IF(Q145="","",IFERROR(VALUE(TRIM(SUBSTITUTE(SUBSTITUTE(LOWER(Q145),"hrs",""),"hr",""))),"")))),IF(ISNUMBER(Q145),Q145,IF(Q145="","",IFERROR(VALUE(TRIM(SUBSTITUTE(SUBSTITUTE(LOWER(Q145),"hrs",""),"hr",""))),""))))</f>
        <v>1.75</v>
      </c>
      <c r="S145" s="57" t="n">
        <f aca="false">IFERROR(INDEX(RATES!$E$6:$E$28,MATCH(P145,RATES!$A$6:$A$28,0)),0)</f>
        <v>46.9025</v>
      </c>
      <c r="T145" s="61" t="n">
        <f aca="false">IF(ISNUMBER(R145),R145,0)*S145</f>
        <v>82.079375</v>
      </c>
      <c r="U145" s="61" t="n">
        <f aca="false">T145*INDEX(INPUTS!$H$10:$H$14,MATCH(B145,INPUTS!$A$10:$A$14,0))</f>
        <v>15.184684375</v>
      </c>
      <c r="V145" s="61" t="n">
        <f aca="false">N(STACK!K145)</f>
        <v>0</v>
      </c>
      <c r="W145" s="61" t="n">
        <f aca="false">T145+U145+V145</f>
        <v>97.264059375</v>
      </c>
      <c r="X145" s="61" t="n">
        <f aca="false">N(STACK!L145)</f>
        <v>0</v>
      </c>
      <c r="Y145" s="61" t="n">
        <f aca="false">W145-X145</f>
        <v>97.264059375</v>
      </c>
      <c r="Z145" s="1" t="n">
        <f aca="false">N(STACK!J145)</f>
        <v>0</v>
      </c>
      <c r="AA145" s="1" t="str">
        <f aca="false">TRIM(IF(D145="UNMAPPED","Program not mapped. ","")&amp;IF(OR(K145="UNMAPPED",K145="UNASSIGNED"),"Category needs review. ","")&amp;IF(P145="UNMAPPED","Title not mapped. ","")&amp;IF(AND(P145&lt;&gt;"No staff time",R145=""),"Missing hours. ","")&amp;IF(M145="","Date not readable. ","")&amp;IF(N145="No","Outside fiscal year. ","")&amp;IF(AND(F145="Event",ISNUMBER(R145)),IF(R145&gt;12,"Event hours look high. ",""),"")&amp;IF(G145&gt;0,"See CONFIRM sheet.",""))</f>
        <v/>
      </c>
      <c r="AB145" s="1" t="n">
        <f aca="false">IF(N145="No",0,IF(REVIEW!O145=0,0,IF(G145&gt;0,IF(INDEX(CONFIRM!$J$5:$J$53,G145)&lt;&gt;"",INDEX(CONFIRM!$J$5:$J$53,G145),1),1)))</f>
        <v>1</v>
      </c>
      <c r="AC145" s="1" t="n">
        <f aca="false">IF(AB145=1,IF(COUNTIFS($B$5:B145,B145,$D$5:D145,D145,$AB$5:AB145,1)=1,1,0),0)</f>
        <v>0</v>
      </c>
    </row>
    <row r="146" customFormat="false" ht="15" hidden="false" customHeight="false" outlineLevel="0" collapsed="false">
      <c r="A146" s="48" t="str">
        <f aca="false">STACK!A146</f>
        <v>KVMC-0142</v>
      </c>
      <c r="B146" s="48" t="str">
        <f aca="false">STACK!B146</f>
        <v>KVMC</v>
      </c>
      <c r="C146" s="48" t="str">
        <f aca="false">STACK!E146</f>
        <v>Diabetes Prevention Classes</v>
      </c>
      <c r="D146" s="1" t="str">
        <f aca="false">IFERROR(INDEX(MAP!$J$7:$J$101,MATCH(TRIM(C146),MAP!$I$7:$I$101,0)),"UNMAPPED")</f>
        <v>Diabetes Prevention Classes</v>
      </c>
      <c r="E146" s="1" t="str">
        <f aca="false">IFERROR(INDEX(MAP!$K$7:$K$101,MATCH(TRIM(C146),MAP!$I$7:$I$101,0)),"")</f>
        <v>Chronic disease prevention</v>
      </c>
      <c r="F146" s="1" t="str">
        <f aca="false">IFERROR(INDEX(MAP!$L$7:$L$101,MATCH(TRIM(C146),MAP!$I$7:$I$101,0)),"")</f>
        <v>Event</v>
      </c>
      <c r="G146" s="1" t="n">
        <f aca="false">IFERROR(MATCH(A146,CONFIRM!$A$5:$A$53,0),0)</f>
        <v>0</v>
      </c>
      <c r="H146" s="48" t="str">
        <f aca="false">STACK!F146</f>
        <v>Community Health Education</v>
      </c>
      <c r="I146" s="1" t="str">
        <f aca="false">IF(G146&gt;0,IF(INDEX(CONFIRM!$I$5:$I$53,G146)&lt;&gt;"",INDEX(CONFIRM!$I$5:$I$53,G146),H146),H146)</f>
        <v>Community Health Education</v>
      </c>
      <c r="J146" s="1" t="str">
        <f aca="false">IFERROR(INDEX(MAP!$F$7:$F$74,MATCH(TRIM(I146),MAP!$E$7:$E$74,0)),"UNMAPPED")</f>
        <v>Community health education</v>
      </c>
      <c r="K146" s="1" t="str">
        <f aca="false">IFERROR(INDEX(MAP!$G$7:$G$74,MATCH(TRIM(I146),MAP!$E$7:$E$74,0)),"UNMAPPED")</f>
        <v>7e</v>
      </c>
      <c r="L146" s="49" t="n">
        <f aca="false">STACK!G146</f>
        <v>45941</v>
      </c>
      <c r="M146" s="59" t="n">
        <f aca="false">IF(G146&gt;0,IF(INDEX(CONFIRM!$G$5:$G$53,G146)&lt;&gt;"",INDEX(CONFIRM!$G$5:$G$53,G146),IF(ISNUMBER(L146),L146,IFERROR(DATEVALUE(L146),""))),IF(ISNUMBER(L146),L146,IFERROR(DATEVALUE(L146),"")))</f>
        <v>45941</v>
      </c>
      <c r="N146" s="1" t="str">
        <f aca="false">IF(M146="","Check",IF(AND(M146&gt;=INPUTS!$C$6,M146&lt;=INPUTS!$C$7),"Yes","No"))</f>
        <v>Yes</v>
      </c>
      <c r="O146" s="48" t="str">
        <f aca="false">STACK!H146</f>
        <v>Nutritionist</v>
      </c>
      <c r="P146" s="1" t="str">
        <f aca="false">IF(G146&gt;0,IF(INDEX(CONFIRM!$H$5:$H$53,G146)&lt;&gt;"",INDEX(CONFIRM!$H$5:$H$53,G146),IFERROR(INDEX(MAP!$B$7:$B$156,MATCH(TRIM(O146),MAP!$A$7:$A$156,0)),"UNMAPPED")),IFERROR(INDEX(MAP!$B$7:$B$156,MATCH(TRIM(O146),MAP!$A$7:$A$156,0)),"UNMAPPED"))</f>
        <v>Registered Dietitian</v>
      </c>
      <c r="Q146" s="48" t="n">
        <f aca="false">STACK!I146</f>
        <v>2</v>
      </c>
      <c r="R146" s="60" t="n">
        <f aca="false">IF(G146&gt;0,IF(INDEX(CONFIRM!$F$5:$F$53,G146)&lt;&gt;"",INDEX(CONFIRM!$F$5:$F$53,G146),IF(ISNUMBER(Q146),Q146,IF(Q146="","",IFERROR(VALUE(TRIM(SUBSTITUTE(SUBSTITUTE(LOWER(Q146),"hrs",""),"hr",""))),"")))),IF(ISNUMBER(Q146),Q146,IF(Q146="","",IFERROR(VALUE(TRIM(SUBSTITUTE(SUBSTITUTE(LOWER(Q146),"hrs",""),"hr",""))),""))))</f>
        <v>2</v>
      </c>
      <c r="S146" s="57" t="n">
        <f aca="false">IFERROR(INDEX(RATES!$E$6:$E$28,MATCH(P146,RATES!$A$6:$A$28,0)),0)</f>
        <v>46.9025</v>
      </c>
      <c r="T146" s="61" t="n">
        <f aca="false">IF(ISNUMBER(R146),R146,0)*S146</f>
        <v>93.805</v>
      </c>
      <c r="U146" s="61" t="n">
        <f aca="false">T146*INDEX(INPUTS!$H$10:$H$14,MATCH(B146,INPUTS!$A$10:$A$14,0))</f>
        <v>17.353925</v>
      </c>
      <c r="V146" s="61" t="n">
        <f aca="false">N(STACK!K146)</f>
        <v>0</v>
      </c>
      <c r="W146" s="61" t="n">
        <f aca="false">T146+U146+V146</f>
        <v>111.158925</v>
      </c>
      <c r="X146" s="61" t="n">
        <f aca="false">N(STACK!L146)</f>
        <v>0</v>
      </c>
      <c r="Y146" s="61" t="n">
        <f aca="false">W146-X146</f>
        <v>111.158925</v>
      </c>
      <c r="Z146" s="1" t="n">
        <f aca="false">N(STACK!J146)</f>
        <v>0</v>
      </c>
      <c r="AA146" s="1" t="str">
        <f aca="false">TRIM(IF(D146="UNMAPPED","Program not mapped. ","")&amp;IF(OR(K146="UNMAPPED",K146="UNASSIGNED"),"Category needs review. ","")&amp;IF(P146="UNMAPPED","Title not mapped. ","")&amp;IF(AND(P146&lt;&gt;"No staff time",R146=""),"Missing hours. ","")&amp;IF(M146="","Date not readable. ","")&amp;IF(N146="No","Outside fiscal year. ","")&amp;IF(AND(F146="Event",ISNUMBER(R146)),IF(R146&gt;12,"Event hours look high. ",""),"")&amp;IF(G146&gt;0,"See CONFIRM sheet.",""))</f>
        <v/>
      </c>
      <c r="AB146" s="1" t="n">
        <f aca="false">IF(N146="No",0,IF(REVIEW!O146=0,0,IF(G146&gt;0,IF(INDEX(CONFIRM!$J$5:$J$53,G146)&lt;&gt;"",INDEX(CONFIRM!$J$5:$J$53,G146),1),1)))</f>
        <v>1</v>
      </c>
      <c r="AC146" s="1" t="n">
        <f aca="false">IF(AB146=1,IF(COUNTIFS($B$5:B146,B146,$D$5:D146,D146,$AB$5:AB146,1)=1,1,0),0)</f>
        <v>0</v>
      </c>
    </row>
    <row r="147" customFormat="false" ht="15" hidden="false" customHeight="false" outlineLevel="0" collapsed="false">
      <c r="A147" s="48" t="str">
        <f aca="false">STACK!A147</f>
        <v>KVMC-0143</v>
      </c>
      <c r="B147" s="48" t="str">
        <f aca="false">STACK!B147</f>
        <v>KVMC</v>
      </c>
      <c r="C147" s="48" t="str">
        <f aca="false">STACK!E147</f>
        <v>Affordable Housing Partnership</v>
      </c>
      <c r="D147" s="1" t="str">
        <f aca="false">IFERROR(INDEX(MAP!$J$7:$J$101,MATCH(TRIM(C147),MAP!$I$7:$I$101,0)),"UNMAPPED")</f>
        <v>Affordable Housing Partnership</v>
      </c>
      <c r="E147" s="1" t="str">
        <f aca="false">IFERROR(INDEX(MAP!$K$7:$K$101,MATCH(TRIM(C147),MAP!$I$7:$I$101,0)),"")</f>
        <v>Food and housing security</v>
      </c>
      <c r="F147" s="1" t="str">
        <f aca="false">IFERROR(INDEX(MAP!$L$7:$L$101,MATCH(TRIM(C147),MAP!$I$7:$I$101,0)),"")</f>
        <v>Event</v>
      </c>
      <c r="G147" s="1" t="n">
        <f aca="false">IFERROR(MATCH(A147,CONFIRM!$A$5:$A$53,0),0)</f>
        <v>0</v>
      </c>
      <c r="H147" s="48" t="str">
        <f aca="false">STACK!F147</f>
        <v>Community Building - Housing</v>
      </c>
      <c r="I147" s="1" t="str">
        <f aca="false">IF(G147&gt;0,IF(INDEX(CONFIRM!$I$5:$I$53,G147)&lt;&gt;"",INDEX(CONFIRM!$I$5:$I$53,G147),H147),H147)</f>
        <v>Community Building - Housing</v>
      </c>
      <c r="J147" s="1" t="str">
        <f aca="false">IFERROR(INDEX(MAP!$F$7:$F$74,MATCH(TRIM(I147),MAP!$E$7:$E$74,0)),"UNMAPPED")</f>
        <v>Community building: physical improvements and housing</v>
      </c>
      <c r="K147" s="1" t="str">
        <f aca="false">IFERROR(INDEX(MAP!$G$7:$G$74,MATCH(TRIM(I147),MAP!$E$7:$E$74,0)),"UNMAPPED")</f>
        <v>II-1</v>
      </c>
      <c r="L147" s="49" t="n">
        <f aca="false">STACK!G147</f>
        <v>45943</v>
      </c>
      <c r="M147" s="59" t="n">
        <f aca="false">IF(G147&gt;0,IF(INDEX(CONFIRM!$G$5:$G$53,G147)&lt;&gt;"",INDEX(CONFIRM!$G$5:$G$53,G147),IF(ISNUMBER(L147),L147,IFERROR(DATEVALUE(L147),""))),IF(ISNUMBER(L147),L147,IFERROR(DATEVALUE(L147),"")))</f>
        <v>45943</v>
      </c>
      <c r="N147" s="1" t="str">
        <f aca="false">IF(M147="","Check",IF(AND(M147&gt;=INPUTS!$C$6,M147&lt;=INPUTS!$C$7),"Yes","No"))</f>
        <v>Yes</v>
      </c>
      <c r="O147" s="48" t="str">
        <f aca="false">STACK!H147</f>
        <v>Director</v>
      </c>
      <c r="P147" s="1" t="str">
        <f aca="false">IF(G147&gt;0,IF(INDEX(CONFIRM!$H$5:$H$53,G147)&lt;&gt;"",INDEX(CONFIRM!$H$5:$H$53,G147),IFERROR(INDEX(MAP!$B$7:$B$156,MATCH(TRIM(O147),MAP!$A$7:$A$156,0)),"UNMAPPED")),IFERROR(INDEX(MAP!$B$7:$B$156,MATCH(TRIM(O147),MAP!$A$7:$A$156,0)),"UNMAPPED"))</f>
        <v>Director</v>
      </c>
      <c r="Q147" s="48" t="n">
        <f aca="false">STACK!I147</f>
        <v>4.75</v>
      </c>
      <c r="R147" s="60" t="n">
        <f aca="false">IF(G147&gt;0,IF(INDEX(CONFIRM!$F$5:$F$53,G147)&lt;&gt;"",INDEX(CONFIRM!$F$5:$F$53,G147),IF(ISNUMBER(Q147),Q147,IF(Q147="","",IFERROR(VALUE(TRIM(SUBSTITUTE(SUBSTITUTE(LOWER(Q147),"hrs",""),"hr",""))),"")))),IF(ISNUMBER(Q147),Q147,IF(Q147="","",IFERROR(VALUE(TRIM(SUBSTITUTE(SUBSTITUTE(LOWER(Q147),"hrs",""),"hr",""))),""))))</f>
        <v>4.75</v>
      </c>
      <c r="S147" s="57" t="n">
        <f aca="false">IFERROR(INDEX(RATES!$E$6:$E$28,MATCH(P147,RATES!$A$6:$A$28,0)),0)</f>
        <v>92.52</v>
      </c>
      <c r="T147" s="61" t="n">
        <f aca="false">IF(ISNUMBER(R147),R147,0)*S147</f>
        <v>439.47</v>
      </c>
      <c r="U147" s="61" t="n">
        <f aca="false">T147*INDEX(INPUTS!$H$10:$H$14,MATCH(B147,INPUTS!$A$10:$A$14,0))</f>
        <v>81.30195</v>
      </c>
      <c r="V147" s="61" t="n">
        <f aca="false">N(STACK!K147)</f>
        <v>75635</v>
      </c>
      <c r="W147" s="61" t="n">
        <f aca="false">T147+U147+V147</f>
        <v>76155.77195</v>
      </c>
      <c r="X147" s="61" t="n">
        <f aca="false">N(STACK!L147)</f>
        <v>0</v>
      </c>
      <c r="Y147" s="61" t="n">
        <f aca="false">W147-X147</f>
        <v>76155.77195</v>
      </c>
      <c r="Z147" s="1" t="n">
        <f aca="false">N(STACK!J147)</f>
        <v>0</v>
      </c>
      <c r="AA147" s="1" t="str">
        <f aca="false">TRIM(IF(D147="UNMAPPED","Program not mapped. ","")&amp;IF(OR(K147="UNMAPPED",K147="UNASSIGNED"),"Category needs review. ","")&amp;IF(P147="UNMAPPED","Title not mapped. ","")&amp;IF(AND(P147&lt;&gt;"No staff time",R147=""),"Missing hours. ","")&amp;IF(M147="","Date not readable. ","")&amp;IF(N147="No","Outside fiscal year. ","")&amp;IF(AND(F147="Event",ISNUMBER(R147)),IF(R147&gt;12,"Event hours look high. ",""),"")&amp;IF(G147&gt;0,"See CONFIRM sheet.",""))</f>
        <v/>
      </c>
      <c r="AB147" s="1" t="n">
        <f aca="false">IF(N147="No",0,IF(REVIEW!O147=0,0,IF(G147&gt;0,IF(INDEX(CONFIRM!$J$5:$J$53,G147)&lt;&gt;"",INDEX(CONFIRM!$J$5:$J$53,G147),1),1)))</f>
        <v>1</v>
      </c>
      <c r="AC147" s="1" t="n">
        <f aca="false">IF(AB147=1,IF(COUNTIFS($B$5:B147,B147,$D$5:D147,D147,$AB$5:AB147,1)=1,1,0),0)</f>
        <v>0</v>
      </c>
    </row>
    <row r="148" customFormat="false" ht="15" hidden="false" customHeight="false" outlineLevel="0" collapsed="false">
      <c r="A148" s="48" t="str">
        <f aca="false">STACK!A148</f>
        <v>KVMC-0144</v>
      </c>
      <c r="B148" s="48" t="str">
        <f aca="false">STACK!B148</f>
        <v>KVMC</v>
      </c>
      <c r="C148" s="48" t="str">
        <f aca="false">STACK!E148</f>
        <v>Affordable Housing Partnership</v>
      </c>
      <c r="D148" s="1" t="str">
        <f aca="false">IFERROR(INDEX(MAP!$J$7:$J$101,MATCH(TRIM(C148),MAP!$I$7:$I$101,0)),"UNMAPPED")</f>
        <v>Affordable Housing Partnership</v>
      </c>
      <c r="E148" s="1" t="str">
        <f aca="false">IFERROR(INDEX(MAP!$K$7:$K$101,MATCH(TRIM(C148),MAP!$I$7:$I$101,0)),"")</f>
        <v>Food and housing security</v>
      </c>
      <c r="F148" s="1" t="str">
        <f aca="false">IFERROR(INDEX(MAP!$L$7:$L$101,MATCH(TRIM(C148),MAP!$I$7:$I$101,0)),"")</f>
        <v>Event</v>
      </c>
      <c r="G148" s="1" t="n">
        <f aca="false">IFERROR(MATCH(A148,CONFIRM!$A$5:$A$53,0),0)</f>
        <v>0</v>
      </c>
      <c r="H148" s="48" t="str">
        <f aca="false">STACK!F148</f>
        <v>Community Building - Housing</v>
      </c>
      <c r="I148" s="1" t="str">
        <f aca="false">IF(G148&gt;0,IF(INDEX(CONFIRM!$I$5:$I$53,G148)&lt;&gt;"",INDEX(CONFIRM!$I$5:$I$53,G148),H148),H148)</f>
        <v>Community Building - Housing</v>
      </c>
      <c r="J148" s="1" t="str">
        <f aca="false">IFERROR(INDEX(MAP!$F$7:$F$74,MATCH(TRIM(I148),MAP!$E$7:$E$74,0)),"UNMAPPED")</f>
        <v>Community building: physical improvements and housing</v>
      </c>
      <c r="K148" s="1" t="str">
        <f aca="false">IFERROR(INDEX(MAP!$G$7:$G$74,MATCH(TRIM(I148),MAP!$E$7:$E$74,0)),"UNMAPPED")</f>
        <v>II-1</v>
      </c>
      <c r="L148" s="49" t="n">
        <f aca="false">STACK!G148</f>
        <v>45943</v>
      </c>
      <c r="M148" s="59" t="n">
        <f aca="false">IF(G148&gt;0,IF(INDEX(CONFIRM!$G$5:$G$53,G148)&lt;&gt;"",INDEX(CONFIRM!$G$5:$G$53,G148),IF(ISNUMBER(L148),L148,IFERROR(DATEVALUE(L148),""))),IF(ISNUMBER(L148),L148,IFERROR(DATEVALUE(L148),"")))</f>
        <v>45943</v>
      </c>
      <c r="N148" s="1" t="str">
        <f aca="false">IF(M148="","Check",IF(AND(M148&gt;=INPUTS!$C$6,M148&lt;=INPUTS!$C$7),"Yes","No"))</f>
        <v>Yes</v>
      </c>
      <c r="O148" s="48" t="str">
        <f aca="false">STACK!H148</f>
        <v>Program Coordinator </v>
      </c>
      <c r="P148" s="1" t="str">
        <f aca="false">IF(G148&gt;0,IF(INDEX(CONFIRM!$H$5:$H$53,G148)&lt;&gt;"",INDEX(CONFIRM!$H$5:$H$53,G148),IFERROR(INDEX(MAP!$B$7:$B$156,MATCH(TRIM(O148),MAP!$A$7:$A$156,0)),"UNMAPPED")),IFERROR(INDEX(MAP!$B$7:$B$156,MATCH(TRIM(O148),MAP!$A$7:$A$156,0)),"UNMAPPED"))</f>
        <v>Program Coordinator</v>
      </c>
      <c r="Q148" s="48" t="n">
        <f aca="false">STACK!I148</f>
        <v>8.25</v>
      </c>
      <c r="R148" s="60" t="n">
        <f aca="false">IF(G148&gt;0,IF(INDEX(CONFIRM!$F$5:$F$53,G148)&lt;&gt;"",INDEX(CONFIRM!$F$5:$F$53,G148),IF(ISNUMBER(Q148),Q148,IF(Q148="","",IFERROR(VALUE(TRIM(SUBSTITUTE(SUBSTITUTE(LOWER(Q148),"hrs",""),"hr",""))),"")))),IF(ISNUMBER(Q148),Q148,IF(Q148="","",IFERROR(VALUE(TRIM(SUBSTITUTE(SUBSTITUTE(LOWER(Q148),"hrs",""),"hr",""))),""))))</f>
        <v>8.25</v>
      </c>
      <c r="S148" s="57" t="n">
        <f aca="false">IFERROR(INDEX(RATES!$E$6:$E$28,MATCH(P148,RATES!$A$6:$A$28,0)),0)</f>
        <v>35.3375</v>
      </c>
      <c r="T148" s="61" t="n">
        <f aca="false">IF(ISNUMBER(R148),R148,0)*S148</f>
        <v>291.534375</v>
      </c>
      <c r="U148" s="61" t="n">
        <f aca="false">T148*INDEX(INPUTS!$H$10:$H$14,MATCH(B148,INPUTS!$A$10:$A$14,0))</f>
        <v>53.933859375</v>
      </c>
      <c r="V148" s="61" t="n">
        <f aca="false">N(STACK!K148)</f>
        <v>0</v>
      </c>
      <c r="W148" s="61" t="n">
        <f aca="false">T148+U148+V148</f>
        <v>345.468234375</v>
      </c>
      <c r="X148" s="61" t="n">
        <f aca="false">N(STACK!L148)</f>
        <v>0</v>
      </c>
      <c r="Y148" s="61" t="n">
        <f aca="false">W148-X148</f>
        <v>345.468234375</v>
      </c>
      <c r="Z148" s="1" t="n">
        <f aca="false">N(STACK!J148)</f>
        <v>0</v>
      </c>
      <c r="AA148" s="1" t="str">
        <f aca="false">TRIM(IF(D148="UNMAPPED","Program not mapped. ","")&amp;IF(OR(K148="UNMAPPED",K148="UNASSIGNED"),"Category needs review. ","")&amp;IF(P148="UNMAPPED","Title not mapped. ","")&amp;IF(AND(P148&lt;&gt;"No staff time",R148=""),"Missing hours. ","")&amp;IF(M148="","Date not readable. ","")&amp;IF(N148="No","Outside fiscal year. ","")&amp;IF(AND(F148="Event",ISNUMBER(R148)),IF(R148&gt;12,"Event hours look high. ",""),"")&amp;IF(G148&gt;0,"See CONFIRM sheet.",""))</f>
        <v/>
      </c>
      <c r="AB148" s="1" t="n">
        <f aca="false">IF(N148="No",0,IF(REVIEW!O148=0,0,IF(G148&gt;0,IF(INDEX(CONFIRM!$J$5:$J$53,G148)&lt;&gt;"",INDEX(CONFIRM!$J$5:$J$53,G148),1),1)))</f>
        <v>1</v>
      </c>
      <c r="AC148" s="1" t="n">
        <f aca="false">IF(AB148=1,IF(COUNTIFS($B$5:B148,B148,$D$5:D148,D148,$AB$5:AB148,1)=1,1,0),0)</f>
        <v>0</v>
      </c>
    </row>
    <row r="149" customFormat="false" ht="15" hidden="false" customHeight="false" outlineLevel="0" collapsed="false">
      <c r="A149" s="48" t="str">
        <f aca="false">STACK!A149</f>
        <v>KVMC-0145</v>
      </c>
      <c r="B149" s="48" t="str">
        <f aca="false">STACK!B149</f>
        <v>KVMC</v>
      </c>
      <c r="C149" s="48" t="str">
        <f aca="false">STACK!E149</f>
        <v>Tobacco Cessation Classes</v>
      </c>
      <c r="D149" s="1" t="str">
        <f aca="false">IFERROR(INDEX(MAP!$J$7:$J$101,MATCH(TRIM(C149),MAP!$I$7:$I$101,0)),"UNMAPPED")</f>
        <v>Tobacco Cessation Classes</v>
      </c>
      <c r="E149" s="1" t="str">
        <f aca="false">IFERROR(INDEX(MAP!$K$7:$K$101,MATCH(TRIM(C149),MAP!$I$7:$I$101,0)),"")</f>
        <v>Chronic disease prevention</v>
      </c>
      <c r="F149" s="1" t="str">
        <f aca="false">IFERROR(INDEX(MAP!$L$7:$L$101,MATCH(TRIM(C149),MAP!$I$7:$I$101,0)),"")</f>
        <v>Event</v>
      </c>
      <c r="G149" s="1" t="n">
        <f aca="false">IFERROR(MATCH(A149,CONFIRM!$A$5:$A$53,0),0)</f>
        <v>0</v>
      </c>
      <c r="H149" s="48" t="str">
        <f aca="false">STACK!F149</f>
        <v>Community Health Education</v>
      </c>
      <c r="I149" s="1" t="str">
        <f aca="false">IF(G149&gt;0,IF(INDEX(CONFIRM!$I$5:$I$53,G149)&lt;&gt;"",INDEX(CONFIRM!$I$5:$I$53,G149),H149),H149)</f>
        <v>Community Health Education</v>
      </c>
      <c r="J149" s="1" t="str">
        <f aca="false">IFERROR(INDEX(MAP!$F$7:$F$74,MATCH(TRIM(I149),MAP!$E$7:$E$74,0)),"UNMAPPED")</f>
        <v>Community health education</v>
      </c>
      <c r="K149" s="1" t="str">
        <f aca="false">IFERROR(INDEX(MAP!$G$7:$G$74,MATCH(TRIM(I149),MAP!$E$7:$E$74,0)),"UNMAPPED")</f>
        <v>7e</v>
      </c>
      <c r="L149" s="49" t="n">
        <f aca="false">STACK!G149</f>
        <v>45945</v>
      </c>
      <c r="M149" s="59" t="n">
        <f aca="false">IF(G149&gt;0,IF(INDEX(CONFIRM!$G$5:$G$53,G149)&lt;&gt;"",INDEX(CONFIRM!$G$5:$G$53,G149),IF(ISNUMBER(L149),L149,IFERROR(DATEVALUE(L149),""))),IF(ISNUMBER(L149),L149,IFERROR(DATEVALUE(L149),"")))</f>
        <v>45945</v>
      </c>
      <c r="N149" s="1" t="str">
        <f aca="false">IF(M149="","Check",IF(AND(M149&gt;=INPUTS!$C$6,M149&lt;=INPUTS!$C$7),"Yes","No"))</f>
        <v>Yes</v>
      </c>
      <c r="O149" s="48" t="str">
        <f aca="false">STACK!H149</f>
        <v>respiratory therapist</v>
      </c>
      <c r="P149" s="1" t="str">
        <f aca="false">IF(G149&gt;0,IF(INDEX(CONFIRM!$H$5:$H$53,G149)&lt;&gt;"",INDEX(CONFIRM!$H$5:$H$53,G149),IFERROR(INDEX(MAP!$B$7:$B$156,MATCH(TRIM(O149),MAP!$A$7:$A$156,0)),"UNMAPPED")),IFERROR(INDEX(MAP!$B$7:$B$156,MATCH(TRIM(O149),MAP!$A$7:$A$156,0)),"UNMAPPED"))</f>
        <v>Licensed Therapist</v>
      </c>
      <c r="Q149" s="48" t="n">
        <f aca="false">STACK!I149</f>
        <v>2</v>
      </c>
      <c r="R149" s="60" t="n">
        <f aca="false">IF(G149&gt;0,IF(INDEX(CONFIRM!$F$5:$F$53,G149)&lt;&gt;"",INDEX(CONFIRM!$F$5:$F$53,G149),IF(ISNUMBER(Q149),Q149,IF(Q149="","",IFERROR(VALUE(TRIM(SUBSTITUTE(SUBSTITUTE(LOWER(Q149),"hrs",""),"hr",""))),"")))),IF(ISNUMBER(Q149),Q149,IF(Q149="","",IFERROR(VALUE(TRIM(SUBSTITUTE(SUBSTITUTE(LOWER(Q149),"hrs",""),"hr",""))),""))))</f>
        <v>2</v>
      </c>
      <c r="S149" s="57" t="n">
        <f aca="false">IFERROR(INDEX(RATES!$E$6:$E$28,MATCH(P149,RATES!$A$6:$A$28,0)),0)</f>
        <v>53.97</v>
      </c>
      <c r="T149" s="61" t="n">
        <f aca="false">IF(ISNUMBER(R149),R149,0)*S149</f>
        <v>107.94</v>
      </c>
      <c r="U149" s="61" t="n">
        <f aca="false">T149*INDEX(INPUTS!$H$10:$H$14,MATCH(B149,INPUTS!$A$10:$A$14,0))</f>
        <v>19.9689</v>
      </c>
      <c r="V149" s="61" t="n">
        <f aca="false">N(STACK!K149)</f>
        <v>215</v>
      </c>
      <c r="W149" s="61" t="n">
        <f aca="false">T149+U149+V149</f>
        <v>342.9089</v>
      </c>
      <c r="X149" s="61" t="n">
        <f aca="false">N(STACK!L149)</f>
        <v>0</v>
      </c>
      <c r="Y149" s="61" t="n">
        <f aca="false">W149-X149</f>
        <v>342.9089</v>
      </c>
      <c r="Z149" s="1" t="n">
        <f aca="false">N(STACK!J149)</f>
        <v>14</v>
      </c>
      <c r="AA149" s="1" t="str">
        <f aca="false">TRIM(IF(D149="UNMAPPED","Program not mapped. ","")&amp;IF(OR(K149="UNMAPPED",K149="UNASSIGNED"),"Category needs review. ","")&amp;IF(P149="UNMAPPED","Title not mapped. ","")&amp;IF(AND(P149&lt;&gt;"No staff time",R149=""),"Missing hours. ","")&amp;IF(M149="","Date not readable. ","")&amp;IF(N149="No","Outside fiscal year. ","")&amp;IF(AND(F149="Event",ISNUMBER(R149)),IF(R149&gt;12,"Event hours look high. ",""),"")&amp;IF(G149&gt;0,"See CONFIRM sheet.",""))</f>
        <v/>
      </c>
      <c r="AB149" s="1" t="n">
        <f aca="false">IF(N149="No",0,IF(REVIEW!O149=0,0,IF(G149&gt;0,IF(INDEX(CONFIRM!$J$5:$J$53,G149)&lt;&gt;"",INDEX(CONFIRM!$J$5:$J$53,G149),1),1)))</f>
        <v>1</v>
      </c>
      <c r="AC149" s="1" t="n">
        <f aca="false">IF(AB149=1,IF(COUNTIFS($B$5:B149,B149,$D$5:D149,D149,$AB$5:AB149,1)=1,1,0),0)</f>
        <v>0</v>
      </c>
    </row>
    <row r="150" customFormat="false" ht="15" hidden="false" customHeight="false" outlineLevel="0" collapsed="false">
      <c r="A150" s="48" t="str">
        <f aca="false">STACK!A150</f>
        <v>KVMC-0146</v>
      </c>
      <c r="B150" s="48" t="str">
        <f aca="false">STACK!B150</f>
        <v>KVMC</v>
      </c>
      <c r="C150" s="48" t="str">
        <f aca="false">STACK!E150</f>
        <v>Tobacco Cessation Classes</v>
      </c>
      <c r="D150" s="1" t="str">
        <f aca="false">IFERROR(INDEX(MAP!$J$7:$J$101,MATCH(TRIM(C150),MAP!$I$7:$I$101,0)),"UNMAPPED")</f>
        <v>Tobacco Cessation Classes</v>
      </c>
      <c r="E150" s="1" t="str">
        <f aca="false">IFERROR(INDEX(MAP!$K$7:$K$101,MATCH(TRIM(C150),MAP!$I$7:$I$101,0)),"")</f>
        <v>Chronic disease prevention</v>
      </c>
      <c r="F150" s="1" t="str">
        <f aca="false">IFERROR(INDEX(MAP!$L$7:$L$101,MATCH(TRIM(C150),MAP!$I$7:$I$101,0)),"")</f>
        <v>Event</v>
      </c>
      <c r="G150" s="1" t="n">
        <f aca="false">IFERROR(MATCH(A150,CONFIRM!$A$5:$A$53,0),0)</f>
        <v>0</v>
      </c>
      <c r="H150" s="48" t="str">
        <f aca="false">STACK!F150</f>
        <v>Community Health Education</v>
      </c>
      <c r="I150" s="1" t="str">
        <f aca="false">IF(G150&gt;0,IF(INDEX(CONFIRM!$I$5:$I$53,G150)&lt;&gt;"",INDEX(CONFIRM!$I$5:$I$53,G150),H150),H150)</f>
        <v>Community Health Education</v>
      </c>
      <c r="J150" s="1" t="str">
        <f aca="false">IFERROR(INDEX(MAP!$F$7:$F$74,MATCH(TRIM(I150),MAP!$E$7:$E$74,0)),"UNMAPPED")</f>
        <v>Community health education</v>
      </c>
      <c r="K150" s="1" t="str">
        <f aca="false">IFERROR(INDEX(MAP!$G$7:$G$74,MATCH(TRIM(I150),MAP!$E$7:$E$74,0)),"UNMAPPED")</f>
        <v>7e</v>
      </c>
      <c r="L150" s="49" t="n">
        <f aca="false">STACK!G150</f>
        <v>45947</v>
      </c>
      <c r="M150" s="59" t="n">
        <f aca="false">IF(G150&gt;0,IF(INDEX(CONFIRM!$G$5:$G$53,G150)&lt;&gt;"",INDEX(CONFIRM!$G$5:$G$53,G150),IF(ISNUMBER(L150),L150,IFERROR(DATEVALUE(L150),""))),IF(ISNUMBER(L150),L150,IFERROR(DATEVALUE(L150),"")))</f>
        <v>45947</v>
      </c>
      <c r="N150" s="1" t="str">
        <f aca="false">IF(M150="","Check",IF(AND(M150&gt;=INPUTS!$C$6,M150&lt;=INPUTS!$C$7),"Yes","No"))</f>
        <v>Yes</v>
      </c>
      <c r="O150" s="48" t="str">
        <f aca="false">STACK!H150</f>
        <v>Licensed Therapist</v>
      </c>
      <c r="P150" s="1" t="str">
        <f aca="false">IF(G150&gt;0,IF(INDEX(CONFIRM!$H$5:$H$53,G150)&lt;&gt;"",INDEX(CONFIRM!$H$5:$H$53,G150),IFERROR(INDEX(MAP!$B$7:$B$156,MATCH(TRIM(O150),MAP!$A$7:$A$156,0)),"UNMAPPED")),IFERROR(INDEX(MAP!$B$7:$B$156,MATCH(TRIM(O150),MAP!$A$7:$A$156,0)),"UNMAPPED"))</f>
        <v>Licensed Therapist</v>
      </c>
      <c r="Q150" s="48" t="n">
        <f aca="false">STACK!I150</f>
        <v>2</v>
      </c>
      <c r="R150" s="60" t="n">
        <f aca="false">IF(G150&gt;0,IF(INDEX(CONFIRM!$F$5:$F$53,G150)&lt;&gt;"",INDEX(CONFIRM!$F$5:$F$53,G150),IF(ISNUMBER(Q150),Q150,IF(Q150="","",IFERROR(VALUE(TRIM(SUBSTITUTE(SUBSTITUTE(LOWER(Q150),"hrs",""),"hr",""))),"")))),IF(ISNUMBER(Q150),Q150,IF(Q150="","",IFERROR(VALUE(TRIM(SUBSTITUTE(SUBSTITUTE(LOWER(Q150),"hrs",""),"hr",""))),""))))</f>
        <v>2</v>
      </c>
      <c r="S150" s="57" t="n">
        <f aca="false">IFERROR(INDEX(RATES!$E$6:$E$28,MATCH(P150,RATES!$A$6:$A$28,0)),0)</f>
        <v>53.97</v>
      </c>
      <c r="T150" s="61" t="n">
        <f aca="false">IF(ISNUMBER(R150),R150,0)*S150</f>
        <v>107.94</v>
      </c>
      <c r="U150" s="61" t="n">
        <f aca="false">T150*INDEX(INPUTS!$H$10:$H$14,MATCH(B150,INPUTS!$A$10:$A$14,0))</f>
        <v>19.9689</v>
      </c>
      <c r="V150" s="61" t="n">
        <f aca="false">N(STACK!K150)</f>
        <v>95</v>
      </c>
      <c r="W150" s="61" t="n">
        <f aca="false">T150+U150+V150</f>
        <v>222.9089</v>
      </c>
      <c r="X150" s="61" t="n">
        <f aca="false">N(STACK!L150)</f>
        <v>0</v>
      </c>
      <c r="Y150" s="61" t="n">
        <f aca="false">W150-X150</f>
        <v>222.9089</v>
      </c>
      <c r="Z150" s="1" t="n">
        <f aca="false">N(STACK!J150)</f>
        <v>9</v>
      </c>
      <c r="AA150" s="1" t="str">
        <f aca="false">TRIM(IF(D150="UNMAPPED","Program not mapped. ","")&amp;IF(OR(K150="UNMAPPED",K150="UNASSIGNED"),"Category needs review. ","")&amp;IF(P150="UNMAPPED","Title not mapped. ","")&amp;IF(AND(P150&lt;&gt;"No staff time",R150=""),"Missing hours. ","")&amp;IF(M150="","Date not readable. ","")&amp;IF(N150="No","Outside fiscal year. ","")&amp;IF(AND(F150="Event",ISNUMBER(R150)),IF(R150&gt;12,"Event hours look high. ",""),"")&amp;IF(G150&gt;0,"See CONFIRM sheet.",""))</f>
        <v/>
      </c>
      <c r="AB150" s="1" t="n">
        <f aca="false">IF(N150="No",0,IF(REVIEW!O150=0,0,IF(G150&gt;0,IF(INDEX(CONFIRM!$J$5:$J$53,G150)&lt;&gt;"",INDEX(CONFIRM!$J$5:$J$53,G150),1),1)))</f>
        <v>1</v>
      </c>
      <c r="AC150" s="1" t="n">
        <f aca="false">IF(AB150=1,IF(COUNTIFS($B$5:B150,B150,$D$5:D150,D150,$AB$5:AB150,1)=1,1,0),0)</f>
        <v>0</v>
      </c>
    </row>
    <row r="151" customFormat="false" ht="15" hidden="false" customHeight="false" outlineLevel="0" collapsed="false">
      <c r="A151" s="48" t="str">
        <f aca="false">STACK!A151</f>
        <v>KVMC-0147</v>
      </c>
      <c r="B151" s="48" t="str">
        <f aca="false">STACK!B151</f>
        <v>KVMC</v>
      </c>
      <c r="C151" s="48" t="str">
        <f aca="false">STACK!E151</f>
        <v>Childbirth and Newborn Care Classes</v>
      </c>
      <c r="D151" s="1" t="str">
        <f aca="false">IFERROR(INDEX(MAP!$J$7:$J$101,MATCH(TRIM(C151),MAP!$I$7:$I$101,0)),"UNMAPPED")</f>
        <v>Childbirth and Newborn Care Classes</v>
      </c>
      <c r="E151" s="1" t="str">
        <f aca="false">IFERROR(INDEX(MAP!$K$7:$K$101,MATCH(TRIM(C151),MAP!$I$7:$I$101,0)),"")</f>
        <v>Maternal and child health</v>
      </c>
      <c r="F151" s="1" t="str">
        <f aca="false">IFERROR(INDEX(MAP!$L$7:$L$101,MATCH(TRIM(C151),MAP!$I$7:$I$101,0)),"")</f>
        <v>Event</v>
      </c>
      <c r="G151" s="1" t="n">
        <f aca="false">IFERROR(MATCH(A151,CONFIRM!$A$5:$A$53,0),0)</f>
        <v>0</v>
      </c>
      <c r="H151" s="48" t="str">
        <f aca="false">STACK!F151</f>
        <v>Community Health Education</v>
      </c>
      <c r="I151" s="1" t="str">
        <f aca="false">IF(G151&gt;0,IF(INDEX(CONFIRM!$I$5:$I$53,G151)&lt;&gt;"",INDEX(CONFIRM!$I$5:$I$53,G151),H151),H151)</f>
        <v>Community Health Education</v>
      </c>
      <c r="J151" s="1" t="str">
        <f aca="false">IFERROR(INDEX(MAP!$F$7:$F$74,MATCH(TRIM(I151),MAP!$E$7:$E$74,0)),"UNMAPPED")</f>
        <v>Community health education</v>
      </c>
      <c r="K151" s="1" t="str">
        <f aca="false">IFERROR(INDEX(MAP!$G$7:$G$74,MATCH(TRIM(I151),MAP!$E$7:$E$74,0)),"UNMAPPED")</f>
        <v>7e</v>
      </c>
      <c r="L151" s="49" t="n">
        <f aca="false">STACK!G151</f>
        <v>45948</v>
      </c>
      <c r="M151" s="59" t="n">
        <f aca="false">IF(G151&gt;0,IF(INDEX(CONFIRM!$G$5:$G$53,G151)&lt;&gt;"",INDEX(CONFIRM!$G$5:$G$53,G151),IF(ISNUMBER(L151),L151,IFERROR(DATEVALUE(L151),""))),IF(ISNUMBER(L151),L151,IFERROR(DATEVALUE(L151),"")))</f>
        <v>45948</v>
      </c>
      <c r="N151" s="1" t="str">
        <f aca="false">IF(M151="","Check",IF(AND(M151&gt;=INPUTS!$C$6,M151&lt;=INPUTS!$C$7),"Yes","No"))</f>
        <v>Yes</v>
      </c>
      <c r="O151" s="48" t="str">
        <f aca="false">STACK!H151</f>
        <v>Clinical Nurse Educator</v>
      </c>
      <c r="P151" s="1" t="str">
        <f aca="false">IF(G151&gt;0,IF(INDEX(CONFIRM!$H$5:$H$53,G151)&lt;&gt;"",INDEX(CONFIRM!$H$5:$H$53,G151),IFERROR(INDEX(MAP!$B$7:$B$156,MATCH(TRIM(O151),MAP!$A$7:$A$156,0)),"UNMAPPED")),IFERROR(INDEX(MAP!$B$7:$B$156,MATCH(TRIM(O151),MAP!$A$7:$A$156,0)),"UNMAPPED"))</f>
        <v>Clinical Nurse Educator</v>
      </c>
      <c r="Q151" s="48" t="n">
        <f aca="false">STACK!I151</f>
        <v>3.25</v>
      </c>
      <c r="R151" s="60" t="n">
        <f aca="false">IF(G151&gt;0,IF(INDEX(CONFIRM!$F$5:$F$53,G151)&lt;&gt;"",INDEX(CONFIRM!$F$5:$F$53,G151),IF(ISNUMBER(Q151),Q151,IF(Q151="","",IFERROR(VALUE(TRIM(SUBSTITUTE(SUBSTITUTE(LOWER(Q151),"hrs",""),"hr",""))),"")))),IF(ISNUMBER(Q151),Q151,IF(Q151="","",IFERROR(VALUE(TRIM(SUBSTITUTE(SUBSTITUTE(LOWER(Q151),"hrs",""),"hr",""))),""))))</f>
        <v>3.25</v>
      </c>
      <c r="S151" s="57" t="n">
        <f aca="false">IFERROR(INDEX(RATES!$E$6:$E$28,MATCH(P151,RATES!$A$6:$A$28,0)),0)</f>
        <v>62.965</v>
      </c>
      <c r="T151" s="61" t="n">
        <f aca="false">IF(ISNUMBER(R151),R151,0)*S151</f>
        <v>204.63625</v>
      </c>
      <c r="U151" s="61" t="n">
        <f aca="false">T151*INDEX(INPUTS!$H$10:$H$14,MATCH(B151,INPUTS!$A$10:$A$14,0))</f>
        <v>37.85770625</v>
      </c>
      <c r="V151" s="61" t="n">
        <f aca="false">N(STACK!K151)</f>
        <v>190</v>
      </c>
      <c r="W151" s="61" t="n">
        <f aca="false">T151+U151+V151</f>
        <v>432.49395625</v>
      </c>
      <c r="X151" s="61" t="n">
        <f aca="false">N(STACK!L151)</f>
        <v>460</v>
      </c>
      <c r="Y151" s="61" t="n">
        <f aca="false">W151-X151</f>
        <v>-27.50604375</v>
      </c>
      <c r="Z151" s="1" t="n">
        <f aca="false">N(STACK!J151)</f>
        <v>23</v>
      </c>
      <c r="AA151" s="1" t="str">
        <f aca="false">TRIM(IF(D151="UNMAPPED","Program not mapped. ","")&amp;IF(OR(K151="UNMAPPED",K151="UNASSIGNED"),"Category needs review. ","")&amp;IF(P151="UNMAPPED","Title not mapped. ","")&amp;IF(AND(P151&lt;&gt;"No staff time",R151=""),"Missing hours. ","")&amp;IF(M151="","Date not readable. ","")&amp;IF(N151="No","Outside fiscal year. ","")&amp;IF(AND(F151="Event",ISNUMBER(R151)),IF(R151&gt;12,"Event hours look high. ",""),"")&amp;IF(G151&gt;0,"See CONFIRM sheet.",""))</f>
        <v/>
      </c>
      <c r="AB151" s="1" t="n">
        <f aca="false">IF(N151="No",0,IF(REVIEW!O151=0,0,IF(G151&gt;0,IF(INDEX(CONFIRM!$J$5:$J$53,G151)&lt;&gt;"",INDEX(CONFIRM!$J$5:$J$53,G151),1),1)))</f>
        <v>1</v>
      </c>
      <c r="AC151" s="1" t="n">
        <f aca="false">IF(AB151=1,IF(COUNTIFS($B$5:B151,B151,$D$5:D151,D151,$AB$5:AB151,1)=1,1,0),0)</f>
        <v>1</v>
      </c>
    </row>
    <row r="152" customFormat="false" ht="15" hidden="false" customHeight="false" outlineLevel="0" collapsed="false">
      <c r="A152" s="48" t="str">
        <f aca="false">STACK!A152</f>
        <v>KVMC-0148</v>
      </c>
      <c r="B152" s="48" t="str">
        <f aca="false">STACK!B152</f>
        <v>KVMC</v>
      </c>
      <c r="C152" s="48" t="str">
        <f aca="false">STACK!E152</f>
        <v>Youth Health Careers Pathway</v>
      </c>
      <c r="D152" s="1" t="str">
        <f aca="false">IFERROR(INDEX(MAP!$J$7:$J$101,MATCH(TRIM(C152),MAP!$I$7:$I$101,0)),"UNMAPPED")</f>
        <v>Youth Health Careers Pathway</v>
      </c>
      <c r="E152" s="1" t="str">
        <f aca="false">IFERROR(INDEX(MAP!$K$7:$K$101,MATCH(TRIM(C152),MAP!$I$7:$I$101,0)),"")</f>
        <v>Health workforce</v>
      </c>
      <c r="F152" s="1" t="str">
        <f aca="false">IFERROR(INDEX(MAP!$L$7:$L$101,MATCH(TRIM(C152),MAP!$I$7:$I$101,0)),"")</f>
        <v>Event</v>
      </c>
      <c r="G152" s="1" t="n">
        <f aca="false">IFERROR(MATCH(A152,CONFIRM!$A$5:$A$53,0),0)</f>
        <v>0</v>
      </c>
      <c r="H152" s="48" t="str">
        <f aca="false">STACK!F152</f>
        <v>Community Building - Workforce</v>
      </c>
      <c r="I152" s="1" t="str">
        <f aca="false">IF(G152&gt;0,IF(INDEX(CONFIRM!$I$5:$I$53,G152)&lt;&gt;"",INDEX(CONFIRM!$I$5:$I$53,G152),H152),H152)</f>
        <v>Community Building - Workforce</v>
      </c>
      <c r="J152" s="1" t="str">
        <f aca="false">IFERROR(INDEX(MAP!$F$7:$F$74,MATCH(TRIM(I152),MAP!$E$7:$E$74,0)),"UNMAPPED")</f>
        <v>Community building: workforce development</v>
      </c>
      <c r="K152" s="1" t="str">
        <f aca="false">IFERROR(INDEX(MAP!$G$7:$G$74,MATCH(TRIM(I152),MAP!$E$7:$E$74,0)),"UNMAPPED")</f>
        <v>II-8</v>
      </c>
      <c r="L152" s="49" t="n">
        <f aca="false">STACK!G152</f>
        <v>45948</v>
      </c>
      <c r="M152" s="59" t="n">
        <f aca="false">IF(G152&gt;0,IF(INDEX(CONFIRM!$G$5:$G$53,G152)&lt;&gt;"",INDEX(CONFIRM!$G$5:$G$53,G152),IF(ISNUMBER(L152),L152,IFERROR(DATEVALUE(L152),""))),IF(ISNUMBER(L152),L152,IFERROR(DATEVALUE(L152),"")))</f>
        <v>45948</v>
      </c>
      <c r="N152" s="1" t="str">
        <f aca="false">IF(M152="","Check",IF(AND(M152&gt;=INPUTS!$C$6,M152&lt;=INPUTS!$C$7),"Yes","No"))</f>
        <v>Yes</v>
      </c>
      <c r="O152" s="48" t="str">
        <f aca="false">STACK!H152</f>
        <v>Educator, Nursing</v>
      </c>
      <c r="P152" s="1" t="str">
        <f aca="false">IF(G152&gt;0,IF(INDEX(CONFIRM!$H$5:$H$53,G152)&lt;&gt;"",INDEX(CONFIRM!$H$5:$H$53,G152),IFERROR(INDEX(MAP!$B$7:$B$156,MATCH(TRIM(O152),MAP!$A$7:$A$156,0)),"UNMAPPED")),IFERROR(INDEX(MAP!$B$7:$B$156,MATCH(TRIM(O152),MAP!$A$7:$A$156,0)),"UNMAPPED"))</f>
        <v>Clinical Nurse Educator</v>
      </c>
      <c r="Q152" s="48" t="n">
        <f aca="false">STACK!I152</f>
        <v>3.5</v>
      </c>
      <c r="R152" s="60" t="n">
        <f aca="false">IF(G152&gt;0,IF(INDEX(CONFIRM!$F$5:$F$53,G152)&lt;&gt;"",INDEX(CONFIRM!$F$5:$F$53,G152),IF(ISNUMBER(Q152),Q152,IF(Q152="","",IFERROR(VALUE(TRIM(SUBSTITUTE(SUBSTITUTE(LOWER(Q152),"hrs",""),"hr",""))),"")))),IF(ISNUMBER(Q152),Q152,IF(Q152="","",IFERROR(VALUE(TRIM(SUBSTITUTE(SUBSTITUTE(LOWER(Q152),"hrs",""),"hr",""))),""))))</f>
        <v>3.5</v>
      </c>
      <c r="S152" s="57" t="n">
        <f aca="false">IFERROR(INDEX(RATES!$E$6:$E$28,MATCH(P152,RATES!$A$6:$A$28,0)),0)</f>
        <v>62.965</v>
      </c>
      <c r="T152" s="61" t="n">
        <f aca="false">IF(ISNUMBER(R152),R152,0)*S152</f>
        <v>220.3775</v>
      </c>
      <c r="U152" s="61" t="n">
        <f aca="false">T152*INDEX(INPUTS!$H$10:$H$14,MATCH(B152,INPUTS!$A$10:$A$14,0))</f>
        <v>40.7698375</v>
      </c>
      <c r="V152" s="61" t="n">
        <f aca="false">N(STACK!K152)</f>
        <v>0</v>
      </c>
      <c r="W152" s="61" t="n">
        <f aca="false">T152+U152+V152</f>
        <v>261.1473375</v>
      </c>
      <c r="X152" s="61" t="n">
        <f aca="false">N(STACK!L152)</f>
        <v>0</v>
      </c>
      <c r="Y152" s="61" t="n">
        <f aca="false">W152-X152</f>
        <v>261.1473375</v>
      </c>
      <c r="Z152" s="1" t="n">
        <f aca="false">N(STACK!J152)</f>
        <v>0</v>
      </c>
      <c r="AA152" s="1" t="str">
        <f aca="false">TRIM(IF(D152="UNMAPPED","Program not mapped. ","")&amp;IF(OR(K152="UNMAPPED",K152="UNASSIGNED"),"Category needs review. ","")&amp;IF(P152="UNMAPPED","Title not mapped. ","")&amp;IF(AND(P152&lt;&gt;"No staff time",R152=""),"Missing hours. ","")&amp;IF(M152="","Date not readable. ","")&amp;IF(N152="No","Outside fiscal year. ","")&amp;IF(AND(F152="Event",ISNUMBER(R152)),IF(R152&gt;12,"Event hours look high. ",""),"")&amp;IF(G152&gt;0,"See CONFIRM sheet.",""))</f>
        <v/>
      </c>
      <c r="AB152" s="1" t="n">
        <f aca="false">IF(N152="No",0,IF(REVIEW!O152=0,0,IF(G152&gt;0,IF(INDEX(CONFIRM!$J$5:$J$53,G152)&lt;&gt;"",INDEX(CONFIRM!$J$5:$J$53,G152),1),1)))</f>
        <v>1</v>
      </c>
      <c r="AC152" s="1" t="n">
        <f aca="false">IF(AB152=1,IF(COUNTIFS($B$5:B152,B152,$D$5:D152,D152,$AB$5:AB152,1)=1,1,0),0)</f>
        <v>0</v>
      </c>
    </row>
    <row r="153" customFormat="false" ht="15" hidden="false" customHeight="false" outlineLevel="0" collapsed="false">
      <c r="A153" s="48" t="str">
        <f aca="false">STACK!A153</f>
        <v>KVMC-0149</v>
      </c>
      <c r="B153" s="48" t="str">
        <f aca="false">STACK!B153</f>
        <v>KVMC</v>
      </c>
      <c r="C153" s="48" t="str">
        <f aca="false">STACK!E153</f>
        <v>Youth Health Careers Pathway</v>
      </c>
      <c r="D153" s="1" t="str">
        <f aca="false">IFERROR(INDEX(MAP!$J$7:$J$101,MATCH(TRIM(C153),MAP!$I$7:$I$101,0)),"UNMAPPED")</f>
        <v>Youth Health Careers Pathway</v>
      </c>
      <c r="E153" s="1" t="str">
        <f aca="false">IFERROR(INDEX(MAP!$K$7:$K$101,MATCH(TRIM(C153),MAP!$I$7:$I$101,0)),"")</f>
        <v>Health workforce</v>
      </c>
      <c r="F153" s="1" t="str">
        <f aca="false">IFERROR(INDEX(MAP!$L$7:$L$101,MATCH(TRIM(C153),MAP!$I$7:$I$101,0)),"")</f>
        <v>Event</v>
      </c>
      <c r="G153" s="1" t="n">
        <f aca="false">IFERROR(MATCH(A153,CONFIRM!$A$5:$A$53,0),0)</f>
        <v>0</v>
      </c>
      <c r="H153" s="48" t="str">
        <f aca="false">STACK!F153</f>
        <v>Community Building - Workforce</v>
      </c>
      <c r="I153" s="1" t="str">
        <f aca="false">IF(G153&gt;0,IF(INDEX(CONFIRM!$I$5:$I$53,G153)&lt;&gt;"",INDEX(CONFIRM!$I$5:$I$53,G153),H153),H153)</f>
        <v>Community Building - Workforce</v>
      </c>
      <c r="J153" s="1" t="str">
        <f aca="false">IFERROR(INDEX(MAP!$F$7:$F$74,MATCH(TRIM(I153),MAP!$E$7:$E$74,0)),"UNMAPPED")</f>
        <v>Community building: workforce development</v>
      </c>
      <c r="K153" s="1" t="str">
        <f aca="false">IFERROR(INDEX(MAP!$G$7:$G$74,MATCH(TRIM(I153),MAP!$E$7:$E$74,0)),"UNMAPPED")</f>
        <v>II-8</v>
      </c>
      <c r="L153" s="49" t="n">
        <f aca="false">STACK!G153</f>
        <v>45948</v>
      </c>
      <c r="M153" s="59" t="n">
        <f aca="false">IF(G153&gt;0,IF(INDEX(CONFIRM!$G$5:$G$53,G153)&lt;&gt;"",INDEX(CONFIRM!$G$5:$G$53,G153),IF(ISNUMBER(L153),L153,IFERROR(DATEVALUE(L153),""))),IF(ISNUMBER(L153),L153,IFERROR(DATEVALUE(L153),"")))</f>
        <v>45948</v>
      </c>
      <c r="N153" s="1" t="str">
        <f aca="false">IF(M153="","Check",IF(AND(M153&gt;=INPUTS!$C$6,M153&lt;=INPUTS!$C$7),"Yes","No"))</f>
        <v>Yes</v>
      </c>
      <c r="O153" s="48" t="str">
        <f aca="false">STACK!H153</f>
        <v>Program Coordinator</v>
      </c>
      <c r="P153" s="1" t="str">
        <f aca="false">IF(G153&gt;0,IF(INDEX(CONFIRM!$H$5:$H$53,G153)&lt;&gt;"",INDEX(CONFIRM!$H$5:$H$53,G153),IFERROR(INDEX(MAP!$B$7:$B$156,MATCH(TRIM(O153),MAP!$A$7:$A$156,0)),"UNMAPPED")),IFERROR(INDEX(MAP!$B$7:$B$156,MATCH(TRIM(O153),MAP!$A$7:$A$156,0)),"UNMAPPED"))</f>
        <v>Program Coordinator</v>
      </c>
      <c r="Q153" s="48" t="n">
        <f aca="false">STACK!I153</f>
        <v>6</v>
      </c>
      <c r="R153" s="60" t="n">
        <f aca="false">IF(G153&gt;0,IF(INDEX(CONFIRM!$F$5:$F$53,G153)&lt;&gt;"",INDEX(CONFIRM!$F$5:$F$53,G153),IF(ISNUMBER(Q153),Q153,IF(Q153="","",IFERROR(VALUE(TRIM(SUBSTITUTE(SUBSTITUTE(LOWER(Q153),"hrs",""),"hr",""))),"")))),IF(ISNUMBER(Q153),Q153,IF(Q153="","",IFERROR(VALUE(TRIM(SUBSTITUTE(SUBSTITUTE(LOWER(Q153),"hrs",""),"hr",""))),""))))</f>
        <v>6</v>
      </c>
      <c r="S153" s="57" t="n">
        <f aca="false">IFERROR(INDEX(RATES!$E$6:$E$28,MATCH(P153,RATES!$A$6:$A$28,0)),0)</f>
        <v>35.3375</v>
      </c>
      <c r="T153" s="61" t="n">
        <f aca="false">IF(ISNUMBER(R153),R153,0)*S153</f>
        <v>212.025</v>
      </c>
      <c r="U153" s="61" t="n">
        <f aca="false">T153*INDEX(INPUTS!$H$10:$H$14,MATCH(B153,INPUTS!$A$10:$A$14,0))</f>
        <v>39.224625</v>
      </c>
      <c r="V153" s="61" t="n">
        <f aca="false">N(STACK!K153)</f>
        <v>1235</v>
      </c>
      <c r="W153" s="61" t="n">
        <f aca="false">T153+U153+V153</f>
        <v>1486.249625</v>
      </c>
      <c r="X153" s="61" t="n">
        <f aca="false">N(STACK!L153)</f>
        <v>0</v>
      </c>
      <c r="Y153" s="61" t="n">
        <f aca="false">W153-X153</f>
        <v>1486.249625</v>
      </c>
      <c r="Z153" s="1" t="n">
        <f aca="false">N(STACK!J153)</f>
        <v>25</v>
      </c>
      <c r="AA153" s="1" t="str">
        <f aca="false">TRIM(IF(D153="UNMAPPED","Program not mapped. ","")&amp;IF(OR(K153="UNMAPPED",K153="UNASSIGNED"),"Category needs review. ","")&amp;IF(P153="UNMAPPED","Title not mapped. ","")&amp;IF(AND(P153&lt;&gt;"No staff time",R153=""),"Missing hours. ","")&amp;IF(M153="","Date not readable. ","")&amp;IF(N153="No","Outside fiscal year. ","")&amp;IF(AND(F153="Event",ISNUMBER(R153)),IF(R153&gt;12,"Event hours look high. ",""),"")&amp;IF(G153&gt;0,"See CONFIRM sheet.",""))</f>
        <v/>
      </c>
      <c r="AB153" s="1" t="n">
        <f aca="false">IF(N153="No",0,IF(REVIEW!O153=0,0,IF(G153&gt;0,IF(INDEX(CONFIRM!$J$5:$J$53,G153)&lt;&gt;"",INDEX(CONFIRM!$J$5:$J$53,G153),1),1)))</f>
        <v>1</v>
      </c>
      <c r="AC153" s="1" t="n">
        <f aca="false">IF(AB153=1,IF(COUNTIFS($B$5:B153,B153,$D$5:D153,D153,$AB$5:AB153,1)=1,1,0),0)</f>
        <v>0</v>
      </c>
    </row>
    <row r="154" customFormat="false" ht="15" hidden="false" customHeight="false" outlineLevel="0" collapsed="false">
      <c r="A154" s="48" t="str">
        <f aca="false">STACK!A154</f>
        <v>KVMC-0150</v>
      </c>
      <c r="B154" s="48" t="str">
        <f aca="false">STACK!B154</f>
        <v>KVMC</v>
      </c>
      <c r="C154" s="48" t="str">
        <f aca="false">STACK!E154</f>
        <v>Affordable Housing Partnership</v>
      </c>
      <c r="D154" s="1" t="str">
        <f aca="false">IFERROR(INDEX(MAP!$J$7:$J$101,MATCH(TRIM(C154),MAP!$I$7:$I$101,0)),"UNMAPPED")</f>
        <v>Affordable Housing Partnership</v>
      </c>
      <c r="E154" s="1" t="str">
        <f aca="false">IFERROR(INDEX(MAP!$K$7:$K$101,MATCH(TRIM(C154),MAP!$I$7:$I$101,0)),"")</f>
        <v>Food and housing security</v>
      </c>
      <c r="F154" s="1" t="str">
        <f aca="false">IFERROR(INDEX(MAP!$L$7:$L$101,MATCH(TRIM(C154),MAP!$I$7:$I$101,0)),"")</f>
        <v>Event</v>
      </c>
      <c r="G154" s="1" t="n">
        <f aca="false">IFERROR(MATCH(A154,CONFIRM!$A$5:$A$53,0),0)</f>
        <v>0</v>
      </c>
      <c r="H154" s="48" t="str">
        <f aca="false">STACK!F154</f>
        <v>Community Building - Housing</v>
      </c>
      <c r="I154" s="1" t="str">
        <f aca="false">IF(G154&gt;0,IF(INDEX(CONFIRM!$I$5:$I$53,G154)&lt;&gt;"",INDEX(CONFIRM!$I$5:$I$53,G154),H154),H154)</f>
        <v>Community Building - Housing</v>
      </c>
      <c r="J154" s="1" t="str">
        <f aca="false">IFERROR(INDEX(MAP!$F$7:$F$74,MATCH(TRIM(I154),MAP!$E$7:$E$74,0)),"UNMAPPED")</f>
        <v>Community building: physical improvements and housing</v>
      </c>
      <c r="K154" s="1" t="str">
        <f aca="false">IFERROR(INDEX(MAP!$G$7:$G$74,MATCH(TRIM(I154),MAP!$E$7:$E$74,0)),"UNMAPPED")</f>
        <v>II-1</v>
      </c>
      <c r="L154" s="49" t="n">
        <f aca="false">STACK!G154</f>
        <v>45958</v>
      </c>
      <c r="M154" s="59" t="n">
        <f aca="false">IF(G154&gt;0,IF(INDEX(CONFIRM!$G$5:$G$53,G154)&lt;&gt;"",INDEX(CONFIRM!$G$5:$G$53,G154),IF(ISNUMBER(L154),L154,IFERROR(DATEVALUE(L154),""))),IF(ISNUMBER(L154),L154,IFERROR(DATEVALUE(L154),"")))</f>
        <v>45958</v>
      </c>
      <c r="N154" s="1" t="str">
        <f aca="false">IF(M154="","Check",IF(AND(M154&gt;=INPUTS!$C$6,M154&lt;=INPUTS!$C$7),"Yes","No"))</f>
        <v>Yes</v>
      </c>
      <c r="O154" s="48" t="str">
        <f aca="false">STACK!H154</f>
        <v>Director, Mission</v>
      </c>
      <c r="P154" s="1" t="str">
        <f aca="false">IF(G154&gt;0,IF(INDEX(CONFIRM!$H$5:$H$53,G154)&lt;&gt;"",INDEX(CONFIRM!$H$5:$H$53,G154),IFERROR(INDEX(MAP!$B$7:$B$156,MATCH(TRIM(O154),MAP!$A$7:$A$156,0)),"UNMAPPED")),IFERROR(INDEX(MAP!$B$7:$B$156,MATCH(TRIM(O154),MAP!$A$7:$A$156,0)),"UNMAPPED"))</f>
        <v>Director</v>
      </c>
      <c r="Q154" s="48" t="n">
        <f aca="false">STACK!I154</f>
        <v>5</v>
      </c>
      <c r="R154" s="60" t="n">
        <f aca="false">IF(G154&gt;0,IF(INDEX(CONFIRM!$F$5:$F$53,G154)&lt;&gt;"",INDEX(CONFIRM!$F$5:$F$53,G154),IF(ISNUMBER(Q154),Q154,IF(Q154="","",IFERROR(VALUE(TRIM(SUBSTITUTE(SUBSTITUTE(LOWER(Q154),"hrs",""),"hr",""))),"")))),IF(ISNUMBER(Q154),Q154,IF(Q154="","",IFERROR(VALUE(TRIM(SUBSTITUTE(SUBSTITUTE(LOWER(Q154),"hrs",""),"hr",""))),""))))</f>
        <v>5</v>
      </c>
      <c r="S154" s="57" t="n">
        <f aca="false">IFERROR(INDEX(RATES!$E$6:$E$28,MATCH(P154,RATES!$A$6:$A$28,0)),0)</f>
        <v>92.52</v>
      </c>
      <c r="T154" s="61" t="n">
        <f aca="false">IF(ISNUMBER(R154),R154,0)*S154</f>
        <v>462.6</v>
      </c>
      <c r="U154" s="61" t="n">
        <f aca="false">T154*INDEX(INPUTS!$H$10:$H$14,MATCH(B154,INPUTS!$A$10:$A$14,0))</f>
        <v>85.581</v>
      </c>
      <c r="V154" s="61" t="n">
        <f aca="false">N(STACK!K154)</f>
        <v>59310</v>
      </c>
      <c r="W154" s="61" t="n">
        <f aca="false">T154+U154+V154</f>
        <v>59858.181</v>
      </c>
      <c r="X154" s="61" t="n">
        <f aca="false">N(STACK!L154)</f>
        <v>0</v>
      </c>
      <c r="Y154" s="61" t="n">
        <f aca="false">W154-X154</f>
        <v>59858.181</v>
      </c>
      <c r="Z154" s="1" t="n">
        <f aca="false">N(STACK!J154)</f>
        <v>0</v>
      </c>
      <c r="AA154" s="1" t="str">
        <f aca="false">TRIM(IF(D154="UNMAPPED","Program not mapped. ","")&amp;IF(OR(K154="UNMAPPED",K154="UNASSIGNED"),"Category needs review. ","")&amp;IF(P154="UNMAPPED","Title not mapped. ","")&amp;IF(AND(P154&lt;&gt;"No staff time",R154=""),"Missing hours. ","")&amp;IF(M154="","Date not readable. ","")&amp;IF(N154="No","Outside fiscal year. ","")&amp;IF(AND(F154="Event",ISNUMBER(R154)),IF(R154&gt;12,"Event hours look high. ",""),"")&amp;IF(G154&gt;0,"See CONFIRM sheet.",""))</f>
        <v/>
      </c>
      <c r="AB154" s="1" t="n">
        <f aca="false">IF(N154="No",0,IF(REVIEW!O154=0,0,IF(G154&gt;0,IF(INDEX(CONFIRM!$J$5:$J$53,G154)&lt;&gt;"",INDEX(CONFIRM!$J$5:$J$53,G154),1),1)))</f>
        <v>1</v>
      </c>
      <c r="AC154" s="1" t="n">
        <f aca="false">IF(AB154=1,IF(COUNTIFS($B$5:B154,B154,$D$5:D154,D154,$AB$5:AB154,1)=1,1,0),0)</f>
        <v>0</v>
      </c>
    </row>
    <row r="155" customFormat="false" ht="15" hidden="false" customHeight="false" outlineLevel="0" collapsed="false">
      <c r="A155" s="48" t="str">
        <f aca="false">STACK!A155</f>
        <v>KVMC-0151</v>
      </c>
      <c r="B155" s="48" t="str">
        <f aca="false">STACK!B155</f>
        <v>KVMC</v>
      </c>
      <c r="C155" s="48" t="str">
        <f aca="false">STACK!E155</f>
        <v>Affordable Housing Partnership</v>
      </c>
      <c r="D155" s="1" t="str">
        <f aca="false">IFERROR(INDEX(MAP!$J$7:$J$101,MATCH(TRIM(C155),MAP!$I$7:$I$101,0)),"UNMAPPED")</f>
        <v>Affordable Housing Partnership</v>
      </c>
      <c r="E155" s="1" t="str">
        <f aca="false">IFERROR(INDEX(MAP!$K$7:$K$101,MATCH(TRIM(C155),MAP!$I$7:$I$101,0)),"")</f>
        <v>Food and housing security</v>
      </c>
      <c r="F155" s="1" t="str">
        <f aca="false">IFERROR(INDEX(MAP!$L$7:$L$101,MATCH(TRIM(C155),MAP!$I$7:$I$101,0)),"")</f>
        <v>Event</v>
      </c>
      <c r="G155" s="1" t="n">
        <f aca="false">IFERROR(MATCH(A155,CONFIRM!$A$5:$A$53,0),0)</f>
        <v>0</v>
      </c>
      <c r="H155" s="48" t="str">
        <f aca="false">STACK!F155</f>
        <v>Community Building - Housing</v>
      </c>
      <c r="I155" s="1" t="str">
        <f aca="false">IF(G155&gt;0,IF(INDEX(CONFIRM!$I$5:$I$53,G155)&lt;&gt;"",INDEX(CONFIRM!$I$5:$I$53,G155),H155),H155)</f>
        <v>Community Building - Housing</v>
      </c>
      <c r="J155" s="1" t="str">
        <f aca="false">IFERROR(INDEX(MAP!$F$7:$F$74,MATCH(TRIM(I155),MAP!$E$7:$E$74,0)),"UNMAPPED")</f>
        <v>Community building: physical improvements and housing</v>
      </c>
      <c r="K155" s="1" t="str">
        <f aca="false">IFERROR(INDEX(MAP!$G$7:$G$74,MATCH(TRIM(I155),MAP!$E$7:$E$74,0)),"UNMAPPED")</f>
        <v>II-1</v>
      </c>
      <c r="L155" s="49" t="n">
        <f aca="false">STACK!G155</f>
        <v>45958</v>
      </c>
      <c r="M155" s="59" t="n">
        <f aca="false">IF(G155&gt;0,IF(INDEX(CONFIRM!$G$5:$G$53,G155)&lt;&gt;"",INDEX(CONFIRM!$G$5:$G$53,G155),IF(ISNUMBER(L155),L155,IFERROR(DATEVALUE(L155),""))),IF(ISNUMBER(L155),L155,IFERROR(DATEVALUE(L155),"")))</f>
        <v>45958</v>
      </c>
      <c r="N155" s="1" t="str">
        <f aca="false">IF(M155="","Check",IF(AND(M155&gt;=INPUTS!$C$6,M155&lt;=INPUTS!$C$7),"Yes","No"))</f>
        <v>Yes</v>
      </c>
      <c r="O155" s="48" t="str">
        <f aca="false">STACK!H155</f>
        <v>Residency Coordinator </v>
      </c>
      <c r="P155" s="1" t="str">
        <f aca="false">IF(G155&gt;0,IF(INDEX(CONFIRM!$H$5:$H$53,G155)&lt;&gt;"",INDEX(CONFIRM!$H$5:$H$53,G155),IFERROR(INDEX(MAP!$B$7:$B$156,MATCH(TRIM(O155),MAP!$A$7:$A$156,0)),"UNMAPPED")),IFERROR(INDEX(MAP!$B$7:$B$156,MATCH(TRIM(O155),MAP!$A$7:$A$156,0)),"UNMAPPED"))</f>
        <v>Program Coordinator</v>
      </c>
      <c r="Q155" s="48" t="n">
        <f aca="false">STACK!I155</f>
        <v>9.25</v>
      </c>
      <c r="R155" s="60" t="n">
        <f aca="false">IF(G155&gt;0,IF(INDEX(CONFIRM!$F$5:$F$53,G155)&lt;&gt;"",INDEX(CONFIRM!$F$5:$F$53,G155),IF(ISNUMBER(Q155),Q155,IF(Q155="","",IFERROR(VALUE(TRIM(SUBSTITUTE(SUBSTITUTE(LOWER(Q155),"hrs",""),"hr",""))),"")))),IF(ISNUMBER(Q155),Q155,IF(Q155="","",IFERROR(VALUE(TRIM(SUBSTITUTE(SUBSTITUTE(LOWER(Q155),"hrs",""),"hr",""))),""))))</f>
        <v>9.25</v>
      </c>
      <c r="S155" s="57" t="n">
        <f aca="false">IFERROR(INDEX(RATES!$E$6:$E$28,MATCH(P155,RATES!$A$6:$A$28,0)),0)</f>
        <v>35.3375</v>
      </c>
      <c r="T155" s="61" t="n">
        <f aca="false">IF(ISNUMBER(R155),R155,0)*S155</f>
        <v>326.871875</v>
      </c>
      <c r="U155" s="61" t="n">
        <f aca="false">T155*INDEX(INPUTS!$H$10:$H$14,MATCH(B155,INPUTS!$A$10:$A$14,0))</f>
        <v>60.471296875</v>
      </c>
      <c r="V155" s="61" t="n">
        <f aca="false">N(STACK!K155)</f>
        <v>0</v>
      </c>
      <c r="W155" s="61" t="n">
        <f aca="false">T155+U155+V155</f>
        <v>387.343171875</v>
      </c>
      <c r="X155" s="61" t="n">
        <f aca="false">N(STACK!L155)</f>
        <v>0</v>
      </c>
      <c r="Y155" s="61" t="n">
        <f aca="false">W155-X155</f>
        <v>387.343171875</v>
      </c>
      <c r="Z155" s="1" t="n">
        <f aca="false">N(STACK!J155)</f>
        <v>0</v>
      </c>
      <c r="AA155" s="1" t="str">
        <f aca="false">TRIM(IF(D155="UNMAPPED","Program not mapped. ","")&amp;IF(OR(K155="UNMAPPED",K155="UNASSIGNED"),"Category needs review. ","")&amp;IF(P155="UNMAPPED","Title not mapped. ","")&amp;IF(AND(P155&lt;&gt;"No staff time",R155=""),"Missing hours. ","")&amp;IF(M155="","Date not readable. ","")&amp;IF(N155="No","Outside fiscal year. ","")&amp;IF(AND(F155="Event",ISNUMBER(R155)),IF(R155&gt;12,"Event hours look high. ",""),"")&amp;IF(G155&gt;0,"See CONFIRM sheet.",""))</f>
        <v/>
      </c>
      <c r="AB155" s="1" t="n">
        <f aca="false">IF(N155="No",0,IF(REVIEW!O155=0,0,IF(G155&gt;0,IF(INDEX(CONFIRM!$J$5:$J$53,G155)&lt;&gt;"",INDEX(CONFIRM!$J$5:$J$53,G155),1),1)))</f>
        <v>1</v>
      </c>
      <c r="AC155" s="1" t="n">
        <f aca="false">IF(AB155=1,IF(COUNTIFS($B$5:B155,B155,$D$5:D155,D155,$AB$5:AB155,1)=1,1,0),0)</f>
        <v>0</v>
      </c>
    </row>
    <row r="156" customFormat="false" ht="15" hidden="false" customHeight="false" outlineLevel="0" collapsed="false">
      <c r="A156" s="48" t="str">
        <f aca="false">STACK!A156</f>
        <v>KVMC-0152</v>
      </c>
      <c r="B156" s="48" t="str">
        <f aca="false">STACK!B156</f>
        <v>KVMC</v>
      </c>
      <c r="C156" s="48" t="str">
        <f aca="false">STACK!E156</f>
        <v>Childbirth and Newborn Care Classes</v>
      </c>
      <c r="D156" s="1" t="str">
        <f aca="false">IFERROR(INDEX(MAP!$J$7:$J$101,MATCH(TRIM(C156),MAP!$I$7:$I$101,0)),"UNMAPPED")</f>
        <v>Childbirth and Newborn Care Classes</v>
      </c>
      <c r="E156" s="1" t="str">
        <f aca="false">IFERROR(INDEX(MAP!$K$7:$K$101,MATCH(TRIM(C156),MAP!$I$7:$I$101,0)),"")</f>
        <v>Maternal and child health</v>
      </c>
      <c r="F156" s="1" t="str">
        <f aca="false">IFERROR(INDEX(MAP!$L$7:$L$101,MATCH(TRIM(C156),MAP!$I$7:$I$101,0)),"")</f>
        <v>Event</v>
      </c>
      <c r="G156" s="1" t="n">
        <f aca="false">IFERROR(MATCH(A156,CONFIRM!$A$5:$A$53,0),0)</f>
        <v>0</v>
      </c>
      <c r="H156" s="48" t="str">
        <f aca="false">STACK!F156</f>
        <v>Community Health Education</v>
      </c>
      <c r="I156" s="1" t="str">
        <f aca="false">IF(G156&gt;0,IF(INDEX(CONFIRM!$I$5:$I$53,G156)&lt;&gt;"",INDEX(CONFIRM!$I$5:$I$53,G156),H156),H156)</f>
        <v>Community Health Education</v>
      </c>
      <c r="J156" s="1" t="str">
        <f aca="false">IFERROR(INDEX(MAP!$F$7:$F$74,MATCH(TRIM(I156),MAP!$E$7:$E$74,0)),"UNMAPPED")</f>
        <v>Community health education</v>
      </c>
      <c r="K156" s="1" t="str">
        <f aca="false">IFERROR(INDEX(MAP!$G$7:$G$74,MATCH(TRIM(I156),MAP!$E$7:$E$74,0)),"UNMAPPED")</f>
        <v>7e</v>
      </c>
      <c r="L156" s="49" t="n">
        <f aca="false">STACK!G156</f>
        <v>45959</v>
      </c>
      <c r="M156" s="59" t="n">
        <f aca="false">IF(G156&gt;0,IF(INDEX(CONFIRM!$G$5:$G$53,G156)&lt;&gt;"",INDEX(CONFIRM!$G$5:$G$53,G156),IF(ISNUMBER(L156),L156,IFERROR(DATEVALUE(L156),""))),IF(ISNUMBER(L156),L156,IFERROR(DATEVALUE(L156),"")))</f>
        <v>45959</v>
      </c>
      <c r="N156" s="1" t="str">
        <f aca="false">IF(M156="","Check",IF(AND(M156&gt;=INPUTS!$C$6,M156&lt;=INPUTS!$C$7),"Yes","No"))</f>
        <v>Yes</v>
      </c>
      <c r="O156" s="48" t="str">
        <f aca="false">STACK!H156</f>
        <v>Clinical Nurse Educator</v>
      </c>
      <c r="P156" s="1" t="str">
        <f aca="false">IF(G156&gt;0,IF(INDEX(CONFIRM!$H$5:$H$53,G156)&lt;&gt;"",INDEX(CONFIRM!$H$5:$H$53,G156),IFERROR(INDEX(MAP!$B$7:$B$156,MATCH(TRIM(O156),MAP!$A$7:$A$156,0)),"UNMAPPED")),IFERROR(INDEX(MAP!$B$7:$B$156,MATCH(TRIM(O156),MAP!$A$7:$A$156,0)),"UNMAPPED"))</f>
        <v>Clinical Nurse Educator</v>
      </c>
      <c r="Q156" s="48" t="n">
        <f aca="false">STACK!I156</f>
        <v>3</v>
      </c>
      <c r="R156" s="60" t="n">
        <f aca="false">IF(G156&gt;0,IF(INDEX(CONFIRM!$F$5:$F$53,G156)&lt;&gt;"",INDEX(CONFIRM!$F$5:$F$53,G156),IF(ISNUMBER(Q156),Q156,IF(Q156="","",IFERROR(VALUE(TRIM(SUBSTITUTE(SUBSTITUTE(LOWER(Q156),"hrs",""),"hr",""))),"")))),IF(ISNUMBER(Q156),Q156,IF(Q156="","",IFERROR(VALUE(TRIM(SUBSTITUTE(SUBSTITUTE(LOWER(Q156),"hrs",""),"hr",""))),""))))</f>
        <v>3</v>
      </c>
      <c r="S156" s="57" t="n">
        <f aca="false">IFERROR(INDEX(RATES!$E$6:$E$28,MATCH(P156,RATES!$A$6:$A$28,0)),0)</f>
        <v>62.965</v>
      </c>
      <c r="T156" s="61" t="n">
        <f aca="false">IF(ISNUMBER(R156),R156,0)*S156</f>
        <v>188.895</v>
      </c>
      <c r="U156" s="61" t="n">
        <f aca="false">T156*INDEX(INPUTS!$H$10:$H$14,MATCH(B156,INPUTS!$A$10:$A$14,0))</f>
        <v>34.945575</v>
      </c>
      <c r="V156" s="61" t="n">
        <f aca="false">N(STACK!K156)</f>
        <v>175</v>
      </c>
      <c r="W156" s="61" t="n">
        <f aca="false">T156+U156+V156</f>
        <v>398.840575</v>
      </c>
      <c r="X156" s="61" t="n">
        <f aca="false">N(STACK!L156)</f>
        <v>0</v>
      </c>
      <c r="Y156" s="61" t="n">
        <f aca="false">W156-X156</f>
        <v>398.840575</v>
      </c>
      <c r="Z156" s="1" t="n">
        <f aca="false">N(STACK!J156)</f>
        <v>22</v>
      </c>
      <c r="AA156" s="1" t="str">
        <f aca="false">TRIM(IF(D156="UNMAPPED","Program not mapped. ","")&amp;IF(OR(K156="UNMAPPED",K156="UNASSIGNED"),"Category needs review. ","")&amp;IF(P156="UNMAPPED","Title not mapped. ","")&amp;IF(AND(P156&lt;&gt;"No staff time",R156=""),"Missing hours. ","")&amp;IF(M156="","Date not readable. ","")&amp;IF(N156="No","Outside fiscal year. ","")&amp;IF(AND(F156="Event",ISNUMBER(R156)),IF(R156&gt;12,"Event hours look high. ",""),"")&amp;IF(G156&gt;0,"See CONFIRM sheet.",""))</f>
        <v/>
      </c>
      <c r="AB156" s="1" t="n">
        <f aca="false">IF(N156="No",0,IF(REVIEW!O156=0,0,IF(G156&gt;0,IF(INDEX(CONFIRM!$J$5:$J$53,G156)&lt;&gt;"",INDEX(CONFIRM!$J$5:$J$53,G156),1),1)))</f>
        <v>1</v>
      </c>
      <c r="AC156" s="1" t="n">
        <f aca="false">IF(AB156=1,IF(COUNTIFS($B$5:B156,B156,$D$5:D156,D156,$AB$5:AB156,1)=1,1,0),0)</f>
        <v>0</v>
      </c>
    </row>
    <row r="157" customFormat="false" ht="15" hidden="false" customHeight="false" outlineLevel="0" collapsed="false">
      <c r="A157" s="48" t="str">
        <f aca="false">STACK!A157</f>
        <v>KVMC-0153</v>
      </c>
      <c r="B157" s="48" t="str">
        <f aca="false">STACK!B157</f>
        <v>KVMC</v>
      </c>
      <c r="C157" s="48" t="str">
        <f aca="false">STACK!E157</f>
        <v>Youth Health Careers Pathway</v>
      </c>
      <c r="D157" s="1" t="str">
        <f aca="false">IFERROR(INDEX(MAP!$J$7:$J$101,MATCH(TRIM(C157),MAP!$I$7:$I$101,0)),"UNMAPPED")</f>
        <v>Youth Health Careers Pathway</v>
      </c>
      <c r="E157" s="1" t="str">
        <f aca="false">IFERROR(INDEX(MAP!$K$7:$K$101,MATCH(TRIM(C157),MAP!$I$7:$I$101,0)),"")</f>
        <v>Health workforce</v>
      </c>
      <c r="F157" s="1" t="str">
        <f aca="false">IFERROR(INDEX(MAP!$L$7:$L$101,MATCH(TRIM(C157),MAP!$I$7:$I$101,0)),"")</f>
        <v>Event</v>
      </c>
      <c r="G157" s="1" t="n">
        <f aca="false">IFERROR(MATCH(A157,CONFIRM!$A$5:$A$53,0),0)</f>
        <v>0</v>
      </c>
      <c r="H157" s="48" t="str">
        <f aca="false">STACK!F157</f>
        <v>Community Building - Workforce</v>
      </c>
      <c r="I157" s="1" t="str">
        <f aca="false">IF(G157&gt;0,IF(INDEX(CONFIRM!$I$5:$I$53,G157)&lt;&gt;"",INDEX(CONFIRM!$I$5:$I$53,G157),H157),H157)</f>
        <v>Community Building - Workforce</v>
      </c>
      <c r="J157" s="1" t="str">
        <f aca="false">IFERROR(INDEX(MAP!$F$7:$F$74,MATCH(TRIM(I157),MAP!$E$7:$E$74,0)),"UNMAPPED")</f>
        <v>Community building: workforce development</v>
      </c>
      <c r="K157" s="1" t="str">
        <f aca="false">IFERROR(INDEX(MAP!$G$7:$G$74,MATCH(TRIM(I157),MAP!$E$7:$E$74,0)),"UNMAPPED")</f>
        <v>II-8</v>
      </c>
      <c r="L157" s="49" t="n">
        <f aca="false">STACK!G157</f>
        <v>45959</v>
      </c>
      <c r="M157" s="59" t="n">
        <f aca="false">IF(G157&gt;0,IF(INDEX(CONFIRM!$G$5:$G$53,G157)&lt;&gt;"",INDEX(CONFIRM!$G$5:$G$53,G157),IF(ISNUMBER(L157),L157,IFERROR(DATEVALUE(L157),""))),IF(ISNUMBER(L157),L157,IFERROR(DATEVALUE(L157),"")))</f>
        <v>45959</v>
      </c>
      <c r="N157" s="1" t="str">
        <f aca="false">IF(M157="","Check",IF(AND(M157&gt;=INPUTS!$C$6,M157&lt;=INPUTS!$C$7),"Yes","No"))</f>
        <v>Yes</v>
      </c>
      <c r="O157" s="48" t="str">
        <f aca="false">STACK!H157</f>
        <v>NURSE EDUCATOR</v>
      </c>
      <c r="P157" s="1" t="str">
        <f aca="false">IF(G157&gt;0,IF(INDEX(CONFIRM!$H$5:$H$53,G157)&lt;&gt;"",INDEX(CONFIRM!$H$5:$H$53,G157),IFERROR(INDEX(MAP!$B$7:$B$156,MATCH(TRIM(O157),MAP!$A$7:$A$156,0)),"UNMAPPED")),IFERROR(INDEX(MAP!$B$7:$B$156,MATCH(TRIM(O157),MAP!$A$7:$A$156,0)),"UNMAPPED"))</f>
        <v>Clinical Nurse Educator</v>
      </c>
      <c r="Q157" s="48" t="n">
        <f aca="false">STACK!I157</f>
        <v>4.5</v>
      </c>
      <c r="R157" s="60" t="n">
        <f aca="false">IF(G157&gt;0,IF(INDEX(CONFIRM!$F$5:$F$53,G157)&lt;&gt;"",INDEX(CONFIRM!$F$5:$F$53,G157),IF(ISNUMBER(Q157),Q157,IF(Q157="","",IFERROR(VALUE(TRIM(SUBSTITUTE(SUBSTITUTE(LOWER(Q157),"hrs",""),"hr",""))),"")))),IF(ISNUMBER(Q157),Q157,IF(Q157="","",IFERROR(VALUE(TRIM(SUBSTITUTE(SUBSTITUTE(LOWER(Q157),"hrs",""),"hr",""))),""))))</f>
        <v>4.5</v>
      </c>
      <c r="S157" s="57" t="n">
        <f aca="false">IFERROR(INDEX(RATES!$E$6:$E$28,MATCH(P157,RATES!$A$6:$A$28,0)),0)</f>
        <v>62.965</v>
      </c>
      <c r="T157" s="61" t="n">
        <f aca="false">IF(ISNUMBER(R157),R157,0)*S157</f>
        <v>283.3425</v>
      </c>
      <c r="U157" s="61" t="n">
        <f aca="false">T157*INDEX(INPUTS!$H$10:$H$14,MATCH(B157,INPUTS!$A$10:$A$14,0))</f>
        <v>52.4183625</v>
      </c>
      <c r="V157" s="61" t="n">
        <f aca="false">N(STACK!K157)</f>
        <v>0</v>
      </c>
      <c r="W157" s="61" t="n">
        <f aca="false">T157+U157+V157</f>
        <v>335.7608625</v>
      </c>
      <c r="X157" s="61" t="n">
        <f aca="false">N(STACK!L157)</f>
        <v>0</v>
      </c>
      <c r="Y157" s="61" t="n">
        <f aca="false">W157-X157</f>
        <v>335.7608625</v>
      </c>
      <c r="Z157" s="1" t="n">
        <f aca="false">N(STACK!J157)</f>
        <v>0</v>
      </c>
      <c r="AA157" s="1" t="str">
        <f aca="false">TRIM(IF(D157="UNMAPPED","Program not mapped. ","")&amp;IF(OR(K157="UNMAPPED",K157="UNASSIGNED"),"Category needs review. ","")&amp;IF(P157="UNMAPPED","Title not mapped. ","")&amp;IF(AND(P157&lt;&gt;"No staff time",R157=""),"Missing hours. ","")&amp;IF(M157="","Date not readable. ","")&amp;IF(N157="No","Outside fiscal year. ","")&amp;IF(AND(F157="Event",ISNUMBER(R157)),IF(R157&gt;12,"Event hours look high. ",""),"")&amp;IF(G157&gt;0,"See CONFIRM sheet.",""))</f>
        <v/>
      </c>
      <c r="AB157" s="1" t="n">
        <f aca="false">IF(N157="No",0,IF(REVIEW!O157=0,0,IF(G157&gt;0,IF(INDEX(CONFIRM!$J$5:$J$53,G157)&lt;&gt;"",INDEX(CONFIRM!$J$5:$J$53,G157),1),1)))</f>
        <v>1</v>
      </c>
      <c r="AC157" s="1" t="n">
        <f aca="false">IF(AB157=1,IF(COUNTIFS($B$5:B157,B157,$D$5:D157,D157,$AB$5:AB157,1)=1,1,0),0)</f>
        <v>0</v>
      </c>
    </row>
    <row r="158" customFormat="false" ht="15" hidden="false" customHeight="false" outlineLevel="0" collapsed="false">
      <c r="A158" s="48" t="str">
        <f aca="false">STACK!A158</f>
        <v>KVMC-0154</v>
      </c>
      <c r="B158" s="48" t="str">
        <f aca="false">STACK!B158</f>
        <v>KVMC</v>
      </c>
      <c r="C158" s="48" t="str">
        <f aca="false">STACK!E158</f>
        <v>Youth Health Careers Pathway</v>
      </c>
      <c r="D158" s="1" t="str">
        <f aca="false">IFERROR(INDEX(MAP!$J$7:$J$101,MATCH(TRIM(C158),MAP!$I$7:$I$101,0)),"UNMAPPED")</f>
        <v>Youth Health Careers Pathway</v>
      </c>
      <c r="E158" s="1" t="str">
        <f aca="false">IFERROR(INDEX(MAP!$K$7:$K$101,MATCH(TRIM(C158),MAP!$I$7:$I$101,0)),"")</f>
        <v>Health workforce</v>
      </c>
      <c r="F158" s="1" t="str">
        <f aca="false">IFERROR(INDEX(MAP!$L$7:$L$101,MATCH(TRIM(C158),MAP!$I$7:$I$101,0)),"")</f>
        <v>Event</v>
      </c>
      <c r="G158" s="1" t="n">
        <f aca="false">IFERROR(MATCH(A158,CONFIRM!$A$5:$A$53,0),0)</f>
        <v>0</v>
      </c>
      <c r="H158" s="48" t="str">
        <f aca="false">STACK!F158</f>
        <v>Community Building - Workforce</v>
      </c>
      <c r="I158" s="1" t="str">
        <f aca="false">IF(G158&gt;0,IF(INDEX(CONFIRM!$I$5:$I$53,G158)&lt;&gt;"",INDEX(CONFIRM!$I$5:$I$53,G158),H158),H158)</f>
        <v>Community Building - Workforce</v>
      </c>
      <c r="J158" s="1" t="str">
        <f aca="false">IFERROR(INDEX(MAP!$F$7:$F$74,MATCH(TRIM(I158),MAP!$E$7:$E$74,0)),"UNMAPPED")</f>
        <v>Community building: workforce development</v>
      </c>
      <c r="K158" s="1" t="str">
        <f aca="false">IFERROR(INDEX(MAP!$G$7:$G$74,MATCH(TRIM(I158),MAP!$E$7:$E$74,0)),"UNMAPPED")</f>
        <v>II-8</v>
      </c>
      <c r="L158" s="49" t="n">
        <f aca="false">STACK!G158</f>
        <v>45959</v>
      </c>
      <c r="M158" s="59" t="n">
        <f aca="false">IF(G158&gt;0,IF(INDEX(CONFIRM!$G$5:$G$53,G158)&lt;&gt;"",INDEX(CONFIRM!$G$5:$G$53,G158),IF(ISNUMBER(L158),L158,IFERROR(DATEVALUE(L158),""))),IF(ISNUMBER(L158),L158,IFERROR(DATEVALUE(L158),"")))</f>
        <v>45959</v>
      </c>
      <c r="N158" s="1" t="str">
        <f aca="false">IF(M158="","Check",IF(AND(M158&gt;=INPUTS!$C$6,M158&lt;=INPUTS!$C$7),"Yes","No"))</f>
        <v>Yes</v>
      </c>
      <c r="O158" s="48" t="str">
        <f aca="false">STACK!H158</f>
        <v> Program Coordinator</v>
      </c>
      <c r="P158" s="1" t="str">
        <f aca="false">IF(G158&gt;0,IF(INDEX(CONFIRM!$H$5:$H$53,G158)&lt;&gt;"",INDEX(CONFIRM!$H$5:$H$53,G158),IFERROR(INDEX(MAP!$B$7:$B$156,MATCH(TRIM(O158),MAP!$A$7:$A$156,0)),"UNMAPPED")),IFERROR(INDEX(MAP!$B$7:$B$156,MATCH(TRIM(O158),MAP!$A$7:$A$156,0)),"UNMAPPED"))</f>
        <v>Program Coordinator</v>
      </c>
      <c r="Q158" s="48" t="n">
        <f aca="false">STACK!I158</f>
        <v>6.5</v>
      </c>
      <c r="R158" s="60" t="n">
        <f aca="false">IF(G158&gt;0,IF(INDEX(CONFIRM!$F$5:$F$53,G158)&lt;&gt;"",INDEX(CONFIRM!$F$5:$F$53,G158),IF(ISNUMBER(Q158),Q158,IF(Q158="","",IFERROR(VALUE(TRIM(SUBSTITUTE(SUBSTITUTE(LOWER(Q158),"hrs",""),"hr",""))),"")))),IF(ISNUMBER(Q158),Q158,IF(Q158="","",IFERROR(VALUE(TRIM(SUBSTITUTE(SUBSTITUTE(LOWER(Q158),"hrs",""),"hr",""))),""))))</f>
        <v>6.5</v>
      </c>
      <c r="S158" s="57" t="n">
        <f aca="false">IFERROR(INDEX(RATES!$E$6:$E$28,MATCH(P158,RATES!$A$6:$A$28,0)),0)</f>
        <v>35.3375</v>
      </c>
      <c r="T158" s="61" t="n">
        <f aca="false">IF(ISNUMBER(R158),R158,0)*S158</f>
        <v>229.69375</v>
      </c>
      <c r="U158" s="61" t="n">
        <f aca="false">T158*INDEX(INPUTS!$H$10:$H$14,MATCH(B158,INPUTS!$A$10:$A$14,0))</f>
        <v>42.49334375</v>
      </c>
      <c r="V158" s="61" t="n">
        <f aca="false">N(STACK!K158)</f>
        <v>1020</v>
      </c>
      <c r="W158" s="61" t="n">
        <f aca="false">T158+U158+V158</f>
        <v>1292.18709375</v>
      </c>
      <c r="X158" s="61" t="n">
        <f aca="false">N(STACK!L158)</f>
        <v>0</v>
      </c>
      <c r="Y158" s="61" t="n">
        <f aca="false">W158-X158</f>
        <v>1292.18709375</v>
      </c>
      <c r="Z158" s="1" t="n">
        <f aca="false">N(STACK!J158)</f>
        <v>24</v>
      </c>
      <c r="AA158" s="1" t="str">
        <f aca="false">TRIM(IF(D158="UNMAPPED","Program not mapped. ","")&amp;IF(OR(K158="UNMAPPED",K158="UNASSIGNED"),"Category needs review. ","")&amp;IF(P158="UNMAPPED","Title not mapped. ","")&amp;IF(AND(P158&lt;&gt;"No staff time",R158=""),"Missing hours. ","")&amp;IF(M158="","Date not readable. ","")&amp;IF(N158="No","Outside fiscal year. ","")&amp;IF(AND(F158="Event",ISNUMBER(R158)),IF(R158&gt;12,"Event hours look high. ",""),"")&amp;IF(G158&gt;0,"See CONFIRM sheet.",""))</f>
        <v/>
      </c>
      <c r="AB158" s="1" t="n">
        <f aca="false">IF(N158="No",0,IF(REVIEW!O158=0,0,IF(G158&gt;0,IF(INDEX(CONFIRM!$J$5:$J$53,G158)&lt;&gt;"",INDEX(CONFIRM!$J$5:$J$53,G158),1),1)))</f>
        <v>1</v>
      </c>
      <c r="AC158" s="1" t="n">
        <f aca="false">IF(AB158=1,IF(COUNTIFS($B$5:B158,B158,$D$5:D158,D158,$AB$5:AB158,1)=1,1,0),0)</f>
        <v>0</v>
      </c>
    </row>
    <row r="159" customFormat="false" ht="15" hidden="false" customHeight="false" outlineLevel="0" collapsed="false">
      <c r="A159" s="48" t="str">
        <f aca="false">STACK!A159</f>
        <v>KVMC-0155</v>
      </c>
      <c r="B159" s="48" t="str">
        <f aca="false">STACK!B159</f>
        <v>KVMC</v>
      </c>
      <c r="C159" s="48" t="str">
        <f aca="false">STACK!E159</f>
        <v>Diabetes Prevention Classes</v>
      </c>
      <c r="D159" s="1" t="str">
        <f aca="false">IFERROR(INDEX(MAP!$J$7:$J$101,MATCH(TRIM(C159),MAP!$I$7:$I$101,0)),"UNMAPPED")</f>
        <v>Diabetes Prevention Classes</v>
      </c>
      <c r="E159" s="1" t="str">
        <f aca="false">IFERROR(INDEX(MAP!$K$7:$K$101,MATCH(TRIM(C159),MAP!$I$7:$I$101,0)),"")</f>
        <v>Chronic disease prevention</v>
      </c>
      <c r="F159" s="1" t="str">
        <f aca="false">IFERROR(INDEX(MAP!$L$7:$L$101,MATCH(TRIM(C159),MAP!$I$7:$I$101,0)),"")</f>
        <v>Event</v>
      </c>
      <c r="G159" s="1" t="n">
        <f aca="false">IFERROR(MATCH(A159,CONFIRM!$A$5:$A$53,0),0)</f>
        <v>0</v>
      </c>
      <c r="H159" s="48" t="str">
        <f aca="false">STACK!F159</f>
        <v>Community Health Education</v>
      </c>
      <c r="I159" s="1" t="str">
        <f aca="false">IF(G159&gt;0,IF(INDEX(CONFIRM!$I$5:$I$53,G159)&lt;&gt;"",INDEX(CONFIRM!$I$5:$I$53,G159),H159),H159)</f>
        <v>Community Health Education</v>
      </c>
      <c r="J159" s="1" t="str">
        <f aca="false">IFERROR(INDEX(MAP!$F$7:$F$74,MATCH(TRIM(I159),MAP!$E$7:$E$74,0)),"UNMAPPED")</f>
        <v>Community health education</v>
      </c>
      <c r="K159" s="1" t="str">
        <f aca="false">IFERROR(INDEX(MAP!$G$7:$G$74,MATCH(TRIM(I159),MAP!$E$7:$E$74,0)),"UNMAPPED")</f>
        <v>7e</v>
      </c>
      <c r="L159" s="49" t="n">
        <f aca="false">STACK!G159</f>
        <v>45960</v>
      </c>
      <c r="M159" s="59" t="n">
        <f aca="false">IF(G159&gt;0,IF(INDEX(CONFIRM!$G$5:$G$53,G159)&lt;&gt;"",INDEX(CONFIRM!$G$5:$G$53,G159),IF(ISNUMBER(L159),L159,IFERROR(DATEVALUE(L159),""))),IF(ISNUMBER(L159),L159,IFERROR(DATEVALUE(L159),"")))</f>
        <v>45960</v>
      </c>
      <c r="N159" s="1" t="str">
        <f aca="false">IF(M159="","Check",IF(AND(M159&gt;=INPUTS!$C$6,M159&lt;=INPUTS!$C$7),"Yes","No"))</f>
        <v>Yes</v>
      </c>
      <c r="O159" s="48" t="str">
        <f aca="false">STACK!H159</f>
        <v>Health Educator</v>
      </c>
      <c r="P159" s="1" t="str">
        <f aca="false">IF(G159&gt;0,IF(INDEX(CONFIRM!$H$5:$H$53,G159)&lt;&gt;"",INDEX(CONFIRM!$H$5:$H$53,G159),IFERROR(INDEX(MAP!$B$7:$B$156,MATCH(TRIM(O159),MAP!$A$7:$A$156,0)),"UNMAPPED")),IFERROR(INDEX(MAP!$B$7:$B$156,MATCH(TRIM(O159),MAP!$A$7:$A$156,0)),"UNMAPPED"))</f>
        <v>Health Educator</v>
      </c>
      <c r="Q159" s="48" t="n">
        <f aca="false">STACK!I159</f>
        <v>2.25</v>
      </c>
      <c r="R159" s="60" t="n">
        <f aca="false">IF(G159&gt;0,IF(INDEX(CONFIRM!$F$5:$F$53,G159)&lt;&gt;"",INDEX(CONFIRM!$F$5:$F$53,G159),IF(ISNUMBER(Q159),Q159,IF(Q159="","",IFERROR(VALUE(TRIM(SUBSTITUTE(SUBSTITUTE(LOWER(Q159),"hrs",""),"hr",""))),"")))),IF(ISNUMBER(Q159),Q159,IF(Q159="","",IFERROR(VALUE(TRIM(SUBSTITUTE(SUBSTITUTE(LOWER(Q159),"hrs",""),"hr",""))),""))))</f>
        <v>2.25</v>
      </c>
      <c r="S159" s="57" t="n">
        <f aca="false">IFERROR(INDEX(RATES!$E$6:$E$28,MATCH(P159,RATES!$A$6:$A$28,0)),0)</f>
        <v>37.265</v>
      </c>
      <c r="T159" s="61" t="n">
        <f aca="false">IF(ISNUMBER(R159),R159,0)*S159</f>
        <v>83.84625</v>
      </c>
      <c r="U159" s="61" t="n">
        <f aca="false">T159*INDEX(INPUTS!$H$10:$H$14,MATCH(B159,INPUTS!$A$10:$A$14,0))</f>
        <v>15.51155625</v>
      </c>
      <c r="V159" s="61" t="n">
        <f aca="false">N(STACK!K159)</f>
        <v>165</v>
      </c>
      <c r="W159" s="61" t="n">
        <f aca="false">T159+U159+V159</f>
        <v>264.35780625</v>
      </c>
      <c r="X159" s="61" t="n">
        <f aca="false">N(STACK!L159)</f>
        <v>0</v>
      </c>
      <c r="Y159" s="61" t="n">
        <f aca="false">W159-X159</f>
        <v>264.35780625</v>
      </c>
      <c r="Z159" s="1" t="n">
        <f aca="false">N(STACK!J159)</f>
        <v>21</v>
      </c>
      <c r="AA159" s="1" t="str">
        <f aca="false">TRIM(IF(D159="UNMAPPED","Program not mapped. ","")&amp;IF(OR(K159="UNMAPPED",K159="UNASSIGNED"),"Category needs review. ","")&amp;IF(P159="UNMAPPED","Title not mapped. ","")&amp;IF(AND(P159&lt;&gt;"No staff time",R159=""),"Missing hours. ","")&amp;IF(M159="","Date not readable. ","")&amp;IF(N159="No","Outside fiscal year. ","")&amp;IF(AND(F159="Event",ISNUMBER(R159)),IF(R159&gt;12,"Event hours look high. ",""),"")&amp;IF(G159&gt;0,"See CONFIRM sheet.",""))</f>
        <v/>
      </c>
      <c r="AB159" s="1" t="n">
        <f aca="false">IF(N159="No",0,IF(REVIEW!O159=0,0,IF(G159&gt;0,IF(INDEX(CONFIRM!$J$5:$J$53,G159)&lt;&gt;"",INDEX(CONFIRM!$J$5:$J$53,G159),1),1)))</f>
        <v>1</v>
      </c>
      <c r="AC159" s="1" t="n">
        <f aca="false">IF(AB159=1,IF(COUNTIFS($B$5:B159,B159,$D$5:D159,D159,$AB$5:AB159,1)=1,1,0),0)</f>
        <v>0</v>
      </c>
    </row>
    <row r="160" customFormat="false" ht="15" hidden="false" customHeight="false" outlineLevel="0" collapsed="false">
      <c r="A160" s="48" t="str">
        <f aca="false">STACK!A160</f>
        <v>KVMC-0156</v>
      </c>
      <c r="B160" s="48" t="str">
        <f aca="false">STACK!B160</f>
        <v>KVMC</v>
      </c>
      <c r="C160" s="48" t="str">
        <f aca="false">STACK!E160</f>
        <v>Diabetes Prevention Classes</v>
      </c>
      <c r="D160" s="1" t="str">
        <f aca="false">IFERROR(INDEX(MAP!$J$7:$J$101,MATCH(TRIM(C160),MAP!$I$7:$I$101,0)),"UNMAPPED")</f>
        <v>Diabetes Prevention Classes</v>
      </c>
      <c r="E160" s="1" t="str">
        <f aca="false">IFERROR(INDEX(MAP!$K$7:$K$101,MATCH(TRIM(C160),MAP!$I$7:$I$101,0)),"")</f>
        <v>Chronic disease prevention</v>
      </c>
      <c r="F160" s="1" t="str">
        <f aca="false">IFERROR(INDEX(MAP!$L$7:$L$101,MATCH(TRIM(C160),MAP!$I$7:$I$101,0)),"")</f>
        <v>Event</v>
      </c>
      <c r="G160" s="1" t="n">
        <f aca="false">IFERROR(MATCH(A160,CONFIRM!$A$5:$A$53,0),0)</f>
        <v>0</v>
      </c>
      <c r="H160" s="48" t="str">
        <f aca="false">STACK!F160</f>
        <v>Community Health Education</v>
      </c>
      <c r="I160" s="1" t="str">
        <f aca="false">IF(G160&gt;0,IF(INDEX(CONFIRM!$I$5:$I$53,G160)&lt;&gt;"",INDEX(CONFIRM!$I$5:$I$53,G160),H160),H160)</f>
        <v>Community Health Education</v>
      </c>
      <c r="J160" s="1" t="str">
        <f aca="false">IFERROR(INDEX(MAP!$F$7:$F$74,MATCH(TRIM(I160),MAP!$E$7:$E$74,0)),"UNMAPPED")</f>
        <v>Community health education</v>
      </c>
      <c r="K160" s="1" t="str">
        <f aca="false">IFERROR(INDEX(MAP!$G$7:$G$74,MATCH(TRIM(I160),MAP!$E$7:$E$74,0)),"UNMAPPED")</f>
        <v>7e</v>
      </c>
      <c r="L160" s="49" t="n">
        <f aca="false">STACK!G160</f>
        <v>45960</v>
      </c>
      <c r="M160" s="59" t="n">
        <f aca="false">IF(G160&gt;0,IF(INDEX(CONFIRM!$G$5:$G$53,G160)&lt;&gt;"",INDEX(CONFIRM!$G$5:$G$53,G160),IF(ISNUMBER(L160),L160,IFERROR(DATEVALUE(L160),""))),IF(ISNUMBER(L160),L160,IFERROR(DATEVALUE(L160),"")))</f>
        <v>45960</v>
      </c>
      <c r="N160" s="1" t="str">
        <f aca="false">IF(M160="","Check",IF(AND(M160&gt;=INPUTS!$C$6,M160&lt;=INPUTS!$C$7),"Yes","No"))</f>
        <v>Yes</v>
      </c>
      <c r="O160" s="48" t="str">
        <f aca="false">STACK!H160</f>
        <v>Nutritionist</v>
      </c>
      <c r="P160" s="1" t="str">
        <f aca="false">IF(G160&gt;0,IF(INDEX(CONFIRM!$H$5:$H$53,G160)&lt;&gt;"",INDEX(CONFIRM!$H$5:$H$53,G160),IFERROR(INDEX(MAP!$B$7:$B$156,MATCH(TRIM(O160),MAP!$A$7:$A$156,0)),"UNMAPPED")),IFERROR(INDEX(MAP!$B$7:$B$156,MATCH(TRIM(O160),MAP!$A$7:$A$156,0)),"UNMAPPED"))</f>
        <v>Registered Dietitian</v>
      </c>
      <c r="Q160" s="48" t="n">
        <f aca="false">STACK!I160</f>
        <v>1.5</v>
      </c>
      <c r="R160" s="60" t="n">
        <f aca="false">IF(G160&gt;0,IF(INDEX(CONFIRM!$F$5:$F$53,G160)&lt;&gt;"",INDEX(CONFIRM!$F$5:$F$53,G160),IF(ISNUMBER(Q160),Q160,IF(Q160="","",IFERROR(VALUE(TRIM(SUBSTITUTE(SUBSTITUTE(LOWER(Q160),"hrs",""),"hr",""))),"")))),IF(ISNUMBER(Q160),Q160,IF(Q160="","",IFERROR(VALUE(TRIM(SUBSTITUTE(SUBSTITUTE(LOWER(Q160),"hrs",""),"hr",""))),""))))</f>
        <v>1.5</v>
      </c>
      <c r="S160" s="57" t="n">
        <f aca="false">IFERROR(INDEX(RATES!$E$6:$E$28,MATCH(P160,RATES!$A$6:$A$28,0)),0)</f>
        <v>46.9025</v>
      </c>
      <c r="T160" s="61" t="n">
        <f aca="false">IF(ISNUMBER(R160),R160,0)*S160</f>
        <v>70.35375</v>
      </c>
      <c r="U160" s="61" t="n">
        <f aca="false">T160*INDEX(INPUTS!$H$10:$H$14,MATCH(B160,INPUTS!$A$10:$A$14,0))</f>
        <v>13.01544375</v>
      </c>
      <c r="V160" s="61" t="n">
        <f aca="false">N(STACK!K160)</f>
        <v>0</v>
      </c>
      <c r="W160" s="61" t="n">
        <f aca="false">T160+U160+V160</f>
        <v>83.36919375</v>
      </c>
      <c r="X160" s="61" t="n">
        <f aca="false">N(STACK!L160)</f>
        <v>0</v>
      </c>
      <c r="Y160" s="61" t="n">
        <f aca="false">W160-X160</f>
        <v>83.36919375</v>
      </c>
      <c r="Z160" s="1" t="n">
        <f aca="false">N(STACK!J160)</f>
        <v>0</v>
      </c>
      <c r="AA160" s="1" t="str">
        <f aca="false">TRIM(IF(D160="UNMAPPED","Program not mapped. ","")&amp;IF(OR(K160="UNMAPPED",K160="UNASSIGNED"),"Category needs review. ","")&amp;IF(P160="UNMAPPED","Title not mapped. ","")&amp;IF(AND(P160&lt;&gt;"No staff time",R160=""),"Missing hours. ","")&amp;IF(M160="","Date not readable. ","")&amp;IF(N160="No","Outside fiscal year. ","")&amp;IF(AND(F160="Event",ISNUMBER(R160)),IF(R160&gt;12,"Event hours look high. ",""),"")&amp;IF(G160&gt;0,"See CONFIRM sheet.",""))</f>
        <v/>
      </c>
      <c r="AB160" s="1" t="n">
        <f aca="false">IF(N160="No",0,IF(REVIEW!O160=0,0,IF(G160&gt;0,IF(INDEX(CONFIRM!$J$5:$J$53,G160)&lt;&gt;"",INDEX(CONFIRM!$J$5:$J$53,G160),1),1)))</f>
        <v>1</v>
      </c>
      <c r="AC160" s="1" t="n">
        <f aca="false">IF(AB160=1,IF(COUNTIFS($B$5:B160,B160,$D$5:D160,D160,$AB$5:AB160,1)=1,1,0),0)</f>
        <v>0</v>
      </c>
    </row>
    <row r="161" customFormat="false" ht="15" hidden="false" customHeight="false" outlineLevel="0" collapsed="false">
      <c r="A161" s="48" t="str">
        <f aca="false">STACK!A161</f>
        <v>KVMC-0157</v>
      </c>
      <c r="B161" s="48" t="str">
        <f aca="false">STACK!B161</f>
        <v>KVMC</v>
      </c>
      <c r="C161" s="48" t="str">
        <f aca="false">STACK!E161</f>
        <v>Mobile Health Screening Unit</v>
      </c>
      <c r="D161" s="1" t="str">
        <f aca="false">IFERROR(INDEX(MAP!$J$7:$J$101,MATCH(TRIM(C161),MAP!$I$7:$I$101,0)),"UNMAPPED")</f>
        <v>Mobile Health Screening Unit</v>
      </c>
      <c r="E161" s="1" t="str">
        <f aca="false">IFERROR(INDEX(MAP!$K$7:$K$101,MATCH(TRIM(C161),MAP!$I$7:$I$101,0)),"")</f>
        <v>Access to care</v>
      </c>
      <c r="F161" s="1" t="str">
        <f aca="false">IFERROR(INDEX(MAP!$L$7:$L$101,MATCH(TRIM(C161),MAP!$I$7:$I$101,0)),"")</f>
        <v>Monthly</v>
      </c>
      <c r="G161" s="1" t="n">
        <f aca="false">IFERROR(MATCH(A161,CONFIRM!$A$5:$A$53,0),0)</f>
        <v>0</v>
      </c>
      <c r="H161" s="48" t="str">
        <f aca="false">STACK!F161</f>
        <v>Community-Based Clinical Services</v>
      </c>
      <c r="I161" s="1" t="str">
        <f aca="false">IF(G161&gt;0,IF(INDEX(CONFIRM!$I$5:$I$53,G161)&lt;&gt;"",INDEX(CONFIRM!$I$5:$I$53,G161),H161),H161)</f>
        <v>Community-Based Clinical Services</v>
      </c>
      <c r="J161" s="1" t="str">
        <f aca="false">IFERROR(INDEX(MAP!$F$7:$F$74,MATCH(TRIM(I161),MAP!$E$7:$E$74,0)),"UNMAPPED")</f>
        <v>Community-based clinical services</v>
      </c>
      <c r="K161" s="1" t="str">
        <f aca="false">IFERROR(INDEX(MAP!$G$7:$G$74,MATCH(TRIM(I161),MAP!$E$7:$E$74,0)),"UNMAPPED")</f>
        <v>7e</v>
      </c>
      <c r="L161" s="49" t="n">
        <f aca="false">STACK!G161</f>
        <v>45961</v>
      </c>
      <c r="M161" s="59" t="n">
        <f aca="false">IF(G161&gt;0,IF(INDEX(CONFIRM!$G$5:$G$53,G161)&lt;&gt;"",INDEX(CONFIRM!$G$5:$G$53,G161),IF(ISNUMBER(L161),L161,IFERROR(DATEVALUE(L161),""))),IF(ISNUMBER(L161),L161,IFERROR(DATEVALUE(L161),"")))</f>
        <v>45961</v>
      </c>
      <c r="N161" s="1" t="str">
        <f aca="false">IF(M161="","Check",IF(AND(M161&gt;=INPUTS!$C$6,M161&lt;=INPUTS!$C$7),"Yes","No"))</f>
        <v>Yes</v>
      </c>
      <c r="O161" s="48" t="str">
        <f aca="false">STACK!H161</f>
        <v>Community Health Worker</v>
      </c>
      <c r="P161" s="1" t="str">
        <f aca="false">IF(G161&gt;0,IF(INDEX(CONFIRM!$H$5:$H$53,G161)&lt;&gt;"",INDEX(CONFIRM!$H$5:$H$53,G161),IFERROR(INDEX(MAP!$B$7:$B$156,MATCH(TRIM(O161),MAP!$A$7:$A$156,0)),"UNMAPPED")),IFERROR(INDEX(MAP!$B$7:$B$156,MATCH(TRIM(O161),MAP!$A$7:$A$156,0)),"UNMAPPED"))</f>
        <v>Community Health Worker</v>
      </c>
      <c r="Q161" s="48" t="n">
        <f aca="false">STACK!I161</f>
        <v>103.75</v>
      </c>
      <c r="R161" s="60" t="n">
        <f aca="false">IF(G161&gt;0,IF(INDEX(CONFIRM!$F$5:$F$53,G161)&lt;&gt;"",INDEX(CONFIRM!$F$5:$F$53,G161),IF(ISNUMBER(Q161),Q161,IF(Q161="","",IFERROR(VALUE(TRIM(SUBSTITUTE(SUBSTITUTE(LOWER(Q161),"hrs",""),"hr",""))),"")))),IF(ISNUMBER(Q161),Q161,IF(Q161="","",IFERROR(VALUE(TRIM(SUBSTITUTE(SUBSTITUTE(LOWER(Q161),"hrs",""),"hr",""))),""))))</f>
        <v>103.75</v>
      </c>
      <c r="S161" s="57" t="n">
        <f aca="false">IFERROR(INDEX(RATES!$E$6:$E$28,MATCH(P161,RATES!$A$6:$A$28,0)),0)</f>
        <v>27.6275</v>
      </c>
      <c r="T161" s="61" t="n">
        <f aca="false">IF(ISNUMBER(R161),R161,0)*S161</f>
        <v>2866.353125</v>
      </c>
      <c r="U161" s="61" t="n">
        <f aca="false">T161*INDEX(INPUTS!$H$10:$H$14,MATCH(B161,INPUTS!$A$10:$A$14,0))</f>
        <v>530.275328125</v>
      </c>
      <c r="V161" s="61" t="n">
        <f aca="false">N(STACK!K161)</f>
        <v>0</v>
      </c>
      <c r="W161" s="61" t="n">
        <f aca="false">T161+U161+V161</f>
        <v>3396.628453125</v>
      </c>
      <c r="X161" s="61" t="n">
        <f aca="false">N(STACK!L161)</f>
        <v>0</v>
      </c>
      <c r="Y161" s="61" t="n">
        <f aca="false">W161-X161</f>
        <v>3396.628453125</v>
      </c>
      <c r="Z161" s="1" t="n">
        <f aca="false">N(STACK!J161)</f>
        <v>0</v>
      </c>
      <c r="AA161" s="1" t="str">
        <f aca="false">TRIM(IF(D161="UNMAPPED","Program not mapped. ","")&amp;IF(OR(K161="UNMAPPED",K161="UNASSIGNED"),"Category needs review. ","")&amp;IF(P161="UNMAPPED","Title not mapped. ","")&amp;IF(AND(P161&lt;&gt;"No staff time",R161=""),"Missing hours. ","")&amp;IF(M161="","Date not readable. ","")&amp;IF(N161="No","Outside fiscal year. ","")&amp;IF(AND(F161="Event",ISNUMBER(R161)),IF(R161&gt;12,"Event hours look high. ",""),"")&amp;IF(G161&gt;0,"See CONFIRM sheet.",""))</f>
        <v/>
      </c>
      <c r="AB161" s="1" t="n">
        <f aca="false">IF(N161="No",0,IF(REVIEW!O161=0,0,IF(G161&gt;0,IF(INDEX(CONFIRM!$J$5:$J$53,G161)&lt;&gt;"",INDEX(CONFIRM!$J$5:$J$53,G161),1),1)))</f>
        <v>1</v>
      </c>
      <c r="AC161" s="1" t="n">
        <f aca="false">IF(AB161=1,IF(COUNTIFS($B$5:B161,B161,$D$5:D161,D161,$AB$5:AB161,1)=1,1,0),0)</f>
        <v>0</v>
      </c>
    </row>
    <row r="162" customFormat="false" ht="15" hidden="false" customHeight="false" outlineLevel="0" collapsed="false">
      <c r="A162" s="48" t="str">
        <f aca="false">STACK!A162</f>
        <v>KVMC-0158</v>
      </c>
      <c r="B162" s="48" t="str">
        <f aca="false">STACK!B162</f>
        <v>KVMC</v>
      </c>
      <c r="C162" s="48" t="str">
        <f aca="false">STACK!E162</f>
        <v>Mobile Health Screening Unit</v>
      </c>
      <c r="D162" s="1" t="str">
        <f aca="false">IFERROR(INDEX(MAP!$J$7:$J$101,MATCH(TRIM(C162),MAP!$I$7:$I$101,0)),"UNMAPPED")</f>
        <v>Mobile Health Screening Unit</v>
      </c>
      <c r="E162" s="1" t="str">
        <f aca="false">IFERROR(INDEX(MAP!$K$7:$K$101,MATCH(TRIM(C162),MAP!$I$7:$I$101,0)),"")</f>
        <v>Access to care</v>
      </c>
      <c r="F162" s="1" t="str">
        <f aca="false">IFERROR(INDEX(MAP!$L$7:$L$101,MATCH(TRIM(C162),MAP!$I$7:$I$101,0)),"")</f>
        <v>Monthly</v>
      </c>
      <c r="G162" s="1" t="n">
        <f aca="false">IFERROR(MATCH(A162,CONFIRM!$A$5:$A$53,0),0)</f>
        <v>0</v>
      </c>
      <c r="H162" s="48" t="str">
        <f aca="false">STACK!F162</f>
        <v>Community-Based Clinical Services</v>
      </c>
      <c r="I162" s="1" t="str">
        <f aca="false">IF(G162&gt;0,IF(INDEX(CONFIRM!$I$5:$I$53,G162)&lt;&gt;"",INDEX(CONFIRM!$I$5:$I$53,G162),H162),H162)</f>
        <v>Community-Based Clinical Services</v>
      </c>
      <c r="J162" s="1" t="str">
        <f aca="false">IFERROR(INDEX(MAP!$F$7:$F$74,MATCH(TRIM(I162),MAP!$E$7:$E$74,0)),"UNMAPPED")</f>
        <v>Community-based clinical services</v>
      </c>
      <c r="K162" s="1" t="str">
        <f aca="false">IFERROR(INDEX(MAP!$G$7:$G$74,MATCH(TRIM(I162),MAP!$E$7:$E$74,0)),"UNMAPPED")</f>
        <v>7e</v>
      </c>
      <c r="L162" s="49" t="n">
        <f aca="false">STACK!G162</f>
        <v>45961</v>
      </c>
      <c r="M162" s="59" t="n">
        <f aca="false">IF(G162&gt;0,IF(INDEX(CONFIRM!$G$5:$G$53,G162)&lt;&gt;"",INDEX(CONFIRM!$G$5:$G$53,G162),IF(ISNUMBER(L162),L162,IFERROR(DATEVALUE(L162),""))),IF(ISNUMBER(L162),L162,IFERROR(DATEVALUE(L162),"")))</f>
        <v>45961</v>
      </c>
      <c r="N162" s="1" t="str">
        <f aca="false">IF(M162="","Check",IF(AND(M162&gt;=INPUTS!$C$6,M162&lt;=INPUTS!$C$7),"Yes","No"))</f>
        <v>Yes</v>
      </c>
      <c r="O162" s="48" t="str">
        <f aca="false">STACK!H162</f>
        <v>Medical Assistant</v>
      </c>
      <c r="P162" s="1" t="str">
        <f aca="false">IF(G162&gt;0,IF(INDEX(CONFIRM!$H$5:$H$53,G162)&lt;&gt;"",INDEX(CONFIRM!$H$5:$H$53,G162),IFERROR(INDEX(MAP!$B$7:$B$156,MATCH(TRIM(O162),MAP!$A$7:$A$156,0)),"UNMAPPED")),IFERROR(INDEX(MAP!$B$7:$B$156,MATCH(TRIM(O162),MAP!$A$7:$A$156,0)),"UNMAPPED"))</f>
        <v>Medical Assistant</v>
      </c>
      <c r="Q162" s="48" t="n">
        <f aca="false">STACK!I162</f>
        <v>108.5</v>
      </c>
      <c r="R162" s="60" t="n">
        <f aca="false">IF(G162&gt;0,IF(INDEX(CONFIRM!$F$5:$F$53,G162)&lt;&gt;"",INDEX(CONFIRM!$F$5:$F$53,G162),IF(ISNUMBER(Q162),Q162,IF(Q162="","",IFERROR(VALUE(TRIM(SUBSTITUTE(SUBSTITUTE(LOWER(Q162),"hrs",""),"hr",""))),"")))),IF(ISNUMBER(Q162),Q162,IF(Q162="","",IFERROR(VALUE(TRIM(SUBSTITUTE(SUBSTITUTE(LOWER(Q162),"hrs",""),"hr",""))),""))))</f>
        <v>108.5</v>
      </c>
      <c r="S162" s="57" t="n">
        <f aca="false">IFERROR(INDEX(RATES!$E$6:$E$28,MATCH(P162,RATES!$A$6:$A$28,0)),0)</f>
        <v>25.37875</v>
      </c>
      <c r="T162" s="61" t="n">
        <f aca="false">IF(ISNUMBER(R162),R162,0)*S162</f>
        <v>2753.594375</v>
      </c>
      <c r="U162" s="61" t="n">
        <f aca="false">T162*INDEX(INPUTS!$H$10:$H$14,MATCH(B162,INPUTS!$A$10:$A$14,0))</f>
        <v>509.414959375</v>
      </c>
      <c r="V162" s="61" t="n">
        <f aca="false">N(STACK!K162)</f>
        <v>0</v>
      </c>
      <c r="W162" s="61" t="n">
        <f aca="false">T162+U162+V162</f>
        <v>3263.009334375</v>
      </c>
      <c r="X162" s="61" t="n">
        <f aca="false">N(STACK!L162)</f>
        <v>0</v>
      </c>
      <c r="Y162" s="61" t="n">
        <f aca="false">W162-X162</f>
        <v>3263.009334375</v>
      </c>
      <c r="Z162" s="1" t="n">
        <f aca="false">N(STACK!J162)</f>
        <v>0</v>
      </c>
      <c r="AA162" s="1" t="str">
        <f aca="false">TRIM(IF(D162="UNMAPPED","Program not mapped. ","")&amp;IF(OR(K162="UNMAPPED",K162="UNASSIGNED"),"Category needs review. ","")&amp;IF(P162="UNMAPPED","Title not mapped. ","")&amp;IF(AND(P162&lt;&gt;"No staff time",R162=""),"Missing hours. ","")&amp;IF(M162="","Date not readable. ","")&amp;IF(N162="No","Outside fiscal year. ","")&amp;IF(AND(F162="Event",ISNUMBER(R162)),IF(R162&gt;12,"Event hours look high. ",""),"")&amp;IF(G162&gt;0,"See CONFIRM sheet.",""))</f>
        <v/>
      </c>
      <c r="AB162" s="1" t="n">
        <f aca="false">IF(N162="No",0,IF(REVIEW!O162=0,0,IF(G162&gt;0,IF(INDEX(CONFIRM!$J$5:$J$53,G162)&lt;&gt;"",INDEX(CONFIRM!$J$5:$J$53,G162),1),1)))</f>
        <v>1</v>
      </c>
      <c r="AC162" s="1" t="n">
        <f aca="false">IF(AB162=1,IF(COUNTIFS($B$5:B162,B162,$D$5:D162,D162,$AB$5:AB162,1)=1,1,0),0)</f>
        <v>0</v>
      </c>
    </row>
    <row r="163" customFormat="false" ht="15" hidden="false" customHeight="false" outlineLevel="0" collapsed="false">
      <c r="A163" s="48" t="str">
        <f aca="false">STACK!A163</f>
        <v>KVMC-0159</v>
      </c>
      <c r="B163" s="48" t="str">
        <f aca="false">STACK!B163</f>
        <v>KVMC</v>
      </c>
      <c r="C163" s="48" t="str">
        <f aca="false">STACK!E163</f>
        <v>Mobile Health Screening Unit</v>
      </c>
      <c r="D163" s="1" t="str">
        <f aca="false">IFERROR(INDEX(MAP!$J$7:$J$101,MATCH(TRIM(C163),MAP!$I$7:$I$101,0)),"UNMAPPED")</f>
        <v>Mobile Health Screening Unit</v>
      </c>
      <c r="E163" s="1" t="str">
        <f aca="false">IFERROR(INDEX(MAP!$K$7:$K$101,MATCH(TRIM(C163),MAP!$I$7:$I$101,0)),"")</f>
        <v>Access to care</v>
      </c>
      <c r="F163" s="1" t="str">
        <f aca="false">IFERROR(INDEX(MAP!$L$7:$L$101,MATCH(TRIM(C163),MAP!$I$7:$I$101,0)),"")</f>
        <v>Monthly</v>
      </c>
      <c r="G163" s="1" t="n">
        <f aca="false">IFERROR(MATCH(A163,CONFIRM!$A$5:$A$53,0),0)</f>
        <v>0</v>
      </c>
      <c r="H163" s="48" t="str">
        <f aca="false">STACK!F163</f>
        <v>Community-Based Clinical Services</v>
      </c>
      <c r="I163" s="1" t="str">
        <f aca="false">IF(G163&gt;0,IF(INDEX(CONFIRM!$I$5:$I$53,G163)&lt;&gt;"",INDEX(CONFIRM!$I$5:$I$53,G163),H163),H163)</f>
        <v>Community-Based Clinical Services</v>
      </c>
      <c r="J163" s="1" t="str">
        <f aca="false">IFERROR(INDEX(MAP!$F$7:$F$74,MATCH(TRIM(I163),MAP!$E$7:$E$74,0)),"UNMAPPED")</f>
        <v>Community-based clinical services</v>
      </c>
      <c r="K163" s="1" t="str">
        <f aca="false">IFERROR(INDEX(MAP!$G$7:$G$74,MATCH(TRIM(I163),MAP!$E$7:$E$74,0)),"UNMAPPED")</f>
        <v>7e</v>
      </c>
      <c r="L163" s="49" t="n">
        <f aca="false">STACK!G163</f>
        <v>45961</v>
      </c>
      <c r="M163" s="59" t="n">
        <f aca="false">IF(G163&gt;0,IF(INDEX(CONFIRM!$G$5:$G$53,G163)&lt;&gt;"",INDEX(CONFIRM!$G$5:$G$53,G163),IF(ISNUMBER(L163),L163,IFERROR(DATEVALUE(L163),""))),IF(ISNUMBER(L163),L163,IFERROR(DATEVALUE(L163),"")))</f>
        <v>45961</v>
      </c>
      <c r="N163" s="1" t="str">
        <f aca="false">IF(M163="","Check",IF(AND(M163&gt;=INPUTS!$C$6,M163&lt;=INPUTS!$C$7),"Yes","No"))</f>
        <v>Yes</v>
      </c>
      <c r="O163" s="48" t="str">
        <f aca="false">STACK!H163</f>
        <v>Registered Nurse</v>
      </c>
      <c r="P163" s="1" t="str">
        <f aca="false">IF(G163&gt;0,IF(INDEX(CONFIRM!$H$5:$H$53,G163)&lt;&gt;"",INDEX(CONFIRM!$H$5:$H$53,G163),IFERROR(INDEX(MAP!$B$7:$B$156,MATCH(TRIM(O163),MAP!$A$7:$A$156,0)),"UNMAPPED")),IFERROR(INDEX(MAP!$B$7:$B$156,MATCH(TRIM(O163),MAP!$A$7:$A$156,0)),"UNMAPPED"))</f>
        <v>Registered Nurse</v>
      </c>
      <c r="Q163" s="48" t="n">
        <f aca="false">STACK!I163</f>
        <v>117</v>
      </c>
      <c r="R163" s="60" t="n">
        <f aca="false">IF(G163&gt;0,IF(INDEX(CONFIRM!$F$5:$F$53,G163)&lt;&gt;"",INDEX(CONFIRM!$F$5:$F$53,G163),IF(ISNUMBER(Q163),Q163,IF(Q163="","",IFERROR(VALUE(TRIM(SUBSTITUTE(SUBSTITUTE(LOWER(Q163),"hrs",""),"hr",""))),"")))),IF(ISNUMBER(Q163),Q163,IF(Q163="","",IFERROR(VALUE(TRIM(SUBSTITUTE(SUBSTITUTE(LOWER(Q163),"hrs",""),"hr",""))),""))))</f>
        <v>117</v>
      </c>
      <c r="S163" s="57" t="n">
        <f aca="false">IFERROR(INDEX(RATES!$E$6:$E$28,MATCH(P163,RATES!$A$6:$A$28,0)),0)</f>
        <v>55.8975</v>
      </c>
      <c r="T163" s="61" t="n">
        <f aca="false">IF(ISNUMBER(R163),R163,0)*S163</f>
        <v>6540.0075</v>
      </c>
      <c r="U163" s="61" t="n">
        <f aca="false">T163*INDEX(INPUTS!$H$10:$H$14,MATCH(B163,INPUTS!$A$10:$A$14,0))</f>
        <v>1209.9013875</v>
      </c>
      <c r="V163" s="61" t="n">
        <f aca="false">N(STACK!K163)</f>
        <v>7880</v>
      </c>
      <c r="W163" s="61" t="n">
        <f aca="false">T163+U163+V163</f>
        <v>15629.9088875</v>
      </c>
      <c r="X163" s="61" t="n">
        <f aca="false">N(STACK!L163)</f>
        <v>0</v>
      </c>
      <c r="Y163" s="61" t="n">
        <f aca="false">W163-X163</f>
        <v>15629.9088875</v>
      </c>
      <c r="Z163" s="1" t="n">
        <f aca="false">N(STACK!J163)</f>
        <v>348</v>
      </c>
      <c r="AA163" s="1" t="str">
        <f aca="false">TRIM(IF(D163="UNMAPPED","Program not mapped. ","")&amp;IF(OR(K163="UNMAPPED",K163="UNASSIGNED"),"Category needs review. ","")&amp;IF(P163="UNMAPPED","Title not mapped. ","")&amp;IF(AND(P163&lt;&gt;"No staff time",R163=""),"Missing hours. ","")&amp;IF(M163="","Date not readable. ","")&amp;IF(N163="No","Outside fiscal year. ","")&amp;IF(AND(F163="Event",ISNUMBER(R163)),IF(R163&gt;12,"Event hours look high. ",""),"")&amp;IF(G163&gt;0,"See CONFIRM sheet.",""))</f>
        <v/>
      </c>
      <c r="AB163" s="1" t="n">
        <f aca="false">IF(N163="No",0,IF(REVIEW!O163=0,0,IF(G163&gt;0,IF(INDEX(CONFIRM!$J$5:$J$53,G163)&lt;&gt;"",INDEX(CONFIRM!$J$5:$J$53,G163),1),1)))</f>
        <v>1</v>
      </c>
      <c r="AC163" s="1" t="n">
        <f aca="false">IF(AB163=1,IF(COUNTIFS($B$5:B163,B163,$D$5:D163,D163,$AB$5:AB163,1)=1,1,0),0)</f>
        <v>0</v>
      </c>
    </row>
    <row r="164" customFormat="false" ht="15" hidden="false" customHeight="false" outlineLevel="0" collapsed="false">
      <c r="A164" s="48" t="str">
        <f aca="false">STACK!A164</f>
        <v>KVMC-0160</v>
      </c>
      <c r="B164" s="48" t="str">
        <f aca="false">STACK!B164</f>
        <v>KVMC</v>
      </c>
      <c r="C164" s="48" t="str">
        <f aca="false">STACK!E164</f>
        <v>Free Clinic Provider Staffing</v>
      </c>
      <c r="D164" s="1" t="str">
        <f aca="false">IFERROR(INDEX(MAP!$J$7:$J$101,MATCH(TRIM(C164),MAP!$I$7:$I$101,0)),"UNMAPPED")</f>
        <v>Free Clinic Provider Staffing</v>
      </c>
      <c r="E164" s="1" t="str">
        <f aca="false">IFERROR(INDEX(MAP!$K$7:$K$101,MATCH(TRIM(C164),MAP!$I$7:$I$101,0)),"")</f>
        <v>Access to care</v>
      </c>
      <c r="F164" s="1" t="str">
        <f aca="false">IFERROR(INDEX(MAP!$L$7:$L$101,MATCH(TRIM(C164),MAP!$I$7:$I$101,0)),"")</f>
        <v>Monthly</v>
      </c>
      <c r="G164" s="1" t="n">
        <f aca="false">IFERROR(MATCH(A164,CONFIRM!$A$5:$A$53,0),0)</f>
        <v>0</v>
      </c>
      <c r="H164" s="48" t="str">
        <f aca="false">STACK!F164</f>
        <v>Community-Based Clinical Services</v>
      </c>
      <c r="I164" s="1" t="str">
        <f aca="false">IF(G164&gt;0,IF(INDEX(CONFIRM!$I$5:$I$53,G164)&lt;&gt;"",INDEX(CONFIRM!$I$5:$I$53,G164),H164),H164)</f>
        <v>Community-Based Clinical Services</v>
      </c>
      <c r="J164" s="1" t="str">
        <f aca="false">IFERROR(INDEX(MAP!$F$7:$F$74,MATCH(TRIM(I164),MAP!$E$7:$E$74,0)),"UNMAPPED")</f>
        <v>Community-based clinical services</v>
      </c>
      <c r="K164" s="1" t="str">
        <f aca="false">IFERROR(INDEX(MAP!$G$7:$G$74,MATCH(TRIM(I164),MAP!$E$7:$E$74,0)),"UNMAPPED")</f>
        <v>7e</v>
      </c>
      <c r="L164" s="49" t="n">
        <f aca="false">STACK!G164</f>
        <v>45961</v>
      </c>
      <c r="M164" s="59" t="n">
        <f aca="false">IF(G164&gt;0,IF(INDEX(CONFIRM!$G$5:$G$53,G164)&lt;&gt;"",INDEX(CONFIRM!$G$5:$G$53,G164),IF(ISNUMBER(L164),L164,IFERROR(DATEVALUE(L164),""))),IF(ISNUMBER(L164),L164,IFERROR(DATEVALUE(L164),"")))</f>
        <v>45961</v>
      </c>
      <c r="N164" s="1" t="str">
        <f aca="false">IF(M164="","Check",IF(AND(M164&gt;=INPUTS!$C$6,M164&lt;=INPUTS!$C$7),"Yes","No"))</f>
        <v>Yes</v>
      </c>
      <c r="O164" s="48" t="str">
        <f aca="false">STACK!H164</f>
        <v>Family NP</v>
      </c>
      <c r="P164" s="1" t="str">
        <f aca="false">IF(G164&gt;0,IF(INDEX(CONFIRM!$H$5:$H$53,G164)&lt;&gt;"",INDEX(CONFIRM!$H$5:$H$53,G164),IFERROR(INDEX(MAP!$B$7:$B$156,MATCH(TRIM(O164),MAP!$A$7:$A$156,0)),"UNMAPPED")),IFERROR(INDEX(MAP!$B$7:$B$156,MATCH(TRIM(O164),MAP!$A$7:$A$156,0)),"UNMAPPED"))</f>
        <v>Nurse Practitioner</v>
      </c>
      <c r="Q164" s="48" t="n">
        <f aca="false">STACK!I164</f>
        <v>42.75</v>
      </c>
      <c r="R164" s="60" t="n">
        <f aca="false">IF(G164&gt;0,IF(INDEX(CONFIRM!$F$5:$F$53,G164)&lt;&gt;"",INDEX(CONFIRM!$F$5:$F$53,G164),IF(ISNUMBER(Q164),Q164,IF(Q164="","",IFERROR(VALUE(TRIM(SUBSTITUTE(SUBSTITUTE(LOWER(Q164),"hrs",""),"hr",""))),"")))),IF(ISNUMBER(Q164),Q164,IF(Q164="","",IFERROR(VALUE(TRIM(SUBSTITUTE(SUBSTITUTE(LOWER(Q164),"hrs",""),"hr",""))),""))))</f>
        <v>42.75</v>
      </c>
      <c r="S164" s="57" t="n">
        <f aca="false">IFERROR(INDEX(RATES!$E$6:$E$28,MATCH(P164,RATES!$A$6:$A$28,0)),0)</f>
        <v>79.67</v>
      </c>
      <c r="T164" s="61" t="n">
        <f aca="false">IF(ISNUMBER(R164),R164,0)*S164</f>
        <v>3405.8925</v>
      </c>
      <c r="U164" s="61" t="n">
        <f aca="false">T164*INDEX(INPUTS!$H$10:$H$14,MATCH(B164,INPUTS!$A$10:$A$14,0))</f>
        <v>630.0901125</v>
      </c>
      <c r="V164" s="61" t="n">
        <f aca="false">N(STACK!K164)</f>
        <v>5030</v>
      </c>
      <c r="W164" s="61" t="n">
        <f aca="false">T164+U164+V164</f>
        <v>9065.9826125</v>
      </c>
      <c r="X164" s="61" t="n">
        <f aca="false">N(STACK!L164)</f>
        <v>0</v>
      </c>
      <c r="Y164" s="61" t="n">
        <f aca="false">W164-X164</f>
        <v>9065.9826125</v>
      </c>
      <c r="Z164" s="1" t="n">
        <f aca="false">N(STACK!J164)</f>
        <v>287</v>
      </c>
      <c r="AA164" s="1" t="str">
        <f aca="false">TRIM(IF(D164="UNMAPPED","Program not mapped. ","")&amp;IF(OR(K164="UNMAPPED",K164="UNASSIGNED"),"Category needs review. ","")&amp;IF(P164="UNMAPPED","Title not mapped. ","")&amp;IF(AND(P164&lt;&gt;"No staff time",R164=""),"Missing hours. ","")&amp;IF(M164="","Date not readable. ","")&amp;IF(N164="No","Outside fiscal year. ","")&amp;IF(AND(F164="Event",ISNUMBER(R164)),IF(R164&gt;12,"Event hours look high. ",""),"")&amp;IF(G164&gt;0,"See CONFIRM sheet.",""))</f>
        <v/>
      </c>
      <c r="AB164" s="1" t="n">
        <f aca="false">IF(N164="No",0,IF(REVIEW!O164=0,0,IF(G164&gt;0,IF(INDEX(CONFIRM!$J$5:$J$53,G164)&lt;&gt;"",INDEX(CONFIRM!$J$5:$J$53,G164),1),1)))</f>
        <v>1</v>
      </c>
      <c r="AC164" s="1" t="n">
        <f aca="false">IF(AB164=1,IF(COUNTIFS($B$5:B164,B164,$D$5:D164,D164,$AB$5:AB164,1)=1,1,0),0)</f>
        <v>0</v>
      </c>
    </row>
    <row r="165" customFormat="false" ht="15" hidden="false" customHeight="false" outlineLevel="0" collapsed="false">
      <c r="A165" s="48" t="str">
        <f aca="false">STACK!A165</f>
        <v>KVMC-0161</v>
      </c>
      <c r="B165" s="48" t="str">
        <f aca="false">STACK!B165</f>
        <v>KVMC</v>
      </c>
      <c r="C165" s="48" t="str">
        <f aca="false">STACK!E165</f>
        <v>Free Clinic Provider Staffing</v>
      </c>
      <c r="D165" s="1" t="str">
        <f aca="false">IFERROR(INDEX(MAP!$J$7:$J$101,MATCH(TRIM(C165),MAP!$I$7:$I$101,0)),"UNMAPPED")</f>
        <v>Free Clinic Provider Staffing</v>
      </c>
      <c r="E165" s="1" t="str">
        <f aca="false">IFERROR(INDEX(MAP!$K$7:$K$101,MATCH(TRIM(C165),MAP!$I$7:$I$101,0)),"")</f>
        <v>Access to care</v>
      </c>
      <c r="F165" s="1" t="str">
        <f aca="false">IFERROR(INDEX(MAP!$L$7:$L$101,MATCH(TRIM(C165),MAP!$I$7:$I$101,0)),"")</f>
        <v>Monthly</v>
      </c>
      <c r="G165" s="1" t="n">
        <f aca="false">IFERROR(MATCH(A165,CONFIRM!$A$5:$A$53,0),0)</f>
        <v>0</v>
      </c>
      <c r="H165" s="48" t="str">
        <f aca="false">STACK!F165</f>
        <v>Community-Based Clinical Services</v>
      </c>
      <c r="I165" s="1" t="str">
        <f aca="false">IF(G165&gt;0,IF(INDEX(CONFIRM!$I$5:$I$53,G165)&lt;&gt;"",INDEX(CONFIRM!$I$5:$I$53,G165),H165),H165)</f>
        <v>Community-Based Clinical Services</v>
      </c>
      <c r="J165" s="1" t="str">
        <f aca="false">IFERROR(INDEX(MAP!$F$7:$F$74,MATCH(TRIM(I165),MAP!$E$7:$E$74,0)),"UNMAPPED")</f>
        <v>Community-based clinical services</v>
      </c>
      <c r="K165" s="1" t="str">
        <f aca="false">IFERROR(INDEX(MAP!$G$7:$G$74,MATCH(TRIM(I165),MAP!$E$7:$E$74,0)),"UNMAPPED")</f>
        <v>7e</v>
      </c>
      <c r="L165" s="49" t="n">
        <f aca="false">STACK!G165</f>
        <v>45961</v>
      </c>
      <c r="M165" s="59" t="n">
        <f aca="false">IF(G165&gt;0,IF(INDEX(CONFIRM!$G$5:$G$53,G165)&lt;&gt;"",INDEX(CONFIRM!$G$5:$G$53,G165),IF(ISNUMBER(L165),L165,IFERROR(DATEVALUE(L165),""))),IF(ISNUMBER(L165),L165,IFERROR(DATEVALUE(L165),"")))</f>
        <v>45961</v>
      </c>
      <c r="N165" s="1" t="str">
        <f aca="false">IF(M165="","Check",IF(AND(M165&gt;=INPUTS!$C$6,M165&lt;=INPUTS!$C$7),"Yes","No"))</f>
        <v>Yes</v>
      </c>
      <c r="O165" s="48" t="str">
        <f aca="false">STACK!H165</f>
        <v>Pharm.D.</v>
      </c>
      <c r="P165" s="1" t="str">
        <f aca="false">IF(G165&gt;0,IF(INDEX(CONFIRM!$H$5:$H$53,G165)&lt;&gt;"",INDEX(CONFIRM!$H$5:$H$53,G165),IFERROR(INDEX(MAP!$B$7:$B$156,MATCH(TRIM(O165),MAP!$A$7:$A$156,0)),"UNMAPPED")),IFERROR(INDEX(MAP!$B$7:$B$156,MATCH(TRIM(O165),MAP!$A$7:$A$156,0)),"UNMAPPED"))</f>
        <v>Pharmacist</v>
      </c>
      <c r="Q165" s="48" t="n">
        <f aca="false">STACK!I165</f>
        <v>12.75</v>
      </c>
      <c r="R165" s="60" t="n">
        <f aca="false">IF(G165&gt;0,IF(INDEX(CONFIRM!$F$5:$F$53,G165)&lt;&gt;"",INDEX(CONFIRM!$F$5:$F$53,G165),IF(ISNUMBER(Q165),Q165,IF(Q165="","",IFERROR(VALUE(TRIM(SUBSTITUTE(SUBSTITUTE(LOWER(Q165),"hrs",""),"hr",""))),"")))),IF(ISNUMBER(Q165),Q165,IF(Q165="","",IFERROR(VALUE(TRIM(SUBSTITUTE(SUBSTITUTE(LOWER(Q165),"hrs",""),"hr",""))),""))))</f>
        <v>12.75</v>
      </c>
      <c r="S165" s="57" t="n">
        <f aca="false">IFERROR(INDEX(RATES!$E$6:$E$28,MATCH(P165,RATES!$A$6:$A$28,0)),0)</f>
        <v>84.81</v>
      </c>
      <c r="T165" s="61" t="n">
        <f aca="false">IF(ISNUMBER(R165),R165,0)*S165</f>
        <v>1081.3275</v>
      </c>
      <c r="U165" s="61" t="n">
        <f aca="false">T165*INDEX(INPUTS!$H$10:$H$14,MATCH(B165,INPUTS!$A$10:$A$14,0))</f>
        <v>200.0455875</v>
      </c>
      <c r="V165" s="61" t="n">
        <f aca="false">N(STACK!K165)</f>
        <v>0</v>
      </c>
      <c r="W165" s="61" t="n">
        <f aca="false">T165+U165+V165</f>
        <v>1281.3730875</v>
      </c>
      <c r="X165" s="61" t="n">
        <f aca="false">N(STACK!L165)</f>
        <v>0</v>
      </c>
      <c r="Y165" s="61" t="n">
        <f aca="false">W165-X165</f>
        <v>1281.3730875</v>
      </c>
      <c r="Z165" s="1" t="n">
        <f aca="false">N(STACK!J165)</f>
        <v>0</v>
      </c>
      <c r="AA165" s="1" t="str">
        <f aca="false">TRIM(IF(D165="UNMAPPED","Program not mapped. ","")&amp;IF(OR(K165="UNMAPPED",K165="UNASSIGNED"),"Category needs review. ","")&amp;IF(P165="UNMAPPED","Title not mapped. ","")&amp;IF(AND(P165&lt;&gt;"No staff time",R165=""),"Missing hours. ","")&amp;IF(M165="","Date not readable. ","")&amp;IF(N165="No","Outside fiscal year. ","")&amp;IF(AND(F165="Event",ISNUMBER(R165)),IF(R165&gt;12,"Event hours look high. ",""),"")&amp;IF(G165&gt;0,"See CONFIRM sheet.",""))</f>
        <v/>
      </c>
      <c r="AB165" s="1" t="n">
        <f aca="false">IF(N165="No",0,IF(REVIEW!O165=0,0,IF(G165&gt;0,IF(INDEX(CONFIRM!$J$5:$J$53,G165)&lt;&gt;"",INDEX(CONFIRM!$J$5:$J$53,G165),1),1)))</f>
        <v>1</v>
      </c>
      <c r="AC165" s="1" t="n">
        <f aca="false">IF(AB165=1,IF(COUNTIFS($B$5:B165,B165,$D$5:D165,D165,$AB$5:AB165,1)=1,1,0),0)</f>
        <v>0</v>
      </c>
    </row>
    <row r="166" customFormat="false" ht="15" hidden="false" customHeight="false" outlineLevel="0" collapsed="false">
      <c r="A166" s="48" t="str">
        <f aca="false">STACK!A166</f>
        <v>KVMC-0162</v>
      </c>
      <c r="B166" s="48" t="str">
        <f aca="false">STACK!B166</f>
        <v>KVMC</v>
      </c>
      <c r="C166" s="48" t="str">
        <f aca="false">STACK!E166</f>
        <v>Free Clinic Provider Staffing</v>
      </c>
      <c r="D166" s="1" t="str">
        <f aca="false">IFERROR(INDEX(MAP!$J$7:$J$101,MATCH(TRIM(C166),MAP!$I$7:$I$101,0)),"UNMAPPED")</f>
        <v>Free Clinic Provider Staffing</v>
      </c>
      <c r="E166" s="1" t="str">
        <f aca="false">IFERROR(INDEX(MAP!$K$7:$K$101,MATCH(TRIM(C166),MAP!$I$7:$I$101,0)),"")</f>
        <v>Access to care</v>
      </c>
      <c r="F166" s="1" t="str">
        <f aca="false">IFERROR(INDEX(MAP!$L$7:$L$101,MATCH(TRIM(C166),MAP!$I$7:$I$101,0)),"")</f>
        <v>Monthly</v>
      </c>
      <c r="G166" s="1" t="n">
        <f aca="false">IFERROR(MATCH(A166,CONFIRM!$A$5:$A$53,0),0)</f>
        <v>0</v>
      </c>
      <c r="H166" s="48" t="str">
        <f aca="false">STACK!F166</f>
        <v>Community-Based Clinical Services</v>
      </c>
      <c r="I166" s="1" t="str">
        <f aca="false">IF(G166&gt;0,IF(INDEX(CONFIRM!$I$5:$I$53,G166)&lt;&gt;"",INDEX(CONFIRM!$I$5:$I$53,G166),H166),H166)</f>
        <v>Community-Based Clinical Services</v>
      </c>
      <c r="J166" s="1" t="str">
        <f aca="false">IFERROR(INDEX(MAP!$F$7:$F$74,MATCH(TRIM(I166),MAP!$E$7:$E$74,0)),"UNMAPPED")</f>
        <v>Community-based clinical services</v>
      </c>
      <c r="K166" s="1" t="str">
        <f aca="false">IFERROR(INDEX(MAP!$G$7:$G$74,MATCH(TRIM(I166),MAP!$E$7:$E$74,0)),"UNMAPPED")</f>
        <v>7e</v>
      </c>
      <c r="L166" s="49" t="n">
        <f aca="false">STACK!G166</f>
        <v>45961</v>
      </c>
      <c r="M166" s="59" t="n">
        <f aca="false">IF(G166&gt;0,IF(INDEX(CONFIRM!$G$5:$G$53,G166)&lt;&gt;"",INDEX(CONFIRM!$G$5:$G$53,G166),IF(ISNUMBER(L166),L166,IFERROR(DATEVALUE(L166),""))),IF(ISNUMBER(L166),L166,IFERROR(DATEVALUE(L166),"")))</f>
        <v>45961</v>
      </c>
      <c r="N166" s="1" t="str">
        <f aca="false">IF(M166="","Check",IF(AND(M166&gt;=INPUTS!$C$6,M166&lt;=INPUTS!$C$7),"Yes","No"))</f>
        <v>Yes</v>
      </c>
      <c r="O166" s="48" t="str">
        <f aca="false">STACK!H166</f>
        <v>Registered Nurse</v>
      </c>
      <c r="P166" s="1" t="str">
        <f aca="false">IF(G166&gt;0,IF(INDEX(CONFIRM!$H$5:$H$53,G166)&lt;&gt;"",INDEX(CONFIRM!$H$5:$H$53,G166),IFERROR(INDEX(MAP!$B$7:$B$156,MATCH(TRIM(O166),MAP!$A$7:$A$156,0)),"UNMAPPED")),IFERROR(INDEX(MAP!$B$7:$B$156,MATCH(TRIM(O166),MAP!$A$7:$A$156,0)),"UNMAPPED"))</f>
        <v>Registered Nurse</v>
      </c>
      <c r="Q166" s="48" t="n">
        <f aca="false">STACK!I166</f>
        <v>42.75</v>
      </c>
      <c r="R166" s="60" t="n">
        <f aca="false">IF(G166&gt;0,IF(INDEX(CONFIRM!$F$5:$F$53,G166)&lt;&gt;"",INDEX(CONFIRM!$F$5:$F$53,G166),IF(ISNUMBER(Q166),Q166,IF(Q166="","",IFERROR(VALUE(TRIM(SUBSTITUTE(SUBSTITUTE(LOWER(Q166),"hrs",""),"hr",""))),"")))),IF(ISNUMBER(Q166),Q166,IF(Q166="","",IFERROR(VALUE(TRIM(SUBSTITUTE(SUBSTITUTE(LOWER(Q166),"hrs",""),"hr",""))),""))))</f>
        <v>42.75</v>
      </c>
      <c r="S166" s="57" t="n">
        <f aca="false">IFERROR(INDEX(RATES!$E$6:$E$28,MATCH(P166,RATES!$A$6:$A$28,0)),0)</f>
        <v>55.8975</v>
      </c>
      <c r="T166" s="61" t="n">
        <f aca="false">IF(ISNUMBER(R166),R166,0)*S166</f>
        <v>2389.618125</v>
      </c>
      <c r="U166" s="61" t="n">
        <f aca="false">T166*INDEX(INPUTS!$H$10:$H$14,MATCH(B166,INPUTS!$A$10:$A$14,0))</f>
        <v>442.079353125</v>
      </c>
      <c r="V166" s="61" t="n">
        <f aca="false">N(STACK!K166)</f>
        <v>0</v>
      </c>
      <c r="W166" s="61" t="n">
        <f aca="false">T166+U166+V166</f>
        <v>2831.697478125</v>
      </c>
      <c r="X166" s="61" t="n">
        <f aca="false">N(STACK!L166)</f>
        <v>0</v>
      </c>
      <c r="Y166" s="61" t="n">
        <f aca="false">W166-X166</f>
        <v>2831.697478125</v>
      </c>
      <c r="Z166" s="1" t="n">
        <f aca="false">N(STACK!J166)</f>
        <v>0</v>
      </c>
      <c r="AA166" s="1" t="str">
        <f aca="false">TRIM(IF(D166="UNMAPPED","Program not mapped. ","")&amp;IF(OR(K166="UNMAPPED",K166="UNASSIGNED"),"Category needs review. ","")&amp;IF(P166="UNMAPPED","Title not mapped. ","")&amp;IF(AND(P166&lt;&gt;"No staff time",R166=""),"Missing hours. ","")&amp;IF(M166="","Date not readable. ","")&amp;IF(N166="No","Outside fiscal year. ","")&amp;IF(AND(F166="Event",ISNUMBER(R166)),IF(R166&gt;12,"Event hours look high. ",""),"")&amp;IF(G166&gt;0,"See CONFIRM sheet.",""))</f>
        <v/>
      </c>
      <c r="AB166" s="1" t="n">
        <f aca="false">IF(N166="No",0,IF(REVIEW!O166=0,0,IF(G166&gt;0,IF(INDEX(CONFIRM!$J$5:$J$53,G166)&lt;&gt;"",INDEX(CONFIRM!$J$5:$J$53,G166),1),1)))</f>
        <v>1</v>
      </c>
      <c r="AC166" s="1" t="n">
        <f aca="false">IF(AB166=1,IF(COUNTIFS($B$5:B166,B166,$D$5:D166,D166,$AB$5:AB166,1)=1,1,0),0)</f>
        <v>0</v>
      </c>
    </row>
    <row r="167" customFormat="false" ht="15" hidden="false" customHeight="false" outlineLevel="0" collapsed="false">
      <c r="A167" s="48" t="str">
        <f aca="false">STACK!A167</f>
        <v>KVMC-0163</v>
      </c>
      <c r="B167" s="48" t="str">
        <f aca="false">STACK!B167</f>
        <v>KVMC</v>
      </c>
      <c r="C167" s="48" t="str">
        <f aca="false">STACK!E167</f>
        <v>Community Health Worker Outreach</v>
      </c>
      <c r="D167" s="1" t="str">
        <f aca="false">IFERROR(INDEX(MAP!$J$7:$J$101,MATCH(TRIM(C167),MAP!$I$7:$I$101,0)),"UNMAPPED")</f>
        <v>Community Health Worker Outreach</v>
      </c>
      <c r="E167" s="1" t="str">
        <f aca="false">IFERROR(INDEX(MAP!$K$7:$K$101,MATCH(TRIM(C167),MAP!$I$7:$I$101,0)),"")</f>
        <v>Access to care</v>
      </c>
      <c r="F167" s="1" t="str">
        <f aca="false">IFERROR(INDEX(MAP!$L$7:$L$101,MATCH(TRIM(C167),MAP!$I$7:$I$101,0)),"")</f>
        <v>Monthly</v>
      </c>
      <c r="G167" s="1" t="n">
        <f aca="false">IFERROR(MATCH(A167,CONFIRM!$A$5:$A$53,0),0)</f>
        <v>0</v>
      </c>
      <c r="H167" s="48" t="str">
        <f aca="false">STACK!F167</f>
        <v>Health Care Support Services</v>
      </c>
      <c r="I167" s="1" t="str">
        <f aca="false">IF(G167&gt;0,IF(INDEX(CONFIRM!$I$5:$I$53,G167)&lt;&gt;"",INDEX(CONFIRM!$I$5:$I$53,G167),H167),H167)</f>
        <v>Health Care Support Services</v>
      </c>
      <c r="J167" s="1" t="str">
        <f aca="false">IFERROR(INDEX(MAP!$F$7:$F$74,MATCH(TRIM(I167),MAP!$E$7:$E$74,0)),"UNMAPPED")</f>
        <v>Health care support services</v>
      </c>
      <c r="K167" s="1" t="str">
        <f aca="false">IFERROR(INDEX(MAP!$G$7:$G$74,MATCH(TRIM(I167),MAP!$E$7:$E$74,0)),"UNMAPPED")</f>
        <v>7e</v>
      </c>
      <c r="L167" s="49" t="n">
        <f aca="false">STACK!G167</f>
        <v>45961</v>
      </c>
      <c r="M167" s="59" t="n">
        <f aca="false">IF(G167&gt;0,IF(INDEX(CONFIRM!$G$5:$G$53,G167)&lt;&gt;"",INDEX(CONFIRM!$G$5:$G$53,G167),IF(ISNUMBER(L167),L167,IFERROR(DATEVALUE(L167),""))),IF(ISNUMBER(L167),L167,IFERROR(DATEVALUE(L167),"")))</f>
        <v>45961</v>
      </c>
      <c r="N167" s="1" t="str">
        <f aca="false">IF(M167="","Check",IF(AND(M167&gt;=INPUTS!$C$6,M167&lt;=INPUTS!$C$7),"Yes","No"))</f>
        <v>Yes</v>
      </c>
      <c r="O167" s="48" t="str">
        <f aca="false">STACK!H167</f>
        <v>CHW</v>
      </c>
      <c r="P167" s="1" t="str">
        <f aca="false">IF(G167&gt;0,IF(INDEX(CONFIRM!$H$5:$H$53,G167)&lt;&gt;"",INDEX(CONFIRM!$H$5:$H$53,G167),IFERROR(INDEX(MAP!$B$7:$B$156,MATCH(TRIM(O167),MAP!$A$7:$A$156,0)),"UNMAPPED")),IFERROR(INDEX(MAP!$B$7:$B$156,MATCH(TRIM(O167),MAP!$A$7:$A$156,0)),"UNMAPPED"))</f>
        <v>Community Health Worker</v>
      </c>
      <c r="Q167" s="48" t="n">
        <f aca="false">STACK!I167</f>
        <v>485.75</v>
      </c>
      <c r="R167" s="60" t="n">
        <f aca="false">IF(G167&gt;0,IF(INDEX(CONFIRM!$F$5:$F$53,G167)&lt;&gt;"",INDEX(CONFIRM!$F$5:$F$53,G167),IF(ISNUMBER(Q167),Q167,IF(Q167="","",IFERROR(VALUE(TRIM(SUBSTITUTE(SUBSTITUTE(LOWER(Q167),"hrs",""),"hr",""))),"")))),IF(ISNUMBER(Q167),Q167,IF(Q167="","",IFERROR(VALUE(TRIM(SUBSTITUTE(SUBSTITUTE(LOWER(Q167),"hrs",""),"hr",""))),""))))</f>
        <v>485.75</v>
      </c>
      <c r="S167" s="57" t="n">
        <f aca="false">IFERROR(INDEX(RATES!$E$6:$E$28,MATCH(P167,RATES!$A$6:$A$28,0)),0)</f>
        <v>27.6275</v>
      </c>
      <c r="T167" s="61" t="n">
        <f aca="false">IF(ISNUMBER(R167),R167,0)*S167</f>
        <v>13420.058125</v>
      </c>
      <c r="U167" s="61" t="n">
        <f aca="false">T167*INDEX(INPUTS!$H$10:$H$14,MATCH(B167,INPUTS!$A$10:$A$14,0))</f>
        <v>2482.710753125</v>
      </c>
      <c r="V167" s="61" t="n">
        <f aca="false">N(STACK!K167)</f>
        <v>1385</v>
      </c>
      <c r="W167" s="61" t="n">
        <f aca="false">T167+U167+V167</f>
        <v>17287.768878125</v>
      </c>
      <c r="X167" s="61" t="n">
        <f aca="false">N(STACK!L167)</f>
        <v>0</v>
      </c>
      <c r="Y167" s="61" t="n">
        <f aca="false">W167-X167</f>
        <v>17287.768878125</v>
      </c>
      <c r="Z167" s="1" t="n">
        <f aca="false">N(STACK!J167)</f>
        <v>523</v>
      </c>
      <c r="AA167" s="1" t="str">
        <f aca="false">TRIM(IF(D167="UNMAPPED","Program not mapped. ","")&amp;IF(OR(K167="UNMAPPED",K167="UNASSIGNED"),"Category needs review. ","")&amp;IF(P167="UNMAPPED","Title not mapped. ","")&amp;IF(AND(P167&lt;&gt;"No staff time",R167=""),"Missing hours. ","")&amp;IF(M167="","Date not readable. ","")&amp;IF(N167="No","Outside fiscal year. ","")&amp;IF(AND(F167="Event",ISNUMBER(R167)),IF(R167&gt;12,"Event hours look high. ",""),"")&amp;IF(G167&gt;0,"See CONFIRM sheet.",""))</f>
        <v/>
      </c>
      <c r="AB167" s="1" t="n">
        <f aca="false">IF(N167="No",0,IF(REVIEW!O167=0,0,IF(G167&gt;0,IF(INDEX(CONFIRM!$J$5:$J$53,G167)&lt;&gt;"",INDEX(CONFIRM!$J$5:$J$53,G167),1),1)))</f>
        <v>1</v>
      </c>
      <c r="AC167" s="1" t="n">
        <f aca="false">IF(AB167=1,IF(COUNTIFS($B$5:B167,B167,$D$5:D167,D167,$AB$5:AB167,1)=1,1,0),0)</f>
        <v>0</v>
      </c>
    </row>
    <row r="168" customFormat="false" ht="15" hidden="false" customHeight="false" outlineLevel="0" collapsed="false">
      <c r="A168" s="48" t="str">
        <f aca="false">STACK!A168</f>
        <v>KVMC-0164</v>
      </c>
      <c r="B168" s="48" t="str">
        <f aca="false">STACK!B168</f>
        <v>KVMC</v>
      </c>
      <c r="C168" s="48" t="str">
        <f aca="false">STACK!E168</f>
        <v>Community Health Worker Outreach</v>
      </c>
      <c r="D168" s="1" t="str">
        <f aca="false">IFERROR(INDEX(MAP!$J$7:$J$101,MATCH(TRIM(C168),MAP!$I$7:$I$101,0)),"UNMAPPED")</f>
        <v>Community Health Worker Outreach</v>
      </c>
      <c r="E168" s="1" t="str">
        <f aca="false">IFERROR(INDEX(MAP!$K$7:$K$101,MATCH(TRIM(C168),MAP!$I$7:$I$101,0)),"")</f>
        <v>Access to care</v>
      </c>
      <c r="F168" s="1" t="str">
        <f aca="false">IFERROR(INDEX(MAP!$L$7:$L$101,MATCH(TRIM(C168),MAP!$I$7:$I$101,0)),"")</f>
        <v>Monthly</v>
      </c>
      <c r="G168" s="1" t="n">
        <f aca="false">IFERROR(MATCH(A168,CONFIRM!$A$5:$A$53,0),0)</f>
        <v>0</v>
      </c>
      <c r="H168" s="48" t="str">
        <f aca="false">STACK!F168</f>
        <v>Health Care Support Services</v>
      </c>
      <c r="I168" s="1" t="str">
        <f aca="false">IF(G168&gt;0,IF(INDEX(CONFIRM!$I$5:$I$53,G168)&lt;&gt;"",INDEX(CONFIRM!$I$5:$I$53,G168),H168),H168)</f>
        <v>Health Care Support Services</v>
      </c>
      <c r="J168" s="1" t="str">
        <f aca="false">IFERROR(INDEX(MAP!$F$7:$F$74,MATCH(TRIM(I168),MAP!$E$7:$E$74,0)),"UNMAPPED")</f>
        <v>Health care support services</v>
      </c>
      <c r="K168" s="1" t="str">
        <f aca="false">IFERROR(INDEX(MAP!$G$7:$G$74,MATCH(TRIM(I168),MAP!$E$7:$E$74,0)),"UNMAPPED")</f>
        <v>7e</v>
      </c>
      <c r="L168" s="49" t="n">
        <f aca="false">STACK!G168</f>
        <v>45961</v>
      </c>
      <c r="M168" s="59" t="n">
        <f aca="false">IF(G168&gt;0,IF(INDEX(CONFIRM!$G$5:$G$53,G168)&lt;&gt;"",INDEX(CONFIRM!$G$5:$G$53,G168),IF(ISNUMBER(L168),L168,IFERROR(DATEVALUE(L168),""))),IF(ISNUMBER(L168),L168,IFERROR(DATEVALUE(L168),"")))</f>
        <v>45961</v>
      </c>
      <c r="N168" s="1" t="str">
        <f aca="false">IF(M168="","Check",IF(AND(M168&gt;=INPUTS!$C$6,M168&lt;=INPUTS!$C$7),"Yes","No"))</f>
        <v>Yes</v>
      </c>
      <c r="O168" s="48" t="str">
        <f aca="false">STACK!H168</f>
        <v> Patient Navigator</v>
      </c>
      <c r="P168" s="1" t="str">
        <f aca="false">IF(G168&gt;0,IF(INDEX(CONFIRM!$H$5:$H$53,G168)&lt;&gt;"",INDEX(CONFIRM!$H$5:$H$53,G168),IFERROR(INDEX(MAP!$B$7:$B$156,MATCH(TRIM(O168),MAP!$A$7:$A$156,0)),"UNMAPPED")),IFERROR(INDEX(MAP!$B$7:$B$156,MATCH(TRIM(O168),MAP!$A$7:$A$156,0)),"UNMAPPED"))</f>
        <v>Patient Navigator</v>
      </c>
      <c r="Q168" s="48" t="n">
        <f aca="false">STACK!I168</f>
        <v>214.5</v>
      </c>
      <c r="R168" s="60" t="n">
        <f aca="false">IF(G168&gt;0,IF(INDEX(CONFIRM!$F$5:$F$53,G168)&lt;&gt;"",INDEX(CONFIRM!$F$5:$F$53,G168),IF(ISNUMBER(Q168),Q168,IF(Q168="","",IFERROR(VALUE(TRIM(SUBSTITUTE(SUBSTITUTE(LOWER(Q168),"hrs",""),"hr",""))),"")))),IF(ISNUMBER(Q168),Q168,IF(Q168="","",IFERROR(VALUE(TRIM(SUBSTITUTE(SUBSTITUTE(LOWER(Q168),"hrs",""),"hr",""))),""))))</f>
        <v>214.5</v>
      </c>
      <c r="S168" s="57" t="n">
        <f aca="false">IFERROR(INDEX(RATES!$E$6:$E$28,MATCH(P168,RATES!$A$6:$A$28,0)),0)</f>
        <v>30.84</v>
      </c>
      <c r="T168" s="61" t="n">
        <f aca="false">IF(ISNUMBER(R168),R168,0)*S168</f>
        <v>6615.18</v>
      </c>
      <c r="U168" s="61" t="n">
        <f aca="false">T168*INDEX(INPUTS!$H$10:$H$14,MATCH(B168,INPUTS!$A$10:$A$14,0))</f>
        <v>1223.8083</v>
      </c>
      <c r="V168" s="61" t="n">
        <f aca="false">N(STACK!K168)</f>
        <v>0</v>
      </c>
      <c r="W168" s="61" t="n">
        <f aca="false">T168+U168+V168</f>
        <v>7838.9883</v>
      </c>
      <c r="X168" s="61" t="n">
        <f aca="false">N(STACK!L168)</f>
        <v>0</v>
      </c>
      <c r="Y168" s="61" t="n">
        <f aca="false">W168-X168</f>
        <v>7838.9883</v>
      </c>
      <c r="Z168" s="1" t="n">
        <f aca="false">N(STACK!J168)</f>
        <v>0</v>
      </c>
      <c r="AA168" s="1" t="str">
        <f aca="false">TRIM(IF(D168="UNMAPPED","Program not mapped. ","")&amp;IF(OR(K168="UNMAPPED",K168="UNASSIGNED"),"Category needs review. ","")&amp;IF(P168="UNMAPPED","Title not mapped. ","")&amp;IF(AND(P168&lt;&gt;"No staff time",R168=""),"Missing hours. ","")&amp;IF(M168="","Date not readable. ","")&amp;IF(N168="No","Outside fiscal year. ","")&amp;IF(AND(F168="Event",ISNUMBER(R168)),IF(R168&gt;12,"Event hours look high. ",""),"")&amp;IF(G168&gt;0,"See CONFIRM sheet.",""))</f>
        <v/>
      </c>
      <c r="AB168" s="1" t="n">
        <f aca="false">IF(N168="No",0,IF(REVIEW!O168=0,0,IF(G168&gt;0,IF(INDEX(CONFIRM!$J$5:$J$53,G168)&lt;&gt;"",INDEX(CONFIRM!$J$5:$J$53,G168),1),1)))</f>
        <v>1</v>
      </c>
      <c r="AC168" s="1" t="n">
        <f aca="false">IF(AB168=1,IF(COUNTIFS($B$5:B168,B168,$D$5:D168,D168,$AB$5:AB168,1)=1,1,0),0)</f>
        <v>0</v>
      </c>
    </row>
    <row r="169" customFormat="false" ht="15" hidden="false" customHeight="false" outlineLevel="0" collapsed="false">
      <c r="A169" s="48" t="str">
        <f aca="false">STACK!A169</f>
        <v>KVMC-0165</v>
      </c>
      <c r="B169" s="48" t="str">
        <f aca="false">STACK!B169</f>
        <v>KVMC</v>
      </c>
      <c r="C169" s="48" t="str">
        <f aca="false">STACK!E169</f>
        <v>Medication Assistance Program</v>
      </c>
      <c r="D169" s="1" t="str">
        <f aca="false">IFERROR(INDEX(MAP!$J$7:$J$101,MATCH(TRIM(C169),MAP!$I$7:$I$101,0)),"UNMAPPED")</f>
        <v>Medication Assistance Program</v>
      </c>
      <c r="E169" s="1" t="str">
        <f aca="false">IFERROR(INDEX(MAP!$K$7:$K$101,MATCH(TRIM(C169),MAP!$I$7:$I$101,0)),"")</f>
        <v>Access to care</v>
      </c>
      <c r="F169" s="1" t="str">
        <f aca="false">IFERROR(INDEX(MAP!$L$7:$L$101,MATCH(TRIM(C169),MAP!$I$7:$I$101,0)),"")</f>
        <v>Monthly</v>
      </c>
      <c r="G169" s="1" t="n">
        <f aca="false">IFERROR(MATCH(A169,CONFIRM!$A$5:$A$53,0),0)</f>
        <v>0</v>
      </c>
      <c r="H169" s="48" t="str">
        <f aca="false">STACK!F169</f>
        <v>Health Care Support Services</v>
      </c>
      <c r="I169" s="1" t="str">
        <f aca="false">IF(G169&gt;0,IF(INDEX(CONFIRM!$I$5:$I$53,G169)&lt;&gt;"",INDEX(CONFIRM!$I$5:$I$53,G169),H169),H169)</f>
        <v>Health Care Support Services</v>
      </c>
      <c r="J169" s="1" t="str">
        <f aca="false">IFERROR(INDEX(MAP!$F$7:$F$74,MATCH(TRIM(I169),MAP!$E$7:$E$74,0)),"UNMAPPED")</f>
        <v>Health care support services</v>
      </c>
      <c r="K169" s="1" t="str">
        <f aca="false">IFERROR(INDEX(MAP!$G$7:$G$74,MATCH(TRIM(I169),MAP!$E$7:$E$74,0)),"UNMAPPED")</f>
        <v>7e</v>
      </c>
      <c r="L169" s="49" t="n">
        <f aca="false">STACK!G169</f>
        <v>45961</v>
      </c>
      <c r="M169" s="59" t="n">
        <f aca="false">IF(G169&gt;0,IF(INDEX(CONFIRM!$G$5:$G$53,G169)&lt;&gt;"",INDEX(CONFIRM!$G$5:$G$53,G169),IF(ISNUMBER(L169),L169,IFERROR(DATEVALUE(L169),""))),IF(ISNUMBER(L169),L169,IFERROR(DATEVALUE(L169),"")))</f>
        <v>45961</v>
      </c>
      <c r="N169" s="1" t="str">
        <f aca="false">IF(M169="","Check",IF(AND(M169&gt;=INPUTS!$C$6,M169&lt;=INPUTS!$C$7),"Yes","No"))</f>
        <v>Yes</v>
      </c>
      <c r="O169" s="48" t="str">
        <f aca="false">STACK!H169</f>
        <v>Patient Navigator</v>
      </c>
      <c r="P169" s="1" t="str">
        <f aca="false">IF(G169&gt;0,IF(INDEX(CONFIRM!$H$5:$H$53,G169)&lt;&gt;"",INDEX(CONFIRM!$H$5:$H$53,G169),IFERROR(INDEX(MAP!$B$7:$B$156,MATCH(TRIM(O169),MAP!$A$7:$A$156,0)),"UNMAPPED")),IFERROR(INDEX(MAP!$B$7:$B$156,MATCH(TRIM(O169),MAP!$A$7:$A$156,0)),"UNMAPPED"))</f>
        <v>Patient Navigator</v>
      </c>
      <c r="Q169" s="48" t="n">
        <f aca="false">STACK!I169</f>
        <v>98.25</v>
      </c>
      <c r="R169" s="60" t="n">
        <f aca="false">IF(G169&gt;0,IF(INDEX(CONFIRM!$F$5:$F$53,G169)&lt;&gt;"",INDEX(CONFIRM!$F$5:$F$53,G169),IF(ISNUMBER(Q169),Q169,IF(Q169="","",IFERROR(VALUE(TRIM(SUBSTITUTE(SUBSTITUTE(LOWER(Q169),"hrs",""),"hr",""))),"")))),IF(ISNUMBER(Q169),Q169,IF(Q169="","",IFERROR(VALUE(TRIM(SUBSTITUTE(SUBSTITUTE(LOWER(Q169),"hrs",""),"hr",""))),""))))</f>
        <v>98.25</v>
      </c>
      <c r="S169" s="57" t="n">
        <f aca="false">IFERROR(INDEX(RATES!$E$6:$E$28,MATCH(P169,RATES!$A$6:$A$28,0)),0)</f>
        <v>30.84</v>
      </c>
      <c r="T169" s="61" t="n">
        <f aca="false">IF(ISNUMBER(R169),R169,0)*S169</f>
        <v>3030.03</v>
      </c>
      <c r="U169" s="61" t="n">
        <f aca="false">T169*INDEX(INPUTS!$H$10:$H$14,MATCH(B169,INPUTS!$A$10:$A$14,0))</f>
        <v>560.55555</v>
      </c>
      <c r="V169" s="61" t="n">
        <f aca="false">N(STACK!K169)</f>
        <v>0</v>
      </c>
      <c r="W169" s="61" t="n">
        <f aca="false">T169+U169+V169</f>
        <v>3590.58555</v>
      </c>
      <c r="X169" s="61" t="n">
        <f aca="false">N(STACK!L169)</f>
        <v>0</v>
      </c>
      <c r="Y169" s="61" t="n">
        <f aca="false">W169-X169</f>
        <v>3590.58555</v>
      </c>
      <c r="Z169" s="1" t="n">
        <f aca="false">N(STACK!J169)</f>
        <v>0</v>
      </c>
      <c r="AA169" s="1" t="str">
        <f aca="false">TRIM(IF(D169="UNMAPPED","Program not mapped. ","")&amp;IF(OR(K169="UNMAPPED",K169="UNASSIGNED"),"Category needs review. ","")&amp;IF(P169="UNMAPPED","Title not mapped. ","")&amp;IF(AND(P169&lt;&gt;"No staff time",R169=""),"Missing hours. ","")&amp;IF(M169="","Date not readable. ","")&amp;IF(N169="No","Outside fiscal year. ","")&amp;IF(AND(F169="Event",ISNUMBER(R169)),IF(R169&gt;12,"Event hours look high. ",""),"")&amp;IF(G169&gt;0,"See CONFIRM sheet.",""))</f>
        <v/>
      </c>
      <c r="AB169" s="1" t="n">
        <f aca="false">IF(N169="No",0,IF(REVIEW!O169=0,0,IF(G169&gt;0,IF(INDEX(CONFIRM!$J$5:$J$53,G169)&lt;&gt;"",INDEX(CONFIRM!$J$5:$J$53,G169),1),1)))</f>
        <v>1</v>
      </c>
      <c r="AC169" s="1" t="n">
        <f aca="false">IF(AB169=1,IF(COUNTIFS($B$5:B169,B169,$D$5:D169,D169,$AB$5:AB169,1)=1,1,0),0)</f>
        <v>0</v>
      </c>
    </row>
    <row r="170" customFormat="false" ht="15" hidden="false" customHeight="false" outlineLevel="0" collapsed="false">
      <c r="A170" s="48" t="str">
        <f aca="false">STACK!A170</f>
        <v>KVMC-0166</v>
      </c>
      <c r="B170" s="48" t="str">
        <f aca="false">STACK!B170</f>
        <v>KVMC</v>
      </c>
      <c r="C170" s="48" t="str">
        <f aca="false">STACK!E170</f>
        <v>Medication Assistance Program</v>
      </c>
      <c r="D170" s="1" t="str">
        <f aca="false">IFERROR(INDEX(MAP!$J$7:$J$101,MATCH(TRIM(C170),MAP!$I$7:$I$101,0)),"UNMAPPED")</f>
        <v>Medication Assistance Program</v>
      </c>
      <c r="E170" s="1" t="str">
        <f aca="false">IFERROR(INDEX(MAP!$K$7:$K$101,MATCH(TRIM(C170),MAP!$I$7:$I$101,0)),"")</f>
        <v>Access to care</v>
      </c>
      <c r="F170" s="1" t="str">
        <f aca="false">IFERROR(INDEX(MAP!$L$7:$L$101,MATCH(TRIM(C170),MAP!$I$7:$I$101,0)),"")</f>
        <v>Monthly</v>
      </c>
      <c r="G170" s="1" t="n">
        <f aca="false">IFERROR(MATCH(A170,CONFIRM!$A$5:$A$53,0),0)</f>
        <v>0</v>
      </c>
      <c r="H170" s="48" t="str">
        <f aca="false">STACK!F170</f>
        <v>Health Care Support Services</v>
      </c>
      <c r="I170" s="1" t="str">
        <f aca="false">IF(G170&gt;0,IF(INDEX(CONFIRM!$I$5:$I$53,G170)&lt;&gt;"",INDEX(CONFIRM!$I$5:$I$53,G170),H170),H170)</f>
        <v>Health Care Support Services</v>
      </c>
      <c r="J170" s="1" t="str">
        <f aca="false">IFERROR(INDEX(MAP!$F$7:$F$74,MATCH(TRIM(I170),MAP!$E$7:$E$74,0)),"UNMAPPED")</f>
        <v>Health care support services</v>
      </c>
      <c r="K170" s="1" t="str">
        <f aca="false">IFERROR(INDEX(MAP!$G$7:$G$74,MATCH(TRIM(I170),MAP!$E$7:$E$74,0)),"UNMAPPED")</f>
        <v>7e</v>
      </c>
      <c r="L170" s="49" t="n">
        <f aca="false">STACK!G170</f>
        <v>45961</v>
      </c>
      <c r="M170" s="59" t="n">
        <f aca="false">IF(G170&gt;0,IF(INDEX(CONFIRM!$G$5:$G$53,G170)&lt;&gt;"",INDEX(CONFIRM!$G$5:$G$53,G170),IF(ISNUMBER(L170),L170,IFERROR(DATEVALUE(L170),""))),IF(ISNUMBER(L170),L170,IFERROR(DATEVALUE(L170),"")))</f>
        <v>45961</v>
      </c>
      <c r="N170" s="1" t="str">
        <f aca="false">IF(M170="","Check",IF(AND(M170&gt;=INPUTS!$C$6,M170&lt;=INPUTS!$C$7),"Yes","No"))</f>
        <v>Yes</v>
      </c>
      <c r="O170" s="48" t="str">
        <f aca="false">STACK!H170</f>
        <v>Pharm.D.</v>
      </c>
      <c r="P170" s="1" t="str">
        <f aca="false">IF(G170&gt;0,IF(INDEX(CONFIRM!$H$5:$H$53,G170)&lt;&gt;"",INDEX(CONFIRM!$H$5:$H$53,G170),IFERROR(INDEX(MAP!$B$7:$B$156,MATCH(TRIM(O170),MAP!$A$7:$A$156,0)),"UNMAPPED")),IFERROR(INDEX(MAP!$B$7:$B$156,MATCH(TRIM(O170),MAP!$A$7:$A$156,0)),"UNMAPPED"))</f>
        <v>Pharmacist</v>
      </c>
      <c r="Q170" s="48" t="n">
        <f aca="false">STACK!I170</f>
        <v>31.5</v>
      </c>
      <c r="R170" s="60" t="n">
        <f aca="false">IF(G170&gt;0,IF(INDEX(CONFIRM!$F$5:$F$53,G170)&lt;&gt;"",INDEX(CONFIRM!$F$5:$F$53,G170),IF(ISNUMBER(Q170),Q170,IF(Q170="","",IFERROR(VALUE(TRIM(SUBSTITUTE(SUBSTITUTE(LOWER(Q170),"hrs",""),"hr",""))),"")))),IF(ISNUMBER(Q170),Q170,IF(Q170="","",IFERROR(VALUE(TRIM(SUBSTITUTE(SUBSTITUTE(LOWER(Q170),"hrs",""),"hr",""))),""))))</f>
        <v>31.5</v>
      </c>
      <c r="S170" s="57" t="n">
        <f aca="false">IFERROR(INDEX(RATES!$E$6:$E$28,MATCH(P170,RATES!$A$6:$A$28,0)),0)</f>
        <v>84.81</v>
      </c>
      <c r="T170" s="61" t="n">
        <f aca="false">IF(ISNUMBER(R170),R170,0)*S170</f>
        <v>2671.515</v>
      </c>
      <c r="U170" s="61" t="n">
        <f aca="false">T170*INDEX(INPUTS!$H$10:$H$14,MATCH(B170,INPUTS!$A$10:$A$14,0))</f>
        <v>494.230275</v>
      </c>
      <c r="V170" s="61" t="n">
        <f aca="false">N(STACK!K170)</f>
        <v>25195</v>
      </c>
      <c r="W170" s="61" t="n">
        <f aca="false">T170+U170+V170</f>
        <v>28360.745275</v>
      </c>
      <c r="X170" s="61" t="n">
        <f aca="false">N(STACK!L170)</f>
        <v>0</v>
      </c>
      <c r="Y170" s="61" t="n">
        <f aca="false">W170-X170</f>
        <v>28360.745275</v>
      </c>
      <c r="Z170" s="1" t="n">
        <f aca="false">N(STACK!J170)</f>
        <v>153</v>
      </c>
      <c r="AA170" s="1" t="str">
        <f aca="false">TRIM(IF(D170="UNMAPPED","Program not mapped. ","")&amp;IF(OR(K170="UNMAPPED",K170="UNASSIGNED"),"Category needs review. ","")&amp;IF(P170="UNMAPPED","Title not mapped. ","")&amp;IF(AND(P170&lt;&gt;"No staff time",R170=""),"Missing hours. ","")&amp;IF(M170="","Date not readable. ","")&amp;IF(N170="No","Outside fiscal year. ","")&amp;IF(AND(F170="Event",ISNUMBER(R170)),IF(R170&gt;12,"Event hours look high. ",""),"")&amp;IF(G170&gt;0,"See CONFIRM sheet.",""))</f>
        <v/>
      </c>
      <c r="AB170" s="1" t="n">
        <f aca="false">IF(N170="No",0,IF(REVIEW!O170=0,0,IF(G170&gt;0,IF(INDEX(CONFIRM!$J$5:$J$53,G170)&lt;&gt;"",INDEX(CONFIRM!$J$5:$J$53,G170),1),1)))</f>
        <v>1</v>
      </c>
      <c r="AC170" s="1" t="n">
        <f aca="false">IF(AB170=1,IF(COUNTIFS($B$5:B170,B170,$D$5:D170,D170,$AB$5:AB170,1)=1,1,0),0)</f>
        <v>0</v>
      </c>
    </row>
    <row r="171" customFormat="false" ht="15" hidden="false" customHeight="false" outlineLevel="0" collapsed="false">
      <c r="A171" s="48" t="str">
        <f aca="false">STACK!A171</f>
        <v>KVMC-0167</v>
      </c>
      <c r="B171" s="48" t="str">
        <f aca="false">STACK!B171</f>
        <v>KVMC</v>
      </c>
      <c r="C171" s="48" t="str">
        <f aca="false">STACK!E171</f>
        <v>Community Health Needs Assessment</v>
      </c>
      <c r="D171" s="1" t="str">
        <f aca="false">IFERROR(INDEX(MAP!$J$7:$J$101,MATCH(TRIM(C171),MAP!$I$7:$I$101,0)),"UNMAPPED")</f>
        <v>Community Health Needs Assessment</v>
      </c>
      <c r="E171" s="1" t="str">
        <f aca="false">IFERROR(INDEX(MAP!$K$7:$K$101,MATCH(TRIM(C171),MAP!$I$7:$I$101,0)),"")</f>
        <v>Community benefit infrastructure</v>
      </c>
      <c r="F171" s="1" t="str">
        <f aca="false">IFERROR(INDEX(MAP!$L$7:$L$101,MATCH(TRIM(C171),MAP!$I$7:$I$101,0)),"")</f>
        <v>Monthly</v>
      </c>
      <c r="G171" s="1" t="n">
        <f aca="false">IFERROR(MATCH(A171,CONFIRM!$A$5:$A$53,0),0)</f>
        <v>0</v>
      </c>
      <c r="H171" s="48" t="str">
        <f aca="false">STACK!F171</f>
        <v>CB Operations</v>
      </c>
      <c r="I171" s="1" t="str">
        <f aca="false">IF(G171&gt;0,IF(INDEX(CONFIRM!$I$5:$I$53,G171)&lt;&gt;"",INDEX(CONFIRM!$I$5:$I$53,G171),H171),H171)</f>
        <v>CB Operations</v>
      </c>
      <c r="J171" s="1" t="str">
        <f aca="false">IFERROR(INDEX(MAP!$F$7:$F$74,MATCH(TRIM(I171),MAP!$E$7:$E$74,0)),"UNMAPPED")</f>
        <v>Community benefit operations</v>
      </c>
      <c r="K171" s="1" t="str">
        <f aca="false">IFERROR(INDEX(MAP!$G$7:$G$74,MATCH(TRIM(I171),MAP!$E$7:$E$74,0)),"UNMAPPED")</f>
        <v>7e</v>
      </c>
      <c r="L171" s="49" t="n">
        <f aca="false">STACK!G171</f>
        <v>45961</v>
      </c>
      <c r="M171" s="59" t="n">
        <f aca="false">IF(G171&gt;0,IF(INDEX(CONFIRM!$G$5:$G$53,G171)&lt;&gt;"",INDEX(CONFIRM!$G$5:$G$53,G171),IF(ISNUMBER(L171),L171,IFERROR(DATEVALUE(L171),""))),IF(ISNUMBER(L171),L171,IFERROR(DATEVALUE(L171),"")))</f>
        <v>45961</v>
      </c>
      <c r="N171" s="1" t="str">
        <f aca="false">IF(M171="","Check",IF(AND(M171&gt;=INPUTS!$C$6,M171&lt;=INPUTS!$C$7),"Yes","No"))</f>
        <v>Yes</v>
      </c>
      <c r="O171" s="48" t="str">
        <f aca="false">STACK!H171</f>
        <v>Community Benefit Manager</v>
      </c>
      <c r="P171" s="1" t="str">
        <f aca="false">IF(G171&gt;0,IF(INDEX(CONFIRM!$H$5:$H$53,G171)&lt;&gt;"",INDEX(CONFIRM!$H$5:$H$53,G171),IFERROR(INDEX(MAP!$B$7:$B$156,MATCH(TRIM(O171),MAP!$A$7:$A$156,0)),"UNMAPPED")),IFERROR(INDEX(MAP!$B$7:$B$156,MATCH(TRIM(O171),MAP!$A$7:$A$156,0)),"UNMAPPED"))</f>
        <v>Community Benefit Manager</v>
      </c>
      <c r="Q171" s="48" t="n">
        <f aca="false">STACK!I171</f>
        <v>43.75</v>
      </c>
      <c r="R171" s="60" t="n">
        <f aca="false">IF(G171&gt;0,IF(INDEX(CONFIRM!$F$5:$F$53,G171)&lt;&gt;"",INDEX(CONFIRM!$F$5:$F$53,G171),IF(ISNUMBER(Q171),Q171,IF(Q171="","",IFERROR(VALUE(TRIM(SUBSTITUTE(SUBSTITUTE(LOWER(Q171),"hrs",""),"hr",""))),"")))),IF(ISNUMBER(Q171),Q171,IF(Q171="","",IFERROR(VALUE(TRIM(SUBSTITUTE(SUBSTITUTE(LOWER(Q171),"hrs",""),"hr",""))),""))))</f>
        <v>43.75</v>
      </c>
      <c r="S171" s="57" t="n">
        <f aca="false">IFERROR(INDEX(RATES!$E$6:$E$28,MATCH(P171,RATES!$A$6:$A$28,0)),0)</f>
        <v>59.11</v>
      </c>
      <c r="T171" s="61" t="n">
        <f aca="false">IF(ISNUMBER(R171),R171,0)*S171</f>
        <v>2586.0625</v>
      </c>
      <c r="U171" s="61" t="n">
        <f aca="false">T171*INDEX(INPUTS!$H$10:$H$14,MATCH(B171,INPUTS!$A$10:$A$14,0))</f>
        <v>478.4215625</v>
      </c>
      <c r="V171" s="61" t="n">
        <f aca="false">N(STACK!K171)</f>
        <v>1680</v>
      </c>
      <c r="W171" s="61" t="n">
        <f aca="false">T171+U171+V171</f>
        <v>4744.4840625</v>
      </c>
      <c r="X171" s="61" t="n">
        <f aca="false">N(STACK!L171)</f>
        <v>0</v>
      </c>
      <c r="Y171" s="61" t="n">
        <f aca="false">W171-X171</f>
        <v>4744.4840625</v>
      </c>
      <c r="Z171" s="1" t="n">
        <f aca="false">N(STACK!J171)</f>
        <v>0</v>
      </c>
      <c r="AA171" s="1" t="str">
        <f aca="false">TRIM(IF(D171="UNMAPPED","Program not mapped. ","")&amp;IF(OR(K171="UNMAPPED",K171="UNASSIGNED"),"Category needs review. ","")&amp;IF(P171="UNMAPPED","Title not mapped. ","")&amp;IF(AND(P171&lt;&gt;"No staff time",R171=""),"Missing hours. ","")&amp;IF(M171="","Date not readable. ","")&amp;IF(N171="No","Outside fiscal year. ","")&amp;IF(AND(F171="Event",ISNUMBER(R171)),IF(R171&gt;12,"Event hours look high. ",""),"")&amp;IF(G171&gt;0,"See CONFIRM sheet.",""))</f>
        <v/>
      </c>
      <c r="AB171" s="1" t="n">
        <f aca="false">IF(N171="No",0,IF(REVIEW!O171=0,0,IF(G171&gt;0,IF(INDEX(CONFIRM!$J$5:$J$53,G171)&lt;&gt;"",INDEX(CONFIRM!$J$5:$J$53,G171),1),1)))</f>
        <v>1</v>
      </c>
      <c r="AC171" s="1" t="n">
        <f aca="false">IF(AB171=1,IF(COUNTIFS($B$5:B171,B171,$D$5:D171,D171,$AB$5:AB171,1)=1,1,0),0)</f>
        <v>0</v>
      </c>
    </row>
    <row r="172" customFormat="false" ht="15" hidden="false" customHeight="false" outlineLevel="0" collapsed="false">
      <c r="A172" s="48" t="str">
        <f aca="false">STACK!A172</f>
        <v>KVMC-0168</v>
      </c>
      <c r="B172" s="48" t="str">
        <f aca="false">STACK!B172</f>
        <v>KVMC</v>
      </c>
      <c r="C172" s="48" t="str">
        <f aca="false">STACK!E172</f>
        <v>Community Health Needs Assessment</v>
      </c>
      <c r="D172" s="1" t="str">
        <f aca="false">IFERROR(INDEX(MAP!$J$7:$J$101,MATCH(TRIM(C172),MAP!$I$7:$I$101,0)),"UNMAPPED")</f>
        <v>Community Health Needs Assessment</v>
      </c>
      <c r="E172" s="1" t="str">
        <f aca="false">IFERROR(INDEX(MAP!$K$7:$K$101,MATCH(TRIM(C172),MAP!$I$7:$I$101,0)),"")</f>
        <v>Community benefit infrastructure</v>
      </c>
      <c r="F172" s="1" t="str">
        <f aca="false">IFERROR(INDEX(MAP!$L$7:$L$101,MATCH(TRIM(C172),MAP!$I$7:$I$101,0)),"")</f>
        <v>Monthly</v>
      </c>
      <c r="G172" s="1" t="n">
        <f aca="false">IFERROR(MATCH(A172,CONFIRM!$A$5:$A$53,0),0)</f>
        <v>0</v>
      </c>
      <c r="H172" s="48" t="str">
        <f aca="false">STACK!F172</f>
        <v>CB Operations</v>
      </c>
      <c r="I172" s="1" t="str">
        <f aca="false">IF(G172&gt;0,IF(INDEX(CONFIRM!$I$5:$I$53,G172)&lt;&gt;"",INDEX(CONFIRM!$I$5:$I$53,G172),H172),H172)</f>
        <v>CB Operations</v>
      </c>
      <c r="J172" s="1" t="str">
        <f aca="false">IFERROR(INDEX(MAP!$F$7:$F$74,MATCH(TRIM(I172),MAP!$E$7:$E$74,0)),"UNMAPPED")</f>
        <v>Community benefit operations</v>
      </c>
      <c r="K172" s="1" t="str">
        <f aca="false">IFERROR(INDEX(MAP!$G$7:$G$74,MATCH(TRIM(I172),MAP!$E$7:$E$74,0)),"UNMAPPED")</f>
        <v>7e</v>
      </c>
      <c r="L172" s="49" t="n">
        <f aca="false">STACK!G172</f>
        <v>45961</v>
      </c>
      <c r="M172" s="59" t="n">
        <f aca="false">IF(G172&gt;0,IF(INDEX(CONFIRM!$G$5:$G$53,G172)&lt;&gt;"",INDEX(CONFIRM!$G$5:$G$53,G172),IF(ISNUMBER(L172),L172,IFERROR(DATEVALUE(L172),""))),IF(ISNUMBER(L172),L172,IFERROR(DATEVALUE(L172),"")))</f>
        <v>45961</v>
      </c>
      <c r="N172" s="1" t="str">
        <f aca="false">IF(M172="","Check",IF(AND(M172&gt;=INPUTS!$C$6,M172&lt;=INPUTS!$C$7),"Yes","No"))</f>
        <v>Yes</v>
      </c>
      <c r="O172" s="48" t="str">
        <f aca="false">STACK!H172</f>
        <v>Analyst</v>
      </c>
      <c r="P172" s="1" t="str">
        <f aca="false">IF(G172&gt;0,IF(INDEX(CONFIRM!$H$5:$H$53,G172)&lt;&gt;"",INDEX(CONFIRM!$H$5:$H$53,G172),IFERROR(INDEX(MAP!$B$7:$B$156,MATCH(TRIM(O172),MAP!$A$7:$A$156,0)),"UNMAPPED")),IFERROR(INDEX(MAP!$B$7:$B$156,MATCH(TRIM(O172),MAP!$A$7:$A$156,0)),"UNMAPPED"))</f>
        <v>Data Analyst</v>
      </c>
      <c r="Q172" s="48" t="n">
        <f aca="false">STACK!I172</f>
        <v>33.5</v>
      </c>
      <c r="R172" s="60" t="n">
        <f aca="false">IF(G172&gt;0,IF(INDEX(CONFIRM!$F$5:$F$53,G172)&lt;&gt;"",INDEX(CONFIRM!$F$5:$F$53,G172),IF(ISNUMBER(Q172),Q172,IF(Q172="","",IFERROR(VALUE(TRIM(SUBSTITUTE(SUBSTITUTE(LOWER(Q172),"hrs",""),"hr",""))),"")))),IF(ISNUMBER(Q172),Q172,IF(Q172="","",IFERROR(VALUE(TRIM(SUBSTITUTE(SUBSTITUTE(LOWER(Q172),"hrs",""),"hr",""))),""))))</f>
        <v>33.5</v>
      </c>
      <c r="S172" s="57" t="n">
        <f aca="false">IFERROR(INDEX(RATES!$E$6:$E$28,MATCH(P172,RATES!$A$6:$A$28,0)),0)</f>
        <v>48.83</v>
      </c>
      <c r="T172" s="61" t="n">
        <f aca="false">IF(ISNUMBER(R172),R172,0)*S172</f>
        <v>1635.805</v>
      </c>
      <c r="U172" s="61" t="n">
        <f aca="false">T172*INDEX(INPUTS!$H$10:$H$14,MATCH(B172,INPUTS!$A$10:$A$14,0))</f>
        <v>302.623925</v>
      </c>
      <c r="V172" s="61" t="n">
        <f aca="false">N(STACK!K172)</f>
        <v>0</v>
      </c>
      <c r="W172" s="61" t="n">
        <f aca="false">T172+U172+V172</f>
        <v>1938.428925</v>
      </c>
      <c r="X172" s="61" t="n">
        <f aca="false">N(STACK!L172)</f>
        <v>0</v>
      </c>
      <c r="Y172" s="61" t="n">
        <f aca="false">W172-X172</f>
        <v>1938.428925</v>
      </c>
      <c r="Z172" s="1" t="n">
        <f aca="false">N(STACK!J172)</f>
        <v>0</v>
      </c>
      <c r="AA172" s="1" t="str">
        <f aca="false">TRIM(IF(D172="UNMAPPED","Program not mapped. ","")&amp;IF(OR(K172="UNMAPPED",K172="UNASSIGNED"),"Category needs review. ","")&amp;IF(P172="UNMAPPED","Title not mapped. ","")&amp;IF(AND(P172&lt;&gt;"No staff time",R172=""),"Missing hours. ","")&amp;IF(M172="","Date not readable. ","")&amp;IF(N172="No","Outside fiscal year. ","")&amp;IF(AND(F172="Event",ISNUMBER(R172)),IF(R172&gt;12,"Event hours look high. ",""),"")&amp;IF(G172&gt;0,"See CONFIRM sheet.",""))</f>
        <v/>
      </c>
      <c r="AB172" s="1" t="n">
        <f aca="false">IF(N172="No",0,IF(REVIEW!O172=0,0,IF(G172&gt;0,IF(INDEX(CONFIRM!$J$5:$J$53,G172)&lt;&gt;"",INDEX(CONFIRM!$J$5:$J$53,G172),1),1)))</f>
        <v>1</v>
      </c>
      <c r="AC172" s="1" t="n">
        <f aca="false">IF(AB172=1,IF(COUNTIFS($B$5:B172,B172,$D$5:D172,D172,$AB$5:AB172,1)=1,1,0),0)</f>
        <v>0</v>
      </c>
    </row>
    <row r="173" customFormat="false" ht="15" hidden="false" customHeight="false" outlineLevel="0" collapsed="false">
      <c r="A173" s="48" t="str">
        <f aca="false">STACK!A173</f>
        <v>KVMC-0169</v>
      </c>
      <c r="B173" s="48" t="str">
        <f aca="false">STACK!B173</f>
        <v>KVMC</v>
      </c>
      <c r="C173" s="48" t="str">
        <f aca="false">STACK!E173</f>
        <v>Community Benefit Program Administration</v>
      </c>
      <c r="D173" s="1" t="str">
        <f aca="false">IFERROR(INDEX(MAP!$J$7:$J$101,MATCH(TRIM(C173),MAP!$I$7:$I$101,0)),"UNMAPPED")</f>
        <v>Community Benefit Program Administration</v>
      </c>
      <c r="E173" s="1" t="str">
        <f aca="false">IFERROR(INDEX(MAP!$K$7:$K$101,MATCH(TRIM(C173),MAP!$I$7:$I$101,0)),"")</f>
        <v>Community benefit infrastructure</v>
      </c>
      <c r="F173" s="1" t="str">
        <f aca="false">IFERROR(INDEX(MAP!$L$7:$L$101,MATCH(TRIM(C173),MAP!$I$7:$I$101,0)),"")</f>
        <v>Monthly</v>
      </c>
      <c r="G173" s="1" t="n">
        <f aca="false">IFERROR(MATCH(A173,CONFIRM!$A$5:$A$53,0),0)</f>
        <v>0</v>
      </c>
      <c r="H173" s="48" t="str">
        <f aca="false">STACK!F173</f>
        <v>CB Operations</v>
      </c>
      <c r="I173" s="1" t="str">
        <f aca="false">IF(G173&gt;0,IF(INDEX(CONFIRM!$I$5:$I$53,G173)&lt;&gt;"",INDEX(CONFIRM!$I$5:$I$53,G173),H173),H173)</f>
        <v>CB Operations</v>
      </c>
      <c r="J173" s="1" t="str">
        <f aca="false">IFERROR(INDEX(MAP!$F$7:$F$74,MATCH(TRIM(I173),MAP!$E$7:$E$74,0)),"UNMAPPED")</f>
        <v>Community benefit operations</v>
      </c>
      <c r="K173" s="1" t="str">
        <f aca="false">IFERROR(INDEX(MAP!$G$7:$G$74,MATCH(TRIM(I173),MAP!$E$7:$E$74,0)),"UNMAPPED")</f>
        <v>7e</v>
      </c>
      <c r="L173" s="49" t="n">
        <f aca="false">STACK!G173</f>
        <v>45961</v>
      </c>
      <c r="M173" s="59" t="n">
        <f aca="false">IF(G173&gt;0,IF(INDEX(CONFIRM!$G$5:$G$53,G173)&lt;&gt;"",INDEX(CONFIRM!$G$5:$G$53,G173),IF(ISNUMBER(L173),L173,IFERROR(DATEVALUE(L173),""))),IF(ISNUMBER(L173),L173,IFERROR(DATEVALUE(L173),"")))</f>
        <v>45961</v>
      </c>
      <c r="N173" s="1" t="str">
        <f aca="false">IF(M173="","Check",IF(AND(M173&gt;=INPUTS!$C$6,M173&lt;=INPUTS!$C$7),"Yes","No"))</f>
        <v>Yes</v>
      </c>
      <c r="O173" s="48" t="str">
        <f aca="false">STACK!H173</f>
        <v>office coordinator </v>
      </c>
      <c r="P173" s="1" t="str">
        <f aca="false">IF(G173&gt;0,IF(INDEX(CONFIRM!$H$5:$H$53,G173)&lt;&gt;"",INDEX(CONFIRM!$H$5:$H$53,G173),IFERROR(INDEX(MAP!$B$7:$B$156,MATCH(TRIM(O173),MAP!$A$7:$A$156,0)),"UNMAPPED")),IFERROR(INDEX(MAP!$B$7:$B$156,MATCH(TRIM(O173),MAP!$A$7:$A$156,0)),"UNMAPPED"))</f>
        <v>Administrative Assistant</v>
      </c>
      <c r="Q173" s="48" t="n">
        <f aca="false">STACK!I173</f>
        <v>51.25</v>
      </c>
      <c r="R173" s="60" t="n">
        <f aca="false">IF(G173&gt;0,IF(INDEX(CONFIRM!$F$5:$F$53,G173)&lt;&gt;"",INDEX(CONFIRM!$F$5:$F$53,G173),IF(ISNUMBER(Q173),Q173,IF(Q173="","",IFERROR(VALUE(TRIM(SUBSTITUTE(SUBSTITUTE(LOWER(Q173),"hrs",""),"hr",""))),"")))),IF(ISNUMBER(Q173),Q173,IF(Q173="","",IFERROR(VALUE(TRIM(SUBSTITUTE(SUBSTITUTE(LOWER(Q173),"hrs",""),"hr",""))),""))))</f>
        <v>51.25</v>
      </c>
      <c r="S173" s="57" t="n">
        <f aca="false">IFERROR(INDEX(RATES!$E$6:$E$28,MATCH(P173,RATES!$A$6:$A$28,0)),0)</f>
        <v>26.985</v>
      </c>
      <c r="T173" s="61" t="n">
        <f aca="false">IF(ISNUMBER(R173),R173,0)*S173</f>
        <v>1382.98125</v>
      </c>
      <c r="U173" s="61" t="n">
        <f aca="false">T173*INDEX(INPUTS!$H$10:$H$14,MATCH(B173,INPUTS!$A$10:$A$14,0))</f>
        <v>255.85153125</v>
      </c>
      <c r="V173" s="61" t="n">
        <f aca="false">N(STACK!K173)</f>
        <v>0</v>
      </c>
      <c r="W173" s="61" t="n">
        <f aca="false">T173+U173+V173</f>
        <v>1638.83278125</v>
      </c>
      <c r="X173" s="61" t="n">
        <f aca="false">N(STACK!L173)</f>
        <v>0</v>
      </c>
      <c r="Y173" s="61" t="n">
        <f aca="false">W173-X173</f>
        <v>1638.83278125</v>
      </c>
      <c r="Z173" s="1" t="n">
        <f aca="false">N(STACK!J173)</f>
        <v>0</v>
      </c>
      <c r="AA173" s="1" t="str">
        <f aca="false">TRIM(IF(D173="UNMAPPED","Program not mapped. ","")&amp;IF(OR(K173="UNMAPPED",K173="UNASSIGNED"),"Category needs review. ","")&amp;IF(P173="UNMAPPED","Title not mapped. ","")&amp;IF(AND(P173&lt;&gt;"No staff time",R173=""),"Missing hours. ","")&amp;IF(M173="","Date not readable. ","")&amp;IF(N173="No","Outside fiscal year. ","")&amp;IF(AND(F173="Event",ISNUMBER(R173)),IF(R173&gt;12,"Event hours look high. ",""),"")&amp;IF(G173&gt;0,"See CONFIRM sheet.",""))</f>
        <v/>
      </c>
      <c r="AB173" s="1" t="n">
        <f aca="false">IF(N173="No",0,IF(REVIEW!O173=0,0,IF(G173&gt;0,IF(INDEX(CONFIRM!$J$5:$J$53,G173)&lt;&gt;"",INDEX(CONFIRM!$J$5:$J$53,G173),1),1)))</f>
        <v>1</v>
      </c>
      <c r="AC173" s="1" t="n">
        <f aca="false">IF(AB173=1,IF(COUNTIFS($B$5:B173,B173,$D$5:D173,D173,$AB$5:AB173,1)=1,1,0),0)</f>
        <v>0</v>
      </c>
    </row>
    <row r="174" customFormat="false" ht="15" hidden="false" customHeight="false" outlineLevel="0" collapsed="false">
      <c r="A174" s="48" t="str">
        <f aca="false">STACK!A174</f>
        <v>KVMC-0170</v>
      </c>
      <c r="B174" s="48" t="str">
        <f aca="false">STACK!B174</f>
        <v>KVMC</v>
      </c>
      <c r="C174" s="48" t="str">
        <f aca="false">STACK!E174</f>
        <v>Community Benefit Program Administration</v>
      </c>
      <c r="D174" s="1" t="str">
        <f aca="false">IFERROR(INDEX(MAP!$J$7:$J$101,MATCH(TRIM(C174),MAP!$I$7:$I$101,0)),"UNMAPPED")</f>
        <v>Community Benefit Program Administration</v>
      </c>
      <c r="E174" s="1" t="str">
        <f aca="false">IFERROR(INDEX(MAP!$K$7:$K$101,MATCH(TRIM(C174),MAP!$I$7:$I$101,0)),"")</f>
        <v>Community benefit infrastructure</v>
      </c>
      <c r="F174" s="1" t="str">
        <f aca="false">IFERROR(INDEX(MAP!$L$7:$L$101,MATCH(TRIM(C174),MAP!$I$7:$I$101,0)),"")</f>
        <v>Monthly</v>
      </c>
      <c r="G174" s="1" t="n">
        <f aca="false">IFERROR(MATCH(A174,CONFIRM!$A$5:$A$53,0),0)</f>
        <v>0</v>
      </c>
      <c r="H174" s="48" t="str">
        <f aca="false">STACK!F174</f>
        <v>CB Operations</v>
      </c>
      <c r="I174" s="1" t="str">
        <f aca="false">IF(G174&gt;0,IF(INDEX(CONFIRM!$I$5:$I$53,G174)&lt;&gt;"",INDEX(CONFIRM!$I$5:$I$53,G174),H174),H174)</f>
        <v>CB Operations</v>
      </c>
      <c r="J174" s="1" t="str">
        <f aca="false">IFERROR(INDEX(MAP!$F$7:$F$74,MATCH(TRIM(I174),MAP!$E$7:$E$74,0)),"UNMAPPED")</f>
        <v>Community benefit operations</v>
      </c>
      <c r="K174" s="1" t="str">
        <f aca="false">IFERROR(INDEX(MAP!$G$7:$G$74,MATCH(TRIM(I174),MAP!$E$7:$E$74,0)),"UNMAPPED")</f>
        <v>7e</v>
      </c>
      <c r="L174" s="49" t="n">
        <f aca="false">STACK!G174</f>
        <v>45961</v>
      </c>
      <c r="M174" s="59" t="n">
        <f aca="false">IF(G174&gt;0,IF(INDEX(CONFIRM!$G$5:$G$53,G174)&lt;&gt;"",INDEX(CONFIRM!$G$5:$G$53,G174),IF(ISNUMBER(L174),L174,IFERROR(DATEVALUE(L174),""))),IF(ISNUMBER(L174),L174,IFERROR(DATEVALUE(L174),"")))</f>
        <v>45961</v>
      </c>
      <c r="N174" s="1" t="str">
        <f aca="false">IF(M174="","Check",IF(AND(M174&gt;=INPUTS!$C$6,M174&lt;=INPUTS!$C$7),"Yes","No"))</f>
        <v>Yes</v>
      </c>
      <c r="O174" s="48" t="str">
        <f aca="false">STACK!H174</f>
        <v>Community Benefit Mgr</v>
      </c>
      <c r="P174" s="1" t="str">
        <f aca="false">IF(G174&gt;0,IF(INDEX(CONFIRM!$H$5:$H$53,G174)&lt;&gt;"",INDEX(CONFIRM!$H$5:$H$53,G174),IFERROR(INDEX(MAP!$B$7:$B$156,MATCH(TRIM(O174),MAP!$A$7:$A$156,0)),"UNMAPPED")),IFERROR(INDEX(MAP!$B$7:$B$156,MATCH(TRIM(O174),MAP!$A$7:$A$156,0)),"UNMAPPED"))</f>
        <v>Community Benefit Manager</v>
      </c>
      <c r="Q174" s="48" t="n">
        <f aca="false">STACK!I174</f>
        <v>97.25</v>
      </c>
      <c r="R174" s="60" t="n">
        <f aca="false">IF(G174&gt;0,IF(INDEX(CONFIRM!$F$5:$F$53,G174)&lt;&gt;"",INDEX(CONFIRM!$F$5:$F$53,G174),IF(ISNUMBER(Q174),Q174,IF(Q174="","",IFERROR(VALUE(TRIM(SUBSTITUTE(SUBSTITUTE(LOWER(Q174),"hrs",""),"hr",""))),"")))),IF(ISNUMBER(Q174),Q174,IF(Q174="","",IFERROR(VALUE(TRIM(SUBSTITUTE(SUBSTITUTE(LOWER(Q174),"hrs",""),"hr",""))),""))))</f>
        <v>97.25</v>
      </c>
      <c r="S174" s="57" t="n">
        <f aca="false">IFERROR(INDEX(RATES!$E$6:$E$28,MATCH(P174,RATES!$A$6:$A$28,0)),0)</f>
        <v>59.11</v>
      </c>
      <c r="T174" s="61" t="n">
        <f aca="false">IF(ISNUMBER(R174),R174,0)*S174</f>
        <v>5748.4475</v>
      </c>
      <c r="U174" s="61" t="n">
        <f aca="false">T174*INDEX(INPUTS!$H$10:$H$14,MATCH(B174,INPUTS!$A$10:$A$14,0))</f>
        <v>1063.4627875</v>
      </c>
      <c r="V174" s="61" t="n">
        <f aca="false">N(STACK!K174)</f>
        <v>290</v>
      </c>
      <c r="W174" s="61" t="n">
        <f aca="false">T174+U174+V174</f>
        <v>7101.9102875</v>
      </c>
      <c r="X174" s="61" t="n">
        <f aca="false">N(STACK!L174)</f>
        <v>0</v>
      </c>
      <c r="Y174" s="61" t="n">
        <f aca="false">W174-X174</f>
        <v>7101.9102875</v>
      </c>
      <c r="Z174" s="1" t="n">
        <f aca="false">N(STACK!J174)</f>
        <v>0</v>
      </c>
      <c r="AA174" s="1" t="str">
        <f aca="false">TRIM(IF(D174="UNMAPPED","Program not mapped. ","")&amp;IF(OR(K174="UNMAPPED",K174="UNASSIGNED"),"Category needs review. ","")&amp;IF(P174="UNMAPPED","Title not mapped. ","")&amp;IF(AND(P174&lt;&gt;"No staff time",R174=""),"Missing hours. ","")&amp;IF(M174="","Date not readable. ","")&amp;IF(N174="No","Outside fiscal year. ","")&amp;IF(AND(F174="Event",ISNUMBER(R174)),IF(R174&gt;12,"Event hours look high. ",""),"")&amp;IF(G174&gt;0,"See CONFIRM sheet.",""))</f>
        <v/>
      </c>
      <c r="AB174" s="1" t="n">
        <f aca="false">IF(N174="No",0,IF(REVIEW!O174=0,0,IF(G174&gt;0,IF(INDEX(CONFIRM!$J$5:$J$53,G174)&lt;&gt;"",INDEX(CONFIRM!$J$5:$J$53,G174),1),1)))</f>
        <v>1</v>
      </c>
      <c r="AC174" s="1" t="n">
        <f aca="false">IF(AB174=1,IF(COUNTIFS($B$5:B174,B174,$D$5:D174,D174,$AB$5:AB174,1)=1,1,0),0)</f>
        <v>0</v>
      </c>
    </row>
    <row r="175" customFormat="false" ht="15" hidden="false" customHeight="false" outlineLevel="0" collapsed="false">
      <c r="A175" s="48" t="str">
        <f aca="false">STACK!A175</f>
        <v>KVMC-0171</v>
      </c>
      <c r="B175" s="48" t="str">
        <f aca="false">STACK!B175</f>
        <v>KVMC</v>
      </c>
      <c r="C175" s="48" t="str">
        <f aca="false">STACK!E175</f>
        <v>Interpreter Services for Community Clinics</v>
      </c>
      <c r="D175" s="1" t="str">
        <f aca="false">IFERROR(INDEX(MAP!$J$7:$J$101,MATCH(TRIM(C175),MAP!$I$7:$I$101,0)),"UNMAPPED")</f>
        <v>Interpreter Services for Community Clinics</v>
      </c>
      <c r="E175" s="1" t="str">
        <f aca="false">IFERROR(INDEX(MAP!$K$7:$K$101,MATCH(TRIM(C175),MAP!$I$7:$I$101,0)),"")</f>
        <v>Access to care</v>
      </c>
      <c r="F175" s="1" t="str">
        <f aca="false">IFERROR(INDEX(MAP!$L$7:$L$101,MATCH(TRIM(C175),MAP!$I$7:$I$101,0)),"")</f>
        <v>Monthly</v>
      </c>
      <c r="G175" s="1" t="n">
        <f aca="false">IFERROR(MATCH(A175,CONFIRM!$A$5:$A$53,0),0)</f>
        <v>0</v>
      </c>
      <c r="H175" s="48" t="str">
        <f aca="false">STACK!F175</f>
        <v>Health Care Support Services</v>
      </c>
      <c r="I175" s="1" t="str">
        <f aca="false">IF(G175&gt;0,IF(INDEX(CONFIRM!$I$5:$I$53,G175)&lt;&gt;"",INDEX(CONFIRM!$I$5:$I$53,G175),H175),H175)</f>
        <v>Health Care Support Services</v>
      </c>
      <c r="J175" s="1" t="str">
        <f aca="false">IFERROR(INDEX(MAP!$F$7:$F$74,MATCH(TRIM(I175),MAP!$E$7:$E$74,0)),"UNMAPPED")</f>
        <v>Health care support services</v>
      </c>
      <c r="K175" s="1" t="str">
        <f aca="false">IFERROR(INDEX(MAP!$G$7:$G$74,MATCH(TRIM(I175),MAP!$E$7:$E$74,0)),"UNMAPPED")</f>
        <v>7e</v>
      </c>
      <c r="L175" s="49" t="n">
        <f aca="false">STACK!G175</f>
        <v>45961</v>
      </c>
      <c r="M175" s="59" t="n">
        <f aca="false">IF(G175&gt;0,IF(INDEX(CONFIRM!$G$5:$G$53,G175)&lt;&gt;"",INDEX(CONFIRM!$G$5:$G$53,G175),IF(ISNUMBER(L175),L175,IFERROR(DATEVALUE(L175),""))),IF(ISNUMBER(L175),L175,IFERROR(DATEVALUE(L175),"")))</f>
        <v>45961</v>
      </c>
      <c r="N175" s="1" t="str">
        <f aca="false">IF(M175="","Check",IF(AND(M175&gt;=INPUTS!$C$6,M175&lt;=INPUTS!$C$7),"Yes","No"))</f>
        <v>Yes</v>
      </c>
      <c r="O175" s="48" t="str">
        <f aca="false">STACK!H175</f>
        <v>INTERPRETER</v>
      </c>
      <c r="P175" s="1" t="str">
        <f aca="false">IF(G175&gt;0,IF(INDEX(CONFIRM!$H$5:$H$53,G175)&lt;&gt;"",INDEX(CONFIRM!$H$5:$H$53,G175),IFERROR(INDEX(MAP!$B$7:$B$156,MATCH(TRIM(O175),MAP!$A$7:$A$156,0)),"UNMAPPED")),IFERROR(INDEX(MAP!$B$7:$B$156,MATCH(TRIM(O175),MAP!$A$7:$A$156,0)),"UNMAPPED"))</f>
        <v>Interpreter</v>
      </c>
      <c r="Q175" s="48" t="n">
        <f aca="false">STACK!I175</f>
        <v>68.25</v>
      </c>
      <c r="R175" s="60" t="n">
        <f aca="false">IF(G175&gt;0,IF(INDEX(CONFIRM!$F$5:$F$53,G175)&lt;&gt;"",INDEX(CONFIRM!$F$5:$F$53,G175),IF(ISNUMBER(Q175),Q175,IF(Q175="","",IFERROR(VALUE(TRIM(SUBSTITUTE(SUBSTITUTE(LOWER(Q175),"hrs",""),"hr",""))),"")))),IF(ISNUMBER(Q175),Q175,IF(Q175="","",IFERROR(VALUE(TRIM(SUBSTITUTE(SUBSTITUTE(LOWER(Q175),"hrs",""),"hr",""))),""))))</f>
        <v>68.25</v>
      </c>
      <c r="S175" s="57" t="n">
        <f aca="false">IFERROR(INDEX(RATES!$E$6:$E$28,MATCH(P175,RATES!$A$6:$A$28,0)),0)</f>
        <v>32.7675</v>
      </c>
      <c r="T175" s="61" t="n">
        <f aca="false">IF(ISNUMBER(R175),R175,0)*S175</f>
        <v>2236.381875</v>
      </c>
      <c r="U175" s="61" t="n">
        <f aca="false">T175*INDEX(INPUTS!$H$10:$H$14,MATCH(B175,INPUTS!$A$10:$A$14,0))</f>
        <v>413.730646875</v>
      </c>
      <c r="V175" s="61" t="n">
        <f aca="false">N(STACK!K175)</f>
        <v>0</v>
      </c>
      <c r="W175" s="61" t="n">
        <f aca="false">T175+U175+V175</f>
        <v>2650.112521875</v>
      </c>
      <c r="X175" s="61" t="n">
        <f aca="false">N(STACK!L175)</f>
        <v>0</v>
      </c>
      <c r="Y175" s="61" t="n">
        <f aca="false">W175-X175</f>
        <v>2650.112521875</v>
      </c>
      <c r="Z175" s="1" t="n">
        <f aca="false">N(STACK!J175)</f>
        <v>212</v>
      </c>
      <c r="AA175" s="1" t="str">
        <f aca="false">TRIM(IF(D175="UNMAPPED","Program not mapped. ","")&amp;IF(OR(K175="UNMAPPED",K175="UNASSIGNED"),"Category needs review. ","")&amp;IF(P175="UNMAPPED","Title not mapped. ","")&amp;IF(AND(P175&lt;&gt;"No staff time",R175=""),"Missing hours. ","")&amp;IF(M175="","Date not readable. ","")&amp;IF(N175="No","Outside fiscal year. ","")&amp;IF(AND(F175="Event",ISNUMBER(R175)),IF(R175&gt;12,"Event hours look high. ",""),"")&amp;IF(G175&gt;0,"See CONFIRM sheet.",""))</f>
        <v/>
      </c>
      <c r="AB175" s="1" t="n">
        <f aca="false">IF(N175="No",0,IF(REVIEW!O175=0,0,IF(G175&gt;0,IF(INDEX(CONFIRM!$J$5:$J$53,G175)&lt;&gt;"",INDEX(CONFIRM!$J$5:$J$53,G175),1),1)))</f>
        <v>1</v>
      </c>
      <c r="AC175" s="1" t="n">
        <f aca="false">IF(AB175=1,IF(COUNTIFS($B$5:B175,B175,$D$5:D175,D175,$AB$5:AB175,1)=1,1,0),0)</f>
        <v>0</v>
      </c>
    </row>
    <row r="176" customFormat="false" ht="15" hidden="false" customHeight="false" outlineLevel="0" collapsed="false">
      <c r="A176" s="48" t="str">
        <f aca="false">STACK!A176</f>
        <v>KVMC-0172</v>
      </c>
      <c r="B176" s="48" t="str">
        <f aca="false">STACK!B176</f>
        <v>KVMC</v>
      </c>
      <c r="C176" s="48" t="str">
        <f aca="false">STACK!E176</f>
        <v>Nursing Student Clinical Rotations</v>
      </c>
      <c r="D176" s="1" t="str">
        <f aca="false">IFERROR(INDEX(MAP!$J$7:$J$101,MATCH(TRIM(C176),MAP!$I$7:$I$101,0)),"UNMAPPED")</f>
        <v>Nursing Student Clinical Rotations</v>
      </c>
      <c r="E176" s="1" t="str">
        <f aca="false">IFERROR(INDEX(MAP!$K$7:$K$101,MATCH(TRIM(C176),MAP!$I$7:$I$101,0)),"")</f>
        <v>Health workforce</v>
      </c>
      <c r="F176" s="1" t="str">
        <f aca="false">IFERROR(INDEX(MAP!$L$7:$L$101,MATCH(TRIM(C176),MAP!$I$7:$I$101,0)),"")</f>
        <v>Monthly</v>
      </c>
      <c r="G176" s="1" t="n">
        <f aca="false">IFERROR(MATCH(A176,CONFIRM!$A$5:$A$53,0),0)</f>
        <v>0</v>
      </c>
      <c r="H176" s="48" t="str">
        <f aca="false">STACK!F176</f>
        <v>Health Professions Education</v>
      </c>
      <c r="I176" s="1" t="str">
        <f aca="false">IF(G176&gt;0,IF(INDEX(CONFIRM!$I$5:$I$53,G176)&lt;&gt;"",INDEX(CONFIRM!$I$5:$I$53,G176),H176),H176)</f>
        <v>Health Professions Education</v>
      </c>
      <c r="J176" s="1" t="str">
        <f aca="false">IFERROR(INDEX(MAP!$F$7:$F$74,MATCH(TRIM(I176),MAP!$E$7:$E$74,0)),"UNMAPPED")</f>
        <v>Health professions education</v>
      </c>
      <c r="K176" s="1" t="str">
        <f aca="false">IFERROR(INDEX(MAP!$G$7:$G$74,MATCH(TRIM(I176),MAP!$E$7:$E$74,0)),"UNMAPPED")</f>
        <v>7f</v>
      </c>
      <c r="L176" s="49" t="n">
        <f aca="false">STACK!G176</f>
        <v>45961</v>
      </c>
      <c r="M176" s="59" t="n">
        <f aca="false">IF(G176&gt;0,IF(INDEX(CONFIRM!$G$5:$G$53,G176)&lt;&gt;"",INDEX(CONFIRM!$G$5:$G$53,G176),IF(ISNUMBER(L176),L176,IFERROR(DATEVALUE(L176),""))),IF(ISNUMBER(L176),L176,IFERROR(DATEVALUE(L176),"")))</f>
        <v>45961</v>
      </c>
      <c r="N176" s="1" t="str">
        <f aca="false">IF(M176="","Check",IF(AND(M176&gt;=INPUTS!$C$6,M176&lt;=INPUTS!$C$7),"Yes","No"))</f>
        <v>Yes</v>
      </c>
      <c r="O176" s="48" t="str">
        <f aca="false">STACK!H176</f>
        <v>Preceptor RN</v>
      </c>
      <c r="P176" s="1" t="str">
        <f aca="false">IF(G176&gt;0,IF(INDEX(CONFIRM!$H$5:$H$53,G176)&lt;&gt;"",INDEX(CONFIRM!$H$5:$H$53,G176),IFERROR(INDEX(MAP!$B$7:$B$156,MATCH(TRIM(O176),MAP!$A$7:$A$156,0)),"UNMAPPED")),IFERROR(INDEX(MAP!$B$7:$B$156,MATCH(TRIM(O176),MAP!$A$7:$A$156,0)),"UNMAPPED"))</f>
        <v>Clinical Nurse Educator</v>
      </c>
      <c r="Q176" s="48" t="n">
        <f aca="false">STACK!I176</f>
        <v>150</v>
      </c>
      <c r="R176" s="60" t="n">
        <f aca="false">IF(G176&gt;0,IF(INDEX(CONFIRM!$F$5:$F$53,G176)&lt;&gt;"",INDEX(CONFIRM!$F$5:$F$53,G176),IF(ISNUMBER(Q176),Q176,IF(Q176="","",IFERROR(VALUE(TRIM(SUBSTITUTE(SUBSTITUTE(LOWER(Q176),"hrs",""),"hr",""))),"")))),IF(ISNUMBER(Q176),Q176,IF(Q176="","",IFERROR(VALUE(TRIM(SUBSTITUTE(SUBSTITUTE(LOWER(Q176),"hrs",""),"hr",""))),""))))</f>
        <v>150</v>
      </c>
      <c r="S176" s="57" t="n">
        <f aca="false">IFERROR(INDEX(RATES!$E$6:$E$28,MATCH(P176,RATES!$A$6:$A$28,0)),0)</f>
        <v>62.965</v>
      </c>
      <c r="T176" s="61" t="n">
        <f aca="false">IF(ISNUMBER(R176),R176,0)*S176</f>
        <v>9444.75</v>
      </c>
      <c r="U176" s="61" t="n">
        <f aca="false">T176*INDEX(INPUTS!$H$10:$H$14,MATCH(B176,INPUTS!$A$10:$A$14,0))</f>
        <v>1747.27875</v>
      </c>
      <c r="V176" s="61" t="n">
        <f aca="false">N(STACK!K176)</f>
        <v>800</v>
      </c>
      <c r="W176" s="61" t="n">
        <f aca="false">T176+U176+V176</f>
        <v>11992.02875</v>
      </c>
      <c r="X176" s="61" t="n">
        <f aca="false">N(STACK!L176)</f>
        <v>0</v>
      </c>
      <c r="Y176" s="61" t="n">
        <f aca="false">W176-X176</f>
        <v>11992.02875</v>
      </c>
      <c r="Z176" s="1" t="n">
        <f aca="false">N(STACK!J176)</f>
        <v>26</v>
      </c>
      <c r="AA176" s="1" t="str">
        <f aca="false">TRIM(IF(D176="UNMAPPED","Program not mapped. ","")&amp;IF(OR(K176="UNMAPPED",K176="UNASSIGNED"),"Category needs review. ","")&amp;IF(P176="UNMAPPED","Title not mapped. ","")&amp;IF(AND(P176&lt;&gt;"No staff time",R176=""),"Missing hours. ","")&amp;IF(M176="","Date not readable. ","")&amp;IF(N176="No","Outside fiscal year. ","")&amp;IF(AND(F176="Event",ISNUMBER(R176)),IF(R176&gt;12,"Event hours look high. ",""),"")&amp;IF(G176&gt;0,"See CONFIRM sheet.",""))</f>
        <v/>
      </c>
      <c r="AB176" s="1" t="n">
        <f aca="false">IF(N176="No",0,IF(REVIEW!O176=0,0,IF(G176&gt;0,IF(INDEX(CONFIRM!$J$5:$J$53,G176)&lt;&gt;"",INDEX(CONFIRM!$J$5:$J$53,G176),1),1)))</f>
        <v>1</v>
      </c>
      <c r="AC176" s="1" t="n">
        <f aca="false">IF(AB176=1,IF(COUNTIFS($B$5:B176,B176,$D$5:D176,D176,$AB$5:AB176,1)=1,1,0),0)</f>
        <v>0</v>
      </c>
    </row>
    <row r="177" customFormat="false" ht="15" hidden="false" customHeight="false" outlineLevel="0" collapsed="false">
      <c r="A177" s="48" t="str">
        <f aca="false">STACK!A177</f>
        <v>KVMC-0173</v>
      </c>
      <c r="B177" s="48" t="str">
        <f aca="false">STACK!B177</f>
        <v>KVMC</v>
      </c>
      <c r="C177" s="48" t="str">
        <f aca="false">STACK!E177</f>
        <v>Nursing Student Clinical Rotations</v>
      </c>
      <c r="D177" s="1" t="str">
        <f aca="false">IFERROR(INDEX(MAP!$J$7:$J$101,MATCH(TRIM(C177),MAP!$I$7:$I$101,0)),"UNMAPPED")</f>
        <v>Nursing Student Clinical Rotations</v>
      </c>
      <c r="E177" s="1" t="str">
        <f aca="false">IFERROR(INDEX(MAP!$K$7:$K$101,MATCH(TRIM(C177),MAP!$I$7:$I$101,0)),"")</f>
        <v>Health workforce</v>
      </c>
      <c r="F177" s="1" t="str">
        <f aca="false">IFERROR(INDEX(MAP!$L$7:$L$101,MATCH(TRIM(C177),MAP!$I$7:$I$101,0)),"")</f>
        <v>Monthly</v>
      </c>
      <c r="G177" s="1" t="n">
        <f aca="false">IFERROR(MATCH(A177,CONFIRM!$A$5:$A$53,0),0)</f>
        <v>0</v>
      </c>
      <c r="H177" s="48" t="str">
        <f aca="false">STACK!F177</f>
        <v>Health Professions Education</v>
      </c>
      <c r="I177" s="1" t="str">
        <f aca="false">IF(G177&gt;0,IF(INDEX(CONFIRM!$I$5:$I$53,G177)&lt;&gt;"",INDEX(CONFIRM!$I$5:$I$53,G177),H177),H177)</f>
        <v>Health Professions Education</v>
      </c>
      <c r="J177" s="1" t="str">
        <f aca="false">IFERROR(INDEX(MAP!$F$7:$F$74,MATCH(TRIM(I177),MAP!$E$7:$E$74,0)),"UNMAPPED")</f>
        <v>Health professions education</v>
      </c>
      <c r="K177" s="1" t="str">
        <f aca="false">IFERROR(INDEX(MAP!$G$7:$G$74,MATCH(TRIM(I177),MAP!$E$7:$E$74,0)),"UNMAPPED")</f>
        <v>7f</v>
      </c>
      <c r="L177" s="49" t="n">
        <f aca="false">STACK!G177</f>
        <v>45961</v>
      </c>
      <c r="M177" s="59" t="n">
        <f aca="false">IF(G177&gt;0,IF(INDEX(CONFIRM!$G$5:$G$53,G177)&lt;&gt;"",INDEX(CONFIRM!$G$5:$G$53,G177),IF(ISNUMBER(L177),L177,IFERROR(DATEVALUE(L177),""))),IF(ISNUMBER(L177),L177,IFERROR(DATEVALUE(L177),"")))</f>
        <v>45961</v>
      </c>
      <c r="N177" s="1" t="str">
        <f aca="false">IF(M177="","Check",IF(AND(M177&gt;=INPUTS!$C$6,M177&lt;=INPUTS!$C$7),"Yes","No"))</f>
        <v>Yes</v>
      </c>
      <c r="O177" s="48" t="str">
        <f aca="false">STACK!H177</f>
        <v>RN II</v>
      </c>
      <c r="P177" s="1" t="str">
        <f aca="false">IF(G177&gt;0,IF(INDEX(CONFIRM!$H$5:$H$53,G177)&lt;&gt;"",INDEX(CONFIRM!$H$5:$H$53,G177),IFERROR(INDEX(MAP!$B$7:$B$156,MATCH(TRIM(O177),MAP!$A$7:$A$156,0)),"UNMAPPED")),IFERROR(INDEX(MAP!$B$7:$B$156,MATCH(TRIM(O177),MAP!$A$7:$A$156,0)),"UNMAPPED"))</f>
        <v>Registered Nurse</v>
      </c>
      <c r="Q177" s="48" t="n">
        <f aca="false">STACK!I177</f>
        <v>209.25</v>
      </c>
      <c r="R177" s="60" t="n">
        <f aca="false">IF(G177&gt;0,IF(INDEX(CONFIRM!$F$5:$F$53,G177)&lt;&gt;"",INDEX(CONFIRM!$F$5:$F$53,G177),IF(ISNUMBER(Q177),Q177,IF(Q177="","",IFERROR(VALUE(TRIM(SUBSTITUTE(SUBSTITUTE(LOWER(Q177),"hrs",""),"hr",""))),"")))),IF(ISNUMBER(Q177),Q177,IF(Q177="","",IFERROR(VALUE(TRIM(SUBSTITUTE(SUBSTITUTE(LOWER(Q177),"hrs",""),"hr",""))),""))))</f>
        <v>209.25</v>
      </c>
      <c r="S177" s="57" t="n">
        <f aca="false">IFERROR(INDEX(RATES!$E$6:$E$28,MATCH(P177,RATES!$A$6:$A$28,0)),0)</f>
        <v>55.8975</v>
      </c>
      <c r="T177" s="61" t="n">
        <f aca="false">IF(ISNUMBER(R177),R177,0)*S177</f>
        <v>11696.551875</v>
      </c>
      <c r="U177" s="61" t="n">
        <f aca="false">T177*INDEX(INPUTS!$H$10:$H$14,MATCH(B177,INPUTS!$A$10:$A$14,0))</f>
        <v>2163.862096875</v>
      </c>
      <c r="V177" s="61" t="n">
        <f aca="false">N(STACK!K177)</f>
        <v>0</v>
      </c>
      <c r="W177" s="61" t="n">
        <f aca="false">T177+U177+V177</f>
        <v>13860.413971875</v>
      </c>
      <c r="X177" s="61" t="n">
        <f aca="false">N(STACK!L177)</f>
        <v>0</v>
      </c>
      <c r="Y177" s="61" t="n">
        <f aca="false">W177-X177</f>
        <v>13860.413971875</v>
      </c>
      <c r="Z177" s="1" t="n">
        <f aca="false">N(STACK!J177)</f>
        <v>0</v>
      </c>
      <c r="AA177" s="1" t="str">
        <f aca="false">TRIM(IF(D177="UNMAPPED","Program not mapped. ","")&amp;IF(OR(K177="UNMAPPED",K177="UNASSIGNED"),"Category needs review. ","")&amp;IF(P177="UNMAPPED","Title not mapped. ","")&amp;IF(AND(P177&lt;&gt;"No staff time",R177=""),"Missing hours. ","")&amp;IF(M177="","Date not readable. ","")&amp;IF(N177="No","Outside fiscal year. ","")&amp;IF(AND(F177="Event",ISNUMBER(R177)),IF(R177&gt;12,"Event hours look high. ",""),"")&amp;IF(G177&gt;0,"See CONFIRM sheet.",""))</f>
        <v/>
      </c>
      <c r="AB177" s="1" t="n">
        <f aca="false">IF(N177="No",0,IF(REVIEW!O177=0,0,IF(G177&gt;0,IF(INDEX(CONFIRM!$J$5:$J$53,G177)&lt;&gt;"",INDEX(CONFIRM!$J$5:$J$53,G177),1),1)))</f>
        <v>1</v>
      </c>
      <c r="AC177" s="1" t="n">
        <f aca="false">IF(AB177=1,IF(COUNTIFS($B$5:B177,B177,$D$5:D177,D177,$AB$5:AB177,1)=1,1,0),0)</f>
        <v>0</v>
      </c>
    </row>
    <row r="178" customFormat="false" ht="15" hidden="false" customHeight="false" outlineLevel="0" collapsed="false">
      <c r="A178" s="48" t="str">
        <f aca="false">STACK!A178</f>
        <v>KVMC-0174</v>
      </c>
      <c r="B178" s="48" t="str">
        <f aca="false">STACK!B178</f>
        <v>KVMC</v>
      </c>
      <c r="C178" s="48" t="str">
        <f aca="false">STACK!E178</f>
        <v>Family Medicine Residency Program</v>
      </c>
      <c r="D178" s="1" t="str">
        <f aca="false">IFERROR(INDEX(MAP!$J$7:$J$101,MATCH(TRIM(C178),MAP!$I$7:$I$101,0)),"UNMAPPED")</f>
        <v>Family Medicine Residency Program</v>
      </c>
      <c r="E178" s="1" t="str">
        <f aca="false">IFERROR(INDEX(MAP!$K$7:$K$101,MATCH(TRIM(C178),MAP!$I$7:$I$101,0)),"")</f>
        <v>Health workforce</v>
      </c>
      <c r="F178" s="1" t="str">
        <f aca="false">IFERROR(INDEX(MAP!$L$7:$L$101,MATCH(TRIM(C178),MAP!$I$7:$I$101,0)),"")</f>
        <v>Monthly</v>
      </c>
      <c r="G178" s="1" t="n">
        <f aca="false">IFERROR(MATCH(A178,CONFIRM!$A$5:$A$53,0),0)</f>
        <v>0</v>
      </c>
      <c r="H178" s="48" t="str">
        <f aca="false">STACK!F178</f>
        <v>Health Professions Education</v>
      </c>
      <c r="I178" s="1" t="str">
        <f aca="false">IF(G178&gt;0,IF(INDEX(CONFIRM!$I$5:$I$53,G178)&lt;&gt;"",INDEX(CONFIRM!$I$5:$I$53,G178),H178),H178)</f>
        <v>Health Professions Education</v>
      </c>
      <c r="J178" s="1" t="str">
        <f aca="false">IFERROR(INDEX(MAP!$F$7:$F$74,MATCH(TRIM(I178),MAP!$E$7:$E$74,0)),"UNMAPPED")</f>
        <v>Health professions education</v>
      </c>
      <c r="K178" s="1" t="str">
        <f aca="false">IFERROR(INDEX(MAP!$G$7:$G$74,MATCH(TRIM(I178),MAP!$E$7:$E$74,0)),"UNMAPPED")</f>
        <v>7f</v>
      </c>
      <c r="L178" s="49" t="n">
        <f aca="false">STACK!G178</f>
        <v>45961</v>
      </c>
      <c r="M178" s="59" t="n">
        <f aca="false">IF(G178&gt;0,IF(INDEX(CONFIRM!$G$5:$G$53,G178)&lt;&gt;"",INDEX(CONFIRM!$G$5:$G$53,G178),IF(ISNUMBER(L178),L178,IFERROR(DATEVALUE(L178),""))),IF(ISNUMBER(L178),L178,IFERROR(DATEVALUE(L178),"")))</f>
        <v>45961</v>
      </c>
      <c r="N178" s="1" t="str">
        <f aca="false">IF(M178="","Check",IF(AND(M178&gt;=INPUTS!$C$6,M178&lt;=INPUTS!$C$7),"Yes","No"))</f>
        <v>Yes</v>
      </c>
      <c r="O178" s="48" t="str">
        <f aca="false">STACK!H178</f>
        <v> Dr.</v>
      </c>
      <c r="P178" s="1" t="str">
        <f aca="false">IF(G178&gt;0,IF(INDEX(CONFIRM!$H$5:$H$53,G178)&lt;&gt;"",INDEX(CONFIRM!$H$5:$H$53,G178),IFERROR(INDEX(MAP!$B$7:$B$156,MATCH(TRIM(O178),MAP!$A$7:$A$156,0)),"UNMAPPED")),IFERROR(INDEX(MAP!$B$7:$B$156,MATCH(TRIM(O178),MAP!$A$7:$A$156,0)),"UNMAPPED"))</f>
        <v>Physician</v>
      </c>
      <c r="Q178" s="48" t="n">
        <f aca="false">STACK!I178</f>
        <v>373.5</v>
      </c>
      <c r="R178" s="60" t="n">
        <f aca="false">IF(G178&gt;0,IF(INDEX(CONFIRM!$F$5:$F$53,G178)&lt;&gt;"",INDEX(CONFIRM!$F$5:$F$53,G178),IF(ISNUMBER(Q178),Q178,IF(Q178="","",IFERROR(VALUE(TRIM(SUBSTITUTE(SUBSTITUTE(LOWER(Q178),"hrs",""),"hr",""))),"")))),IF(ISNUMBER(Q178),Q178,IF(Q178="","",IFERROR(VALUE(TRIM(SUBSTITUTE(SUBSTITUTE(LOWER(Q178),"hrs",""),"hr",""))),""))))</f>
        <v>373.5</v>
      </c>
      <c r="S178" s="57" t="n">
        <f aca="false">IFERROR(INDEX(RATES!$E$6:$E$28,MATCH(P178,RATES!$A$6:$A$28,0)),0)</f>
        <v>151.63</v>
      </c>
      <c r="T178" s="61" t="n">
        <f aca="false">IF(ISNUMBER(R178),R178,0)*S178</f>
        <v>56633.805</v>
      </c>
      <c r="U178" s="61" t="n">
        <f aca="false">T178*INDEX(INPUTS!$H$10:$H$14,MATCH(B178,INPUTS!$A$10:$A$14,0))</f>
        <v>10477.253925</v>
      </c>
      <c r="V178" s="61" t="n">
        <f aca="false">N(STACK!K178)</f>
        <v>38785</v>
      </c>
      <c r="W178" s="61" t="n">
        <f aca="false">T178+U178+V178</f>
        <v>105896.058925</v>
      </c>
      <c r="X178" s="61" t="n">
        <f aca="false">N(STACK!L178)</f>
        <v>167285</v>
      </c>
      <c r="Y178" s="61" t="n">
        <f aca="false">W178-X178</f>
        <v>-61388.941075</v>
      </c>
      <c r="Z178" s="1" t="n">
        <f aca="false">N(STACK!J178)</f>
        <v>0</v>
      </c>
      <c r="AA178" s="1" t="str">
        <f aca="false">TRIM(IF(D178="UNMAPPED","Program not mapped. ","")&amp;IF(OR(K178="UNMAPPED",K178="UNASSIGNED"),"Category needs review. ","")&amp;IF(P178="UNMAPPED","Title not mapped. ","")&amp;IF(AND(P178&lt;&gt;"No staff time",R178=""),"Missing hours. ","")&amp;IF(M178="","Date not readable. ","")&amp;IF(N178="No","Outside fiscal year. ","")&amp;IF(AND(F178="Event",ISNUMBER(R178)),IF(R178&gt;12,"Event hours look high. ",""),"")&amp;IF(G178&gt;0,"See CONFIRM sheet.",""))</f>
        <v/>
      </c>
      <c r="AB178" s="1" t="n">
        <f aca="false">IF(N178="No",0,IF(REVIEW!O178=0,0,IF(G178&gt;0,IF(INDEX(CONFIRM!$J$5:$J$53,G178)&lt;&gt;"",INDEX(CONFIRM!$J$5:$J$53,G178),1),1)))</f>
        <v>1</v>
      </c>
      <c r="AC178" s="1" t="n">
        <f aca="false">IF(AB178=1,IF(COUNTIFS($B$5:B178,B178,$D$5:D178,D178,$AB$5:AB178,1)=1,1,0),0)</f>
        <v>0</v>
      </c>
    </row>
    <row r="179" customFormat="false" ht="15" hidden="false" customHeight="false" outlineLevel="0" collapsed="false">
      <c r="A179" s="48" t="str">
        <f aca="false">STACK!A179</f>
        <v>KVMC-0175</v>
      </c>
      <c r="B179" s="48" t="str">
        <f aca="false">STACK!B179</f>
        <v>KVMC</v>
      </c>
      <c r="C179" s="48" t="str">
        <f aca="false">STACK!E179</f>
        <v>Family Medicine Residency Program</v>
      </c>
      <c r="D179" s="1" t="str">
        <f aca="false">IFERROR(INDEX(MAP!$J$7:$J$101,MATCH(TRIM(C179),MAP!$I$7:$I$101,0)),"UNMAPPED")</f>
        <v>Family Medicine Residency Program</v>
      </c>
      <c r="E179" s="1" t="str">
        <f aca="false">IFERROR(INDEX(MAP!$K$7:$K$101,MATCH(TRIM(C179),MAP!$I$7:$I$101,0)),"")</f>
        <v>Health workforce</v>
      </c>
      <c r="F179" s="1" t="str">
        <f aca="false">IFERROR(INDEX(MAP!$L$7:$L$101,MATCH(TRIM(C179),MAP!$I$7:$I$101,0)),"")</f>
        <v>Monthly</v>
      </c>
      <c r="G179" s="1" t="n">
        <f aca="false">IFERROR(MATCH(A179,CONFIRM!$A$5:$A$53,0),0)</f>
        <v>0</v>
      </c>
      <c r="H179" s="48" t="str">
        <f aca="false">STACK!F179</f>
        <v>Health Professions Education</v>
      </c>
      <c r="I179" s="1" t="str">
        <f aca="false">IF(G179&gt;0,IF(INDEX(CONFIRM!$I$5:$I$53,G179)&lt;&gt;"",INDEX(CONFIRM!$I$5:$I$53,G179),H179),H179)</f>
        <v>Health Professions Education</v>
      </c>
      <c r="J179" s="1" t="str">
        <f aca="false">IFERROR(INDEX(MAP!$F$7:$F$74,MATCH(TRIM(I179),MAP!$E$7:$E$74,0)),"UNMAPPED")</f>
        <v>Health professions education</v>
      </c>
      <c r="K179" s="1" t="str">
        <f aca="false">IFERROR(INDEX(MAP!$G$7:$G$74,MATCH(TRIM(I179),MAP!$E$7:$E$74,0)),"UNMAPPED")</f>
        <v>7f</v>
      </c>
      <c r="L179" s="49" t="n">
        <f aca="false">STACK!G179</f>
        <v>45961</v>
      </c>
      <c r="M179" s="59" t="n">
        <f aca="false">IF(G179&gt;0,IF(INDEX(CONFIRM!$G$5:$G$53,G179)&lt;&gt;"",INDEX(CONFIRM!$G$5:$G$53,G179),IF(ISNUMBER(L179),L179,IFERROR(DATEVALUE(L179),""))),IF(ISNUMBER(L179),L179,IFERROR(DATEVALUE(L179),"")))</f>
        <v>45961</v>
      </c>
      <c r="N179" s="1" t="str">
        <f aca="false">IF(M179="","Check",IF(AND(M179&gt;=INPUTS!$C$6,M179&lt;=INPUTS!$C$7),"Yes","No"))</f>
        <v>Yes</v>
      </c>
      <c r="O179" s="48" t="str">
        <f aca="false">STACK!H179</f>
        <v> RESIDENCY COORDINATOR</v>
      </c>
      <c r="P179" s="1" t="str">
        <f aca="false">IF(G179&gt;0,IF(INDEX(CONFIRM!$H$5:$H$53,G179)&lt;&gt;"",INDEX(CONFIRM!$H$5:$H$53,G179),IFERROR(INDEX(MAP!$B$7:$B$156,MATCH(TRIM(O179),MAP!$A$7:$A$156,0)),"UNMAPPED")),IFERROR(INDEX(MAP!$B$7:$B$156,MATCH(TRIM(O179),MAP!$A$7:$A$156,0)),"UNMAPPED"))</f>
        <v>Program Coordinator</v>
      </c>
      <c r="Q179" s="48" t="n">
        <f aca="false">STACK!I179</f>
        <v>163.75</v>
      </c>
      <c r="R179" s="60" t="n">
        <f aca="false">IF(G179&gt;0,IF(INDEX(CONFIRM!$F$5:$F$53,G179)&lt;&gt;"",INDEX(CONFIRM!$F$5:$F$53,G179),IF(ISNUMBER(Q179),Q179,IF(Q179="","",IFERROR(VALUE(TRIM(SUBSTITUTE(SUBSTITUTE(LOWER(Q179),"hrs",""),"hr",""))),"")))),IF(ISNUMBER(Q179),Q179,IF(Q179="","",IFERROR(VALUE(TRIM(SUBSTITUTE(SUBSTITUTE(LOWER(Q179),"hrs",""),"hr",""))),""))))</f>
        <v>163.75</v>
      </c>
      <c r="S179" s="57" t="n">
        <f aca="false">IFERROR(INDEX(RATES!$E$6:$E$28,MATCH(P179,RATES!$A$6:$A$28,0)),0)</f>
        <v>35.3375</v>
      </c>
      <c r="T179" s="61" t="n">
        <f aca="false">IF(ISNUMBER(R179),R179,0)*S179</f>
        <v>5786.515625</v>
      </c>
      <c r="U179" s="61" t="n">
        <f aca="false">T179*INDEX(INPUTS!$H$10:$H$14,MATCH(B179,INPUTS!$A$10:$A$14,0))</f>
        <v>1070.505390625</v>
      </c>
      <c r="V179" s="61" t="n">
        <f aca="false">N(STACK!K179)</f>
        <v>0</v>
      </c>
      <c r="W179" s="61" t="n">
        <f aca="false">T179+U179+V179</f>
        <v>6857.021015625</v>
      </c>
      <c r="X179" s="61" t="n">
        <f aca="false">N(STACK!L179)</f>
        <v>0</v>
      </c>
      <c r="Y179" s="61" t="n">
        <f aca="false">W179-X179</f>
        <v>6857.021015625</v>
      </c>
      <c r="Z179" s="1" t="n">
        <f aca="false">N(STACK!J179)</f>
        <v>0</v>
      </c>
      <c r="AA179" s="1" t="str">
        <f aca="false">TRIM(IF(D179="UNMAPPED","Program not mapped. ","")&amp;IF(OR(K179="UNMAPPED",K179="UNASSIGNED"),"Category needs review. ","")&amp;IF(P179="UNMAPPED","Title not mapped. ","")&amp;IF(AND(P179&lt;&gt;"No staff time",R179=""),"Missing hours. ","")&amp;IF(M179="","Date not readable. ","")&amp;IF(N179="No","Outside fiscal year. ","")&amp;IF(AND(F179="Event",ISNUMBER(R179)),IF(R179&gt;12,"Event hours look high. ",""),"")&amp;IF(G179&gt;0,"See CONFIRM sheet.",""))</f>
        <v/>
      </c>
      <c r="AB179" s="1" t="n">
        <f aca="false">IF(N179="No",0,IF(REVIEW!O179=0,0,IF(G179&gt;0,IF(INDEX(CONFIRM!$J$5:$J$53,G179)&lt;&gt;"",INDEX(CONFIRM!$J$5:$J$53,G179),1),1)))</f>
        <v>1</v>
      </c>
      <c r="AC179" s="1" t="n">
        <f aca="false">IF(AB179=1,IF(COUNTIFS($B$5:B179,B179,$D$5:D179,D179,$AB$5:AB179,1)=1,1,0),0)</f>
        <v>0</v>
      </c>
    </row>
    <row r="180" customFormat="false" ht="15" hidden="false" customHeight="false" outlineLevel="0" collapsed="false">
      <c r="A180" s="48" t="str">
        <f aca="false">STACK!A180</f>
        <v>KVMC-0176</v>
      </c>
      <c r="B180" s="48" t="str">
        <f aca="false">STACK!B180</f>
        <v>KVMC</v>
      </c>
      <c r="C180" s="48" t="str">
        <f aca="false">STACK!E180</f>
        <v>Family Medicine Residency Program</v>
      </c>
      <c r="D180" s="1" t="str">
        <f aca="false">IFERROR(INDEX(MAP!$J$7:$J$101,MATCH(TRIM(C180),MAP!$I$7:$I$101,0)),"UNMAPPED")</f>
        <v>Family Medicine Residency Program</v>
      </c>
      <c r="E180" s="1" t="str">
        <f aca="false">IFERROR(INDEX(MAP!$K$7:$K$101,MATCH(TRIM(C180),MAP!$I$7:$I$101,0)),"")</f>
        <v>Health workforce</v>
      </c>
      <c r="F180" s="1" t="str">
        <f aca="false">IFERROR(INDEX(MAP!$L$7:$L$101,MATCH(TRIM(C180),MAP!$I$7:$I$101,0)),"")</f>
        <v>Monthly</v>
      </c>
      <c r="G180" s="1" t="n">
        <f aca="false">IFERROR(MATCH(A180,CONFIRM!$A$5:$A$53,0),0)</f>
        <v>0</v>
      </c>
      <c r="H180" s="48" t="str">
        <f aca="false">STACK!F180</f>
        <v>Health Professions Education</v>
      </c>
      <c r="I180" s="1" t="str">
        <f aca="false">IF(G180&gt;0,IF(INDEX(CONFIRM!$I$5:$I$53,G180)&lt;&gt;"",INDEX(CONFIRM!$I$5:$I$53,G180),H180),H180)</f>
        <v>Health Professions Education</v>
      </c>
      <c r="J180" s="1" t="str">
        <f aca="false">IFERROR(INDEX(MAP!$F$7:$F$74,MATCH(TRIM(I180),MAP!$E$7:$E$74,0)),"UNMAPPED")</f>
        <v>Health professions education</v>
      </c>
      <c r="K180" s="1" t="str">
        <f aca="false">IFERROR(INDEX(MAP!$G$7:$G$74,MATCH(TRIM(I180),MAP!$E$7:$E$74,0)),"UNMAPPED")</f>
        <v>7f</v>
      </c>
      <c r="L180" s="49" t="n">
        <f aca="false">STACK!G180</f>
        <v>45961</v>
      </c>
      <c r="M180" s="59" t="n">
        <f aca="false">IF(G180&gt;0,IF(INDEX(CONFIRM!$G$5:$G$53,G180)&lt;&gt;"",INDEX(CONFIRM!$G$5:$G$53,G180),IF(ISNUMBER(L180),L180,IFERROR(DATEVALUE(L180),""))),IF(ISNUMBER(L180),L180,IFERROR(DATEVALUE(L180),"")))</f>
        <v>45961</v>
      </c>
      <c r="N180" s="1" t="str">
        <f aca="false">IF(M180="","Check",IF(AND(M180&gt;=INPUTS!$C$6,M180&lt;=INPUTS!$C$7),"Yes","No"))</f>
        <v>Yes</v>
      </c>
      <c r="O180" s="48" t="str">
        <f aca="false">STACK!H180</f>
        <v>Res. Physician</v>
      </c>
      <c r="P180" s="1" t="str">
        <f aca="false">IF(G180&gt;0,IF(INDEX(CONFIRM!$H$5:$H$53,G180)&lt;&gt;"",INDEX(CONFIRM!$H$5:$H$53,G180),IFERROR(INDEX(MAP!$B$7:$B$156,MATCH(TRIM(O180),MAP!$A$7:$A$156,0)),"UNMAPPED")),IFERROR(INDEX(MAP!$B$7:$B$156,MATCH(TRIM(O180),MAP!$A$7:$A$156,0)),"UNMAPPED"))</f>
        <v>Resident Physician</v>
      </c>
      <c r="Q180" s="48" t="n">
        <f aca="false">STACK!I180</f>
        <v>4206.75</v>
      </c>
      <c r="R180" s="60" t="n">
        <f aca="false">IF(G180&gt;0,IF(INDEX(CONFIRM!$F$5:$F$53,G180)&lt;&gt;"",INDEX(CONFIRM!$F$5:$F$53,G180),IF(ISNUMBER(Q180),Q180,IF(Q180="","",IFERROR(VALUE(TRIM(SUBSTITUTE(SUBSTITUTE(LOWER(Q180),"hrs",""),"hr",""))),"")))),IF(ISNUMBER(Q180),Q180,IF(Q180="","",IFERROR(VALUE(TRIM(SUBSTITUTE(SUBSTITUTE(LOWER(Q180),"hrs",""),"hr",""))),""))))</f>
        <v>4206.75</v>
      </c>
      <c r="S180" s="57" t="n">
        <f aca="false">IFERROR(INDEX(RATES!$E$6:$E$28,MATCH(P180,RATES!$A$6:$A$28,0)),0)</f>
        <v>38.43</v>
      </c>
      <c r="T180" s="61" t="n">
        <f aca="false">IF(ISNUMBER(R180),R180,0)*S180</f>
        <v>161665.4025</v>
      </c>
      <c r="U180" s="61" t="n">
        <f aca="false">T180*INDEX(INPUTS!$H$10:$H$14,MATCH(B180,INPUTS!$A$10:$A$14,0))</f>
        <v>29908.0994625</v>
      </c>
      <c r="V180" s="61" t="n">
        <f aca="false">N(STACK!K180)</f>
        <v>0</v>
      </c>
      <c r="W180" s="61" t="n">
        <f aca="false">T180+U180+V180</f>
        <v>191573.5019625</v>
      </c>
      <c r="X180" s="61" t="n">
        <f aca="false">N(STACK!L180)</f>
        <v>0</v>
      </c>
      <c r="Y180" s="61" t="n">
        <f aca="false">W180-X180</f>
        <v>191573.5019625</v>
      </c>
      <c r="Z180" s="1" t="n">
        <f aca="false">N(STACK!J180)</f>
        <v>0</v>
      </c>
      <c r="AA180" s="1" t="str">
        <f aca="false">TRIM(IF(D180="UNMAPPED","Program not mapped. ","")&amp;IF(OR(K180="UNMAPPED",K180="UNASSIGNED"),"Category needs review. ","")&amp;IF(P180="UNMAPPED","Title not mapped. ","")&amp;IF(AND(P180&lt;&gt;"No staff time",R180=""),"Missing hours. ","")&amp;IF(M180="","Date not readable. ","")&amp;IF(N180="No","Outside fiscal year. ","")&amp;IF(AND(F180="Event",ISNUMBER(R180)),IF(R180&gt;12,"Event hours look high. ",""),"")&amp;IF(G180&gt;0,"See CONFIRM sheet.",""))</f>
        <v/>
      </c>
      <c r="AB180" s="1" t="n">
        <f aca="false">IF(N180="No",0,IF(REVIEW!O180=0,0,IF(G180&gt;0,IF(INDEX(CONFIRM!$J$5:$J$53,G180)&lt;&gt;"",INDEX(CONFIRM!$J$5:$J$53,G180),1),1)))</f>
        <v>1</v>
      </c>
      <c r="AC180" s="1" t="n">
        <f aca="false">IF(AB180=1,IF(COUNTIFS($B$5:B180,B180,$D$5:D180,D180,$AB$5:AB180,1)=1,1,0),0)</f>
        <v>0</v>
      </c>
    </row>
    <row r="181" customFormat="false" ht="15" hidden="false" customHeight="false" outlineLevel="0" collapsed="false">
      <c r="A181" s="48" t="str">
        <f aca="false">STACK!A181</f>
        <v>KVMC-0177</v>
      </c>
      <c r="B181" s="48" t="str">
        <f aca="false">STACK!B181</f>
        <v>KVMC</v>
      </c>
      <c r="C181" s="48" t="str">
        <f aca="false">STACK!E181</f>
        <v>Pharmacy Student Rotations</v>
      </c>
      <c r="D181" s="1" t="str">
        <f aca="false">IFERROR(INDEX(MAP!$J$7:$J$101,MATCH(TRIM(C181),MAP!$I$7:$I$101,0)),"UNMAPPED")</f>
        <v>Pharmacy Student Rotations</v>
      </c>
      <c r="E181" s="1" t="str">
        <f aca="false">IFERROR(INDEX(MAP!$K$7:$K$101,MATCH(TRIM(C181),MAP!$I$7:$I$101,0)),"")</f>
        <v>Health workforce</v>
      </c>
      <c r="F181" s="1" t="str">
        <f aca="false">IFERROR(INDEX(MAP!$L$7:$L$101,MATCH(TRIM(C181),MAP!$I$7:$I$101,0)),"")</f>
        <v>Monthly</v>
      </c>
      <c r="G181" s="1" t="n">
        <f aca="false">IFERROR(MATCH(A181,CONFIRM!$A$5:$A$53,0),0)</f>
        <v>0</v>
      </c>
      <c r="H181" s="48" t="str">
        <f aca="false">STACK!F181</f>
        <v>Health Professions Education</v>
      </c>
      <c r="I181" s="1" t="str">
        <f aca="false">IF(G181&gt;0,IF(INDEX(CONFIRM!$I$5:$I$53,G181)&lt;&gt;"",INDEX(CONFIRM!$I$5:$I$53,G181),H181),H181)</f>
        <v>Health Professions Education</v>
      </c>
      <c r="J181" s="1" t="str">
        <f aca="false">IFERROR(INDEX(MAP!$F$7:$F$74,MATCH(TRIM(I181),MAP!$E$7:$E$74,0)),"UNMAPPED")</f>
        <v>Health professions education</v>
      </c>
      <c r="K181" s="1" t="str">
        <f aca="false">IFERROR(INDEX(MAP!$G$7:$G$74,MATCH(TRIM(I181),MAP!$E$7:$E$74,0)),"UNMAPPED")</f>
        <v>7f</v>
      </c>
      <c r="L181" s="49" t="n">
        <f aca="false">STACK!G181</f>
        <v>45961</v>
      </c>
      <c r="M181" s="59" t="n">
        <f aca="false">IF(G181&gt;0,IF(INDEX(CONFIRM!$G$5:$G$53,G181)&lt;&gt;"",INDEX(CONFIRM!$G$5:$G$53,G181),IF(ISNUMBER(L181),L181,IFERROR(DATEVALUE(L181),""))),IF(ISNUMBER(L181),L181,IFERROR(DATEVALUE(L181),"")))</f>
        <v>45961</v>
      </c>
      <c r="N181" s="1" t="str">
        <f aca="false">IF(M181="","Check",IF(AND(M181&gt;=INPUTS!$C$6,M181&lt;=INPUTS!$C$7),"Yes","No"))</f>
        <v>Yes</v>
      </c>
      <c r="O181" s="48" t="str">
        <f aca="false">STACK!H181</f>
        <v>Pharmacist</v>
      </c>
      <c r="P181" s="1" t="str">
        <f aca="false">IF(G181&gt;0,IF(INDEX(CONFIRM!$H$5:$H$53,G181)&lt;&gt;"",INDEX(CONFIRM!$H$5:$H$53,G181),IFERROR(INDEX(MAP!$B$7:$B$156,MATCH(TRIM(O181),MAP!$A$7:$A$156,0)),"UNMAPPED")),IFERROR(INDEX(MAP!$B$7:$B$156,MATCH(TRIM(O181),MAP!$A$7:$A$156,0)),"UNMAPPED"))</f>
        <v>Pharmacist</v>
      </c>
      <c r="Q181" s="48" t="n">
        <f aca="false">STACK!I181</f>
        <v>82.5</v>
      </c>
      <c r="R181" s="60" t="n">
        <f aca="false">IF(G181&gt;0,IF(INDEX(CONFIRM!$F$5:$F$53,G181)&lt;&gt;"",INDEX(CONFIRM!$F$5:$F$53,G181),IF(ISNUMBER(Q181),Q181,IF(Q181="","",IFERROR(VALUE(TRIM(SUBSTITUTE(SUBSTITUTE(LOWER(Q181),"hrs",""),"hr",""))),"")))),IF(ISNUMBER(Q181),Q181,IF(Q181="","",IFERROR(VALUE(TRIM(SUBSTITUTE(SUBSTITUTE(LOWER(Q181),"hrs",""),"hr",""))),""))))</f>
        <v>82.5</v>
      </c>
      <c r="S181" s="57" t="n">
        <f aca="false">IFERROR(INDEX(RATES!$E$6:$E$28,MATCH(P181,RATES!$A$6:$A$28,0)),0)</f>
        <v>84.81</v>
      </c>
      <c r="T181" s="61" t="n">
        <f aca="false">IF(ISNUMBER(R181),R181,0)*S181</f>
        <v>6996.825</v>
      </c>
      <c r="U181" s="61" t="n">
        <f aca="false">T181*INDEX(INPUTS!$H$10:$H$14,MATCH(B181,INPUTS!$A$10:$A$14,0))</f>
        <v>1294.412625</v>
      </c>
      <c r="V181" s="61" t="n">
        <f aca="false">N(STACK!K181)</f>
        <v>190</v>
      </c>
      <c r="W181" s="61" t="n">
        <f aca="false">T181+U181+V181</f>
        <v>8481.237625</v>
      </c>
      <c r="X181" s="61" t="n">
        <f aca="false">N(STACK!L181)</f>
        <v>0</v>
      </c>
      <c r="Y181" s="61" t="n">
        <f aca="false">W181-X181</f>
        <v>8481.237625</v>
      </c>
      <c r="Z181" s="1" t="n">
        <f aca="false">N(STACK!J181)</f>
        <v>3</v>
      </c>
      <c r="AA181" s="1" t="str">
        <f aca="false">TRIM(IF(D181="UNMAPPED","Program not mapped. ","")&amp;IF(OR(K181="UNMAPPED",K181="UNASSIGNED"),"Category needs review. ","")&amp;IF(P181="UNMAPPED","Title not mapped. ","")&amp;IF(AND(P181&lt;&gt;"No staff time",R181=""),"Missing hours. ","")&amp;IF(M181="","Date not readable. ","")&amp;IF(N181="No","Outside fiscal year. ","")&amp;IF(AND(F181="Event",ISNUMBER(R181)),IF(R181&gt;12,"Event hours look high. ",""),"")&amp;IF(G181&gt;0,"See CONFIRM sheet.",""))</f>
        <v/>
      </c>
      <c r="AB181" s="1" t="n">
        <f aca="false">IF(N181="No",0,IF(REVIEW!O181=0,0,IF(G181&gt;0,IF(INDEX(CONFIRM!$J$5:$J$53,G181)&lt;&gt;"",INDEX(CONFIRM!$J$5:$J$53,G181),1),1)))</f>
        <v>1</v>
      </c>
      <c r="AC181" s="1" t="n">
        <f aca="false">IF(AB181=1,IF(COUNTIFS($B$5:B181,B181,$D$5:D181,D181,$AB$5:AB181,1)=1,1,0),0)</f>
        <v>0</v>
      </c>
    </row>
    <row r="182" customFormat="false" ht="15" hidden="false" customHeight="false" outlineLevel="0" collapsed="false">
      <c r="A182" s="48" t="str">
        <f aca="false">STACK!A182</f>
        <v>KVMC-0178</v>
      </c>
      <c r="B182" s="48" t="str">
        <f aca="false">STACK!B182</f>
        <v>KVMC</v>
      </c>
      <c r="C182" s="48" t="str">
        <f aca="false">STACK!E182</f>
        <v>Community Hypertension Control Study</v>
      </c>
      <c r="D182" s="1" t="str">
        <f aca="false">IFERROR(INDEX(MAP!$J$7:$J$101,MATCH(TRIM(C182),MAP!$I$7:$I$101,0)),"UNMAPPED")</f>
        <v>Community Hypertension Control Study</v>
      </c>
      <c r="E182" s="1" t="str">
        <f aca="false">IFERROR(INDEX(MAP!$K$7:$K$101,MATCH(TRIM(C182),MAP!$I$7:$I$101,0)),"")</f>
        <v>Chronic disease prevention</v>
      </c>
      <c r="F182" s="1" t="str">
        <f aca="false">IFERROR(INDEX(MAP!$L$7:$L$101,MATCH(TRIM(C182),MAP!$I$7:$I$101,0)),"")</f>
        <v>Monthly</v>
      </c>
      <c r="G182" s="1" t="n">
        <f aca="false">IFERROR(MATCH(A182,CONFIRM!$A$5:$A$53,0),0)</f>
        <v>0</v>
      </c>
      <c r="H182" s="48" t="str">
        <f aca="false">STACK!F182</f>
        <v>Research</v>
      </c>
      <c r="I182" s="1" t="str">
        <f aca="false">IF(G182&gt;0,IF(INDEX(CONFIRM!$I$5:$I$53,G182)&lt;&gt;"",INDEX(CONFIRM!$I$5:$I$53,G182),H182),H182)</f>
        <v>Research</v>
      </c>
      <c r="J182" s="1" t="str">
        <f aca="false">IFERROR(INDEX(MAP!$F$7:$F$74,MATCH(TRIM(I182),MAP!$E$7:$E$74,0)),"UNMAPPED")</f>
        <v>Research</v>
      </c>
      <c r="K182" s="1" t="str">
        <f aca="false">IFERROR(INDEX(MAP!$G$7:$G$74,MATCH(TRIM(I182),MAP!$E$7:$E$74,0)),"UNMAPPED")</f>
        <v>7h</v>
      </c>
      <c r="L182" s="49" t="n">
        <f aca="false">STACK!G182</f>
        <v>45961</v>
      </c>
      <c r="M182" s="59" t="n">
        <f aca="false">IF(G182&gt;0,IF(INDEX(CONFIRM!$G$5:$G$53,G182)&lt;&gt;"",INDEX(CONFIRM!$G$5:$G$53,G182),IF(ISNUMBER(L182),L182,IFERROR(DATEVALUE(L182),""))),IF(ISNUMBER(L182),L182,IFERROR(DATEVALUE(L182),"")))</f>
        <v>45961</v>
      </c>
      <c r="N182" s="1" t="str">
        <f aca="false">IF(M182="","Check",IF(AND(M182&gt;=INPUTS!$C$6,M182&lt;=INPUTS!$C$7),"Yes","No"))</f>
        <v>Yes</v>
      </c>
      <c r="O182" s="48" t="str">
        <f aca="false">STACK!H182</f>
        <v>Data Analyst</v>
      </c>
      <c r="P182" s="1" t="str">
        <f aca="false">IF(G182&gt;0,IF(INDEX(CONFIRM!$H$5:$H$53,G182)&lt;&gt;"",INDEX(CONFIRM!$H$5:$H$53,G182),IFERROR(INDEX(MAP!$B$7:$B$156,MATCH(TRIM(O182),MAP!$A$7:$A$156,0)),"UNMAPPED")),IFERROR(INDEX(MAP!$B$7:$B$156,MATCH(TRIM(O182),MAP!$A$7:$A$156,0)),"UNMAPPED"))</f>
        <v>Data Analyst</v>
      </c>
      <c r="Q182" s="48" t="n">
        <f aca="false">STACK!I182</f>
        <v>50.25</v>
      </c>
      <c r="R182" s="60" t="n">
        <f aca="false">IF(G182&gt;0,IF(INDEX(CONFIRM!$F$5:$F$53,G182)&lt;&gt;"",INDEX(CONFIRM!$F$5:$F$53,G182),IF(ISNUMBER(Q182),Q182,IF(Q182="","",IFERROR(VALUE(TRIM(SUBSTITUTE(SUBSTITUTE(LOWER(Q182),"hrs",""),"hr",""))),"")))),IF(ISNUMBER(Q182),Q182,IF(Q182="","",IFERROR(VALUE(TRIM(SUBSTITUTE(SUBSTITUTE(LOWER(Q182),"hrs",""),"hr",""))),""))))</f>
        <v>50.25</v>
      </c>
      <c r="S182" s="57" t="n">
        <f aca="false">IFERROR(INDEX(RATES!$E$6:$E$28,MATCH(P182,RATES!$A$6:$A$28,0)),0)</f>
        <v>48.83</v>
      </c>
      <c r="T182" s="61" t="n">
        <f aca="false">IF(ISNUMBER(R182),R182,0)*S182</f>
        <v>2453.7075</v>
      </c>
      <c r="U182" s="61" t="n">
        <f aca="false">T182*INDEX(INPUTS!$H$10:$H$14,MATCH(B182,INPUTS!$A$10:$A$14,0))</f>
        <v>453.9358875</v>
      </c>
      <c r="V182" s="61" t="n">
        <f aca="false">N(STACK!K182)</f>
        <v>0</v>
      </c>
      <c r="W182" s="61" t="n">
        <f aca="false">T182+U182+V182</f>
        <v>2907.6433875</v>
      </c>
      <c r="X182" s="61" t="n">
        <f aca="false">N(STACK!L182)</f>
        <v>0</v>
      </c>
      <c r="Y182" s="61" t="n">
        <f aca="false">W182-X182</f>
        <v>2907.6433875</v>
      </c>
      <c r="Z182" s="1" t="n">
        <f aca="false">N(STACK!J182)</f>
        <v>0</v>
      </c>
      <c r="AA182" s="1" t="str">
        <f aca="false">TRIM(IF(D182="UNMAPPED","Program not mapped. ","")&amp;IF(OR(K182="UNMAPPED",K182="UNASSIGNED"),"Category needs review. ","")&amp;IF(P182="UNMAPPED","Title not mapped. ","")&amp;IF(AND(P182&lt;&gt;"No staff time",R182=""),"Missing hours. ","")&amp;IF(M182="","Date not readable. ","")&amp;IF(N182="No","Outside fiscal year. ","")&amp;IF(AND(F182="Event",ISNUMBER(R182)),IF(R182&gt;12,"Event hours look high. ",""),"")&amp;IF(G182&gt;0,"See CONFIRM sheet.",""))</f>
        <v/>
      </c>
      <c r="AB182" s="1" t="n">
        <f aca="false">IF(N182="No",0,IF(REVIEW!O182=0,0,IF(G182&gt;0,IF(INDEX(CONFIRM!$J$5:$J$53,G182)&lt;&gt;"",INDEX(CONFIRM!$J$5:$J$53,G182),1),1)))</f>
        <v>1</v>
      </c>
      <c r="AC182" s="1" t="n">
        <f aca="false">IF(AB182=1,IF(COUNTIFS($B$5:B182,B182,$D$5:D182,D182,$AB$5:AB182,1)=1,1,0),0)</f>
        <v>0</v>
      </c>
    </row>
    <row r="183" customFormat="false" ht="15" hidden="false" customHeight="false" outlineLevel="0" collapsed="false">
      <c r="A183" s="48" t="str">
        <f aca="false">STACK!A183</f>
        <v>KVMC-0179</v>
      </c>
      <c r="B183" s="48" t="str">
        <f aca="false">STACK!B183</f>
        <v>KVMC</v>
      </c>
      <c r="C183" s="48" t="str">
        <f aca="false">STACK!E183</f>
        <v>Community Hypertension Control Study</v>
      </c>
      <c r="D183" s="1" t="str">
        <f aca="false">IFERROR(INDEX(MAP!$J$7:$J$101,MATCH(TRIM(C183),MAP!$I$7:$I$101,0)),"UNMAPPED")</f>
        <v>Community Hypertension Control Study</v>
      </c>
      <c r="E183" s="1" t="str">
        <f aca="false">IFERROR(INDEX(MAP!$K$7:$K$101,MATCH(TRIM(C183),MAP!$I$7:$I$101,0)),"")</f>
        <v>Chronic disease prevention</v>
      </c>
      <c r="F183" s="1" t="str">
        <f aca="false">IFERROR(INDEX(MAP!$L$7:$L$101,MATCH(TRIM(C183),MAP!$I$7:$I$101,0)),"")</f>
        <v>Monthly</v>
      </c>
      <c r="G183" s="1" t="n">
        <f aca="false">IFERROR(MATCH(A183,CONFIRM!$A$5:$A$53,0),0)</f>
        <v>0</v>
      </c>
      <c r="H183" s="48" t="str">
        <f aca="false">STACK!F183</f>
        <v>Research</v>
      </c>
      <c r="I183" s="1" t="str">
        <f aca="false">IF(G183&gt;0,IF(INDEX(CONFIRM!$I$5:$I$53,G183)&lt;&gt;"",INDEX(CONFIRM!$I$5:$I$53,G183),H183),H183)</f>
        <v>Research</v>
      </c>
      <c r="J183" s="1" t="str">
        <f aca="false">IFERROR(INDEX(MAP!$F$7:$F$74,MATCH(TRIM(I183),MAP!$E$7:$E$74,0)),"UNMAPPED")</f>
        <v>Research</v>
      </c>
      <c r="K183" s="1" t="str">
        <f aca="false">IFERROR(INDEX(MAP!$G$7:$G$74,MATCH(TRIM(I183),MAP!$E$7:$E$74,0)),"UNMAPPED")</f>
        <v>7h</v>
      </c>
      <c r="L183" s="49" t="n">
        <f aca="false">STACK!G183</f>
        <v>45961</v>
      </c>
      <c r="M183" s="59" t="n">
        <f aca="false">IF(G183&gt;0,IF(INDEX(CONFIRM!$G$5:$G$53,G183)&lt;&gt;"",INDEX(CONFIRM!$G$5:$G$53,G183),IF(ISNUMBER(L183),L183,IFERROR(DATEVALUE(L183),""))),IF(ISNUMBER(L183),L183,IFERROR(DATEVALUE(L183),"")))</f>
        <v>45961</v>
      </c>
      <c r="N183" s="1" t="str">
        <f aca="false">IF(M183="","Check",IF(AND(M183&gt;=INPUTS!$C$6,M183&lt;=INPUTS!$C$7),"Yes","No"))</f>
        <v>Yes</v>
      </c>
      <c r="O183" s="48" t="str">
        <f aca="false">STACK!H183</f>
        <v>Attending Physician</v>
      </c>
      <c r="P183" s="1" t="str">
        <f aca="false">IF(G183&gt;0,IF(INDEX(CONFIRM!$H$5:$H$53,G183)&lt;&gt;"",INDEX(CONFIRM!$H$5:$H$53,G183),IFERROR(INDEX(MAP!$B$7:$B$156,MATCH(TRIM(O183),MAP!$A$7:$A$156,0)),"UNMAPPED")),IFERROR(INDEX(MAP!$B$7:$B$156,MATCH(TRIM(O183),MAP!$A$7:$A$156,0)),"UNMAPPED"))</f>
        <v>Physician</v>
      </c>
      <c r="Q183" s="48" t="n">
        <f aca="false">STACK!I183</f>
        <v>15.25</v>
      </c>
      <c r="R183" s="60" t="n">
        <f aca="false">IF(G183&gt;0,IF(INDEX(CONFIRM!$F$5:$F$53,G183)&lt;&gt;"",INDEX(CONFIRM!$F$5:$F$53,G183),IF(ISNUMBER(Q183),Q183,IF(Q183="","",IFERROR(VALUE(TRIM(SUBSTITUTE(SUBSTITUTE(LOWER(Q183),"hrs",""),"hr",""))),"")))),IF(ISNUMBER(Q183),Q183,IF(Q183="","",IFERROR(VALUE(TRIM(SUBSTITUTE(SUBSTITUTE(LOWER(Q183),"hrs",""),"hr",""))),""))))</f>
        <v>15.25</v>
      </c>
      <c r="S183" s="57" t="n">
        <f aca="false">IFERROR(INDEX(RATES!$E$6:$E$28,MATCH(P183,RATES!$A$6:$A$28,0)),0)</f>
        <v>151.63</v>
      </c>
      <c r="T183" s="61" t="n">
        <f aca="false">IF(ISNUMBER(R183),R183,0)*S183</f>
        <v>2312.3575</v>
      </c>
      <c r="U183" s="61" t="n">
        <f aca="false">T183*INDEX(INPUTS!$H$10:$H$14,MATCH(B183,INPUTS!$A$10:$A$14,0))</f>
        <v>427.7861375</v>
      </c>
      <c r="V183" s="61" t="n">
        <f aca="false">N(STACK!K183)</f>
        <v>0</v>
      </c>
      <c r="W183" s="61" t="n">
        <f aca="false">T183+U183+V183</f>
        <v>2740.1436375</v>
      </c>
      <c r="X183" s="61" t="n">
        <f aca="false">N(STACK!L183)</f>
        <v>0</v>
      </c>
      <c r="Y183" s="61" t="n">
        <f aca="false">W183-X183</f>
        <v>2740.1436375</v>
      </c>
      <c r="Z183" s="1" t="n">
        <f aca="false">N(STACK!J183)</f>
        <v>0</v>
      </c>
      <c r="AA183" s="1" t="str">
        <f aca="false">TRIM(IF(D183="UNMAPPED","Program not mapped. ","")&amp;IF(OR(K183="UNMAPPED",K183="UNASSIGNED"),"Category needs review. ","")&amp;IF(P183="UNMAPPED","Title not mapped. ","")&amp;IF(AND(P183&lt;&gt;"No staff time",R183=""),"Missing hours. ","")&amp;IF(M183="","Date not readable. ","")&amp;IF(N183="No","Outside fiscal year. ","")&amp;IF(AND(F183="Event",ISNUMBER(R183)),IF(R183&gt;12,"Event hours look high. ",""),"")&amp;IF(G183&gt;0,"See CONFIRM sheet.",""))</f>
        <v/>
      </c>
      <c r="AB183" s="1" t="n">
        <f aca="false">IF(N183="No",0,IF(REVIEW!O183=0,0,IF(G183&gt;0,IF(INDEX(CONFIRM!$J$5:$J$53,G183)&lt;&gt;"",INDEX(CONFIRM!$J$5:$J$53,G183),1),1)))</f>
        <v>1</v>
      </c>
      <c r="AC183" s="1" t="n">
        <f aca="false">IF(AB183=1,IF(COUNTIFS($B$5:B183,B183,$D$5:D183,D183,$AB$5:AB183,1)=1,1,0),0)</f>
        <v>0</v>
      </c>
    </row>
    <row r="184" customFormat="false" ht="15" hidden="false" customHeight="false" outlineLevel="0" collapsed="false">
      <c r="A184" s="48" t="str">
        <f aca="false">STACK!A184</f>
        <v>KVMC-0180</v>
      </c>
      <c r="B184" s="48" t="str">
        <f aca="false">STACK!B184</f>
        <v>KVMC</v>
      </c>
      <c r="C184" s="48" t="str">
        <f aca="false">STACK!E184</f>
        <v>Community Hypertension Control Study</v>
      </c>
      <c r="D184" s="1" t="str">
        <f aca="false">IFERROR(INDEX(MAP!$J$7:$J$101,MATCH(TRIM(C184),MAP!$I$7:$I$101,0)),"UNMAPPED")</f>
        <v>Community Hypertension Control Study</v>
      </c>
      <c r="E184" s="1" t="str">
        <f aca="false">IFERROR(INDEX(MAP!$K$7:$K$101,MATCH(TRIM(C184),MAP!$I$7:$I$101,0)),"")</f>
        <v>Chronic disease prevention</v>
      </c>
      <c r="F184" s="1" t="str">
        <f aca="false">IFERROR(INDEX(MAP!$L$7:$L$101,MATCH(TRIM(C184),MAP!$I$7:$I$101,0)),"")</f>
        <v>Monthly</v>
      </c>
      <c r="G184" s="1" t="n">
        <f aca="false">IFERROR(MATCH(A184,CONFIRM!$A$5:$A$53,0),0)</f>
        <v>0</v>
      </c>
      <c r="H184" s="48" t="str">
        <f aca="false">STACK!F184</f>
        <v>Research</v>
      </c>
      <c r="I184" s="1" t="str">
        <f aca="false">IF(G184&gt;0,IF(INDEX(CONFIRM!$I$5:$I$53,G184)&lt;&gt;"",INDEX(CONFIRM!$I$5:$I$53,G184),H184),H184)</f>
        <v>Research</v>
      </c>
      <c r="J184" s="1" t="str">
        <f aca="false">IFERROR(INDEX(MAP!$F$7:$F$74,MATCH(TRIM(I184),MAP!$E$7:$E$74,0)),"UNMAPPED")</f>
        <v>Research</v>
      </c>
      <c r="K184" s="1" t="str">
        <f aca="false">IFERROR(INDEX(MAP!$G$7:$G$74,MATCH(TRIM(I184),MAP!$E$7:$E$74,0)),"UNMAPPED")</f>
        <v>7h</v>
      </c>
      <c r="L184" s="49" t="n">
        <f aca="false">STACK!G184</f>
        <v>45961</v>
      </c>
      <c r="M184" s="59" t="n">
        <f aca="false">IF(G184&gt;0,IF(INDEX(CONFIRM!$G$5:$G$53,G184)&lt;&gt;"",INDEX(CONFIRM!$G$5:$G$53,G184),IF(ISNUMBER(L184),L184,IFERROR(DATEVALUE(L184),""))),IF(ISNUMBER(L184),L184,IFERROR(DATEVALUE(L184),"")))</f>
        <v>45961</v>
      </c>
      <c r="N184" s="1" t="str">
        <f aca="false">IF(M184="","Check",IF(AND(M184&gt;=INPUTS!$C$6,M184&lt;=INPUTS!$C$7),"Yes","No"))</f>
        <v>Yes</v>
      </c>
      <c r="O184" s="48" t="str">
        <f aca="false">STACK!H184</f>
        <v>Research Coordinator</v>
      </c>
      <c r="P184" s="1" t="str">
        <f aca="false">IF(G184&gt;0,IF(INDEX(CONFIRM!$H$5:$H$53,G184)&lt;&gt;"",INDEX(CONFIRM!$H$5:$H$53,G184),IFERROR(INDEX(MAP!$B$7:$B$156,MATCH(TRIM(O184),MAP!$A$7:$A$156,0)),"UNMAPPED")),IFERROR(INDEX(MAP!$B$7:$B$156,MATCH(TRIM(O184),MAP!$A$7:$A$156,0)),"UNMAPPED"))</f>
        <v>Research Coordinator</v>
      </c>
      <c r="Q184" s="48" t="n">
        <f aca="false">STACK!I184</f>
        <v>196.5</v>
      </c>
      <c r="R184" s="60" t="n">
        <f aca="false">IF(G184&gt;0,IF(INDEX(CONFIRM!$F$5:$F$53,G184)&lt;&gt;"",INDEX(CONFIRM!$F$5:$F$53,G184),IF(ISNUMBER(Q184),Q184,IF(Q184="","",IFERROR(VALUE(TRIM(SUBSTITUTE(SUBSTITUTE(LOWER(Q184),"hrs",""),"hr",""))),"")))),IF(ISNUMBER(Q184),Q184,IF(Q184="","",IFERROR(VALUE(TRIM(SUBSTITUTE(SUBSTITUTE(LOWER(Q184),"hrs",""),"hr",""))),""))))</f>
        <v>196.5</v>
      </c>
      <c r="S184" s="57" t="n">
        <f aca="false">IFERROR(INDEX(RATES!$E$6:$E$28,MATCH(P184,RATES!$A$6:$A$28,0)),0)</f>
        <v>42.405</v>
      </c>
      <c r="T184" s="61" t="n">
        <f aca="false">IF(ISNUMBER(R184),R184,0)*S184</f>
        <v>8332.5825</v>
      </c>
      <c r="U184" s="61" t="n">
        <f aca="false">T184*INDEX(INPUTS!$H$10:$H$14,MATCH(B184,INPUTS!$A$10:$A$14,0))</f>
        <v>1541.5277625</v>
      </c>
      <c r="V184" s="61" t="n">
        <f aca="false">N(STACK!K184)</f>
        <v>9350</v>
      </c>
      <c r="W184" s="61" t="n">
        <f aca="false">T184+U184+V184</f>
        <v>19224.1102625</v>
      </c>
      <c r="X184" s="61" t="n">
        <f aca="false">N(STACK!L184)</f>
        <v>10555</v>
      </c>
      <c r="Y184" s="61" t="n">
        <f aca="false">W184-X184</f>
        <v>8669.1102625</v>
      </c>
      <c r="Z184" s="1" t="n">
        <f aca="false">N(STACK!J184)</f>
        <v>103</v>
      </c>
      <c r="AA184" s="1" t="str">
        <f aca="false">TRIM(IF(D184="UNMAPPED","Program not mapped. ","")&amp;IF(OR(K184="UNMAPPED",K184="UNASSIGNED"),"Category needs review. ","")&amp;IF(P184="UNMAPPED","Title not mapped. ","")&amp;IF(AND(P184&lt;&gt;"No staff time",R184=""),"Missing hours. ","")&amp;IF(M184="","Date not readable. ","")&amp;IF(N184="No","Outside fiscal year. ","")&amp;IF(AND(F184="Event",ISNUMBER(R184)),IF(R184&gt;12,"Event hours look high. ",""),"")&amp;IF(G184&gt;0,"See CONFIRM sheet.",""))</f>
        <v/>
      </c>
      <c r="AB184" s="1" t="n">
        <f aca="false">IF(N184="No",0,IF(REVIEW!O184=0,0,IF(G184&gt;0,IF(INDEX(CONFIRM!$J$5:$J$53,G184)&lt;&gt;"",INDEX(CONFIRM!$J$5:$J$53,G184),1),1)))</f>
        <v>1</v>
      </c>
      <c r="AC184" s="1" t="n">
        <f aca="false">IF(AB184=1,IF(COUNTIFS($B$5:B184,B184,$D$5:D184,D184,$AB$5:AB184,1)=1,1,0),0)</f>
        <v>0</v>
      </c>
    </row>
    <row r="185" customFormat="false" ht="15" hidden="false" customHeight="false" outlineLevel="0" collapsed="false">
      <c r="A185" s="48" t="str">
        <f aca="false">STACK!A185</f>
        <v>KVMC-0181</v>
      </c>
      <c r="B185" s="48" t="str">
        <f aca="false">STACK!B185</f>
        <v>KVMC</v>
      </c>
      <c r="C185" s="48" t="str">
        <f aca="false">STACK!E185</f>
        <v>Community Blood Pressure Checks</v>
      </c>
      <c r="D185" s="1" t="str">
        <f aca="false">IFERROR(INDEX(MAP!$J$7:$J$101,MATCH(TRIM(C185),MAP!$I$7:$I$101,0)),"UNMAPPED")</f>
        <v>Community Blood Pressure Checks</v>
      </c>
      <c r="E185" s="1" t="str">
        <f aca="false">IFERROR(INDEX(MAP!$K$7:$K$101,MATCH(TRIM(C185),MAP!$I$7:$I$101,0)),"")</f>
        <v>Chronic disease prevention</v>
      </c>
      <c r="F185" s="1" t="str">
        <f aca="false">IFERROR(INDEX(MAP!$L$7:$L$101,MATCH(TRIM(C185),MAP!$I$7:$I$101,0)),"")</f>
        <v>Event</v>
      </c>
      <c r="G185" s="1" t="n">
        <f aca="false">IFERROR(MATCH(A185,CONFIRM!$A$5:$A$53,0),0)</f>
        <v>0</v>
      </c>
      <c r="H185" s="48" t="str">
        <f aca="false">STACK!F185</f>
        <v>Community-Based Clinical Services</v>
      </c>
      <c r="I185" s="1" t="str">
        <f aca="false">IF(G185&gt;0,IF(INDEX(CONFIRM!$I$5:$I$53,G185)&lt;&gt;"",INDEX(CONFIRM!$I$5:$I$53,G185),H185),H185)</f>
        <v>Community-Based Clinical Services</v>
      </c>
      <c r="J185" s="1" t="str">
        <f aca="false">IFERROR(INDEX(MAP!$F$7:$F$74,MATCH(TRIM(I185),MAP!$E$7:$E$74,0)),"UNMAPPED")</f>
        <v>Community-based clinical services</v>
      </c>
      <c r="K185" s="1" t="str">
        <f aca="false">IFERROR(INDEX(MAP!$G$7:$G$74,MATCH(TRIM(I185),MAP!$E$7:$E$74,0)),"UNMAPPED")</f>
        <v>7e</v>
      </c>
      <c r="L185" s="49" t="n">
        <f aca="false">STACK!G185</f>
        <v>45972</v>
      </c>
      <c r="M185" s="59" t="n">
        <f aca="false">IF(G185&gt;0,IF(INDEX(CONFIRM!$G$5:$G$53,G185)&lt;&gt;"",INDEX(CONFIRM!$G$5:$G$53,G185),IF(ISNUMBER(L185),L185,IFERROR(DATEVALUE(L185),""))),IF(ISNUMBER(L185),L185,IFERROR(DATEVALUE(L185),"")))</f>
        <v>45972</v>
      </c>
      <c r="N185" s="1" t="str">
        <f aca="false">IF(M185="","Check",IF(AND(M185&gt;=INPUTS!$C$6,M185&lt;=INPUTS!$C$7),"Yes","No"))</f>
        <v>Yes</v>
      </c>
      <c r="O185" s="48" t="str">
        <f aca="false">STACK!H185</f>
        <v>Reg Nurse</v>
      </c>
      <c r="P185" s="1" t="str">
        <f aca="false">IF(G185&gt;0,IF(INDEX(CONFIRM!$H$5:$H$53,G185)&lt;&gt;"",INDEX(CONFIRM!$H$5:$H$53,G185),IFERROR(INDEX(MAP!$B$7:$B$156,MATCH(TRIM(O185),MAP!$A$7:$A$156,0)),"UNMAPPED")),IFERROR(INDEX(MAP!$B$7:$B$156,MATCH(TRIM(O185),MAP!$A$7:$A$156,0)),"UNMAPPED"))</f>
        <v>Registered Nurse</v>
      </c>
      <c r="Q185" s="48" t="n">
        <f aca="false">STACK!I185</f>
        <v>3.25</v>
      </c>
      <c r="R185" s="60" t="n">
        <f aca="false">IF(G185&gt;0,IF(INDEX(CONFIRM!$F$5:$F$53,G185)&lt;&gt;"",INDEX(CONFIRM!$F$5:$F$53,G185),IF(ISNUMBER(Q185),Q185,IF(Q185="","",IFERROR(VALUE(TRIM(SUBSTITUTE(SUBSTITUTE(LOWER(Q185),"hrs",""),"hr",""))),"")))),IF(ISNUMBER(Q185),Q185,IF(Q185="","",IFERROR(VALUE(TRIM(SUBSTITUTE(SUBSTITUTE(LOWER(Q185),"hrs",""),"hr",""))),""))))</f>
        <v>3.25</v>
      </c>
      <c r="S185" s="57" t="n">
        <f aca="false">IFERROR(INDEX(RATES!$E$6:$E$28,MATCH(P185,RATES!$A$6:$A$28,0)),0)</f>
        <v>55.8975</v>
      </c>
      <c r="T185" s="61" t="n">
        <f aca="false">IF(ISNUMBER(R185),R185,0)*S185</f>
        <v>181.666875</v>
      </c>
      <c r="U185" s="61" t="n">
        <f aca="false">T185*INDEX(INPUTS!$H$10:$H$14,MATCH(B185,INPUTS!$A$10:$A$14,0))</f>
        <v>33.608371875</v>
      </c>
      <c r="V185" s="61" t="n">
        <f aca="false">N(STACK!K185)</f>
        <v>45</v>
      </c>
      <c r="W185" s="61" t="n">
        <f aca="false">T185+U185+V185</f>
        <v>260.275246875</v>
      </c>
      <c r="X185" s="61" t="n">
        <f aca="false">N(STACK!L185)</f>
        <v>0</v>
      </c>
      <c r="Y185" s="61" t="n">
        <f aca="false">W185-X185</f>
        <v>260.275246875</v>
      </c>
      <c r="Z185" s="1" t="n">
        <f aca="false">N(STACK!J185)</f>
        <v>79</v>
      </c>
      <c r="AA185" s="1" t="str">
        <f aca="false">TRIM(IF(D185="UNMAPPED","Program not mapped. ","")&amp;IF(OR(K185="UNMAPPED",K185="UNASSIGNED"),"Category needs review. ","")&amp;IF(P185="UNMAPPED","Title not mapped. ","")&amp;IF(AND(P185&lt;&gt;"No staff time",R185=""),"Missing hours. ","")&amp;IF(M185="","Date not readable. ","")&amp;IF(N185="No","Outside fiscal year. ","")&amp;IF(AND(F185="Event",ISNUMBER(R185)),IF(R185&gt;12,"Event hours look high. ",""),"")&amp;IF(G185&gt;0,"See CONFIRM sheet.",""))</f>
        <v/>
      </c>
      <c r="AB185" s="1" t="n">
        <f aca="false">IF(N185="No",0,IF(REVIEW!O185=0,0,IF(G185&gt;0,IF(INDEX(CONFIRM!$J$5:$J$53,G185)&lt;&gt;"",INDEX(CONFIRM!$J$5:$J$53,G185),1),1)))</f>
        <v>1</v>
      </c>
      <c r="AC185" s="1" t="n">
        <f aca="false">IF(AB185=1,IF(COUNTIFS($B$5:B185,B185,$D$5:D185,D185,$AB$5:AB185,1)=1,1,0),0)</f>
        <v>0</v>
      </c>
    </row>
    <row r="186" customFormat="false" ht="15" hidden="false" customHeight="false" outlineLevel="0" collapsed="false">
      <c r="A186" s="48" t="str">
        <f aca="false">STACK!A186</f>
        <v>KVMC-0182</v>
      </c>
      <c r="B186" s="48" t="str">
        <f aca="false">STACK!B186</f>
        <v>KVMC</v>
      </c>
      <c r="C186" s="48" t="str">
        <f aca="false">STACK!E186</f>
        <v>Tobacco Cessation Classes</v>
      </c>
      <c r="D186" s="1" t="str">
        <f aca="false">IFERROR(INDEX(MAP!$J$7:$J$101,MATCH(TRIM(C186),MAP!$I$7:$I$101,0)),"UNMAPPED")</f>
        <v>Tobacco Cessation Classes</v>
      </c>
      <c r="E186" s="1" t="str">
        <f aca="false">IFERROR(INDEX(MAP!$K$7:$K$101,MATCH(TRIM(C186),MAP!$I$7:$I$101,0)),"")</f>
        <v>Chronic disease prevention</v>
      </c>
      <c r="F186" s="1" t="str">
        <f aca="false">IFERROR(INDEX(MAP!$L$7:$L$101,MATCH(TRIM(C186),MAP!$I$7:$I$101,0)),"")</f>
        <v>Event</v>
      </c>
      <c r="G186" s="1" t="n">
        <f aca="false">IFERROR(MATCH(A186,CONFIRM!$A$5:$A$53,0),0)</f>
        <v>0</v>
      </c>
      <c r="H186" s="48" t="str">
        <f aca="false">STACK!F186</f>
        <v>Community Health Education</v>
      </c>
      <c r="I186" s="1" t="str">
        <f aca="false">IF(G186&gt;0,IF(INDEX(CONFIRM!$I$5:$I$53,G186)&lt;&gt;"",INDEX(CONFIRM!$I$5:$I$53,G186),H186),H186)</f>
        <v>Community Health Education</v>
      </c>
      <c r="J186" s="1" t="str">
        <f aca="false">IFERROR(INDEX(MAP!$F$7:$F$74,MATCH(TRIM(I186),MAP!$E$7:$E$74,0)),"UNMAPPED")</f>
        <v>Community health education</v>
      </c>
      <c r="K186" s="1" t="str">
        <f aca="false">IFERROR(INDEX(MAP!$G$7:$G$74,MATCH(TRIM(I186),MAP!$E$7:$E$74,0)),"UNMAPPED")</f>
        <v>7e</v>
      </c>
      <c r="L186" s="49" t="n">
        <f aca="false">STACK!G186</f>
        <v>45972</v>
      </c>
      <c r="M186" s="59" t="n">
        <f aca="false">IF(G186&gt;0,IF(INDEX(CONFIRM!$G$5:$G$53,G186)&lt;&gt;"",INDEX(CONFIRM!$G$5:$G$53,G186),IF(ISNUMBER(L186),L186,IFERROR(DATEVALUE(L186),""))),IF(ISNUMBER(L186),L186,IFERROR(DATEVALUE(L186),"")))</f>
        <v>45972</v>
      </c>
      <c r="N186" s="1" t="str">
        <f aca="false">IF(M186="","Check",IF(AND(M186&gt;=INPUTS!$C$6,M186&lt;=INPUTS!$C$7),"Yes","No"))</f>
        <v>Yes</v>
      </c>
      <c r="O186" s="48" t="str">
        <f aca="false">STACK!H186</f>
        <v>Physical Therapist</v>
      </c>
      <c r="P186" s="1" t="str">
        <f aca="false">IF(G186&gt;0,IF(INDEX(CONFIRM!$H$5:$H$53,G186)&lt;&gt;"",INDEX(CONFIRM!$H$5:$H$53,G186),IFERROR(INDEX(MAP!$B$7:$B$156,MATCH(TRIM(O186),MAP!$A$7:$A$156,0)),"UNMAPPED")),IFERROR(INDEX(MAP!$B$7:$B$156,MATCH(TRIM(O186),MAP!$A$7:$A$156,0)),"UNMAPPED"))</f>
        <v>Licensed Therapist</v>
      </c>
      <c r="Q186" s="48" t="n">
        <f aca="false">STACK!I186</f>
        <v>2</v>
      </c>
      <c r="R186" s="60" t="n">
        <f aca="false">IF(G186&gt;0,IF(INDEX(CONFIRM!$F$5:$F$53,G186)&lt;&gt;"",INDEX(CONFIRM!$F$5:$F$53,G186),IF(ISNUMBER(Q186),Q186,IF(Q186="","",IFERROR(VALUE(TRIM(SUBSTITUTE(SUBSTITUTE(LOWER(Q186),"hrs",""),"hr",""))),"")))),IF(ISNUMBER(Q186),Q186,IF(Q186="","",IFERROR(VALUE(TRIM(SUBSTITUTE(SUBSTITUTE(LOWER(Q186),"hrs",""),"hr",""))),""))))</f>
        <v>2</v>
      </c>
      <c r="S186" s="57" t="n">
        <f aca="false">IFERROR(INDEX(RATES!$E$6:$E$28,MATCH(P186,RATES!$A$6:$A$28,0)),0)</f>
        <v>53.97</v>
      </c>
      <c r="T186" s="61" t="n">
        <f aca="false">IF(ISNUMBER(R186),R186,0)*S186</f>
        <v>107.94</v>
      </c>
      <c r="U186" s="61" t="n">
        <f aca="false">T186*INDEX(INPUTS!$H$10:$H$14,MATCH(B186,INPUTS!$A$10:$A$14,0))</f>
        <v>19.9689</v>
      </c>
      <c r="V186" s="61" t="n">
        <f aca="false">N(STACK!K186)</f>
        <v>210</v>
      </c>
      <c r="W186" s="61" t="n">
        <f aca="false">T186+U186+V186</f>
        <v>337.9089</v>
      </c>
      <c r="X186" s="61" t="n">
        <f aca="false">N(STACK!L186)</f>
        <v>0</v>
      </c>
      <c r="Y186" s="61" t="n">
        <f aca="false">W186-X186</f>
        <v>337.9089</v>
      </c>
      <c r="Z186" s="1" t="n">
        <f aca="false">N(STACK!J186)</f>
        <v>16</v>
      </c>
      <c r="AA186" s="1" t="str">
        <f aca="false">TRIM(IF(D186="UNMAPPED","Program not mapped. ","")&amp;IF(OR(K186="UNMAPPED",K186="UNASSIGNED"),"Category needs review. ","")&amp;IF(P186="UNMAPPED","Title not mapped. ","")&amp;IF(AND(P186&lt;&gt;"No staff time",R186=""),"Missing hours. ","")&amp;IF(M186="","Date not readable. ","")&amp;IF(N186="No","Outside fiscal year. ","")&amp;IF(AND(F186="Event",ISNUMBER(R186)),IF(R186&gt;12,"Event hours look high. ",""),"")&amp;IF(G186&gt;0,"See CONFIRM sheet.",""))</f>
        <v/>
      </c>
      <c r="AB186" s="1" t="n">
        <f aca="false">IF(N186="No",0,IF(REVIEW!O186=0,0,IF(G186&gt;0,IF(INDEX(CONFIRM!$J$5:$J$53,G186)&lt;&gt;"",INDEX(CONFIRM!$J$5:$J$53,G186),1),1)))</f>
        <v>1</v>
      </c>
      <c r="AC186" s="1" t="n">
        <f aca="false">IF(AB186=1,IF(COUNTIFS($B$5:B186,B186,$D$5:D186,D186,$AB$5:AB186,1)=1,1,0),0)</f>
        <v>0</v>
      </c>
    </row>
    <row r="187" customFormat="false" ht="15" hidden="false" customHeight="false" outlineLevel="0" collapsed="false">
      <c r="A187" s="48" t="str">
        <f aca="false">STACK!A187</f>
        <v>KVMC-0183</v>
      </c>
      <c r="B187" s="48" t="str">
        <f aca="false">STACK!B187</f>
        <v>KVMC</v>
      </c>
      <c r="C187" s="48" t="str">
        <f aca="false">STACK!E187</f>
        <v>Childbirth and Newborn Care Classes</v>
      </c>
      <c r="D187" s="1" t="str">
        <f aca="false">IFERROR(INDEX(MAP!$J$7:$J$101,MATCH(TRIM(C187),MAP!$I$7:$I$101,0)),"UNMAPPED")</f>
        <v>Childbirth and Newborn Care Classes</v>
      </c>
      <c r="E187" s="1" t="str">
        <f aca="false">IFERROR(INDEX(MAP!$K$7:$K$101,MATCH(TRIM(C187),MAP!$I$7:$I$101,0)),"")</f>
        <v>Maternal and child health</v>
      </c>
      <c r="F187" s="1" t="str">
        <f aca="false">IFERROR(INDEX(MAP!$L$7:$L$101,MATCH(TRIM(C187),MAP!$I$7:$I$101,0)),"")</f>
        <v>Event</v>
      </c>
      <c r="G187" s="1" t="n">
        <f aca="false">IFERROR(MATCH(A187,CONFIRM!$A$5:$A$53,0),0)</f>
        <v>0</v>
      </c>
      <c r="H187" s="48" t="str">
        <f aca="false">STACK!F187</f>
        <v>Community Health Education</v>
      </c>
      <c r="I187" s="1" t="str">
        <f aca="false">IF(G187&gt;0,IF(INDEX(CONFIRM!$I$5:$I$53,G187)&lt;&gt;"",INDEX(CONFIRM!$I$5:$I$53,G187),H187),H187)</f>
        <v>Community Health Education</v>
      </c>
      <c r="J187" s="1" t="str">
        <f aca="false">IFERROR(INDEX(MAP!$F$7:$F$74,MATCH(TRIM(I187),MAP!$E$7:$E$74,0)),"UNMAPPED")</f>
        <v>Community health education</v>
      </c>
      <c r="K187" s="1" t="str">
        <f aca="false">IFERROR(INDEX(MAP!$G$7:$G$74,MATCH(TRIM(I187),MAP!$E$7:$E$74,0)),"UNMAPPED")</f>
        <v>7e</v>
      </c>
      <c r="L187" s="49" t="n">
        <f aca="false">STACK!G187</f>
        <v>45976</v>
      </c>
      <c r="M187" s="59" t="n">
        <f aca="false">IF(G187&gt;0,IF(INDEX(CONFIRM!$G$5:$G$53,G187)&lt;&gt;"",INDEX(CONFIRM!$G$5:$G$53,G187),IF(ISNUMBER(L187),L187,IFERROR(DATEVALUE(L187),""))),IF(ISNUMBER(L187),L187,IFERROR(DATEVALUE(L187),"")))</f>
        <v>45976</v>
      </c>
      <c r="N187" s="1" t="str">
        <f aca="false">IF(M187="","Check",IF(AND(M187&gt;=INPUTS!$C$6,M187&lt;=INPUTS!$C$7),"Yes","No"))</f>
        <v>Yes</v>
      </c>
      <c r="O187" s="48" t="str">
        <f aca="false">STACK!H187</f>
        <v>Preceptor RN</v>
      </c>
      <c r="P187" s="1" t="str">
        <f aca="false">IF(G187&gt;0,IF(INDEX(CONFIRM!$H$5:$H$53,G187)&lt;&gt;"",INDEX(CONFIRM!$H$5:$H$53,G187),IFERROR(INDEX(MAP!$B$7:$B$156,MATCH(TRIM(O187),MAP!$A$7:$A$156,0)),"UNMAPPED")),IFERROR(INDEX(MAP!$B$7:$B$156,MATCH(TRIM(O187),MAP!$A$7:$A$156,0)),"UNMAPPED"))</f>
        <v>Clinical Nurse Educator</v>
      </c>
      <c r="Q187" s="48" t="n">
        <f aca="false">STACK!I187</f>
        <v>3.5</v>
      </c>
      <c r="R187" s="60" t="n">
        <f aca="false">IF(G187&gt;0,IF(INDEX(CONFIRM!$F$5:$F$53,G187)&lt;&gt;"",INDEX(CONFIRM!$F$5:$F$53,G187),IF(ISNUMBER(Q187),Q187,IF(Q187="","",IFERROR(VALUE(TRIM(SUBSTITUTE(SUBSTITUTE(LOWER(Q187),"hrs",""),"hr",""))),"")))),IF(ISNUMBER(Q187),Q187,IF(Q187="","",IFERROR(VALUE(TRIM(SUBSTITUTE(SUBSTITUTE(LOWER(Q187),"hrs",""),"hr",""))),""))))</f>
        <v>3.5</v>
      </c>
      <c r="S187" s="57" t="n">
        <f aca="false">IFERROR(INDEX(RATES!$E$6:$E$28,MATCH(P187,RATES!$A$6:$A$28,0)),0)</f>
        <v>62.965</v>
      </c>
      <c r="T187" s="61" t="n">
        <f aca="false">IF(ISNUMBER(R187),R187,0)*S187</f>
        <v>220.3775</v>
      </c>
      <c r="U187" s="61" t="n">
        <f aca="false">T187*INDEX(INPUTS!$H$10:$H$14,MATCH(B187,INPUTS!$A$10:$A$14,0))</f>
        <v>40.7698375</v>
      </c>
      <c r="V187" s="61" t="n">
        <f aca="false">N(STACK!K187)</f>
        <v>95</v>
      </c>
      <c r="W187" s="61" t="n">
        <f aca="false">T187+U187+V187</f>
        <v>356.1473375</v>
      </c>
      <c r="X187" s="61" t="n">
        <f aca="false">N(STACK!L187)</f>
        <v>0</v>
      </c>
      <c r="Y187" s="61" t="n">
        <f aca="false">W187-X187</f>
        <v>356.1473375</v>
      </c>
      <c r="Z187" s="1" t="n">
        <f aca="false">N(STACK!J187)</f>
        <v>19</v>
      </c>
      <c r="AA187" s="1" t="str">
        <f aca="false">TRIM(IF(D187="UNMAPPED","Program not mapped. ","")&amp;IF(OR(K187="UNMAPPED",K187="UNASSIGNED"),"Category needs review. ","")&amp;IF(P187="UNMAPPED","Title not mapped. ","")&amp;IF(AND(P187&lt;&gt;"No staff time",R187=""),"Missing hours. ","")&amp;IF(M187="","Date not readable. ","")&amp;IF(N187="No","Outside fiscal year. ","")&amp;IF(AND(F187="Event",ISNUMBER(R187)),IF(R187&gt;12,"Event hours look high. ",""),"")&amp;IF(G187&gt;0,"See CONFIRM sheet.",""))</f>
        <v/>
      </c>
      <c r="AB187" s="1" t="n">
        <f aca="false">IF(N187="No",0,IF(REVIEW!O187=0,0,IF(G187&gt;0,IF(INDEX(CONFIRM!$J$5:$J$53,G187)&lt;&gt;"",INDEX(CONFIRM!$J$5:$J$53,G187),1),1)))</f>
        <v>1</v>
      </c>
      <c r="AC187" s="1" t="n">
        <f aca="false">IF(AB187=1,IF(COUNTIFS($B$5:B187,B187,$D$5:D187,D187,$AB$5:AB187,1)=1,1,0),0)</f>
        <v>0</v>
      </c>
    </row>
    <row r="188" customFormat="false" ht="15" hidden="false" customHeight="false" outlineLevel="0" collapsed="false">
      <c r="A188" s="48" t="str">
        <f aca="false">STACK!A188</f>
        <v>KVMC-0184</v>
      </c>
      <c r="B188" s="48" t="str">
        <f aca="false">STACK!B188</f>
        <v>KVMC</v>
      </c>
      <c r="C188" s="48" t="str">
        <f aca="false">STACK!E188</f>
        <v>In-Kind Medical Supply Donations</v>
      </c>
      <c r="D188" s="1" t="str">
        <f aca="false">IFERROR(INDEX(MAP!$J$7:$J$101,MATCH(TRIM(C188),MAP!$I$7:$I$101,0)),"UNMAPPED")</f>
        <v>In-Kind Medical Supply Donations</v>
      </c>
      <c r="E188" s="1" t="str">
        <f aca="false">IFERROR(INDEX(MAP!$K$7:$K$101,MATCH(TRIM(C188),MAP!$I$7:$I$101,0)),"")</f>
        <v>Access to care</v>
      </c>
      <c r="F188" s="1" t="str">
        <f aca="false">IFERROR(INDEX(MAP!$L$7:$L$101,MATCH(TRIM(C188),MAP!$I$7:$I$101,0)),"")</f>
        <v>Contribution</v>
      </c>
      <c r="G188" s="1" t="n">
        <f aca="false">IFERROR(MATCH(A188,CONFIRM!$A$5:$A$53,0),0)</f>
        <v>0</v>
      </c>
      <c r="H188" s="48" t="str">
        <f aca="false">STACK!F188</f>
        <v>Cash &amp; In-Kind Donations</v>
      </c>
      <c r="I188" s="1" t="str">
        <f aca="false">IF(G188&gt;0,IF(INDEX(CONFIRM!$I$5:$I$53,G188)&lt;&gt;"",INDEX(CONFIRM!$I$5:$I$53,G188),H188),H188)</f>
        <v>Cash &amp; In-Kind Donations</v>
      </c>
      <c r="J188" s="1" t="str">
        <f aca="false">IFERROR(INDEX(MAP!$F$7:$F$74,MATCH(TRIM(I188),MAP!$E$7:$E$74,0)),"UNMAPPED")</f>
        <v>Cash and in-kind contributions</v>
      </c>
      <c r="K188" s="1" t="str">
        <f aca="false">IFERROR(INDEX(MAP!$G$7:$G$74,MATCH(TRIM(I188),MAP!$E$7:$E$74,0)),"UNMAPPED")</f>
        <v>7i</v>
      </c>
      <c r="L188" s="49" t="n">
        <f aca="false">STACK!G188</f>
        <v>45977</v>
      </c>
      <c r="M188" s="59" t="n">
        <f aca="false">IF(G188&gt;0,IF(INDEX(CONFIRM!$G$5:$G$53,G188)&lt;&gt;"",INDEX(CONFIRM!$G$5:$G$53,G188),IF(ISNUMBER(L188),L188,IFERROR(DATEVALUE(L188),""))),IF(ISNUMBER(L188),L188,IFERROR(DATEVALUE(L188),"")))</f>
        <v>45977</v>
      </c>
      <c r="N188" s="1" t="str">
        <f aca="false">IF(M188="","Check",IF(AND(M188&gt;=INPUTS!$C$6,M188&lt;=INPUTS!$C$7),"Yes","No"))</f>
        <v>Yes</v>
      </c>
      <c r="O188" s="48" t="str">
        <f aca="false">STACK!H188</f>
        <v>n.a.</v>
      </c>
      <c r="P188" s="1" t="str">
        <f aca="false">IF(G188&gt;0,IF(INDEX(CONFIRM!$H$5:$H$53,G188)&lt;&gt;"",INDEX(CONFIRM!$H$5:$H$53,G188),IFERROR(INDEX(MAP!$B$7:$B$156,MATCH(TRIM(O188),MAP!$A$7:$A$156,0)),"UNMAPPED")),IFERROR(INDEX(MAP!$B$7:$B$156,MATCH(TRIM(O188),MAP!$A$7:$A$156,0)),"UNMAPPED"))</f>
        <v>No staff time</v>
      </c>
      <c r="Q188" s="48" t="n">
        <f aca="false">STACK!I188</f>
        <v>0</v>
      </c>
      <c r="R188" s="60" t="n">
        <f aca="false">IF(G188&gt;0,IF(INDEX(CONFIRM!$F$5:$F$53,G188)&lt;&gt;"",INDEX(CONFIRM!$F$5:$F$53,G188),IF(ISNUMBER(Q188),Q188,IF(Q188="","",IFERROR(VALUE(TRIM(SUBSTITUTE(SUBSTITUTE(LOWER(Q188),"hrs",""),"hr",""))),"")))),IF(ISNUMBER(Q188),Q188,IF(Q188="","",IFERROR(VALUE(TRIM(SUBSTITUTE(SUBSTITUTE(LOWER(Q188),"hrs",""),"hr",""))),""))))</f>
        <v>0</v>
      </c>
      <c r="S188" s="57" t="n">
        <f aca="false">IFERROR(INDEX(RATES!$E$6:$E$28,MATCH(P188,RATES!$A$6:$A$28,0)),0)</f>
        <v>0</v>
      </c>
      <c r="T188" s="61" t="n">
        <f aca="false">IF(ISNUMBER(R188),R188,0)*S188</f>
        <v>0</v>
      </c>
      <c r="U188" s="61" t="n">
        <f aca="false">T188*INDEX(INPUTS!$H$10:$H$14,MATCH(B188,INPUTS!$A$10:$A$14,0))</f>
        <v>0</v>
      </c>
      <c r="V188" s="61" t="n">
        <f aca="false">N(STACK!K188)</f>
        <v>10220</v>
      </c>
      <c r="W188" s="61" t="n">
        <f aca="false">T188+U188+V188</f>
        <v>10220</v>
      </c>
      <c r="X188" s="61" t="n">
        <f aca="false">N(STACK!L188)</f>
        <v>0</v>
      </c>
      <c r="Y188" s="61" t="n">
        <f aca="false">W188-X188</f>
        <v>10220</v>
      </c>
      <c r="Z188" s="1" t="n">
        <f aca="false">N(STACK!J188)</f>
        <v>0</v>
      </c>
      <c r="AA188" s="1" t="str">
        <f aca="false">TRIM(IF(D188="UNMAPPED","Program not mapped. ","")&amp;IF(OR(K188="UNMAPPED",K188="UNASSIGNED"),"Category needs review. ","")&amp;IF(P188="UNMAPPED","Title not mapped. ","")&amp;IF(AND(P188&lt;&gt;"No staff time",R188=""),"Missing hours. ","")&amp;IF(M188="","Date not readable. ","")&amp;IF(N188="No","Outside fiscal year. ","")&amp;IF(AND(F188="Event",ISNUMBER(R188)),IF(R188&gt;12,"Event hours look high. ",""),"")&amp;IF(G188&gt;0,"See CONFIRM sheet.",""))</f>
        <v/>
      </c>
      <c r="AB188" s="1" t="n">
        <f aca="false">IF(N188="No",0,IF(REVIEW!O188=0,0,IF(G188&gt;0,IF(INDEX(CONFIRM!$J$5:$J$53,G188)&lt;&gt;"",INDEX(CONFIRM!$J$5:$J$53,G188),1),1)))</f>
        <v>1</v>
      </c>
      <c r="AC188" s="1" t="n">
        <f aca="false">IF(AB188=1,IF(COUNTIFS($B$5:B188,B188,$D$5:D188,D188,$AB$5:AB188,1)=1,1,0),0)</f>
        <v>0</v>
      </c>
    </row>
    <row r="189" customFormat="false" ht="15" hidden="false" customHeight="false" outlineLevel="0" collapsed="false">
      <c r="A189" s="48" t="str">
        <f aca="false">STACK!A189</f>
        <v>KVMC-0185</v>
      </c>
      <c r="B189" s="48" t="str">
        <f aca="false">STACK!B189</f>
        <v>KVMC</v>
      </c>
      <c r="C189" s="48" t="str">
        <f aca="false">STACK!E189</f>
        <v>Grief Support Group</v>
      </c>
      <c r="D189" s="1" t="str">
        <f aca="false">IFERROR(INDEX(MAP!$J$7:$J$101,MATCH(TRIM(C189),MAP!$I$7:$I$101,0)),"UNMAPPED")</f>
        <v>Grief Support Group</v>
      </c>
      <c r="E189" s="1" t="str">
        <f aca="false">IFERROR(INDEX(MAP!$K$7:$K$101,MATCH(TRIM(C189),MAP!$I$7:$I$101,0)),"")</f>
        <v>Behavioral health</v>
      </c>
      <c r="F189" s="1" t="str">
        <f aca="false">IFERROR(INDEX(MAP!$L$7:$L$101,MATCH(TRIM(C189),MAP!$I$7:$I$101,0)),"")</f>
        <v>Event</v>
      </c>
      <c r="G189" s="1" t="n">
        <f aca="false">IFERROR(MATCH(A189,CONFIRM!$A$5:$A$53,0),0)</f>
        <v>0</v>
      </c>
      <c r="H189" s="48" t="str">
        <f aca="false">STACK!F189</f>
        <v>Health Care Support Services</v>
      </c>
      <c r="I189" s="1" t="str">
        <f aca="false">IF(G189&gt;0,IF(INDEX(CONFIRM!$I$5:$I$53,G189)&lt;&gt;"",INDEX(CONFIRM!$I$5:$I$53,G189),H189),H189)</f>
        <v>Health Care Support Services</v>
      </c>
      <c r="J189" s="1" t="str">
        <f aca="false">IFERROR(INDEX(MAP!$F$7:$F$74,MATCH(TRIM(I189),MAP!$E$7:$E$74,0)),"UNMAPPED")</f>
        <v>Health care support services</v>
      </c>
      <c r="K189" s="1" t="str">
        <f aca="false">IFERROR(INDEX(MAP!$G$7:$G$74,MATCH(TRIM(I189),MAP!$E$7:$E$74,0)),"UNMAPPED")</f>
        <v>7e</v>
      </c>
      <c r="L189" s="49" t="n">
        <f aca="false">STACK!G189</f>
        <v>45980</v>
      </c>
      <c r="M189" s="59" t="n">
        <f aca="false">IF(G189&gt;0,IF(INDEX(CONFIRM!$G$5:$G$53,G189)&lt;&gt;"",INDEX(CONFIRM!$G$5:$G$53,G189),IF(ISNUMBER(L189),L189,IFERROR(DATEVALUE(L189),""))),IF(ISNUMBER(L189),L189,IFERROR(DATEVALUE(L189),"")))</f>
        <v>45980</v>
      </c>
      <c r="N189" s="1" t="str">
        <f aca="false">IF(M189="","Check",IF(AND(M189&gt;=INPUTS!$C$6,M189&lt;=INPUTS!$C$7),"Yes","No"))</f>
        <v>Yes</v>
      </c>
      <c r="O189" s="48" t="str">
        <f aca="false">STACK!H189</f>
        <v>Spiritual Care</v>
      </c>
      <c r="P189" s="1" t="str">
        <f aca="false">IF(G189&gt;0,IF(INDEX(CONFIRM!$H$5:$H$53,G189)&lt;&gt;"",INDEX(CONFIRM!$H$5:$H$53,G189),IFERROR(INDEX(MAP!$B$7:$B$156,MATCH(TRIM(O189),MAP!$A$7:$A$156,0)),"UNMAPPED")),IFERROR(INDEX(MAP!$B$7:$B$156,MATCH(TRIM(O189),MAP!$A$7:$A$156,0)),"UNMAPPED"))</f>
        <v>Chaplain</v>
      </c>
      <c r="Q189" s="48" t="n">
        <f aca="false">STACK!I189</f>
        <v>2.5</v>
      </c>
      <c r="R189" s="60" t="n">
        <f aca="false">IF(G189&gt;0,IF(INDEX(CONFIRM!$F$5:$F$53,G189)&lt;&gt;"",INDEX(CONFIRM!$F$5:$F$53,G189),IF(ISNUMBER(Q189),Q189,IF(Q189="","",IFERROR(VALUE(TRIM(SUBSTITUTE(SUBSTITUTE(LOWER(Q189),"hrs",""),"hr",""))),"")))),IF(ISNUMBER(Q189),Q189,IF(Q189="","",IFERROR(VALUE(TRIM(SUBSTITUTE(SUBSTITUTE(LOWER(Q189),"hrs",""),"hr",""))),""))))</f>
        <v>2.5</v>
      </c>
      <c r="S189" s="57" t="n">
        <f aca="false">IFERROR(INDEX(RATES!$E$6:$E$28,MATCH(P189,RATES!$A$6:$A$28,0)),0)</f>
        <v>39.835</v>
      </c>
      <c r="T189" s="61" t="n">
        <f aca="false">IF(ISNUMBER(R189),R189,0)*S189</f>
        <v>99.5875</v>
      </c>
      <c r="U189" s="61" t="n">
        <f aca="false">T189*INDEX(INPUTS!$H$10:$H$14,MATCH(B189,INPUTS!$A$10:$A$14,0))</f>
        <v>18.4236875</v>
      </c>
      <c r="V189" s="61" t="n">
        <f aca="false">N(STACK!K189)</f>
        <v>35</v>
      </c>
      <c r="W189" s="61" t="n">
        <f aca="false">T189+U189+V189</f>
        <v>153.0111875</v>
      </c>
      <c r="X189" s="61" t="n">
        <f aca="false">N(STACK!L189)</f>
        <v>0</v>
      </c>
      <c r="Y189" s="61" t="n">
        <f aca="false">W189-X189</f>
        <v>153.0111875</v>
      </c>
      <c r="Z189" s="1" t="n">
        <f aca="false">N(STACK!J189)</f>
        <v>15</v>
      </c>
      <c r="AA189" s="1" t="str">
        <f aca="false">TRIM(IF(D189="UNMAPPED","Program not mapped. ","")&amp;IF(OR(K189="UNMAPPED",K189="UNASSIGNED"),"Category needs review. ","")&amp;IF(P189="UNMAPPED","Title not mapped. ","")&amp;IF(AND(P189&lt;&gt;"No staff time",R189=""),"Missing hours. ","")&amp;IF(M189="","Date not readable. ","")&amp;IF(N189="No","Outside fiscal year. ","")&amp;IF(AND(F189="Event",ISNUMBER(R189)),IF(R189&gt;12,"Event hours look high. ",""),"")&amp;IF(G189&gt;0,"See CONFIRM sheet.",""))</f>
        <v/>
      </c>
      <c r="AB189" s="1" t="n">
        <f aca="false">IF(N189="No",0,IF(REVIEW!O189=0,0,IF(G189&gt;0,IF(INDEX(CONFIRM!$J$5:$J$53,G189)&lt;&gt;"",INDEX(CONFIRM!$J$5:$J$53,G189),1),1)))</f>
        <v>1</v>
      </c>
      <c r="AC189" s="1" t="n">
        <f aca="false">IF(AB189=1,IF(COUNTIFS($B$5:B189,B189,$D$5:D189,D189,$AB$5:AB189,1)=1,1,0),0)</f>
        <v>0</v>
      </c>
    </row>
    <row r="190" customFormat="false" ht="15" hidden="false" customHeight="false" outlineLevel="0" collapsed="false">
      <c r="A190" s="48" t="str">
        <f aca="false">STACK!A190</f>
        <v>KVMC-0186</v>
      </c>
      <c r="B190" s="48" t="str">
        <f aca="false">STACK!B190</f>
        <v>KVMC</v>
      </c>
      <c r="C190" s="48" t="str">
        <f aca="false">STACK!E190</f>
        <v>Grief Support Group</v>
      </c>
      <c r="D190" s="1" t="str">
        <f aca="false">IFERROR(INDEX(MAP!$J$7:$J$101,MATCH(TRIM(C190),MAP!$I$7:$I$101,0)),"UNMAPPED")</f>
        <v>Grief Support Group</v>
      </c>
      <c r="E190" s="1" t="str">
        <f aca="false">IFERROR(INDEX(MAP!$K$7:$K$101,MATCH(TRIM(C190),MAP!$I$7:$I$101,0)),"")</f>
        <v>Behavioral health</v>
      </c>
      <c r="F190" s="1" t="str">
        <f aca="false">IFERROR(INDEX(MAP!$L$7:$L$101,MATCH(TRIM(C190),MAP!$I$7:$I$101,0)),"")</f>
        <v>Event</v>
      </c>
      <c r="G190" s="1" t="n">
        <f aca="false">IFERROR(MATCH(A190,CONFIRM!$A$5:$A$53,0),0)</f>
        <v>0</v>
      </c>
      <c r="H190" s="48" t="str">
        <f aca="false">STACK!F190</f>
        <v>Health Care Support Services</v>
      </c>
      <c r="I190" s="1" t="str">
        <f aca="false">IF(G190&gt;0,IF(INDEX(CONFIRM!$I$5:$I$53,G190)&lt;&gt;"",INDEX(CONFIRM!$I$5:$I$53,G190),H190),H190)</f>
        <v>Health Care Support Services</v>
      </c>
      <c r="J190" s="1" t="str">
        <f aca="false">IFERROR(INDEX(MAP!$F$7:$F$74,MATCH(TRIM(I190),MAP!$E$7:$E$74,0)),"UNMAPPED")</f>
        <v>Health care support services</v>
      </c>
      <c r="K190" s="1" t="str">
        <f aca="false">IFERROR(INDEX(MAP!$G$7:$G$74,MATCH(TRIM(I190),MAP!$E$7:$E$74,0)),"UNMAPPED")</f>
        <v>7e</v>
      </c>
      <c r="L190" s="49" t="n">
        <f aca="false">STACK!G190</f>
        <v>45980</v>
      </c>
      <c r="M190" s="59" t="n">
        <f aca="false">IF(G190&gt;0,IF(INDEX(CONFIRM!$G$5:$G$53,G190)&lt;&gt;"",INDEX(CONFIRM!$G$5:$G$53,G190),IF(ISNUMBER(L190),L190,IFERROR(DATEVALUE(L190),""))),IF(ISNUMBER(L190),L190,IFERROR(DATEVALUE(L190),"")))</f>
        <v>45980</v>
      </c>
      <c r="N190" s="1" t="str">
        <f aca="false">IF(M190="","Check",IF(AND(M190&gt;=INPUTS!$C$6,M190&lt;=INPUTS!$C$7),"Yes","No"))</f>
        <v>Yes</v>
      </c>
      <c r="O190" s="48" t="str">
        <f aca="false">STACK!H190</f>
        <v>Social Work</v>
      </c>
      <c r="P190" s="1" t="str">
        <f aca="false">IF(G190&gt;0,IF(INDEX(CONFIRM!$H$5:$H$53,G190)&lt;&gt;"",INDEX(CONFIRM!$H$5:$H$53,G190),IFERROR(INDEX(MAP!$B$7:$B$156,MATCH(TRIM(O190),MAP!$A$7:$A$156,0)),"UNMAPPED")),IFERROR(INDEX(MAP!$B$7:$B$156,MATCH(TRIM(O190),MAP!$A$7:$A$156,0)),"UNMAPPED"))</f>
        <v>Social Worker</v>
      </c>
      <c r="Q190" s="48" t="n">
        <f aca="false">STACK!I190</f>
        <v>1.5</v>
      </c>
      <c r="R190" s="60" t="n">
        <f aca="false">IF(G190&gt;0,IF(INDEX(CONFIRM!$F$5:$F$53,G190)&lt;&gt;"",INDEX(CONFIRM!$F$5:$F$53,G190),IF(ISNUMBER(Q190),Q190,IF(Q190="","",IFERROR(VALUE(TRIM(SUBSTITUTE(SUBSTITUTE(LOWER(Q190),"hrs",""),"hr",""))),"")))),IF(ISNUMBER(Q190),Q190,IF(Q190="","",IFERROR(VALUE(TRIM(SUBSTITUTE(SUBSTITUTE(LOWER(Q190),"hrs",""),"hr",""))),""))))</f>
        <v>1.5</v>
      </c>
      <c r="S190" s="57" t="n">
        <f aca="false">IFERROR(INDEX(RATES!$E$6:$E$28,MATCH(P190,RATES!$A$6:$A$28,0)),0)</f>
        <v>45.6175</v>
      </c>
      <c r="T190" s="61" t="n">
        <f aca="false">IF(ISNUMBER(R190),R190,0)*S190</f>
        <v>68.42625</v>
      </c>
      <c r="U190" s="61" t="n">
        <f aca="false">T190*INDEX(INPUTS!$H$10:$H$14,MATCH(B190,INPUTS!$A$10:$A$14,0))</f>
        <v>12.65885625</v>
      </c>
      <c r="V190" s="61" t="n">
        <f aca="false">N(STACK!K190)</f>
        <v>0</v>
      </c>
      <c r="W190" s="61" t="n">
        <f aca="false">T190+U190+V190</f>
        <v>81.08510625</v>
      </c>
      <c r="X190" s="61" t="n">
        <f aca="false">N(STACK!L190)</f>
        <v>0</v>
      </c>
      <c r="Y190" s="61" t="n">
        <f aca="false">W190-X190</f>
        <v>81.08510625</v>
      </c>
      <c r="Z190" s="1" t="n">
        <f aca="false">N(STACK!J190)</f>
        <v>0</v>
      </c>
      <c r="AA190" s="1" t="str">
        <f aca="false">TRIM(IF(D190="UNMAPPED","Program not mapped. ","")&amp;IF(OR(K190="UNMAPPED",K190="UNASSIGNED"),"Category needs review. ","")&amp;IF(P190="UNMAPPED","Title not mapped. ","")&amp;IF(AND(P190&lt;&gt;"No staff time",R190=""),"Missing hours. ","")&amp;IF(M190="","Date not readable. ","")&amp;IF(N190="No","Outside fiscal year. ","")&amp;IF(AND(F190="Event",ISNUMBER(R190)),IF(R190&gt;12,"Event hours look high. ",""),"")&amp;IF(G190&gt;0,"See CONFIRM sheet.",""))</f>
        <v/>
      </c>
      <c r="AB190" s="1" t="n">
        <f aca="false">IF(N190="No",0,IF(REVIEW!O190=0,0,IF(G190&gt;0,IF(INDEX(CONFIRM!$J$5:$J$53,G190)&lt;&gt;"",INDEX(CONFIRM!$J$5:$J$53,G190),1),1)))</f>
        <v>1</v>
      </c>
      <c r="AC190" s="1" t="n">
        <f aca="false">IF(AB190=1,IF(COUNTIFS($B$5:B190,B190,$D$5:D190,D190,$AB$5:AB190,1)=1,1,0),0)</f>
        <v>0</v>
      </c>
    </row>
    <row r="191" customFormat="false" ht="15" hidden="false" customHeight="false" outlineLevel="0" collapsed="false">
      <c r="A191" s="48" t="str">
        <f aca="false">STACK!A191</f>
        <v>KVMC-0187</v>
      </c>
      <c r="B191" s="48" t="str">
        <f aca="false">STACK!B191</f>
        <v>KVMC</v>
      </c>
      <c r="C191" s="48" t="str">
        <f aca="false">STACK!E191</f>
        <v>Childbirth and Newborn Care Classes</v>
      </c>
      <c r="D191" s="1" t="str">
        <f aca="false">IFERROR(INDEX(MAP!$J$7:$J$101,MATCH(TRIM(C191),MAP!$I$7:$I$101,0)),"UNMAPPED")</f>
        <v>Childbirth and Newborn Care Classes</v>
      </c>
      <c r="E191" s="1" t="str">
        <f aca="false">IFERROR(INDEX(MAP!$K$7:$K$101,MATCH(TRIM(C191),MAP!$I$7:$I$101,0)),"")</f>
        <v>Maternal and child health</v>
      </c>
      <c r="F191" s="1" t="str">
        <f aca="false">IFERROR(INDEX(MAP!$L$7:$L$101,MATCH(TRIM(C191),MAP!$I$7:$I$101,0)),"")</f>
        <v>Event</v>
      </c>
      <c r="G191" s="1" t="n">
        <f aca="false">IFERROR(MATCH(A191,CONFIRM!$A$5:$A$53,0),0)</f>
        <v>0</v>
      </c>
      <c r="H191" s="48" t="str">
        <f aca="false">STACK!F191</f>
        <v>Community Health Education</v>
      </c>
      <c r="I191" s="1" t="str">
        <f aca="false">IF(G191&gt;0,IF(INDEX(CONFIRM!$I$5:$I$53,G191)&lt;&gt;"",INDEX(CONFIRM!$I$5:$I$53,G191),H191),H191)</f>
        <v>Community Health Education</v>
      </c>
      <c r="J191" s="1" t="str">
        <f aca="false">IFERROR(INDEX(MAP!$F$7:$F$74,MATCH(TRIM(I191),MAP!$E$7:$E$74,0)),"UNMAPPED")</f>
        <v>Community health education</v>
      </c>
      <c r="K191" s="1" t="str">
        <f aca="false">IFERROR(INDEX(MAP!$G$7:$G$74,MATCH(TRIM(I191),MAP!$E$7:$E$74,0)),"UNMAPPED")</f>
        <v>7e</v>
      </c>
      <c r="L191" s="49" t="n">
        <f aca="false">STACK!G191</f>
        <v>45981</v>
      </c>
      <c r="M191" s="59" t="n">
        <f aca="false">IF(G191&gt;0,IF(INDEX(CONFIRM!$G$5:$G$53,G191)&lt;&gt;"",INDEX(CONFIRM!$G$5:$G$53,G191),IF(ISNUMBER(L191),L191,IFERROR(DATEVALUE(L191),""))),IF(ISNUMBER(L191),L191,IFERROR(DATEVALUE(L191),"")))</f>
        <v>45981</v>
      </c>
      <c r="N191" s="1" t="str">
        <f aca="false">IF(M191="","Check",IF(AND(M191&gt;=INPUTS!$C$6,M191&lt;=INPUTS!$C$7),"Yes","No"))</f>
        <v>Yes</v>
      </c>
      <c r="O191" s="48" t="str">
        <f aca="false">STACK!H191</f>
        <v>RN Educator</v>
      </c>
      <c r="P191" s="1" t="str">
        <f aca="false">IF(G191&gt;0,IF(INDEX(CONFIRM!$H$5:$H$53,G191)&lt;&gt;"",INDEX(CONFIRM!$H$5:$H$53,G191),IFERROR(INDEX(MAP!$B$7:$B$156,MATCH(TRIM(O191),MAP!$A$7:$A$156,0)),"UNMAPPED")),IFERROR(INDEX(MAP!$B$7:$B$156,MATCH(TRIM(O191),MAP!$A$7:$A$156,0)),"UNMAPPED"))</f>
        <v>Clinical Nurse Educator</v>
      </c>
      <c r="Q191" s="48" t="n">
        <f aca="false">STACK!I191</f>
        <v>3.5</v>
      </c>
      <c r="R191" s="60" t="n">
        <f aca="false">IF(G191&gt;0,IF(INDEX(CONFIRM!$F$5:$F$53,G191)&lt;&gt;"",INDEX(CONFIRM!$F$5:$F$53,G191),IF(ISNUMBER(Q191),Q191,IF(Q191="","",IFERROR(VALUE(TRIM(SUBSTITUTE(SUBSTITUTE(LOWER(Q191),"hrs",""),"hr",""))),"")))),IF(ISNUMBER(Q191),Q191,IF(Q191="","",IFERROR(VALUE(TRIM(SUBSTITUTE(SUBSTITUTE(LOWER(Q191),"hrs",""),"hr",""))),""))))</f>
        <v>3.5</v>
      </c>
      <c r="S191" s="57" t="n">
        <f aca="false">IFERROR(INDEX(RATES!$E$6:$E$28,MATCH(P191,RATES!$A$6:$A$28,0)),0)</f>
        <v>62.965</v>
      </c>
      <c r="T191" s="61" t="n">
        <f aca="false">IF(ISNUMBER(R191),R191,0)*S191</f>
        <v>220.3775</v>
      </c>
      <c r="U191" s="61" t="n">
        <f aca="false">T191*INDEX(INPUTS!$H$10:$H$14,MATCH(B191,INPUTS!$A$10:$A$14,0))</f>
        <v>40.7698375</v>
      </c>
      <c r="V191" s="61" t="n">
        <f aca="false">N(STACK!K191)</f>
        <v>115</v>
      </c>
      <c r="W191" s="61" t="n">
        <f aca="false">T191+U191+V191</f>
        <v>376.1473375</v>
      </c>
      <c r="X191" s="61" t="n">
        <f aca="false">N(STACK!L191)</f>
        <v>0</v>
      </c>
      <c r="Y191" s="61" t="n">
        <f aca="false">W191-X191</f>
        <v>376.1473375</v>
      </c>
      <c r="Z191" s="1" t="n">
        <f aca="false">N(STACK!J191)</f>
        <v>27</v>
      </c>
      <c r="AA191" s="1" t="str">
        <f aca="false">TRIM(IF(D191="UNMAPPED","Program not mapped. ","")&amp;IF(OR(K191="UNMAPPED",K191="UNASSIGNED"),"Category needs review. ","")&amp;IF(P191="UNMAPPED","Title not mapped. ","")&amp;IF(AND(P191&lt;&gt;"No staff time",R191=""),"Missing hours. ","")&amp;IF(M191="","Date not readable. ","")&amp;IF(N191="No","Outside fiscal year. ","")&amp;IF(AND(F191="Event",ISNUMBER(R191)),IF(R191&gt;12,"Event hours look high. ",""),"")&amp;IF(G191&gt;0,"See CONFIRM sheet.",""))</f>
        <v/>
      </c>
      <c r="AB191" s="1" t="n">
        <f aca="false">IF(N191="No",0,IF(REVIEW!O191=0,0,IF(G191&gt;0,IF(INDEX(CONFIRM!$J$5:$J$53,G191)&lt;&gt;"",INDEX(CONFIRM!$J$5:$J$53,G191),1),1)))</f>
        <v>1</v>
      </c>
      <c r="AC191" s="1" t="n">
        <f aca="false">IF(AB191=1,IF(COUNTIFS($B$5:B191,B191,$D$5:D191,D191,$AB$5:AB191,1)=1,1,0),0)</f>
        <v>0</v>
      </c>
    </row>
    <row r="192" customFormat="false" ht="15" hidden="false" customHeight="false" outlineLevel="0" collapsed="false">
      <c r="A192" s="48" t="str">
        <f aca="false">STACK!A192</f>
        <v>KVMC-0188</v>
      </c>
      <c r="B192" s="48" t="str">
        <f aca="false">STACK!B192</f>
        <v>KVMC</v>
      </c>
      <c r="C192" s="48" t="str">
        <f aca="false">STACK!E192</f>
        <v>Childbirth and Newborn Care Classes</v>
      </c>
      <c r="D192" s="1" t="str">
        <f aca="false">IFERROR(INDEX(MAP!$J$7:$J$101,MATCH(TRIM(C192),MAP!$I$7:$I$101,0)),"UNMAPPED")</f>
        <v>Childbirth and Newborn Care Classes</v>
      </c>
      <c r="E192" s="1" t="str">
        <f aca="false">IFERROR(INDEX(MAP!$K$7:$K$101,MATCH(TRIM(C192),MAP!$I$7:$I$101,0)),"")</f>
        <v>Maternal and child health</v>
      </c>
      <c r="F192" s="1" t="str">
        <f aca="false">IFERROR(INDEX(MAP!$L$7:$L$101,MATCH(TRIM(C192),MAP!$I$7:$I$101,0)),"")</f>
        <v>Event</v>
      </c>
      <c r="G192" s="1" t="n">
        <f aca="false">IFERROR(MATCH(A192,CONFIRM!$A$5:$A$53,0),0)</f>
        <v>0</v>
      </c>
      <c r="H192" s="48" t="str">
        <f aca="false">STACK!F192</f>
        <v>Community Health Education</v>
      </c>
      <c r="I192" s="1" t="str">
        <f aca="false">IF(G192&gt;0,IF(INDEX(CONFIRM!$I$5:$I$53,G192)&lt;&gt;"",INDEX(CONFIRM!$I$5:$I$53,G192),H192),H192)</f>
        <v>Community Health Education</v>
      </c>
      <c r="J192" s="1" t="str">
        <f aca="false">IFERROR(INDEX(MAP!$F$7:$F$74,MATCH(TRIM(I192),MAP!$E$7:$E$74,0)),"UNMAPPED")</f>
        <v>Community health education</v>
      </c>
      <c r="K192" s="1" t="str">
        <f aca="false">IFERROR(INDEX(MAP!$G$7:$G$74,MATCH(TRIM(I192),MAP!$E$7:$E$74,0)),"UNMAPPED")</f>
        <v>7e</v>
      </c>
      <c r="L192" s="49" t="n">
        <f aca="false">STACK!G192</f>
        <v>45988</v>
      </c>
      <c r="M192" s="59" t="n">
        <f aca="false">IF(G192&gt;0,IF(INDEX(CONFIRM!$G$5:$G$53,G192)&lt;&gt;"",INDEX(CONFIRM!$G$5:$G$53,G192),IF(ISNUMBER(L192),L192,IFERROR(DATEVALUE(L192),""))),IF(ISNUMBER(L192),L192,IFERROR(DATEVALUE(L192),"")))</f>
        <v>45988</v>
      </c>
      <c r="N192" s="1" t="str">
        <f aca="false">IF(M192="","Check",IF(AND(M192&gt;=INPUTS!$C$6,M192&lt;=INPUTS!$C$7),"Yes","No"))</f>
        <v>Yes</v>
      </c>
      <c r="O192" s="48" t="str">
        <f aca="false">STACK!H192</f>
        <v>Preceptor RN</v>
      </c>
      <c r="P192" s="1" t="str">
        <f aca="false">IF(G192&gt;0,IF(INDEX(CONFIRM!$H$5:$H$53,G192)&lt;&gt;"",INDEX(CONFIRM!$H$5:$H$53,G192),IFERROR(INDEX(MAP!$B$7:$B$156,MATCH(TRIM(O192),MAP!$A$7:$A$156,0)),"UNMAPPED")),IFERROR(INDEX(MAP!$B$7:$B$156,MATCH(TRIM(O192),MAP!$A$7:$A$156,0)),"UNMAPPED"))</f>
        <v>Clinical Nurse Educator</v>
      </c>
      <c r="Q192" s="48" t="n">
        <f aca="false">STACK!I192</f>
        <v>3</v>
      </c>
      <c r="R192" s="60" t="n">
        <f aca="false">IF(G192&gt;0,IF(INDEX(CONFIRM!$F$5:$F$53,G192)&lt;&gt;"",INDEX(CONFIRM!$F$5:$F$53,G192),IF(ISNUMBER(Q192),Q192,IF(Q192="","",IFERROR(VALUE(TRIM(SUBSTITUTE(SUBSTITUTE(LOWER(Q192),"hrs",""),"hr",""))),"")))),IF(ISNUMBER(Q192),Q192,IF(Q192="","",IFERROR(VALUE(TRIM(SUBSTITUTE(SUBSTITUTE(LOWER(Q192),"hrs",""),"hr",""))),""))))</f>
        <v>3</v>
      </c>
      <c r="S192" s="57" t="n">
        <f aca="false">IFERROR(INDEX(RATES!$E$6:$E$28,MATCH(P192,RATES!$A$6:$A$28,0)),0)</f>
        <v>62.965</v>
      </c>
      <c r="T192" s="61" t="n">
        <f aca="false">IF(ISNUMBER(R192),R192,0)*S192</f>
        <v>188.895</v>
      </c>
      <c r="U192" s="61" t="n">
        <f aca="false">T192*INDEX(INPUTS!$H$10:$H$14,MATCH(B192,INPUTS!$A$10:$A$14,0))</f>
        <v>34.945575</v>
      </c>
      <c r="V192" s="61" t="n">
        <f aca="false">N(STACK!K192)</f>
        <v>175</v>
      </c>
      <c r="W192" s="61" t="n">
        <f aca="false">T192+U192+V192</f>
        <v>398.840575</v>
      </c>
      <c r="X192" s="61" t="n">
        <f aca="false">N(STACK!L192)</f>
        <v>300</v>
      </c>
      <c r="Y192" s="61" t="n">
        <f aca="false">W192-X192</f>
        <v>98.8405749999999</v>
      </c>
      <c r="Z192" s="1" t="n">
        <f aca="false">N(STACK!J192)</f>
        <v>15</v>
      </c>
      <c r="AA192" s="1" t="str">
        <f aca="false">TRIM(IF(D192="UNMAPPED","Program not mapped. ","")&amp;IF(OR(K192="UNMAPPED",K192="UNASSIGNED"),"Category needs review. ","")&amp;IF(P192="UNMAPPED","Title not mapped. ","")&amp;IF(AND(P192&lt;&gt;"No staff time",R192=""),"Missing hours. ","")&amp;IF(M192="","Date not readable. ","")&amp;IF(N192="No","Outside fiscal year. ","")&amp;IF(AND(F192="Event",ISNUMBER(R192)),IF(R192&gt;12,"Event hours look high. ",""),"")&amp;IF(G192&gt;0,"See CONFIRM sheet.",""))</f>
        <v/>
      </c>
      <c r="AB192" s="1" t="n">
        <f aca="false">IF(N192="No",0,IF(REVIEW!O192=0,0,IF(G192&gt;0,IF(INDEX(CONFIRM!$J$5:$J$53,G192)&lt;&gt;"",INDEX(CONFIRM!$J$5:$J$53,G192),1),1)))</f>
        <v>1</v>
      </c>
      <c r="AC192" s="1" t="n">
        <f aca="false">IF(AB192=1,IF(COUNTIFS($B$5:B192,B192,$D$5:D192,D192,$AB$5:AB192,1)=1,1,0),0)</f>
        <v>0</v>
      </c>
    </row>
    <row r="193" customFormat="false" ht="15" hidden="false" customHeight="false" outlineLevel="0" collapsed="false">
      <c r="A193" s="48" t="str">
        <f aca="false">STACK!A193</f>
        <v>KVMC-0189</v>
      </c>
      <c r="B193" s="48" t="str">
        <f aca="false">STACK!B193</f>
        <v>KVMC</v>
      </c>
      <c r="C193" s="48" t="str">
        <f aca="false">STACK!E193</f>
        <v>Mental Health First Aid Training</v>
      </c>
      <c r="D193" s="1" t="str">
        <f aca="false">IFERROR(INDEX(MAP!$J$7:$J$101,MATCH(TRIM(C193),MAP!$I$7:$I$101,0)),"UNMAPPED")</f>
        <v>Mental Health First Aid Training</v>
      </c>
      <c r="E193" s="1" t="str">
        <f aca="false">IFERROR(INDEX(MAP!$K$7:$K$101,MATCH(TRIM(C193),MAP!$I$7:$I$101,0)),"")</f>
        <v>Behavioral health</v>
      </c>
      <c r="F193" s="1" t="str">
        <f aca="false">IFERROR(INDEX(MAP!$L$7:$L$101,MATCH(TRIM(C193),MAP!$I$7:$I$101,0)),"")</f>
        <v>Event</v>
      </c>
      <c r="G193" s="1" t="n">
        <f aca="false">IFERROR(MATCH(A193,CONFIRM!$A$5:$A$53,0),0)</f>
        <v>0</v>
      </c>
      <c r="H193" s="48" t="str">
        <f aca="false">STACK!F193</f>
        <v>Community Health Education</v>
      </c>
      <c r="I193" s="1" t="str">
        <f aca="false">IF(G193&gt;0,IF(INDEX(CONFIRM!$I$5:$I$53,G193)&lt;&gt;"",INDEX(CONFIRM!$I$5:$I$53,G193),H193),H193)</f>
        <v>Community Health Education</v>
      </c>
      <c r="J193" s="1" t="str">
        <f aca="false">IFERROR(INDEX(MAP!$F$7:$F$74,MATCH(TRIM(I193),MAP!$E$7:$E$74,0)),"UNMAPPED")</f>
        <v>Community health education</v>
      </c>
      <c r="K193" s="1" t="str">
        <f aca="false">IFERROR(INDEX(MAP!$G$7:$G$74,MATCH(TRIM(I193),MAP!$E$7:$E$74,0)),"UNMAPPED")</f>
        <v>7e</v>
      </c>
      <c r="L193" s="49" t="n">
        <f aca="false">STACK!G193</f>
        <v>45990</v>
      </c>
      <c r="M193" s="59" t="n">
        <f aca="false">IF(G193&gt;0,IF(INDEX(CONFIRM!$G$5:$G$53,G193)&lt;&gt;"",INDEX(CONFIRM!$G$5:$G$53,G193),IF(ISNUMBER(L193),L193,IFERROR(DATEVALUE(L193),""))),IF(ISNUMBER(L193),L193,IFERROR(DATEVALUE(L193),"")))</f>
        <v>45990</v>
      </c>
      <c r="N193" s="1" t="str">
        <f aca="false">IF(M193="","Check",IF(AND(M193&gt;=INPUTS!$C$6,M193&lt;=INPUTS!$C$7),"Yes","No"))</f>
        <v>Yes</v>
      </c>
      <c r="O193" s="48" t="str">
        <f aca="false">STACK!H193</f>
        <v>CHES</v>
      </c>
      <c r="P193" s="1" t="str">
        <f aca="false">IF(G193&gt;0,IF(INDEX(CONFIRM!$H$5:$H$53,G193)&lt;&gt;"",INDEX(CONFIRM!$H$5:$H$53,G193),IFERROR(INDEX(MAP!$B$7:$B$156,MATCH(TRIM(O193),MAP!$A$7:$A$156,0)),"UNMAPPED")),IFERROR(INDEX(MAP!$B$7:$B$156,MATCH(TRIM(O193),MAP!$A$7:$A$156,0)),"UNMAPPED"))</f>
        <v>Health Educator</v>
      </c>
      <c r="Q193" s="48" t="n">
        <f aca="false">STACK!I193</f>
        <v>8</v>
      </c>
      <c r="R193" s="60" t="n">
        <f aca="false">IF(G193&gt;0,IF(INDEX(CONFIRM!$F$5:$F$53,G193)&lt;&gt;"",INDEX(CONFIRM!$F$5:$F$53,G193),IF(ISNUMBER(Q193),Q193,IF(Q193="","",IFERROR(VALUE(TRIM(SUBSTITUTE(SUBSTITUTE(LOWER(Q193),"hrs",""),"hr",""))),"")))),IF(ISNUMBER(Q193),Q193,IF(Q193="","",IFERROR(VALUE(TRIM(SUBSTITUTE(SUBSTITUTE(LOWER(Q193),"hrs",""),"hr",""))),""))))</f>
        <v>8</v>
      </c>
      <c r="S193" s="57" t="n">
        <f aca="false">IFERROR(INDEX(RATES!$E$6:$E$28,MATCH(P193,RATES!$A$6:$A$28,0)),0)</f>
        <v>37.265</v>
      </c>
      <c r="T193" s="61" t="n">
        <f aca="false">IF(ISNUMBER(R193),R193,0)*S193</f>
        <v>298.12</v>
      </c>
      <c r="U193" s="61" t="n">
        <f aca="false">T193*INDEX(INPUTS!$H$10:$H$14,MATCH(B193,INPUTS!$A$10:$A$14,0))</f>
        <v>55.1522</v>
      </c>
      <c r="V193" s="61" t="n">
        <f aca="false">N(STACK!K193)</f>
        <v>0</v>
      </c>
      <c r="W193" s="61" t="n">
        <f aca="false">T193+U193+V193</f>
        <v>353.2722</v>
      </c>
      <c r="X193" s="61" t="n">
        <f aca="false">N(STACK!L193)</f>
        <v>0</v>
      </c>
      <c r="Y193" s="61" t="n">
        <f aca="false">W193-X193</f>
        <v>353.2722</v>
      </c>
      <c r="Z193" s="1" t="n">
        <f aca="false">N(STACK!J193)</f>
        <v>0</v>
      </c>
      <c r="AA193" s="1" t="str">
        <f aca="false">TRIM(IF(D193="UNMAPPED","Program not mapped. ","")&amp;IF(OR(K193="UNMAPPED",K193="UNASSIGNED"),"Category needs review. ","")&amp;IF(P193="UNMAPPED","Title not mapped. ","")&amp;IF(AND(P193&lt;&gt;"No staff time",R193=""),"Missing hours. ","")&amp;IF(M193="","Date not readable. ","")&amp;IF(N193="No","Outside fiscal year. ","")&amp;IF(AND(F193="Event",ISNUMBER(R193)),IF(R193&gt;12,"Event hours look high. ",""),"")&amp;IF(G193&gt;0,"See CONFIRM sheet.",""))</f>
        <v/>
      </c>
      <c r="AB193" s="1" t="n">
        <f aca="false">IF(N193="No",0,IF(REVIEW!O193=0,0,IF(G193&gt;0,IF(INDEX(CONFIRM!$J$5:$J$53,G193)&lt;&gt;"",INDEX(CONFIRM!$J$5:$J$53,G193),1),1)))</f>
        <v>1</v>
      </c>
      <c r="AC193" s="1" t="n">
        <f aca="false">IF(AB193=1,IF(COUNTIFS($B$5:B193,B193,$D$5:D193,D193,$AB$5:AB193,1)=1,1,0),0)</f>
        <v>0</v>
      </c>
    </row>
    <row r="194" customFormat="false" ht="15" hidden="false" customHeight="false" outlineLevel="0" collapsed="false">
      <c r="A194" s="48" t="str">
        <f aca="false">STACK!A194</f>
        <v>KVMC-0190</v>
      </c>
      <c r="B194" s="48" t="str">
        <f aca="false">STACK!B194</f>
        <v>KVMC</v>
      </c>
      <c r="C194" s="48" t="str">
        <f aca="false">STACK!E194</f>
        <v>Mental Health First Aid Training</v>
      </c>
      <c r="D194" s="1" t="str">
        <f aca="false">IFERROR(INDEX(MAP!$J$7:$J$101,MATCH(TRIM(C194),MAP!$I$7:$I$101,0)),"UNMAPPED")</f>
        <v>Mental Health First Aid Training</v>
      </c>
      <c r="E194" s="1" t="str">
        <f aca="false">IFERROR(INDEX(MAP!$K$7:$K$101,MATCH(TRIM(C194),MAP!$I$7:$I$101,0)),"")</f>
        <v>Behavioral health</v>
      </c>
      <c r="F194" s="1" t="str">
        <f aca="false">IFERROR(INDEX(MAP!$L$7:$L$101,MATCH(TRIM(C194),MAP!$I$7:$I$101,0)),"")</f>
        <v>Event</v>
      </c>
      <c r="G194" s="1" t="n">
        <f aca="false">IFERROR(MATCH(A194,CONFIRM!$A$5:$A$53,0),0)</f>
        <v>0</v>
      </c>
      <c r="H194" s="48" t="str">
        <f aca="false">STACK!F194</f>
        <v>Community Health Education</v>
      </c>
      <c r="I194" s="1" t="str">
        <f aca="false">IF(G194&gt;0,IF(INDEX(CONFIRM!$I$5:$I$53,G194)&lt;&gt;"",INDEX(CONFIRM!$I$5:$I$53,G194),H194),H194)</f>
        <v>Community Health Education</v>
      </c>
      <c r="J194" s="1" t="str">
        <f aca="false">IFERROR(INDEX(MAP!$F$7:$F$74,MATCH(TRIM(I194),MAP!$E$7:$E$74,0)),"UNMAPPED")</f>
        <v>Community health education</v>
      </c>
      <c r="K194" s="1" t="str">
        <f aca="false">IFERROR(INDEX(MAP!$G$7:$G$74,MATCH(TRIM(I194),MAP!$E$7:$E$74,0)),"UNMAPPED")</f>
        <v>7e</v>
      </c>
      <c r="L194" s="49" t="n">
        <f aca="false">STACK!G194</f>
        <v>45990</v>
      </c>
      <c r="M194" s="59" t="n">
        <f aca="false">IF(G194&gt;0,IF(INDEX(CONFIRM!$G$5:$G$53,G194)&lt;&gt;"",INDEX(CONFIRM!$G$5:$G$53,G194),IF(ISNUMBER(L194),L194,IFERROR(DATEVALUE(L194),""))),IF(ISNUMBER(L194),L194,IFERROR(DATEVALUE(L194),"")))</f>
        <v>45990</v>
      </c>
      <c r="N194" s="1" t="str">
        <f aca="false">IF(M194="","Check",IF(AND(M194&gt;=INPUTS!$C$6,M194&lt;=INPUTS!$C$7),"Yes","No"))</f>
        <v>Yes</v>
      </c>
      <c r="O194" s="48" t="str">
        <f aca="false">STACK!H194</f>
        <v> Clinical Social Worker</v>
      </c>
      <c r="P194" s="1" t="str">
        <f aca="false">IF(G194&gt;0,IF(INDEX(CONFIRM!$H$5:$H$53,G194)&lt;&gt;"",INDEX(CONFIRM!$H$5:$H$53,G194),IFERROR(INDEX(MAP!$B$7:$B$156,MATCH(TRIM(O194),MAP!$A$7:$A$156,0)),"UNMAPPED")),IFERROR(INDEX(MAP!$B$7:$B$156,MATCH(TRIM(O194),MAP!$A$7:$A$156,0)),"UNMAPPED"))</f>
        <v>Social Worker</v>
      </c>
      <c r="Q194" s="48" t="n">
        <f aca="false">STACK!I194</f>
        <v>8</v>
      </c>
      <c r="R194" s="60" t="n">
        <f aca="false">IF(G194&gt;0,IF(INDEX(CONFIRM!$F$5:$F$53,G194)&lt;&gt;"",INDEX(CONFIRM!$F$5:$F$53,G194),IF(ISNUMBER(Q194),Q194,IF(Q194="","",IFERROR(VALUE(TRIM(SUBSTITUTE(SUBSTITUTE(LOWER(Q194),"hrs",""),"hr",""))),"")))),IF(ISNUMBER(Q194),Q194,IF(Q194="","",IFERROR(VALUE(TRIM(SUBSTITUTE(SUBSTITUTE(LOWER(Q194),"hrs",""),"hr",""))),""))))</f>
        <v>8</v>
      </c>
      <c r="S194" s="57" t="n">
        <f aca="false">IFERROR(INDEX(RATES!$E$6:$E$28,MATCH(P194,RATES!$A$6:$A$28,0)),0)</f>
        <v>45.6175</v>
      </c>
      <c r="T194" s="61" t="n">
        <f aca="false">IF(ISNUMBER(R194),R194,0)*S194</f>
        <v>364.94</v>
      </c>
      <c r="U194" s="61" t="n">
        <f aca="false">T194*INDEX(INPUTS!$H$10:$H$14,MATCH(B194,INPUTS!$A$10:$A$14,0))</f>
        <v>67.5139</v>
      </c>
      <c r="V194" s="61" t="n">
        <f aca="false">N(STACK!K194)</f>
        <v>455</v>
      </c>
      <c r="W194" s="61" t="n">
        <f aca="false">T194+U194+V194</f>
        <v>887.4539</v>
      </c>
      <c r="X194" s="61" t="n">
        <f aca="false">N(STACK!L194)</f>
        <v>0</v>
      </c>
      <c r="Y194" s="61" t="n">
        <f aca="false">W194-X194</f>
        <v>887.4539</v>
      </c>
      <c r="Z194" s="1" t="n">
        <f aca="false">N(STACK!J194)</f>
        <v>20</v>
      </c>
      <c r="AA194" s="1" t="str">
        <f aca="false">TRIM(IF(D194="UNMAPPED","Program not mapped. ","")&amp;IF(OR(K194="UNMAPPED",K194="UNASSIGNED"),"Category needs review. ","")&amp;IF(P194="UNMAPPED","Title not mapped. ","")&amp;IF(AND(P194&lt;&gt;"No staff time",R194=""),"Missing hours. ","")&amp;IF(M194="","Date not readable. ","")&amp;IF(N194="No","Outside fiscal year. ","")&amp;IF(AND(F194="Event",ISNUMBER(R194)),IF(R194&gt;12,"Event hours look high. ",""),"")&amp;IF(G194&gt;0,"See CONFIRM sheet.",""))</f>
        <v/>
      </c>
      <c r="AB194" s="1" t="n">
        <f aca="false">IF(N194="No",0,IF(REVIEW!O194=0,0,IF(G194&gt;0,IF(INDEX(CONFIRM!$J$5:$J$53,G194)&lt;&gt;"",INDEX(CONFIRM!$J$5:$J$53,G194),1),1)))</f>
        <v>1</v>
      </c>
      <c r="AC194" s="1" t="n">
        <f aca="false">IF(AB194=1,IF(COUNTIFS($B$5:B194,B194,$D$5:D194,D194,$AB$5:AB194,1)=1,1,0),0)</f>
        <v>0</v>
      </c>
    </row>
    <row r="195" customFormat="false" ht="15" hidden="false" customHeight="false" outlineLevel="0" collapsed="false">
      <c r="A195" s="48" t="str">
        <f aca="false">STACK!A195</f>
        <v>KVMC-0191</v>
      </c>
      <c r="B195" s="48" t="str">
        <f aca="false">STACK!B195</f>
        <v>KVMC</v>
      </c>
      <c r="C195" s="48" t="str">
        <f aca="false">STACK!E195</f>
        <v>Grief Support Group</v>
      </c>
      <c r="D195" s="1" t="str">
        <f aca="false">IFERROR(INDEX(MAP!$J$7:$J$101,MATCH(TRIM(C195),MAP!$I$7:$I$101,0)),"UNMAPPED")</f>
        <v>Grief Support Group</v>
      </c>
      <c r="E195" s="1" t="str">
        <f aca="false">IFERROR(INDEX(MAP!$K$7:$K$101,MATCH(TRIM(C195),MAP!$I$7:$I$101,0)),"")</f>
        <v>Behavioral health</v>
      </c>
      <c r="F195" s="1" t="str">
        <f aca="false">IFERROR(INDEX(MAP!$L$7:$L$101,MATCH(TRIM(C195),MAP!$I$7:$I$101,0)),"")</f>
        <v>Event</v>
      </c>
      <c r="G195" s="1" t="n">
        <f aca="false">IFERROR(MATCH(A195,CONFIRM!$A$5:$A$53,0),0)</f>
        <v>0</v>
      </c>
      <c r="H195" s="48" t="str">
        <f aca="false">STACK!F195</f>
        <v>Health Care Support Services</v>
      </c>
      <c r="I195" s="1" t="str">
        <f aca="false">IF(G195&gt;0,IF(INDEX(CONFIRM!$I$5:$I$53,G195)&lt;&gt;"",INDEX(CONFIRM!$I$5:$I$53,G195),H195),H195)</f>
        <v>Health Care Support Services</v>
      </c>
      <c r="J195" s="1" t="str">
        <f aca="false">IFERROR(INDEX(MAP!$F$7:$F$74,MATCH(TRIM(I195),MAP!$E$7:$E$74,0)),"UNMAPPED")</f>
        <v>Health care support services</v>
      </c>
      <c r="K195" s="1" t="str">
        <f aca="false">IFERROR(INDEX(MAP!$G$7:$G$74,MATCH(TRIM(I195),MAP!$E$7:$E$74,0)),"UNMAPPED")</f>
        <v>7e</v>
      </c>
      <c r="L195" s="49" t="n">
        <f aca="false">STACK!G195</f>
        <v>45990</v>
      </c>
      <c r="M195" s="59" t="n">
        <f aca="false">IF(G195&gt;0,IF(INDEX(CONFIRM!$G$5:$G$53,G195)&lt;&gt;"",INDEX(CONFIRM!$G$5:$G$53,G195),IF(ISNUMBER(L195),L195,IFERROR(DATEVALUE(L195),""))),IF(ISNUMBER(L195),L195,IFERROR(DATEVALUE(L195),"")))</f>
        <v>45990</v>
      </c>
      <c r="N195" s="1" t="str">
        <f aca="false">IF(M195="","Check",IF(AND(M195&gt;=INPUTS!$C$6,M195&lt;=INPUTS!$C$7),"Yes","No"))</f>
        <v>Yes</v>
      </c>
      <c r="O195" s="48" t="str">
        <f aca="false">STACK!H195</f>
        <v>Chaplain Resident</v>
      </c>
      <c r="P195" s="1" t="str">
        <f aca="false">IF(G195&gt;0,IF(INDEX(CONFIRM!$H$5:$H$53,G195)&lt;&gt;"",INDEX(CONFIRM!$H$5:$H$53,G195),IFERROR(INDEX(MAP!$B$7:$B$156,MATCH(TRIM(O195),MAP!$A$7:$A$156,0)),"UNMAPPED")),IFERROR(INDEX(MAP!$B$7:$B$156,MATCH(TRIM(O195),MAP!$A$7:$A$156,0)),"UNMAPPED"))</f>
        <v>Chaplain</v>
      </c>
      <c r="Q195" s="48" t="n">
        <f aca="false">STACK!I195</f>
        <v>2.25</v>
      </c>
      <c r="R195" s="60" t="n">
        <f aca="false">IF(G195&gt;0,IF(INDEX(CONFIRM!$F$5:$F$53,G195)&lt;&gt;"",INDEX(CONFIRM!$F$5:$F$53,G195),IF(ISNUMBER(Q195),Q195,IF(Q195="","",IFERROR(VALUE(TRIM(SUBSTITUTE(SUBSTITUTE(LOWER(Q195),"hrs",""),"hr",""))),"")))),IF(ISNUMBER(Q195),Q195,IF(Q195="","",IFERROR(VALUE(TRIM(SUBSTITUTE(SUBSTITUTE(LOWER(Q195),"hrs",""),"hr",""))),""))))</f>
        <v>2.25</v>
      </c>
      <c r="S195" s="57" t="n">
        <f aca="false">IFERROR(INDEX(RATES!$E$6:$E$28,MATCH(P195,RATES!$A$6:$A$28,0)),0)</f>
        <v>39.835</v>
      </c>
      <c r="T195" s="61" t="n">
        <f aca="false">IF(ISNUMBER(R195),R195,0)*S195</f>
        <v>89.62875</v>
      </c>
      <c r="U195" s="61" t="n">
        <f aca="false">T195*INDEX(INPUTS!$H$10:$H$14,MATCH(B195,INPUTS!$A$10:$A$14,0))</f>
        <v>16.58131875</v>
      </c>
      <c r="V195" s="61" t="n">
        <f aca="false">N(STACK!K195)</f>
        <v>35</v>
      </c>
      <c r="W195" s="61" t="n">
        <f aca="false">T195+U195+V195</f>
        <v>141.21006875</v>
      </c>
      <c r="X195" s="61" t="n">
        <f aca="false">N(STACK!L195)</f>
        <v>0</v>
      </c>
      <c r="Y195" s="61" t="n">
        <f aca="false">W195-X195</f>
        <v>141.21006875</v>
      </c>
      <c r="Z195" s="1" t="n">
        <f aca="false">N(STACK!J195)</f>
        <v>13</v>
      </c>
      <c r="AA195" s="1" t="str">
        <f aca="false">TRIM(IF(D195="UNMAPPED","Program not mapped. ","")&amp;IF(OR(K195="UNMAPPED",K195="UNASSIGNED"),"Category needs review. ","")&amp;IF(P195="UNMAPPED","Title not mapped. ","")&amp;IF(AND(P195&lt;&gt;"No staff time",R195=""),"Missing hours. ","")&amp;IF(M195="","Date not readable. ","")&amp;IF(N195="No","Outside fiscal year. ","")&amp;IF(AND(F195="Event",ISNUMBER(R195)),IF(R195&gt;12,"Event hours look high. ",""),"")&amp;IF(G195&gt;0,"See CONFIRM sheet.",""))</f>
        <v/>
      </c>
      <c r="AB195" s="1" t="n">
        <f aca="false">IF(N195="No",0,IF(REVIEW!O195=0,0,IF(G195&gt;0,IF(INDEX(CONFIRM!$J$5:$J$53,G195)&lt;&gt;"",INDEX(CONFIRM!$J$5:$J$53,G195),1),1)))</f>
        <v>1</v>
      </c>
      <c r="AC195" s="1" t="n">
        <f aca="false">IF(AB195=1,IF(COUNTIFS($B$5:B195,B195,$D$5:D195,D195,$AB$5:AB195,1)=1,1,0),0)</f>
        <v>0</v>
      </c>
    </row>
    <row r="196" customFormat="false" ht="15" hidden="false" customHeight="false" outlineLevel="0" collapsed="false">
      <c r="A196" s="48" t="str">
        <f aca="false">STACK!A196</f>
        <v>KVMC-0192</v>
      </c>
      <c r="B196" s="48" t="str">
        <f aca="false">STACK!B196</f>
        <v>KVMC</v>
      </c>
      <c r="C196" s="48" t="str">
        <f aca="false">STACK!E196</f>
        <v>Grief Support Group</v>
      </c>
      <c r="D196" s="1" t="str">
        <f aca="false">IFERROR(INDEX(MAP!$J$7:$J$101,MATCH(TRIM(C196),MAP!$I$7:$I$101,0)),"UNMAPPED")</f>
        <v>Grief Support Group</v>
      </c>
      <c r="E196" s="1" t="str">
        <f aca="false">IFERROR(INDEX(MAP!$K$7:$K$101,MATCH(TRIM(C196),MAP!$I$7:$I$101,0)),"")</f>
        <v>Behavioral health</v>
      </c>
      <c r="F196" s="1" t="str">
        <f aca="false">IFERROR(INDEX(MAP!$L$7:$L$101,MATCH(TRIM(C196),MAP!$I$7:$I$101,0)),"")</f>
        <v>Event</v>
      </c>
      <c r="G196" s="1" t="n">
        <f aca="false">IFERROR(MATCH(A196,CONFIRM!$A$5:$A$53,0),0)</f>
        <v>0</v>
      </c>
      <c r="H196" s="48" t="str">
        <f aca="false">STACK!F196</f>
        <v>Health Care Support Services</v>
      </c>
      <c r="I196" s="1" t="str">
        <f aca="false">IF(G196&gt;0,IF(INDEX(CONFIRM!$I$5:$I$53,G196)&lt;&gt;"",INDEX(CONFIRM!$I$5:$I$53,G196),H196),H196)</f>
        <v>Health Care Support Services</v>
      </c>
      <c r="J196" s="1" t="str">
        <f aca="false">IFERROR(INDEX(MAP!$F$7:$F$74,MATCH(TRIM(I196),MAP!$E$7:$E$74,0)),"UNMAPPED")</f>
        <v>Health care support services</v>
      </c>
      <c r="K196" s="1" t="str">
        <f aca="false">IFERROR(INDEX(MAP!$G$7:$G$74,MATCH(TRIM(I196),MAP!$E$7:$E$74,0)),"UNMAPPED")</f>
        <v>7e</v>
      </c>
      <c r="L196" s="49" t="n">
        <f aca="false">STACK!G196</f>
        <v>45990</v>
      </c>
      <c r="M196" s="59" t="n">
        <f aca="false">IF(G196&gt;0,IF(INDEX(CONFIRM!$G$5:$G$53,G196)&lt;&gt;"",INDEX(CONFIRM!$G$5:$G$53,G196),IF(ISNUMBER(L196),L196,IFERROR(DATEVALUE(L196),""))),IF(ISNUMBER(L196),L196,IFERROR(DATEVALUE(L196),"")))</f>
        <v>45990</v>
      </c>
      <c r="N196" s="1" t="str">
        <f aca="false">IF(M196="","Check",IF(AND(M196&gt;=INPUTS!$C$6,M196&lt;=INPUTS!$C$7),"Yes","No"))</f>
        <v>Yes</v>
      </c>
      <c r="O196" s="48" t="str">
        <f aca="false">STACK!H196</f>
        <v>Chaplain</v>
      </c>
      <c r="P196" s="1" t="str">
        <f aca="false">IF(G196&gt;0,IF(INDEX(CONFIRM!$H$5:$H$53,G196)&lt;&gt;"",INDEX(CONFIRM!$H$5:$H$53,G196),IFERROR(INDEX(MAP!$B$7:$B$156,MATCH(TRIM(O196),MAP!$A$7:$A$156,0)),"UNMAPPED")),IFERROR(INDEX(MAP!$B$7:$B$156,MATCH(TRIM(O196),MAP!$A$7:$A$156,0)),"UNMAPPED"))</f>
        <v>Chaplain</v>
      </c>
      <c r="Q196" s="48" t="n">
        <f aca="false">STACK!I196</f>
        <v>2.5</v>
      </c>
      <c r="R196" s="60" t="n">
        <f aca="false">IF(G196&gt;0,IF(INDEX(CONFIRM!$F$5:$F$53,G196)&lt;&gt;"",INDEX(CONFIRM!$F$5:$F$53,G196),IF(ISNUMBER(Q196),Q196,IF(Q196="","",IFERROR(VALUE(TRIM(SUBSTITUTE(SUBSTITUTE(LOWER(Q196),"hrs",""),"hr",""))),"")))),IF(ISNUMBER(Q196),Q196,IF(Q196="","",IFERROR(VALUE(TRIM(SUBSTITUTE(SUBSTITUTE(LOWER(Q196),"hrs",""),"hr",""))),""))))</f>
        <v>2.5</v>
      </c>
      <c r="S196" s="57" t="n">
        <f aca="false">IFERROR(INDEX(RATES!$E$6:$E$28,MATCH(P196,RATES!$A$6:$A$28,0)),0)</f>
        <v>39.835</v>
      </c>
      <c r="T196" s="61" t="n">
        <f aca="false">IF(ISNUMBER(R196),R196,0)*S196</f>
        <v>99.5875</v>
      </c>
      <c r="U196" s="61" t="n">
        <f aca="false">T196*INDEX(INPUTS!$H$10:$H$14,MATCH(B196,INPUTS!$A$10:$A$14,0))</f>
        <v>18.4236875</v>
      </c>
      <c r="V196" s="61" t="n">
        <f aca="false">N(STACK!K196)</f>
        <v>25</v>
      </c>
      <c r="W196" s="61" t="n">
        <f aca="false">T196+U196+V196</f>
        <v>143.0111875</v>
      </c>
      <c r="X196" s="61" t="n">
        <f aca="false">N(STACK!L196)</f>
        <v>0</v>
      </c>
      <c r="Y196" s="61" t="n">
        <f aca="false">W196-X196</f>
        <v>143.0111875</v>
      </c>
      <c r="Z196" s="1" t="n">
        <f aca="false">N(STACK!J196)</f>
        <v>12</v>
      </c>
      <c r="AA196" s="1" t="str">
        <f aca="false">TRIM(IF(D196="UNMAPPED","Program not mapped. ","")&amp;IF(OR(K196="UNMAPPED",K196="UNASSIGNED"),"Category needs review. ","")&amp;IF(P196="UNMAPPED","Title not mapped. ","")&amp;IF(AND(P196&lt;&gt;"No staff time",R196=""),"Missing hours. ","")&amp;IF(M196="","Date not readable. ","")&amp;IF(N196="No","Outside fiscal year. ","")&amp;IF(AND(F196="Event",ISNUMBER(R196)),IF(R196&gt;12,"Event hours look high. ",""),"")&amp;IF(G196&gt;0,"See CONFIRM sheet.",""))</f>
        <v/>
      </c>
      <c r="AB196" s="1" t="n">
        <f aca="false">IF(N196="No",0,IF(REVIEW!O196=0,0,IF(G196&gt;0,IF(INDEX(CONFIRM!$J$5:$J$53,G196)&lt;&gt;"",INDEX(CONFIRM!$J$5:$J$53,G196),1),1)))</f>
        <v>1</v>
      </c>
      <c r="AC196" s="1" t="n">
        <f aca="false">IF(AB196=1,IF(COUNTIFS($B$5:B196,B196,$D$5:D196,D196,$AB$5:AB196,1)=1,1,0),0)</f>
        <v>0</v>
      </c>
    </row>
    <row r="197" customFormat="false" ht="15" hidden="false" customHeight="false" outlineLevel="0" collapsed="false">
      <c r="A197" s="48" t="str">
        <f aca="false">STACK!A197</f>
        <v>KVMC-0193</v>
      </c>
      <c r="B197" s="48" t="str">
        <f aca="false">STACK!B197</f>
        <v>KVMC</v>
      </c>
      <c r="C197" s="48" t="str">
        <f aca="false">STACK!E197</f>
        <v>Grief Support Group</v>
      </c>
      <c r="D197" s="1" t="str">
        <f aca="false">IFERROR(INDEX(MAP!$J$7:$J$101,MATCH(TRIM(C197),MAP!$I$7:$I$101,0)),"UNMAPPED")</f>
        <v>Grief Support Group</v>
      </c>
      <c r="E197" s="1" t="str">
        <f aca="false">IFERROR(INDEX(MAP!$K$7:$K$101,MATCH(TRIM(C197),MAP!$I$7:$I$101,0)),"")</f>
        <v>Behavioral health</v>
      </c>
      <c r="F197" s="1" t="str">
        <f aca="false">IFERROR(INDEX(MAP!$L$7:$L$101,MATCH(TRIM(C197),MAP!$I$7:$I$101,0)),"")</f>
        <v>Event</v>
      </c>
      <c r="G197" s="1" t="n">
        <f aca="false">IFERROR(MATCH(A197,CONFIRM!$A$5:$A$53,0),0)</f>
        <v>0</v>
      </c>
      <c r="H197" s="48" t="str">
        <f aca="false">STACK!F197</f>
        <v>Health Care Support Services</v>
      </c>
      <c r="I197" s="1" t="str">
        <f aca="false">IF(G197&gt;0,IF(INDEX(CONFIRM!$I$5:$I$53,G197)&lt;&gt;"",INDEX(CONFIRM!$I$5:$I$53,G197),H197),H197)</f>
        <v>Health Care Support Services</v>
      </c>
      <c r="J197" s="1" t="str">
        <f aca="false">IFERROR(INDEX(MAP!$F$7:$F$74,MATCH(TRIM(I197),MAP!$E$7:$E$74,0)),"UNMAPPED")</f>
        <v>Health care support services</v>
      </c>
      <c r="K197" s="1" t="str">
        <f aca="false">IFERROR(INDEX(MAP!$G$7:$G$74,MATCH(TRIM(I197),MAP!$E$7:$E$74,0)),"UNMAPPED")</f>
        <v>7e</v>
      </c>
      <c r="L197" s="49" t="n">
        <f aca="false">STACK!G197</f>
        <v>45990</v>
      </c>
      <c r="M197" s="59" t="n">
        <f aca="false">IF(G197&gt;0,IF(INDEX(CONFIRM!$G$5:$G$53,G197)&lt;&gt;"",INDEX(CONFIRM!$G$5:$G$53,G197),IF(ISNUMBER(L197),L197,IFERROR(DATEVALUE(L197),""))),IF(ISNUMBER(L197),L197,IFERROR(DATEVALUE(L197),"")))</f>
        <v>45990</v>
      </c>
      <c r="N197" s="1" t="str">
        <f aca="false">IF(M197="","Check",IF(AND(M197&gt;=INPUTS!$C$6,M197&lt;=INPUTS!$C$7),"Yes","No"))</f>
        <v>Yes</v>
      </c>
      <c r="O197" s="48" t="str">
        <f aca="false">STACK!H197</f>
        <v>LMSW</v>
      </c>
      <c r="P197" s="1" t="str">
        <f aca="false">IF(G197&gt;0,IF(INDEX(CONFIRM!$H$5:$H$53,G197)&lt;&gt;"",INDEX(CONFIRM!$H$5:$H$53,G197),IFERROR(INDEX(MAP!$B$7:$B$156,MATCH(TRIM(O197),MAP!$A$7:$A$156,0)),"UNMAPPED")),IFERROR(INDEX(MAP!$B$7:$B$156,MATCH(TRIM(O197),MAP!$A$7:$A$156,0)),"UNMAPPED"))</f>
        <v>Social Worker</v>
      </c>
      <c r="Q197" s="48" t="n">
        <f aca="false">STACK!I197</f>
        <v>1.5</v>
      </c>
      <c r="R197" s="60" t="n">
        <f aca="false">IF(G197&gt;0,IF(INDEX(CONFIRM!$F$5:$F$53,G197)&lt;&gt;"",INDEX(CONFIRM!$F$5:$F$53,G197),IF(ISNUMBER(Q197),Q197,IF(Q197="","",IFERROR(VALUE(TRIM(SUBSTITUTE(SUBSTITUTE(LOWER(Q197),"hrs",""),"hr",""))),"")))),IF(ISNUMBER(Q197),Q197,IF(Q197="","",IFERROR(VALUE(TRIM(SUBSTITUTE(SUBSTITUTE(LOWER(Q197),"hrs",""),"hr",""))),""))))</f>
        <v>1.5</v>
      </c>
      <c r="S197" s="57" t="n">
        <f aca="false">IFERROR(INDEX(RATES!$E$6:$E$28,MATCH(P197,RATES!$A$6:$A$28,0)),0)</f>
        <v>45.6175</v>
      </c>
      <c r="T197" s="61" t="n">
        <f aca="false">IF(ISNUMBER(R197),R197,0)*S197</f>
        <v>68.42625</v>
      </c>
      <c r="U197" s="61" t="n">
        <f aca="false">T197*INDEX(INPUTS!$H$10:$H$14,MATCH(B197,INPUTS!$A$10:$A$14,0))</f>
        <v>12.65885625</v>
      </c>
      <c r="V197" s="61" t="n">
        <f aca="false">N(STACK!K197)</f>
        <v>0</v>
      </c>
      <c r="W197" s="61" t="n">
        <f aca="false">T197+U197+V197</f>
        <v>81.08510625</v>
      </c>
      <c r="X197" s="61" t="n">
        <f aca="false">N(STACK!L197)</f>
        <v>0</v>
      </c>
      <c r="Y197" s="61" t="n">
        <f aca="false">W197-X197</f>
        <v>81.08510625</v>
      </c>
      <c r="Z197" s="1" t="n">
        <f aca="false">N(STACK!J197)</f>
        <v>0</v>
      </c>
      <c r="AA197" s="1" t="str">
        <f aca="false">TRIM(IF(D197="UNMAPPED","Program not mapped. ","")&amp;IF(OR(K197="UNMAPPED",K197="UNASSIGNED"),"Category needs review. ","")&amp;IF(P197="UNMAPPED","Title not mapped. ","")&amp;IF(AND(P197&lt;&gt;"No staff time",R197=""),"Missing hours. ","")&amp;IF(M197="","Date not readable. ","")&amp;IF(N197="No","Outside fiscal year. ","")&amp;IF(AND(F197="Event",ISNUMBER(R197)),IF(R197&gt;12,"Event hours look high. ",""),"")&amp;IF(G197&gt;0,"See CONFIRM sheet.",""))</f>
        <v/>
      </c>
      <c r="AB197" s="1" t="n">
        <f aca="false">IF(N197="No",0,IF(REVIEW!O197=0,0,IF(G197&gt;0,IF(INDEX(CONFIRM!$J$5:$J$53,G197)&lt;&gt;"",INDEX(CONFIRM!$J$5:$J$53,G197),1),1)))</f>
        <v>1</v>
      </c>
      <c r="AC197" s="1" t="n">
        <f aca="false">IF(AB197=1,IF(COUNTIFS($B$5:B197,B197,$D$5:D197,D197,$AB$5:AB197,1)=1,1,0),0)</f>
        <v>0</v>
      </c>
    </row>
    <row r="198" customFormat="false" ht="15" hidden="false" customHeight="false" outlineLevel="0" collapsed="false">
      <c r="A198" s="48" t="str">
        <f aca="false">STACK!A198</f>
        <v>KVMC-0194</v>
      </c>
      <c r="B198" s="48" t="str">
        <f aca="false">STACK!B198</f>
        <v>KVMC</v>
      </c>
      <c r="C198" s="48" t="str">
        <f aca="false">STACK!E198</f>
        <v>Grief Support Group</v>
      </c>
      <c r="D198" s="1" t="str">
        <f aca="false">IFERROR(INDEX(MAP!$J$7:$J$101,MATCH(TRIM(C198),MAP!$I$7:$I$101,0)),"UNMAPPED")</f>
        <v>Grief Support Group</v>
      </c>
      <c r="E198" s="1" t="str">
        <f aca="false">IFERROR(INDEX(MAP!$K$7:$K$101,MATCH(TRIM(C198),MAP!$I$7:$I$101,0)),"")</f>
        <v>Behavioral health</v>
      </c>
      <c r="F198" s="1" t="str">
        <f aca="false">IFERROR(INDEX(MAP!$L$7:$L$101,MATCH(TRIM(C198),MAP!$I$7:$I$101,0)),"")</f>
        <v>Event</v>
      </c>
      <c r="G198" s="1" t="n">
        <f aca="false">IFERROR(MATCH(A198,CONFIRM!$A$5:$A$53,0),0)</f>
        <v>0</v>
      </c>
      <c r="H198" s="48" t="str">
        <f aca="false">STACK!F198</f>
        <v>Health Care Support Services</v>
      </c>
      <c r="I198" s="1" t="str">
        <f aca="false">IF(G198&gt;0,IF(INDEX(CONFIRM!$I$5:$I$53,G198)&lt;&gt;"",INDEX(CONFIRM!$I$5:$I$53,G198),H198),H198)</f>
        <v>Health Care Support Services</v>
      </c>
      <c r="J198" s="1" t="str">
        <f aca="false">IFERROR(INDEX(MAP!$F$7:$F$74,MATCH(TRIM(I198),MAP!$E$7:$E$74,0)),"UNMAPPED")</f>
        <v>Health care support services</v>
      </c>
      <c r="K198" s="1" t="str">
        <f aca="false">IFERROR(INDEX(MAP!$G$7:$G$74,MATCH(TRIM(I198),MAP!$E$7:$E$74,0)),"UNMAPPED")</f>
        <v>7e</v>
      </c>
      <c r="L198" s="49" t="n">
        <f aca="false">STACK!G198</f>
        <v>45990</v>
      </c>
      <c r="M198" s="59" t="n">
        <f aca="false">IF(G198&gt;0,IF(INDEX(CONFIRM!$G$5:$G$53,G198)&lt;&gt;"",INDEX(CONFIRM!$G$5:$G$53,G198),IF(ISNUMBER(L198),L198,IFERROR(DATEVALUE(L198),""))),IF(ISNUMBER(L198),L198,IFERROR(DATEVALUE(L198),"")))</f>
        <v>45990</v>
      </c>
      <c r="N198" s="1" t="str">
        <f aca="false">IF(M198="","Check",IF(AND(M198&gt;=INPUTS!$C$6,M198&lt;=INPUTS!$C$7),"Yes","No"))</f>
        <v>Yes</v>
      </c>
      <c r="O198" s="48" t="str">
        <f aca="false">STACK!H198</f>
        <v>MSW</v>
      </c>
      <c r="P198" s="1" t="str">
        <f aca="false">IF(G198&gt;0,IF(INDEX(CONFIRM!$H$5:$H$53,G198)&lt;&gt;"",INDEX(CONFIRM!$H$5:$H$53,G198),IFERROR(INDEX(MAP!$B$7:$B$156,MATCH(TRIM(O198),MAP!$A$7:$A$156,0)),"UNMAPPED")),IFERROR(INDEX(MAP!$B$7:$B$156,MATCH(TRIM(O198),MAP!$A$7:$A$156,0)),"UNMAPPED"))</f>
        <v>Social Worker</v>
      </c>
      <c r="Q198" s="48" t="n">
        <f aca="false">STACK!I198</f>
        <v>1.75</v>
      </c>
      <c r="R198" s="60" t="n">
        <f aca="false">IF(G198&gt;0,IF(INDEX(CONFIRM!$F$5:$F$53,G198)&lt;&gt;"",INDEX(CONFIRM!$F$5:$F$53,G198),IF(ISNUMBER(Q198),Q198,IF(Q198="","",IFERROR(VALUE(TRIM(SUBSTITUTE(SUBSTITUTE(LOWER(Q198),"hrs",""),"hr",""))),"")))),IF(ISNUMBER(Q198),Q198,IF(Q198="","",IFERROR(VALUE(TRIM(SUBSTITUTE(SUBSTITUTE(LOWER(Q198),"hrs",""),"hr",""))),""))))</f>
        <v>1.75</v>
      </c>
      <c r="S198" s="57" t="n">
        <f aca="false">IFERROR(INDEX(RATES!$E$6:$E$28,MATCH(P198,RATES!$A$6:$A$28,0)),0)</f>
        <v>45.6175</v>
      </c>
      <c r="T198" s="61" t="n">
        <f aca="false">IF(ISNUMBER(R198),R198,0)*S198</f>
        <v>79.830625</v>
      </c>
      <c r="U198" s="61" t="n">
        <f aca="false">T198*INDEX(INPUTS!$H$10:$H$14,MATCH(B198,INPUTS!$A$10:$A$14,0))</f>
        <v>14.768665625</v>
      </c>
      <c r="V198" s="61" t="n">
        <f aca="false">N(STACK!K198)</f>
        <v>0</v>
      </c>
      <c r="W198" s="61" t="n">
        <f aca="false">T198+U198+V198</f>
        <v>94.599290625</v>
      </c>
      <c r="X198" s="61" t="n">
        <f aca="false">N(STACK!L198)</f>
        <v>0</v>
      </c>
      <c r="Y198" s="61" t="n">
        <f aca="false">W198-X198</f>
        <v>94.599290625</v>
      </c>
      <c r="Z198" s="1" t="n">
        <f aca="false">N(STACK!J198)</f>
        <v>0</v>
      </c>
      <c r="AA198" s="1" t="str">
        <f aca="false">TRIM(IF(D198="UNMAPPED","Program not mapped. ","")&amp;IF(OR(K198="UNMAPPED",K198="UNASSIGNED"),"Category needs review. ","")&amp;IF(P198="UNMAPPED","Title not mapped. ","")&amp;IF(AND(P198&lt;&gt;"No staff time",R198=""),"Missing hours. ","")&amp;IF(M198="","Date not readable. ","")&amp;IF(N198="No","Outside fiscal year. ","")&amp;IF(AND(F198="Event",ISNUMBER(R198)),IF(R198&gt;12,"Event hours look high. ",""),"")&amp;IF(G198&gt;0,"See CONFIRM sheet.",""))</f>
        <v/>
      </c>
      <c r="AB198" s="1" t="n">
        <f aca="false">IF(N198="No",0,IF(REVIEW!O198=0,0,IF(G198&gt;0,IF(INDEX(CONFIRM!$J$5:$J$53,G198)&lt;&gt;"",INDEX(CONFIRM!$J$5:$J$53,G198),1),1)))</f>
        <v>1</v>
      </c>
      <c r="AC198" s="1" t="n">
        <f aca="false">IF(AB198=1,IF(COUNTIFS($B$5:B198,B198,$D$5:D198,D198,$AB$5:AB198,1)=1,1,0),0)</f>
        <v>0</v>
      </c>
    </row>
    <row r="199" customFormat="false" ht="15" hidden="false" customHeight="false" outlineLevel="0" collapsed="false">
      <c r="A199" s="48" t="str">
        <f aca="false">STACK!A199</f>
        <v>KVMC-0195</v>
      </c>
      <c r="B199" s="48" t="str">
        <f aca="false">STACK!B199</f>
        <v>KVMC</v>
      </c>
      <c r="C199" s="48" t="str">
        <f aca="false">STACK!E199</f>
        <v>Mobile Health Screening Unit</v>
      </c>
      <c r="D199" s="1" t="str">
        <f aca="false">IFERROR(INDEX(MAP!$J$7:$J$101,MATCH(TRIM(C199),MAP!$I$7:$I$101,0)),"UNMAPPED")</f>
        <v>Mobile Health Screening Unit</v>
      </c>
      <c r="E199" s="1" t="str">
        <f aca="false">IFERROR(INDEX(MAP!$K$7:$K$101,MATCH(TRIM(C199),MAP!$I$7:$I$101,0)),"")</f>
        <v>Access to care</v>
      </c>
      <c r="F199" s="1" t="str">
        <f aca="false">IFERROR(INDEX(MAP!$L$7:$L$101,MATCH(TRIM(C199),MAP!$I$7:$I$101,0)),"")</f>
        <v>Monthly</v>
      </c>
      <c r="G199" s="1" t="n">
        <f aca="false">IFERROR(MATCH(A199,CONFIRM!$A$5:$A$53,0),0)</f>
        <v>0</v>
      </c>
      <c r="H199" s="48" t="str">
        <f aca="false">STACK!F199</f>
        <v>Community-Based Clinical Services</v>
      </c>
      <c r="I199" s="1" t="str">
        <f aca="false">IF(G199&gt;0,IF(INDEX(CONFIRM!$I$5:$I$53,G199)&lt;&gt;"",INDEX(CONFIRM!$I$5:$I$53,G199),H199),H199)</f>
        <v>Community-Based Clinical Services</v>
      </c>
      <c r="J199" s="1" t="str">
        <f aca="false">IFERROR(INDEX(MAP!$F$7:$F$74,MATCH(TRIM(I199),MAP!$E$7:$E$74,0)),"UNMAPPED")</f>
        <v>Community-based clinical services</v>
      </c>
      <c r="K199" s="1" t="str">
        <f aca="false">IFERROR(INDEX(MAP!$G$7:$G$74,MATCH(TRIM(I199),MAP!$E$7:$E$74,0)),"UNMAPPED")</f>
        <v>7e</v>
      </c>
      <c r="L199" s="49" t="n">
        <f aca="false">STACK!G199</f>
        <v>45991</v>
      </c>
      <c r="M199" s="59" t="n">
        <f aca="false">IF(G199&gt;0,IF(INDEX(CONFIRM!$G$5:$G$53,G199)&lt;&gt;"",INDEX(CONFIRM!$G$5:$G$53,G199),IF(ISNUMBER(L199),L199,IFERROR(DATEVALUE(L199),""))),IF(ISNUMBER(L199),L199,IFERROR(DATEVALUE(L199),"")))</f>
        <v>45991</v>
      </c>
      <c r="N199" s="1" t="str">
        <f aca="false">IF(M199="","Check",IF(AND(M199&gt;=INPUTS!$C$6,M199&lt;=INPUTS!$C$7),"Yes","No"))</f>
        <v>Yes</v>
      </c>
      <c r="O199" s="48" t="str">
        <f aca="false">STACK!H199</f>
        <v>Promotora</v>
      </c>
      <c r="P199" s="1" t="str">
        <f aca="false">IF(G199&gt;0,IF(INDEX(CONFIRM!$H$5:$H$53,G199)&lt;&gt;"",INDEX(CONFIRM!$H$5:$H$53,G199),IFERROR(INDEX(MAP!$B$7:$B$156,MATCH(TRIM(O199),MAP!$A$7:$A$156,0)),"UNMAPPED")),IFERROR(INDEX(MAP!$B$7:$B$156,MATCH(TRIM(O199),MAP!$A$7:$A$156,0)),"UNMAPPED"))</f>
        <v>Community Health Worker</v>
      </c>
      <c r="Q199" s="48" t="n">
        <f aca="false">STACK!I199</f>
        <v>92.25</v>
      </c>
      <c r="R199" s="60" t="n">
        <f aca="false">IF(G199&gt;0,IF(INDEX(CONFIRM!$F$5:$F$53,G199)&lt;&gt;"",INDEX(CONFIRM!$F$5:$F$53,G199),IF(ISNUMBER(Q199),Q199,IF(Q199="","",IFERROR(VALUE(TRIM(SUBSTITUTE(SUBSTITUTE(LOWER(Q199),"hrs",""),"hr",""))),"")))),IF(ISNUMBER(Q199),Q199,IF(Q199="","",IFERROR(VALUE(TRIM(SUBSTITUTE(SUBSTITUTE(LOWER(Q199),"hrs",""),"hr",""))),""))))</f>
        <v>92.25</v>
      </c>
      <c r="S199" s="57" t="n">
        <f aca="false">IFERROR(INDEX(RATES!$E$6:$E$28,MATCH(P199,RATES!$A$6:$A$28,0)),0)</f>
        <v>27.6275</v>
      </c>
      <c r="T199" s="61" t="n">
        <f aca="false">IF(ISNUMBER(R199),R199,0)*S199</f>
        <v>2548.636875</v>
      </c>
      <c r="U199" s="61" t="n">
        <f aca="false">T199*INDEX(INPUTS!$H$10:$H$14,MATCH(B199,INPUTS!$A$10:$A$14,0))</f>
        <v>471.497821875</v>
      </c>
      <c r="V199" s="61" t="n">
        <f aca="false">N(STACK!K199)</f>
        <v>0</v>
      </c>
      <c r="W199" s="61" t="n">
        <f aca="false">T199+U199+V199</f>
        <v>3020.134696875</v>
      </c>
      <c r="X199" s="61" t="n">
        <f aca="false">N(STACK!L199)</f>
        <v>0</v>
      </c>
      <c r="Y199" s="61" t="n">
        <f aca="false">W199-X199</f>
        <v>3020.134696875</v>
      </c>
      <c r="Z199" s="1" t="n">
        <f aca="false">N(STACK!J199)</f>
        <v>0</v>
      </c>
      <c r="AA199" s="1" t="str">
        <f aca="false">TRIM(IF(D199="UNMAPPED","Program not mapped. ","")&amp;IF(OR(K199="UNMAPPED",K199="UNASSIGNED"),"Category needs review. ","")&amp;IF(P199="UNMAPPED","Title not mapped. ","")&amp;IF(AND(P199&lt;&gt;"No staff time",R199=""),"Missing hours. ","")&amp;IF(M199="","Date not readable. ","")&amp;IF(N199="No","Outside fiscal year. ","")&amp;IF(AND(F199="Event",ISNUMBER(R199)),IF(R199&gt;12,"Event hours look high. ",""),"")&amp;IF(G199&gt;0,"See CONFIRM sheet.",""))</f>
        <v/>
      </c>
      <c r="AB199" s="1" t="n">
        <f aca="false">IF(N199="No",0,IF(REVIEW!O199=0,0,IF(G199&gt;0,IF(INDEX(CONFIRM!$J$5:$J$53,G199)&lt;&gt;"",INDEX(CONFIRM!$J$5:$J$53,G199),1),1)))</f>
        <v>1</v>
      </c>
      <c r="AC199" s="1" t="n">
        <f aca="false">IF(AB199=1,IF(COUNTIFS($B$5:B199,B199,$D$5:D199,D199,$AB$5:AB199,1)=1,1,0),0)</f>
        <v>0</v>
      </c>
    </row>
    <row r="200" customFormat="false" ht="15" hidden="false" customHeight="false" outlineLevel="0" collapsed="false">
      <c r="A200" s="48" t="str">
        <f aca="false">STACK!A200</f>
        <v>KVMC-0196</v>
      </c>
      <c r="B200" s="48" t="str">
        <f aca="false">STACK!B200</f>
        <v>KVMC</v>
      </c>
      <c r="C200" s="48" t="str">
        <f aca="false">STACK!E200</f>
        <v>Mobile Health Screening Unit</v>
      </c>
      <c r="D200" s="1" t="str">
        <f aca="false">IFERROR(INDEX(MAP!$J$7:$J$101,MATCH(TRIM(C200),MAP!$I$7:$I$101,0)),"UNMAPPED")</f>
        <v>Mobile Health Screening Unit</v>
      </c>
      <c r="E200" s="1" t="str">
        <f aca="false">IFERROR(INDEX(MAP!$K$7:$K$101,MATCH(TRIM(C200),MAP!$I$7:$I$101,0)),"")</f>
        <v>Access to care</v>
      </c>
      <c r="F200" s="1" t="str">
        <f aca="false">IFERROR(INDEX(MAP!$L$7:$L$101,MATCH(TRIM(C200),MAP!$I$7:$I$101,0)),"")</f>
        <v>Monthly</v>
      </c>
      <c r="G200" s="1" t="n">
        <f aca="false">IFERROR(MATCH(A200,CONFIRM!$A$5:$A$53,0),0)</f>
        <v>0</v>
      </c>
      <c r="H200" s="48" t="str">
        <f aca="false">STACK!F200</f>
        <v>Community-Based Clinical Services</v>
      </c>
      <c r="I200" s="1" t="str">
        <f aca="false">IF(G200&gt;0,IF(INDEX(CONFIRM!$I$5:$I$53,G200)&lt;&gt;"",INDEX(CONFIRM!$I$5:$I$53,G200),H200),H200)</f>
        <v>Community-Based Clinical Services</v>
      </c>
      <c r="J200" s="1" t="str">
        <f aca="false">IFERROR(INDEX(MAP!$F$7:$F$74,MATCH(TRIM(I200),MAP!$E$7:$E$74,0)),"UNMAPPED")</f>
        <v>Community-based clinical services</v>
      </c>
      <c r="K200" s="1" t="str">
        <f aca="false">IFERROR(INDEX(MAP!$G$7:$G$74,MATCH(TRIM(I200),MAP!$E$7:$E$74,0)),"UNMAPPED")</f>
        <v>7e</v>
      </c>
      <c r="L200" s="49" t="n">
        <f aca="false">STACK!G200</f>
        <v>45991</v>
      </c>
      <c r="M200" s="59" t="n">
        <f aca="false">IF(G200&gt;0,IF(INDEX(CONFIRM!$G$5:$G$53,G200)&lt;&gt;"",INDEX(CONFIRM!$G$5:$G$53,G200),IF(ISNUMBER(L200),L200,IFERROR(DATEVALUE(L200),""))),IF(ISNUMBER(L200),L200,IFERROR(DATEVALUE(L200),"")))</f>
        <v>45991</v>
      </c>
      <c r="N200" s="1" t="str">
        <f aca="false">IF(M200="","Check",IF(AND(M200&gt;=INPUTS!$C$6,M200&lt;=INPUTS!$C$7),"Yes","No"))</f>
        <v>Yes</v>
      </c>
      <c r="O200" s="48" t="str">
        <f aca="false">STACK!H200</f>
        <v>CMA</v>
      </c>
      <c r="P200" s="1" t="str">
        <f aca="false">IF(G200&gt;0,IF(INDEX(CONFIRM!$H$5:$H$53,G200)&lt;&gt;"",INDEX(CONFIRM!$H$5:$H$53,G200),IFERROR(INDEX(MAP!$B$7:$B$156,MATCH(TRIM(O200),MAP!$A$7:$A$156,0)),"UNMAPPED")),IFERROR(INDEX(MAP!$B$7:$B$156,MATCH(TRIM(O200),MAP!$A$7:$A$156,0)),"UNMAPPED"))</f>
        <v>Medical Assistant</v>
      </c>
      <c r="Q200" s="48" t="n">
        <f aca="false">STACK!I200</f>
        <v>99</v>
      </c>
      <c r="R200" s="60" t="n">
        <f aca="false">IF(G200&gt;0,IF(INDEX(CONFIRM!$F$5:$F$53,G200)&lt;&gt;"",INDEX(CONFIRM!$F$5:$F$53,G200),IF(ISNUMBER(Q200),Q200,IF(Q200="","",IFERROR(VALUE(TRIM(SUBSTITUTE(SUBSTITUTE(LOWER(Q200),"hrs",""),"hr",""))),"")))),IF(ISNUMBER(Q200),Q200,IF(Q200="","",IFERROR(VALUE(TRIM(SUBSTITUTE(SUBSTITUTE(LOWER(Q200),"hrs",""),"hr",""))),""))))</f>
        <v>99</v>
      </c>
      <c r="S200" s="57" t="n">
        <f aca="false">IFERROR(INDEX(RATES!$E$6:$E$28,MATCH(P200,RATES!$A$6:$A$28,0)),0)</f>
        <v>25.37875</v>
      </c>
      <c r="T200" s="61" t="n">
        <f aca="false">IF(ISNUMBER(R200),R200,0)*S200</f>
        <v>2512.49625</v>
      </c>
      <c r="U200" s="61" t="n">
        <f aca="false">T200*INDEX(INPUTS!$H$10:$H$14,MATCH(B200,INPUTS!$A$10:$A$14,0))</f>
        <v>464.81180625</v>
      </c>
      <c r="V200" s="61" t="n">
        <f aca="false">N(STACK!K200)</f>
        <v>0</v>
      </c>
      <c r="W200" s="61" t="n">
        <f aca="false">T200+U200+V200</f>
        <v>2977.30805625</v>
      </c>
      <c r="X200" s="61" t="n">
        <f aca="false">N(STACK!L200)</f>
        <v>0</v>
      </c>
      <c r="Y200" s="61" t="n">
        <f aca="false">W200-X200</f>
        <v>2977.30805625</v>
      </c>
      <c r="Z200" s="1" t="n">
        <f aca="false">N(STACK!J200)</f>
        <v>0</v>
      </c>
      <c r="AA200" s="1" t="str">
        <f aca="false">TRIM(IF(D200="UNMAPPED","Program not mapped. ","")&amp;IF(OR(K200="UNMAPPED",K200="UNASSIGNED"),"Category needs review. ","")&amp;IF(P200="UNMAPPED","Title not mapped. ","")&amp;IF(AND(P200&lt;&gt;"No staff time",R200=""),"Missing hours. ","")&amp;IF(M200="","Date not readable. ","")&amp;IF(N200="No","Outside fiscal year. ","")&amp;IF(AND(F200="Event",ISNUMBER(R200)),IF(R200&gt;12,"Event hours look high. ",""),"")&amp;IF(G200&gt;0,"See CONFIRM sheet.",""))</f>
        <v/>
      </c>
      <c r="AB200" s="1" t="n">
        <f aca="false">IF(N200="No",0,IF(REVIEW!O200=0,0,IF(G200&gt;0,IF(INDEX(CONFIRM!$J$5:$J$53,G200)&lt;&gt;"",INDEX(CONFIRM!$J$5:$J$53,G200),1),1)))</f>
        <v>1</v>
      </c>
      <c r="AC200" s="1" t="n">
        <f aca="false">IF(AB200=1,IF(COUNTIFS($B$5:B200,B200,$D$5:D200,D200,$AB$5:AB200,1)=1,1,0),0)</f>
        <v>0</v>
      </c>
    </row>
    <row r="201" customFormat="false" ht="15" hidden="false" customHeight="false" outlineLevel="0" collapsed="false">
      <c r="A201" s="48" t="str">
        <f aca="false">STACK!A201</f>
        <v>KVMC-0197</v>
      </c>
      <c r="B201" s="48" t="str">
        <f aca="false">STACK!B201</f>
        <v>KVMC</v>
      </c>
      <c r="C201" s="48" t="str">
        <f aca="false">STACK!E201</f>
        <v>Mobile Health Screening Unit</v>
      </c>
      <c r="D201" s="1" t="str">
        <f aca="false">IFERROR(INDEX(MAP!$J$7:$J$101,MATCH(TRIM(C201),MAP!$I$7:$I$101,0)),"UNMAPPED")</f>
        <v>Mobile Health Screening Unit</v>
      </c>
      <c r="E201" s="1" t="str">
        <f aca="false">IFERROR(INDEX(MAP!$K$7:$K$101,MATCH(TRIM(C201),MAP!$I$7:$I$101,0)),"")</f>
        <v>Access to care</v>
      </c>
      <c r="F201" s="1" t="str">
        <f aca="false">IFERROR(INDEX(MAP!$L$7:$L$101,MATCH(TRIM(C201),MAP!$I$7:$I$101,0)),"")</f>
        <v>Monthly</v>
      </c>
      <c r="G201" s="1" t="n">
        <f aca="false">IFERROR(MATCH(A201,CONFIRM!$A$5:$A$53,0),0)</f>
        <v>0</v>
      </c>
      <c r="H201" s="48" t="str">
        <f aca="false">STACK!F201</f>
        <v>Community-Based Clinical Services</v>
      </c>
      <c r="I201" s="1" t="str">
        <f aca="false">IF(G201&gt;0,IF(INDEX(CONFIRM!$I$5:$I$53,G201)&lt;&gt;"",INDEX(CONFIRM!$I$5:$I$53,G201),H201),H201)</f>
        <v>Community-Based Clinical Services</v>
      </c>
      <c r="J201" s="1" t="str">
        <f aca="false">IFERROR(INDEX(MAP!$F$7:$F$74,MATCH(TRIM(I201),MAP!$E$7:$E$74,0)),"UNMAPPED")</f>
        <v>Community-based clinical services</v>
      </c>
      <c r="K201" s="1" t="str">
        <f aca="false">IFERROR(INDEX(MAP!$G$7:$G$74,MATCH(TRIM(I201),MAP!$E$7:$E$74,0)),"UNMAPPED")</f>
        <v>7e</v>
      </c>
      <c r="L201" s="49" t="n">
        <f aca="false">STACK!G201</f>
        <v>45991</v>
      </c>
      <c r="M201" s="59" t="n">
        <f aca="false">IF(G201&gt;0,IF(INDEX(CONFIRM!$G$5:$G$53,G201)&lt;&gt;"",INDEX(CONFIRM!$G$5:$G$53,G201),IF(ISNUMBER(L201),L201,IFERROR(DATEVALUE(L201),""))),IF(ISNUMBER(L201),L201,IFERROR(DATEVALUE(L201),"")))</f>
        <v>45991</v>
      </c>
      <c r="N201" s="1" t="str">
        <f aca="false">IF(M201="","Check",IF(AND(M201&gt;=INPUTS!$C$6,M201&lt;=INPUTS!$C$7),"Yes","No"))</f>
        <v>Yes</v>
      </c>
      <c r="O201" s="48" t="str">
        <f aca="false">STACK!H201</f>
        <v>Reg Nurse</v>
      </c>
      <c r="P201" s="1" t="str">
        <f aca="false">IF(G201&gt;0,IF(INDEX(CONFIRM!$H$5:$H$53,G201)&lt;&gt;"",INDEX(CONFIRM!$H$5:$H$53,G201),IFERROR(INDEX(MAP!$B$7:$B$156,MATCH(TRIM(O201),MAP!$A$7:$A$156,0)),"UNMAPPED")),IFERROR(INDEX(MAP!$B$7:$B$156,MATCH(TRIM(O201),MAP!$A$7:$A$156,0)),"UNMAPPED"))</f>
        <v>Registered Nurse</v>
      </c>
      <c r="Q201" s="48" t="n">
        <f aca="false">STACK!I201</f>
        <v>133</v>
      </c>
      <c r="R201" s="60" t="n">
        <f aca="false">IF(G201&gt;0,IF(INDEX(CONFIRM!$F$5:$F$53,G201)&lt;&gt;"",INDEX(CONFIRM!$F$5:$F$53,G201),IF(ISNUMBER(Q201),Q201,IF(Q201="","",IFERROR(VALUE(TRIM(SUBSTITUTE(SUBSTITUTE(LOWER(Q201),"hrs",""),"hr",""))),"")))),IF(ISNUMBER(Q201),Q201,IF(Q201="","",IFERROR(VALUE(TRIM(SUBSTITUTE(SUBSTITUTE(LOWER(Q201),"hrs",""),"hr",""))),""))))</f>
        <v>133</v>
      </c>
      <c r="S201" s="57" t="n">
        <f aca="false">IFERROR(INDEX(RATES!$E$6:$E$28,MATCH(P201,RATES!$A$6:$A$28,0)),0)</f>
        <v>55.8975</v>
      </c>
      <c r="T201" s="61" t="n">
        <f aca="false">IF(ISNUMBER(R201),R201,0)*S201</f>
        <v>7434.3675</v>
      </c>
      <c r="U201" s="61" t="n">
        <f aca="false">T201*INDEX(INPUTS!$H$10:$H$14,MATCH(B201,INPUTS!$A$10:$A$14,0))</f>
        <v>1375.3579875</v>
      </c>
      <c r="V201" s="61" t="n">
        <f aca="false">N(STACK!K201)</f>
        <v>10005</v>
      </c>
      <c r="W201" s="61" t="n">
        <f aca="false">T201+U201+V201</f>
        <v>18814.7254875</v>
      </c>
      <c r="X201" s="61" t="n">
        <f aca="false">N(STACK!L201)</f>
        <v>0</v>
      </c>
      <c r="Y201" s="61" t="n">
        <f aca="false">W201-X201</f>
        <v>18814.7254875</v>
      </c>
      <c r="Z201" s="1" t="n">
        <f aca="false">N(STACK!J201)</f>
        <v>332</v>
      </c>
      <c r="AA201" s="1" t="str">
        <f aca="false">TRIM(IF(D201="UNMAPPED","Program not mapped. ","")&amp;IF(OR(K201="UNMAPPED",K201="UNASSIGNED"),"Category needs review. ","")&amp;IF(P201="UNMAPPED","Title not mapped. ","")&amp;IF(AND(P201&lt;&gt;"No staff time",R201=""),"Missing hours. ","")&amp;IF(M201="","Date not readable. ","")&amp;IF(N201="No","Outside fiscal year. ","")&amp;IF(AND(F201="Event",ISNUMBER(R201)),IF(R201&gt;12,"Event hours look high. ",""),"")&amp;IF(G201&gt;0,"See CONFIRM sheet.",""))</f>
        <v/>
      </c>
      <c r="AB201" s="1" t="n">
        <f aca="false">IF(N201="No",0,IF(REVIEW!O201=0,0,IF(G201&gt;0,IF(INDEX(CONFIRM!$J$5:$J$53,G201)&lt;&gt;"",INDEX(CONFIRM!$J$5:$J$53,G201),1),1)))</f>
        <v>1</v>
      </c>
      <c r="AC201" s="1" t="n">
        <f aca="false">IF(AB201=1,IF(COUNTIFS($B$5:B201,B201,$D$5:D201,D201,$AB$5:AB201,1)=1,1,0),0)</f>
        <v>0</v>
      </c>
    </row>
    <row r="202" customFormat="false" ht="15" hidden="false" customHeight="false" outlineLevel="0" collapsed="false">
      <c r="A202" s="48" t="str">
        <f aca="false">STACK!A202</f>
        <v>KVMC-0198</v>
      </c>
      <c r="B202" s="48" t="str">
        <f aca="false">STACK!B202</f>
        <v>KVMC</v>
      </c>
      <c r="C202" s="48" t="str">
        <f aca="false">STACK!E202</f>
        <v>Free Clinic Provider Staffing</v>
      </c>
      <c r="D202" s="1" t="str">
        <f aca="false">IFERROR(INDEX(MAP!$J$7:$J$101,MATCH(TRIM(C202),MAP!$I$7:$I$101,0)),"UNMAPPED")</f>
        <v>Free Clinic Provider Staffing</v>
      </c>
      <c r="E202" s="1" t="str">
        <f aca="false">IFERROR(INDEX(MAP!$K$7:$K$101,MATCH(TRIM(C202),MAP!$I$7:$I$101,0)),"")</f>
        <v>Access to care</v>
      </c>
      <c r="F202" s="1" t="str">
        <f aca="false">IFERROR(INDEX(MAP!$L$7:$L$101,MATCH(TRIM(C202),MAP!$I$7:$I$101,0)),"")</f>
        <v>Monthly</v>
      </c>
      <c r="G202" s="1" t="n">
        <f aca="false">IFERROR(MATCH(A202,CONFIRM!$A$5:$A$53,0),0)</f>
        <v>0</v>
      </c>
      <c r="H202" s="48" t="str">
        <f aca="false">STACK!F202</f>
        <v>Community-Based Clinical Services</v>
      </c>
      <c r="I202" s="1" t="str">
        <f aca="false">IF(G202&gt;0,IF(INDEX(CONFIRM!$I$5:$I$53,G202)&lt;&gt;"",INDEX(CONFIRM!$I$5:$I$53,G202),H202),H202)</f>
        <v>Community-Based Clinical Services</v>
      </c>
      <c r="J202" s="1" t="str">
        <f aca="false">IFERROR(INDEX(MAP!$F$7:$F$74,MATCH(TRIM(I202),MAP!$E$7:$E$74,0)),"UNMAPPED")</f>
        <v>Community-based clinical services</v>
      </c>
      <c r="K202" s="1" t="str">
        <f aca="false">IFERROR(INDEX(MAP!$G$7:$G$74,MATCH(TRIM(I202),MAP!$E$7:$E$74,0)),"UNMAPPED")</f>
        <v>7e</v>
      </c>
      <c r="L202" s="49" t="n">
        <f aca="false">STACK!G202</f>
        <v>45991</v>
      </c>
      <c r="M202" s="59" t="n">
        <f aca="false">IF(G202&gt;0,IF(INDEX(CONFIRM!$G$5:$G$53,G202)&lt;&gt;"",INDEX(CONFIRM!$G$5:$G$53,G202),IF(ISNUMBER(L202),L202,IFERROR(DATEVALUE(L202),""))),IF(ISNUMBER(L202),L202,IFERROR(DATEVALUE(L202),"")))</f>
        <v>45991</v>
      </c>
      <c r="N202" s="1" t="str">
        <f aca="false">IF(M202="","Check",IF(AND(M202&gt;=INPUTS!$C$6,M202&lt;=INPUTS!$C$7),"Yes","No"))</f>
        <v>Yes</v>
      </c>
      <c r="O202" s="48" t="str">
        <f aca="false">STACK!H202</f>
        <v>FNP</v>
      </c>
      <c r="P202" s="1" t="str">
        <f aca="false">IF(G202&gt;0,IF(INDEX(CONFIRM!$H$5:$H$53,G202)&lt;&gt;"",INDEX(CONFIRM!$H$5:$H$53,G202),IFERROR(INDEX(MAP!$B$7:$B$156,MATCH(TRIM(O202),MAP!$A$7:$A$156,0)),"UNMAPPED")),IFERROR(INDEX(MAP!$B$7:$B$156,MATCH(TRIM(O202),MAP!$A$7:$A$156,0)),"UNMAPPED"))</f>
        <v>Nurse Practitioner</v>
      </c>
      <c r="Q202" s="48" t="n">
        <f aca="false">STACK!I202</f>
        <v>59.5</v>
      </c>
      <c r="R202" s="60" t="n">
        <f aca="false">IF(G202&gt;0,IF(INDEX(CONFIRM!$F$5:$F$53,G202)&lt;&gt;"",INDEX(CONFIRM!$F$5:$F$53,G202),IF(ISNUMBER(Q202),Q202,IF(Q202="","",IFERROR(VALUE(TRIM(SUBSTITUTE(SUBSTITUTE(LOWER(Q202),"hrs",""),"hr",""))),"")))),IF(ISNUMBER(Q202),Q202,IF(Q202="","",IFERROR(VALUE(TRIM(SUBSTITUTE(SUBSTITUTE(LOWER(Q202),"hrs",""),"hr",""))),""))))</f>
        <v>59.5</v>
      </c>
      <c r="S202" s="57" t="n">
        <f aca="false">IFERROR(INDEX(RATES!$E$6:$E$28,MATCH(P202,RATES!$A$6:$A$28,0)),0)</f>
        <v>79.67</v>
      </c>
      <c r="T202" s="61" t="n">
        <f aca="false">IF(ISNUMBER(R202),R202,0)*S202</f>
        <v>4740.365</v>
      </c>
      <c r="U202" s="61" t="n">
        <f aca="false">T202*INDEX(INPUTS!$H$10:$H$14,MATCH(B202,INPUTS!$A$10:$A$14,0))</f>
        <v>876.967525</v>
      </c>
      <c r="V202" s="61" t="n">
        <f aca="false">N(STACK!K202)</f>
        <v>4965</v>
      </c>
      <c r="W202" s="61" t="n">
        <f aca="false">T202+U202+V202</f>
        <v>10582.332525</v>
      </c>
      <c r="X202" s="61" t="n">
        <f aca="false">N(STACK!L202)</f>
        <v>0</v>
      </c>
      <c r="Y202" s="61" t="n">
        <f aca="false">W202-X202</f>
        <v>10582.332525</v>
      </c>
      <c r="Z202" s="1" t="n">
        <f aca="false">N(STACK!J202)</f>
        <v>391</v>
      </c>
      <c r="AA202" s="1" t="str">
        <f aca="false">TRIM(IF(D202="UNMAPPED","Program not mapped. ","")&amp;IF(OR(K202="UNMAPPED",K202="UNASSIGNED"),"Category needs review. ","")&amp;IF(P202="UNMAPPED","Title not mapped. ","")&amp;IF(AND(P202&lt;&gt;"No staff time",R202=""),"Missing hours. ","")&amp;IF(M202="","Date not readable. ","")&amp;IF(N202="No","Outside fiscal year. ","")&amp;IF(AND(F202="Event",ISNUMBER(R202)),IF(R202&gt;12,"Event hours look high. ",""),"")&amp;IF(G202&gt;0,"See CONFIRM sheet.",""))</f>
        <v/>
      </c>
      <c r="AB202" s="1" t="n">
        <f aca="false">IF(N202="No",0,IF(REVIEW!O202=0,0,IF(G202&gt;0,IF(INDEX(CONFIRM!$J$5:$J$53,G202)&lt;&gt;"",INDEX(CONFIRM!$J$5:$J$53,G202),1),1)))</f>
        <v>1</v>
      </c>
      <c r="AC202" s="1" t="n">
        <f aca="false">IF(AB202=1,IF(COUNTIFS($B$5:B202,B202,$D$5:D202,D202,$AB$5:AB202,1)=1,1,0),0)</f>
        <v>0</v>
      </c>
    </row>
    <row r="203" customFormat="false" ht="15" hidden="false" customHeight="false" outlineLevel="0" collapsed="false">
      <c r="A203" s="48" t="str">
        <f aca="false">STACK!A203</f>
        <v>KVMC-0199</v>
      </c>
      <c r="B203" s="48" t="str">
        <f aca="false">STACK!B203</f>
        <v>KVMC</v>
      </c>
      <c r="C203" s="48" t="str">
        <f aca="false">STACK!E203</f>
        <v>Free Clinic Provider Staffing</v>
      </c>
      <c r="D203" s="1" t="str">
        <f aca="false">IFERROR(INDEX(MAP!$J$7:$J$101,MATCH(TRIM(C203),MAP!$I$7:$I$101,0)),"UNMAPPED")</f>
        <v>Free Clinic Provider Staffing</v>
      </c>
      <c r="E203" s="1" t="str">
        <f aca="false">IFERROR(INDEX(MAP!$K$7:$K$101,MATCH(TRIM(C203),MAP!$I$7:$I$101,0)),"")</f>
        <v>Access to care</v>
      </c>
      <c r="F203" s="1" t="str">
        <f aca="false">IFERROR(INDEX(MAP!$L$7:$L$101,MATCH(TRIM(C203),MAP!$I$7:$I$101,0)),"")</f>
        <v>Monthly</v>
      </c>
      <c r="G203" s="1" t="n">
        <f aca="false">IFERROR(MATCH(A203,CONFIRM!$A$5:$A$53,0),0)</f>
        <v>0</v>
      </c>
      <c r="H203" s="48" t="str">
        <f aca="false">STACK!F203</f>
        <v>Community-Based Clinical Services</v>
      </c>
      <c r="I203" s="1" t="str">
        <f aca="false">IF(G203&gt;0,IF(INDEX(CONFIRM!$I$5:$I$53,G203)&lt;&gt;"",INDEX(CONFIRM!$I$5:$I$53,G203),H203),H203)</f>
        <v>Community-Based Clinical Services</v>
      </c>
      <c r="J203" s="1" t="str">
        <f aca="false">IFERROR(INDEX(MAP!$F$7:$F$74,MATCH(TRIM(I203),MAP!$E$7:$E$74,0)),"UNMAPPED")</f>
        <v>Community-based clinical services</v>
      </c>
      <c r="K203" s="1" t="str">
        <f aca="false">IFERROR(INDEX(MAP!$G$7:$G$74,MATCH(TRIM(I203),MAP!$E$7:$E$74,0)),"UNMAPPED")</f>
        <v>7e</v>
      </c>
      <c r="L203" s="49" t="n">
        <f aca="false">STACK!G203</f>
        <v>45991</v>
      </c>
      <c r="M203" s="59" t="n">
        <f aca="false">IF(G203&gt;0,IF(INDEX(CONFIRM!$G$5:$G$53,G203)&lt;&gt;"",INDEX(CONFIRM!$G$5:$G$53,G203),IF(ISNUMBER(L203),L203,IFERROR(DATEVALUE(L203),""))),IF(ISNUMBER(L203),L203,IFERROR(DATEVALUE(L203),"")))</f>
        <v>45991</v>
      </c>
      <c r="N203" s="1" t="str">
        <f aca="false">IF(M203="","Check",IF(AND(M203&gt;=INPUTS!$C$6,M203&lt;=INPUTS!$C$7),"Yes","No"))</f>
        <v>Yes</v>
      </c>
      <c r="O203" s="48" t="str">
        <f aca="false">STACK!H203</f>
        <v>Staff Pharmacist</v>
      </c>
      <c r="P203" s="1" t="str">
        <f aca="false">IF(G203&gt;0,IF(INDEX(CONFIRM!$H$5:$H$53,G203)&lt;&gt;"",INDEX(CONFIRM!$H$5:$H$53,G203),IFERROR(INDEX(MAP!$B$7:$B$156,MATCH(TRIM(O203),MAP!$A$7:$A$156,0)),"UNMAPPED")),IFERROR(INDEX(MAP!$B$7:$B$156,MATCH(TRIM(O203),MAP!$A$7:$A$156,0)),"UNMAPPED"))</f>
        <v>Pharmacist</v>
      </c>
      <c r="Q203" s="48" t="n">
        <f aca="false">STACK!I203</f>
        <v>21.5</v>
      </c>
      <c r="R203" s="60" t="n">
        <f aca="false">IF(G203&gt;0,IF(INDEX(CONFIRM!$F$5:$F$53,G203)&lt;&gt;"",INDEX(CONFIRM!$F$5:$F$53,G203),IF(ISNUMBER(Q203),Q203,IF(Q203="","",IFERROR(VALUE(TRIM(SUBSTITUTE(SUBSTITUTE(LOWER(Q203),"hrs",""),"hr",""))),"")))),IF(ISNUMBER(Q203),Q203,IF(Q203="","",IFERROR(VALUE(TRIM(SUBSTITUTE(SUBSTITUTE(LOWER(Q203),"hrs",""),"hr",""))),""))))</f>
        <v>21.5</v>
      </c>
      <c r="S203" s="57" t="n">
        <f aca="false">IFERROR(INDEX(RATES!$E$6:$E$28,MATCH(P203,RATES!$A$6:$A$28,0)),0)</f>
        <v>84.81</v>
      </c>
      <c r="T203" s="61" t="n">
        <f aca="false">IF(ISNUMBER(R203),R203,0)*S203</f>
        <v>1823.415</v>
      </c>
      <c r="U203" s="61" t="n">
        <f aca="false">T203*INDEX(INPUTS!$H$10:$H$14,MATCH(B203,INPUTS!$A$10:$A$14,0))</f>
        <v>337.331775</v>
      </c>
      <c r="V203" s="61" t="n">
        <f aca="false">N(STACK!K203)</f>
        <v>0</v>
      </c>
      <c r="W203" s="61" t="n">
        <f aca="false">T203+U203+V203</f>
        <v>2160.746775</v>
      </c>
      <c r="X203" s="61" t="n">
        <f aca="false">N(STACK!L203)</f>
        <v>0</v>
      </c>
      <c r="Y203" s="61" t="n">
        <f aca="false">W203-X203</f>
        <v>2160.746775</v>
      </c>
      <c r="Z203" s="1" t="n">
        <f aca="false">N(STACK!J203)</f>
        <v>0</v>
      </c>
      <c r="AA203" s="1" t="str">
        <f aca="false">TRIM(IF(D203="UNMAPPED","Program not mapped. ","")&amp;IF(OR(K203="UNMAPPED",K203="UNASSIGNED"),"Category needs review. ","")&amp;IF(P203="UNMAPPED","Title not mapped. ","")&amp;IF(AND(P203&lt;&gt;"No staff time",R203=""),"Missing hours. ","")&amp;IF(M203="","Date not readable. ","")&amp;IF(N203="No","Outside fiscal year. ","")&amp;IF(AND(F203="Event",ISNUMBER(R203)),IF(R203&gt;12,"Event hours look high. ",""),"")&amp;IF(G203&gt;0,"See CONFIRM sheet.",""))</f>
        <v/>
      </c>
      <c r="AB203" s="1" t="n">
        <f aca="false">IF(N203="No",0,IF(REVIEW!O203=0,0,IF(G203&gt;0,IF(INDEX(CONFIRM!$J$5:$J$53,G203)&lt;&gt;"",INDEX(CONFIRM!$J$5:$J$53,G203),1),1)))</f>
        <v>1</v>
      </c>
      <c r="AC203" s="1" t="n">
        <f aca="false">IF(AB203=1,IF(COUNTIFS($B$5:B203,B203,$D$5:D203,D203,$AB$5:AB203,1)=1,1,0),0)</f>
        <v>0</v>
      </c>
    </row>
    <row r="204" customFormat="false" ht="15" hidden="false" customHeight="false" outlineLevel="0" collapsed="false">
      <c r="A204" s="48" t="str">
        <f aca="false">STACK!A204</f>
        <v>KVMC-0200</v>
      </c>
      <c r="B204" s="48" t="str">
        <f aca="false">STACK!B204</f>
        <v>KVMC</v>
      </c>
      <c r="C204" s="48" t="str">
        <f aca="false">STACK!E204</f>
        <v>Free Clinic Provider Staffing</v>
      </c>
      <c r="D204" s="1" t="str">
        <f aca="false">IFERROR(INDEX(MAP!$J$7:$J$101,MATCH(TRIM(C204),MAP!$I$7:$I$101,0)),"UNMAPPED")</f>
        <v>Free Clinic Provider Staffing</v>
      </c>
      <c r="E204" s="1" t="str">
        <f aca="false">IFERROR(INDEX(MAP!$K$7:$K$101,MATCH(TRIM(C204),MAP!$I$7:$I$101,0)),"")</f>
        <v>Access to care</v>
      </c>
      <c r="F204" s="1" t="str">
        <f aca="false">IFERROR(INDEX(MAP!$L$7:$L$101,MATCH(TRIM(C204),MAP!$I$7:$I$101,0)),"")</f>
        <v>Monthly</v>
      </c>
      <c r="G204" s="1" t="n">
        <f aca="false">IFERROR(MATCH(A204,CONFIRM!$A$5:$A$53,0),0)</f>
        <v>0</v>
      </c>
      <c r="H204" s="48" t="str">
        <f aca="false">STACK!F204</f>
        <v>Community-Based Clinical Services</v>
      </c>
      <c r="I204" s="1" t="str">
        <f aca="false">IF(G204&gt;0,IF(INDEX(CONFIRM!$I$5:$I$53,G204)&lt;&gt;"",INDEX(CONFIRM!$I$5:$I$53,G204),H204),H204)</f>
        <v>Community-Based Clinical Services</v>
      </c>
      <c r="J204" s="1" t="str">
        <f aca="false">IFERROR(INDEX(MAP!$F$7:$F$74,MATCH(TRIM(I204),MAP!$E$7:$E$74,0)),"UNMAPPED")</f>
        <v>Community-based clinical services</v>
      </c>
      <c r="K204" s="1" t="str">
        <f aca="false">IFERROR(INDEX(MAP!$G$7:$G$74,MATCH(TRIM(I204),MAP!$E$7:$E$74,0)),"UNMAPPED")</f>
        <v>7e</v>
      </c>
      <c r="L204" s="49" t="n">
        <f aca="false">STACK!G204</f>
        <v>45991</v>
      </c>
      <c r="M204" s="59" t="n">
        <f aca="false">IF(G204&gt;0,IF(INDEX(CONFIRM!$G$5:$G$53,G204)&lt;&gt;"",INDEX(CONFIRM!$G$5:$G$53,G204),IF(ISNUMBER(L204),L204,IFERROR(DATEVALUE(L204),""))),IF(ISNUMBER(L204),L204,IFERROR(DATEVALUE(L204),"")))</f>
        <v>45991</v>
      </c>
      <c r="N204" s="1" t="str">
        <f aca="false">IF(M204="","Check",IF(AND(M204&gt;=INPUTS!$C$6,M204&lt;=INPUTS!$C$7),"Yes","No"))</f>
        <v>Yes</v>
      </c>
      <c r="O204" s="48" t="str">
        <f aca="false">STACK!H204</f>
        <v>RN III </v>
      </c>
      <c r="P204" s="1" t="str">
        <f aca="false">IF(G204&gt;0,IF(INDEX(CONFIRM!$H$5:$H$53,G204)&lt;&gt;"",INDEX(CONFIRM!$H$5:$H$53,G204),IFERROR(INDEX(MAP!$B$7:$B$156,MATCH(TRIM(O204),MAP!$A$7:$A$156,0)),"UNMAPPED")),IFERROR(INDEX(MAP!$B$7:$B$156,MATCH(TRIM(O204),MAP!$A$7:$A$156,0)),"UNMAPPED"))</f>
        <v>Registered Nurse</v>
      </c>
      <c r="Q204" s="48" t="n">
        <f aca="false">STACK!I204</f>
        <v>45</v>
      </c>
      <c r="R204" s="60" t="n">
        <f aca="false">IF(G204&gt;0,IF(INDEX(CONFIRM!$F$5:$F$53,G204)&lt;&gt;"",INDEX(CONFIRM!$F$5:$F$53,G204),IF(ISNUMBER(Q204),Q204,IF(Q204="","",IFERROR(VALUE(TRIM(SUBSTITUTE(SUBSTITUTE(LOWER(Q204),"hrs",""),"hr",""))),"")))),IF(ISNUMBER(Q204),Q204,IF(Q204="","",IFERROR(VALUE(TRIM(SUBSTITUTE(SUBSTITUTE(LOWER(Q204),"hrs",""),"hr",""))),""))))</f>
        <v>45</v>
      </c>
      <c r="S204" s="57" t="n">
        <f aca="false">IFERROR(INDEX(RATES!$E$6:$E$28,MATCH(P204,RATES!$A$6:$A$28,0)),0)</f>
        <v>55.8975</v>
      </c>
      <c r="T204" s="61" t="n">
        <f aca="false">IF(ISNUMBER(R204),R204,0)*S204</f>
        <v>2515.3875</v>
      </c>
      <c r="U204" s="61" t="n">
        <f aca="false">T204*INDEX(INPUTS!$H$10:$H$14,MATCH(B204,INPUTS!$A$10:$A$14,0))</f>
        <v>465.3466875</v>
      </c>
      <c r="V204" s="61" t="n">
        <f aca="false">N(STACK!K204)</f>
        <v>0</v>
      </c>
      <c r="W204" s="61" t="n">
        <f aca="false">T204+U204+V204</f>
        <v>2980.7341875</v>
      </c>
      <c r="X204" s="61" t="n">
        <f aca="false">N(STACK!L204)</f>
        <v>0</v>
      </c>
      <c r="Y204" s="61" t="n">
        <f aca="false">W204-X204</f>
        <v>2980.7341875</v>
      </c>
      <c r="Z204" s="1" t="n">
        <f aca="false">N(STACK!J204)</f>
        <v>0</v>
      </c>
      <c r="AA204" s="1" t="str">
        <f aca="false">TRIM(IF(D204="UNMAPPED","Program not mapped. ","")&amp;IF(OR(K204="UNMAPPED",K204="UNASSIGNED"),"Category needs review. ","")&amp;IF(P204="UNMAPPED","Title not mapped. ","")&amp;IF(AND(P204&lt;&gt;"No staff time",R204=""),"Missing hours. ","")&amp;IF(M204="","Date not readable. ","")&amp;IF(N204="No","Outside fiscal year. ","")&amp;IF(AND(F204="Event",ISNUMBER(R204)),IF(R204&gt;12,"Event hours look high. ",""),"")&amp;IF(G204&gt;0,"See CONFIRM sheet.",""))</f>
        <v/>
      </c>
      <c r="AB204" s="1" t="n">
        <f aca="false">IF(N204="No",0,IF(REVIEW!O204=0,0,IF(G204&gt;0,IF(INDEX(CONFIRM!$J$5:$J$53,G204)&lt;&gt;"",INDEX(CONFIRM!$J$5:$J$53,G204),1),1)))</f>
        <v>1</v>
      </c>
      <c r="AC204" s="1" t="n">
        <f aca="false">IF(AB204=1,IF(COUNTIFS($B$5:B204,B204,$D$5:D204,D204,$AB$5:AB204,1)=1,1,0),0)</f>
        <v>0</v>
      </c>
    </row>
    <row r="205" customFormat="false" ht="15" hidden="false" customHeight="false" outlineLevel="0" collapsed="false">
      <c r="A205" s="48" t="str">
        <f aca="false">STACK!A205</f>
        <v>KVMC-0201</v>
      </c>
      <c r="B205" s="48" t="str">
        <f aca="false">STACK!B205</f>
        <v>KVMC</v>
      </c>
      <c r="C205" s="48" t="str">
        <f aca="false">STACK!E205</f>
        <v>Community Health Worker Outreach</v>
      </c>
      <c r="D205" s="1" t="str">
        <f aca="false">IFERROR(INDEX(MAP!$J$7:$J$101,MATCH(TRIM(C205),MAP!$I$7:$I$101,0)),"UNMAPPED")</f>
        <v>Community Health Worker Outreach</v>
      </c>
      <c r="E205" s="1" t="str">
        <f aca="false">IFERROR(INDEX(MAP!$K$7:$K$101,MATCH(TRIM(C205),MAP!$I$7:$I$101,0)),"")</f>
        <v>Access to care</v>
      </c>
      <c r="F205" s="1" t="str">
        <f aca="false">IFERROR(INDEX(MAP!$L$7:$L$101,MATCH(TRIM(C205),MAP!$I$7:$I$101,0)),"")</f>
        <v>Monthly</v>
      </c>
      <c r="G205" s="1" t="n">
        <f aca="false">IFERROR(MATCH(A205,CONFIRM!$A$5:$A$53,0),0)</f>
        <v>0</v>
      </c>
      <c r="H205" s="48" t="str">
        <f aca="false">STACK!F205</f>
        <v>Health Care Support Services</v>
      </c>
      <c r="I205" s="1" t="str">
        <f aca="false">IF(G205&gt;0,IF(INDEX(CONFIRM!$I$5:$I$53,G205)&lt;&gt;"",INDEX(CONFIRM!$I$5:$I$53,G205),H205),H205)</f>
        <v>Health Care Support Services</v>
      </c>
      <c r="J205" s="1" t="str">
        <f aca="false">IFERROR(INDEX(MAP!$F$7:$F$74,MATCH(TRIM(I205),MAP!$E$7:$E$74,0)),"UNMAPPED")</f>
        <v>Health care support services</v>
      </c>
      <c r="K205" s="1" t="str">
        <f aca="false">IFERROR(INDEX(MAP!$G$7:$G$74,MATCH(TRIM(I205),MAP!$E$7:$E$74,0)),"UNMAPPED")</f>
        <v>7e</v>
      </c>
      <c r="L205" s="49" t="n">
        <f aca="false">STACK!G205</f>
        <v>45991</v>
      </c>
      <c r="M205" s="59" t="n">
        <f aca="false">IF(G205&gt;0,IF(INDEX(CONFIRM!$G$5:$G$53,G205)&lt;&gt;"",INDEX(CONFIRM!$G$5:$G$53,G205),IF(ISNUMBER(L205),L205,IFERROR(DATEVALUE(L205),""))),IF(ISNUMBER(L205),L205,IFERROR(DATEVALUE(L205),"")))</f>
        <v>45991</v>
      </c>
      <c r="N205" s="1" t="str">
        <f aca="false">IF(M205="","Check",IF(AND(M205&gt;=INPUTS!$C$6,M205&lt;=INPUTS!$C$7),"Yes","No"))</f>
        <v>Yes</v>
      </c>
      <c r="O205" s="48" t="str">
        <f aca="false">STACK!H205</f>
        <v>Promotora</v>
      </c>
      <c r="P205" s="1" t="str">
        <f aca="false">IF(G205&gt;0,IF(INDEX(CONFIRM!$H$5:$H$53,G205)&lt;&gt;"",INDEX(CONFIRM!$H$5:$H$53,G205),IFERROR(INDEX(MAP!$B$7:$B$156,MATCH(TRIM(O205),MAP!$A$7:$A$156,0)),"UNMAPPED")),IFERROR(INDEX(MAP!$B$7:$B$156,MATCH(TRIM(O205),MAP!$A$7:$A$156,0)),"UNMAPPED"))</f>
        <v>Community Health Worker</v>
      </c>
      <c r="Q205" s="48" t="n">
        <f aca="false">STACK!I205</f>
        <v>376.5</v>
      </c>
      <c r="R205" s="60" t="n">
        <f aca="false">IF(G205&gt;0,IF(INDEX(CONFIRM!$F$5:$F$53,G205)&lt;&gt;"",INDEX(CONFIRM!$F$5:$F$53,G205),IF(ISNUMBER(Q205),Q205,IF(Q205="","",IFERROR(VALUE(TRIM(SUBSTITUTE(SUBSTITUTE(LOWER(Q205),"hrs",""),"hr",""))),"")))),IF(ISNUMBER(Q205),Q205,IF(Q205="","",IFERROR(VALUE(TRIM(SUBSTITUTE(SUBSTITUTE(LOWER(Q205),"hrs",""),"hr",""))),""))))</f>
        <v>376.5</v>
      </c>
      <c r="S205" s="57" t="n">
        <f aca="false">IFERROR(INDEX(RATES!$E$6:$E$28,MATCH(P205,RATES!$A$6:$A$28,0)),0)</f>
        <v>27.6275</v>
      </c>
      <c r="T205" s="61" t="n">
        <f aca="false">IF(ISNUMBER(R205),R205,0)*S205</f>
        <v>10401.75375</v>
      </c>
      <c r="U205" s="61" t="n">
        <f aca="false">T205*INDEX(INPUTS!$H$10:$H$14,MATCH(B205,INPUTS!$A$10:$A$14,0))</f>
        <v>1924.32444375</v>
      </c>
      <c r="V205" s="61" t="n">
        <f aca="false">N(STACK!K205)</f>
        <v>1995</v>
      </c>
      <c r="W205" s="61" t="n">
        <f aca="false">T205+U205+V205</f>
        <v>14321.07819375</v>
      </c>
      <c r="X205" s="61" t="n">
        <f aca="false">N(STACK!L205)</f>
        <v>0</v>
      </c>
      <c r="Y205" s="61" t="n">
        <f aca="false">W205-X205</f>
        <v>14321.07819375</v>
      </c>
      <c r="Z205" s="1" t="n">
        <f aca="false">N(STACK!J205)</f>
        <v>423</v>
      </c>
      <c r="AA205" s="1" t="str">
        <f aca="false">TRIM(IF(D205="UNMAPPED","Program not mapped. ","")&amp;IF(OR(K205="UNMAPPED",K205="UNASSIGNED"),"Category needs review. ","")&amp;IF(P205="UNMAPPED","Title not mapped. ","")&amp;IF(AND(P205&lt;&gt;"No staff time",R205=""),"Missing hours. ","")&amp;IF(M205="","Date not readable. ","")&amp;IF(N205="No","Outside fiscal year. ","")&amp;IF(AND(F205="Event",ISNUMBER(R205)),IF(R205&gt;12,"Event hours look high. ",""),"")&amp;IF(G205&gt;0,"See CONFIRM sheet.",""))</f>
        <v/>
      </c>
      <c r="AB205" s="1" t="n">
        <f aca="false">IF(N205="No",0,IF(REVIEW!O205=0,0,IF(G205&gt;0,IF(INDEX(CONFIRM!$J$5:$J$53,G205)&lt;&gt;"",INDEX(CONFIRM!$J$5:$J$53,G205),1),1)))</f>
        <v>1</v>
      </c>
      <c r="AC205" s="1" t="n">
        <f aca="false">IF(AB205=1,IF(COUNTIFS($B$5:B205,B205,$D$5:D205,D205,$AB$5:AB205,1)=1,1,0),0)</f>
        <v>0</v>
      </c>
    </row>
    <row r="206" customFormat="false" ht="15" hidden="false" customHeight="false" outlineLevel="0" collapsed="false">
      <c r="A206" s="48" t="str">
        <f aca="false">STACK!A206</f>
        <v>KVMC-0202</v>
      </c>
      <c r="B206" s="48" t="str">
        <f aca="false">STACK!B206</f>
        <v>KVMC</v>
      </c>
      <c r="C206" s="48" t="str">
        <f aca="false">STACK!E206</f>
        <v>Community Health Worker Outreach</v>
      </c>
      <c r="D206" s="1" t="str">
        <f aca="false">IFERROR(INDEX(MAP!$J$7:$J$101,MATCH(TRIM(C206),MAP!$I$7:$I$101,0)),"UNMAPPED")</f>
        <v>Community Health Worker Outreach</v>
      </c>
      <c r="E206" s="1" t="str">
        <f aca="false">IFERROR(INDEX(MAP!$K$7:$K$101,MATCH(TRIM(C206),MAP!$I$7:$I$101,0)),"")</f>
        <v>Access to care</v>
      </c>
      <c r="F206" s="1" t="str">
        <f aca="false">IFERROR(INDEX(MAP!$L$7:$L$101,MATCH(TRIM(C206),MAP!$I$7:$I$101,0)),"")</f>
        <v>Monthly</v>
      </c>
      <c r="G206" s="1" t="n">
        <f aca="false">IFERROR(MATCH(A206,CONFIRM!$A$5:$A$53,0),0)</f>
        <v>0</v>
      </c>
      <c r="H206" s="48" t="str">
        <f aca="false">STACK!F206</f>
        <v>Health Care Support Services</v>
      </c>
      <c r="I206" s="1" t="str">
        <f aca="false">IF(G206&gt;0,IF(INDEX(CONFIRM!$I$5:$I$53,G206)&lt;&gt;"",INDEX(CONFIRM!$I$5:$I$53,G206),H206),H206)</f>
        <v>Health Care Support Services</v>
      </c>
      <c r="J206" s="1" t="str">
        <f aca="false">IFERROR(INDEX(MAP!$F$7:$F$74,MATCH(TRIM(I206),MAP!$E$7:$E$74,0)),"UNMAPPED")</f>
        <v>Health care support services</v>
      </c>
      <c r="K206" s="1" t="str">
        <f aca="false">IFERROR(INDEX(MAP!$G$7:$G$74,MATCH(TRIM(I206),MAP!$E$7:$E$74,0)),"UNMAPPED")</f>
        <v>7e</v>
      </c>
      <c r="L206" s="49" t="n">
        <f aca="false">STACK!G206</f>
        <v>45991</v>
      </c>
      <c r="M206" s="59" t="n">
        <f aca="false">IF(G206&gt;0,IF(INDEX(CONFIRM!$G$5:$G$53,G206)&lt;&gt;"",INDEX(CONFIRM!$G$5:$G$53,G206),IF(ISNUMBER(L206),L206,IFERROR(DATEVALUE(L206),""))),IF(ISNUMBER(L206),L206,IFERROR(DATEVALUE(L206),"")))</f>
        <v>45991</v>
      </c>
      <c r="N206" s="1" t="str">
        <f aca="false">IF(M206="","Check",IF(AND(M206&gt;=INPUTS!$C$6,M206&lt;=INPUTS!$C$7),"Yes","No"))</f>
        <v>Yes</v>
      </c>
      <c r="O206" s="48" t="str">
        <f aca="false">STACK!H206</f>
        <v>Patient Navigator</v>
      </c>
      <c r="P206" s="1" t="str">
        <f aca="false">IF(G206&gt;0,IF(INDEX(CONFIRM!$H$5:$H$53,G206)&lt;&gt;"",INDEX(CONFIRM!$H$5:$H$53,G206),IFERROR(INDEX(MAP!$B$7:$B$156,MATCH(TRIM(O206),MAP!$A$7:$A$156,0)),"UNMAPPED")),IFERROR(INDEX(MAP!$B$7:$B$156,MATCH(TRIM(O206),MAP!$A$7:$A$156,0)),"UNMAPPED"))</f>
        <v>Patient Navigator</v>
      </c>
      <c r="Q206" s="48" t="n">
        <f aca="false">STACK!I206</f>
        <v>202</v>
      </c>
      <c r="R206" s="60" t="n">
        <f aca="false">IF(G206&gt;0,IF(INDEX(CONFIRM!$F$5:$F$53,G206)&lt;&gt;"",INDEX(CONFIRM!$F$5:$F$53,G206),IF(ISNUMBER(Q206),Q206,IF(Q206="","",IFERROR(VALUE(TRIM(SUBSTITUTE(SUBSTITUTE(LOWER(Q206),"hrs",""),"hr",""))),"")))),IF(ISNUMBER(Q206),Q206,IF(Q206="","",IFERROR(VALUE(TRIM(SUBSTITUTE(SUBSTITUTE(LOWER(Q206),"hrs",""),"hr",""))),""))))</f>
        <v>202</v>
      </c>
      <c r="S206" s="57" t="n">
        <f aca="false">IFERROR(INDEX(RATES!$E$6:$E$28,MATCH(P206,RATES!$A$6:$A$28,0)),0)</f>
        <v>30.84</v>
      </c>
      <c r="T206" s="61" t="n">
        <f aca="false">IF(ISNUMBER(R206),R206,0)*S206</f>
        <v>6229.68</v>
      </c>
      <c r="U206" s="61" t="n">
        <f aca="false">T206*INDEX(INPUTS!$H$10:$H$14,MATCH(B206,INPUTS!$A$10:$A$14,0))</f>
        <v>1152.4908</v>
      </c>
      <c r="V206" s="61" t="n">
        <f aca="false">N(STACK!K206)</f>
        <v>0</v>
      </c>
      <c r="W206" s="61" t="n">
        <f aca="false">T206+U206+V206</f>
        <v>7382.1708</v>
      </c>
      <c r="X206" s="61" t="n">
        <f aca="false">N(STACK!L206)</f>
        <v>0</v>
      </c>
      <c r="Y206" s="61" t="n">
        <f aca="false">W206-X206</f>
        <v>7382.1708</v>
      </c>
      <c r="Z206" s="1" t="n">
        <f aca="false">N(STACK!J206)</f>
        <v>0</v>
      </c>
      <c r="AA206" s="1" t="str">
        <f aca="false">TRIM(IF(D206="UNMAPPED","Program not mapped. ","")&amp;IF(OR(K206="UNMAPPED",K206="UNASSIGNED"),"Category needs review. ","")&amp;IF(P206="UNMAPPED","Title not mapped. ","")&amp;IF(AND(P206&lt;&gt;"No staff time",R206=""),"Missing hours. ","")&amp;IF(M206="","Date not readable. ","")&amp;IF(N206="No","Outside fiscal year. ","")&amp;IF(AND(F206="Event",ISNUMBER(R206)),IF(R206&gt;12,"Event hours look high. ",""),"")&amp;IF(G206&gt;0,"See CONFIRM sheet.",""))</f>
        <v/>
      </c>
      <c r="AB206" s="1" t="n">
        <f aca="false">IF(N206="No",0,IF(REVIEW!O206=0,0,IF(G206&gt;0,IF(INDEX(CONFIRM!$J$5:$J$53,G206)&lt;&gt;"",INDEX(CONFIRM!$J$5:$J$53,G206),1),1)))</f>
        <v>1</v>
      </c>
      <c r="AC206" s="1" t="n">
        <f aca="false">IF(AB206=1,IF(COUNTIFS($B$5:B206,B206,$D$5:D206,D206,$AB$5:AB206,1)=1,1,0),0)</f>
        <v>0</v>
      </c>
    </row>
    <row r="207" customFormat="false" ht="15" hidden="false" customHeight="false" outlineLevel="0" collapsed="false">
      <c r="A207" s="48" t="str">
        <f aca="false">STACK!A207</f>
        <v>KVMC-0203</v>
      </c>
      <c r="B207" s="48" t="str">
        <f aca="false">STACK!B207</f>
        <v>KVMC</v>
      </c>
      <c r="C207" s="48" t="str">
        <f aca="false">STACK!E207</f>
        <v>Medication Assistance Program</v>
      </c>
      <c r="D207" s="1" t="str">
        <f aca="false">IFERROR(INDEX(MAP!$J$7:$J$101,MATCH(TRIM(C207),MAP!$I$7:$I$101,0)),"UNMAPPED")</f>
        <v>Medication Assistance Program</v>
      </c>
      <c r="E207" s="1" t="str">
        <f aca="false">IFERROR(INDEX(MAP!$K$7:$K$101,MATCH(TRIM(C207),MAP!$I$7:$I$101,0)),"")</f>
        <v>Access to care</v>
      </c>
      <c r="F207" s="1" t="str">
        <f aca="false">IFERROR(INDEX(MAP!$L$7:$L$101,MATCH(TRIM(C207),MAP!$I$7:$I$101,0)),"")</f>
        <v>Monthly</v>
      </c>
      <c r="G207" s="1" t="n">
        <f aca="false">IFERROR(MATCH(A207,CONFIRM!$A$5:$A$53,0),0)</f>
        <v>0</v>
      </c>
      <c r="H207" s="48" t="str">
        <f aca="false">STACK!F207</f>
        <v>Health Care Support Services</v>
      </c>
      <c r="I207" s="1" t="str">
        <f aca="false">IF(G207&gt;0,IF(INDEX(CONFIRM!$I$5:$I$53,G207)&lt;&gt;"",INDEX(CONFIRM!$I$5:$I$53,G207),H207),H207)</f>
        <v>Health Care Support Services</v>
      </c>
      <c r="J207" s="1" t="str">
        <f aca="false">IFERROR(INDEX(MAP!$F$7:$F$74,MATCH(TRIM(I207),MAP!$E$7:$E$74,0)),"UNMAPPED")</f>
        <v>Health care support services</v>
      </c>
      <c r="K207" s="1" t="str">
        <f aca="false">IFERROR(INDEX(MAP!$G$7:$G$74,MATCH(TRIM(I207),MAP!$E$7:$E$74,0)),"UNMAPPED")</f>
        <v>7e</v>
      </c>
      <c r="L207" s="49" t="n">
        <f aca="false">STACK!G207</f>
        <v>45991</v>
      </c>
      <c r="M207" s="59" t="n">
        <f aca="false">IF(G207&gt;0,IF(INDEX(CONFIRM!$G$5:$G$53,G207)&lt;&gt;"",INDEX(CONFIRM!$G$5:$G$53,G207),IF(ISNUMBER(L207),L207,IFERROR(DATEVALUE(L207),""))),IF(ISNUMBER(L207),L207,IFERROR(DATEVALUE(L207),"")))</f>
        <v>45991</v>
      </c>
      <c r="N207" s="1" t="str">
        <f aca="false">IF(M207="","Check",IF(AND(M207&gt;=INPUTS!$C$6,M207&lt;=INPUTS!$C$7),"Yes","No"))</f>
        <v>Yes</v>
      </c>
      <c r="O207" s="48" t="str">
        <f aca="false">STACK!H207</f>
        <v>Patient Navigator </v>
      </c>
      <c r="P207" s="1" t="str">
        <f aca="false">IF(G207&gt;0,IF(INDEX(CONFIRM!$H$5:$H$53,G207)&lt;&gt;"",INDEX(CONFIRM!$H$5:$H$53,G207),IFERROR(INDEX(MAP!$B$7:$B$156,MATCH(TRIM(O207),MAP!$A$7:$A$156,0)),"UNMAPPED")),IFERROR(INDEX(MAP!$B$7:$B$156,MATCH(TRIM(O207),MAP!$A$7:$A$156,0)),"UNMAPPED"))</f>
        <v>Patient Navigator</v>
      </c>
      <c r="Q207" s="48" t="n">
        <f aca="false">STACK!I207</f>
        <v>78</v>
      </c>
      <c r="R207" s="60" t="n">
        <f aca="false">IF(G207&gt;0,IF(INDEX(CONFIRM!$F$5:$F$53,G207)&lt;&gt;"",INDEX(CONFIRM!$F$5:$F$53,G207),IF(ISNUMBER(Q207),Q207,IF(Q207="","",IFERROR(VALUE(TRIM(SUBSTITUTE(SUBSTITUTE(LOWER(Q207),"hrs",""),"hr",""))),"")))),IF(ISNUMBER(Q207),Q207,IF(Q207="","",IFERROR(VALUE(TRIM(SUBSTITUTE(SUBSTITUTE(LOWER(Q207),"hrs",""),"hr",""))),""))))</f>
        <v>78</v>
      </c>
      <c r="S207" s="57" t="n">
        <f aca="false">IFERROR(INDEX(RATES!$E$6:$E$28,MATCH(P207,RATES!$A$6:$A$28,0)),0)</f>
        <v>30.84</v>
      </c>
      <c r="T207" s="61" t="n">
        <f aca="false">IF(ISNUMBER(R207),R207,0)*S207</f>
        <v>2405.52</v>
      </c>
      <c r="U207" s="61" t="n">
        <f aca="false">T207*INDEX(INPUTS!$H$10:$H$14,MATCH(B207,INPUTS!$A$10:$A$14,0))</f>
        <v>445.0212</v>
      </c>
      <c r="V207" s="61" t="n">
        <f aca="false">N(STACK!K207)</f>
        <v>0</v>
      </c>
      <c r="W207" s="61" t="n">
        <f aca="false">T207+U207+V207</f>
        <v>2850.5412</v>
      </c>
      <c r="X207" s="61" t="n">
        <f aca="false">N(STACK!L207)</f>
        <v>0</v>
      </c>
      <c r="Y207" s="61" t="n">
        <f aca="false">W207-X207</f>
        <v>2850.5412</v>
      </c>
      <c r="Z207" s="1" t="n">
        <f aca="false">N(STACK!J207)</f>
        <v>0</v>
      </c>
      <c r="AA207" s="1" t="str">
        <f aca="false">TRIM(IF(D207="UNMAPPED","Program not mapped. ","")&amp;IF(OR(K207="UNMAPPED",K207="UNASSIGNED"),"Category needs review. ","")&amp;IF(P207="UNMAPPED","Title not mapped. ","")&amp;IF(AND(P207&lt;&gt;"No staff time",R207=""),"Missing hours. ","")&amp;IF(M207="","Date not readable. ","")&amp;IF(N207="No","Outside fiscal year. ","")&amp;IF(AND(F207="Event",ISNUMBER(R207)),IF(R207&gt;12,"Event hours look high. ",""),"")&amp;IF(G207&gt;0,"See CONFIRM sheet.",""))</f>
        <v/>
      </c>
      <c r="AB207" s="1" t="n">
        <f aca="false">IF(N207="No",0,IF(REVIEW!O207=0,0,IF(G207&gt;0,IF(INDEX(CONFIRM!$J$5:$J$53,G207)&lt;&gt;"",INDEX(CONFIRM!$J$5:$J$53,G207),1),1)))</f>
        <v>1</v>
      </c>
      <c r="AC207" s="1" t="n">
        <f aca="false">IF(AB207=1,IF(COUNTIFS($B$5:B207,B207,$D$5:D207,D207,$AB$5:AB207,1)=1,1,0),0)</f>
        <v>0</v>
      </c>
    </row>
    <row r="208" customFormat="false" ht="15" hidden="false" customHeight="false" outlineLevel="0" collapsed="false">
      <c r="A208" s="48" t="str">
        <f aca="false">STACK!A208</f>
        <v>KVMC-0204</v>
      </c>
      <c r="B208" s="48" t="str">
        <f aca="false">STACK!B208</f>
        <v>KVMC</v>
      </c>
      <c r="C208" s="48" t="str">
        <f aca="false">STACK!E208</f>
        <v>Medication Assistance Program</v>
      </c>
      <c r="D208" s="1" t="str">
        <f aca="false">IFERROR(INDEX(MAP!$J$7:$J$101,MATCH(TRIM(C208),MAP!$I$7:$I$101,0)),"UNMAPPED")</f>
        <v>Medication Assistance Program</v>
      </c>
      <c r="E208" s="1" t="str">
        <f aca="false">IFERROR(INDEX(MAP!$K$7:$K$101,MATCH(TRIM(C208),MAP!$I$7:$I$101,0)),"")</f>
        <v>Access to care</v>
      </c>
      <c r="F208" s="1" t="str">
        <f aca="false">IFERROR(INDEX(MAP!$L$7:$L$101,MATCH(TRIM(C208),MAP!$I$7:$I$101,0)),"")</f>
        <v>Monthly</v>
      </c>
      <c r="G208" s="1" t="n">
        <f aca="false">IFERROR(MATCH(A208,CONFIRM!$A$5:$A$53,0),0)</f>
        <v>0</v>
      </c>
      <c r="H208" s="48" t="str">
        <f aca="false">STACK!F208</f>
        <v>Health Care Support Services</v>
      </c>
      <c r="I208" s="1" t="str">
        <f aca="false">IF(G208&gt;0,IF(INDEX(CONFIRM!$I$5:$I$53,G208)&lt;&gt;"",INDEX(CONFIRM!$I$5:$I$53,G208),H208),H208)</f>
        <v>Health Care Support Services</v>
      </c>
      <c r="J208" s="1" t="str">
        <f aca="false">IFERROR(INDEX(MAP!$F$7:$F$74,MATCH(TRIM(I208),MAP!$E$7:$E$74,0)),"UNMAPPED")</f>
        <v>Health care support services</v>
      </c>
      <c r="K208" s="1" t="str">
        <f aca="false">IFERROR(INDEX(MAP!$G$7:$G$74,MATCH(TRIM(I208),MAP!$E$7:$E$74,0)),"UNMAPPED")</f>
        <v>7e</v>
      </c>
      <c r="L208" s="49" t="n">
        <f aca="false">STACK!G208</f>
        <v>45991</v>
      </c>
      <c r="M208" s="59" t="n">
        <f aca="false">IF(G208&gt;0,IF(INDEX(CONFIRM!$G$5:$G$53,G208)&lt;&gt;"",INDEX(CONFIRM!$G$5:$G$53,G208),IF(ISNUMBER(L208),L208,IFERROR(DATEVALUE(L208),""))),IF(ISNUMBER(L208),L208,IFERROR(DATEVALUE(L208),"")))</f>
        <v>45991</v>
      </c>
      <c r="N208" s="1" t="str">
        <f aca="false">IF(M208="","Check",IF(AND(M208&gt;=INPUTS!$C$6,M208&lt;=INPUTS!$C$7),"Yes","No"))</f>
        <v>Yes</v>
      </c>
      <c r="O208" s="48" t="str">
        <f aca="false">STACK!H208</f>
        <v>PharmD</v>
      </c>
      <c r="P208" s="1" t="str">
        <f aca="false">IF(G208&gt;0,IF(INDEX(CONFIRM!$H$5:$H$53,G208)&lt;&gt;"",INDEX(CONFIRM!$H$5:$H$53,G208),IFERROR(INDEX(MAP!$B$7:$B$156,MATCH(TRIM(O208),MAP!$A$7:$A$156,0)),"UNMAPPED")),IFERROR(INDEX(MAP!$B$7:$B$156,MATCH(TRIM(O208),MAP!$A$7:$A$156,0)),"UNMAPPED"))</f>
        <v>Pharmacist</v>
      </c>
      <c r="Q208" s="48" t="n">
        <f aca="false">STACK!I208</f>
        <v>25.25</v>
      </c>
      <c r="R208" s="60" t="n">
        <f aca="false">IF(G208&gt;0,IF(INDEX(CONFIRM!$F$5:$F$53,G208)&lt;&gt;"",INDEX(CONFIRM!$F$5:$F$53,G208),IF(ISNUMBER(Q208),Q208,IF(Q208="","",IFERROR(VALUE(TRIM(SUBSTITUTE(SUBSTITUTE(LOWER(Q208),"hrs",""),"hr",""))),"")))),IF(ISNUMBER(Q208),Q208,IF(Q208="","",IFERROR(VALUE(TRIM(SUBSTITUTE(SUBSTITUTE(LOWER(Q208),"hrs",""),"hr",""))),""))))</f>
        <v>25.25</v>
      </c>
      <c r="S208" s="57" t="n">
        <f aca="false">IFERROR(INDEX(RATES!$E$6:$E$28,MATCH(P208,RATES!$A$6:$A$28,0)),0)</f>
        <v>84.81</v>
      </c>
      <c r="T208" s="61" t="n">
        <f aca="false">IF(ISNUMBER(R208),R208,0)*S208</f>
        <v>2141.4525</v>
      </c>
      <c r="U208" s="61" t="n">
        <f aca="false">T208*INDEX(INPUTS!$H$10:$H$14,MATCH(B208,INPUTS!$A$10:$A$14,0))</f>
        <v>396.1687125</v>
      </c>
      <c r="V208" s="61" t="n">
        <f aca="false">N(STACK!K208)</f>
        <v>20340</v>
      </c>
      <c r="W208" s="61" t="n">
        <f aca="false">T208+U208+V208</f>
        <v>22877.6212125</v>
      </c>
      <c r="X208" s="61" t="n">
        <f aca="false">N(STACK!L208)</f>
        <v>0</v>
      </c>
      <c r="Y208" s="61" t="n">
        <f aca="false">W208-X208</f>
        <v>22877.6212125</v>
      </c>
      <c r="Z208" s="1" t="n">
        <f aca="false">N(STACK!J208)</f>
        <v>100</v>
      </c>
      <c r="AA208" s="1" t="str">
        <f aca="false">TRIM(IF(D208="UNMAPPED","Program not mapped. ","")&amp;IF(OR(K208="UNMAPPED",K208="UNASSIGNED"),"Category needs review. ","")&amp;IF(P208="UNMAPPED","Title not mapped. ","")&amp;IF(AND(P208&lt;&gt;"No staff time",R208=""),"Missing hours. ","")&amp;IF(M208="","Date not readable. ","")&amp;IF(N208="No","Outside fiscal year. ","")&amp;IF(AND(F208="Event",ISNUMBER(R208)),IF(R208&gt;12,"Event hours look high. ",""),"")&amp;IF(G208&gt;0,"See CONFIRM sheet.",""))</f>
        <v/>
      </c>
      <c r="AB208" s="1" t="n">
        <f aca="false">IF(N208="No",0,IF(REVIEW!O208=0,0,IF(G208&gt;0,IF(INDEX(CONFIRM!$J$5:$J$53,G208)&lt;&gt;"",INDEX(CONFIRM!$J$5:$J$53,G208),1),1)))</f>
        <v>1</v>
      </c>
      <c r="AC208" s="1" t="n">
        <f aca="false">IF(AB208=1,IF(COUNTIFS($B$5:B208,B208,$D$5:D208,D208,$AB$5:AB208,1)=1,1,0),0)</f>
        <v>0</v>
      </c>
    </row>
    <row r="209" customFormat="false" ht="15" hidden="false" customHeight="false" outlineLevel="0" collapsed="false">
      <c r="A209" s="48" t="str">
        <f aca="false">STACK!A209</f>
        <v>KVMC-0205</v>
      </c>
      <c r="B209" s="48" t="str">
        <f aca="false">STACK!B209</f>
        <v>KVMC</v>
      </c>
      <c r="C209" s="48" t="str">
        <f aca="false">STACK!E209</f>
        <v>Community Health Needs Assessment</v>
      </c>
      <c r="D209" s="1" t="str">
        <f aca="false">IFERROR(INDEX(MAP!$J$7:$J$101,MATCH(TRIM(C209),MAP!$I$7:$I$101,0)),"UNMAPPED")</f>
        <v>Community Health Needs Assessment</v>
      </c>
      <c r="E209" s="1" t="str">
        <f aca="false">IFERROR(INDEX(MAP!$K$7:$K$101,MATCH(TRIM(C209),MAP!$I$7:$I$101,0)),"")</f>
        <v>Community benefit infrastructure</v>
      </c>
      <c r="F209" s="1" t="str">
        <f aca="false">IFERROR(INDEX(MAP!$L$7:$L$101,MATCH(TRIM(C209),MAP!$I$7:$I$101,0)),"")</f>
        <v>Monthly</v>
      </c>
      <c r="G209" s="1" t="n">
        <f aca="false">IFERROR(MATCH(A209,CONFIRM!$A$5:$A$53,0),0)</f>
        <v>0</v>
      </c>
      <c r="H209" s="48" t="str">
        <f aca="false">STACK!F209</f>
        <v>CB Operations</v>
      </c>
      <c r="I209" s="1" t="str">
        <f aca="false">IF(G209&gt;0,IF(INDEX(CONFIRM!$I$5:$I$53,G209)&lt;&gt;"",INDEX(CONFIRM!$I$5:$I$53,G209),H209),H209)</f>
        <v>CB Operations</v>
      </c>
      <c r="J209" s="1" t="str">
        <f aca="false">IFERROR(INDEX(MAP!$F$7:$F$74,MATCH(TRIM(I209),MAP!$E$7:$E$74,0)),"UNMAPPED")</f>
        <v>Community benefit operations</v>
      </c>
      <c r="K209" s="1" t="str">
        <f aca="false">IFERROR(INDEX(MAP!$G$7:$G$74,MATCH(TRIM(I209),MAP!$E$7:$E$74,0)),"UNMAPPED")</f>
        <v>7e</v>
      </c>
      <c r="L209" s="49" t="n">
        <f aca="false">STACK!G209</f>
        <v>45991</v>
      </c>
      <c r="M209" s="59" t="n">
        <f aca="false">IF(G209&gt;0,IF(INDEX(CONFIRM!$G$5:$G$53,G209)&lt;&gt;"",INDEX(CONFIRM!$G$5:$G$53,G209),IF(ISNUMBER(L209),L209,IFERROR(DATEVALUE(L209),""))),IF(ISNUMBER(L209),L209,IFERROR(DATEVALUE(L209),"")))</f>
        <v>45991</v>
      </c>
      <c r="N209" s="1" t="str">
        <f aca="false">IF(M209="","Check",IF(AND(M209&gt;=INPUTS!$C$6,M209&lt;=INPUTS!$C$7),"Yes","No"))</f>
        <v>Yes</v>
      </c>
      <c r="O209" s="48" t="str">
        <f aca="false">STACK!H209</f>
        <v>Community Benefit Manager</v>
      </c>
      <c r="P209" s="1" t="str">
        <f aca="false">IF(G209&gt;0,IF(INDEX(CONFIRM!$H$5:$H$53,G209)&lt;&gt;"",INDEX(CONFIRM!$H$5:$H$53,G209),IFERROR(INDEX(MAP!$B$7:$B$156,MATCH(TRIM(O209),MAP!$A$7:$A$156,0)),"UNMAPPED")),IFERROR(INDEX(MAP!$B$7:$B$156,MATCH(TRIM(O209),MAP!$A$7:$A$156,0)),"UNMAPPED"))</f>
        <v>Community Benefit Manager</v>
      </c>
      <c r="Q209" s="48" t="n">
        <f aca="false">STACK!I209</f>
        <v>32.5</v>
      </c>
      <c r="R209" s="60" t="n">
        <f aca="false">IF(G209&gt;0,IF(INDEX(CONFIRM!$F$5:$F$53,G209)&lt;&gt;"",INDEX(CONFIRM!$F$5:$F$53,G209),IF(ISNUMBER(Q209),Q209,IF(Q209="","",IFERROR(VALUE(TRIM(SUBSTITUTE(SUBSTITUTE(LOWER(Q209),"hrs",""),"hr",""))),"")))),IF(ISNUMBER(Q209),Q209,IF(Q209="","",IFERROR(VALUE(TRIM(SUBSTITUTE(SUBSTITUTE(LOWER(Q209),"hrs",""),"hr",""))),""))))</f>
        <v>32.5</v>
      </c>
      <c r="S209" s="57" t="n">
        <f aca="false">IFERROR(INDEX(RATES!$E$6:$E$28,MATCH(P209,RATES!$A$6:$A$28,0)),0)</f>
        <v>59.11</v>
      </c>
      <c r="T209" s="61" t="n">
        <f aca="false">IF(ISNUMBER(R209),R209,0)*S209</f>
        <v>1921.075</v>
      </c>
      <c r="U209" s="61" t="n">
        <f aca="false">T209*INDEX(INPUTS!$H$10:$H$14,MATCH(B209,INPUTS!$A$10:$A$14,0))</f>
        <v>355.398875</v>
      </c>
      <c r="V209" s="61" t="n">
        <f aca="false">N(STACK!K209)</f>
        <v>2485</v>
      </c>
      <c r="W209" s="61" t="n">
        <f aca="false">T209+U209+V209</f>
        <v>4761.473875</v>
      </c>
      <c r="X209" s="61" t="n">
        <f aca="false">N(STACK!L209)</f>
        <v>0</v>
      </c>
      <c r="Y209" s="61" t="n">
        <f aca="false">W209-X209</f>
        <v>4761.473875</v>
      </c>
      <c r="Z209" s="1" t="n">
        <f aca="false">N(STACK!J209)</f>
        <v>0</v>
      </c>
      <c r="AA209" s="1" t="str">
        <f aca="false">TRIM(IF(D209="UNMAPPED","Program not mapped. ","")&amp;IF(OR(K209="UNMAPPED",K209="UNASSIGNED"),"Category needs review. ","")&amp;IF(P209="UNMAPPED","Title not mapped. ","")&amp;IF(AND(P209&lt;&gt;"No staff time",R209=""),"Missing hours. ","")&amp;IF(M209="","Date not readable. ","")&amp;IF(N209="No","Outside fiscal year. ","")&amp;IF(AND(F209="Event",ISNUMBER(R209)),IF(R209&gt;12,"Event hours look high. ",""),"")&amp;IF(G209&gt;0,"See CONFIRM sheet.",""))</f>
        <v/>
      </c>
      <c r="AB209" s="1" t="n">
        <f aca="false">IF(N209="No",0,IF(REVIEW!O209=0,0,IF(G209&gt;0,IF(INDEX(CONFIRM!$J$5:$J$53,G209)&lt;&gt;"",INDEX(CONFIRM!$J$5:$J$53,G209),1),1)))</f>
        <v>1</v>
      </c>
      <c r="AC209" s="1" t="n">
        <f aca="false">IF(AB209=1,IF(COUNTIFS($B$5:B209,B209,$D$5:D209,D209,$AB$5:AB209,1)=1,1,0),0)</f>
        <v>0</v>
      </c>
    </row>
    <row r="210" customFormat="false" ht="15" hidden="false" customHeight="false" outlineLevel="0" collapsed="false">
      <c r="A210" s="48" t="str">
        <f aca="false">STACK!A210</f>
        <v>KVMC-0206</v>
      </c>
      <c r="B210" s="48" t="str">
        <f aca="false">STACK!B210</f>
        <v>KVMC</v>
      </c>
      <c r="C210" s="48" t="str">
        <f aca="false">STACK!E210</f>
        <v>Community Health Needs Assessment</v>
      </c>
      <c r="D210" s="1" t="str">
        <f aca="false">IFERROR(INDEX(MAP!$J$7:$J$101,MATCH(TRIM(C210),MAP!$I$7:$I$101,0)),"UNMAPPED")</f>
        <v>Community Health Needs Assessment</v>
      </c>
      <c r="E210" s="1" t="str">
        <f aca="false">IFERROR(INDEX(MAP!$K$7:$K$101,MATCH(TRIM(C210),MAP!$I$7:$I$101,0)),"")</f>
        <v>Community benefit infrastructure</v>
      </c>
      <c r="F210" s="1" t="str">
        <f aca="false">IFERROR(INDEX(MAP!$L$7:$L$101,MATCH(TRIM(C210),MAP!$I$7:$I$101,0)),"")</f>
        <v>Monthly</v>
      </c>
      <c r="G210" s="1" t="n">
        <f aca="false">IFERROR(MATCH(A210,CONFIRM!$A$5:$A$53,0),0)</f>
        <v>0</v>
      </c>
      <c r="H210" s="48" t="str">
        <f aca="false">STACK!F210</f>
        <v>CB Operations</v>
      </c>
      <c r="I210" s="1" t="str">
        <f aca="false">IF(G210&gt;0,IF(INDEX(CONFIRM!$I$5:$I$53,G210)&lt;&gt;"",INDEX(CONFIRM!$I$5:$I$53,G210),H210),H210)</f>
        <v>CB Operations</v>
      </c>
      <c r="J210" s="1" t="str">
        <f aca="false">IFERROR(INDEX(MAP!$F$7:$F$74,MATCH(TRIM(I210),MAP!$E$7:$E$74,0)),"UNMAPPED")</f>
        <v>Community benefit operations</v>
      </c>
      <c r="K210" s="1" t="str">
        <f aca="false">IFERROR(INDEX(MAP!$G$7:$G$74,MATCH(TRIM(I210),MAP!$E$7:$E$74,0)),"UNMAPPED")</f>
        <v>7e</v>
      </c>
      <c r="L210" s="49" t="n">
        <f aca="false">STACK!G210</f>
        <v>45991</v>
      </c>
      <c r="M210" s="59" t="n">
        <f aca="false">IF(G210&gt;0,IF(INDEX(CONFIRM!$G$5:$G$53,G210)&lt;&gt;"",INDEX(CONFIRM!$G$5:$G$53,G210),IF(ISNUMBER(L210),L210,IFERROR(DATEVALUE(L210),""))),IF(ISNUMBER(L210),L210,IFERROR(DATEVALUE(L210),"")))</f>
        <v>45991</v>
      </c>
      <c r="N210" s="1" t="str">
        <f aca="false">IF(M210="","Check",IF(AND(M210&gt;=INPUTS!$C$6,M210&lt;=INPUTS!$C$7),"Yes","No"))</f>
        <v>Yes</v>
      </c>
      <c r="O210" s="48" t="str">
        <f aca="false">STACK!H210</f>
        <v>Data Analyst</v>
      </c>
      <c r="P210" s="1" t="str">
        <f aca="false">IF(G210&gt;0,IF(INDEX(CONFIRM!$H$5:$H$53,G210)&lt;&gt;"",INDEX(CONFIRM!$H$5:$H$53,G210),IFERROR(INDEX(MAP!$B$7:$B$156,MATCH(TRIM(O210),MAP!$A$7:$A$156,0)),"UNMAPPED")),IFERROR(INDEX(MAP!$B$7:$B$156,MATCH(TRIM(O210),MAP!$A$7:$A$156,0)),"UNMAPPED"))</f>
        <v>Data Analyst</v>
      </c>
      <c r="Q210" s="48" t="n">
        <f aca="false">STACK!I210</f>
        <v>25.25</v>
      </c>
      <c r="R210" s="60" t="n">
        <f aca="false">IF(G210&gt;0,IF(INDEX(CONFIRM!$F$5:$F$53,G210)&lt;&gt;"",INDEX(CONFIRM!$F$5:$F$53,G210),IF(ISNUMBER(Q210),Q210,IF(Q210="","",IFERROR(VALUE(TRIM(SUBSTITUTE(SUBSTITUTE(LOWER(Q210),"hrs",""),"hr",""))),"")))),IF(ISNUMBER(Q210),Q210,IF(Q210="","",IFERROR(VALUE(TRIM(SUBSTITUTE(SUBSTITUTE(LOWER(Q210),"hrs",""),"hr",""))),""))))</f>
        <v>25.25</v>
      </c>
      <c r="S210" s="57" t="n">
        <f aca="false">IFERROR(INDEX(RATES!$E$6:$E$28,MATCH(P210,RATES!$A$6:$A$28,0)),0)</f>
        <v>48.83</v>
      </c>
      <c r="T210" s="61" t="n">
        <f aca="false">IF(ISNUMBER(R210),R210,0)*S210</f>
        <v>1232.9575</v>
      </c>
      <c r="U210" s="61" t="n">
        <f aca="false">T210*INDEX(INPUTS!$H$10:$H$14,MATCH(B210,INPUTS!$A$10:$A$14,0))</f>
        <v>228.0971375</v>
      </c>
      <c r="V210" s="61" t="n">
        <f aca="false">N(STACK!K210)</f>
        <v>0</v>
      </c>
      <c r="W210" s="61" t="n">
        <f aca="false">T210+U210+V210</f>
        <v>1461.0546375</v>
      </c>
      <c r="X210" s="61" t="n">
        <f aca="false">N(STACK!L210)</f>
        <v>0</v>
      </c>
      <c r="Y210" s="61" t="n">
        <f aca="false">W210-X210</f>
        <v>1461.0546375</v>
      </c>
      <c r="Z210" s="1" t="n">
        <f aca="false">N(STACK!J210)</f>
        <v>0</v>
      </c>
      <c r="AA210" s="1" t="str">
        <f aca="false">TRIM(IF(D210="UNMAPPED","Program not mapped. ","")&amp;IF(OR(K210="UNMAPPED",K210="UNASSIGNED"),"Category needs review. ","")&amp;IF(P210="UNMAPPED","Title not mapped. ","")&amp;IF(AND(P210&lt;&gt;"No staff time",R210=""),"Missing hours. ","")&amp;IF(M210="","Date not readable. ","")&amp;IF(N210="No","Outside fiscal year. ","")&amp;IF(AND(F210="Event",ISNUMBER(R210)),IF(R210&gt;12,"Event hours look high. ",""),"")&amp;IF(G210&gt;0,"See CONFIRM sheet.",""))</f>
        <v/>
      </c>
      <c r="AB210" s="1" t="n">
        <f aca="false">IF(N210="No",0,IF(REVIEW!O210=0,0,IF(G210&gt;0,IF(INDEX(CONFIRM!$J$5:$J$53,G210)&lt;&gt;"",INDEX(CONFIRM!$J$5:$J$53,G210),1),1)))</f>
        <v>1</v>
      </c>
      <c r="AC210" s="1" t="n">
        <f aca="false">IF(AB210=1,IF(COUNTIFS($B$5:B210,B210,$D$5:D210,D210,$AB$5:AB210,1)=1,1,0),0)</f>
        <v>0</v>
      </c>
    </row>
    <row r="211" customFormat="false" ht="15" hidden="false" customHeight="false" outlineLevel="0" collapsed="false">
      <c r="A211" s="48" t="str">
        <f aca="false">STACK!A211</f>
        <v>KVMC-0207</v>
      </c>
      <c r="B211" s="48" t="str">
        <f aca="false">STACK!B211</f>
        <v>KVMC</v>
      </c>
      <c r="C211" s="48" t="str">
        <f aca="false">STACK!E211</f>
        <v>Community Benefit Program Administration</v>
      </c>
      <c r="D211" s="1" t="str">
        <f aca="false">IFERROR(INDEX(MAP!$J$7:$J$101,MATCH(TRIM(C211),MAP!$I$7:$I$101,0)),"UNMAPPED")</f>
        <v>Community Benefit Program Administration</v>
      </c>
      <c r="E211" s="1" t="str">
        <f aca="false">IFERROR(INDEX(MAP!$K$7:$K$101,MATCH(TRIM(C211),MAP!$I$7:$I$101,0)),"")</f>
        <v>Community benefit infrastructure</v>
      </c>
      <c r="F211" s="1" t="str">
        <f aca="false">IFERROR(INDEX(MAP!$L$7:$L$101,MATCH(TRIM(C211),MAP!$I$7:$I$101,0)),"")</f>
        <v>Monthly</v>
      </c>
      <c r="G211" s="1" t="n">
        <f aca="false">IFERROR(MATCH(A211,CONFIRM!$A$5:$A$53,0),0)</f>
        <v>0</v>
      </c>
      <c r="H211" s="48" t="str">
        <f aca="false">STACK!F211</f>
        <v>CB Operations</v>
      </c>
      <c r="I211" s="1" t="str">
        <f aca="false">IF(G211&gt;0,IF(INDEX(CONFIRM!$I$5:$I$53,G211)&lt;&gt;"",INDEX(CONFIRM!$I$5:$I$53,G211),H211),H211)</f>
        <v>CB Operations</v>
      </c>
      <c r="J211" s="1" t="str">
        <f aca="false">IFERROR(INDEX(MAP!$F$7:$F$74,MATCH(TRIM(I211),MAP!$E$7:$E$74,0)),"UNMAPPED")</f>
        <v>Community benefit operations</v>
      </c>
      <c r="K211" s="1" t="str">
        <f aca="false">IFERROR(INDEX(MAP!$G$7:$G$74,MATCH(TRIM(I211),MAP!$E$7:$E$74,0)),"UNMAPPED")</f>
        <v>7e</v>
      </c>
      <c r="L211" s="49" t="n">
        <f aca="false">STACK!G211</f>
        <v>45991</v>
      </c>
      <c r="M211" s="59" t="n">
        <f aca="false">IF(G211&gt;0,IF(INDEX(CONFIRM!$G$5:$G$53,G211)&lt;&gt;"",INDEX(CONFIRM!$G$5:$G$53,G211),IF(ISNUMBER(L211),L211,IFERROR(DATEVALUE(L211),""))),IF(ISNUMBER(L211),L211,IFERROR(DATEVALUE(L211),"")))</f>
        <v>45991</v>
      </c>
      <c r="N211" s="1" t="str">
        <f aca="false">IF(M211="","Check",IF(AND(M211&gt;=INPUTS!$C$6,M211&lt;=INPUTS!$C$7),"Yes","No"))</f>
        <v>Yes</v>
      </c>
      <c r="O211" s="48" t="str">
        <f aca="false">STACK!H211</f>
        <v>Administrative Assistant</v>
      </c>
      <c r="P211" s="1" t="str">
        <f aca="false">IF(G211&gt;0,IF(INDEX(CONFIRM!$H$5:$H$53,G211)&lt;&gt;"",INDEX(CONFIRM!$H$5:$H$53,G211),IFERROR(INDEX(MAP!$B$7:$B$156,MATCH(TRIM(O211),MAP!$A$7:$A$156,0)),"UNMAPPED")),IFERROR(INDEX(MAP!$B$7:$B$156,MATCH(TRIM(O211),MAP!$A$7:$A$156,0)),"UNMAPPED"))</f>
        <v>Administrative Assistant</v>
      </c>
      <c r="Q211" s="48" t="n">
        <f aca="false">STACK!I211</f>
        <v>49.5</v>
      </c>
      <c r="R211" s="60" t="n">
        <f aca="false">IF(G211&gt;0,IF(INDEX(CONFIRM!$F$5:$F$53,G211)&lt;&gt;"",INDEX(CONFIRM!$F$5:$F$53,G211),IF(ISNUMBER(Q211),Q211,IF(Q211="","",IFERROR(VALUE(TRIM(SUBSTITUTE(SUBSTITUTE(LOWER(Q211),"hrs",""),"hr",""))),"")))),IF(ISNUMBER(Q211),Q211,IF(Q211="","",IFERROR(VALUE(TRIM(SUBSTITUTE(SUBSTITUTE(LOWER(Q211),"hrs",""),"hr",""))),""))))</f>
        <v>49.5</v>
      </c>
      <c r="S211" s="57" t="n">
        <f aca="false">IFERROR(INDEX(RATES!$E$6:$E$28,MATCH(P211,RATES!$A$6:$A$28,0)),0)</f>
        <v>26.985</v>
      </c>
      <c r="T211" s="61" t="n">
        <f aca="false">IF(ISNUMBER(R211),R211,0)*S211</f>
        <v>1335.7575</v>
      </c>
      <c r="U211" s="61" t="n">
        <f aca="false">T211*INDEX(INPUTS!$H$10:$H$14,MATCH(B211,INPUTS!$A$10:$A$14,0))</f>
        <v>247.1151375</v>
      </c>
      <c r="V211" s="61" t="n">
        <f aca="false">N(STACK!K211)</f>
        <v>0</v>
      </c>
      <c r="W211" s="61" t="n">
        <f aca="false">T211+U211+V211</f>
        <v>1582.8726375</v>
      </c>
      <c r="X211" s="61" t="n">
        <f aca="false">N(STACK!L211)</f>
        <v>0</v>
      </c>
      <c r="Y211" s="61" t="n">
        <f aca="false">W211-X211</f>
        <v>1582.8726375</v>
      </c>
      <c r="Z211" s="1" t="n">
        <f aca="false">N(STACK!J211)</f>
        <v>0</v>
      </c>
      <c r="AA211" s="1" t="str">
        <f aca="false">TRIM(IF(D211="UNMAPPED","Program not mapped. ","")&amp;IF(OR(K211="UNMAPPED",K211="UNASSIGNED"),"Category needs review. ","")&amp;IF(P211="UNMAPPED","Title not mapped. ","")&amp;IF(AND(P211&lt;&gt;"No staff time",R211=""),"Missing hours. ","")&amp;IF(M211="","Date not readable. ","")&amp;IF(N211="No","Outside fiscal year. ","")&amp;IF(AND(F211="Event",ISNUMBER(R211)),IF(R211&gt;12,"Event hours look high. ",""),"")&amp;IF(G211&gt;0,"See CONFIRM sheet.",""))</f>
        <v/>
      </c>
      <c r="AB211" s="1" t="n">
        <f aca="false">IF(N211="No",0,IF(REVIEW!O211=0,0,IF(G211&gt;0,IF(INDEX(CONFIRM!$J$5:$J$53,G211)&lt;&gt;"",INDEX(CONFIRM!$J$5:$J$53,G211),1),1)))</f>
        <v>1</v>
      </c>
      <c r="AC211" s="1" t="n">
        <f aca="false">IF(AB211=1,IF(COUNTIFS($B$5:B211,B211,$D$5:D211,D211,$AB$5:AB211,1)=1,1,0),0)</f>
        <v>0</v>
      </c>
    </row>
    <row r="212" customFormat="false" ht="15" hidden="false" customHeight="false" outlineLevel="0" collapsed="false">
      <c r="A212" s="48" t="str">
        <f aca="false">STACK!A212</f>
        <v>KVMC-0208</v>
      </c>
      <c r="B212" s="48" t="str">
        <f aca="false">STACK!B212</f>
        <v>KVMC</v>
      </c>
      <c r="C212" s="48" t="str">
        <f aca="false">STACK!E212</f>
        <v>Community Benefit Program Administration</v>
      </c>
      <c r="D212" s="1" t="str">
        <f aca="false">IFERROR(INDEX(MAP!$J$7:$J$101,MATCH(TRIM(C212),MAP!$I$7:$I$101,0)),"UNMAPPED")</f>
        <v>Community Benefit Program Administration</v>
      </c>
      <c r="E212" s="1" t="str">
        <f aca="false">IFERROR(INDEX(MAP!$K$7:$K$101,MATCH(TRIM(C212),MAP!$I$7:$I$101,0)),"")</f>
        <v>Community benefit infrastructure</v>
      </c>
      <c r="F212" s="1" t="str">
        <f aca="false">IFERROR(INDEX(MAP!$L$7:$L$101,MATCH(TRIM(C212),MAP!$I$7:$I$101,0)),"")</f>
        <v>Monthly</v>
      </c>
      <c r="G212" s="1" t="n">
        <f aca="false">IFERROR(MATCH(A212,CONFIRM!$A$5:$A$53,0),0)</f>
        <v>0</v>
      </c>
      <c r="H212" s="48" t="str">
        <f aca="false">STACK!F212</f>
        <v>CB Operations</v>
      </c>
      <c r="I212" s="1" t="str">
        <f aca="false">IF(G212&gt;0,IF(INDEX(CONFIRM!$I$5:$I$53,G212)&lt;&gt;"",INDEX(CONFIRM!$I$5:$I$53,G212),H212),H212)</f>
        <v>CB Operations</v>
      </c>
      <c r="J212" s="1" t="str">
        <f aca="false">IFERROR(INDEX(MAP!$F$7:$F$74,MATCH(TRIM(I212),MAP!$E$7:$E$74,0)),"UNMAPPED")</f>
        <v>Community benefit operations</v>
      </c>
      <c r="K212" s="1" t="str">
        <f aca="false">IFERROR(INDEX(MAP!$G$7:$G$74,MATCH(TRIM(I212),MAP!$E$7:$E$74,0)),"UNMAPPED")</f>
        <v>7e</v>
      </c>
      <c r="L212" s="49" t="n">
        <f aca="false">STACK!G212</f>
        <v>45991</v>
      </c>
      <c r="M212" s="59" t="n">
        <f aca="false">IF(G212&gt;0,IF(INDEX(CONFIRM!$G$5:$G$53,G212)&lt;&gt;"",INDEX(CONFIRM!$G$5:$G$53,G212),IF(ISNUMBER(L212),L212,IFERROR(DATEVALUE(L212),""))),IF(ISNUMBER(L212),L212,IFERROR(DATEVALUE(L212),"")))</f>
        <v>45991</v>
      </c>
      <c r="N212" s="1" t="str">
        <f aca="false">IF(M212="","Check",IF(AND(M212&gt;=INPUTS!$C$6,M212&lt;=INPUTS!$C$7),"Yes","No"))</f>
        <v>Yes</v>
      </c>
      <c r="O212" s="48" t="str">
        <f aca="false">STACK!H212</f>
        <v>Community Benefit Mgr</v>
      </c>
      <c r="P212" s="1" t="str">
        <f aca="false">IF(G212&gt;0,IF(INDEX(CONFIRM!$H$5:$H$53,G212)&lt;&gt;"",INDEX(CONFIRM!$H$5:$H$53,G212),IFERROR(INDEX(MAP!$B$7:$B$156,MATCH(TRIM(O212),MAP!$A$7:$A$156,0)),"UNMAPPED")),IFERROR(INDEX(MAP!$B$7:$B$156,MATCH(TRIM(O212),MAP!$A$7:$A$156,0)),"UNMAPPED"))</f>
        <v>Community Benefit Manager</v>
      </c>
      <c r="Q212" s="48" t="n">
        <f aca="false">STACK!I212</f>
        <v>89</v>
      </c>
      <c r="R212" s="60" t="n">
        <f aca="false">IF(G212&gt;0,IF(INDEX(CONFIRM!$F$5:$F$53,G212)&lt;&gt;"",INDEX(CONFIRM!$F$5:$F$53,G212),IF(ISNUMBER(Q212),Q212,IF(Q212="","",IFERROR(VALUE(TRIM(SUBSTITUTE(SUBSTITUTE(LOWER(Q212),"hrs",""),"hr",""))),"")))),IF(ISNUMBER(Q212),Q212,IF(Q212="","",IFERROR(VALUE(TRIM(SUBSTITUTE(SUBSTITUTE(LOWER(Q212),"hrs",""),"hr",""))),""))))</f>
        <v>89</v>
      </c>
      <c r="S212" s="57" t="n">
        <f aca="false">IFERROR(INDEX(RATES!$E$6:$E$28,MATCH(P212,RATES!$A$6:$A$28,0)),0)</f>
        <v>59.11</v>
      </c>
      <c r="T212" s="61" t="n">
        <f aca="false">IF(ISNUMBER(R212),R212,0)*S212</f>
        <v>5260.79</v>
      </c>
      <c r="U212" s="61" t="n">
        <f aca="false">T212*INDEX(INPUTS!$H$10:$H$14,MATCH(B212,INPUTS!$A$10:$A$14,0))</f>
        <v>973.24615</v>
      </c>
      <c r="V212" s="61" t="n">
        <f aca="false">N(STACK!K212)</f>
        <v>1100</v>
      </c>
      <c r="W212" s="61" t="n">
        <f aca="false">T212+U212+V212</f>
        <v>7334.03615</v>
      </c>
      <c r="X212" s="61" t="n">
        <f aca="false">N(STACK!L212)</f>
        <v>0</v>
      </c>
      <c r="Y212" s="61" t="n">
        <f aca="false">W212-X212</f>
        <v>7334.03615</v>
      </c>
      <c r="Z212" s="1" t="n">
        <f aca="false">N(STACK!J212)</f>
        <v>0</v>
      </c>
      <c r="AA212" s="1" t="str">
        <f aca="false">TRIM(IF(D212="UNMAPPED","Program not mapped. ","")&amp;IF(OR(K212="UNMAPPED",K212="UNASSIGNED"),"Category needs review. ","")&amp;IF(P212="UNMAPPED","Title not mapped. ","")&amp;IF(AND(P212&lt;&gt;"No staff time",R212=""),"Missing hours. ","")&amp;IF(M212="","Date not readable. ","")&amp;IF(N212="No","Outside fiscal year. ","")&amp;IF(AND(F212="Event",ISNUMBER(R212)),IF(R212&gt;12,"Event hours look high. ",""),"")&amp;IF(G212&gt;0,"See CONFIRM sheet.",""))</f>
        <v/>
      </c>
      <c r="AB212" s="1" t="n">
        <f aca="false">IF(N212="No",0,IF(REVIEW!O212=0,0,IF(G212&gt;0,IF(INDEX(CONFIRM!$J$5:$J$53,G212)&lt;&gt;"",INDEX(CONFIRM!$J$5:$J$53,G212),1),1)))</f>
        <v>1</v>
      </c>
      <c r="AC212" s="1" t="n">
        <f aca="false">IF(AB212=1,IF(COUNTIFS($B$5:B212,B212,$D$5:D212,D212,$AB$5:AB212,1)=1,1,0),0)</f>
        <v>0</v>
      </c>
    </row>
    <row r="213" customFormat="false" ht="15" hidden="false" customHeight="false" outlineLevel="0" collapsed="false">
      <c r="A213" s="48" t="str">
        <f aca="false">STACK!A213</f>
        <v>KVMC-0209</v>
      </c>
      <c r="B213" s="48" t="str">
        <f aca="false">STACK!B213</f>
        <v>KVMC</v>
      </c>
      <c r="C213" s="48" t="str">
        <f aca="false">STACK!E213</f>
        <v>Interpreter Services for Community Clinics</v>
      </c>
      <c r="D213" s="1" t="str">
        <f aca="false">IFERROR(INDEX(MAP!$J$7:$J$101,MATCH(TRIM(C213),MAP!$I$7:$I$101,0)),"UNMAPPED")</f>
        <v>Interpreter Services for Community Clinics</v>
      </c>
      <c r="E213" s="1" t="str">
        <f aca="false">IFERROR(INDEX(MAP!$K$7:$K$101,MATCH(TRIM(C213),MAP!$I$7:$I$101,0)),"")</f>
        <v>Access to care</v>
      </c>
      <c r="F213" s="1" t="str">
        <f aca="false">IFERROR(INDEX(MAP!$L$7:$L$101,MATCH(TRIM(C213),MAP!$I$7:$I$101,0)),"")</f>
        <v>Monthly</v>
      </c>
      <c r="G213" s="1" t="n">
        <f aca="false">IFERROR(MATCH(A213,CONFIRM!$A$5:$A$53,0),0)</f>
        <v>0</v>
      </c>
      <c r="H213" s="48" t="str">
        <f aca="false">STACK!F213</f>
        <v>Health Care Support Services</v>
      </c>
      <c r="I213" s="1" t="str">
        <f aca="false">IF(G213&gt;0,IF(INDEX(CONFIRM!$I$5:$I$53,G213)&lt;&gt;"",INDEX(CONFIRM!$I$5:$I$53,G213),H213),H213)</f>
        <v>Health Care Support Services</v>
      </c>
      <c r="J213" s="1" t="str">
        <f aca="false">IFERROR(INDEX(MAP!$F$7:$F$74,MATCH(TRIM(I213),MAP!$E$7:$E$74,0)),"UNMAPPED")</f>
        <v>Health care support services</v>
      </c>
      <c r="K213" s="1" t="str">
        <f aca="false">IFERROR(INDEX(MAP!$G$7:$G$74,MATCH(TRIM(I213),MAP!$E$7:$E$74,0)),"UNMAPPED")</f>
        <v>7e</v>
      </c>
      <c r="L213" s="49" t="n">
        <f aca="false">STACK!G213</f>
        <v>45991</v>
      </c>
      <c r="M213" s="59" t="n">
        <f aca="false">IF(G213&gt;0,IF(INDEX(CONFIRM!$G$5:$G$53,G213)&lt;&gt;"",INDEX(CONFIRM!$G$5:$G$53,G213),IF(ISNUMBER(L213),L213,IFERROR(DATEVALUE(L213),""))),IF(ISNUMBER(L213),L213,IFERROR(DATEVALUE(L213),"")))</f>
        <v>45991</v>
      </c>
      <c r="N213" s="1" t="str">
        <f aca="false">IF(M213="","Check",IF(AND(M213&gt;=INPUTS!$C$6,M213&lt;=INPUTS!$C$7),"Yes","No"))</f>
        <v>Yes</v>
      </c>
      <c r="O213" s="48" t="str">
        <f aca="false">STACK!H213</f>
        <v>Interpreter</v>
      </c>
      <c r="P213" s="1" t="str">
        <f aca="false">IF(G213&gt;0,IF(INDEX(CONFIRM!$H$5:$H$53,G213)&lt;&gt;"",INDEX(CONFIRM!$H$5:$H$53,G213),IFERROR(INDEX(MAP!$B$7:$B$156,MATCH(TRIM(O213),MAP!$A$7:$A$156,0)),"UNMAPPED")),IFERROR(INDEX(MAP!$B$7:$B$156,MATCH(TRIM(O213),MAP!$A$7:$A$156,0)),"UNMAPPED"))</f>
        <v>Interpreter</v>
      </c>
      <c r="Q213" s="48" t="n">
        <f aca="false">STACK!I213</f>
        <v>78.25</v>
      </c>
      <c r="R213" s="60" t="n">
        <f aca="false">IF(G213&gt;0,IF(INDEX(CONFIRM!$F$5:$F$53,G213)&lt;&gt;"",INDEX(CONFIRM!$F$5:$F$53,G213),IF(ISNUMBER(Q213),Q213,IF(Q213="","",IFERROR(VALUE(TRIM(SUBSTITUTE(SUBSTITUTE(LOWER(Q213),"hrs",""),"hr",""))),"")))),IF(ISNUMBER(Q213),Q213,IF(Q213="","",IFERROR(VALUE(TRIM(SUBSTITUTE(SUBSTITUTE(LOWER(Q213),"hrs",""),"hr",""))),""))))</f>
        <v>78.25</v>
      </c>
      <c r="S213" s="57" t="n">
        <f aca="false">IFERROR(INDEX(RATES!$E$6:$E$28,MATCH(P213,RATES!$A$6:$A$28,0)),0)</f>
        <v>32.7675</v>
      </c>
      <c r="T213" s="61" t="n">
        <f aca="false">IF(ISNUMBER(R213),R213,0)*S213</f>
        <v>2564.056875</v>
      </c>
      <c r="U213" s="61" t="n">
        <f aca="false">T213*INDEX(INPUTS!$H$10:$H$14,MATCH(B213,INPUTS!$A$10:$A$14,0))</f>
        <v>474.350521875</v>
      </c>
      <c r="V213" s="61" t="n">
        <f aca="false">N(STACK!K213)</f>
        <v>0</v>
      </c>
      <c r="W213" s="61" t="n">
        <f aca="false">T213+U213+V213</f>
        <v>3038.407396875</v>
      </c>
      <c r="X213" s="61" t="n">
        <f aca="false">N(STACK!L213)</f>
        <v>0</v>
      </c>
      <c r="Y213" s="61" t="n">
        <f aca="false">W213-X213</f>
        <v>3038.407396875</v>
      </c>
      <c r="Z213" s="1" t="n">
        <f aca="false">N(STACK!J213)</f>
        <v>217</v>
      </c>
      <c r="AA213" s="1" t="str">
        <f aca="false">TRIM(IF(D213="UNMAPPED","Program not mapped. ","")&amp;IF(OR(K213="UNMAPPED",K213="UNASSIGNED"),"Category needs review. ","")&amp;IF(P213="UNMAPPED","Title not mapped. ","")&amp;IF(AND(P213&lt;&gt;"No staff time",R213=""),"Missing hours. ","")&amp;IF(M213="","Date not readable. ","")&amp;IF(N213="No","Outside fiscal year. ","")&amp;IF(AND(F213="Event",ISNUMBER(R213)),IF(R213&gt;12,"Event hours look high. ",""),"")&amp;IF(G213&gt;0,"See CONFIRM sheet.",""))</f>
        <v/>
      </c>
      <c r="AB213" s="1" t="n">
        <f aca="false">IF(N213="No",0,IF(REVIEW!O213=0,0,IF(G213&gt;0,IF(INDEX(CONFIRM!$J$5:$J$53,G213)&lt;&gt;"",INDEX(CONFIRM!$J$5:$J$53,G213),1),1)))</f>
        <v>1</v>
      </c>
      <c r="AC213" s="1" t="n">
        <f aca="false">IF(AB213=1,IF(COUNTIFS($B$5:B213,B213,$D$5:D213,D213,$AB$5:AB213,1)=1,1,0),0)</f>
        <v>0</v>
      </c>
    </row>
    <row r="214" customFormat="false" ht="15" hidden="false" customHeight="false" outlineLevel="0" collapsed="false">
      <c r="A214" s="48" t="str">
        <f aca="false">STACK!A214</f>
        <v>KVMC-0210</v>
      </c>
      <c r="B214" s="48" t="str">
        <f aca="false">STACK!B214</f>
        <v>KVMC</v>
      </c>
      <c r="C214" s="48" t="str">
        <f aca="false">STACK!E214</f>
        <v>Nursing Student Clinical Rotations</v>
      </c>
      <c r="D214" s="1" t="str">
        <f aca="false">IFERROR(INDEX(MAP!$J$7:$J$101,MATCH(TRIM(C214),MAP!$I$7:$I$101,0)),"UNMAPPED")</f>
        <v>Nursing Student Clinical Rotations</v>
      </c>
      <c r="E214" s="1" t="str">
        <f aca="false">IFERROR(INDEX(MAP!$K$7:$K$101,MATCH(TRIM(C214),MAP!$I$7:$I$101,0)),"")</f>
        <v>Health workforce</v>
      </c>
      <c r="F214" s="1" t="str">
        <f aca="false">IFERROR(INDEX(MAP!$L$7:$L$101,MATCH(TRIM(C214),MAP!$I$7:$I$101,0)),"")</f>
        <v>Monthly</v>
      </c>
      <c r="G214" s="1" t="n">
        <f aca="false">IFERROR(MATCH(A214,CONFIRM!$A$5:$A$53,0),0)</f>
        <v>0</v>
      </c>
      <c r="H214" s="48" t="str">
        <f aca="false">STACK!F214</f>
        <v>Health Professions Education</v>
      </c>
      <c r="I214" s="1" t="str">
        <f aca="false">IF(G214&gt;0,IF(INDEX(CONFIRM!$I$5:$I$53,G214)&lt;&gt;"",INDEX(CONFIRM!$I$5:$I$53,G214),H214),H214)</f>
        <v>Health Professions Education</v>
      </c>
      <c r="J214" s="1" t="str">
        <f aca="false">IFERROR(INDEX(MAP!$F$7:$F$74,MATCH(TRIM(I214),MAP!$E$7:$E$74,0)),"UNMAPPED")</f>
        <v>Health professions education</v>
      </c>
      <c r="K214" s="1" t="str">
        <f aca="false">IFERROR(INDEX(MAP!$G$7:$G$74,MATCH(TRIM(I214),MAP!$E$7:$E$74,0)),"UNMAPPED")</f>
        <v>7f</v>
      </c>
      <c r="L214" s="49" t="n">
        <f aca="false">STACK!G214</f>
        <v>45991</v>
      </c>
      <c r="M214" s="59" t="n">
        <f aca="false">IF(G214&gt;0,IF(INDEX(CONFIRM!$G$5:$G$53,G214)&lt;&gt;"",INDEX(CONFIRM!$G$5:$G$53,G214),IF(ISNUMBER(L214),L214,IFERROR(DATEVALUE(L214),""))),IF(ISNUMBER(L214),L214,IFERROR(DATEVALUE(L214),"")))</f>
        <v>45991</v>
      </c>
      <c r="N214" s="1" t="str">
        <f aca="false">IF(M214="","Check",IF(AND(M214&gt;=INPUTS!$C$6,M214&lt;=INPUTS!$C$7),"Yes","No"))</f>
        <v>Yes</v>
      </c>
      <c r="O214" s="48" t="str">
        <f aca="false">STACK!H214</f>
        <v>Preceptor RN</v>
      </c>
      <c r="P214" s="1" t="str">
        <f aca="false">IF(G214&gt;0,IF(INDEX(CONFIRM!$H$5:$H$53,G214)&lt;&gt;"",INDEX(CONFIRM!$H$5:$H$53,G214),IFERROR(INDEX(MAP!$B$7:$B$156,MATCH(TRIM(O214),MAP!$A$7:$A$156,0)),"UNMAPPED")),IFERROR(INDEX(MAP!$B$7:$B$156,MATCH(TRIM(O214),MAP!$A$7:$A$156,0)),"UNMAPPED"))</f>
        <v>Clinical Nurse Educator</v>
      </c>
      <c r="Q214" s="48" t="n">
        <f aca="false">STACK!I214</f>
        <v>179.5</v>
      </c>
      <c r="R214" s="60" t="n">
        <f aca="false">IF(G214&gt;0,IF(INDEX(CONFIRM!$F$5:$F$53,G214)&lt;&gt;"",INDEX(CONFIRM!$F$5:$F$53,G214),IF(ISNUMBER(Q214),Q214,IF(Q214="","",IFERROR(VALUE(TRIM(SUBSTITUTE(SUBSTITUTE(LOWER(Q214),"hrs",""),"hr",""))),"")))),IF(ISNUMBER(Q214),Q214,IF(Q214="","",IFERROR(VALUE(TRIM(SUBSTITUTE(SUBSTITUTE(LOWER(Q214),"hrs",""),"hr",""))),""))))</f>
        <v>179.5</v>
      </c>
      <c r="S214" s="57" t="n">
        <f aca="false">IFERROR(INDEX(RATES!$E$6:$E$28,MATCH(P214,RATES!$A$6:$A$28,0)),0)</f>
        <v>62.965</v>
      </c>
      <c r="T214" s="61" t="n">
        <f aca="false">IF(ISNUMBER(R214),R214,0)*S214</f>
        <v>11302.2175</v>
      </c>
      <c r="U214" s="61" t="n">
        <f aca="false">T214*INDEX(INPUTS!$H$10:$H$14,MATCH(B214,INPUTS!$A$10:$A$14,0))</f>
        <v>2090.9102375</v>
      </c>
      <c r="V214" s="61" t="n">
        <f aca="false">N(STACK!K214)</f>
        <v>580</v>
      </c>
      <c r="W214" s="61" t="n">
        <f aca="false">T214+U214+V214</f>
        <v>13973.1277375</v>
      </c>
      <c r="X214" s="61" t="n">
        <f aca="false">N(STACK!L214)</f>
        <v>0</v>
      </c>
      <c r="Y214" s="61" t="n">
        <f aca="false">W214-X214</f>
        <v>13973.1277375</v>
      </c>
      <c r="Z214" s="1" t="n">
        <f aca="false">N(STACK!J214)</f>
        <v>47</v>
      </c>
      <c r="AA214" s="1" t="str">
        <f aca="false">TRIM(IF(D214="UNMAPPED","Program not mapped. ","")&amp;IF(OR(K214="UNMAPPED",K214="UNASSIGNED"),"Category needs review. ","")&amp;IF(P214="UNMAPPED","Title not mapped. ","")&amp;IF(AND(P214&lt;&gt;"No staff time",R214=""),"Missing hours. ","")&amp;IF(M214="","Date not readable. ","")&amp;IF(N214="No","Outside fiscal year. ","")&amp;IF(AND(F214="Event",ISNUMBER(R214)),IF(R214&gt;12,"Event hours look high. ",""),"")&amp;IF(G214&gt;0,"See CONFIRM sheet.",""))</f>
        <v/>
      </c>
      <c r="AB214" s="1" t="n">
        <f aca="false">IF(N214="No",0,IF(REVIEW!O214=0,0,IF(G214&gt;0,IF(INDEX(CONFIRM!$J$5:$J$53,G214)&lt;&gt;"",INDEX(CONFIRM!$J$5:$J$53,G214),1),1)))</f>
        <v>1</v>
      </c>
      <c r="AC214" s="1" t="n">
        <f aca="false">IF(AB214=1,IF(COUNTIFS($B$5:B214,B214,$D$5:D214,D214,$AB$5:AB214,1)=1,1,0),0)</f>
        <v>0</v>
      </c>
    </row>
    <row r="215" customFormat="false" ht="15" hidden="false" customHeight="false" outlineLevel="0" collapsed="false">
      <c r="A215" s="48" t="str">
        <f aca="false">STACK!A215</f>
        <v>KVMC-0211</v>
      </c>
      <c r="B215" s="48" t="str">
        <f aca="false">STACK!B215</f>
        <v>KVMC</v>
      </c>
      <c r="C215" s="48" t="str">
        <f aca="false">STACK!E215</f>
        <v>Nursing Student Clinical Rotations</v>
      </c>
      <c r="D215" s="1" t="str">
        <f aca="false">IFERROR(INDEX(MAP!$J$7:$J$101,MATCH(TRIM(C215),MAP!$I$7:$I$101,0)),"UNMAPPED")</f>
        <v>Nursing Student Clinical Rotations</v>
      </c>
      <c r="E215" s="1" t="str">
        <f aca="false">IFERROR(INDEX(MAP!$K$7:$K$101,MATCH(TRIM(C215),MAP!$I$7:$I$101,0)),"")</f>
        <v>Health workforce</v>
      </c>
      <c r="F215" s="1" t="str">
        <f aca="false">IFERROR(INDEX(MAP!$L$7:$L$101,MATCH(TRIM(C215),MAP!$I$7:$I$101,0)),"")</f>
        <v>Monthly</v>
      </c>
      <c r="G215" s="1" t="n">
        <f aca="false">IFERROR(MATCH(A215,CONFIRM!$A$5:$A$53,0),0)</f>
        <v>0</v>
      </c>
      <c r="H215" s="48" t="str">
        <f aca="false">STACK!F215</f>
        <v>Health Professions Education</v>
      </c>
      <c r="I215" s="1" t="str">
        <f aca="false">IF(G215&gt;0,IF(INDEX(CONFIRM!$I$5:$I$53,G215)&lt;&gt;"",INDEX(CONFIRM!$I$5:$I$53,G215),H215),H215)</f>
        <v>Health Professions Education</v>
      </c>
      <c r="J215" s="1" t="str">
        <f aca="false">IFERROR(INDEX(MAP!$F$7:$F$74,MATCH(TRIM(I215),MAP!$E$7:$E$74,0)),"UNMAPPED")</f>
        <v>Health professions education</v>
      </c>
      <c r="K215" s="1" t="str">
        <f aca="false">IFERROR(INDEX(MAP!$G$7:$G$74,MATCH(TRIM(I215),MAP!$E$7:$E$74,0)),"UNMAPPED")</f>
        <v>7f</v>
      </c>
      <c r="L215" s="49" t="n">
        <f aca="false">STACK!G215</f>
        <v>45991</v>
      </c>
      <c r="M215" s="59" t="n">
        <f aca="false">IF(G215&gt;0,IF(INDEX(CONFIRM!$G$5:$G$53,G215)&lt;&gt;"",INDEX(CONFIRM!$G$5:$G$53,G215),IF(ISNUMBER(L215),L215,IFERROR(DATEVALUE(L215),""))),IF(ISNUMBER(L215),L215,IFERROR(DATEVALUE(L215),"")))</f>
        <v>45991</v>
      </c>
      <c r="N215" s="1" t="str">
        <f aca="false">IF(M215="","Check",IF(AND(M215&gt;=INPUTS!$C$6,M215&lt;=INPUTS!$C$7),"Yes","No"))</f>
        <v>Yes</v>
      </c>
      <c r="O215" s="48" t="str">
        <f aca="false">STACK!H215</f>
        <v>Charge RN</v>
      </c>
      <c r="P215" s="1" t="str">
        <f aca="false">IF(G215&gt;0,IF(INDEX(CONFIRM!$H$5:$H$53,G215)&lt;&gt;"",INDEX(CONFIRM!$H$5:$H$53,G215),IFERROR(INDEX(MAP!$B$7:$B$156,MATCH(TRIM(O215),MAP!$A$7:$A$156,0)),"UNMAPPED")),IFERROR(INDEX(MAP!$B$7:$B$156,MATCH(TRIM(O215),MAP!$A$7:$A$156,0)),"UNMAPPED"))</f>
        <v>Registered Nurse</v>
      </c>
      <c r="Q215" s="48" t="n">
        <f aca="false">STACK!I215</f>
        <v>296</v>
      </c>
      <c r="R215" s="60" t="n">
        <f aca="false">IF(G215&gt;0,IF(INDEX(CONFIRM!$F$5:$F$53,G215)&lt;&gt;"",INDEX(CONFIRM!$F$5:$F$53,G215),IF(ISNUMBER(Q215),Q215,IF(Q215="","",IFERROR(VALUE(TRIM(SUBSTITUTE(SUBSTITUTE(LOWER(Q215),"hrs",""),"hr",""))),"")))),IF(ISNUMBER(Q215),Q215,IF(Q215="","",IFERROR(VALUE(TRIM(SUBSTITUTE(SUBSTITUTE(LOWER(Q215),"hrs",""),"hr",""))),""))))</f>
        <v>296</v>
      </c>
      <c r="S215" s="57" t="n">
        <f aca="false">IFERROR(INDEX(RATES!$E$6:$E$28,MATCH(P215,RATES!$A$6:$A$28,0)),0)</f>
        <v>55.8975</v>
      </c>
      <c r="T215" s="61" t="n">
        <f aca="false">IF(ISNUMBER(R215),R215,0)*S215</f>
        <v>16545.66</v>
      </c>
      <c r="U215" s="61" t="n">
        <f aca="false">T215*INDEX(INPUTS!$H$10:$H$14,MATCH(B215,INPUTS!$A$10:$A$14,0))</f>
        <v>3060.9471</v>
      </c>
      <c r="V215" s="61" t="n">
        <f aca="false">N(STACK!K215)</f>
        <v>0</v>
      </c>
      <c r="W215" s="61" t="n">
        <f aca="false">T215+U215+V215</f>
        <v>19606.6071</v>
      </c>
      <c r="X215" s="61" t="n">
        <f aca="false">N(STACK!L215)</f>
        <v>0</v>
      </c>
      <c r="Y215" s="61" t="n">
        <f aca="false">W215-X215</f>
        <v>19606.6071</v>
      </c>
      <c r="Z215" s="1" t="n">
        <f aca="false">N(STACK!J215)</f>
        <v>0</v>
      </c>
      <c r="AA215" s="1" t="str">
        <f aca="false">TRIM(IF(D215="UNMAPPED","Program not mapped. ","")&amp;IF(OR(K215="UNMAPPED",K215="UNASSIGNED"),"Category needs review. ","")&amp;IF(P215="UNMAPPED","Title not mapped. ","")&amp;IF(AND(P215&lt;&gt;"No staff time",R215=""),"Missing hours. ","")&amp;IF(M215="","Date not readable. ","")&amp;IF(N215="No","Outside fiscal year. ","")&amp;IF(AND(F215="Event",ISNUMBER(R215)),IF(R215&gt;12,"Event hours look high. ",""),"")&amp;IF(G215&gt;0,"See CONFIRM sheet.",""))</f>
        <v/>
      </c>
      <c r="AB215" s="1" t="n">
        <f aca="false">IF(N215="No",0,IF(REVIEW!O215=0,0,IF(G215&gt;0,IF(INDEX(CONFIRM!$J$5:$J$53,G215)&lt;&gt;"",INDEX(CONFIRM!$J$5:$J$53,G215),1),1)))</f>
        <v>1</v>
      </c>
      <c r="AC215" s="1" t="n">
        <f aca="false">IF(AB215=1,IF(COUNTIFS($B$5:B215,B215,$D$5:D215,D215,$AB$5:AB215,1)=1,1,0),0)</f>
        <v>0</v>
      </c>
    </row>
    <row r="216" customFormat="false" ht="15" hidden="false" customHeight="false" outlineLevel="0" collapsed="false">
      <c r="A216" s="48" t="str">
        <f aca="false">STACK!A216</f>
        <v>KVMC-0212</v>
      </c>
      <c r="B216" s="48" t="str">
        <f aca="false">STACK!B216</f>
        <v>KVMC</v>
      </c>
      <c r="C216" s="48" t="str">
        <f aca="false">STACK!E216</f>
        <v>Family Medicine Residency Program</v>
      </c>
      <c r="D216" s="1" t="str">
        <f aca="false">IFERROR(INDEX(MAP!$J$7:$J$101,MATCH(TRIM(C216),MAP!$I$7:$I$101,0)),"UNMAPPED")</f>
        <v>Family Medicine Residency Program</v>
      </c>
      <c r="E216" s="1" t="str">
        <f aca="false">IFERROR(INDEX(MAP!$K$7:$K$101,MATCH(TRIM(C216),MAP!$I$7:$I$101,0)),"")</f>
        <v>Health workforce</v>
      </c>
      <c r="F216" s="1" t="str">
        <f aca="false">IFERROR(INDEX(MAP!$L$7:$L$101,MATCH(TRIM(C216),MAP!$I$7:$I$101,0)),"")</f>
        <v>Monthly</v>
      </c>
      <c r="G216" s="1" t="n">
        <f aca="false">IFERROR(MATCH(A216,CONFIRM!$A$5:$A$53,0),0)</f>
        <v>0</v>
      </c>
      <c r="H216" s="48" t="str">
        <f aca="false">STACK!F216</f>
        <v>Health Professions Education</v>
      </c>
      <c r="I216" s="1" t="str">
        <f aca="false">IF(G216&gt;0,IF(INDEX(CONFIRM!$I$5:$I$53,G216)&lt;&gt;"",INDEX(CONFIRM!$I$5:$I$53,G216),H216),H216)</f>
        <v>Health Professions Education</v>
      </c>
      <c r="J216" s="1" t="str">
        <f aca="false">IFERROR(INDEX(MAP!$F$7:$F$74,MATCH(TRIM(I216),MAP!$E$7:$E$74,0)),"UNMAPPED")</f>
        <v>Health professions education</v>
      </c>
      <c r="K216" s="1" t="str">
        <f aca="false">IFERROR(INDEX(MAP!$G$7:$G$74,MATCH(TRIM(I216),MAP!$E$7:$E$74,0)),"UNMAPPED")</f>
        <v>7f</v>
      </c>
      <c r="L216" s="49" t="n">
        <f aca="false">STACK!G216</f>
        <v>45991</v>
      </c>
      <c r="M216" s="59" t="n">
        <f aca="false">IF(G216&gt;0,IF(INDEX(CONFIRM!$G$5:$G$53,G216)&lt;&gt;"",INDEX(CONFIRM!$G$5:$G$53,G216),IF(ISNUMBER(L216),L216,IFERROR(DATEVALUE(L216),""))),IF(ISNUMBER(L216),L216,IFERROR(DATEVALUE(L216),"")))</f>
        <v>45991</v>
      </c>
      <c r="N216" s="1" t="str">
        <f aca="false">IF(M216="","Check",IF(AND(M216&gt;=INPUTS!$C$6,M216&lt;=INPUTS!$C$7),"Yes","No"))</f>
        <v>Yes</v>
      </c>
      <c r="O216" s="48" t="str">
        <f aca="false">STACK!H216</f>
        <v>Attending Physician </v>
      </c>
      <c r="P216" s="1" t="str">
        <f aca="false">IF(G216&gt;0,IF(INDEX(CONFIRM!$H$5:$H$53,G216)&lt;&gt;"",INDEX(CONFIRM!$H$5:$H$53,G216),IFERROR(INDEX(MAP!$B$7:$B$156,MATCH(TRIM(O216),MAP!$A$7:$A$156,0)),"UNMAPPED")),IFERROR(INDEX(MAP!$B$7:$B$156,MATCH(TRIM(O216),MAP!$A$7:$A$156,0)),"UNMAPPED"))</f>
        <v>Physician</v>
      </c>
      <c r="Q216" s="48" t="n">
        <f aca="false">STACK!I216</f>
        <v>384.75</v>
      </c>
      <c r="R216" s="60" t="n">
        <f aca="false">IF(G216&gt;0,IF(INDEX(CONFIRM!$F$5:$F$53,G216)&lt;&gt;"",INDEX(CONFIRM!$F$5:$F$53,G216),IF(ISNUMBER(Q216),Q216,IF(Q216="","",IFERROR(VALUE(TRIM(SUBSTITUTE(SUBSTITUTE(LOWER(Q216),"hrs",""),"hr",""))),"")))),IF(ISNUMBER(Q216),Q216,IF(Q216="","",IFERROR(VALUE(TRIM(SUBSTITUTE(SUBSTITUTE(LOWER(Q216),"hrs",""),"hr",""))),""))))</f>
        <v>384.75</v>
      </c>
      <c r="S216" s="57" t="n">
        <f aca="false">IFERROR(INDEX(RATES!$E$6:$E$28,MATCH(P216,RATES!$A$6:$A$28,0)),0)</f>
        <v>151.63</v>
      </c>
      <c r="T216" s="61" t="n">
        <f aca="false">IF(ISNUMBER(R216),R216,0)*S216</f>
        <v>58339.6425</v>
      </c>
      <c r="U216" s="61" t="n">
        <f aca="false">T216*INDEX(INPUTS!$H$10:$H$14,MATCH(B216,INPUTS!$A$10:$A$14,0))</f>
        <v>10792.8338625</v>
      </c>
      <c r="V216" s="61" t="n">
        <f aca="false">N(STACK!K216)</f>
        <v>42780</v>
      </c>
      <c r="W216" s="61" t="n">
        <f aca="false">T216+U216+V216</f>
        <v>111912.4763625</v>
      </c>
      <c r="X216" s="61" t="n">
        <f aca="false">N(STACK!L216)</f>
        <v>162940</v>
      </c>
      <c r="Y216" s="61" t="n">
        <f aca="false">W216-X216</f>
        <v>-51027.5236375</v>
      </c>
      <c r="Z216" s="1" t="n">
        <f aca="false">N(STACK!J216)</f>
        <v>0</v>
      </c>
      <c r="AA216" s="1" t="str">
        <f aca="false">TRIM(IF(D216="UNMAPPED","Program not mapped. ","")&amp;IF(OR(K216="UNMAPPED",K216="UNASSIGNED"),"Category needs review. ","")&amp;IF(P216="UNMAPPED","Title not mapped. ","")&amp;IF(AND(P216&lt;&gt;"No staff time",R216=""),"Missing hours. ","")&amp;IF(M216="","Date not readable. ","")&amp;IF(N216="No","Outside fiscal year. ","")&amp;IF(AND(F216="Event",ISNUMBER(R216)),IF(R216&gt;12,"Event hours look high. ",""),"")&amp;IF(G216&gt;0,"See CONFIRM sheet.",""))</f>
        <v/>
      </c>
      <c r="AB216" s="1" t="n">
        <f aca="false">IF(N216="No",0,IF(REVIEW!O216=0,0,IF(G216&gt;0,IF(INDEX(CONFIRM!$J$5:$J$53,G216)&lt;&gt;"",INDEX(CONFIRM!$J$5:$J$53,G216),1),1)))</f>
        <v>1</v>
      </c>
      <c r="AC216" s="1" t="n">
        <f aca="false">IF(AB216=1,IF(COUNTIFS($B$5:B216,B216,$D$5:D216,D216,$AB$5:AB216,1)=1,1,0),0)</f>
        <v>0</v>
      </c>
    </row>
    <row r="217" customFormat="false" ht="15" hidden="false" customHeight="false" outlineLevel="0" collapsed="false">
      <c r="A217" s="48" t="str">
        <f aca="false">STACK!A217</f>
        <v>KVMC-0213</v>
      </c>
      <c r="B217" s="48" t="str">
        <f aca="false">STACK!B217</f>
        <v>KVMC</v>
      </c>
      <c r="C217" s="48" t="str">
        <f aca="false">STACK!E217</f>
        <v>Family Medicine Residency Program</v>
      </c>
      <c r="D217" s="1" t="str">
        <f aca="false">IFERROR(INDEX(MAP!$J$7:$J$101,MATCH(TRIM(C217),MAP!$I$7:$I$101,0)),"UNMAPPED")</f>
        <v>Family Medicine Residency Program</v>
      </c>
      <c r="E217" s="1" t="str">
        <f aca="false">IFERROR(INDEX(MAP!$K$7:$K$101,MATCH(TRIM(C217),MAP!$I$7:$I$101,0)),"")</f>
        <v>Health workforce</v>
      </c>
      <c r="F217" s="1" t="str">
        <f aca="false">IFERROR(INDEX(MAP!$L$7:$L$101,MATCH(TRIM(C217),MAP!$I$7:$I$101,0)),"")</f>
        <v>Monthly</v>
      </c>
      <c r="G217" s="1" t="n">
        <f aca="false">IFERROR(MATCH(A217,CONFIRM!$A$5:$A$53,0),0)</f>
        <v>0</v>
      </c>
      <c r="H217" s="48" t="str">
        <f aca="false">STACK!F217</f>
        <v>Health Professions Education</v>
      </c>
      <c r="I217" s="1" t="str">
        <f aca="false">IF(G217&gt;0,IF(INDEX(CONFIRM!$I$5:$I$53,G217)&lt;&gt;"",INDEX(CONFIRM!$I$5:$I$53,G217),H217),H217)</f>
        <v>Health Professions Education</v>
      </c>
      <c r="J217" s="1" t="str">
        <f aca="false">IFERROR(INDEX(MAP!$F$7:$F$74,MATCH(TRIM(I217),MAP!$E$7:$E$74,0)),"UNMAPPED")</f>
        <v>Health professions education</v>
      </c>
      <c r="K217" s="1" t="str">
        <f aca="false">IFERROR(INDEX(MAP!$G$7:$G$74,MATCH(TRIM(I217),MAP!$E$7:$E$74,0)),"UNMAPPED")</f>
        <v>7f</v>
      </c>
      <c r="L217" s="49" t="n">
        <f aca="false">STACK!G217</f>
        <v>45991</v>
      </c>
      <c r="M217" s="59" t="n">
        <f aca="false">IF(G217&gt;0,IF(INDEX(CONFIRM!$G$5:$G$53,G217)&lt;&gt;"",INDEX(CONFIRM!$G$5:$G$53,G217),IF(ISNUMBER(L217),L217,IFERROR(DATEVALUE(L217),""))),IF(ISNUMBER(L217),L217,IFERROR(DATEVALUE(L217),"")))</f>
        <v>45991</v>
      </c>
      <c r="N217" s="1" t="str">
        <f aca="false">IF(M217="","Check",IF(AND(M217&gt;=INPUTS!$C$6,M217&lt;=INPUTS!$C$7),"Yes","No"))</f>
        <v>Yes</v>
      </c>
      <c r="O217" s="48" t="str">
        <f aca="false">STACK!H217</f>
        <v>Volunteer Coordinator</v>
      </c>
      <c r="P217" s="1" t="str">
        <f aca="false">IF(G217&gt;0,IF(INDEX(CONFIRM!$H$5:$H$53,G217)&lt;&gt;"",INDEX(CONFIRM!$H$5:$H$53,G217),IFERROR(INDEX(MAP!$B$7:$B$156,MATCH(TRIM(O217),MAP!$A$7:$A$156,0)),"UNMAPPED")),IFERROR(INDEX(MAP!$B$7:$B$156,MATCH(TRIM(O217),MAP!$A$7:$A$156,0)),"UNMAPPED"))</f>
        <v>Program Coordinator</v>
      </c>
      <c r="Q217" s="48" t="n">
        <f aca="false">STACK!I217</f>
        <v>162.75</v>
      </c>
      <c r="R217" s="60" t="n">
        <f aca="false">IF(G217&gt;0,IF(INDEX(CONFIRM!$F$5:$F$53,G217)&lt;&gt;"",INDEX(CONFIRM!$F$5:$F$53,G217),IF(ISNUMBER(Q217),Q217,IF(Q217="","",IFERROR(VALUE(TRIM(SUBSTITUTE(SUBSTITUTE(LOWER(Q217),"hrs",""),"hr",""))),"")))),IF(ISNUMBER(Q217),Q217,IF(Q217="","",IFERROR(VALUE(TRIM(SUBSTITUTE(SUBSTITUTE(LOWER(Q217),"hrs",""),"hr",""))),""))))</f>
        <v>162.75</v>
      </c>
      <c r="S217" s="57" t="n">
        <f aca="false">IFERROR(INDEX(RATES!$E$6:$E$28,MATCH(P217,RATES!$A$6:$A$28,0)),0)</f>
        <v>35.3375</v>
      </c>
      <c r="T217" s="61" t="n">
        <f aca="false">IF(ISNUMBER(R217),R217,0)*S217</f>
        <v>5751.178125</v>
      </c>
      <c r="U217" s="61" t="n">
        <f aca="false">T217*INDEX(INPUTS!$H$10:$H$14,MATCH(B217,INPUTS!$A$10:$A$14,0))</f>
        <v>1063.967953125</v>
      </c>
      <c r="V217" s="61" t="n">
        <f aca="false">N(STACK!K217)</f>
        <v>0</v>
      </c>
      <c r="W217" s="61" t="n">
        <f aca="false">T217+U217+V217</f>
        <v>6815.146078125</v>
      </c>
      <c r="X217" s="61" t="n">
        <f aca="false">N(STACK!L217)</f>
        <v>0</v>
      </c>
      <c r="Y217" s="61" t="n">
        <f aca="false">W217-X217</f>
        <v>6815.146078125</v>
      </c>
      <c r="Z217" s="1" t="n">
        <f aca="false">N(STACK!J217)</f>
        <v>0</v>
      </c>
      <c r="AA217" s="1" t="str">
        <f aca="false">TRIM(IF(D217="UNMAPPED","Program not mapped. ","")&amp;IF(OR(K217="UNMAPPED",K217="UNASSIGNED"),"Category needs review. ","")&amp;IF(P217="UNMAPPED","Title not mapped. ","")&amp;IF(AND(P217&lt;&gt;"No staff time",R217=""),"Missing hours. ","")&amp;IF(M217="","Date not readable. ","")&amp;IF(N217="No","Outside fiscal year. ","")&amp;IF(AND(F217="Event",ISNUMBER(R217)),IF(R217&gt;12,"Event hours look high. ",""),"")&amp;IF(G217&gt;0,"See CONFIRM sheet.",""))</f>
        <v/>
      </c>
      <c r="AB217" s="1" t="n">
        <f aca="false">IF(N217="No",0,IF(REVIEW!O217=0,0,IF(G217&gt;0,IF(INDEX(CONFIRM!$J$5:$J$53,G217)&lt;&gt;"",INDEX(CONFIRM!$J$5:$J$53,G217),1),1)))</f>
        <v>1</v>
      </c>
      <c r="AC217" s="1" t="n">
        <f aca="false">IF(AB217=1,IF(COUNTIFS($B$5:B217,B217,$D$5:D217,D217,$AB$5:AB217,1)=1,1,0),0)</f>
        <v>0</v>
      </c>
    </row>
    <row r="218" customFormat="false" ht="15" hidden="false" customHeight="false" outlineLevel="0" collapsed="false">
      <c r="A218" s="48" t="str">
        <f aca="false">STACK!A218</f>
        <v>KVMC-0214</v>
      </c>
      <c r="B218" s="48" t="str">
        <f aca="false">STACK!B218</f>
        <v>KVMC</v>
      </c>
      <c r="C218" s="48" t="str">
        <f aca="false">STACK!E218</f>
        <v>Family Medicine Residency Program</v>
      </c>
      <c r="D218" s="1" t="str">
        <f aca="false">IFERROR(INDEX(MAP!$J$7:$J$101,MATCH(TRIM(C218),MAP!$I$7:$I$101,0)),"UNMAPPED")</f>
        <v>Family Medicine Residency Program</v>
      </c>
      <c r="E218" s="1" t="str">
        <f aca="false">IFERROR(INDEX(MAP!$K$7:$K$101,MATCH(TRIM(C218),MAP!$I$7:$I$101,0)),"")</f>
        <v>Health workforce</v>
      </c>
      <c r="F218" s="1" t="str">
        <f aca="false">IFERROR(INDEX(MAP!$L$7:$L$101,MATCH(TRIM(C218),MAP!$I$7:$I$101,0)),"")</f>
        <v>Monthly</v>
      </c>
      <c r="G218" s="1" t="n">
        <f aca="false">IFERROR(MATCH(A218,CONFIRM!$A$5:$A$53,0),0)</f>
        <v>0</v>
      </c>
      <c r="H218" s="48" t="str">
        <f aca="false">STACK!F218</f>
        <v>Health Professions Education</v>
      </c>
      <c r="I218" s="1" t="str">
        <f aca="false">IF(G218&gt;0,IF(INDEX(CONFIRM!$I$5:$I$53,G218)&lt;&gt;"",INDEX(CONFIRM!$I$5:$I$53,G218),H218),H218)</f>
        <v>Health Professions Education</v>
      </c>
      <c r="J218" s="1" t="str">
        <f aca="false">IFERROR(INDEX(MAP!$F$7:$F$74,MATCH(TRIM(I218),MAP!$E$7:$E$74,0)),"UNMAPPED")</f>
        <v>Health professions education</v>
      </c>
      <c r="K218" s="1" t="str">
        <f aca="false">IFERROR(INDEX(MAP!$G$7:$G$74,MATCH(TRIM(I218),MAP!$E$7:$E$74,0)),"UNMAPPED")</f>
        <v>7f</v>
      </c>
      <c r="L218" s="49" t="n">
        <f aca="false">STACK!G218</f>
        <v>45991</v>
      </c>
      <c r="M218" s="59" t="n">
        <f aca="false">IF(G218&gt;0,IF(INDEX(CONFIRM!$G$5:$G$53,G218)&lt;&gt;"",INDEX(CONFIRM!$G$5:$G$53,G218),IF(ISNUMBER(L218),L218,IFERROR(DATEVALUE(L218),""))),IF(ISNUMBER(L218),L218,IFERROR(DATEVALUE(L218),"")))</f>
        <v>45991</v>
      </c>
      <c r="N218" s="1" t="str">
        <f aca="false">IF(M218="","Check",IF(AND(M218&gt;=INPUTS!$C$6,M218&lt;=INPUTS!$C$7),"Yes","No"))</f>
        <v>Yes</v>
      </c>
      <c r="O218" s="48" t="str">
        <f aca="false">STACK!H218</f>
        <v>Resident</v>
      </c>
      <c r="P218" s="1" t="str">
        <f aca="false">IF(G218&gt;0,IF(INDEX(CONFIRM!$H$5:$H$53,G218)&lt;&gt;"",INDEX(CONFIRM!$H$5:$H$53,G218),IFERROR(INDEX(MAP!$B$7:$B$156,MATCH(TRIM(O218),MAP!$A$7:$A$156,0)),"UNMAPPED")),IFERROR(INDEX(MAP!$B$7:$B$156,MATCH(TRIM(O218),MAP!$A$7:$A$156,0)),"UNMAPPED"))</f>
        <v>Resident Physician</v>
      </c>
      <c r="Q218" s="48" t="n">
        <f aca="false">STACK!I218</f>
        <v>4019.75</v>
      </c>
      <c r="R218" s="60" t="n">
        <f aca="false">IF(G218&gt;0,IF(INDEX(CONFIRM!$F$5:$F$53,G218)&lt;&gt;"",INDEX(CONFIRM!$F$5:$F$53,G218),IF(ISNUMBER(Q218),Q218,IF(Q218="","",IFERROR(VALUE(TRIM(SUBSTITUTE(SUBSTITUTE(LOWER(Q218),"hrs",""),"hr",""))),"")))),IF(ISNUMBER(Q218),Q218,IF(Q218="","",IFERROR(VALUE(TRIM(SUBSTITUTE(SUBSTITUTE(LOWER(Q218),"hrs",""),"hr",""))),""))))</f>
        <v>4019.75</v>
      </c>
      <c r="S218" s="57" t="n">
        <f aca="false">IFERROR(INDEX(RATES!$E$6:$E$28,MATCH(P218,RATES!$A$6:$A$28,0)),0)</f>
        <v>38.43</v>
      </c>
      <c r="T218" s="61" t="n">
        <f aca="false">IF(ISNUMBER(R218),R218,0)*S218</f>
        <v>154478.9925</v>
      </c>
      <c r="U218" s="61" t="n">
        <f aca="false">T218*INDEX(INPUTS!$H$10:$H$14,MATCH(B218,INPUTS!$A$10:$A$14,0))</f>
        <v>28578.6136125</v>
      </c>
      <c r="V218" s="61" t="n">
        <f aca="false">N(STACK!K218)</f>
        <v>0</v>
      </c>
      <c r="W218" s="61" t="n">
        <f aca="false">T218+U218+V218</f>
        <v>183057.6061125</v>
      </c>
      <c r="X218" s="61" t="n">
        <f aca="false">N(STACK!L218)</f>
        <v>0</v>
      </c>
      <c r="Y218" s="61" t="n">
        <f aca="false">W218-X218</f>
        <v>183057.6061125</v>
      </c>
      <c r="Z218" s="1" t="n">
        <f aca="false">N(STACK!J218)</f>
        <v>0</v>
      </c>
      <c r="AA218" s="1" t="str">
        <f aca="false">TRIM(IF(D218="UNMAPPED","Program not mapped. ","")&amp;IF(OR(K218="UNMAPPED",K218="UNASSIGNED"),"Category needs review. ","")&amp;IF(P218="UNMAPPED","Title not mapped. ","")&amp;IF(AND(P218&lt;&gt;"No staff time",R218=""),"Missing hours. ","")&amp;IF(M218="","Date not readable. ","")&amp;IF(N218="No","Outside fiscal year. ","")&amp;IF(AND(F218="Event",ISNUMBER(R218)),IF(R218&gt;12,"Event hours look high. ",""),"")&amp;IF(G218&gt;0,"See CONFIRM sheet.",""))</f>
        <v/>
      </c>
      <c r="AB218" s="1" t="n">
        <f aca="false">IF(N218="No",0,IF(REVIEW!O218=0,0,IF(G218&gt;0,IF(INDEX(CONFIRM!$J$5:$J$53,G218)&lt;&gt;"",INDEX(CONFIRM!$J$5:$J$53,G218),1),1)))</f>
        <v>1</v>
      </c>
      <c r="AC218" s="1" t="n">
        <f aca="false">IF(AB218=1,IF(COUNTIFS($B$5:B218,B218,$D$5:D218,D218,$AB$5:AB218,1)=1,1,0),0)</f>
        <v>0</v>
      </c>
    </row>
    <row r="219" customFormat="false" ht="15" hidden="false" customHeight="false" outlineLevel="0" collapsed="false">
      <c r="A219" s="48" t="str">
        <f aca="false">STACK!A219</f>
        <v>KVMC-0215</v>
      </c>
      <c r="B219" s="48" t="str">
        <f aca="false">STACK!B219</f>
        <v>KVMC</v>
      </c>
      <c r="C219" s="48" t="str">
        <f aca="false">STACK!E219</f>
        <v>Pharmacy Student Rotations</v>
      </c>
      <c r="D219" s="1" t="str">
        <f aca="false">IFERROR(INDEX(MAP!$J$7:$J$101,MATCH(TRIM(C219),MAP!$I$7:$I$101,0)),"UNMAPPED")</f>
        <v>Pharmacy Student Rotations</v>
      </c>
      <c r="E219" s="1" t="str">
        <f aca="false">IFERROR(INDEX(MAP!$K$7:$K$101,MATCH(TRIM(C219),MAP!$I$7:$I$101,0)),"")</f>
        <v>Health workforce</v>
      </c>
      <c r="F219" s="1" t="str">
        <f aca="false">IFERROR(INDEX(MAP!$L$7:$L$101,MATCH(TRIM(C219),MAP!$I$7:$I$101,0)),"")</f>
        <v>Monthly</v>
      </c>
      <c r="G219" s="1" t="n">
        <f aca="false">IFERROR(MATCH(A219,CONFIRM!$A$5:$A$53,0),0)</f>
        <v>0</v>
      </c>
      <c r="H219" s="48" t="str">
        <f aca="false">STACK!F219</f>
        <v>Health Professions Education</v>
      </c>
      <c r="I219" s="1" t="str">
        <f aca="false">IF(G219&gt;0,IF(INDEX(CONFIRM!$I$5:$I$53,G219)&lt;&gt;"",INDEX(CONFIRM!$I$5:$I$53,G219),H219),H219)</f>
        <v>Health Professions Education</v>
      </c>
      <c r="J219" s="1" t="str">
        <f aca="false">IFERROR(INDEX(MAP!$F$7:$F$74,MATCH(TRIM(I219),MAP!$E$7:$E$74,0)),"UNMAPPED")</f>
        <v>Health professions education</v>
      </c>
      <c r="K219" s="1" t="str">
        <f aca="false">IFERROR(INDEX(MAP!$G$7:$G$74,MATCH(TRIM(I219),MAP!$E$7:$E$74,0)),"UNMAPPED")</f>
        <v>7f</v>
      </c>
      <c r="L219" s="49" t="n">
        <f aca="false">STACK!G219</f>
        <v>45991</v>
      </c>
      <c r="M219" s="59" t="n">
        <f aca="false">IF(G219&gt;0,IF(INDEX(CONFIRM!$G$5:$G$53,G219)&lt;&gt;"",INDEX(CONFIRM!$G$5:$G$53,G219),IF(ISNUMBER(L219),L219,IFERROR(DATEVALUE(L219),""))),IF(ISNUMBER(L219),L219,IFERROR(DATEVALUE(L219),"")))</f>
        <v>45991</v>
      </c>
      <c r="N219" s="1" t="str">
        <f aca="false">IF(M219="","Check",IF(AND(M219&gt;=INPUTS!$C$6,M219&lt;=INPUTS!$C$7),"Yes","No"))</f>
        <v>Yes</v>
      </c>
      <c r="O219" s="48" t="str">
        <f aca="false">STACK!H219</f>
        <v>Pharm.D.</v>
      </c>
      <c r="P219" s="1" t="str">
        <f aca="false">IF(G219&gt;0,IF(INDEX(CONFIRM!$H$5:$H$53,G219)&lt;&gt;"",INDEX(CONFIRM!$H$5:$H$53,G219),IFERROR(INDEX(MAP!$B$7:$B$156,MATCH(TRIM(O219),MAP!$A$7:$A$156,0)),"UNMAPPED")),IFERROR(INDEX(MAP!$B$7:$B$156,MATCH(TRIM(O219),MAP!$A$7:$A$156,0)),"UNMAPPED"))</f>
        <v>Pharmacist</v>
      </c>
      <c r="Q219" s="48" t="n">
        <f aca="false">STACK!I219</f>
        <v>81.75</v>
      </c>
      <c r="R219" s="60" t="n">
        <f aca="false">IF(G219&gt;0,IF(INDEX(CONFIRM!$F$5:$F$53,G219)&lt;&gt;"",INDEX(CONFIRM!$F$5:$F$53,G219),IF(ISNUMBER(Q219),Q219,IF(Q219="","",IFERROR(VALUE(TRIM(SUBSTITUTE(SUBSTITUTE(LOWER(Q219),"hrs",""),"hr",""))),"")))),IF(ISNUMBER(Q219),Q219,IF(Q219="","",IFERROR(VALUE(TRIM(SUBSTITUTE(SUBSTITUTE(LOWER(Q219),"hrs",""),"hr",""))),""))))</f>
        <v>81.75</v>
      </c>
      <c r="S219" s="57" t="n">
        <f aca="false">IFERROR(INDEX(RATES!$E$6:$E$28,MATCH(P219,RATES!$A$6:$A$28,0)),0)</f>
        <v>84.81</v>
      </c>
      <c r="T219" s="61" t="n">
        <f aca="false">IF(ISNUMBER(R219),R219,0)*S219</f>
        <v>6933.2175</v>
      </c>
      <c r="U219" s="61" t="n">
        <f aca="false">T219*INDEX(INPUTS!$H$10:$H$14,MATCH(B219,INPUTS!$A$10:$A$14,0))</f>
        <v>1282.6452375</v>
      </c>
      <c r="V219" s="61" t="n">
        <f aca="false">N(STACK!K219)</f>
        <v>95</v>
      </c>
      <c r="W219" s="61" t="n">
        <f aca="false">T219+U219+V219</f>
        <v>8310.8627375</v>
      </c>
      <c r="X219" s="61" t="n">
        <f aca="false">N(STACK!L219)</f>
        <v>0</v>
      </c>
      <c r="Y219" s="61" t="n">
        <f aca="false">W219-X219</f>
        <v>8310.8627375</v>
      </c>
      <c r="Z219" s="1" t="n">
        <f aca="false">N(STACK!J219)</f>
        <v>3</v>
      </c>
      <c r="AA219" s="1" t="str">
        <f aca="false">TRIM(IF(D219="UNMAPPED","Program not mapped. ","")&amp;IF(OR(K219="UNMAPPED",K219="UNASSIGNED"),"Category needs review. ","")&amp;IF(P219="UNMAPPED","Title not mapped. ","")&amp;IF(AND(P219&lt;&gt;"No staff time",R219=""),"Missing hours. ","")&amp;IF(M219="","Date not readable. ","")&amp;IF(N219="No","Outside fiscal year. ","")&amp;IF(AND(F219="Event",ISNUMBER(R219)),IF(R219&gt;12,"Event hours look high. ",""),"")&amp;IF(G219&gt;0,"See CONFIRM sheet.",""))</f>
        <v/>
      </c>
      <c r="AB219" s="1" t="n">
        <f aca="false">IF(N219="No",0,IF(REVIEW!O219=0,0,IF(G219&gt;0,IF(INDEX(CONFIRM!$J$5:$J$53,G219)&lt;&gt;"",INDEX(CONFIRM!$J$5:$J$53,G219),1),1)))</f>
        <v>1</v>
      </c>
      <c r="AC219" s="1" t="n">
        <f aca="false">IF(AB219=1,IF(COUNTIFS($B$5:B219,B219,$D$5:D219,D219,$AB$5:AB219,1)=1,1,0),0)</f>
        <v>0</v>
      </c>
    </row>
    <row r="220" customFormat="false" ht="15" hidden="false" customHeight="false" outlineLevel="0" collapsed="false">
      <c r="A220" s="48" t="str">
        <f aca="false">STACK!A220</f>
        <v>KVMC-0216</v>
      </c>
      <c r="B220" s="48" t="str">
        <f aca="false">STACK!B220</f>
        <v>KVMC</v>
      </c>
      <c r="C220" s="48" t="str">
        <f aca="false">STACK!E220</f>
        <v>Community Hypertension Control Study</v>
      </c>
      <c r="D220" s="1" t="str">
        <f aca="false">IFERROR(INDEX(MAP!$J$7:$J$101,MATCH(TRIM(C220),MAP!$I$7:$I$101,0)),"UNMAPPED")</f>
        <v>Community Hypertension Control Study</v>
      </c>
      <c r="E220" s="1" t="str">
        <f aca="false">IFERROR(INDEX(MAP!$K$7:$K$101,MATCH(TRIM(C220),MAP!$I$7:$I$101,0)),"")</f>
        <v>Chronic disease prevention</v>
      </c>
      <c r="F220" s="1" t="str">
        <f aca="false">IFERROR(INDEX(MAP!$L$7:$L$101,MATCH(TRIM(C220),MAP!$I$7:$I$101,0)),"")</f>
        <v>Monthly</v>
      </c>
      <c r="G220" s="1" t="n">
        <f aca="false">IFERROR(MATCH(A220,CONFIRM!$A$5:$A$53,0),0)</f>
        <v>0</v>
      </c>
      <c r="H220" s="48" t="str">
        <f aca="false">STACK!F220</f>
        <v>Research</v>
      </c>
      <c r="I220" s="1" t="str">
        <f aca="false">IF(G220&gt;0,IF(INDEX(CONFIRM!$I$5:$I$53,G220)&lt;&gt;"",INDEX(CONFIRM!$I$5:$I$53,G220),H220),H220)</f>
        <v>Research</v>
      </c>
      <c r="J220" s="1" t="str">
        <f aca="false">IFERROR(INDEX(MAP!$F$7:$F$74,MATCH(TRIM(I220),MAP!$E$7:$E$74,0)),"UNMAPPED")</f>
        <v>Research</v>
      </c>
      <c r="K220" s="1" t="str">
        <f aca="false">IFERROR(INDEX(MAP!$G$7:$G$74,MATCH(TRIM(I220),MAP!$E$7:$E$74,0)),"UNMAPPED")</f>
        <v>7h</v>
      </c>
      <c r="L220" s="49" t="n">
        <f aca="false">STACK!G220</f>
        <v>45991</v>
      </c>
      <c r="M220" s="59" t="n">
        <f aca="false">IF(G220&gt;0,IF(INDEX(CONFIRM!$G$5:$G$53,G220)&lt;&gt;"",INDEX(CONFIRM!$G$5:$G$53,G220),IF(ISNUMBER(L220),L220,IFERROR(DATEVALUE(L220),""))),IF(ISNUMBER(L220),L220,IFERROR(DATEVALUE(L220),"")))</f>
        <v>45991</v>
      </c>
      <c r="N220" s="1" t="str">
        <f aca="false">IF(M220="","Check",IF(AND(M220&gt;=INPUTS!$C$6,M220&lt;=INPUTS!$C$7),"Yes","No"))</f>
        <v>Yes</v>
      </c>
      <c r="O220" s="48" t="str">
        <f aca="false">STACK!H220</f>
        <v>Analyst</v>
      </c>
      <c r="P220" s="1" t="str">
        <f aca="false">IF(G220&gt;0,IF(INDEX(CONFIRM!$H$5:$H$53,G220)&lt;&gt;"",INDEX(CONFIRM!$H$5:$H$53,G220),IFERROR(INDEX(MAP!$B$7:$B$156,MATCH(TRIM(O220),MAP!$A$7:$A$156,0)),"UNMAPPED")),IFERROR(INDEX(MAP!$B$7:$B$156,MATCH(TRIM(O220),MAP!$A$7:$A$156,0)),"UNMAPPED"))</f>
        <v>Data Analyst</v>
      </c>
      <c r="Q220" s="48" t="n">
        <f aca="false">STACK!I220</f>
        <v>40.25</v>
      </c>
      <c r="R220" s="60" t="n">
        <f aca="false">IF(G220&gt;0,IF(INDEX(CONFIRM!$F$5:$F$53,G220)&lt;&gt;"",INDEX(CONFIRM!$F$5:$F$53,G220),IF(ISNUMBER(Q220),Q220,IF(Q220="","",IFERROR(VALUE(TRIM(SUBSTITUTE(SUBSTITUTE(LOWER(Q220),"hrs",""),"hr",""))),"")))),IF(ISNUMBER(Q220),Q220,IF(Q220="","",IFERROR(VALUE(TRIM(SUBSTITUTE(SUBSTITUTE(LOWER(Q220),"hrs",""),"hr",""))),""))))</f>
        <v>40.25</v>
      </c>
      <c r="S220" s="57" t="n">
        <f aca="false">IFERROR(INDEX(RATES!$E$6:$E$28,MATCH(P220,RATES!$A$6:$A$28,0)),0)</f>
        <v>48.83</v>
      </c>
      <c r="T220" s="61" t="n">
        <f aca="false">IF(ISNUMBER(R220),R220,0)*S220</f>
        <v>1965.4075</v>
      </c>
      <c r="U220" s="61" t="n">
        <f aca="false">T220*INDEX(INPUTS!$H$10:$H$14,MATCH(B220,INPUTS!$A$10:$A$14,0))</f>
        <v>363.6003875</v>
      </c>
      <c r="V220" s="61" t="n">
        <f aca="false">N(STACK!K220)</f>
        <v>0</v>
      </c>
      <c r="W220" s="61" t="n">
        <f aca="false">T220+U220+V220</f>
        <v>2329.0078875</v>
      </c>
      <c r="X220" s="61" t="n">
        <f aca="false">N(STACK!L220)</f>
        <v>0</v>
      </c>
      <c r="Y220" s="61" t="n">
        <f aca="false">W220-X220</f>
        <v>2329.0078875</v>
      </c>
      <c r="Z220" s="1" t="n">
        <f aca="false">N(STACK!J220)</f>
        <v>0</v>
      </c>
      <c r="AA220" s="1" t="str">
        <f aca="false">TRIM(IF(D220="UNMAPPED","Program not mapped. ","")&amp;IF(OR(K220="UNMAPPED",K220="UNASSIGNED"),"Category needs review. ","")&amp;IF(P220="UNMAPPED","Title not mapped. ","")&amp;IF(AND(P220&lt;&gt;"No staff time",R220=""),"Missing hours. ","")&amp;IF(M220="","Date not readable. ","")&amp;IF(N220="No","Outside fiscal year. ","")&amp;IF(AND(F220="Event",ISNUMBER(R220)),IF(R220&gt;12,"Event hours look high. ",""),"")&amp;IF(G220&gt;0,"See CONFIRM sheet.",""))</f>
        <v/>
      </c>
      <c r="AB220" s="1" t="n">
        <f aca="false">IF(N220="No",0,IF(REVIEW!O220=0,0,IF(G220&gt;0,IF(INDEX(CONFIRM!$J$5:$J$53,G220)&lt;&gt;"",INDEX(CONFIRM!$J$5:$J$53,G220),1),1)))</f>
        <v>1</v>
      </c>
      <c r="AC220" s="1" t="n">
        <f aca="false">IF(AB220=1,IF(COUNTIFS($B$5:B220,B220,$D$5:D220,D220,$AB$5:AB220,1)=1,1,0),0)</f>
        <v>0</v>
      </c>
    </row>
    <row r="221" customFormat="false" ht="15" hidden="false" customHeight="false" outlineLevel="0" collapsed="false">
      <c r="A221" s="48" t="str">
        <f aca="false">STACK!A221</f>
        <v>KVMC-0217</v>
      </c>
      <c r="B221" s="48" t="str">
        <f aca="false">STACK!B221</f>
        <v>KVMC</v>
      </c>
      <c r="C221" s="48" t="str">
        <f aca="false">STACK!E221</f>
        <v>Community Hypertension Control Study</v>
      </c>
      <c r="D221" s="1" t="str">
        <f aca="false">IFERROR(INDEX(MAP!$J$7:$J$101,MATCH(TRIM(C221),MAP!$I$7:$I$101,0)),"UNMAPPED")</f>
        <v>Community Hypertension Control Study</v>
      </c>
      <c r="E221" s="1" t="str">
        <f aca="false">IFERROR(INDEX(MAP!$K$7:$K$101,MATCH(TRIM(C221),MAP!$I$7:$I$101,0)),"")</f>
        <v>Chronic disease prevention</v>
      </c>
      <c r="F221" s="1" t="str">
        <f aca="false">IFERROR(INDEX(MAP!$L$7:$L$101,MATCH(TRIM(C221),MAP!$I$7:$I$101,0)),"")</f>
        <v>Monthly</v>
      </c>
      <c r="G221" s="1" t="n">
        <f aca="false">IFERROR(MATCH(A221,CONFIRM!$A$5:$A$53,0),0)</f>
        <v>0</v>
      </c>
      <c r="H221" s="48" t="str">
        <f aca="false">STACK!F221</f>
        <v>Research</v>
      </c>
      <c r="I221" s="1" t="str">
        <f aca="false">IF(G221&gt;0,IF(INDEX(CONFIRM!$I$5:$I$53,G221)&lt;&gt;"",INDEX(CONFIRM!$I$5:$I$53,G221),H221),H221)</f>
        <v>Research</v>
      </c>
      <c r="J221" s="1" t="str">
        <f aca="false">IFERROR(INDEX(MAP!$F$7:$F$74,MATCH(TRIM(I221),MAP!$E$7:$E$74,0)),"UNMAPPED")</f>
        <v>Research</v>
      </c>
      <c r="K221" s="1" t="str">
        <f aca="false">IFERROR(INDEX(MAP!$G$7:$G$74,MATCH(TRIM(I221),MAP!$E$7:$E$74,0)),"UNMAPPED")</f>
        <v>7h</v>
      </c>
      <c r="L221" s="49" t="n">
        <f aca="false">STACK!G221</f>
        <v>45991</v>
      </c>
      <c r="M221" s="59" t="n">
        <f aca="false">IF(G221&gt;0,IF(INDEX(CONFIRM!$G$5:$G$53,G221)&lt;&gt;"",INDEX(CONFIRM!$G$5:$G$53,G221),IF(ISNUMBER(L221),L221,IFERROR(DATEVALUE(L221),""))),IF(ISNUMBER(L221),L221,IFERROR(DATEVALUE(L221),"")))</f>
        <v>45991</v>
      </c>
      <c r="N221" s="1" t="str">
        <f aca="false">IF(M221="","Check",IF(AND(M221&gt;=INPUTS!$C$6,M221&lt;=INPUTS!$C$7),"Yes","No"))</f>
        <v>Yes</v>
      </c>
      <c r="O221" s="48" t="str">
        <f aca="false">STACK!H221</f>
        <v>M.D.</v>
      </c>
      <c r="P221" s="1" t="str">
        <f aca="false">IF(G221&gt;0,IF(INDEX(CONFIRM!$H$5:$H$53,G221)&lt;&gt;"",INDEX(CONFIRM!$H$5:$H$53,G221),IFERROR(INDEX(MAP!$B$7:$B$156,MATCH(TRIM(O221),MAP!$A$7:$A$156,0)),"UNMAPPED")),IFERROR(INDEX(MAP!$B$7:$B$156,MATCH(TRIM(O221),MAP!$A$7:$A$156,0)),"UNMAPPED"))</f>
        <v>Physician</v>
      </c>
      <c r="Q221" s="48" t="n">
        <f aca="false">STACK!I221</f>
        <v>16</v>
      </c>
      <c r="R221" s="60" t="n">
        <f aca="false">IF(G221&gt;0,IF(INDEX(CONFIRM!$F$5:$F$53,G221)&lt;&gt;"",INDEX(CONFIRM!$F$5:$F$53,G221),IF(ISNUMBER(Q221),Q221,IF(Q221="","",IFERROR(VALUE(TRIM(SUBSTITUTE(SUBSTITUTE(LOWER(Q221),"hrs",""),"hr",""))),"")))),IF(ISNUMBER(Q221),Q221,IF(Q221="","",IFERROR(VALUE(TRIM(SUBSTITUTE(SUBSTITUTE(LOWER(Q221),"hrs",""),"hr",""))),""))))</f>
        <v>16</v>
      </c>
      <c r="S221" s="57" t="n">
        <f aca="false">IFERROR(INDEX(RATES!$E$6:$E$28,MATCH(P221,RATES!$A$6:$A$28,0)),0)</f>
        <v>151.63</v>
      </c>
      <c r="T221" s="61" t="n">
        <f aca="false">IF(ISNUMBER(R221),R221,0)*S221</f>
        <v>2426.08</v>
      </c>
      <c r="U221" s="61" t="n">
        <f aca="false">T221*INDEX(INPUTS!$H$10:$H$14,MATCH(B221,INPUTS!$A$10:$A$14,0))</f>
        <v>448.8248</v>
      </c>
      <c r="V221" s="61" t="n">
        <f aca="false">N(STACK!K221)</f>
        <v>0</v>
      </c>
      <c r="W221" s="61" t="n">
        <f aca="false">T221+U221+V221</f>
        <v>2874.9048</v>
      </c>
      <c r="X221" s="61" t="n">
        <f aca="false">N(STACK!L221)</f>
        <v>0</v>
      </c>
      <c r="Y221" s="61" t="n">
        <f aca="false">W221-X221</f>
        <v>2874.9048</v>
      </c>
      <c r="Z221" s="1" t="n">
        <f aca="false">N(STACK!J221)</f>
        <v>0</v>
      </c>
      <c r="AA221" s="1" t="str">
        <f aca="false">TRIM(IF(D221="UNMAPPED","Program not mapped. ","")&amp;IF(OR(K221="UNMAPPED",K221="UNASSIGNED"),"Category needs review. ","")&amp;IF(P221="UNMAPPED","Title not mapped. ","")&amp;IF(AND(P221&lt;&gt;"No staff time",R221=""),"Missing hours. ","")&amp;IF(M221="","Date not readable. ","")&amp;IF(N221="No","Outside fiscal year. ","")&amp;IF(AND(F221="Event",ISNUMBER(R221)),IF(R221&gt;12,"Event hours look high. ",""),"")&amp;IF(G221&gt;0,"See CONFIRM sheet.",""))</f>
        <v/>
      </c>
      <c r="AB221" s="1" t="n">
        <f aca="false">IF(N221="No",0,IF(REVIEW!O221=0,0,IF(G221&gt;0,IF(INDEX(CONFIRM!$J$5:$J$53,G221)&lt;&gt;"",INDEX(CONFIRM!$J$5:$J$53,G221),1),1)))</f>
        <v>1</v>
      </c>
      <c r="AC221" s="1" t="n">
        <f aca="false">IF(AB221=1,IF(COUNTIFS($B$5:B221,B221,$D$5:D221,D221,$AB$5:AB221,1)=1,1,0),0)</f>
        <v>0</v>
      </c>
    </row>
    <row r="222" customFormat="false" ht="15" hidden="false" customHeight="false" outlineLevel="0" collapsed="false">
      <c r="A222" s="48" t="str">
        <f aca="false">STACK!A222</f>
        <v>KVMC-0218</v>
      </c>
      <c r="B222" s="48" t="str">
        <f aca="false">STACK!B222</f>
        <v>KVMC</v>
      </c>
      <c r="C222" s="48" t="str">
        <f aca="false">STACK!E222</f>
        <v>Community Hypertension Control Study</v>
      </c>
      <c r="D222" s="1" t="str">
        <f aca="false">IFERROR(INDEX(MAP!$J$7:$J$101,MATCH(TRIM(C222),MAP!$I$7:$I$101,0)),"UNMAPPED")</f>
        <v>Community Hypertension Control Study</v>
      </c>
      <c r="E222" s="1" t="str">
        <f aca="false">IFERROR(INDEX(MAP!$K$7:$K$101,MATCH(TRIM(C222),MAP!$I$7:$I$101,0)),"")</f>
        <v>Chronic disease prevention</v>
      </c>
      <c r="F222" s="1" t="str">
        <f aca="false">IFERROR(INDEX(MAP!$L$7:$L$101,MATCH(TRIM(C222),MAP!$I$7:$I$101,0)),"")</f>
        <v>Monthly</v>
      </c>
      <c r="G222" s="1" t="n">
        <f aca="false">IFERROR(MATCH(A222,CONFIRM!$A$5:$A$53,0),0)</f>
        <v>0</v>
      </c>
      <c r="H222" s="48" t="str">
        <f aca="false">STACK!F222</f>
        <v>Research</v>
      </c>
      <c r="I222" s="1" t="str">
        <f aca="false">IF(G222&gt;0,IF(INDEX(CONFIRM!$I$5:$I$53,G222)&lt;&gt;"",INDEX(CONFIRM!$I$5:$I$53,G222),H222),H222)</f>
        <v>Research</v>
      </c>
      <c r="J222" s="1" t="str">
        <f aca="false">IFERROR(INDEX(MAP!$F$7:$F$74,MATCH(TRIM(I222),MAP!$E$7:$E$74,0)),"UNMAPPED")</f>
        <v>Research</v>
      </c>
      <c r="K222" s="1" t="str">
        <f aca="false">IFERROR(INDEX(MAP!$G$7:$G$74,MATCH(TRIM(I222),MAP!$E$7:$E$74,0)),"UNMAPPED")</f>
        <v>7h</v>
      </c>
      <c r="L222" s="49" t="n">
        <f aca="false">STACK!G222</f>
        <v>45991</v>
      </c>
      <c r="M222" s="59" t="n">
        <f aca="false">IF(G222&gt;0,IF(INDEX(CONFIRM!$G$5:$G$53,G222)&lt;&gt;"",INDEX(CONFIRM!$G$5:$G$53,G222),IF(ISNUMBER(L222),L222,IFERROR(DATEVALUE(L222),""))),IF(ISNUMBER(L222),L222,IFERROR(DATEVALUE(L222),"")))</f>
        <v>45991</v>
      </c>
      <c r="N222" s="1" t="str">
        <f aca="false">IF(M222="","Check",IF(AND(M222&gt;=INPUTS!$C$6,M222&lt;=INPUTS!$C$7),"Yes","No"))</f>
        <v>Yes</v>
      </c>
      <c r="O222" s="48" t="str">
        <f aca="false">STACK!H222</f>
        <v>CLINICAL RESEARCH COORD</v>
      </c>
      <c r="P222" s="1" t="str">
        <f aca="false">IF(G222&gt;0,IF(INDEX(CONFIRM!$H$5:$H$53,G222)&lt;&gt;"",INDEX(CONFIRM!$H$5:$H$53,G222),IFERROR(INDEX(MAP!$B$7:$B$156,MATCH(TRIM(O222),MAP!$A$7:$A$156,0)),"UNMAPPED")),IFERROR(INDEX(MAP!$B$7:$B$156,MATCH(TRIM(O222),MAP!$A$7:$A$156,0)),"UNMAPPED"))</f>
        <v>Research Coordinator</v>
      </c>
      <c r="Q222" s="48" t="n">
        <f aca="false">STACK!I222</f>
        <v>181.75</v>
      </c>
      <c r="R222" s="60" t="n">
        <f aca="false">IF(G222&gt;0,IF(INDEX(CONFIRM!$F$5:$F$53,G222)&lt;&gt;"",INDEX(CONFIRM!$F$5:$F$53,G222),IF(ISNUMBER(Q222),Q222,IF(Q222="","",IFERROR(VALUE(TRIM(SUBSTITUTE(SUBSTITUTE(LOWER(Q222),"hrs",""),"hr",""))),"")))),IF(ISNUMBER(Q222),Q222,IF(Q222="","",IFERROR(VALUE(TRIM(SUBSTITUTE(SUBSTITUTE(LOWER(Q222),"hrs",""),"hr",""))),""))))</f>
        <v>181.75</v>
      </c>
      <c r="S222" s="57" t="n">
        <f aca="false">IFERROR(INDEX(RATES!$E$6:$E$28,MATCH(P222,RATES!$A$6:$A$28,0)),0)</f>
        <v>42.405</v>
      </c>
      <c r="T222" s="61" t="n">
        <f aca="false">IF(ISNUMBER(R222),R222,0)*S222</f>
        <v>7707.10875</v>
      </c>
      <c r="U222" s="61" t="n">
        <f aca="false">T222*INDEX(INPUTS!$H$10:$H$14,MATCH(B222,INPUTS!$A$10:$A$14,0))</f>
        <v>1425.81511875</v>
      </c>
      <c r="V222" s="61" t="n">
        <f aca="false">N(STACK!K222)</f>
        <v>9320</v>
      </c>
      <c r="W222" s="61" t="n">
        <f aca="false">T222+U222+V222</f>
        <v>18452.92386875</v>
      </c>
      <c r="X222" s="61" t="n">
        <f aca="false">N(STACK!L222)</f>
        <v>10395</v>
      </c>
      <c r="Y222" s="61" t="n">
        <f aca="false">W222-X222</f>
        <v>8057.92386875</v>
      </c>
      <c r="Z222" s="1" t="n">
        <f aca="false">N(STACK!J222)</f>
        <v>94</v>
      </c>
      <c r="AA222" s="1" t="str">
        <f aca="false">TRIM(IF(D222="UNMAPPED","Program not mapped. ","")&amp;IF(OR(K222="UNMAPPED",K222="UNASSIGNED"),"Category needs review. ","")&amp;IF(P222="UNMAPPED","Title not mapped. ","")&amp;IF(AND(P222&lt;&gt;"No staff time",R222=""),"Missing hours. ","")&amp;IF(M222="","Date not readable. ","")&amp;IF(N222="No","Outside fiscal year. ","")&amp;IF(AND(F222="Event",ISNUMBER(R222)),IF(R222&gt;12,"Event hours look high. ",""),"")&amp;IF(G222&gt;0,"See CONFIRM sheet.",""))</f>
        <v/>
      </c>
      <c r="AB222" s="1" t="n">
        <f aca="false">IF(N222="No",0,IF(REVIEW!O222=0,0,IF(G222&gt;0,IF(INDEX(CONFIRM!$J$5:$J$53,G222)&lt;&gt;"",INDEX(CONFIRM!$J$5:$J$53,G222),1),1)))</f>
        <v>1</v>
      </c>
      <c r="AC222" s="1" t="n">
        <f aca="false">IF(AB222=1,IF(COUNTIFS($B$5:B222,B222,$D$5:D222,D222,$AB$5:AB222,1)=1,1,0),0)</f>
        <v>0</v>
      </c>
    </row>
    <row r="223" customFormat="false" ht="15" hidden="false" customHeight="false" outlineLevel="0" collapsed="false">
      <c r="A223" s="48" t="str">
        <f aca="false">STACK!A223</f>
        <v>KVMC-0219</v>
      </c>
      <c r="B223" s="48" t="str">
        <f aca="false">STACK!B223</f>
        <v>KVMC</v>
      </c>
      <c r="C223" s="48" t="str">
        <f aca="false">STACK!E223</f>
        <v>Diabetes Prevention Classes</v>
      </c>
      <c r="D223" s="1" t="str">
        <f aca="false">IFERROR(INDEX(MAP!$J$7:$J$101,MATCH(TRIM(C223),MAP!$I$7:$I$101,0)),"UNMAPPED")</f>
        <v>Diabetes Prevention Classes</v>
      </c>
      <c r="E223" s="1" t="str">
        <f aca="false">IFERROR(INDEX(MAP!$K$7:$K$101,MATCH(TRIM(C223),MAP!$I$7:$I$101,0)),"")</f>
        <v>Chronic disease prevention</v>
      </c>
      <c r="F223" s="1" t="str">
        <f aca="false">IFERROR(INDEX(MAP!$L$7:$L$101,MATCH(TRIM(C223),MAP!$I$7:$I$101,0)),"")</f>
        <v>Event</v>
      </c>
      <c r="G223" s="1" t="n">
        <f aca="false">IFERROR(MATCH(A223,CONFIRM!$A$5:$A$53,0),0)</f>
        <v>0</v>
      </c>
      <c r="H223" s="48" t="str">
        <f aca="false">STACK!F223</f>
        <v>Community Health Education</v>
      </c>
      <c r="I223" s="1" t="str">
        <f aca="false">IF(G223&gt;0,IF(INDEX(CONFIRM!$I$5:$I$53,G223)&lt;&gt;"",INDEX(CONFIRM!$I$5:$I$53,G223),H223),H223)</f>
        <v>Community Health Education</v>
      </c>
      <c r="J223" s="1" t="str">
        <f aca="false">IFERROR(INDEX(MAP!$F$7:$F$74,MATCH(TRIM(I223),MAP!$E$7:$E$74,0)),"UNMAPPED")</f>
        <v>Community health education</v>
      </c>
      <c r="K223" s="1" t="str">
        <f aca="false">IFERROR(INDEX(MAP!$G$7:$G$74,MATCH(TRIM(I223),MAP!$E$7:$E$74,0)),"UNMAPPED")</f>
        <v>7e</v>
      </c>
      <c r="L223" s="49" t="n">
        <f aca="false">STACK!G223</f>
        <v>45992</v>
      </c>
      <c r="M223" s="59" t="n">
        <f aca="false">IF(G223&gt;0,IF(INDEX(CONFIRM!$G$5:$G$53,G223)&lt;&gt;"",INDEX(CONFIRM!$G$5:$G$53,G223),IF(ISNUMBER(L223),L223,IFERROR(DATEVALUE(L223),""))),IF(ISNUMBER(L223),L223,IFERROR(DATEVALUE(L223),"")))</f>
        <v>45992</v>
      </c>
      <c r="N223" s="1" t="str">
        <f aca="false">IF(M223="","Check",IF(AND(M223&gt;=INPUTS!$C$6,M223&lt;=INPUTS!$C$7),"Yes","No"))</f>
        <v>Yes</v>
      </c>
      <c r="O223" s="48" t="str">
        <f aca="false">STACK!H223</f>
        <v>Hlth Educator</v>
      </c>
      <c r="P223" s="1" t="str">
        <f aca="false">IF(G223&gt;0,IF(INDEX(CONFIRM!$H$5:$H$53,G223)&lt;&gt;"",INDEX(CONFIRM!$H$5:$H$53,G223),IFERROR(INDEX(MAP!$B$7:$B$156,MATCH(TRIM(O223),MAP!$A$7:$A$156,0)),"UNMAPPED")),IFERROR(INDEX(MAP!$B$7:$B$156,MATCH(TRIM(O223),MAP!$A$7:$A$156,0)),"UNMAPPED"))</f>
        <v>Health Educator</v>
      </c>
      <c r="Q223" s="48" t="n">
        <f aca="false">STACK!I223</f>
        <v>2.25</v>
      </c>
      <c r="R223" s="60" t="n">
        <f aca="false">IF(G223&gt;0,IF(INDEX(CONFIRM!$F$5:$F$53,G223)&lt;&gt;"",INDEX(CONFIRM!$F$5:$F$53,G223),IF(ISNUMBER(Q223),Q223,IF(Q223="","",IFERROR(VALUE(TRIM(SUBSTITUTE(SUBSTITUTE(LOWER(Q223),"hrs",""),"hr",""))),"")))),IF(ISNUMBER(Q223),Q223,IF(Q223="","",IFERROR(VALUE(TRIM(SUBSTITUTE(SUBSTITUTE(LOWER(Q223),"hrs",""),"hr",""))),""))))</f>
        <v>2.25</v>
      </c>
      <c r="S223" s="57" t="n">
        <f aca="false">IFERROR(INDEX(RATES!$E$6:$E$28,MATCH(P223,RATES!$A$6:$A$28,0)),0)</f>
        <v>37.265</v>
      </c>
      <c r="T223" s="61" t="n">
        <f aca="false">IF(ISNUMBER(R223),R223,0)*S223</f>
        <v>83.84625</v>
      </c>
      <c r="U223" s="61" t="n">
        <f aca="false">T223*INDEX(INPUTS!$H$10:$H$14,MATCH(B223,INPUTS!$A$10:$A$14,0))</f>
        <v>15.51155625</v>
      </c>
      <c r="V223" s="61" t="n">
        <f aca="false">N(STACK!K223)</f>
        <v>160</v>
      </c>
      <c r="W223" s="61" t="n">
        <f aca="false">T223+U223+V223</f>
        <v>259.35780625</v>
      </c>
      <c r="X223" s="61" t="n">
        <f aca="false">N(STACK!L223)</f>
        <v>0</v>
      </c>
      <c r="Y223" s="61" t="n">
        <f aca="false">W223-X223</f>
        <v>259.35780625</v>
      </c>
      <c r="Z223" s="1" t="n">
        <f aca="false">N(STACK!J223)</f>
        <v>20</v>
      </c>
      <c r="AA223" s="1" t="str">
        <f aca="false">TRIM(IF(D223="UNMAPPED","Program not mapped. ","")&amp;IF(OR(K223="UNMAPPED",K223="UNASSIGNED"),"Category needs review. ","")&amp;IF(P223="UNMAPPED","Title not mapped. ","")&amp;IF(AND(P223&lt;&gt;"No staff time",R223=""),"Missing hours. ","")&amp;IF(M223="","Date not readable. ","")&amp;IF(N223="No","Outside fiscal year. ","")&amp;IF(AND(F223="Event",ISNUMBER(R223)),IF(R223&gt;12,"Event hours look high. ",""),"")&amp;IF(G223&gt;0,"See CONFIRM sheet.",""))</f>
        <v/>
      </c>
      <c r="AB223" s="1" t="n">
        <f aca="false">IF(N223="No",0,IF(REVIEW!O223=0,0,IF(G223&gt;0,IF(INDEX(CONFIRM!$J$5:$J$53,G223)&lt;&gt;"",INDEX(CONFIRM!$J$5:$J$53,G223),1),1)))</f>
        <v>1</v>
      </c>
      <c r="AC223" s="1" t="n">
        <f aca="false">IF(AB223=1,IF(COUNTIFS($B$5:B223,B223,$D$5:D223,D223,$AB$5:AB223,1)=1,1,0),0)</f>
        <v>0</v>
      </c>
    </row>
    <row r="224" customFormat="false" ht="15" hidden="false" customHeight="false" outlineLevel="0" collapsed="false">
      <c r="A224" s="48" t="str">
        <f aca="false">STACK!A224</f>
        <v>KVMC-0220</v>
      </c>
      <c r="B224" s="48" t="str">
        <f aca="false">STACK!B224</f>
        <v>KVMC</v>
      </c>
      <c r="C224" s="48" t="str">
        <f aca="false">STACK!E224</f>
        <v>Diabetes Prevention Classes</v>
      </c>
      <c r="D224" s="1" t="str">
        <f aca="false">IFERROR(INDEX(MAP!$J$7:$J$101,MATCH(TRIM(C224),MAP!$I$7:$I$101,0)),"UNMAPPED")</f>
        <v>Diabetes Prevention Classes</v>
      </c>
      <c r="E224" s="1" t="str">
        <f aca="false">IFERROR(INDEX(MAP!$K$7:$K$101,MATCH(TRIM(C224),MAP!$I$7:$I$101,0)),"")</f>
        <v>Chronic disease prevention</v>
      </c>
      <c r="F224" s="1" t="str">
        <f aca="false">IFERROR(INDEX(MAP!$L$7:$L$101,MATCH(TRIM(C224),MAP!$I$7:$I$101,0)),"")</f>
        <v>Event</v>
      </c>
      <c r="G224" s="1" t="n">
        <f aca="false">IFERROR(MATCH(A224,CONFIRM!$A$5:$A$53,0),0)</f>
        <v>0</v>
      </c>
      <c r="H224" s="48" t="str">
        <f aca="false">STACK!F224</f>
        <v>Community Health Education</v>
      </c>
      <c r="I224" s="1" t="str">
        <f aca="false">IF(G224&gt;0,IF(INDEX(CONFIRM!$I$5:$I$53,G224)&lt;&gt;"",INDEX(CONFIRM!$I$5:$I$53,G224),H224),H224)</f>
        <v>Community Health Education</v>
      </c>
      <c r="J224" s="1" t="str">
        <f aca="false">IFERROR(INDEX(MAP!$F$7:$F$74,MATCH(TRIM(I224),MAP!$E$7:$E$74,0)),"UNMAPPED")</f>
        <v>Community health education</v>
      </c>
      <c r="K224" s="1" t="str">
        <f aca="false">IFERROR(INDEX(MAP!$G$7:$G$74,MATCH(TRIM(I224),MAP!$E$7:$E$74,0)),"UNMAPPED")</f>
        <v>7e</v>
      </c>
      <c r="L224" s="49" t="n">
        <f aca="false">STACK!G224</f>
        <v>45992</v>
      </c>
      <c r="M224" s="59" t="n">
        <f aca="false">IF(G224&gt;0,IF(INDEX(CONFIRM!$G$5:$G$53,G224)&lt;&gt;"",INDEX(CONFIRM!$G$5:$G$53,G224),IF(ISNUMBER(L224),L224,IFERROR(DATEVALUE(L224),""))),IF(ISNUMBER(L224),L224,IFERROR(DATEVALUE(L224),"")))</f>
        <v>45992</v>
      </c>
      <c r="N224" s="1" t="str">
        <f aca="false">IF(M224="","Check",IF(AND(M224&gt;=INPUTS!$C$6,M224&lt;=INPUTS!$C$7),"Yes","No"))</f>
        <v>Yes</v>
      </c>
      <c r="O224" s="48" t="str">
        <f aca="false">STACK!H224</f>
        <v>Registered Dietitian</v>
      </c>
      <c r="P224" s="1" t="str">
        <f aca="false">IF(G224&gt;0,IF(INDEX(CONFIRM!$H$5:$H$53,G224)&lt;&gt;"",INDEX(CONFIRM!$H$5:$H$53,G224),IFERROR(INDEX(MAP!$B$7:$B$156,MATCH(TRIM(O224),MAP!$A$7:$A$156,0)),"UNMAPPED")),IFERROR(INDEX(MAP!$B$7:$B$156,MATCH(TRIM(O224),MAP!$A$7:$A$156,0)),"UNMAPPED"))</f>
        <v>Registered Dietitian</v>
      </c>
      <c r="Q224" s="48" t="n">
        <f aca="false">STACK!I224</f>
        <v>1.75</v>
      </c>
      <c r="R224" s="60" t="n">
        <f aca="false">IF(G224&gt;0,IF(INDEX(CONFIRM!$F$5:$F$53,G224)&lt;&gt;"",INDEX(CONFIRM!$F$5:$F$53,G224),IF(ISNUMBER(Q224),Q224,IF(Q224="","",IFERROR(VALUE(TRIM(SUBSTITUTE(SUBSTITUTE(LOWER(Q224),"hrs",""),"hr",""))),"")))),IF(ISNUMBER(Q224),Q224,IF(Q224="","",IFERROR(VALUE(TRIM(SUBSTITUTE(SUBSTITUTE(LOWER(Q224),"hrs",""),"hr",""))),""))))</f>
        <v>1.75</v>
      </c>
      <c r="S224" s="57" t="n">
        <f aca="false">IFERROR(INDEX(RATES!$E$6:$E$28,MATCH(P224,RATES!$A$6:$A$28,0)),0)</f>
        <v>46.9025</v>
      </c>
      <c r="T224" s="61" t="n">
        <f aca="false">IF(ISNUMBER(R224),R224,0)*S224</f>
        <v>82.079375</v>
      </c>
      <c r="U224" s="61" t="n">
        <f aca="false">T224*INDEX(INPUTS!$H$10:$H$14,MATCH(B224,INPUTS!$A$10:$A$14,0))</f>
        <v>15.184684375</v>
      </c>
      <c r="V224" s="61" t="n">
        <f aca="false">N(STACK!K224)</f>
        <v>0</v>
      </c>
      <c r="W224" s="61" t="n">
        <f aca="false">T224+U224+V224</f>
        <v>97.264059375</v>
      </c>
      <c r="X224" s="61" t="n">
        <f aca="false">N(STACK!L224)</f>
        <v>0</v>
      </c>
      <c r="Y224" s="61" t="n">
        <f aca="false">W224-X224</f>
        <v>97.264059375</v>
      </c>
      <c r="Z224" s="1" t="n">
        <f aca="false">N(STACK!J224)</f>
        <v>0</v>
      </c>
      <c r="AA224" s="1" t="str">
        <f aca="false">TRIM(IF(D224="UNMAPPED","Program not mapped. ","")&amp;IF(OR(K224="UNMAPPED",K224="UNASSIGNED"),"Category needs review. ","")&amp;IF(P224="UNMAPPED","Title not mapped. ","")&amp;IF(AND(P224&lt;&gt;"No staff time",R224=""),"Missing hours. ","")&amp;IF(M224="","Date not readable. ","")&amp;IF(N224="No","Outside fiscal year. ","")&amp;IF(AND(F224="Event",ISNUMBER(R224)),IF(R224&gt;12,"Event hours look high. ",""),"")&amp;IF(G224&gt;0,"See CONFIRM sheet.",""))</f>
        <v/>
      </c>
      <c r="AB224" s="1" t="n">
        <f aca="false">IF(N224="No",0,IF(REVIEW!O224=0,0,IF(G224&gt;0,IF(INDEX(CONFIRM!$J$5:$J$53,G224)&lt;&gt;"",INDEX(CONFIRM!$J$5:$J$53,G224),1),1)))</f>
        <v>1</v>
      </c>
      <c r="AC224" s="1" t="n">
        <f aca="false">IF(AB224=1,IF(COUNTIFS($B$5:B224,B224,$D$5:D224,D224,$AB$5:AB224,1)=1,1,0),0)</f>
        <v>0</v>
      </c>
    </row>
    <row r="225" customFormat="false" ht="15" hidden="false" customHeight="false" outlineLevel="0" collapsed="false">
      <c r="A225" s="48" t="str">
        <f aca="false">STACK!A225</f>
        <v>KVMC-0221</v>
      </c>
      <c r="B225" s="48" t="str">
        <f aca="false">STACK!B225</f>
        <v>KVMC</v>
      </c>
      <c r="C225" s="48" t="str">
        <f aca="false">STACK!E225</f>
        <v>Childbirth and Newborn Care Classes</v>
      </c>
      <c r="D225" s="1" t="str">
        <f aca="false">IFERROR(INDEX(MAP!$J$7:$J$101,MATCH(TRIM(C225),MAP!$I$7:$I$101,0)),"UNMAPPED")</f>
        <v>Childbirth and Newborn Care Classes</v>
      </c>
      <c r="E225" s="1" t="str">
        <f aca="false">IFERROR(INDEX(MAP!$K$7:$K$101,MATCH(TRIM(C225),MAP!$I$7:$I$101,0)),"")</f>
        <v>Maternal and child health</v>
      </c>
      <c r="F225" s="1" t="str">
        <f aca="false">IFERROR(INDEX(MAP!$L$7:$L$101,MATCH(TRIM(C225),MAP!$I$7:$I$101,0)),"")</f>
        <v>Event</v>
      </c>
      <c r="G225" s="1" t="n">
        <f aca="false">IFERROR(MATCH(A225,CONFIRM!$A$5:$A$53,0),0)</f>
        <v>0</v>
      </c>
      <c r="H225" s="48" t="str">
        <f aca="false">STACK!F225</f>
        <v>Community Health Education</v>
      </c>
      <c r="I225" s="1" t="str">
        <f aca="false">IF(G225&gt;0,IF(INDEX(CONFIRM!$I$5:$I$53,G225)&lt;&gt;"",INDEX(CONFIRM!$I$5:$I$53,G225),H225),H225)</f>
        <v>Community Health Education</v>
      </c>
      <c r="J225" s="1" t="str">
        <f aca="false">IFERROR(INDEX(MAP!$F$7:$F$74,MATCH(TRIM(I225),MAP!$E$7:$E$74,0)),"UNMAPPED")</f>
        <v>Community health education</v>
      </c>
      <c r="K225" s="1" t="str">
        <f aca="false">IFERROR(INDEX(MAP!$G$7:$G$74,MATCH(TRIM(I225),MAP!$E$7:$E$74,0)),"UNMAPPED")</f>
        <v>7e</v>
      </c>
      <c r="L225" s="49" t="n">
        <f aca="false">STACK!G225</f>
        <v>45992</v>
      </c>
      <c r="M225" s="59" t="n">
        <f aca="false">IF(G225&gt;0,IF(INDEX(CONFIRM!$G$5:$G$53,G225)&lt;&gt;"",INDEX(CONFIRM!$G$5:$G$53,G225),IF(ISNUMBER(L225),L225,IFERROR(DATEVALUE(L225),""))),IF(ISNUMBER(L225),L225,IFERROR(DATEVALUE(L225),"")))</f>
        <v>45992</v>
      </c>
      <c r="N225" s="1" t="str">
        <f aca="false">IF(M225="","Check",IF(AND(M225&gt;=INPUTS!$C$6,M225&lt;=INPUTS!$C$7),"Yes","No"))</f>
        <v>Yes</v>
      </c>
      <c r="O225" s="48" t="str">
        <f aca="false">STACK!H225</f>
        <v>Preceptor RN</v>
      </c>
      <c r="P225" s="1" t="str">
        <f aca="false">IF(G225&gt;0,IF(INDEX(CONFIRM!$H$5:$H$53,G225)&lt;&gt;"",INDEX(CONFIRM!$H$5:$H$53,G225),IFERROR(INDEX(MAP!$B$7:$B$156,MATCH(TRIM(O225),MAP!$A$7:$A$156,0)),"UNMAPPED")),IFERROR(INDEX(MAP!$B$7:$B$156,MATCH(TRIM(O225),MAP!$A$7:$A$156,0)),"UNMAPPED"))</f>
        <v>Clinical Nurse Educator</v>
      </c>
      <c r="Q225" s="48" t="n">
        <f aca="false">STACK!I225</f>
        <v>3.25</v>
      </c>
      <c r="R225" s="60" t="n">
        <f aca="false">IF(G225&gt;0,IF(INDEX(CONFIRM!$F$5:$F$53,G225)&lt;&gt;"",INDEX(CONFIRM!$F$5:$F$53,G225),IF(ISNUMBER(Q225),Q225,IF(Q225="","",IFERROR(VALUE(TRIM(SUBSTITUTE(SUBSTITUTE(LOWER(Q225),"hrs",""),"hr",""))),"")))),IF(ISNUMBER(Q225),Q225,IF(Q225="","",IFERROR(VALUE(TRIM(SUBSTITUTE(SUBSTITUTE(LOWER(Q225),"hrs",""),"hr",""))),""))))</f>
        <v>3.25</v>
      </c>
      <c r="S225" s="57" t="n">
        <f aca="false">IFERROR(INDEX(RATES!$E$6:$E$28,MATCH(P225,RATES!$A$6:$A$28,0)),0)</f>
        <v>62.965</v>
      </c>
      <c r="T225" s="61" t="n">
        <f aca="false">IF(ISNUMBER(R225),R225,0)*S225</f>
        <v>204.63625</v>
      </c>
      <c r="U225" s="61" t="n">
        <f aca="false">T225*INDEX(INPUTS!$H$10:$H$14,MATCH(B225,INPUTS!$A$10:$A$14,0))</f>
        <v>37.85770625</v>
      </c>
      <c r="V225" s="61" t="n">
        <f aca="false">N(STACK!K225)</f>
        <v>110</v>
      </c>
      <c r="W225" s="61" t="n">
        <f aca="false">T225+U225+V225</f>
        <v>352.49395625</v>
      </c>
      <c r="X225" s="61" t="n">
        <f aca="false">N(STACK!L225)</f>
        <v>460</v>
      </c>
      <c r="Y225" s="61" t="n">
        <f aca="false">W225-X225</f>
        <v>-107.50604375</v>
      </c>
      <c r="Z225" s="1" t="n">
        <f aca="false">N(STACK!J225)</f>
        <v>23</v>
      </c>
      <c r="AA225" s="1" t="str">
        <f aca="false">TRIM(IF(D225="UNMAPPED","Program not mapped. ","")&amp;IF(OR(K225="UNMAPPED",K225="UNASSIGNED"),"Category needs review. ","")&amp;IF(P225="UNMAPPED","Title not mapped. ","")&amp;IF(AND(P225&lt;&gt;"No staff time",R225=""),"Missing hours. ","")&amp;IF(M225="","Date not readable. ","")&amp;IF(N225="No","Outside fiscal year. ","")&amp;IF(AND(F225="Event",ISNUMBER(R225)),IF(R225&gt;12,"Event hours look high. ",""),"")&amp;IF(G225&gt;0,"See CONFIRM sheet.",""))</f>
        <v/>
      </c>
      <c r="AB225" s="1" t="n">
        <f aca="false">IF(N225="No",0,IF(REVIEW!O225=0,0,IF(G225&gt;0,IF(INDEX(CONFIRM!$J$5:$J$53,G225)&lt;&gt;"",INDEX(CONFIRM!$J$5:$J$53,G225),1),1)))</f>
        <v>1</v>
      </c>
      <c r="AC225" s="1" t="n">
        <f aca="false">IF(AB225=1,IF(COUNTIFS($B$5:B225,B225,$D$5:D225,D225,$AB$5:AB225,1)=1,1,0),0)</f>
        <v>0</v>
      </c>
    </row>
    <row r="226" customFormat="false" ht="15" hidden="false" customHeight="false" outlineLevel="0" collapsed="false">
      <c r="A226" s="48" t="str">
        <f aca="false">STACK!A226</f>
        <v>KVMC-0222</v>
      </c>
      <c r="B226" s="48" t="str">
        <f aca="false">STACK!B226</f>
        <v>KVMC</v>
      </c>
      <c r="C226" s="48" t="str">
        <f aca="false">STACK!E226</f>
        <v>Diabetes Prevention Classes</v>
      </c>
      <c r="D226" s="1" t="str">
        <f aca="false">IFERROR(INDEX(MAP!$J$7:$J$101,MATCH(TRIM(C226),MAP!$I$7:$I$101,0)),"UNMAPPED")</f>
        <v>Diabetes Prevention Classes</v>
      </c>
      <c r="E226" s="1" t="str">
        <f aca="false">IFERROR(INDEX(MAP!$K$7:$K$101,MATCH(TRIM(C226),MAP!$I$7:$I$101,0)),"")</f>
        <v>Chronic disease prevention</v>
      </c>
      <c r="F226" s="1" t="str">
        <f aca="false">IFERROR(INDEX(MAP!$L$7:$L$101,MATCH(TRIM(C226),MAP!$I$7:$I$101,0)),"")</f>
        <v>Event</v>
      </c>
      <c r="G226" s="1" t="n">
        <f aca="false">IFERROR(MATCH(A226,CONFIRM!$A$5:$A$53,0),0)</f>
        <v>0</v>
      </c>
      <c r="H226" s="48" t="str">
        <f aca="false">STACK!F226</f>
        <v>Community Health Education</v>
      </c>
      <c r="I226" s="1" t="str">
        <f aca="false">IF(G226&gt;0,IF(INDEX(CONFIRM!$I$5:$I$53,G226)&lt;&gt;"",INDEX(CONFIRM!$I$5:$I$53,G226),H226),H226)</f>
        <v>Community Health Education</v>
      </c>
      <c r="J226" s="1" t="str">
        <f aca="false">IFERROR(INDEX(MAP!$F$7:$F$74,MATCH(TRIM(I226),MAP!$E$7:$E$74,0)),"UNMAPPED")</f>
        <v>Community health education</v>
      </c>
      <c r="K226" s="1" t="str">
        <f aca="false">IFERROR(INDEX(MAP!$G$7:$G$74,MATCH(TRIM(I226),MAP!$E$7:$E$74,0)),"UNMAPPED")</f>
        <v>7e</v>
      </c>
      <c r="L226" s="49" t="n">
        <f aca="false">STACK!G226</f>
        <v>45993</v>
      </c>
      <c r="M226" s="59" t="n">
        <f aca="false">IF(G226&gt;0,IF(INDEX(CONFIRM!$G$5:$G$53,G226)&lt;&gt;"",INDEX(CONFIRM!$G$5:$G$53,G226),IF(ISNUMBER(L226),L226,IFERROR(DATEVALUE(L226),""))),IF(ISNUMBER(L226),L226,IFERROR(DATEVALUE(L226),"")))</f>
        <v>45993</v>
      </c>
      <c r="N226" s="1" t="str">
        <f aca="false">IF(M226="","Check",IF(AND(M226&gt;=INPUTS!$C$6,M226&lt;=INPUTS!$C$7),"Yes","No"))</f>
        <v>Yes</v>
      </c>
      <c r="O226" s="48" t="str">
        <f aca="false">STACK!H226</f>
        <v>CHES</v>
      </c>
      <c r="P226" s="1" t="str">
        <f aca="false">IF(G226&gt;0,IF(INDEX(CONFIRM!$H$5:$H$53,G226)&lt;&gt;"",INDEX(CONFIRM!$H$5:$H$53,G226),IFERROR(INDEX(MAP!$B$7:$B$156,MATCH(TRIM(O226),MAP!$A$7:$A$156,0)),"UNMAPPED")),IFERROR(INDEX(MAP!$B$7:$B$156,MATCH(TRIM(O226),MAP!$A$7:$A$156,0)),"UNMAPPED"))</f>
        <v>Health Educator</v>
      </c>
      <c r="Q226" s="48" t="n">
        <f aca="false">STACK!I226</f>
        <v>2.75</v>
      </c>
      <c r="R226" s="60" t="n">
        <f aca="false">IF(G226&gt;0,IF(INDEX(CONFIRM!$F$5:$F$53,G226)&lt;&gt;"",INDEX(CONFIRM!$F$5:$F$53,G226),IF(ISNUMBER(Q226),Q226,IF(Q226="","",IFERROR(VALUE(TRIM(SUBSTITUTE(SUBSTITUTE(LOWER(Q226),"hrs",""),"hr",""))),"")))),IF(ISNUMBER(Q226),Q226,IF(Q226="","",IFERROR(VALUE(TRIM(SUBSTITUTE(SUBSTITUTE(LOWER(Q226),"hrs",""),"hr",""))),""))))</f>
        <v>2.75</v>
      </c>
      <c r="S226" s="57" t="n">
        <f aca="false">IFERROR(INDEX(RATES!$E$6:$E$28,MATCH(P226,RATES!$A$6:$A$28,0)),0)</f>
        <v>37.265</v>
      </c>
      <c r="T226" s="61" t="n">
        <f aca="false">IF(ISNUMBER(R226),R226,0)*S226</f>
        <v>102.47875</v>
      </c>
      <c r="U226" s="61" t="n">
        <f aca="false">T226*INDEX(INPUTS!$H$10:$H$14,MATCH(B226,INPUTS!$A$10:$A$14,0))</f>
        <v>18.95856875</v>
      </c>
      <c r="V226" s="61" t="n">
        <f aca="false">N(STACK!K226)</f>
        <v>80</v>
      </c>
      <c r="W226" s="61" t="n">
        <f aca="false">T226+U226+V226</f>
        <v>201.43731875</v>
      </c>
      <c r="X226" s="61" t="n">
        <f aca="false">N(STACK!L226)</f>
        <v>0</v>
      </c>
      <c r="Y226" s="61" t="n">
        <f aca="false">W226-X226</f>
        <v>201.43731875</v>
      </c>
      <c r="Z226" s="1" t="n">
        <f aca="false">N(STACK!J226)</f>
        <v>17</v>
      </c>
      <c r="AA226" s="1" t="str">
        <f aca="false">TRIM(IF(D226="UNMAPPED","Program not mapped. ","")&amp;IF(OR(K226="UNMAPPED",K226="UNASSIGNED"),"Category needs review. ","")&amp;IF(P226="UNMAPPED","Title not mapped. ","")&amp;IF(AND(P226&lt;&gt;"No staff time",R226=""),"Missing hours. ","")&amp;IF(M226="","Date not readable. ","")&amp;IF(N226="No","Outside fiscal year. ","")&amp;IF(AND(F226="Event",ISNUMBER(R226)),IF(R226&gt;12,"Event hours look high. ",""),"")&amp;IF(G226&gt;0,"See CONFIRM sheet.",""))</f>
        <v/>
      </c>
      <c r="AB226" s="1" t="n">
        <f aca="false">IF(N226="No",0,IF(REVIEW!O226=0,0,IF(G226&gt;0,IF(INDEX(CONFIRM!$J$5:$J$53,G226)&lt;&gt;"",INDEX(CONFIRM!$J$5:$J$53,G226),1),1)))</f>
        <v>1</v>
      </c>
      <c r="AC226" s="1" t="n">
        <f aca="false">IF(AB226=1,IF(COUNTIFS($B$5:B226,B226,$D$5:D226,D226,$AB$5:AB226,1)=1,1,0),0)</f>
        <v>0</v>
      </c>
    </row>
    <row r="227" customFormat="false" ht="15" hidden="false" customHeight="false" outlineLevel="0" collapsed="false">
      <c r="A227" s="48" t="str">
        <f aca="false">STACK!A227</f>
        <v>KVMC-0223</v>
      </c>
      <c r="B227" s="48" t="str">
        <f aca="false">STACK!B227</f>
        <v>KVMC</v>
      </c>
      <c r="C227" s="48" t="str">
        <f aca="false">STACK!E227</f>
        <v>Diabetes Prevention Classes</v>
      </c>
      <c r="D227" s="1" t="str">
        <f aca="false">IFERROR(INDEX(MAP!$J$7:$J$101,MATCH(TRIM(C227),MAP!$I$7:$I$101,0)),"UNMAPPED")</f>
        <v>Diabetes Prevention Classes</v>
      </c>
      <c r="E227" s="1" t="str">
        <f aca="false">IFERROR(INDEX(MAP!$K$7:$K$101,MATCH(TRIM(C227),MAP!$I$7:$I$101,0)),"")</f>
        <v>Chronic disease prevention</v>
      </c>
      <c r="F227" s="1" t="str">
        <f aca="false">IFERROR(INDEX(MAP!$L$7:$L$101,MATCH(TRIM(C227),MAP!$I$7:$I$101,0)),"")</f>
        <v>Event</v>
      </c>
      <c r="G227" s="1" t="n">
        <f aca="false">IFERROR(MATCH(A227,CONFIRM!$A$5:$A$53,0),0)</f>
        <v>0</v>
      </c>
      <c r="H227" s="48" t="str">
        <f aca="false">STACK!F227</f>
        <v>Community Health Education</v>
      </c>
      <c r="I227" s="1" t="str">
        <f aca="false">IF(G227&gt;0,IF(INDEX(CONFIRM!$I$5:$I$53,G227)&lt;&gt;"",INDEX(CONFIRM!$I$5:$I$53,G227),H227),H227)</f>
        <v>Community Health Education</v>
      </c>
      <c r="J227" s="1" t="str">
        <f aca="false">IFERROR(INDEX(MAP!$F$7:$F$74,MATCH(TRIM(I227),MAP!$E$7:$E$74,0)),"UNMAPPED")</f>
        <v>Community health education</v>
      </c>
      <c r="K227" s="1" t="str">
        <f aca="false">IFERROR(INDEX(MAP!$G$7:$G$74,MATCH(TRIM(I227),MAP!$E$7:$E$74,0)),"UNMAPPED")</f>
        <v>7e</v>
      </c>
      <c r="L227" s="49" t="n">
        <f aca="false">STACK!G227</f>
        <v>45993</v>
      </c>
      <c r="M227" s="59" t="n">
        <f aca="false">IF(G227&gt;0,IF(INDEX(CONFIRM!$G$5:$G$53,G227)&lt;&gt;"",INDEX(CONFIRM!$G$5:$G$53,G227),IF(ISNUMBER(L227),L227,IFERROR(DATEVALUE(L227),""))),IF(ISNUMBER(L227),L227,IFERROR(DATEVALUE(L227),"")))</f>
        <v>45993</v>
      </c>
      <c r="N227" s="1" t="str">
        <f aca="false">IF(M227="","Check",IF(AND(M227&gt;=INPUTS!$C$6,M227&lt;=INPUTS!$C$7),"Yes","No"))</f>
        <v>Yes</v>
      </c>
      <c r="O227" s="48" t="str">
        <f aca="false">STACK!H227</f>
        <v>Dietitian</v>
      </c>
      <c r="P227" s="1" t="str">
        <f aca="false">IF(G227&gt;0,IF(INDEX(CONFIRM!$H$5:$H$53,G227)&lt;&gt;"",INDEX(CONFIRM!$H$5:$H$53,G227),IFERROR(INDEX(MAP!$B$7:$B$156,MATCH(TRIM(O227),MAP!$A$7:$A$156,0)),"UNMAPPED")),IFERROR(INDEX(MAP!$B$7:$B$156,MATCH(TRIM(O227),MAP!$A$7:$A$156,0)),"UNMAPPED"))</f>
        <v>Registered Dietitian</v>
      </c>
      <c r="Q227" s="48" t="n">
        <f aca="false">STACK!I227</f>
        <v>1.5</v>
      </c>
      <c r="R227" s="60" t="n">
        <f aca="false">IF(G227&gt;0,IF(INDEX(CONFIRM!$F$5:$F$53,G227)&lt;&gt;"",INDEX(CONFIRM!$F$5:$F$53,G227),IF(ISNUMBER(Q227),Q227,IF(Q227="","",IFERROR(VALUE(TRIM(SUBSTITUTE(SUBSTITUTE(LOWER(Q227),"hrs",""),"hr",""))),"")))),IF(ISNUMBER(Q227),Q227,IF(Q227="","",IFERROR(VALUE(TRIM(SUBSTITUTE(SUBSTITUTE(LOWER(Q227),"hrs",""),"hr",""))),""))))</f>
        <v>1.5</v>
      </c>
      <c r="S227" s="57" t="n">
        <f aca="false">IFERROR(INDEX(RATES!$E$6:$E$28,MATCH(P227,RATES!$A$6:$A$28,0)),0)</f>
        <v>46.9025</v>
      </c>
      <c r="T227" s="61" t="n">
        <f aca="false">IF(ISNUMBER(R227),R227,0)*S227</f>
        <v>70.35375</v>
      </c>
      <c r="U227" s="61" t="n">
        <f aca="false">T227*INDEX(INPUTS!$H$10:$H$14,MATCH(B227,INPUTS!$A$10:$A$14,0))</f>
        <v>13.01544375</v>
      </c>
      <c r="V227" s="61" t="n">
        <f aca="false">N(STACK!K227)</f>
        <v>0</v>
      </c>
      <c r="W227" s="61" t="n">
        <f aca="false">T227+U227+V227</f>
        <v>83.36919375</v>
      </c>
      <c r="X227" s="61" t="n">
        <f aca="false">N(STACK!L227)</f>
        <v>0</v>
      </c>
      <c r="Y227" s="61" t="n">
        <f aca="false">W227-X227</f>
        <v>83.36919375</v>
      </c>
      <c r="Z227" s="1" t="n">
        <f aca="false">N(STACK!J227)</f>
        <v>0</v>
      </c>
      <c r="AA227" s="1" t="str">
        <f aca="false">TRIM(IF(D227="UNMAPPED","Program not mapped. ","")&amp;IF(OR(K227="UNMAPPED",K227="UNASSIGNED"),"Category needs review. ","")&amp;IF(P227="UNMAPPED","Title not mapped. ","")&amp;IF(AND(P227&lt;&gt;"No staff time",R227=""),"Missing hours. ","")&amp;IF(M227="","Date not readable. ","")&amp;IF(N227="No","Outside fiscal year. ","")&amp;IF(AND(F227="Event",ISNUMBER(R227)),IF(R227&gt;12,"Event hours look high. ",""),"")&amp;IF(G227&gt;0,"See CONFIRM sheet.",""))</f>
        <v/>
      </c>
      <c r="AB227" s="1" t="n">
        <f aca="false">IF(N227="No",0,IF(REVIEW!O227=0,0,IF(G227&gt;0,IF(INDEX(CONFIRM!$J$5:$J$53,G227)&lt;&gt;"",INDEX(CONFIRM!$J$5:$J$53,G227),1),1)))</f>
        <v>1</v>
      </c>
      <c r="AC227" s="1" t="n">
        <f aca="false">IF(AB227=1,IF(COUNTIFS($B$5:B227,B227,$D$5:D227,D227,$AB$5:AB227,1)=1,1,0),0)</f>
        <v>0</v>
      </c>
    </row>
    <row r="228" customFormat="false" ht="15" hidden="false" customHeight="false" outlineLevel="0" collapsed="false">
      <c r="A228" s="48" t="str">
        <f aca="false">STACK!A228</f>
        <v>KVMC-0224</v>
      </c>
      <c r="B228" s="48" t="str">
        <f aca="false">STACK!B228</f>
        <v>KVMC</v>
      </c>
      <c r="C228" s="48" t="str">
        <f aca="false">STACK!E228</f>
        <v>Childbirth and Newborn Care Classes</v>
      </c>
      <c r="D228" s="1" t="str">
        <f aca="false">IFERROR(INDEX(MAP!$J$7:$J$101,MATCH(TRIM(C228),MAP!$I$7:$I$101,0)),"UNMAPPED")</f>
        <v>Childbirth and Newborn Care Classes</v>
      </c>
      <c r="E228" s="1" t="str">
        <f aca="false">IFERROR(INDEX(MAP!$K$7:$K$101,MATCH(TRIM(C228),MAP!$I$7:$I$101,0)),"")</f>
        <v>Maternal and child health</v>
      </c>
      <c r="F228" s="1" t="str">
        <f aca="false">IFERROR(INDEX(MAP!$L$7:$L$101,MATCH(TRIM(C228),MAP!$I$7:$I$101,0)),"")</f>
        <v>Event</v>
      </c>
      <c r="G228" s="1" t="n">
        <f aca="false">IFERROR(MATCH(A228,CONFIRM!$A$5:$A$53,0),0)</f>
        <v>0</v>
      </c>
      <c r="H228" s="48" t="str">
        <f aca="false">STACK!F228</f>
        <v>Community Health Education</v>
      </c>
      <c r="I228" s="1" t="str">
        <f aca="false">IF(G228&gt;0,IF(INDEX(CONFIRM!$I$5:$I$53,G228)&lt;&gt;"",INDEX(CONFIRM!$I$5:$I$53,G228),H228),H228)</f>
        <v>Community Health Education</v>
      </c>
      <c r="J228" s="1" t="str">
        <f aca="false">IFERROR(INDEX(MAP!$F$7:$F$74,MATCH(TRIM(I228),MAP!$E$7:$E$74,0)),"UNMAPPED")</f>
        <v>Community health education</v>
      </c>
      <c r="K228" s="1" t="str">
        <f aca="false">IFERROR(INDEX(MAP!$G$7:$G$74,MATCH(TRIM(I228),MAP!$E$7:$E$74,0)),"UNMAPPED")</f>
        <v>7e</v>
      </c>
      <c r="L228" s="49" t="n">
        <f aca="false">STACK!G228</f>
        <v>46004</v>
      </c>
      <c r="M228" s="59" t="n">
        <f aca="false">IF(G228&gt;0,IF(INDEX(CONFIRM!$G$5:$G$53,G228)&lt;&gt;"",INDEX(CONFIRM!$G$5:$G$53,G228),IF(ISNUMBER(L228),L228,IFERROR(DATEVALUE(L228),""))),IF(ISNUMBER(L228),L228,IFERROR(DATEVALUE(L228),"")))</f>
        <v>46004</v>
      </c>
      <c r="N228" s="1" t="str">
        <f aca="false">IF(M228="","Check",IF(AND(M228&gt;=INPUTS!$C$6,M228&lt;=INPUTS!$C$7),"Yes","No"))</f>
        <v>Yes</v>
      </c>
      <c r="O228" s="48" t="str">
        <f aca="false">STACK!H228</f>
        <v>clin educator</v>
      </c>
      <c r="P228" s="1" t="str">
        <f aca="false">IF(G228&gt;0,IF(INDEX(CONFIRM!$H$5:$H$53,G228)&lt;&gt;"",INDEX(CONFIRM!$H$5:$H$53,G228),IFERROR(INDEX(MAP!$B$7:$B$156,MATCH(TRIM(O228),MAP!$A$7:$A$156,0)),"UNMAPPED")),IFERROR(INDEX(MAP!$B$7:$B$156,MATCH(TRIM(O228),MAP!$A$7:$A$156,0)),"UNMAPPED"))</f>
        <v>Clinical Nurse Educator</v>
      </c>
      <c r="Q228" s="48" t="n">
        <f aca="false">STACK!I228</f>
        <v>3.25</v>
      </c>
      <c r="R228" s="60" t="n">
        <f aca="false">IF(G228&gt;0,IF(INDEX(CONFIRM!$F$5:$F$53,G228)&lt;&gt;"",INDEX(CONFIRM!$F$5:$F$53,G228),IF(ISNUMBER(Q228),Q228,IF(Q228="","",IFERROR(VALUE(TRIM(SUBSTITUTE(SUBSTITUTE(LOWER(Q228),"hrs",""),"hr",""))),"")))),IF(ISNUMBER(Q228),Q228,IF(Q228="","",IFERROR(VALUE(TRIM(SUBSTITUTE(SUBSTITUTE(LOWER(Q228),"hrs",""),"hr",""))),""))))</f>
        <v>3.25</v>
      </c>
      <c r="S228" s="57" t="n">
        <f aca="false">IFERROR(INDEX(RATES!$E$6:$E$28,MATCH(P228,RATES!$A$6:$A$28,0)),0)</f>
        <v>62.965</v>
      </c>
      <c r="T228" s="61" t="n">
        <f aca="false">IF(ISNUMBER(R228),R228,0)*S228</f>
        <v>204.63625</v>
      </c>
      <c r="U228" s="61" t="n">
        <f aca="false">T228*INDEX(INPUTS!$H$10:$H$14,MATCH(B228,INPUTS!$A$10:$A$14,0))</f>
        <v>37.85770625</v>
      </c>
      <c r="V228" s="61" t="n">
        <f aca="false">N(STACK!K228)</f>
        <v>190</v>
      </c>
      <c r="W228" s="61" t="n">
        <f aca="false">T228+U228+V228</f>
        <v>432.49395625</v>
      </c>
      <c r="X228" s="61" t="n">
        <f aca="false">N(STACK!L228)</f>
        <v>260</v>
      </c>
      <c r="Y228" s="61" t="n">
        <f aca="false">W228-X228</f>
        <v>172.49395625</v>
      </c>
      <c r="Z228" s="1" t="n">
        <f aca="false">N(STACK!J228)</f>
        <v>13</v>
      </c>
      <c r="AA228" s="1" t="str">
        <f aca="false">TRIM(IF(D228="UNMAPPED","Program not mapped. ","")&amp;IF(OR(K228="UNMAPPED",K228="UNASSIGNED"),"Category needs review. ","")&amp;IF(P228="UNMAPPED","Title not mapped. ","")&amp;IF(AND(P228&lt;&gt;"No staff time",R228=""),"Missing hours. ","")&amp;IF(M228="","Date not readable. ","")&amp;IF(N228="No","Outside fiscal year. ","")&amp;IF(AND(F228="Event",ISNUMBER(R228)),IF(R228&gt;12,"Event hours look high. ",""),"")&amp;IF(G228&gt;0,"See CONFIRM sheet.",""))</f>
        <v/>
      </c>
      <c r="AB228" s="1" t="n">
        <f aca="false">IF(N228="No",0,IF(REVIEW!O228=0,0,IF(G228&gt;0,IF(INDEX(CONFIRM!$J$5:$J$53,G228)&lt;&gt;"",INDEX(CONFIRM!$J$5:$J$53,G228),1),1)))</f>
        <v>1</v>
      </c>
      <c r="AC228" s="1" t="n">
        <f aca="false">IF(AB228=1,IF(COUNTIFS($B$5:B228,B228,$D$5:D228,D228,$AB$5:AB228,1)=1,1,0),0)</f>
        <v>0</v>
      </c>
    </row>
    <row r="229" customFormat="false" ht="15" hidden="false" customHeight="false" outlineLevel="0" collapsed="false">
      <c r="A229" s="48" t="str">
        <f aca="false">STACK!A229</f>
        <v>KVMC-0225</v>
      </c>
      <c r="B229" s="48" t="str">
        <f aca="false">STACK!B229</f>
        <v>KVMC</v>
      </c>
      <c r="C229" s="48" t="str">
        <f aca="false">STACK!E229</f>
        <v>Diabetes Prevention Classes</v>
      </c>
      <c r="D229" s="1" t="str">
        <f aca="false">IFERROR(INDEX(MAP!$J$7:$J$101,MATCH(TRIM(C229),MAP!$I$7:$I$101,0)),"UNMAPPED")</f>
        <v>Diabetes Prevention Classes</v>
      </c>
      <c r="E229" s="1" t="str">
        <f aca="false">IFERROR(INDEX(MAP!$K$7:$K$101,MATCH(TRIM(C229),MAP!$I$7:$I$101,0)),"")</f>
        <v>Chronic disease prevention</v>
      </c>
      <c r="F229" s="1" t="str">
        <f aca="false">IFERROR(INDEX(MAP!$L$7:$L$101,MATCH(TRIM(C229),MAP!$I$7:$I$101,0)),"")</f>
        <v>Event</v>
      </c>
      <c r="G229" s="1" t="n">
        <f aca="false">IFERROR(MATCH(A229,CONFIRM!$A$5:$A$53,0),0)</f>
        <v>0</v>
      </c>
      <c r="H229" s="48" t="str">
        <f aca="false">STACK!F229</f>
        <v>Community Health Education</v>
      </c>
      <c r="I229" s="1" t="str">
        <f aca="false">IF(G229&gt;0,IF(INDEX(CONFIRM!$I$5:$I$53,G229)&lt;&gt;"",INDEX(CONFIRM!$I$5:$I$53,G229),H229),H229)</f>
        <v>Community Health Education</v>
      </c>
      <c r="J229" s="1" t="str">
        <f aca="false">IFERROR(INDEX(MAP!$F$7:$F$74,MATCH(TRIM(I229),MAP!$E$7:$E$74,0)),"UNMAPPED")</f>
        <v>Community health education</v>
      </c>
      <c r="K229" s="1" t="str">
        <f aca="false">IFERROR(INDEX(MAP!$G$7:$G$74,MATCH(TRIM(I229),MAP!$E$7:$E$74,0)),"UNMAPPED")</f>
        <v>7e</v>
      </c>
      <c r="L229" s="49" t="n">
        <f aca="false">STACK!G229</f>
        <v>46008</v>
      </c>
      <c r="M229" s="59" t="n">
        <f aca="false">IF(G229&gt;0,IF(INDEX(CONFIRM!$G$5:$G$53,G229)&lt;&gt;"",INDEX(CONFIRM!$G$5:$G$53,G229),IF(ISNUMBER(L229),L229,IFERROR(DATEVALUE(L229),""))),IF(ISNUMBER(L229),L229,IFERROR(DATEVALUE(L229),"")))</f>
        <v>46008</v>
      </c>
      <c r="N229" s="1" t="str">
        <f aca="false">IF(M229="","Check",IF(AND(M229&gt;=INPUTS!$C$6,M229&lt;=INPUTS!$C$7),"Yes","No"))</f>
        <v>Yes</v>
      </c>
      <c r="O229" s="48" t="str">
        <f aca="false">STACK!H229</f>
        <v>Health Education Specialist</v>
      </c>
      <c r="P229" s="1" t="str">
        <f aca="false">IF(G229&gt;0,IF(INDEX(CONFIRM!$H$5:$H$53,G229)&lt;&gt;"",INDEX(CONFIRM!$H$5:$H$53,G229),IFERROR(INDEX(MAP!$B$7:$B$156,MATCH(TRIM(O229),MAP!$A$7:$A$156,0)),"UNMAPPED")),IFERROR(INDEX(MAP!$B$7:$B$156,MATCH(TRIM(O229),MAP!$A$7:$A$156,0)),"UNMAPPED"))</f>
        <v>Health Educator</v>
      </c>
      <c r="Q229" s="48" t="n">
        <f aca="false">STACK!I229</f>
        <v>2.5</v>
      </c>
      <c r="R229" s="60" t="n">
        <f aca="false">IF(G229&gt;0,IF(INDEX(CONFIRM!$F$5:$F$53,G229)&lt;&gt;"",INDEX(CONFIRM!$F$5:$F$53,G229),IF(ISNUMBER(Q229),Q229,IF(Q229="","",IFERROR(VALUE(TRIM(SUBSTITUTE(SUBSTITUTE(LOWER(Q229),"hrs",""),"hr",""))),"")))),IF(ISNUMBER(Q229),Q229,IF(Q229="","",IFERROR(VALUE(TRIM(SUBSTITUTE(SUBSTITUTE(LOWER(Q229),"hrs",""),"hr",""))),""))))</f>
        <v>2.5</v>
      </c>
      <c r="S229" s="57" t="n">
        <f aca="false">IFERROR(INDEX(RATES!$E$6:$E$28,MATCH(P229,RATES!$A$6:$A$28,0)),0)</f>
        <v>37.265</v>
      </c>
      <c r="T229" s="61" t="n">
        <f aca="false">IF(ISNUMBER(R229),R229,0)*S229</f>
        <v>93.1625</v>
      </c>
      <c r="U229" s="61" t="n">
        <f aca="false">T229*INDEX(INPUTS!$H$10:$H$14,MATCH(B229,INPUTS!$A$10:$A$14,0))</f>
        <v>17.2350625</v>
      </c>
      <c r="V229" s="61" t="n">
        <f aca="false">N(STACK!K229)</f>
        <v>150</v>
      </c>
      <c r="W229" s="61" t="n">
        <f aca="false">T229+U229+V229</f>
        <v>260.3975625</v>
      </c>
      <c r="X229" s="61" t="n">
        <f aca="false">N(STACK!L229)</f>
        <v>0</v>
      </c>
      <c r="Y229" s="61" t="n">
        <f aca="false">W229-X229</f>
        <v>260.3975625</v>
      </c>
      <c r="Z229" s="1" t="n">
        <f aca="false">N(STACK!J229)</f>
        <v>20</v>
      </c>
      <c r="AA229" s="1" t="str">
        <f aca="false">TRIM(IF(D229="UNMAPPED","Program not mapped. ","")&amp;IF(OR(K229="UNMAPPED",K229="UNASSIGNED"),"Category needs review. ","")&amp;IF(P229="UNMAPPED","Title not mapped. ","")&amp;IF(AND(P229&lt;&gt;"No staff time",R229=""),"Missing hours. ","")&amp;IF(M229="","Date not readable. ","")&amp;IF(N229="No","Outside fiscal year. ","")&amp;IF(AND(F229="Event",ISNUMBER(R229)),IF(R229&gt;12,"Event hours look high. ",""),"")&amp;IF(G229&gt;0,"See CONFIRM sheet.",""))</f>
        <v/>
      </c>
      <c r="AB229" s="1" t="n">
        <f aca="false">IF(N229="No",0,IF(REVIEW!O229=0,0,IF(G229&gt;0,IF(INDEX(CONFIRM!$J$5:$J$53,G229)&lt;&gt;"",INDEX(CONFIRM!$J$5:$J$53,G229),1),1)))</f>
        <v>1</v>
      </c>
      <c r="AC229" s="1" t="n">
        <f aca="false">IF(AB229=1,IF(COUNTIFS($B$5:B229,B229,$D$5:D229,D229,$AB$5:AB229,1)=1,1,0),0)</f>
        <v>0</v>
      </c>
    </row>
    <row r="230" customFormat="false" ht="15" hidden="false" customHeight="false" outlineLevel="0" collapsed="false">
      <c r="A230" s="48" t="str">
        <f aca="false">STACK!A230</f>
        <v>KVMC-0226</v>
      </c>
      <c r="B230" s="48" t="str">
        <f aca="false">STACK!B230</f>
        <v>KVMC</v>
      </c>
      <c r="C230" s="48" t="str">
        <f aca="false">STACK!E230</f>
        <v>Diabetes Prevention Classes</v>
      </c>
      <c r="D230" s="1" t="str">
        <f aca="false">IFERROR(INDEX(MAP!$J$7:$J$101,MATCH(TRIM(C230),MAP!$I$7:$I$101,0)),"UNMAPPED")</f>
        <v>Diabetes Prevention Classes</v>
      </c>
      <c r="E230" s="1" t="str">
        <f aca="false">IFERROR(INDEX(MAP!$K$7:$K$101,MATCH(TRIM(C230),MAP!$I$7:$I$101,0)),"")</f>
        <v>Chronic disease prevention</v>
      </c>
      <c r="F230" s="1" t="str">
        <f aca="false">IFERROR(INDEX(MAP!$L$7:$L$101,MATCH(TRIM(C230),MAP!$I$7:$I$101,0)),"")</f>
        <v>Event</v>
      </c>
      <c r="G230" s="1" t="n">
        <f aca="false">IFERROR(MATCH(A230,CONFIRM!$A$5:$A$53,0),0)</f>
        <v>0</v>
      </c>
      <c r="H230" s="48" t="str">
        <f aca="false">STACK!F230</f>
        <v>Community Health Education</v>
      </c>
      <c r="I230" s="1" t="str">
        <f aca="false">IF(G230&gt;0,IF(INDEX(CONFIRM!$I$5:$I$53,G230)&lt;&gt;"",INDEX(CONFIRM!$I$5:$I$53,G230),H230),H230)</f>
        <v>Community Health Education</v>
      </c>
      <c r="J230" s="1" t="str">
        <f aca="false">IFERROR(INDEX(MAP!$F$7:$F$74,MATCH(TRIM(I230),MAP!$E$7:$E$74,0)),"UNMAPPED")</f>
        <v>Community health education</v>
      </c>
      <c r="K230" s="1" t="str">
        <f aca="false">IFERROR(INDEX(MAP!$G$7:$G$74,MATCH(TRIM(I230),MAP!$E$7:$E$74,0)),"UNMAPPED")</f>
        <v>7e</v>
      </c>
      <c r="L230" s="49" t="n">
        <f aca="false">STACK!G230</f>
        <v>46008</v>
      </c>
      <c r="M230" s="59" t="n">
        <f aca="false">IF(G230&gt;0,IF(INDEX(CONFIRM!$G$5:$G$53,G230)&lt;&gt;"",INDEX(CONFIRM!$G$5:$G$53,G230),IF(ISNUMBER(L230),L230,IFERROR(DATEVALUE(L230),""))),IF(ISNUMBER(L230),L230,IFERROR(DATEVALUE(L230),"")))</f>
        <v>46008</v>
      </c>
      <c r="N230" s="1" t="str">
        <f aca="false">IF(M230="","Check",IF(AND(M230&gt;=INPUTS!$C$6,M230&lt;=INPUTS!$C$7),"Yes","No"))</f>
        <v>Yes</v>
      </c>
      <c r="O230" s="48" t="str">
        <f aca="false">STACK!H230</f>
        <v>Nutritionist</v>
      </c>
      <c r="P230" s="1" t="str">
        <f aca="false">IF(G230&gt;0,IF(INDEX(CONFIRM!$H$5:$H$53,G230)&lt;&gt;"",INDEX(CONFIRM!$H$5:$H$53,G230),IFERROR(INDEX(MAP!$B$7:$B$156,MATCH(TRIM(O230),MAP!$A$7:$A$156,0)),"UNMAPPED")),IFERROR(INDEX(MAP!$B$7:$B$156,MATCH(TRIM(O230),MAP!$A$7:$A$156,0)),"UNMAPPED"))</f>
        <v>Registered Dietitian</v>
      </c>
      <c r="Q230" s="48" t="n">
        <f aca="false">STACK!I230</f>
        <v>1.75</v>
      </c>
      <c r="R230" s="60" t="n">
        <f aca="false">IF(G230&gt;0,IF(INDEX(CONFIRM!$F$5:$F$53,G230)&lt;&gt;"",INDEX(CONFIRM!$F$5:$F$53,G230),IF(ISNUMBER(Q230),Q230,IF(Q230="","",IFERROR(VALUE(TRIM(SUBSTITUTE(SUBSTITUTE(LOWER(Q230),"hrs",""),"hr",""))),"")))),IF(ISNUMBER(Q230),Q230,IF(Q230="","",IFERROR(VALUE(TRIM(SUBSTITUTE(SUBSTITUTE(LOWER(Q230),"hrs",""),"hr",""))),""))))</f>
        <v>1.75</v>
      </c>
      <c r="S230" s="57" t="n">
        <f aca="false">IFERROR(INDEX(RATES!$E$6:$E$28,MATCH(P230,RATES!$A$6:$A$28,0)),0)</f>
        <v>46.9025</v>
      </c>
      <c r="T230" s="61" t="n">
        <f aca="false">IF(ISNUMBER(R230),R230,0)*S230</f>
        <v>82.079375</v>
      </c>
      <c r="U230" s="61" t="n">
        <f aca="false">T230*INDEX(INPUTS!$H$10:$H$14,MATCH(B230,INPUTS!$A$10:$A$14,0))</f>
        <v>15.184684375</v>
      </c>
      <c r="V230" s="61" t="n">
        <f aca="false">N(STACK!K230)</f>
        <v>0</v>
      </c>
      <c r="W230" s="61" t="n">
        <f aca="false">T230+U230+V230</f>
        <v>97.264059375</v>
      </c>
      <c r="X230" s="61" t="n">
        <f aca="false">N(STACK!L230)</f>
        <v>0</v>
      </c>
      <c r="Y230" s="61" t="n">
        <f aca="false">W230-X230</f>
        <v>97.264059375</v>
      </c>
      <c r="Z230" s="1" t="n">
        <f aca="false">N(STACK!J230)</f>
        <v>0</v>
      </c>
      <c r="AA230" s="1" t="str">
        <f aca="false">TRIM(IF(D230="UNMAPPED","Program not mapped. ","")&amp;IF(OR(K230="UNMAPPED",K230="UNASSIGNED"),"Category needs review. ","")&amp;IF(P230="UNMAPPED","Title not mapped. ","")&amp;IF(AND(P230&lt;&gt;"No staff time",R230=""),"Missing hours. ","")&amp;IF(M230="","Date not readable. ","")&amp;IF(N230="No","Outside fiscal year. ","")&amp;IF(AND(F230="Event",ISNUMBER(R230)),IF(R230&gt;12,"Event hours look high. ",""),"")&amp;IF(G230&gt;0,"See CONFIRM sheet.",""))</f>
        <v/>
      </c>
      <c r="AB230" s="1" t="n">
        <f aca="false">IF(N230="No",0,IF(REVIEW!O230=0,0,IF(G230&gt;0,IF(INDEX(CONFIRM!$J$5:$J$53,G230)&lt;&gt;"",INDEX(CONFIRM!$J$5:$J$53,G230),1),1)))</f>
        <v>1</v>
      </c>
      <c r="AC230" s="1" t="n">
        <f aca="false">IF(AB230=1,IF(COUNTIFS($B$5:B230,B230,$D$5:D230,D230,$AB$5:AB230,1)=1,1,0),0)</f>
        <v>0</v>
      </c>
    </row>
    <row r="231" customFormat="false" ht="15" hidden="false" customHeight="false" outlineLevel="0" collapsed="false">
      <c r="A231" s="48" t="str">
        <f aca="false">STACK!A231</f>
        <v>KVMC-0227</v>
      </c>
      <c r="B231" s="48" t="str">
        <f aca="false">STACK!B231</f>
        <v>KVMC</v>
      </c>
      <c r="C231" s="48" t="str">
        <f aca="false">STACK!E231</f>
        <v>Grief Support Group</v>
      </c>
      <c r="D231" s="1" t="str">
        <f aca="false">IFERROR(INDEX(MAP!$J$7:$J$101,MATCH(TRIM(C231),MAP!$I$7:$I$101,0)),"UNMAPPED")</f>
        <v>Grief Support Group</v>
      </c>
      <c r="E231" s="1" t="str">
        <f aca="false">IFERROR(INDEX(MAP!$K$7:$K$101,MATCH(TRIM(C231),MAP!$I$7:$I$101,0)),"")</f>
        <v>Behavioral health</v>
      </c>
      <c r="F231" s="1" t="str">
        <f aca="false">IFERROR(INDEX(MAP!$L$7:$L$101,MATCH(TRIM(C231),MAP!$I$7:$I$101,0)),"")</f>
        <v>Event</v>
      </c>
      <c r="G231" s="1" t="n">
        <f aca="false">IFERROR(MATCH(A231,CONFIRM!$A$5:$A$53,0),0)</f>
        <v>0</v>
      </c>
      <c r="H231" s="48" t="str">
        <f aca="false">STACK!F231</f>
        <v>Health Care Support Services</v>
      </c>
      <c r="I231" s="1" t="str">
        <f aca="false">IF(G231&gt;0,IF(INDEX(CONFIRM!$I$5:$I$53,G231)&lt;&gt;"",INDEX(CONFIRM!$I$5:$I$53,G231),H231),H231)</f>
        <v>Health Care Support Services</v>
      </c>
      <c r="J231" s="1" t="str">
        <f aca="false">IFERROR(INDEX(MAP!$F$7:$F$74,MATCH(TRIM(I231),MAP!$E$7:$E$74,0)),"UNMAPPED")</f>
        <v>Health care support services</v>
      </c>
      <c r="K231" s="1" t="str">
        <f aca="false">IFERROR(INDEX(MAP!$G$7:$G$74,MATCH(TRIM(I231),MAP!$E$7:$E$74,0)),"UNMAPPED")</f>
        <v>7e</v>
      </c>
      <c r="L231" s="49" t="n">
        <f aca="false">STACK!G231</f>
        <v>46015</v>
      </c>
      <c r="M231" s="59" t="n">
        <f aca="false">IF(G231&gt;0,IF(INDEX(CONFIRM!$G$5:$G$53,G231)&lt;&gt;"",INDEX(CONFIRM!$G$5:$G$53,G231),IF(ISNUMBER(L231),L231,IFERROR(DATEVALUE(L231),""))),IF(ISNUMBER(L231),L231,IFERROR(DATEVALUE(L231),"")))</f>
        <v>46015</v>
      </c>
      <c r="N231" s="1" t="str">
        <f aca="false">IF(M231="","Check",IF(AND(M231&gt;=INPUTS!$C$6,M231&lt;=INPUTS!$C$7),"Yes","No"))</f>
        <v>Yes</v>
      </c>
      <c r="O231" s="48" t="str">
        <f aca="false">STACK!H231</f>
        <v>Chaplain</v>
      </c>
      <c r="P231" s="1" t="str">
        <f aca="false">IF(G231&gt;0,IF(INDEX(CONFIRM!$H$5:$H$53,G231)&lt;&gt;"",INDEX(CONFIRM!$H$5:$H$53,G231),IFERROR(INDEX(MAP!$B$7:$B$156,MATCH(TRIM(O231),MAP!$A$7:$A$156,0)),"UNMAPPED")),IFERROR(INDEX(MAP!$B$7:$B$156,MATCH(TRIM(O231),MAP!$A$7:$A$156,0)),"UNMAPPED"))</f>
        <v>Chaplain</v>
      </c>
      <c r="Q231" s="48" t="n">
        <f aca="false">STACK!I231</f>
        <v>2.25</v>
      </c>
      <c r="R231" s="60" t="n">
        <f aca="false">IF(G231&gt;0,IF(INDEX(CONFIRM!$F$5:$F$53,G231)&lt;&gt;"",INDEX(CONFIRM!$F$5:$F$53,G231),IF(ISNUMBER(Q231),Q231,IF(Q231="","",IFERROR(VALUE(TRIM(SUBSTITUTE(SUBSTITUTE(LOWER(Q231),"hrs",""),"hr",""))),"")))),IF(ISNUMBER(Q231),Q231,IF(Q231="","",IFERROR(VALUE(TRIM(SUBSTITUTE(SUBSTITUTE(LOWER(Q231),"hrs",""),"hr",""))),""))))</f>
        <v>2.25</v>
      </c>
      <c r="S231" s="57" t="n">
        <f aca="false">IFERROR(INDEX(RATES!$E$6:$E$28,MATCH(P231,RATES!$A$6:$A$28,0)),0)</f>
        <v>39.835</v>
      </c>
      <c r="T231" s="61" t="n">
        <f aca="false">IF(ISNUMBER(R231),R231,0)*S231</f>
        <v>89.62875</v>
      </c>
      <c r="U231" s="61" t="n">
        <f aca="false">T231*INDEX(INPUTS!$H$10:$H$14,MATCH(B231,INPUTS!$A$10:$A$14,0))</f>
        <v>16.58131875</v>
      </c>
      <c r="V231" s="61" t="n">
        <f aca="false">N(STACK!K231)</f>
        <v>50</v>
      </c>
      <c r="W231" s="61" t="n">
        <f aca="false">T231+U231+V231</f>
        <v>156.21006875</v>
      </c>
      <c r="X231" s="61" t="n">
        <f aca="false">N(STACK!L231)</f>
        <v>0</v>
      </c>
      <c r="Y231" s="61" t="n">
        <f aca="false">W231-X231</f>
        <v>156.21006875</v>
      </c>
      <c r="Z231" s="1" t="n">
        <f aca="false">N(STACK!J231)</f>
        <v>9</v>
      </c>
      <c r="AA231" s="1" t="str">
        <f aca="false">TRIM(IF(D231="UNMAPPED","Program not mapped. ","")&amp;IF(OR(K231="UNMAPPED",K231="UNASSIGNED"),"Category needs review. ","")&amp;IF(P231="UNMAPPED","Title not mapped. ","")&amp;IF(AND(P231&lt;&gt;"No staff time",R231=""),"Missing hours. ","")&amp;IF(M231="","Date not readable. ","")&amp;IF(N231="No","Outside fiscal year. ","")&amp;IF(AND(F231="Event",ISNUMBER(R231)),IF(R231&gt;12,"Event hours look high. ",""),"")&amp;IF(G231&gt;0,"See CONFIRM sheet.",""))</f>
        <v/>
      </c>
      <c r="AB231" s="1" t="n">
        <f aca="false">IF(N231="No",0,IF(REVIEW!O231=0,0,IF(G231&gt;0,IF(INDEX(CONFIRM!$J$5:$J$53,G231)&lt;&gt;"",INDEX(CONFIRM!$J$5:$J$53,G231),1),1)))</f>
        <v>1</v>
      </c>
      <c r="AC231" s="1" t="n">
        <f aca="false">IF(AB231=1,IF(COUNTIFS($B$5:B231,B231,$D$5:D231,D231,$AB$5:AB231,1)=1,1,0),0)</f>
        <v>0</v>
      </c>
    </row>
    <row r="232" customFormat="false" ht="15" hidden="false" customHeight="false" outlineLevel="0" collapsed="false">
      <c r="A232" s="48" t="str">
        <f aca="false">STACK!A232</f>
        <v>KVMC-0228</v>
      </c>
      <c r="B232" s="48" t="str">
        <f aca="false">STACK!B232</f>
        <v>KVMC</v>
      </c>
      <c r="C232" s="48" t="str">
        <f aca="false">STACK!E232</f>
        <v>Grief Support Group</v>
      </c>
      <c r="D232" s="1" t="str">
        <f aca="false">IFERROR(INDEX(MAP!$J$7:$J$101,MATCH(TRIM(C232),MAP!$I$7:$I$101,0)),"UNMAPPED")</f>
        <v>Grief Support Group</v>
      </c>
      <c r="E232" s="1" t="str">
        <f aca="false">IFERROR(INDEX(MAP!$K$7:$K$101,MATCH(TRIM(C232),MAP!$I$7:$I$101,0)),"")</f>
        <v>Behavioral health</v>
      </c>
      <c r="F232" s="1" t="str">
        <f aca="false">IFERROR(INDEX(MAP!$L$7:$L$101,MATCH(TRIM(C232),MAP!$I$7:$I$101,0)),"")</f>
        <v>Event</v>
      </c>
      <c r="G232" s="1" t="n">
        <f aca="false">IFERROR(MATCH(A232,CONFIRM!$A$5:$A$53,0),0)</f>
        <v>0</v>
      </c>
      <c r="H232" s="48" t="str">
        <f aca="false">STACK!F232</f>
        <v>Health Care Support Services</v>
      </c>
      <c r="I232" s="1" t="str">
        <f aca="false">IF(G232&gt;0,IF(INDEX(CONFIRM!$I$5:$I$53,G232)&lt;&gt;"",INDEX(CONFIRM!$I$5:$I$53,G232),H232),H232)</f>
        <v>Health Care Support Services</v>
      </c>
      <c r="J232" s="1" t="str">
        <f aca="false">IFERROR(INDEX(MAP!$F$7:$F$74,MATCH(TRIM(I232),MAP!$E$7:$E$74,0)),"UNMAPPED")</f>
        <v>Health care support services</v>
      </c>
      <c r="K232" s="1" t="str">
        <f aca="false">IFERROR(INDEX(MAP!$G$7:$G$74,MATCH(TRIM(I232),MAP!$E$7:$E$74,0)),"UNMAPPED")</f>
        <v>7e</v>
      </c>
      <c r="L232" s="49" t="n">
        <f aca="false">STACK!G232</f>
        <v>46015</v>
      </c>
      <c r="M232" s="59" t="n">
        <f aca="false">IF(G232&gt;0,IF(INDEX(CONFIRM!$G$5:$G$53,G232)&lt;&gt;"",INDEX(CONFIRM!$G$5:$G$53,G232),IF(ISNUMBER(L232),L232,IFERROR(DATEVALUE(L232),""))),IF(ISNUMBER(L232),L232,IFERROR(DATEVALUE(L232),"")))</f>
        <v>46015</v>
      </c>
      <c r="N232" s="1" t="str">
        <f aca="false">IF(M232="","Check",IF(AND(M232&gt;=INPUTS!$C$6,M232&lt;=INPUTS!$C$7),"Yes","No"))</f>
        <v>Yes</v>
      </c>
      <c r="O232" s="48" t="str">
        <f aca="false">STACK!H232</f>
        <v>LMSW</v>
      </c>
      <c r="P232" s="1" t="str">
        <f aca="false">IF(G232&gt;0,IF(INDEX(CONFIRM!$H$5:$H$53,G232)&lt;&gt;"",INDEX(CONFIRM!$H$5:$H$53,G232),IFERROR(INDEX(MAP!$B$7:$B$156,MATCH(TRIM(O232),MAP!$A$7:$A$156,0)),"UNMAPPED")),IFERROR(INDEX(MAP!$B$7:$B$156,MATCH(TRIM(O232),MAP!$A$7:$A$156,0)),"UNMAPPED"))</f>
        <v>Social Worker</v>
      </c>
      <c r="Q232" s="48" t="n">
        <f aca="false">STACK!I232</f>
        <v>2</v>
      </c>
      <c r="R232" s="60" t="n">
        <f aca="false">IF(G232&gt;0,IF(INDEX(CONFIRM!$F$5:$F$53,G232)&lt;&gt;"",INDEX(CONFIRM!$F$5:$F$53,G232),IF(ISNUMBER(Q232),Q232,IF(Q232="","",IFERROR(VALUE(TRIM(SUBSTITUTE(SUBSTITUTE(LOWER(Q232),"hrs",""),"hr",""))),"")))),IF(ISNUMBER(Q232),Q232,IF(Q232="","",IFERROR(VALUE(TRIM(SUBSTITUTE(SUBSTITUTE(LOWER(Q232),"hrs",""),"hr",""))),""))))</f>
        <v>2</v>
      </c>
      <c r="S232" s="57" t="n">
        <f aca="false">IFERROR(INDEX(RATES!$E$6:$E$28,MATCH(P232,RATES!$A$6:$A$28,0)),0)</f>
        <v>45.6175</v>
      </c>
      <c r="T232" s="61" t="n">
        <f aca="false">IF(ISNUMBER(R232),R232,0)*S232</f>
        <v>91.235</v>
      </c>
      <c r="U232" s="61" t="n">
        <f aca="false">T232*INDEX(INPUTS!$H$10:$H$14,MATCH(B232,INPUTS!$A$10:$A$14,0))</f>
        <v>16.878475</v>
      </c>
      <c r="V232" s="61" t="n">
        <f aca="false">N(STACK!K232)</f>
        <v>0</v>
      </c>
      <c r="W232" s="61" t="n">
        <f aca="false">T232+U232+V232</f>
        <v>108.113475</v>
      </c>
      <c r="X232" s="61" t="n">
        <f aca="false">N(STACK!L232)</f>
        <v>0</v>
      </c>
      <c r="Y232" s="61" t="n">
        <f aca="false">W232-X232</f>
        <v>108.113475</v>
      </c>
      <c r="Z232" s="1" t="n">
        <f aca="false">N(STACK!J232)</f>
        <v>0</v>
      </c>
      <c r="AA232" s="1" t="str">
        <f aca="false">TRIM(IF(D232="UNMAPPED","Program not mapped. ","")&amp;IF(OR(K232="UNMAPPED",K232="UNASSIGNED"),"Category needs review. ","")&amp;IF(P232="UNMAPPED","Title not mapped. ","")&amp;IF(AND(P232&lt;&gt;"No staff time",R232=""),"Missing hours. ","")&amp;IF(M232="","Date not readable. ","")&amp;IF(N232="No","Outside fiscal year. ","")&amp;IF(AND(F232="Event",ISNUMBER(R232)),IF(R232&gt;12,"Event hours look high. ",""),"")&amp;IF(G232&gt;0,"See CONFIRM sheet.",""))</f>
        <v/>
      </c>
      <c r="AB232" s="1" t="n">
        <f aca="false">IF(N232="No",0,IF(REVIEW!O232=0,0,IF(G232&gt;0,IF(INDEX(CONFIRM!$J$5:$J$53,G232)&lt;&gt;"",INDEX(CONFIRM!$J$5:$J$53,G232),1),1)))</f>
        <v>1</v>
      </c>
      <c r="AC232" s="1" t="n">
        <f aca="false">IF(AB232=1,IF(COUNTIFS($B$5:B232,B232,$D$5:D232,D232,$AB$5:AB232,1)=1,1,0),0)</f>
        <v>0</v>
      </c>
    </row>
    <row r="233" customFormat="false" ht="15" hidden="false" customHeight="false" outlineLevel="0" collapsed="false">
      <c r="A233" s="48" t="str">
        <f aca="false">STACK!A233</f>
        <v>KVMC-0229</v>
      </c>
      <c r="B233" s="48" t="str">
        <f aca="false">STACK!B233</f>
        <v>KVMC</v>
      </c>
      <c r="C233" s="48" t="str">
        <f aca="false">STACK!E233</f>
        <v>Diabetes Prevention Classes</v>
      </c>
      <c r="D233" s="1" t="str">
        <f aca="false">IFERROR(INDEX(MAP!$J$7:$J$101,MATCH(TRIM(C233),MAP!$I$7:$I$101,0)),"UNMAPPED")</f>
        <v>Diabetes Prevention Classes</v>
      </c>
      <c r="E233" s="1" t="str">
        <f aca="false">IFERROR(INDEX(MAP!$K$7:$K$101,MATCH(TRIM(C233),MAP!$I$7:$I$101,0)),"")</f>
        <v>Chronic disease prevention</v>
      </c>
      <c r="F233" s="1" t="str">
        <f aca="false">IFERROR(INDEX(MAP!$L$7:$L$101,MATCH(TRIM(C233),MAP!$I$7:$I$101,0)),"")</f>
        <v>Event</v>
      </c>
      <c r="G233" s="1" t="n">
        <f aca="false">IFERROR(MATCH(A233,CONFIRM!$A$5:$A$53,0),0)</f>
        <v>0</v>
      </c>
      <c r="H233" s="48" t="str">
        <f aca="false">STACK!F233</f>
        <v>Community Health Education</v>
      </c>
      <c r="I233" s="1" t="str">
        <f aca="false">IF(G233&gt;0,IF(INDEX(CONFIRM!$I$5:$I$53,G233)&lt;&gt;"",INDEX(CONFIRM!$I$5:$I$53,G233),H233),H233)</f>
        <v>Community Health Education</v>
      </c>
      <c r="J233" s="1" t="str">
        <f aca="false">IFERROR(INDEX(MAP!$F$7:$F$74,MATCH(TRIM(I233),MAP!$E$7:$E$74,0)),"UNMAPPED")</f>
        <v>Community health education</v>
      </c>
      <c r="K233" s="1" t="str">
        <f aca="false">IFERROR(INDEX(MAP!$G$7:$G$74,MATCH(TRIM(I233),MAP!$E$7:$E$74,0)),"UNMAPPED")</f>
        <v>7e</v>
      </c>
      <c r="L233" s="49" t="n">
        <f aca="false">STACK!G233</f>
        <v>46016</v>
      </c>
      <c r="M233" s="59" t="n">
        <f aca="false">IF(G233&gt;0,IF(INDEX(CONFIRM!$G$5:$G$53,G233)&lt;&gt;"",INDEX(CONFIRM!$G$5:$G$53,G233),IF(ISNUMBER(L233),L233,IFERROR(DATEVALUE(L233),""))),IF(ISNUMBER(L233),L233,IFERROR(DATEVALUE(L233),"")))</f>
        <v>46016</v>
      </c>
      <c r="N233" s="1" t="str">
        <f aca="false">IF(M233="","Check",IF(AND(M233&gt;=INPUTS!$C$6,M233&lt;=INPUTS!$C$7),"Yes","No"))</f>
        <v>Yes</v>
      </c>
      <c r="O233" s="48" t="str">
        <f aca="false">STACK!H233</f>
        <v>Health Ed</v>
      </c>
      <c r="P233" s="1" t="str">
        <f aca="false">IF(G233&gt;0,IF(INDEX(CONFIRM!$H$5:$H$53,G233)&lt;&gt;"",INDEX(CONFIRM!$H$5:$H$53,G233),IFERROR(INDEX(MAP!$B$7:$B$156,MATCH(TRIM(O233),MAP!$A$7:$A$156,0)),"UNMAPPED")),IFERROR(INDEX(MAP!$B$7:$B$156,MATCH(TRIM(O233),MAP!$A$7:$A$156,0)),"UNMAPPED"))</f>
        <v>Health Educator</v>
      </c>
      <c r="Q233" s="48" t="n">
        <f aca="false">STACK!I233</f>
        <v>2</v>
      </c>
      <c r="R233" s="60" t="n">
        <f aca="false">IF(G233&gt;0,IF(INDEX(CONFIRM!$F$5:$F$53,G233)&lt;&gt;"",INDEX(CONFIRM!$F$5:$F$53,G233),IF(ISNUMBER(Q233),Q233,IF(Q233="","",IFERROR(VALUE(TRIM(SUBSTITUTE(SUBSTITUTE(LOWER(Q233),"hrs",""),"hr",""))),"")))),IF(ISNUMBER(Q233),Q233,IF(Q233="","",IFERROR(VALUE(TRIM(SUBSTITUTE(SUBSTITUTE(LOWER(Q233),"hrs",""),"hr",""))),""))))</f>
        <v>2</v>
      </c>
      <c r="S233" s="57" t="n">
        <f aca="false">IFERROR(INDEX(RATES!$E$6:$E$28,MATCH(P233,RATES!$A$6:$A$28,0)),0)</f>
        <v>37.265</v>
      </c>
      <c r="T233" s="61" t="n">
        <f aca="false">IF(ISNUMBER(R233),R233,0)*S233</f>
        <v>74.53</v>
      </c>
      <c r="U233" s="61" t="n">
        <f aca="false">T233*INDEX(INPUTS!$H$10:$H$14,MATCH(B233,INPUTS!$A$10:$A$14,0))</f>
        <v>13.78805</v>
      </c>
      <c r="V233" s="61" t="n">
        <f aca="false">N(STACK!K233)</f>
        <v>80</v>
      </c>
      <c r="W233" s="61" t="n">
        <f aca="false">T233+U233+V233</f>
        <v>168.31805</v>
      </c>
      <c r="X233" s="61" t="n">
        <f aca="false">N(STACK!L233)</f>
        <v>0</v>
      </c>
      <c r="Y233" s="61" t="n">
        <f aca="false">W233-X233</f>
        <v>168.31805</v>
      </c>
      <c r="Z233" s="1" t="n">
        <f aca="false">N(STACK!J233)</f>
        <v>16</v>
      </c>
      <c r="AA233" s="1" t="str">
        <f aca="false">TRIM(IF(D233="UNMAPPED","Program not mapped. ","")&amp;IF(OR(K233="UNMAPPED",K233="UNASSIGNED"),"Category needs review. ","")&amp;IF(P233="UNMAPPED","Title not mapped. ","")&amp;IF(AND(P233&lt;&gt;"No staff time",R233=""),"Missing hours. ","")&amp;IF(M233="","Date not readable. ","")&amp;IF(N233="No","Outside fiscal year. ","")&amp;IF(AND(F233="Event",ISNUMBER(R233)),IF(R233&gt;12,"Event hours look high. ",""),"")&amp;IF(G233&gt;0,"See CONFIRM sheet.",""))</f>
        <v/>
      </c>
      <c r="AB233" s="1" t="n">
        <f aca="false">IF(N233="No",0,IF(REVIEW!O233=0,0,IF(G233&gt;0,IF(INDEX(CONFIRM!$J$5:$J$53,G233)&lt;&gt;"",INDEX(CONFIRM!$J$5:$J$53,G233),1),1)))</f>
        <v>1</v>
      </c>
      <c r="AC233" s="1" t="n">
        <f aca="false">IF(AB233=1,IF(COUNTIFS($B$5:B233,B233,$D$5:D233,D233,$AB$5:AB233,1)=1,1,0),0)</f>
        <v>0</v>
      </c>
    </row>
    <row r="234" customFormat="false" ht="15" hidden="false" customHeight="false" outlineLevel="0" collapsed="false">
      <c r="A234" s="48" t="str">
        <f aca="false">STACK!A234</f>
        <v>KVMC-0230</v>
      </c>
      <c r="B234" s="48" t="str">
        <f aca="false">STACK!B234</f>
        <v>KVMC</v>
      </c>
      <c r="C234" s="48" t="str">
        <f aca="false">STACK!E234</f>
        <v>Diabetes Prevention Classes</v>
      </c>
      <c r="D234" s="1" t="str">
        <f aca="false">IFERROR(INDEX(MAP!$J$7:$J$101,MATCH(TRIM(C234),MAP!$I$7:$I$101,0)),"UNMAPPED")</f>
        <v>Diabetes Prevention Classes</v>
      </c>
      <c r="E234" s="1" t="str">
        <f aca="false">IFERROR(INDEX(MAP!$K$7:$K$101,MATCH(TRIM(C234),MAP!$I$7:$I$101,0)),"")</f>
        <v>Chronic disease prevention</v>
      </c>
      <c r="F234" s="1" t="str">
        <f aca="false">IFERROR(INDEX(MAP!$L$7:$L$101,MATCH(TRIM(C234),MAP!$I$7:$I$101,0)),"")</f>
        <v>Event</v>
      </c>
      <c r="G234" s="1" t="n">
        <f aca="false">IFERROR(MATCH(A234,CONFIRM!$A$5:$A$53,0),0)</f>
        <v>0</v>
      </c>
      <c r="H234" s="48" t="str">
        <f aca="false">STACK!F234</f>
        <v>Community Health Education</v>
      </c>
      <c r="I234" s="1" t="str">
        <f aca="false">IF(G234&gt;0,IF(INDEX(CONFIRM!$I$5:$I$53,G234)&lt;&gt;"",INDEX(CONFIRM!$I$5:$I$53,G234),H234),H234)</f>
        <v>Community Health Education</v>
      </c>
      <c r="J234" s="1" t="str">
        <f aca="false">IFERROR(INDEX(MAP!$F$7:$F$74,MATCH(TRIM(I234),MAP!$E$7:$E$74,0)),"UNMAPPED")</f>
        <v>Community health education</v>
      </c>
      <c r="K234" s="1" t="str">
        <f aca="false">IFERROR(INDEX(MAP!$G$7:$G$74,MATCH(TRIM(I234),MAP!$E$7:$E$74,0)),"UNMAPPED")</f>
        <v>7e</v>
      </c>
      <c r="L234" s="49" t="n">
        <f aca="false">STACK!G234</f>
        <v>46016</v>
      </c>
      <c r="M234" s="59" t="n">
        <f aca="false">IF(G234&gt;0,IF(INDEX(CONFIRM!$G$5:$G$53,G234)&lt;&gt;"",INDEX(CONFIRM!$G$5:$G$53,G234),IF(ISNUMBER(L234),L234,IFERROR(DATEVALUE(L234),""))),IF(ISNUMBER(L234),L234,IFERROR(DATEVALUE(L234),"")))</f>
        <v>46016</v>
      </c>
      <c r="N234" s="1" t="str">
        <f aca="false">IF(M234="","Check",IF(AND(M234&gt;=INPUTS!$C$6,M234&lt;=INPUTS!$C$7),"Yes","No"))</f>
        <v>Yes</v>
      </c>
      <c r="O234" s="48" t="str">
        <f aca="false">STACK!H234</f>
        <v>RD</v>
      </c>
      <c r="P234" s="1" t="str">
        <f aca="false">IF(G234&gt;0,IF(INDEX(CONFIRM!$H$5:$H$53,G234)&lt;&gt;"",INDEX(CONFIRM!$H$5:$H$53,G234),IFERROR(INDEX(MAP!$B$7:$B$156,MATCH(TRIM(O234),MAP!$A$7:$A$156,0)),"UNMAPPED")),IFERROR(INDEX(MAP!$B$7:$B$156,MATCH(TRIM(O234),MAP!$A$7:$A$156,0)),"UNMAPPED"))</f>
        <v>Registered Dietitian</v>
      </c>
      <c r="Q234" s="48" t="n">
        <f aca="false">STACK!I234</f>
        <v>1.75</v>
      </c>
      <c r="R234" s="60" t="n">
        <f aca="false">IF(G234&gt;0,IF(INDEX(CONFIRM!$F$5:$F$53,G234)&lt;&gt;"",INDEX(CONFIRM!$F$5:$F$53,G234),IF(ISNUMBER(Q234),Q234,IF(Q234="","",IFERROR(VALUE(TRIM(SUBSTITUTE(SUBSTITUTE(LOWER(Q234),"hrs",""),"hr",""))),"")))),IF(ISNUMBER(Q234),Q234,IF(Q234="","",IFERROR(VALUE(TRIM(SUBSTITUTE(SUBSTITUTE(LOWER(Q234),"hrs",""),"hr",""))),""))))</f>
        <v>1.75</v>
      </c>
      <c r="S234" s="57" t="n">
        <f aca="false">IFERROR(INDEX(RATES!$E$6:$E$28,MATCH(P234,RATES!$A$6:$A$28,0)),0)</f>
        <v>46.9025</v>
      </c>
      <c r="T234" s="61" t="n">
        <f aca="false">IF(ISNUMBER(R234),R234,0)*S234</f>
        <v>82.079375</v>
      </c>
      <c r="U234" s="61" t="n">
        <f aca="false">T234*INDEX(INPUTS!$H$10:$H$14,MATCH(B234,INPUTS!$A$10:$A$14,0))</f>
        <v>15.184684375</v>
      </c>
      <c r="V234" s="61" t="n">
        <f aca="false">N(STACK!K234)</f>
        <v>0</v>
      </c>
      <c r="W234" s="61" t="n">
        <f aca="false">T234+U234+V234</f>
        <v>97.264059375</v>
      </c>
      <c r="X234" s="61" t="n">
        <f aca="false">N(STACK!L234)</f>
        <v>0</v>
      </c>
      <c r="Y234" s="61" t="n">
        <f aca="false">W234-X234</f>
        <v>97.264059375</v>
      </c>
      <c r="Z234" s="1" t="n">
        <f aca="false">N(STACK!J234)</f>
        <v>0</v>
      </c>
      <c r="AA234" s="1" t="str">
        <f aca="false">TRIM(IF(D234="UNMAPPED","Program not mapped. ","")&amp;IF(OR(K234="UNMAPPED",K234="UNASSIGNED"),"Category needs review. ","")&amp;IF(P234="UNMAPPED","Title not mapped. ","")&amp;IF(AND(P234&lt;&gt;"No staff time",R234=""),"Missing hours. ","")&amp;IF(M234="","Date not readable. ","")&amp;IF(N234="No","Outside fiscal year. ","")&amp;IF(AND(F234="Event",ISNUMBER(R234)),IF(R234&gt;12,"Event hours look high. ",""),"")&amp;IF(G234&gt;0,"See CONFIRM sheet.",""))</f>
        <v/>
      </c>
      <c r="AB234" s="1" t="n">
        <f aca="false">IF(N234="No",0,IF(REVIEW!O234=0,0,IF(G234&gt;0,IF(INDEX(CONFIRM!$J$5:$J$53,G234)&lt;&gt;"",INDEX(CONFIRM!$J$5:$J$53,G234),1),1)))</f>
        <v>1</v>
      </c>
      <c r="AC234" s="1" t="n">
        <f aca="false">IF(AB234=1,IF(COUNTIFS($B$5:B234,B234,$D$5:D234,D234,$AB$5:AB234,1)=1,1,0),0)</f>
        <v>0</v>
      </c>
    </row>
    <row r="235" customFormat="false" ht="15" hidden="false" customHeight="false" outlineLevel="0" collapsed="false">
      <c r="A235" s="48" t="str">
        <f aca="false">STACK!A235</f>
        <v>KVMC-0231</v>
      </c>
      <c r="B235" s="48" t="str">
        <f aca="false">STACK!B235</f>
        <v>KVMC</v>
      </c>
      <c r="C235" s="48" t="str">
        <f aca="false">STACK!E235</f>
        <v>Diabetes Prevention Classes</v>
      </c>
      <c r="D235" s="1" t="str">
        <f aca="false">IFERROR(INDEX(MAP!$J$7:$J$101,MATCH(TRIM(C235),MAP!$I$7:$I$101,0)),"UNMAPPED")</f>
        <v>Diabetes Prevention Classes</v>
      </c>
      <c r="E235" s="1" t="str">
        <f aca="false">IFERROR(INDEX(MAP!$K$7:$K$101,MATCH(TRIM(C235),MAP!$I$7:$I$101,0)),"")</f>
        <v>Chronic disease prevention</v>
      </c>
      <c r="F235" s="1" t="str">
        <f aca="false">IFERROR(INDEX(MAP!$L$7:$L$101,MATCH(TRIM(C235),MAP!$I$7:$I$101,0)),"")</f>
        <v>Event</v>
      </c>
      <c r="G235" s="1" t="n">
        <f aca="false">IFERROR(MATCH(A235,CONFIRM!$A$5:$A$53,0),0)</f>
        <v>0</v>
      </c>
      <c r="H235" s="48" t="str">
        <f aca="false">STACK!F235</f>
        <v>Community Health Education</v>
      </c>
      <c r="I235" s="1" t="str">
        <f aca="false">IF(G235&gt;0,IF(INDEX(CONFIRM!$I$5:$I$53,G235)&lt;&gt;"",INDEX(CONFIRM!$I$5:$I$53,G235),H235),H235)</f>
        <v>Community Health Education</v>
      </c>
      <c r="J235" s="1" t="str">
        <f aca="false">IFERROR(INDEX(MAP!$F$7:$F$74,MATCH(TRIM(I235),MAP!$E$7:$E$74,0)),"UNMAPPED")</f>
        <v>Community health education</v>
      </c>
      <c r="K235" s="1" t="str">
        <f aca="false">IFERROR(INDEX(MAP!$G$7:$G$74,MATCH(TRIM(I235),MAP!$E$7:$E$74,0)),"UNMAPPED")</f>
        <v>7e</v>
      </c>
      <c r="L235" s="49" t="n">
        <f aca="false">STACK!G235</f>
        <v>46017</v>
      </c>
      <c r="M235" s="59" t="n">
        <f aca="false">IF(G235&gt;0,IF(INDEX(CONFIRM!$G$5:$G$53,G235)&lt;&gt;"",INDEX(CONFIRM!$G$5:$G$53,G235),IF(ISNUMBER(L235),L235,IFERROR(DATEVALUE(L235),""))),IF(ISNUMBER(L235),L235,IFERROR(DATEVALUE(L235),"")))</f>
        <v>46017</v>
      </c>
      <c r="N235" s="1" t="str">
        <f aca="false">IF(M235="","Check",IF(AND(M235&gt;=INPUTS!$C$6,M235&lt;=INPUTS!$C$7),"Yes","No"))</f>
        <v>Yes</v>
      </c>
      <c r="O235" s="48" t="str">
        <f aca="false">STACK!H235</f>
        <v>Health Educator</v>
      </c>
      <c r="P235" s="1" t="str">
        <f aca="false">IF(G235&gt;0,IF(INDEX(CONFIRM!$H$5:$H$53,G235)&lt;&gt;"",INDEX(CONFIRM!$H$5:$H$53,G235),IFERROR(INDEX(MAP!$B$7:$B$156,MATCH(TRIM(O235),MAP!$A$7:$A$156,0)),"UNMAPPED")),IFERROR(INDEX(MAP!$B$7:$B$156,MATCH(TRIM(O235),MAP!$A$7:$A$156,0)),"UNMAPPED"))</f>
        <v>Health Educator</v>
      </c>
      <c r="Q235" s="48" t="n">
        <f aca="false">STACK!I235</f>
        <v>2</v>
      </c>
      <c r="R235" s="60" t="n">
        <f aca="false">IF(G235&gt;0,IF(INDEX(CONFIRM!$F$5:$F$53,G235)&lt;&gt;"",INDEX(CONFIRM!$F$5:$F$53,G235),IF(ISNUMBER(Q235),Q235,IF(Q235="","",IFERROR(VALUE(TRIM(SUBSTITUTE(SUBSTITUTE(LOWER(Q235),"hrs",""),"hr",""))),"")))),IF(ISNUMBER(Q235),Q235,IF(Q235="","",IFERROR(VALUE(TRIM(SUBSTITUTE(SUBSTITUTE(LOWER(Q235),"hrs",""),"hr",""))),""))))</f>
        <v>2</v>
      </c>
      <c r="S235" s="57" t="n">
        <f aca="false">IFERROR(INDEX(RATES!$E$6:$E$28,MATCH(P235,RATES!$A$6:$A$28,0)),0)</f>
        <v>37.265</v>
      </c>
      <c r="T235" s="61" t="n">
        <f aca="false">IF(ISNUMBER(R235),R235,0)*S235</f>
        <v>74.53</v>
      </c>
      <c r="U235" s="61" t="n">
        <f aca="false">T235*INDEX(INPUTS!$H$10:$H$14,MATCH(B235,INPUTS!$A$10:$A$14,0))</f>
        <v>13.78805</v>
      </c>
      <c r="V235" s="61" t="n">
        <f aca="false">N(STACK!K235)</f>
        <v>165</v>
      </c>
      <c r="W235" s="61" t="n">
        <f aca="false">T235+U235+V235</f>
        <v>253.31805</v>
      </c>
      <c r="X235" s="61" t="n">
        <f aca="false">N(STACK!L235)</f>
        <v>0</v>
      </c>
      <c r="Y235" s="61" t="n">
        <f aca="false">W235-X235</f>
        <v>253.31805</v>
      </c>
      <c r="Z235" s="1" t="n">
        <f aca="false">N(STACK!J235)</f>
        <v>15</v>
      </c>
      <c r="AA235" s="1" t="str">
        <f aca="false">TRIM(IF(D235="UNMAPPED","Program not mapped. ","")&amp;IF(OR(K235="UNMAPPED",K235="UNASSIGNED"),"Category needs review. ","")&amp;IF(P235="UNMAPPED","Title not mapped. ","")&amp;IF(AND(P235&lt;&gt;"No staff time",R235=""),"Missing hours. ","")&amp;IF(M235="","Date not readable. ","")&amp;IF(N235="No","Outside fiscal year. ","")&amp;IF(AND(F235="Event",ISNUMBER(R235)),IF(R235&gt;12,"Event hours look high. ",""),"")&amp;IF(G235&gt;0,"See CONFIRM sheet.",""))</f>
        <v/>
      </c>
      <c r="AB235" s="1" t="n">
        <f aca="false">IF(N235="No",0,IF(REVIEW!O235=0,0,IF(G235&gt;0,IF(INDEX(CONFIRM!$J$5:$J$53,G235)&lt;&gt;"",INDEX(CONFIRM!$J$5:$J$53,G235),1),1)))</f>
        <v>1</v>
      </c>
      <c r="AC235" s="1" t="n">
        <f aca="false">IF(AB235=1,IF(COUNTIFS($B$5:B235,B235,$D$5:D235,D235,$AB$5:AB235,1)=1,1,0),0)</f>
        <v>0</v>
      </c>
    </row>
    <row r="236" customFormat="false" ht="15" hidden="false" customHeight="false" outlineLevel="0" collapsed="false">
      <c r="A236" s="48" t="str">
        <f aca="false">STACK!A236</f>
        <v>KVMC-0232</v>
      </c>
      <c r="B236" s="48" t="str">
        <f aca="false">STACK!B236</f>
        <v>KVMC</v>
      </c>
      <c r="C236" s="48" t="str">
        <f aca="false">STACK!E236</f>
        <v>Diabetes Prevention Classes</v>
      </c>
      <c r="D236" s="1" t="str">
        <f aca="false">IFERROR(INDEX(MAP!$J$7:$J$101,MATCH(TRIM(C236),MAP!$I$7:$I$101,0)),"UNMAPPED")</f>
        <v>Diabetes Prevention Classes</v>
      </c>
      <c r="E236" s="1" t="str">
        <f aca="false">IFERROR(INDEX(MAP!$K$7:$K$101,MATCH(TRIM(C236),MAP!$I$7:$I$101,0)),"")</f>
        <v>Chronic disease prevention</v>
      </c>
      <c r="F236" s="1" t="str">
        <f aca="false">IFERROR(INDEX(MAP!$L$7:$L$101,MATCH(TRIM(C236),MAP!$I$7:$I$101,0)),"")</f>
        <v>Event</v>
      </c>
      <c r="G236" s="1" t="n">
        <f aca="false">IFERROR(MATCH(A236,CONFIRM!$A$5:$A$53,0),0)</f>
        <v>0</v>
      </c>
      <c r="H236" s="48" t="str">
        <f aca="false">STACK!F236</f>
        <v>Community Health Education</v>
      </c>
      <c r="I236" s="1" t="str">
        <f aca="false">IF(G236&gt;0,IF(INDEX(CONFIRM!$I$5:$I$53,G236)&lt;&gt;"",INDEX(CONFIRM!$I$5:$I$53,G236),H236),H236)</f>
        <v>Community Health Education</v>
      </c>
      <c r="J236" s="1" t="str">
        <f aca="false">IFERROR(INDEX(MAP!$F$7:$F$74,MATCH(TRIM(I236),MAP!$E$7:$E$74,0)),"UNMAPPED")</f>
        <v>Community health education</v>
      </c>
      <c r="K236" s="1" t="str">
        <f aca="false">IFERROR(INDEX(MAP!$G$7:$G$74,MATCH(TRIM(I236),MAP!$E$7:$E$74,0)),"UNMAPPED")</f>
        <v>7e</v>
      </c>
      <c r="L236" s="49" t="n">
        <f aca="false">STACK!G236</f>
        <v>46017</v>
      </c>
      <c r="M236" s="59" t="n">
        <f aca="false">IF(G236&gt;0,IF(INDEX(CONFIRM!$G$5:$G$53,G236)&lt;&gt;"",INDEX(CONFIRM!$G$5:$G$53,G236),IF(ISNUMBER(L236),L236,IFERROR(DATEVALUE(L236),""))),IF(ISNUMBER(L236),L236,IFERROR(DATEVALUE(L236),"")))</f>
        <v>46017</v>
      </c>
      <c r="N236" s="1" t="str">
        <f aca="false">IF(M236="","Check",IF(AND(M236&gt;=INPUTS!$C$6,M236&lt;=INPUTS!$C$7),"Yes","No"))</f>
        <v>Yes</v>
      </c>
      <c r="O236" s="48" t="str">
        <f aca="false">STACK!H236</f>
        <v>RDN</v>
      </c>
      <c r="P236" s="1" t="str">
        <f aca="false">IF(G236&gt;0,IF(INDEX(CONFIRM!$H$5:$H$53,G236)&lt;&gt;"",INDEX(CONFIRM!$H$5:$H$53,G236),IFERROR(INDEX(MAP!$B$7:$B$156,MATCH(TRIM(O236),MAP!$A$7:$A$156,0)),"UNMAPPED")),IFERROR(INDEX(MAP!$B$7:$B$156,MATCH(TRIM(O236),MAP!$A$7:$A$156,0)),"UNMAPPED"))</f>
        <v>Registered Dietitian</v>
      </c>
      <c r="Q236" s="48" t="n">
        <f aca="false">STACK!I236</f>
        <v>1.75</v>
      </c>
      <c r="R236" s="60" t="n">
        <f aca="false">IF(G236&gt;0,IF(INDEX(CONFIRM!$F$5:$F$53,G236)&lt;&gt;"",INDEX(CONFIRM!$F$5:$F$53,G236),IF(ISNUMBER(Q236),Q236,IF(Q236="","",IFERROR(VALUE(TRIM(SUBSTITUTE(SUBSTITUTE(LOWER(Q236),"hrs",""),"hr",""))),"")))),IF(ISNUMBER(Q236),Q236,IF(Q236="","",IFERROR(VALUE(TRIM(SUBSTITUTE(SUBSTITUTE(LOWER(Q236),"hrs",""),"hr",""))),""))))</f>
        <v>1.75</v>
      </c>
      <c r="S236" s="57" t="n">
        <f aca="false">IFERROR(INDEX(RATES!$E$6:$E$28,MATCH(P236,RATES!$A$6:$A$28,0)),0)</f>
        <v>46.9025</v>
      </c>
      <c r="T236" s="61" t="n">
        <f aca="false">IF(ISNUMBER(R236),R236,0)*S236</f>
        <v>82.079375</v>
      </c>
      <c r="U236" s="61" t="n">
        <f aca="false">T236*INDEX(INPUTS!$H$10:$H$14,MATCH(B236,INPUTS!$A$10:$A$14,0))</f>
        <v>15.184684375</v>
      </c>
      <c r="V236" s="61" t="n">
        <f aca="false">N(STACK!K236)</f>
        <v>0</v>
      </c>
      <c r="W236" s="61" t="n">
        <f aca="false">T236+U236+V236</f>
        <v>97.264059375</v>
      </c>
      <c r="X236" s="61" t="n">
        <f aca="false">N(STACK!L236)</f>
        <v>0</v>
      </c>
      <c r="Y236" s="61" t="n">
        <f aca="false">W236-X236</f>
        <v>97.264059375</v>
      </c>
      <c r="Z236" s="1" t="n">
        <f aca="false">N(STACK!J236)</f>
        <v>0</v>
      </c>
      <c r="AA236" s="1" t="str">
        <f aca="false">TRIM(IF(D236="UNMAPPED","Program not mapped. ","")&amp;IF(OR(K236="UNMAPPED",K236="UNASSIGNED"),"Category needs review. ","")&amp;IF(P236="UNMAPPED","Title not mapped. ","")&amp;IF(AND(P236&lt;&gt;"No staff time",R236=""),"Missing hours. ","")&amp;IF(M236="","Date not readable. ","")&amp;IF(N236="No","Outside fiscal year. ","")&amp;IF(AND(F236="Event",ISNUMBER(R236)),IF(R236&gt;12,"Event hours look high. ",""),"")&amp;IF(G236&gt;0,"See CONFIRM sheet.",""))</f>
        <v/>
      </c>
      <c r="AB236" s="1" t="n">
        <f aca="false">IF(N236="No",0,IF(REVIEW!O236=0,0,IF(G236&gt;0,IF(INDEX(CONFIRM!$J$5:$J$53,G236)&lt;&gt;"",INDEX(CONFIRM!$J$5:$J$53,G236),1),1)))</f>
        <v>1</v>
      </c>
      <c r="AC236" s="1" t="n">
        <f aca="false">IF(AB236=1,IF(COUNTIFS($B$5:B236,B236,$D$5:D236,D236,$AB$5:AB236,1)=1,1,0),0)</f>
        <v>0</v>
      </c>
    </row>
    <row r="237" customFormat="false" ht="15" hidden="false" customHeight="false" outlineLevel="0" collapsed="false">
      <c r="A237" s="48" t="str">
        <f aca="false">STACK!A237</f>
        <v>KVMC-0233</v>
      </c>
      <c r="B237" s="48" t="str">
        <f aca="false">STACK!B237</f>
        <v>KVMC</v>
      </c>
      <c r="C237" s="48" t="str">
        <f aca="false">STACK!E237</f>
        <v>Diabetes Prevention Classes</v>
      </c>
      <c r="D237" s="1" t="str">
        <f aca="false">IFERROR(INDEX(MAP!$J$7:$J$101,MATCH(TRIM(C237),MAP!$I$7:$I$101,0)),"UNMAPPED")</f>
        <v>Diabetes Prevention Classes</v>
      </c>
      <c r="E237" s="1" t="str">
        <f aca="false">IFERROR(INDEX(MAP!$K$7:$K$101,MATCH(TRIM(C237),MAP!$I$7:$I$101,0)),"")</f>
        <v>Chronic disease prevention</v>
      </c>
      <c r="F237" s="1" t="str">
        <f aca="false">IFERROR(INDEX(MAP!$L$7:$L$101,MATCH(TRIM(C237),MAP!$I$7:$I$101,0)),"")</f>
        <v>Event</v>
      </c>
      <c r="G237" s="1" t="n">
        <f aca="false">IFERROR(MATCH(A237,CONFIRM!$A$5:$A$53,0),0)</f>
        <v>0</v>
      </c>
      <c r="H237" s="48" t="str">
        <f aca="false">STACK!F237</f>
        <v>Community Health Education</v>
      </c>
      <c r="I237" s="1" t="str">
        <f aca="false">IF(G237&gt;0,IF(INDEX(CONFIRM!$I$5:$I$53,G237)&lt;&gt;"",INDEX(CONFIRM!$I$5:$I$53,G237),H237),H237)</f>
        <v>Community Health Education</v>
      </c>
      <c r="J237" s="1" t="str">
        <f aca="false">IFERROR(INDEX(MAP!$F$7:$F$74,MATCH(TRIM(I237),MAP!$E$7:$E$74,0)),"UNMAPPED")</f>
        <v>Community health education</v>
      </c>
      <c r="K237" s="1" t="str">
        <f aca="false">IFERROR(INDEX(MAP!$G$7:$G$74,MATCH(TRIM(I237),MAP!$E$7:$E$74,0)),"UNMAPPED")</f>
        <v>7e</v>
      </c>
      <c r="L237" s="49" t="n">
        <f aca="false">STACK!G237</f>
        <v>46018</v>
      </c>
      <c r="M237" s="59" t="n">
        <f aca="false">IF(G237&gt;0,IF(INDEX(CONFIRM!$G$5:$G$53,G237)&lt;&gt;"",INDEX(CONFIRM!$G$5:$G$53,G237),IF(ISNUMBER(L237),L237,IFERROR(DATEVALUE(L237),""))),IF(ISNUMBER(L237),L237,IFERROR(DATEVALUE(L237),"")))</f>
        <v>46018</v>
      </c>
      <c r="N237" s="1" t="str">
        <f aca="false">IF(M237="","Check",IF(AND(M237&gt;=INPUTS!$C$6,M237&lt;=INPUTS!$C$7),"Yes","No"))</f>
        <v>Yes</v>
      </c>
      <c r="O237" s="48" t="str">
        <f aca="false">STACK!H237</f>
        <v>Hlth Educator </v>
      </c>
      <c r="P237" s="1" t="str">
        <f aca="false">IF(G237&gt;0,IF(INDEX(CONFIRM!$H$5:$H$53,G237)&lt;&gt;"",INDEX(CONFIRM!$H$5:$H$53,G237),IFERROR(INDEX(MAP!$B$7:$B$156,MATCH(TRIM(O237),MAP!$A$7:$A$156,0)),"UNMAPPED")),IFERROR(INDEX(MAP!$B$7:$B$156,MATCH(TRIM(O237),MAP!$A$7:$A$156,0)),"UNMAPPED"))</f>
        <v>Health Educator</v>
      </c>
      <c r="Q237" s="48" t="n">
        <f aca="false">STACK!I237</f>
        <v>2.5</v>
      </c>
      <c r="R237" s="60" t="n">
        <f aca="false">IF(G237&gt;0,IF(INDEX(CONFIRM!$F$5:$F$53,G237)&lt;&gt;"",INDEX(CONFIRM!$F$5:$F$53,G237),IF(ISNUMBER(Q237),Q237,IF(Q237="","",IFERROR(VALUE(TRIM(SUBSTITUTE(SUBSTITUTE(LOWER(Q237),"hrs",""),"hr",""))),"")))),IF(ISNUMBER(Q237),Q237,IF(Q237="","",IFERROR(VALUE(TRIM(SUBSTITUTE(SUBSTITUTE(LOWER(Q237),"hrs",""),"hr",""))),""))))</f>
        <v>2.5</v>
      </c>
      <c r="S237" s="57" t="n">
        <f aca="false">IFERROR(INDEX(RATES!$E$6:$E$28,MATCH(P237,RATES!$A$6:$A$28,0)),0)</f>
        <v>37.265</v>
      </c>
      <c r="T237" s="61" t="n">
        <f aca="false">IF(ISNUMBER(R237),R237,0)*S237</f>
        <v>93.1625</v>
      </c>
      <c r="U237" s="61" t="n">
        <f aca="false">T237*INDEX(INPUTS!$H$10:$H$14,MATCH(B237,INPUTS!$A$10:$A$14,0))</f>
        <v>17.2350625</v>
      </c>
      <c r="V237" s="61" t="n">
        <f aca="false">N(STACK!K237)</f>
        <v>60</v>
      </c>
      <c r="W237" s="61" t="n">
        <f aca="false">T237+U237+V237</f>
        <v>170.3975625</v>
      </c>
      <c r="X237" s="61" t="n">
        <f aca="false">N(STACK!L237)</f>
        <v>0</v>
      </c>
      <c r="Y237" s="61" t="n">
        <f aca="false">W237-X237</f>
        <v>170.3975625</v>
      </c>
      <c r="Z237" s="1" t="n">
        <f aca="false">N(STACK!J237)</f>
        <v>9</v>
      </c>
      <c r="AA237" s="1" t="str">
        <f aca="false">TRIM(IF(D237="UNMAPPED","Program not mapped. ","")&amp;IF(OR(K237="UNMAPPED",K237="UNASSIGNED"),"Category needs review. ","")&amp;IF(P237="UNMAPPED","Title not mapped. ","")&amp;IF(AND(P237&lt;&gt;"No staff time",R237=""),"Missing hours. ","")&amp;IF(M237="","Date not readable. ","")&amp;IF(N237="No","Outside fiscal year. ","")&amp;IF(AND(F237="Event",ISNUMBER(R237)),IF(R237&gt;12,"Event hours look high. ",""),"")&amp;IF(G237&gt;0,"See CONFIRM sheet.",""))</f>
        <v/>
      </c>
      <c r="AB237" s="1" t="n">
        <f aca="false">IF(N237="No",0,IF(REVIEW!O237=0,0,IF(G237&gt;0,IF(INDEX(CONFIRM!$J$5:$J$53,G237)&lt;&gt;"",INDEX(CONFIRM!$J$5:$J$53,G237),1),1)))</f>
        <v>1</v>
      </c>
      <c r="AC237" s="1" t="n">
        <f aca="false">IF(AB237=1,IF(COUNTIFS($B$5:B237,B237,$D$5:D237,D237,$AB$5:AB237,1)=1,1,0),0)</f>
        <v>0</v>
      </c>
    </row>
    <row r="238" customFormat="false" ht="15" hidden="false" customHeight="false" outlineLevel="0" collapsed="false">
      <c r="A238" s="48" t="str">
        <f aca="false">STACK!A238</f>
        <v>KVMC-0234</v>
      </c>
      <c r="B238" s="48" t="str">
        <f aca="false">STACK!B238</f>
        <v>KVMC</v>
      </c>
      <c r="C238" s="48" t="str">
        <f aca="false">STACK!E238</f>
        <v>Diabetes Prevention Classes</v>
      </c>
      <c r="D238" s="1" t="str">
        <f aca="false">IFERROR(INDEX(MAP!$J$7:$J$101,MATCH(TRIM(C238),MAP!$I$7:$I$101,0)),"UNMAPPED")</f>
        <v>Diabetes Prevention Classes</v>
      </c>
      <c r="E238" s="1" t="str">
        <f aca="false">IFERROR(INDEX(MAP!$K$7:$K$101,MATCH(TRIM(C238),MAP!$I$7:$I$101,0)),"")</f>
        <v>Chronic disease prevention</v>
      </c>
      <c r="F238" s="1" t="str">
        <f aca="false">IFERROR(INDEX(MAP!$L$7:$L$101,MATCH(TRIM(C238),MAP!$I$7:$I$101,0)),"")</f>
        <v>Event</v>
      </c>
      <c r="G238" s="1" t="n">
        <f aca="false">IFERROR(MATCH(A238,CONFIRM!$A$5:$A$53,0),0)</f>
        <v>0</v>
      </c>
      <c r="H238" s="48" t="str">
        <f aca="false">STACK!F238</f>
        <v>Community Health Education</v>
      </c>
      <c r="I238" s="1" t="str">
        <f aca="false">IF(G238&gt;0,IF(INDEX(CONFIRM!$I$5:$I$53,G238)&lt;&gt;"",INDEX(CONFIRM!$I$5:$I$53,G238),H238),H238)</f>
        <v>Community Health Education</v>
      </c>
      <c r="J238" s="1" t="str">
        <f aca="false">IFERROR(INDEX(MAP!$F$7:$F$74,MATCH(TRIM(I238),MAP!$E$7:$E$74,0)),"UNMAPPED")</f>
        <v>Community health education</v>
      </c>
      <c r="K238" s="1" t="str">
        <f aca="false">IFERROR(INDEX(MAP!$G$7:$G$74,MATCH(TRIM(I238),MAP!$E$7:$E$74,0)),"UNMAPPED")</f>
        <v>7e</v>
      </c>
      <c r="L238" s="49" t="n">
        <f aca="false">STACK!G238</f>
        <v>46018</v>
      </c>
      <c r="M238" s="59" t="n">
        <f aca="false">IF(G238&gt;0,IF(INDEX(CONFIRM!$G$5:$G$53,G238)&lt;&gt;"",INDEX(CONFIRM!$G$5:$G$53,G238),IF(ISNUMBER(L238),L238,IFERROR(DATEVALUE(L238),""))),IF(ISNUMBER(L238),L238,IFERROR(DATEVALUE(L238),"")))</f>
        <v>46018</v>
      </c>
      <c r="N238" s="1" t="str">
        <f aca="false">IF(M238="","Check",IF(AND(M238&gt;=INPUTS!$C$6,M238&lt;=INPUTS!$C$7),"Yes","No"))</f>
        <v>Yes</v>
      </c>
      <c r="O238" s="48" t="str">
        <f aca="false">STACK!H238</f>
        <v>Registered Dietitian</v>
      </c>
      <c r="P238" s="1" t="str">
        <f aca="false">IF(G238&gt;0,IF(INDEX(CONFIRM!$H$5:$H$53,G238)&lt;&gt;"",INDEX(CONFIRM!$H$5:$H$53,G238),IFERROR(INDEX(MAP!$B$7:$B$156,MATCH(TRIM(O238),MAP!$A$7:$A$156,0)),"UNMAPPED")),IFERROR(INDEX(MAP!$B$7:$B$156,MATCH(TRIM(O238),MAP!$A$7:$A$156,0)),"UNMAPPED"))</f>
        <v>Registered Dietitian</v>
      </c>
      <c r="Q238" s="48" t="n">
        <f aca="false">STACK!I238</f>
        <v>1.75</v>
      </c>
      <c r="R238" s="60" t="n">
        <f aca="false">IF(G238&gt;0,IF(INDEX(CONFIRM!$F$5:$F$53,G238)&lt;&gt;"",INDEX(CONFIRM!$F$5:$F$53,G238),IF(ISNUMBER(Q238),Q238,IF(Q238="","",IFERROR(VALUE(TRIM(SUBSTITUTE(SUBSTITUTE(LOWER(Q238),"hrs",""),"hr",""))),"")))),IF(ISNUMBER(Q238),Q238,IF(Q238="","",IFERROR(VALUE(TRIM(SUBSTITUTE(SUBSTITUTE(LOWER(Q238),"hrs",""),"hr",""))),""))))</f>
        <v>1.75</v>
      </c>
      <c r="S238" s="57" t="n">
        <f aca="false">IFERROR(INDEX(RATES!$E$6:$E$28,MATCH(P238,RATES!$A$6:$A$28,0)),0)</f>
        <v>46.9025</v>
      </c>
      <c r="T238" s="61" t="n">
        <f aca="false">IF(ISNUMBER(R238),R238,0)*S238</f>
        <v>82.079375</v>
      </c>
      <c r="U238" s="61" t="n">
        <f aca="false">T238*INDEX(INPUTS!$H$10:$H$14,MATCH(B238,INPUTS!$A$10:$A$14,0))</f>
        <v>15.184684375</v>
      </c>
      <c r="V238" s="61" t="n">
        <f aca="false">N(STACK!K238)</f>
        <v>0</v>
      </c>
      <c r="W238" s="61" t="n">
        <f aca="false">T238+U238+V238</f>
        <v>97.264059375</v>
      </c>
      <c r="X238" s="61" t="n">
        <f aca="false">N(STACK!L238)</f>
        <v>0</v>
      </c>
      <c r="Y238" s="61" t="n">
        <f aca="false">W238-X238</f>
        <v>97.264059375</v>
      </c>
      <c r="Z238" s="1" t="n">
        <f aca="false">N(STACK!J238)</f>
        <v>0</v>
      </c>
      <c r="AA238" s="1" t="str">
        <f aca="false">TRIM(IF(D238="UNMAPPED","Program not mapped. ","")&amp;IF(OR(K238="UNMAPPED",K238="UNASSIGNED"),"Category needs review. ","")&amp;IF(P238="UNMAPPED","Title not mapped. ","")&amp;IF(AND(P238&lt;&gt;"No staff time",R238=""),"Missing hours. ","")&amp;IF(M238="","Date not readable. ","")&amp;IF(N238="No","Outside fiscal year. ","")&amp;IF(AND(F238="Event",ISNUMBER(R238)),IF(R238&gt;12,"Event hours look high. ",""),"")&amp;IF(G238&gt;0,"See CONFIRM sheet.",""))</f>
        <v/>
      </c>
      <c r="AB238" s="1" t="n">
        <f aca="false">IF(N238="No",0,IF(REVIEW!O238=0,0,IF(G238&gt;0,IF(INDEX(CONFIRM!$J$5:$J$53,G238)&lt;&gt;"",INDEX(CONFIRM!$J$5:$J$53,G238),1),1)))</f>
        <v>1</v>
      </c>
      <c r="AC238" s="1" t="n">
        <f aca="false">IF(AB238=1,IF(COUNTIFS($B$5:B238,B238,$D$5:D238,D238,$AB$5:AB238,1)=1,1,0),0)</f>
        <v>0</v>
      </c>
    </row>
    <row r="239" customFormat="false" ht="15" hidden="false" customHeight="false" outlineLevel="0" collapsed="false">
      <c r="A239" s="48" t="str">
        <f aca="false">STACK!A239</f>
        <v>KVMC-0235</v>
      </c>
      <c r="B239" s="48" t="str">
        <f aca="false">STACK!B239</f>
        <v>KVMC</v>
      </c>
      <c r="C239" s="48" t="str">
        <f aca="false">STACK!E239</f>
        <v>Community Blood Pressure Checks</v>
      </c>
      <c r="D239" s="1" t="str">
        <f aca="false">IFERROR(INDEX(MAP!$J$7:$J$101,MATCH(TRIM(C239),MAP!$I$7:$I$101,0)),"UNMAPPED")</f>
        <v>Community Blood Pressure Checks</v>
      </c>
      <c r="E239" s="1" t="str">
        <f aca="false">IFERROR(INDEX(MAP!$K$7:$K$101,MATCH(TRIM(C239),MAP!$I$7:$I$101,0)),"")</f>
        <v>Chronic disease prevention</v>
      </c>
      <c r="F239" s="1" t="str">
        <f aca="false">IFERROR(INDEX(MAP!$L$7:$L$101,MATCH(TRIM(C239),MAP!$I$7:$I$101,0)),"")</f>
        <v>Event</v>
      </c>
      <c r="G239" s="1" t="n">
        <f aca="false">IFERROR(MATCH(A239,CONFIRM!$A$5:$A$53,0),0)</f>
        <v>0</v>
      </c>
      <c r="H239" s="48" t="str">
        <f aca="false">STACK!F239</f>
        <v>Community-Based Clinical Services</v>
      </c>
      <c r="I239" s="1" t="str">
        <f aca="false">IF(G239&gt;0,IF(INDEX(CONFIRM!$I$5:$I$53,G239)&lt;&gt;"",INDEX(CONFIRM!$I$5:$I$53,G239),H239),H239)</f>
        <v>Community-Based Clinical Services</v>
      </c>
      <c r="J239" s="1" t="str">
        <f aca="false">IFERROR(INDEX(MAP!$F$7:$F$74,MATCH(TRIM(I239),MAP!$E$7:$E$74,0)),"UNMAPPED")</f>
        <v>Community-based clinical services</v>
      </c>
      <c r="K239" s="1" t="str">
        <f aca="false">IFERROR(INDEX(MAP!$G$7:$G$74,MATCH(TRIM(I239),MAP!$E$7:$E$74,0)),"UNMAPPED")</f>
        <v>7e</v>
      </c>
      <c r="L239" s="49" t="n">
        <f aca="false">STACK!G239</f>
        <v>46021</v>
      </c>
      <c r="M239" s="59" t="n">
        <f aca="false">IF(G239&gt;0,IF(INDEX(CONFIRM!$G$5:$G$53,G239)&lt;&gt;"",INDEX(CONFIRM!$G$5:$G$53,G239),IF(ISNUMBER(L239),L239,IFERROR(DATEVALUE(L239),""))),IF(ISNUMBER(L239),L239,IFERROR(DATEVALUE(L239),"")))</f>
        <v>46021</v>
      </c>
      <c r="N239" s="1" t="str">
        <f aca="false">IF(M239="","Check",IF(AND(M239&gt;=INPUTS!$C$6,M239&lt;=INPUTS!$C$7),"Yes","No"))</f>
        <v>Yes</v>
      </c>
      <c r="O239" s="48" t="str">
        <f aca="false">STACK!H239</f>
        <v>Charge RN</v>
      </c>
      <c r="P239" s="1" t="str">
        <f aca="false">IF(G239&gt;0,IF(INDEX(CONFIRM!$H$5:$H$53,G239)&lt;&gt;"",INDEX(CONFIRM!$H$5:$H$53,G239),IFERROR(INDEX(MAP!$B$7:$B$156,MATCH(TRIM(O239),MAP!$A$7:$A$156,0)),"UNMAPPED")),IFERROR(INDEX(MAP!$B$7:$B$156,MATCH(TRIM(O239),MAP!$A$7:$A$156,0)),"UNMAPPED"))</f>
        <v>Registered Nurse</v>
      </c>
      <c r="Q239" s="48" t="n">
        <f aca="false">STACK!I239</f>
        <v>3.5</v>
      </c>
      <c r="R239" s="60" t="n">
        <f aca="false">IF(G239&gt;0,IF(INDEX(CONFIRM!$F$5:$F$53,G239)&lt;&gt;"",INDEX(CONFIRM!$F$5:$F$53,G239),IF(ISNUMBER(Q239),Q239,IF(Q239="","",IFERROR(VALUE(TRIM(SUBSTITUTE(SUBSTITUTE(LOWER(Q239),"hrs",""),"hr",""))),"")))),IF(ISNUMBER(Q239),Q239,IF(Q239="","",IFERROR(VALUE(TRIM(SUBSTITUTE(SUBSTITUTE(LOWER(Q239),"hrs",""),"hr",""))),""))))</f>
        <v>3.5</v>
      </c>
      <c r="S239" s="57" t="n">
        <f aca="false">IFERROR(INDEX(RATES!$E$6:$E$28,MATCH(P239,RATES!$A$6:$A$28,0)),0)</f>
        <v>55.8975</v>
      </c>
      <c r="T239" s="61" t="n">
        <f aca="false">IF(ISNUMBER(R239),R239,0)*S239</f>
        <v>195.64125</v>
      </c>
      <c r="U239" s="61" t="n">
        <f aca="false">T239*INDEX(INPUTS!$H$10:$H$14,MATCH(B239,INPUTS!$A$10:$A$14,0))</f>
        <v>36.19363125</v>
      </c>
      <c r="V239" s="61" t="n">
        <f aca="false">N(STACK!K239)</f>
        <v>60</v>
      </c>
      <c r="W239" s="61" t="n">
        <f aca="false">T239+U239+V239</f>
        <v>291.83488125</v>
      </c>
      <c r="X239" s="61" t="n">
        <f aca="false">N(STACK!L239)</f>
        <v>0</v>
      </c>
      <c r="Y239" s="61" t="n">
        <f aca="false">W239-X239</f>
        <v>291.83488125</v>
      </c>
      <c r="Z239" s="1" t="n">
        <f aca="false">N(STACK!J239)</f>
        <v>70</v>
      </c>
      <c r="AA239" s="1" t="str">
        <f aca="false">TRIM(IF(D239="UNMAPPED","Program not mapped. ","")&amp;IF(OR(K239="UNMAPPED",K239="UNASSIGNED"),"Category needs review. ","")&amp;IF(P239="UNMAPPED","Title not mapped. ","")&amp;IF(AND(P239&lt;&gt;"No staff time",R239=""),"Missing hours. ","")&amp;IF(M239="","Date not readable. ","")&amp;IF(N239="No","Outside fiscal year. ","")&amp;IF(AND(F239="Event",ISNUMBER(R239)),IF(R239&gt;12,"Event hours look high. ",""),"")&amp;IF(G239&gt;0,"See CONFIRM sheet.",""))</f>
        <v/>
      </c>
      <c r="AB239" s="1" t="n">
        <f aca="false">IF(N239="No",0,IF(REVIEW!O239=0,0,IF(G239&gt;0,IF(INDEX(CONFIRM!$J$5:$J$53,G239)&lt;&gt;"",INDEX(CONFIRM!$J$5:$J$53,G239),1),1)))</f>
        <v>1</v>
      </c>
      <c r="AC239" s="1" t="n">
        <f aca="false">IF(AB239=1,IF(COUNTIFS($B$5:B239,B239,$D$5:D239,D239,$AB$5:AB239,1)=1,1,0),0)</f>
        <v>0</v>
      </c>
    </row>
    <row r="240" customFormat="false" ht="15" hidden="false" customHeight="false" outlineLevel="0" collapsed="false">
      <c r="A240" s="48" t="str">
        <f aca="false">STACK!A240</f>
        <v>KVMC-0236</v>
      </c>
      <c r="B240" s="48" t="str">
        <f aca="false">STACK!B240</f>
        <v>KVMC</v>
      </c>
      <c r="C240" s="48" t="str">
        <f aca="false">STACK!E240</f>
        <v>Regional Health Coalition</v>
      </c>
      <c r="D240" s="1" t="str">
        <f aca="false">IFERROR(INDEX(MAP!$J$7:$J$101,MATCH(TRIM(C240),MAP!$I$7:$I$101,0)),"UNMAPPED")</f>
        <v>Regional Health Coalition</v>
      </c>
      <c r="E240" s="1" t="str">
        <f aca="false">IFERROR(INDEX(MAP!$K$7:$K$101,MATCH(TRIM(C240),MAP!$I$7:$I$101,0)),"")</f>
        <v>Community benefit infrastructure</v>
      </c>
      <c r="F240" s="1" t="str">
        <f aca="false">IFERROR(INDEX(MAP!$L$7:$L$101,MATCH(TRIM(C240),MAP!$I$7:$I$101,0)),"")</f>
        <v>Event</v>
      </c>
      <c r="G240" s="1" t="n">
        <f aca="false">IFERROR(MATCH(A240,CONFIRM!$A$5:$A$53,0),0)</f>
        <v>0</v>
      </c>
      <c r="H240" s="48" t="str">
        <f aca="false">STACK!F240</f>
        <v>Community Building - Coalition</v>
      </c>
      <c r="I240" s="1" t="str">
        <f aca="false">IF(G240&gt;0,IF(INDEX(CONFIRM!$I$5:$I$53,G240)&lt;&gt;"",INDEX(CONFIRM!$I$5:$I$53,G240),H240),H240)</f>
        <v>Community Building - Coalition</v>
      </c>
      <c r="J240" s="1" t="str">
        <f aca="false">IFERROR(INDEX(MAP!$F$7:$F$74,MATCH(TRIM(I240),MAP!$E$7:$E$74,0)),"UNMAPPED")</f>
        <v>Community building: coalition building</v>
      </c>
      <c r="K240" s="1" t="str">
        <f aca="false">IFERROR(INDEX(MAP!$G$7:$G$74,MATCH(TRIM(I240),MAP!$E$7:$E$74,0)),"UNMAPPED")</f>
        <v>II-6</v>
      </c>
      <c r="L240" s="49" t="n">
        <f aca="false">STACK!G240</f>
        <v>46021</v>
      </c>
      <c r="M240" s="59" t="n">
        <f aca="false">IF(G240&gt;0,IF(INDEX(CONFIRM!$G$5:$G$53,G240)&lt;&gt;"",INDEX(CONFIRM!$G$5:$G$53,G240),IF(ISNUMBER(L240),L240,IFERROR(DATEVALUE(L240),""))),IF(ISNUMBER(L240),L240,IFERROR(DATEVALUE(L240),"")))</f>
        <v>46021</v>
      </c>
      <c r="N240" s="1" t="str">
        <f aca="false">IF(M240="","Check",IF(AND(M240&gt;=INPUTS!$C$6,M240&lt;=INPUTS!$C$7),"Yes","No"))</f>
        <v>Yes</v>
      </c>
      <c r="O240" s="48" t="str">
        <f aca="false">STACK!H240</f>
        <v>Community Health Manager</v>
      </c>
      <c r="P240" s="1" t="str">
        <f aca="false">IF(G240&gt;0,IF(INDEX(CONFIRM!$H$5:$H$53,G240)&lt;&gt;"",INDEX(CONFIRM!$H$5:$H$53,G240),IFERROR(INDEX(MAP!$B$7:$B$156,MATCH(TRIM(O240),MAP!$A$7:$A$156,0)),"UNMAPPED")),IFERROR(INDEX(MAP!$B$7:$B$156,MATCH(TRIM(O240),MAP!$A$7:$A$156,0)),"UNMAPPED"))</f>
        <v>Community Benefit Manager</v>
      </c>
      <c r="Q240" s="48" t="n">
        <f aca="false">STACK!I240</f>
        <v>2.25</v>
      </c>
      <c r="R240" s="60" t="n">
        <f aca="false">IF(G240&gt;0,IF(INDEX(CONFIRM!$F$5:$F$53,G240)&lt;&gt;"",INDEX(CONFIRM!$F$5:$F$53,G240),IF(ISNUMBER(Q240),Q240,IF(Q240="","",IFERROR(VALUE(TRIM(SUBSTITUTE(SUBSTITUTE(LOWER(Q240),"hrs",""),"hr",""))),"")))),IF(ISNUMBER(Q240),Q240,IF(Q240="","",IFERROR(VALUE(TRIM(SUBSTITUTE(SUBSTITUTE(LOWER(Q240),"hrs",""),"hr",""))),""))))</f>
        <v>2.25</v>
      </c>
      <c r="S240" s="57" t="n">
        <f aca="false">IFERROR(INDEX(RATES!$E$6:$E$28,MATCH(P240,RATES!$A$6:$A$28,0)),0)</f>
        <v>59.11</v>
      </c>
      <c r="T240" s="61" t="n">
        <f aca="false">IF(ISNUMBER(R240),R240,0)*S240</f>
        <v>132.9975</v>
      </c>
      <c r="U240" s="61" t="n">
        <f aca="false">T240*INDEX(INPUTS!$H$10:$H$14,MATCH(B240,INPUTS!$A$10:$A$14,0))</f>
        <v>24.6045375</v>
      </c>
      <c r="V240" s="61" t="n">
        <f aca="false">N(STACK!K240)</f>
        <v>0</v>
      </c>
      <c r="W240" s="61" t="n">
        <f aca="false">T240+U240+V240</f>
        <v>157.6020375</v>
      </c>
      <c r="X240" s="61" t="n">
        <f aca="false">N(STACK!L240)</f>
        <v>0</v>
      </c>
      <c r="Y240" s="61" t="n">
        <f aca="false">W240-X240</f>
        <v>157.6020375</v>
      </c>
      <c r="Z240" s="1" t="n">
        <f aca="false">N(STACK!J240)</f>
        <v>0</v>
      </c>
      <c r="AA240" s="1" t="str">
        <f aca="false">TRIM(IF(D240="UNMAPPED","Program not mapped. ","")&amp;IF(OR(K240="UNMAPPED",K240="UNASSIGNED"),"Category needs review. ","")&amp;IF(P240="UNMAPPED","Title not mapped. ","")&amp;IF(AND(P240&lt;&gt;"No staff time",R240=""),"Missing hours. ","")&amp;IF(M240="","Date not readable. ","")&amp;IF(N240="No","Outside fiscal year. ","")&amp;IF(AND(F240="Event",ISNUMBER(R240)),IF(R240&gt;12,"Event hours look high. ",""),"")&amp;IF(G240&gt;0,"See CONFIRM sheet.",""))</f>
        <v/>
      </c>
      <c r="AB240" s="1" t="n">
        <f aca="false">IF(N240="No",0,IF(REVIEW!O240=0,0,IF(G240&gt;0,IF(INDEX(CONFIRM!$J$5:$J$53,G240)&lt;&gt;"",INDEX(CONFIRM!$J$5:$J$53,G240),1),1)))</f>
        <v>1</v>
      </c>
      <c r="AC240" s="1" t="n">
        <f aca="false">IF(AB240=1,IF(COUNTIFS($B$5:B240,B240,$D$5:D240,D240,$AB$5:AB240,1)=1,1,0),0)</f>
        <v>0</v>
      </c>
    </row>
    <row r="241" customFormat="false" ht="15" hidden="false" customHeight="false" outlineLevel="0" collapsed="false">
      <c r="A241" s="48" t="str">
        <f aca="false">STACK!A241</f>
        <v>KVMC-0237</v>
      </c>
      <c r="B241" s="48" t="str">
        <f aca="false">STACK!B241</f>
        <v>KVMC</v>
      </c>
      <c r="C241" s="48" t="str">
        <f aca="false">STACK!E241</f>
        <v>Regional Health Coalition</v>
      </c>
      <c r="D241" s="1" t="str">
        <f aca="false">IFERROR(INDEX(MAP!$J$7:$J$101,MATCH(TRIM(C241),MAP!$I$7:$I$101,0)),"UNMAPPED")</f>
        <v>Regional Health Coalition</v>
      </c>
      <c r="E241" s="1" t="str">
        <f aca="false">IFERROR(INDEX(MAP!$K$7:$K$101,MATCH(TRIM(C241),MAP!$I$7:$I$101,0)),"")</f>
        <v>Community benefit infrastructure</v>
      </c>
      <c r="F241" s="1" t="str">
        <f aca="false">IFERROR(INDEX(MAP!$L$7:$L$101,MATCH(TRIM(C241),MAP!$I$7:$I$101,0)),"")</f>
        <v>Event</v>
      </c>
      <c r="G241" s="1" t="n">
        <f aca="false">IFERROR(MATCH(A241,CONFIRM!$A$5:$A$53,0),0)</f>
        <v>0</v>
      </c>
      <c r="H241" s="48" t="str">
        <f aca="false">STACK!F241</f>
        <v>Community Building - Coalition</v>
      </c>
      <c r="I241" s="1" t="str">
        <f aca="false">IF(G241&gt;0,IF(INDEX(CONFIRM!$I$5:$I$53,G241)&lt;&gt;"",INDEX(CONFIRM!$I$5:$I$53,G241),H241),H241)</f>
        <v>Community Building - Coalition</v>
      </c>
      <c r="J241" s="1" t="str">
        <f aca="false">IFERROR(INDEX(MAP!$F$7:$F$74,MATCH(TRIM(I241),MAP!$E$7:$E$74,0)),"UNMAPPED")</f>
        <v>Community building: coalition building</v>
      </c>
      <c r="K241" s="1" t="str">
        <f aca="false">IFERROR(INDEX(MAP!$G$7:$G$74,MATCH(TRIM(I241),MAP!$E$7:$E$74,0)),"UNMAPPED")</f>
        <v>II-6</v>
      </c>
      <c r="L241" s="49" t="n">
        <f aca="false">STACK!G241</f>
        <v>46021</v>
      </c>
      <c r="M241" s="59" t="n">
        <f aca="false">IF(G241&gt;0,IF(INDEX(CONFIRM!$G$5:$G$53,G241)&lt;&gt;"",INDEX(CONFIRM!$G$5:$G$53,G241),IF(ISNUMBER(L241),L241,IFERROR(DATEVALUE(L241),""))),IF(ISNUMBER(L241),L241,IFERROR(DATEVALUE(L241),"")))</f>
        <v>46021</v>
      </c>
      <c r="N241" s="1" t="str">
        <f aca="false">IF(M241="","Check",IF(AND(M241&gt;=INPUTS!$C$6,M241&lt;=INPUTS!$C$7),"Yes","No"))</f>
        <v>Yes</v>
      </c>
      <c r="O241" s="48" t="str">
        <f aca="false">STACK!H241</f>
        <v>Director of Community Health</v>
      </c>
      <c r="P241" s="1" t="str">
        <f aca="false">IF(G241&gt;0,IF(INDEX(CONFIRM!$H$5:$H$53,G241)&lt;&gt;"",INDEX(CONFIRM!$H$5:$H$53,G241),IFERROR(INDEX(MAP!$B$7:$B$156,MATCH(TRIM(O241),MAP!$A$7:$A$156,0)),"UNMAPPED")),IFERROR(INDEX(MAP!$B$7:$B$156,MATCH(TRIM(O241),MAP!$A$7:$A$156,0)),"UNMAPPED"))</f>
        <v>Director</v>
      </c>
      <c r="Q241" s="48" t="n">
        <f aca="false">STACK!I241</f>
        <v>2.75</v>
      </c>
      <c r="R241" s="60" t="n">
        <f aca="false">IF(G241&gt;0,IF(INDEX(CONFIRM!$F$5:$F$53,G241)&lt;&gt;"",INDEX(CONFIRM!$F$5:$F$53,G241),IF(ISNUMBER(Q241),Q241,IF(Q241="","",IFERROR(VALUE(TRIM(SUBSTITUTE(SUBSTITUTE(LOWER(Q241),"hrs",""),"hr",""))),"")))),IF(ISNUMBER(Q241),Q241,IF(Q241="","",IFERROR(VALUE(TRIM(SUBSTITUTE(SUBSTITUTE(LOWER(Q241),"hrs",""),"hr",""))),""))))</f>
        <v>2.75</v>
      </c>
      <c r="S241" s="57" t="n">
        <f aca="false">IFERROR(INDEX(RATES!$E$6:$E$28,MATCH(P241,RATES!$A$6:$A$28,0)),0)</f>
        <v>92.52</v>
      </c>
      <c r="T241" s="61" t="n">
        <f aca="false">IF(ISNUMBER(R241),R241,0)*S241</f>
        <v>254.43</v>
      </c>
      <c r="U241" s="61" t="n">
        <f aca="false">T241*INDEX(INPUTS!$H$10:$H$14,MATCH(B241,INPUTS!$A$10:$A$14,0))</f>
        <v>47.06955</v>
      </c>
      <c r="V241" s="61" t="n">
        <f aca="false">N(STACK!K241)</f>
        <v>50</v>
      </c>
      <c r="W241" s="61" t="n">
        <f aca="false">T241+U241+V241</f>
        <v>351.49955</v>
      </c>
      <c r="X241" s="61" t="n">
        <f aca="false">N(STACK!L241)</f>
        <v>0</v>
      </c>
      <c r="Y241" s="61" t="n">
        <f aca="false">W241-X241</f>
        <v>351.49955</v>
      </c>
      <c r="Z241" s="1" t="n">
        <f aca="false">N(STACK!J241)</f>
        <v>0</v>
      </c>
      <c r="AA241" s="1" t="str">
        <f aca="false">TRIM(IF(D241="UNMAPPED","Program not mapped. ","")&amp;IF(OR(K241="UNMAPPED",K241="UNASSIGNED"),"Category needs review. ","")&amp;IF(P241="UNMAPPED","Title not mapped. ","")&amp;IF(AND(P241&lt;&gt;"No staff time",R241=""),"Missing hours. ","")&amp;IF(M241="","Date not readable. ","")&amp;IF(N241="No","Outside fiscal year. ","")&amp;IF(AND(F241="Event",ISNUMBER(R241)),IF(R241&gt;12,"Event hours look high. ",""),"")&amp;IF(G241&gt;0,"See CONFIRM sheet.",""))</f>
        <v/>
      </c>
      <c r="AB241" s="1" t="n">
        <f aca="false">IF(N241="No",0,IF(REVIEW!O241=0,0,IF(G241&gt;0,IF(INDEX(CONFIRM!$J$5:$J$53,G241)&lt;&gt;"",INDEX(CONFIRM!$J$5:$J$53,G241),1),1)))</f>
        <v>1</v>
      </c>
      <c r="AC241" s="1" t="n">
        <f aca="false">IF(AB241=1,IF(COUNTIFS($B$5:B241,B241,$D$5:D241,D241,$AB$5:AB241,1)=1,1,0),0)</f>
        <v>0</v>
      </c>
    </row>
    <row r="242" customFormat="false" ht="15" hidden="false" customHeight="false" outlineLevel="0" collapsed="false">
      <c r="A242" s="48" t="str">
        <f aca="false">STACK!A242</f>
        <v>KVMC-0238</v>
      </c>
      <c r="B242" s="48" t="str">
        <f aca="false">STACK!B242</f>
        <v>KVMC</v>
      </c>
      <c r="C242" s="48" t="str">
        <f aca="false">STACK!E242</f>
        <v>Mobile Health Screening Unit</v>
      </c>
      <c r="D242" s="1" t="str">
        <f aca="false">IFERROR(INDEX(MAP!$J$7:$J$101,MATCH(TRIM(C242),MAP!$I$7:$I$101,0)),"UNMAPPED")</f>
        <v>Mobile Health Screening Unit</v>
      </c>
      <c r="E242" s="1" t="str">
        <f aca="false">IFERROR(INDEX(MAP!$K$7:$K$101,MATCH(TRIM(C242),MAP!$I$7:$I$101,0)),"")</f>
        <v>Access to care</v>
      </c>
      <c r="F242" s="1" t="str">
        <f aca="false">IFERROR(INDEX(MAP!$L$7:$L$101,MATCH(TRIM(C242),MAP!$I$7:$I$101,0)),"")</f>
        <v>Monthly</v>
      </c>
      <c r="G242" s="1" t="n">
        <f aca="false">IFERROR(MATCH(A242,CONFIRM!$A$5:$A$53,0),0)</f>
        <v>0</v>
      </c>
      <c r="H242" s="48" t="str">
        <f aca="false">STACK!F242</f>
        <v>Community-Based Clinical Services</v>
      </c>
      <c r="I242" s="1" t="str">
        <f aca="false">IF(G242&gt;0,IF(INDEX(CONFIRM!$I$5:$I$53,G242)&lt;&gt;"",INDEX(CONFIRM!$I$5:$I$53,G242),H242),H242)</f>
        <v>Community-Based Clinical Services</v>
      </c>
      <c r="J242" s="1" t="str">
        <f aca="false">IFERROR(INDEX(MAP!$F$7:$F$74,MATCH(TRIM(I242),MAP!$E$7:$E$74,0)),"UNMAPPED")</f>
        <v>Community-based clinical services</v>
      </c>
      <c r="K242" s="1" t="str">
        <f aca="false">IFERROR(INDEX(MAP!$G$7:$G$74,MATCH(TRIM(I242),MAP!$E$7:$E$74,0)),"UNMAPPED")</f>
        <v>7e</v>
      </c>
      <c r="L242" s="49" t="n">
        <f aca="false">STACK!G242</f>
        <v>46022</v>
      </c>
      <c r="M242" s="59" t="n">
        <f aca="false">IF(G242&gt;0,IF(INDEX(CONFIRM!$G$5:$G$53,G242)&lt;&gt;"",INDEX(CONFIRM!$G$5:$G$53,G242),IF(ISNUMBER(L242),L242,IFERROR(DATEVALUE(L242),""))),IF(ISNUMBER(L242),L242,IFERROR(DATEVALUE(L242),"")))</f>
        <v>46022</v>
      </c>
      <c r="N242" s="1" t="str">
        <f aca="false">IF(M242="","Check",IF(AND(M242&gt;=INPUTS!$C$6,M242&lt;=INPUTS!$C$7),"Yes","No"))</f>
        <v>Yes</v>
      </c>
      <c r="O242" s="48" t="str">
        <f aca="false">STACK!H242</f>
        <v>Outreach Worker</v>
      </c>
      <c r="P242" s="1" t="str">
        <f aca="false">IF(G242&gt;0,IF(INDEX(CONFIRM!$H$5:$H$53,G242)&lt;&gt;"",INDEX(CONFIRM!$H$5:$H$53,G242),IFERROR(INDEX(MAP!$B$7:$B$156,MATCH(TRIM(O242),MAP!$A$7:$A$156,0)),"UNMAPPED")),IFERROR(INDEX(MAP!$B$7:$B$156,MATCH(TRIM(O242),MAP!$A$7:$A$156,0)),"UNMAPPED"))</f>
        <v>Community Health Worker</v>
      </c>
      <c r="Q242" s="48" t="n">
        <f aca="false">STACK!I242</f>
        <v>73.75</v>
      </c>
      <c r="R242" s="60" t="n">
        <f aca="false">IF(G242&gt;0,IF(INDEX(CONFIRM!$F$5:$F$53,G242)&lt;&gt;"",INDEX(CONFIRM!$F$5:$F$53,G242),IF(ISNUMBER(Q242),Q242,IF(Q242="","",IFERROR(VALUE(TRIM(SUBSTITUTE(SUBSTITUTE(LOWER(Q242),"hrs",""),"hr",""))),"")))),IF(ISNUMBER(Q242),Q242,IF(Q242="","",IFERROR(VALUE(TRIM(SUBSTITUTE(SUBSTITUTE(LOWER(Q242),"hrs",""),"hr",""))),""))))</f>
        <v>73.75</v>
      </c>
      <c r="S242" s="57" t="n">
        <f aca="false">IFERROR(INDEX(RATES!$E$6:$E$28,MATCH(P242,RATES!$A$6:$A$28,0)),0)</f>
        <v>27.6275</v>
      </c>
      <c r="T242" s="61" t="n">
        <f aca="false">IF(ISNUMBER(R242),R242,0)*S242</f>
        <v>2037.528125</v>
      </c>
      <c r="U242" s="61" t="n">
        <f aca="false">T242*INDEX(INPUTS!$H$10:$H$14,MATCH(B242,INPUTS!$A$10:$A$14,0))</f>
        <v>376.942703125</v>
      </c>
      <c r="V242" s="61" t="n">
        <f aca="false">N(STACK!K242)</f>
        <v>0</v>
      </c>
      <c r="W242" s="61" t="n">
        <f aca="false">T242+U242+V242</f>
        <v>2414.470828125</v>
      </c>
      <c r="X242" s="61" t="n">
        <f aca="false">N(STACK!L242)</f>
        <v>0</v>
      </c>
      <c r="Y242" s="61" t="n">
        <f aca="false">W242-X242</f>
        <v>2414.470828125</v>
      </c>
      <c r="Z242" s="1" t="n">
        <f aca="false">N(STACK!J242)</f>
        <v>0</v>
      </c>
      <c r="AA242" s="1" t="str">
        <f aca="false">TRIM(IF(D242="UNMAPPED","Program not mapped. ","")&amp;IF(OR(K242="UNMAPPED",K242="UNASSIGNED"),"Category needs review. ","")&amp;IF(P242="UNMAPPED","Title not mapped. ","")&amp;IF(AND(P242&lt;&gt;"No staff time",R242=""),"Missing hours. ","")&amp;IF(M242="","Date not readable. ","")&amp;IF(N242="No","Outside fiscal year. ","")&amp;IF(AND(F242="Event",ISNUMBER(R242)),IF(R242&gt;12,"Event hours look high. ",""),"")&amp;IF(G242&gt;0,"See CONFIRM sheet.",""))</f>
        <v/>
      </c>
      <c r="AB242" s="1" t="n">
        <f aca="false">IF(N242="No",0,IF(REVIEW!O242=0,0,IF(G242&gt;0,IF(INDEX(CONFIRM!$J$5:$J$53,G242)&lt;&gt;"",INDEX(CONFIRM!$J$5:$J$53,G242),1),1)))</f>
        <v>1</v>
      </c>
      <c r="AC242" s="1" t="n">
        <f aca="false">IF(AB242=1,IF(COUNTIFS($B$5:B242,B242,$D$5:D242,D242,$AB$5:AB242,1)=1,1,0),0)</f>
        <v>0</v>
      </c>
    </row>
    <row r="243" customFormat="false" ht="15" hidden="false" customHeight="false" outlineLevel="0" collapsed="false">
      <c r="A243" s="48" t="str">
        <f aca="false">STACK!A243</f>
        <v>KVMC-0239</v>
      </c>
      <c r="B243" s="48" t="str">
        <f aca="false">STACK!B243</f>
        <v>KVMC</v>
      </c>
      <c r="C243" s="48" t="str">
        <f aca="false">STACK!E243</f>
        <v>Mobile Health Screening Unit</v>
      </c>
      <c r="D243" s="1" t="str">
        <f aca="false">IFERROR(INDEX(MAP!$J$7:$J$101,MATCH(TRIM(C243),MAP!$I$7:$I$101,0)),"UNMAPPED")</f>
        <v>Mobile Health Screening Unit</v>
      </c>
      <c r="E243" s="1" t="str">
        <f aca="false">IFERROR(INDEX(MAP!$K$7:$K$101,MATCH(TRIM(C243),MAP!$I$7:$I$101,0)),"")</f>
        <v>Access to care</v>
      </c>
      <c r="F243" s="1" t="str">
        <f aca="false">IFERROR(INDEX(MAP!$L$7:$L$101,MATCH(TRIM(C243),MAP!$I$7:$I$101,0)),"")</f>
        <v>Monthly</v>
      </c>
      <c r="G243" s="1" t="n">
        <f aca="false">IFERROR(MATCH(A243,CONFIRM!$A$5:$A$53,0),0)</f>
        <v>0</v>
      </c>
      <c r="H243" s="48" t="str">
        <f aca="false">STACK!F243</f>
        <v>Community-Based Clinical Services</v>
      </c>
      <c r="I243" s="1" t="str">
        <f aca="false">IF(G243&gt;0,IF(INDEX(CONFIRM!$I$5:$I$53,G243)&lt;&gt;"",INDEX(CONFIRM!$I$5:$I$53,G243),H243),H243)</f>
        <v>Community-Based Clinical Services</v>
      </c>
      <c r="J243" s="1" t="str">
        <f aca="false">IFERROR(INDEX(MAP!$F$7:$F$74,MATCH(TRIM(I243),MAP!$E$7:$E$74,0)),"UNMAPPED")</f>
        <v>Community-based clinical services</v>
      </c>
      <c r="K243" s="1" t="str">
        <f aca="false">IFERROR(INDEX(MAP!$G$7:$G$74,MATCH(TRIM(I243),MAP!$E$7:$E$74,0)),"UNMAPPED")</f>
        <v>7e</v>
      </c>
      <c r="L243" s="49" t="n">
        <f aca="false">STACK!G243</f>
        <v>46022</v>
      </c>
      <c r="M243" s="59" t="n">
        <f aca="false">IF(G243&gt;0,IF(INDEX(CONFIRM!$G$5:$G$53,G243)&lt;&gt;"",INDEX(CONFIRM!$G$5:$G$53,G243),IF(ISNUMBER(L243),L243,IFERROR(DATEVALUE(L243),""))),IF(ISNUMBER(L243),L243,IFERROR(DATEVALUE(L243),"")))</f>
        <v>46022</v>
      </c>
      <c r="N243" s="1" t="str">
        <f aca="false">IF(M243="","Check",IF(AND(M243&gt;=INPUTS!$C$6,M243&lt;=INPUTS!$C$7),"Yes","No"))</f>
        <v>Yes</v>
      </c>
      <c r="O243" s="48" t="str">
        <f aca="false">STACK!H243</f>
        <v>Med Asst </v>
      </c>
      <c r="P243" s="1" t="str">
        <f aca="false">IF(G243&gt;0,IF(INDEX(CONFIRM!$H$5:$H$53,G243)&lt;&gt;"",INDEX(CONFIRM!$H$5:$H$53,G243),IFERROR(INDEX(MAP!$B$7:$B$156,MATCH(TRIM(O243),MAP!$A$7:$A$156,0)),"UNMAPPED")),IFERROR(INDEX(MAP!$B$7:$B$156,MATCH(TRIM(O243),MAP!$A$7:$A$156,0)),"UNMAPPED"))</f>
        <v>Medical Assistant</v>
      </c>
      <c r="Q243" s="48" t="n">
        <f aca="false">STACK!I243</f>
        <v>123.5</v>
      </c>
      <c r="R243" s="60" t="n">
        <f aca="false">IF(G243&gt;0,IF(INDEX(CONFIRM!$F$5:$F$53,G243)&lt;&gt;"",INDEX(CONFIRM!$F$5:$F$53,G243),IF(ISNUMBER(Q243),Q243,IF(Q243="","",IFERROR(VALUE(TRIM(SUBSTITUTE(SUBSTITUTE(LOWER(Q243),"hrs",""),"hr",""))),"")))),IF(ISNUMBER(Q243),Q243,IF(Q243="","",IFERROR(VALUE(TRIM(SUBSTITUTE(SUBSTITUTE(LOWER(Q243),"hrs",""),"hr",""))),""))))</f>
        <v>123.5</v>
      </c>
      <c r="S243" s="57" t="n">
        <f aca="false">IFERROR(INDEX(RATES!$E$6:$E$28,MATCH(P243,RATES!$A$6:$A$28,0)),0)</f>
        <v>25.37875</v>
      </c>
      <c r="T243" s="61" t="n">
        <f aca="false">IF(ISNUMBER(R243),R243,0)*S243</f>
        <v>3134.275625</v>
      </c>
      <c r="U243" s="61" t="n">
        <f aca="false">T243*INDEX(INPUTS!$H$10:$H$14,MATCH(B243,INPUTS!$A$10:$A$14,0))</f>
        <v>579.840990625</v>
      </c>
      <c r="V243" s="61" t="n">
        <f aca="false">N(STACK!K243)</f>
        <v>0</v>
      </c>
      <c r="W243" s="61" t="n">
        <f aca="false">T243+U243+V243</f>
        <v>3714.116615625</v>
      </c>
      <c r="X243" s="61" t="n">
        <f aca="false">N(STACK!L243)</f>
        <v>0</v>
      </c>
      <c r="Y243" s="61" t="n">
        <f aca="false">W243-X243</f>
        <v>3714.116615625</v>
      </c>
      <c r="Z243" s="1" t="n">
        <f aca="false">N(STACK!J243)</f>
        <v>0</v>
      </c>
      <c r="AA243" s="1" t="str">
        <f aca="false">TRIM(IF(D243="UNMAPPED","Program not mapped. ","")&amp;IF(OR(K243="UNMAPPED",K243="UNASSIGNED"),"Category needs review. ","")&amp;IF(P243="UNMAPPED","Title not mapped. ","")&amp;IF(AND(P243&lt;&gt;"No staff time",R243=""),"Missing hours. ","")&amp;IF(M243="","Date not readable. ","")&amp;IF(N243="No","Outside fiscal year. ","")&amp;IF(AND(F243="Event",ISNUMBER(R243)),IF(R243&gt;12,"Event hours look high. ",""),"")&amp;IF(G243&gt;0,"See CONFIRM sheet.",""))</f>
        <v/>
      </c>
      <c r="AB243" s="1" t="n">
        <f aca="false">IF(N243="No",0,IF(REVIEW!O243=0,0,IF(G243&gt;0,IF(INDEX(CONFIRM!$J$5:$J$53,G243)&lt;&gt;"",INDEX(CONFIRM!$J$5:$J$53,G243),1),1)))</f>
        <v>1</v>
      </c>
      <c r="AC243" s="1" t="n">
        <f aca="false">IF(AB243=1,IF(COUNTIFS($B$5:B243,B243,$D$5:D243,D243,$AB$5:AB243,1)=1,1,0),0)</f>
        <v>0</v>
      </c>
    </row>
    <row r="244" customFormat="false" ht="15" hidden="false" customHeight="false" outlineLevel="0" collapsed="false">
      <c r="A244" s="48" t="str">
        <f aca="false">STACK!A244</f>
        <v>KVMC-0240</v>
      </c>
      <c r="B244" s="48" t="str">
        <f aca="false">STACK!B244</f>
        <v>KVMC</v>
      </c>
      <c r="C244" s="48" t="str">
        <f aca="false">STACK!E244</f>
        <v>Mobile Health Screening Unit</v>
      </c>
      <c r="D244" s="1" t="str">
        <f aca="false">IFERROR(INDEX(MAP!$J$7:$J$101,MATCH(TRIM(C244),MAP!$I$7:$I$101,0)),"UNMAPPED")</f>
        <v>Mobile Health Screening Unit</v>
      </c>
      <c r="E244" s="1" t="str">
        <f aca="false">IFERROR(INDEX(MAP!$K$7:$K$101,MATCH(TRIM(C244),MAP!$I$7:$I$101,0)),"")</f>
        <v>Access to care</v>
      </c>
      <c r="F244" s="1" t="str">
        <f aca="false">IFERROR(INDEX(MAP!$L$7:$L$101,MATCH(TRIM(C244),MAP!$I$7:$I$101,0)),"")</f>
        <v>Monthly</v>
      </c>
      <c r="G244" s="1" t="n">
        <f aca="false">IFERROR(MATCH(A244,CONFIRM!$A$5:$A$53,0),0)</f>
        <v>0</v>
      </c>
      <c r="H244" s="48" t="str">
        <f aca="false">STACK!F244</f>
        <v>Community-Based Clinical Services</v>
      </c>
      <c r="I244" s="1" t="str">
        <f aca="false">IF(G244&gt;0,IF(INDEX(CONFIRM!$I$5:$I$53,G244)&lt;&gt;"",INDEX(CONFIRM!$I$5:$I$53,G244),H244),H244)</f>
        <v>Community-Based Clinical Services</v>
      </c>
      <c r="J244" s="1" t="str">
        <f aca="false">IFERROR(INDEX(MAP!$F$7:$F$74,MATCH(TRIM(I244),MAP!$E$7:$E$74,0)),"UNMAPPED")</f>
        <v>Community-based clinical services</v>
      </c>
      <c r="K244" s="1" t="str">
        <f aca="false">IFERROR(INDEX(MAP!$G$7:$G$74,MATCH(TRIM(I244),MAP!$E$7:$E$74,0)),"UNMAPPED")</f>
        <v>7e</v>
      </c>
      <c r="L244" s="49" t="n">
        <f aca="false">STACK!G244</f>
        <v>46022</v>
      </c>
      <c r="M244" s="59" t="n">
        <f aca="false">IF(G244&gt;0,IF(INDEX(CONFIRM!$G$5:$G$53,G244)&lt;&gt;"",INDEX(CONFIRM!$G$5:$G$53,G244),IF(ISNUMBER(L244),L244,IFERROR(DATEVALUE(L244),""))),IF(ISNUMBER(L244),L244,IFERROR(DATEVALUE(L244),"")))</f>
        <v>46022</v>
      </c>
      <c r="N244" s="1" t="str">
        <f aca="false">IF(M244="","Check",IF(AND(M244&gt;=INPUTS!$C$6,M244&lt;=INPUTS!$C$7),"Yes","No"))</f>
        <v>Yes</v>
      </c>
      <c r="O244" s="48" t="str">
        <f aca="false">STACK!H244</f>
        <v>Registered Nurse</v>
      </c>
      <c r="P244" s="1" t="str">
        <f aca="false">IF(G244&gt;0,IF(INDEX(CONFIRM!$H$5:$H$53,G244)&lt;&gt;"",INDEX(CONFIRM!$H$5:$H$53,G244),IFERROR(INDEX(MAP!$B$7:$B$156,MATCH(TRIM(O244),MAP!$A$7:$A$156,0)),"UNMAPPED")),IFERROR(INDEX(MAP!$B$7:$B$156,MATCH(TRIM(O244),MAP!$A$7:$A$156,0)),"UNMAPPED"))</f>
        <v>Registered Nurse</v>
      </c>
      <c r="Q244" s="48" t="n">
        <f aca="false">STACK!I244</f>
        <v>122</v>
      </c>
      <c r="R244" s="60" t="n">
        <f aca="false">IF(G244&gt;0,IF(INDEX(CONFIRM!$F$5:$F$53,G244)&lt;&gt;"",INDEX(CONFIRM!$F$5:$F$53,G244),IF(ISNUMBER(Q244),Q244,IF(Q244="","",IFERROR(VALUE(TRIM(SUBSTITUTE(SUBSTITUTE(LOWER(Q244),"hrs",""),"hr",""))),"")))),IF(ISNUMBER(Q244),Q244,IF(Q244="","",IFERROR(VALUE(TRIM(SUBSTITUTE(SUBSTITUTE(LOWER(Q244),"hrs",""),"hr",""))),""))))</f>
        <v>122</v>
      </c>
      <c r="S244" s="57" t="n">
        <f aca="false">IFERROR(INDEX(RATES!$E$6:$E$28,MATCH(P244,RATES!$A$6:$A$28,0)),0)</f>
        <v>55.8975</v>
      </c>
      <c r="T244" s="61" t="n">
        <f aca="false">IF(ISNUMBER(R244),R244,0)*S244</f>
        <v>6819.495</v>
      </c>
      <c r="U244" s="61" t="n">
        <f aca="false">T244*INDEX(INPUTS!$H$10:$H$14,MATCH(B244,INPUTS!$A$10:$A$14,0))</f>
        <v>1261.606575</v>
      </c>
      <c r="V244" s="61" t="n">
        <f aca="false">N(STACK!K244)</f>
        <v>6205</v>
      </c>
      <c r="W244" s="61" t="n">
        <f aca="false">T244+U244+V244</f>
        <v>14286.101575</v>
      </c>
      <c r="X244" s="61" t="n">
        <f aca="false">N(STACK!L244)</f>
        <v>0</v>
      </c>
      <c r="Y244" s="61" t="n">
        <f aca="false">W244-X244</f>
        <v>14286.101575</v>
      </c>
      <c r="Z244" s="1" t="n">
        <f aca="false">N(STACK!J244)</f>
        <v>264</v>
      </c>
      <c r="AA244" s="1" t="str">
        <f aca="false">TRIM(IF(D244="UNMAPPED","Program not mapped. ","")&amp;IF(OR(K244="UNMAPPED",K244="UNASSIGNED"),"Category needs review. ","")&amp;IF(P244="UNMAPPED","Title not mapped. ","")&amp;IF(AND(P244&lt;&gt;"No staff time",R244=""),"Missing hours. ","")&amp;IF(M244="","Date not readable. ","")&amp;IF(N244="No","Outside fiscal year. ","")&amp;IF(AND(F244="Event",ISNUMBER(R244)),IF(R244&gt;12,"Event hours look high. ",""),"")&amp;IF(G244&gt;0,"See CONFIRM sheet.",""))</f>
        <v/>
      </c>
      <c r="AB244" s="1" t="n">
        <f aca="false">IF(N244="No",0,IF(REVIEW!O244=0,0,IF(G244&gt;0,IF(INDEX(CONFIRM!$J$5:$J$53,G244)&lt;&gt;"",INDEX(CONFIRM!$J$5:$J$53,G244),1),1)))</f>
        <v>1</v>
      </c>
      <c r="AC244" s="1" t="n">
        <f aca="false">IF(AB244=1,IF(COUNTIFS($B$5:B244,B244,$D$5:D244,D244,$AB$5:AB244,1)=1,1,0),0)</f>
        <v>0</v>
      </c>
    </row>
    <row r="245" customFormat="false" ht="15" hidden="false" customHeight="false" outlineLevel="0" collapsed="false">
      <c r="A245" s="48" t="str">
        <f aca="false">STACK!A245</f>
        <v>KVMC-0241</v>
      </c>
      <c r="B245" s="48" t="str">
        <f aca="false">STACK!B245</f>
        <v>KVMC</v>
      </c>
      <c r="C245" s="48" t="str">
        <f aca="false">STACK!E245</f>
        <v>Childbirth and Newborn Care Classes</v>
      </c>
      <c r="D245" s="1" t="str">
        <f aca="false">IFERROR(INDEX(MAP!$J$7:$J$101,MATCH(TRIM(C245),MAP!$I$7:$I$101,0)),"UNMAPPED")</f>
        <v>Childbirth and Newborn Care Classes</v>
      </c>
      <c r="E245" s="1" t="str">
        <f aca="false">IFERROR(INDEX(MAP!$K$7:$K$101,MATCH(TRIM(C245),MAP!$I$7:$I$101,0)),"")</f>
        <v>Maternal and child health</v>
      </c>
      <c r="F245" s="1" t="str">
        <f aca="false">IFERROR(INDEX(MAP!$L$7:$L$101,MATCH(TRIM(C245),MAP!$I$7:$I$101,0)),"")</f>
        <v>Event</v>
      </c>
      <c r="G245" s="1" t="n">
        <f aca="false">IFERROR(MATCH(A245,CONFIRM!$A$5:$A$53,0),0)</f>
        <v>0</v>
      </c>
      <c r="H245" s="48" t="str">
        <f aca="false">STACK!F245</f>
        <v>Community Health Education</v>
      </c>
      <c r="I245" s="1" t="str">
        <f aca="false">IF(G245&gt;0,IF(INDEX(CONFIRM!$I$5:$I$53,G245)&lt;&gt;"",INDEX(CONFIRM!$I$5:$I$53,G245),H245),H245)</f>
        <v>Community Health Education</v>
      </c>
      <c r="J245" s="1" t="str">
        <f aca="false">IFERROR(INDEX(MAP!$F$7:$F$74,MATCH(TRIM(I245),MAP!$E$7:$E$74,0)),"UNMAPPED")</f>
        <v>Community health education</v>
      </c>
      <c r="K245" s="1" t="str">
        <f aca="false">IFERROR(INDEX(MAP!$G$7:$G$74,MATCH(TRIM(I245),MAP!$E$7:$E$74,0)),"UNMAPPED")</f>
        <v>7e</v>
      </c>
      <c r="L245" s="49" t="n">
        <f aca="false">STACK!G245</f>
        <v>46022</v>
      </c>
      <c r="M245" s="59" t="n">
        <f aca="false">IF(G245&gt;0,IF(INDEX(CONFIRM!$G$5:$G$53,G245)&lt;&gt;"",INDEX(CONFIRM!$G$5:$G$53,G245),IF(ISNUMBER(L245),L245,IFERROR(DATEVALUE(L245),""))),IF(ISNUMBER(L245),L245,IFERROR(DATEVALUE(L245),"")))</f>
        <v>46022</v>
      </c>
      <c r="N245" s="1" t="str">
        <f aca="false">IF(M245="","Check",IF(AND(M245&gt;=INPUTS!$C$6,M245&lt;=INPUTS!$C$7),"Yes","No"))</f>
        <v>Yes</v>
      </c>
      <c r="O245" s="48" t="str">
        <f aca="false">STACK!H245</f>
        <v>Nurse Educator</v>
      </c>
      <c r="P245" s="1" t="str">
        <f aca="false">IF(G245&gt;0,IF(INDEX(CONFIRM!$H$5:$H$53,G245)&lt;&gt;"",INDEX(CONFIRM!$H$5:$H$53,G245),IFERROR(INDEX(MAP!$B$7:$B$156,MATCH(TRIM(O245),MAP!$A$7:$A$156,0)),"UNMAPPED")),IFERROR(INDEX(MAP!$B$7:$B$156,MATCH(TRIM(O245),MAP!$A$7:$A$156,0)),"UNMAPPED"))</f>
        <v>Clinical Nurse Educator</v>
      </c>
      <c r="Q245" s="48" t="n">
        <f aca="false">STACK!I245</f>
        <v>3.25</v>
      </c>
      <c r="R245" s="60" t="n">
        <f aca="false">IF(G245&gt;0,IF(INDEX(CONFIRM!$F$5:$F$53,G245)&lt;&gt;"",INDEX(CONFIRM!$F$5:$F$53,G245),IF(ISNUMBER(Q245),Q245,IF(Q245="","",IFERROR(VALUE(TRIM(SUBSTITUTE(SUBSTITUTE(LOWER(Q245),"hrs",""),"hr",""))),"")))),IF(ISNUMBER(Q245),Q245,IF(Q245="","",IFERROR(VALUE(TRIM(SUBSTITUTE(SUBSTITUTE(LOWER(Q245),"hrs",""),"hr",""))),""))))</f>
        <v>3.25</v>
      </c>
      <c r="S245" s="57" t="n">
        <f aca="false">IFERROR(INDEX(RATES!$E$6:$E$28,MATCH(P245,RATES!$A$6:$A$28,0)),0)</f>
        <v>62.965</v>
      </c>
      <c r="T245" s="61" t="n">
        <f aca="false">IF(ISNUMBER(R245),R245,0)*S245</f>
        <v>204.63625</v>
      </c>
      <c r="U245" s="61" t="n">
        <f aca="false">T245*INDEX(INPUTS!$H$10:$H$14,MATCH(B245,INPUTS!$A$10:$A$14,0))</f>
        <v>37.85770625</v>
      </c>
      <c r="V245" s="61" t="n">
        <f aca="false">N(STACK!K245)</f>
        <v>170</v>
      </c>
      <c r="W245" s="61" t="n">
        <f aca="false">T245+U245+V245</f>
        <v>412.49395625</v>
      </c>
      <c r="X245" s="61" t="n">
        <f aca="false">N(STACK!L245)</f>
        <v>360</v>
      </c>
      <c r="Y245" s="61" t="n">
        <f aca="false">W245-X245</f>
        <v>52.49395625</v>
      </c>
      <c r="Z245" s="1" t="n">
        <f aca="false">N(STACK!J245)</f>
        <v>18</v>
      </c>
      <c r="AA245" s="1" t="str">
        <f aca="false">TRIM(IF(D245="UNMAPPED","Program not mapped. ","")&amp;IF(OR(K245="UNMAPPED",K245="UNASSIGNED"),"Category needs review. ","")&amp;IF(P245="UNMAPPED","Title not mapped. ","")&amp;IF(AND(P245&lt;&gt;"No staff time",R245=""),"Missing hours. ","")&amp;IF(M245="","Date not readable. ","")&amp;IF(N245="No","Outside fiscal year. ","")&amp;IF(AND(F245="Event",ISNUMBER(R245)),IF(R245&gt;12,"Event hours look high. ",""),"")&amp;IF(G245&gt;0,"See CONFIRM sheet.",""))</f>
        <v/>
      </c>
      <c r="AB245" s="1" t="n">
        <f aca="false">IF(N245="No",0,IF(REVIEW!O245=0,0,IF(G245&gt;0,IF(INDEX(CONFIRM!$J$5:$J$53,G245)&lt;&gt;"",INDEX(CONFIRM!$J$5:$J$53,G245),1),1)))</f>
        <v>1</v>
      </c>
      <c r="AC245" s="1" t="n">
        <f aca="false">IF(AB245=1,IF(COUNTIFS($B$5:B245,B245,$D$5:D245,D245,$AB$5:AB245,1)=1,1,0),0)</f>
        <v>0</v>
      </c>
    </row>
    <row r="246" customFormat="false" ht="15" hidden="false" customHeight="false" outlineLevel="0" collapsed="false">
      <c r="A246" s="48" t="str">
        <f aca="false">STACK!A246</f>
        <v>KVMC-0242</v>
      </c>
      <c r="B246" s="48" t="str">
        <f aca="false">STACK!B246</f>
        <v>KVMC</v>
      </c>
      <c r="C246" s="48" t="str">
        <f aca="false">STACK!E246</f>
        <v>Grief Support Group</v>
      </c>
      <c r="D246" s="1" t="str">
        <f aca="false">IFERROR(INDEX(MAP!$J$7:$J$101,MATCH(TRIM(C246),MAP!$I$7:$I$101,0)),"UNMAPPED")</f>
        <v>Grief Support Group</v>
      </c>
      <c r="E246" s="1" t="str">
        <f aca="false">IFERROR(INDEX(MAP!$K$7:$K$101,MATCH(TRIM(C246),MAP!$I$7:$I$101,0)),"")</f>
        <v>Behavioral health</v>
      </c>
      <c r="F246" s="1" t="str">
        <f aca="false">IFERROR(INDEX(MAP!$L$7:$L$101,MATCH(TRIM(C246),MAP!$I$7:$I$101,0)),"")</f>
        <v>Event</v>
      </c>
      <c r="G246" s="1" t="n">
        <f aca="false">IFERROR(MATCH(A246,CONFIRM!$A$5:$A$53,0),0)</f>
        <v>0</v>
      </c>
      <c r="H246" s="48" t="str">
        <f aca="false">STACK!F246</f>
        <v>Health Care Support Services</v>
      </c>
      <c r="I246" s="1" t="str">
        <f aca="false">IF(G246&gt;0,IF(INDEX(CONFIRM!$I$5:$I$53,G246)&lt;&gt;"",INDEX(CONFIRM!$I$5:$I$53,G246),H246),H246)</f>
        <v>Health Care Support Services</v>
      </c>
      <c r="J246" s="1" t="str">
        <f aca="false">IFERROR(INDEX(MAP!$F$7:$F$74,MATCH(TRIM(I246),MAP!$E$7:$E$74,0)),"UNMAPPED")</f>
        <v>Health care support services</v>
      </c>
      <c r="K246" s="1" t="str">
        <f aca="false">IFERROR(INDEX(MAP!$G$7:$G$74,MATCH(TRIM(I246),MAP!$E$7:$E$74,0)),"UNMAPPED")</f>
        <v>7e</v>
      </c>
      <c r="L246" s="49" t="n">
        <f aca="false">STACK!G246</f>
        <v>46022</v>
      </c>
      <c r="M246" s="59" t="n">
        <f aca="false">IF(G246&gt;0,IF(INDEX(CONFIRM!$G$5:$G$53,G246)&lt;&gt;"",INDEX(CONFIRM!$G$5:$G$53,G246),IF(ISNUMBER(L246),L246,IFERROR(DATEVALUE(L246),""))),IF(ISNUMBER(L246),L246,IFERROR(DATEVALUE(L246),"")))</f>
        <v>46022</v>
      </c>
      <c r="N246" s="1" t="str">
        <f aca="false">IF(M246="","Check",IF(AND(M246&gt;=INPUTS!$C$6,M246&lt;=INPUTS!$C$7),"Yes","No"))</f>
        <v>Yes</v>
      </c>
      <c r="O246" s="48" t="str">
        <f aca="false">STACK!H246</f>
        <v>Chaplain</v>
      </c>
      <c r="P246" s="1" t="str">
        <f aca="false">IF(G246&gt;0,IF(INDEX(CONFIRM!$H$5:$H$53,G246)&lt;&gt;"",INDEX(CONFIRM!$H$5:$H$53,G246),IFERROR(INDEX(MAP!$B$7:$B$156,MATCH(TRIM(O246),MAP!$A$7:$A$156,0)),"UNMAPPED")),IFERROR(INDEX(MAP!$B$7:$B$156,MATCH(TRIM(O246),MAP!$A$7:$A$156,0)),"UNMAPPED"))</f>
        <v>Chaplain</v>
      </c>
      <c r="Q246" s="48" t="n">
        <f aca="false">STACK!I246</f>
        <v>2</v>
      </c>
      <c r="R246" s="60" t="n">
        <f aca="false">IF(G246&gt;0,IF(INDEX(CONFIRM!$F$5:$F$53,G246)&lt;&gt;"",INDEX(CONFIRM!$F$5:$F$53,G246),IF(ISNUMBER(Q246),Q246,IF(Q246="","",IFERROR(VALUE(TRIM(SUBSTITUTE(SUBSTITUTE(LOWER(Q246),"hrs",""),"hr",""))),"")))),IF(ISNUMBER(Q246),Q246,IF(Q246="","",IFERROR(VALUE(TRIM(SUBSTITUTE(SUBSTITUTE(LOWER(Q246),"hrs",""),"hr",""))),""))))</f>
        <v>2</v>
      </c>
      <c r="S246" s="57" t="n">
        <f aca="false">IFERROR(INDEX(RATES!$E$6:$E$28,MATCH(P246,RATES!$A$6:$A$28,0)),0)</f>
        <v>39.835</v>
      </c>
      <c r="T246" s="61" t="n">
        <f aca="false">IF(ISNUMBER(R246),R246,0)*S246</f>
        <v>79.67</v>
      </c>
      <c r="U246" s="61" t="n">
        <f aca="false">T246*INDEX(INPUTS!$H$10:$H$14,MATCH(B246,INPUTS!$A$10:$A$14,0))</f>
        <v>14.73895</v>
      </c>
      <c r="V246" s="61" t="n">
        <f aca="false">N(STACK!K246)</f>
        <v>35</v>
      </c>
      <c r="W246" s="61" t="n">
        <f aca="false">T246+U246+V246</f>
        <v>129.40895</v>
      </c>
      <c r="X246" s="61" t="n">
        <f aca="false">N(STACK!L246)</f>
        <v>0</v>
      </c>
      <c r="Y246" s="61" t="n">
        <f aca="false">W246-X246</f>
        <v>129.40895</v>
      </c>
      <c r="Z246" s="1" t="n">
        <f aca="false">N(STACK!J246)</f>
        <v>12</v>
      </c>
      <c r="AA246" s="1" t="str">
        <f aca="false">TRIM(IF(D246="UNMAPPED","Program not mapped. ","")&amp;IF(OR(K246="UNMAPPED",K246="UNASSIGNED"),"Category needs review. ","")&amp;IF(P246="UNMAPPED","Title not mapped. ","")&amp;IF(AND(P246&lt;&gt;"No staff time",R246=""),"Missing hours. ","")&amp;IF(M246="","Date not readable. ","")&amp;IF(N246="No","Outside fiscal year. ","")&amp;IF(AND(F246="Event",ISNUMBER(R246)),IF(R246&gt;12,"Event hours look high. ",""),"")&amp;IF(G246&gt;0,"See CONFIRM sheet.",""))</f>
        <v/>
      </c>
      <c r="AB246" s="1" t="n">
        <f aca="false">IF(N246="No",0,IF(REVIEW!O246=0,0,IF(G246&gt;0,IF(INDEX(CONFIRM!$J$5:$J$53,G246)&lt;&gt;"",INDEX(CONFIRM!$J$5:$J$53,G246),1),1)))</f>
        <v>1</v>
      </c>
      <c r="AC246" s="1" t="n">
        <f aca="false">IF(AB246=1,IF(COUNTIFS($B$5:B246,B246,$D$5:D246,D246,$AB$5:AB246,1)=1,1,0),0)</f>
        <v>0</v>
      </c>
    </row>
    <row r="247" customFormat="false" ht="15" hidden="false" customHeight="false" outlineLevel="0" collapsed="false">
      <c r="A247" s="48" t="str">
        <f aca="false">STACK!A247</f>
        <v>KVMC-0243</v>
      </c>
      <c r="B247" s="48" t="str">
        <f aca="false">STACK!B247</f>
        <v>KVMC</v>
      </c>
      <c r="C247" s="48" t="str">
        <f aca="false">STACK!E247</f>
        <v>Grief Support Group</v>
      </c>
      <c r="D247" s="1" t="str">
        <f aca="false">IFERROR(INDEX(MAP!$J$7:$J$101,MATCH(TRIM(C247),MAP!$I$7:$I$101,0)),"UNMAPPED")</f>
        <v>Grief Support Group</v>
      </c>
      <c r="E247" s="1" t="str">
        <f aca="false">IFERROR(INDEX(MAP!$K$7:$K$101,MATCH(TRIM(C247),MAP!$I$7:$I$101,0)),"")</f>
        <v>Behavioral health</v>
      </c>
      <c r="F247" s="1" t="str">
        <f aca="false">IFERROR(INDEX(MAP!$L$7:$L$101,MATCH(TRIM(C247),MAP!$I$7:$I$101,0)),"")</f>
        <v>Event</v>
      </c>
      <c r="G247" s="1" t="n">
        <f aca="false">IFERROR(MATCH(A247,CONFIRM!$A$5:$A$53,0),0)</f>
        <v>0</v>
      </c>
      <c r="H247" s="48" t="str">
        <f aca="false">STACK!F247</f>
        <v>Health Care Support Services</v>
      </c>
      <c r="I247" s="1" t="str">
        <f aca="false">IF(G247&gt;0,IF(INDEX(CONFIRM!$I$5:$I$53,G247)&lt;&gt;"",INDEX(CONFIRM!$I$5:$I$53,G247),H247),H247)</f>
        <v>Health Care Support Services</v>
      </c>
      <c r="J247" s="1" t="str">
        <f aca="false">IFERROR(INDEX(MAP!$F$7:$F$74,MATCH(TRIM(I247),MAP!$E$7:$E$74,0)),"UNMAPPED")</f>
        <v>Health care support services</v>
      </c>
      <c r="K247" s="1" t="str">
        <f aca="false">IFERROR(INDEX(MAP!$G$7:$G$74,MATCH(TRIM(I247),MAP!$E$7:$E$74,0)),"UNMAPPED")</f>
        <v>7e</v>
      </c>
      <c r="L247" s="49" t="n">
        <f aca="false">STACK!G247</f>
        <v>46022</v>
      </c>
      <c r="M247" s="59" t="n">
        <f aca="false">IF(G247&gt;0,IF(INDEX(CONFIRM!$G$5:$G$53,G247)&lt;&gt;"",INDEX(CONFIRM!$G$5:$G$53,G247),IF(ISNUMBER(L247),L247,IFERROR(DATEVALUE(L247),""))),IF(ISNUMBER(L247),L247,IFERROR(DATEVALUE(L247),"")))</f>
        <v>46022</v>
      </c>
      <c r="N247" s="1" t="str">
        <f aca="false">IF(M247="","Check",IF(AND(M247&gt;=INPUTS!$C$6,M247&lt;=INPUTS!$C$7),"Yes","No"))</f>
        <v>Yes</v>
      </c>
      <c r="O247" s="48" t="str">
        <f aca="false">STACK!H247</f>
        <v>LMSW</v>
      </c>
      <c r="P247" s="1" t="str">
        <f aca="false">IF(G247&gt;0,IF(INDEX(CONFIRM!$H$5:$H$53,G247)&lt;&gt;"",INDEX(CONFIRM!$H$5:$H$53,G247),IFERROR(INDEX(MAP!$B$7:$B$156,MATCH(TRIM(O247),MAP!$A$7:$A$156,0)),"UNMAPPED")),IFERROR(INDEX(MAP!$B$7:$B$156,MATCH(TRIM(O247),MAP!$A$7:$A$156,0)),"UNMAPPED"))</f>
        <v>Social Worker</v>
      </c>
      <c r="Q247" s="48" t="n">
        <f aca="false">STACK!I247</f>
        <v>1.5</v>
      </c>
      <c r="R247" s="60" t="n">
        <f aca="false">IF(G247&gt;0,IF(INDEX(CONFIRM!$F$5:$F$53,G247)&lt;&gt;"",INDEX(CONFIRM!$F$5:$F$53,G247),IF(ISNUMBER(Q247),Q247,IF(Q247="","",IFERROR(VALUE(TRIM(SUBSTITUTE(SUBSTITUTE(LOWER(Q247),"hrs",""),"hr",""))),"")))),IF(ISNUMBER(Q247),Q247,IF(Q247="","",IFERROR(VALUE(TRIM(SUBSTITUTE(SUBSTITUTE(LOWER(Q247),"hrs",""),"hr",""))),""))))</f>
        <v>1.5</v>
      </c>
      <c r="S247" s="57" t="n">
        <f aca="false">IFERROR(INDEX(RATES!$E$6:$E$28,MATCH(P247,RATES!$A$6:$A$28,0)),0)</f>
        <v>45.6175</v>
      </c>
      <c r="T247" s="61" t="n">
        <f aca="false">IF(ISNUMBER(R247),R247,0)*S247</f>
        <v>68.42625</v>
      </c>
      <c r="U247" s="61" t="n">
        <f aca="false">T247*INDEX(INPUTS!$H$10:$H$14,MATCH(B247,INPUTS!$A$10:$A$14,0))</f>
        <v>12.65885625</v>
      </c>
      <c r="V247" s="61" t="n">
        <f aca="false">N(STACK!K247)</f>
        <v>0</v>
      </c>
      <c r="W247" s="61" t="n">
        <f aca="false">T247+U247+V247</f>
        <v>81.08510625</v>
      </c>
      <c r="X247" s="61" t="n">
        <f aca="false">N(STACK!L247)</f>
        <v>0</v>
      </c>
      <c r="Y247" s="61" t="n">
        <f aca="false">W247-X247</f>
        <v>81.08510625</v>
      </c>
      <c r="Z247" s="1" t="n">
        <f aca="false">N(STACK!J247)</f>
        <v>0</v>
      </c>
      <c r="AA247" s="1" t="str">
        <f aca="false">TRIM(IF(D247="UNMAPPED","Program not mapped. ","")&amp;IF(OR(K247="UNMAPPED",K247="UNASSIGNED"),"Category needs review. ","")&amp;IF(P247="UNMAPPED","Title not mapped. ","")&amp;IF(AND(P247&lt;&gt;"No staff time",R247=""),"Missing hours. ","")&amp;IF(M247="","Date not readable. ","")&amp;IF(N247="No","Outside fiscal year. ","")&amp;IF(AND(F247="Event",ISNUMBER(R247)),IF(R247&gt;12,"Event hours look high. ",""),"")&amp;IF(G247&gt;0,"See CONFIRM sheet.",""))</f>
        <v/>
      </c>
      <c r="AB247" s="1" t="n">
        <f aca="false">IF(N247="No",0,IF(REVIEW!O247=0,0,IF(G247&gt;0,IF(INDEX(CONFIRM!$J$5:$J$53,G247)&lt;&gt;"",INDEX(CONFIRM!$J$5:$J$53,G247),1),1)))</f>
        <v>1</v>
      </c>
      <c r="AC247" s="1" t="n">
        <f aca="false">IF(AB247=1,IF(COUNTIFS($B$5:B247,B247,$D$5:D247,D247,$AB$5:AB247,1)=1,1,0),0)</f>
        <v>0</v>
      </c>
    </row>
    <row r="248" customFormat="false" ht="15" hidden="false" customHeight="false" outlineLevel="0" collapsed="false">
      <c r="A248" s="48" t="str">
        <f aca="false">STACK!A248</f>
        <v>KVMC-0244</v>
      </c>
      <c r="B248" s="48" t="str">
        <f aca="false">STACK!B248</f>
        <v>KVMC</v>
      </c>
      <c r="C248" s="48" t="str">
        <f aca="false">STACK!E248</f>
        <v>Free Clinic Provider Staffing</v>
      </c>
      <c r="D248" s="1" t="str">
        <f aca="false">IFERROR(INDEX(MAP!$J$7:$J$101,MATCH(TRIM(C248),MAP!$I$7:$I$101,0)),"UNMAPPED")</f>
        <v>Free Clinic Provider Staffing</v>
      </c>
      <c r="E248" s="1" t="str">
        <f aca="false">IFERROR(INDEX(MAP!$K$7:$K$101,MATCH(TRIM(C248),MAP!$I$7:$I$101,0)),"")</f>
        <v>Access to care</v>
      </c>
      <c r="F248" s="1" t="str">
        <f aca="false">IFERROR(INDEX(MAP!$L$7:$L$101,MATCH(TRIM(C248),MAP!$I$7:$I$101,0)),"")</f>
        <v>Monthly</v>
      </c>
      <c r="G248" s="1" t="n">
        <f aca="false">IFERROR(MATCH(A248,CONFIRM!$A$5:$A$53,0),0)</f>
        <v>0</v>
      </c>
      <c r="H248" s="48" t="str">
        <f aca="false">STACK!F248</f>
        <v>Community-Based Clinical Services</v>
      </c>
      <c r="I248" s="1" t="str">
        <f aca="false">IF(G248&gt;0,IF(INDEX(CONFIRM!$I$5:$I$53,G248)&lt;&gt;"",INDEX(CONFIRM!$I$5:$I$53,G248),H248),H248)</f>
        <v>Community-Based Clinical Services</v>
      </c>
      <c r="J248" s="1" t="str">
        <f aca="false">IFERROR(INDEX(MAP!$F$7:$F$74,MATCH(TRIM(I248),MAP!$E$7:$E$74,0)),"UNMAPPED")</f>
        <v>Community-based clinical services</v>
      </c>
      <c r="K248" s="1" t="str">
        <f aca="false">IFERROR(INDEX(MAP!$G$7:$G$74,MATCH(TRIM(I248),MAP!$E$7:$E$74,0)),"UNMAPPED")</f>
        <v>7e</v>
      </c>
      <c r="L248" s="49" t="n">
        <f aca="false">STACK!G248</f>
        <v>46022</v>
      </c>
      <c r="M248" s="59" t="n">
        <f aca="false">IF(G248&gt;0,IF(INDEX(CONFIRM!$G$5:$G$53,G248)&lt;&gt;"",INDEX(CONFIRM!$G$5:$G$53,G248),IF(ISNUMBER(L248),L248,IFERROR(DATEVALUE(L248),""))),IF(ISNUMBER(L248),L248,IFERROR(DATEVALUE(L248),"")))</f>
        <v>46022</v>
      </c>
      <c r="N248" s="1" t="str">
        <f aca="false">IF(M248="","Check",IF(AND(M248&gt;=INPUTS!$C$6,M248&lt;=INPUTS!$C$7),"Yes","No"))</f>
        <v>Yes</v>
      </c>
      <c r="O248" s="48" t="str">
        <f aca="false">STACK!H248</f>
        <v>Nurse Practitioner</v>
      </c>
      <c r="P248" s="1" t="str">
        <f aca="false">IF(G248&gt;0,IF(INDEX(CONFIRM!$H$5:$H$53,G248)&lt;&gt;"",INDEX(CONFIRM!$H$5:$H$53,G248),IFERROR(INDEX(MAP!$B$7:$B$156,MATCH(TRIM(O248),MAP!$A$7:$A$156,0)),"UNMAPPED")),IFERROR(INDEX(MAP!$B$7:$B$156,MATCH(TRIM(O248),MAP!$A$7:$A$156,0)),"UNMAPPED"))</f>
        <v>Nurse Practitioner</v>
      </c>
      <c r="Q248" s="48" t="n">
        <f aca="false">STACK!I248</f>
        <v>50.25</v>
      </c>
      <c r="R248" s="60" t="n">
        <f aca="false">IF(G248&gt;0,IF(INDEX(CONFIRM!$F$5:$F$53,G248)&lt;&gt;"",INDEX(CONFIRM!$F$5:$F$53,G248),IF(ISNUMBER(Q248),Q248,IF(Q248="","",IFERROR(VALUE(TRIM(SUBSTITUTE(SUBSTITUTE(LOWER(Q248),"hrs",""),"hr",""))),"")))),IF(ISNUMBER(Q248),Q248,IF(Q248="","",IFERROR(VALUE(TRIM(SUBSTITUTE(SUBSTITUTE(LOWER(Q248),"hrs",""),"hr",""))),""))))</f>
        <v>50.25</v>
      </c>
      <c r="S248" s="57" t="n">
        <f aca="false">IFERROR(INDEX(RATES!$E$6:$E$28,MATCH(P248,RATES!$A$6:$A$28,0)),0)</f>
        <v>79.67</v>
      </c>
      <c r="T248" s="61" t="n">
        <f aca="false">IF(ISNUMBER(R248),R248,0)*S248</f>
        <v>4003.4175</v>
      </c>
      <c r="U248" s="61" t="n">
        <f aca="false">T248*INDEX(INPUTS!$H$10:$H$14,MATCH(B248,INPUTS!$A$10:$A$14,0))</f>
        <v>740.6322375</v>
      </c>
      <c r="V248" s="61" t="n">
        <f aca="false">N(STACK!K248)</f>
        <v>3925</v>
      </c>
      <c r="W248" s="61" t="n">
        <f aca="false">T248+U248+V248</f>
        <v>8669.0497375</v>
      </c>
      <c r="X248" s="61" t="n">
        <f aca="false">N(STACK!L248)</f>
        <v>0</v>
      </c>
      <c r="Y248" s="61" t="n">
        <f aca="false">W248-X248</f>
        <v>8669.0497375</v>
      </c>
      <c r="Z248" s="1" t="n">
        <f aca="false">N(STACK!J248)</f>
        <v>289</v>
      </c>
      <c r="AA248" s="1" t="str">
        <f aca="false">TRIM(IF(D248="UNMAPPED","Program not mapped. ","")&amp;IF(OR(K248="UNMAPPED",K248="UNASSIGNED"),"Category needs review. ","")&amp;IF(P248="UNMAPPED","Title not mapped. ","")&amp;IF(AND(P248&lt;&gt;"No staff time",R248=""),"Missing hours. ","")&amp;IF(M248="","Date not readable. ","")&amp;IF(N248="No","Outside fiscal year. ","")&amp;IF(AND(F248="Event",ISNUMBER(R248)),IF(R248&gt;12,"Event hours look high. ",""),"")&amp;IF(G248&gt;0,"See CONFIRM sheet.",""))</f>
        <v/>
      </c>
      <c r="AB248" s="1" t="n">
        <f aca="false">IF(N248="No",0,IF(REVIEW!O248=0,0,IF(G248&gt;0,IF(INDEX(CONFIRM!$J$5:$J$53,G248)&lt;&gt;"",INDEX(CONFIRM!$J$5:$J$53,G248),1),1)))</f>
        <v>1</v>
      </c>
      <c r="AC248" s="1" t="n">
        <f aca="false">IF(AB248=1,IF(COUNTIFS($B$5:B248,B248,$D$5:D248,D248,$AB$5:AB248,1)=1,1,0),0)</f>
        <v>0</v>
      </c>
    </row>
    <row r="249" customFormat="false" ht="15" hidden="false" customHeight="false" outlineLevel="0" collapsed="false">
      <c r="A249" s="48" t="str">
        <f aca="false">STACK!A249</f>
        <v>KVMC-0245</v>
      </c>
      <c r="B249" s="48" t="str">
        <f aca="false">STACK!B249</f>
        <v>KVMC</v>
      </c>
      <c r="C249" s="48" t="str">
        <f aca="false">STACK!E249</f>
        <v>Free Clinic Provider Staffing</v>
      </c>
      <c r="D249" s="1" t="str">
        <f aca="false">IFERROR(INDEX(MAP!$J$7:$J$101,MATCH(TRIM(C249),MAP!$I$7:$I$101,0)),"UNMAPPED")</f>
        <v>Free Clinic Provider Staffing</v>
      </c>
      <c r="E249" s="1" t="str">
        <f aca="false">IFERROR(INDEX(MAP!$K$7:$K$101,MATCH(TRIM(C249),MAP!$I$7:$I$101,0)),"")</f>
        <v>Access to care</v>
      </c>
      <c r="F249" s="1" t="str">
        <f aca="false">IFERROR(INDEX(MAP!$L$7:$L$101,MATCH(TRIM(C249),MAP!$I$7:$I$101,0)),"")</f>
        <v>Monthly</v>
      </c>
      <c r="G249" s="1" t="n">
        <f aca="false">IFERROR(MATCH(A249,CONFIRM!$A$5:$A$53,0),0)</f>
        <v>0</v>
      </c>
      <c r="H249" s="48" t="str">
        <f aca="false">STACK!F249</f>
        <v>Community-Based Clinical Services</v>
      </c>
      <c r="I249" s="1" t="str">
        <f aca="false">IF(G249&gt;0,IF(INDEX(CONFIRM!$I$5:$I$53,G249)&lt;&gt;"",INDEX(CONFIRM!$I$5:$I$53,G249),H249),H249)</f>
        <v>Community-Based Clinical Services</v>
      </c>
      <c r="J249" s="1" t="str">
        <f aca="false">IFERROR(INDEX(MAP!$F$7:$F$74,MATCH(TRIM(I249),MAP!$E$7:$E$74,0)),"UNMAPPED")</f>
        <v>Community-based clinical services</v>
      </c>
      <c r="K249" s="1" t="str">
        <f aca="false">IFERROR(INDEX(MAP!$G$7:$G$74,MATCH(TRIM(I249),MAP!$E$7:$E$74,0)),"UNMAPPED")</f>
        <v>7e</v>
      </c>
      <c r="L249" s="49" t="n">
        <f aca="false">STACK!G249</f>
        <v>46022</v>
      </c>
      <c r="M249" s="59" t="n">
        <f aca="false">IF(G249&gt;0,IF(INDEX(CONFIRM!$G$5:$G$53,G249)&lt;&gt;"",INDEX(CONFIRM!$G$5:$G$53,G249),IF(ISNUMBER(L249),L249,IFERROR(DATEVALUE(L249),""))),IF(ISNUMBER(L249),L249,IFERROR(DATEVALUE(L249),"")))</f>
        <v>46022</v>
      </c>
      <c r="N249" s="1" t="str">
        <f aca="false">IF(M249="","Check",IF(AND(M249&gt;=INPUTS!$C$6,M249&lt;=INPUTS!$C$7),"Yes","No"))</f>
        <v>Yes</v>
      </c>
      <c r="O249" s="48" t="str">
        <f aca="false">STACK!H249</f>
        <v>Pharmacist II</v>
      </c>
      <c r="P249" s="1" t="str">
        <f aca="false">IF(G249&gt;0,IF(INDEX(CONFIRM!$H$5:$H$53,G249)&lt;&gt;"",INDEX(CONFIRM!$H$5:$H$53,G249),IFERROR(INDEX(MAP!$B$7:$B$156,MATCH(TRIM(O249),MAP!$A$7:$A$156,0)),"UNMAPPED")),IFERROR(INDEX(MAP!$B$7:$B$156,MATCH(TRIM(O249),MAP!$A$7:$A$156,0)),"UNMAPPED"))</f>
        <v>Pharmacist</v>
      </c>
      <c r="Q249" s="48" t="n">
        <f aca="false">STACK!I249</f>
        <v>16.25</v>
      </c>
      <c r="R249" s="60" t="n">
        <f aca="false">IF(G249&gt;0,IF(INDEX(CONFIRM!$F$5:$F$53,G249)&lt;&gt;"",INDEX(CONFIRM!$F$5:$F$53,G249),IF(ISNUMBER(Q249),Q249,IF(Q249="","",IFERROR(VALUE(TRIM(SUBSTITUTE(SUBSTITUTE(LOWER(Q249),"hrs",""),"hr",""))),"")))),IF(ISNUMBER(Q249),Q249,IF(Q249="","",IFERROR(VALUE(TRIM(SUBSTITUTE(SUBSTITUTE(LOWER(Q249),"hrs",""),"hr",""))),""))))</f>
        <v>16.25</v>
      </c>
      <c r="S249" s="57" t="n">
        <f aca="false">IFERROR(INDEX(RATES!$E$6:$E$28,MATCH(P249,RATES!$A$6:$A$28,0)),0)</f>
        <v>84.81</v>
      </c>
      <c r="T249" s="61" t="n">
        <f aca="false">IF(ISNUMBER(R249),R249,0)*S249</f>
        <v>1378.1625</v>
      </c>
      <c r="U249" s="61" t="n">
        <f aca="false">T249*INDEX(INPUTS!$H$10:$H$14,MATCH(B249,INPUTS!$A$10:$A$14,0))</f>
        <v>254.9600625</v>
      </c>
      <c r="V249" s="61" t="n">
        <f aca="false">N(STACK!K249)</f>
        <v>0</v>
      </c>
      <c r="W249" s="61" t="n">
        <f aca="false">T249+U249+V249</f>
        <v>1633.1225625</v>
      </c>
      <c r="X249" s="61" t="n">
        <f aca="false">N(STACK!L249)</f>
        <v>0</v>
      </c>
      <c r="Y249" s="61" t="n">
        <f aca="false">W249-X249</f>
        <v>1633.1225625</v>
      </c>
      <c r="Z249" s="1" t="n">
        <f aca="false">N(STACK!J249)</f>
        <v>0</v>
      </c>
      <c r="AA249" s="1" t="str">
        <f aca="false">TRIM(IF(D249="UNMAPPED","Program not mapped. ","")&amp;IF(OR(K249="UNMAPPED",K249="UNASSIGNED"),"Category needs review. ","")&amp;IF(P249="UNMAPPED","Title not mapped. ","")&amp;IF(AND(P249&lt;&gt;"No staff time",R249=""),"Missing hours. ","")&amp;IF(M249="","Date not readable. ","")&amp;IF(N249="No","Outside fiscal year. ","")&amp;IF(AND(F249="Event",ISNUMBER(R249)),IF(R249&gt;12,"Event hours look high. ",""),"")&amp;IF(G249&gt;0,"See CONFIRM sheet.",""))</f>
        <v/>
      </c>
      <c r="AB249" s="1" t="n">
        <f aca="false">IF(N249="No",0,IF(REVIEW!O249=0,0,IF(G249&gt;0,IF(INDEX(CONFIRM!$J$5:$J$53,G249)&lt;&gt;"",INDEX(CONFIRM!$J$5:$J$53,G249),1),1)))</f>
        <v>1</v>
      </c>
      <c r="AC249" s="1" t="n">
        <f aca="false">IF(AB249=1,IF(COUNTIFS($B$5:B249,B249,$D$5:D249,D249,$AB$5:AB249,1)=1,1,0),0)</f>
        <v>0</v>
      </c>
    </row>
    <row r="250" customFormat="false" ht="15" hidden="false" customHeight="false" outlineLevel="0" collapsed="false">
      <c r="A250" s="48" t="str">
        <f aca="false">STACK!A250</f>
        <v>KVMC-0246</v>
      </c>
      <c r="B250" s="48" t="str">
        <f aca="false">STACK!B250</f>
        <v>KVMC</v>
      </c>
      <c r="C250" s="48" t="str">
        <f aca="false">STACK!E250</f>
        <v>Free Clinic Provider Staffing</v>
      </c>
      <c r="D250" s="1" t="str">
        <f aca="false">IFERROR(INDEX(MAP!$J$7:$J$101,MATCH(TRIM(C250),MAP!$I$7:$I$101,0)),"UNMAPPED")</f>
        <v>Free Clinic Provider Staffing</v>
      </c>
      <c r="E250" s="1" t="str">
        <f aca="false">IFERROR(INDEX(MAP!$K$7:$K$101,MATCH(TRIM(C250),MAP!$I$7:$I$101,0)),"")</f>
        <v>Access to care</v>
      </c>
      <c r="F250" s="1" t="str">
        <f aca="false">IFERROR(INDEX(MAP!$L$7:$L$101,MATCH(TRIM(C250),MAP!$I$7:$I$101,0)),"")</f>
        <v>Monthly</v>
      </c>
      <c r="G250" s="1" t="n">
        <f aca="false">IFERROR(MATCH(A250,CONFIRM!$A$5:$A$53,0),0)</f>
        <v>0</v>
      </c>
      <c r="H250" s="48" t="str">
        <f aca="false">STACK!F250</f>
        <v>Community-Based Clinical Services</v>
      </c>
      <c r="I250" s="1" t="str">
        <f aca="false">IF(G250&gt;0,IF(INDEX(CONFIRM!$I$5:$I$53,G250)&lt;&gt;"",INDEX(CONFIRM!$I$5:$I$53,G250),H250),H250)</f>
        <v>Community-Based Clinical Services</v>
      </c>
      <c r="J250" s="1" t="str">
        <f aca="false">IFERROR(INDEX(MAP!$F$7:$F$74,MATCH(TRIM(I250),MAP!$E$7:$E$74,0)),"UNMAPPED")</f>
        <v>Community-based clinical services</v>
      </c>
      <c r="K250" s="1" t="str">
        <f aca="false">IFERROR(INDEX(MAP!$G$7:$G$74,MATCH(TRIM(I250),MAP!$E$7:$E$74,0)),"UNMAPPED")</f>
        <v>7e</v>
      </c>
      <c r="L250" s="49" t="n">
        <f aca="false">STACK!G250</f>
        <v>46022</v>
      </c>
      <c r="M250" s="59" t="n">
        <f aca="false">IF(G250&gt;0,IF(INDEX(CONFIRM!$G$5:$G$53,G250)&lt;&gt;"",INDEX(CONFIRM!$G$5:$G$53,G250),IF(ISNUMBER(L250),L250,IFERROR(DATEVALUE(L250),""))),IF(ISNUMBER(L250),L250,IFERROR(DATEVALUE(L250),"")))</f>
        <v>46022</v>
      </c>
      <c r="N250" s="1" t="str">
        <f aca="false">IF(M250="","Check",IF(AND(M250&gt;=INPUTS!$C$6,M250&lt;=INPUTS!$C$7),"Yes","No"))</f>
        <v>Yes</v>
      </c>
      <c r="O250" s="48" t="str">
        <f aca="false">STACK!H250</f>
        <v>RN II</v>
      </c>
      <c r="P250" s="1" t="str">
        <f aca="false">IF(G250&gt;0,IF(INDEX(CONFIRM!$H$5:$H$53,G250)&lt;&gt;"",INDEX(CONFIRM!$H$5:$H$53,G250),IFERROR(INDEX(MAP!$B$7:$B$156,MATCH(TRIM(O250),MAP!$A$7:$A$156,0)),"UNMAPPED")),IFERROR(INDEX(MAP!$B$7:$B$156,MATCH(TRIM(O250),MAP!$A$7:$A$156,0)),"UNMAPPED"))</f>
        <v>Registered Nurse</v>
      </c>
      <c r="Q250" s="48" t="n">
        <f aca="false">STACK!I250</f>
        <v>43.75</v>
      </c>
      <c r="R250" s="60" t="n">
        <f aca="false">IF(G250&gt;0,IF(INDEX(CONFIRM!$F$5:$F$53,G250)&lt;&gt;"",INDEX(CONFIRM!$F$5:$F$53,G250),IF(ISNUMBER(Q250),Q250,IF(Q250="","",IFERROR(VALUE(TRIM(SUBSTITUTE(SUBSTITUTE(LOWER(Q250),"hrs",""),"hr",""))),"")))),IF(ISNUMBER(Q250),Q250,IF(Q250="","",IFERROR(VALUE(TRIM(SUBSTITUTE(SUBSTITUTE(LOWER(Q250),"hrs",""),"hr",""))),""))))</f>
        <v>43.75</v>
      </c>
      <c r="S250" s="57" t="n">
        <f aca="false">IFERROR(INDEX(RATES!$E$6:$E$28,MATCH(P250,RATES!$A$6:$A$28,0)),0)</f>
        <v>55.8975</v>
      </c>
      <c r="T250" s="61" t="n">
        <f aca="false">IF(ISNUMBER(R250),R250,0)*S250</f>
        <v>2445.515625</v>
      </c>
      <c r="U250" s="61" t="n">
        <f aca="false">T250*INDEX(INPUTS!$H$10:$H$14,MATCH(B250,INPUTS!$A$10:$A$14,0))</f>
        <v>452.420390625</v>
      </c>
      <c r="V250" s="61" t="n">
        <f aca="false">N(STACK!K250)</f>
        <v>0</v>
      </c>
      <c r="W250" s="61" t="n">
        <f aca="false">T250+U250+V250</f>
        <v>2897.936015625</v>
      </c>
      <c r="X250" s="61" t="n">
        <f aca="false">N(STACK!L250)</f>
        <v>0</v>
      </c>
      <c r="Y250" s="61" t="n">
        <f aca="false">W250-X250</f>
        <v>2897.936015625</v>
      </c>
      <c r="Z250" s="1" t="n">
        <f aca="false">N(STACK!J250)</f>
        <v>0</v>
      </c>
      <c r="AA250" s="1" t="str">
        <f aca="false">TRIM(IF(D250="UNMAPPED","Program not mapped. ","")&amp;IF(OR(K250="UNMAPPED",K250="UNASSIGNED"),"Category needs review. ","")&amp;IF(P250="UNMAPPED","Title not mapped. ","")&amp;IF(AND(P250&lt;&gt;"No staff time",R250=""),"Missing hours. ","")&amp;IF(M250="","Date not readable. ","")&amp;IF(N250="No","Outside fiscal year. ","")&amp;IF(AND(F250="Event",ISNUMBER(R250)),IF(R250&gt;12,"Event hours look high. ",""),"")&amp;IF(G250&gt;0,"See CONFIRM sheet.",""))</f>
        <v/>
      </c>
      <c r="AB250" s="1" t="n">
        <f aca="false">IF(N250="No",0,IF(REVIEW!O250=0,0,IF(G250&gt;0,IF(INDEX(CONFIRM!$J$5:$J$53,G250)&lt;&gt;"",INDEX(CONFIRM!$J$5:$J$53,G250),1),1)))</f>
        <v>1</v>
      </c>
      <c r="AC250" s="1" t="n">
        <f aca="false">IF(AB250=1,IF(COUNTIFS($B$5:B250,B250,$D$5:D250,D250,$AB$5:AB250,1)=1,1,0),0)</f>
        <v>0</v>
      </c>
    </row>
    <row r="251" customFormat="false" ht="15" hidden="false" customHeight="false" outlineLevel="0" collapsed="false">
      <c r="A251" s="48" t="str">
        <f aca="false">STACK!A251</f>
        <v>KVMC-0247</v>
      </c>
      <c r="B251" s="48" t="str">
        <f aca="false">STACK!B251</f>
        <v>KVMC</v>
      </c>
      <c r="C251" s="48" t="str">
        <f aca="false">STACK!E251</f>
        <v>Community Health Worker Outreach</v>
      </c>
      <c r="D251" s="1" t="str">
        <f aca="false">IFERROR(INDEX(MAP!$J$7:$J$101,MATCH(TRIM(C251),MAP!$I$7:$I$101,0)),"UNMAPPED")</f>
        <v>Community Health Worker Outreach</v>
      </c>
      <c r="E251" s="1" t="str">
        <f aca="false">IFERROR(INDEX(MAP!$K$7:$K$101,MATCH(TRIM(C251),MAP!$I$7:$I$101,0)),"")</f>
        <v>Access to care</v>
      </c>
      <c r="F251" s="1" t="str">
        <f aca="false">IFERROR(INDEX(MAP!$L$7:$L$101,MATCH(TRIM(C251),MAP!$I$7:$I$101,0)),"")</f>
        <v>Monthly</v>
      </c>
      <c r="G251" s="1" t="n">
        <f aca="false">IFERROR(MATCH(A251,CONFIRM!$A$5:$A$53,0),0)</f>
        <v>0</v>
      </c>
      <c r="H251" s="48" t="str">
        <f aca="false">STACK!F251</f>
        <v>Health Care Support Services</v>
      </c>
      <c r="I251" s="1" t="str">
        <f aca="false">IF(G251&gt;0,IF(INDEX(CONFIRM!$I$5:$I$53,G251)&lt;&gt;"",INDEX(CONFIRM!$I$5:$I$53,G251),H251),H251)</f>
        <v>Health Care Support Services</v>
      </c>
      <c r="J251" s="1" t="str">
        <f aca="false">IFERROR(INDEX(MAP!$F$7:$F$74,MATCH(TRIM(I251),MAP!$E$7:$E$74,0)),"UNMAPPED")</f>
        <v>Health care support services</v>
      </c>
      <c r="K251" s="1" t="str">
        <f aca="false">IFERROR(INDEX(MAP!$G$7:$G$74,MATCH(TRIM(I251),MAP!$E$7:$E$74,0)),"UNMAPPED")</f>
        <v>7e</v>
      </c>
      <c r="L251" s="49" t="n">
        <f aca="false">STACK!G251</f>
        <v>46022</v>
      </c>
      <c r="M251" s="59" t="n">
        <f aca="false">IF(G251&gt;0,IF(INDEX(CONFIRM!$G$5:$G$53,G251)&lt;&gt;"",INDEX(CONFIRM!$G$5:$G$53,G251),IF(ISNUMBER(L251),L251,IFERROR(DATEVALUE(L251),""))),IF(ISNUMBER(L251),L251,IFERROR(DATEVALUE(L251),"")))</f>
        <v>46022</v>
      </c>
      <c r="N251" s="1" t="str">
        <f aca="false">IF(M251="","Check",IF(AND(M251&gt;=INPUTS!$C$6,M251&lt;=INPUTS!$C$7),"Yes","No"))</f>
        <v>Yes</v>
      </c>
      <c r="O251" s="48" t="str">
        <f aca="false">STACK!H251</f>
        <v>Community Health Worker</v>
      </c>
      <c r="P251" s="1" t="str">
        <f aca="false">IF(G251&gt;0,IF(INDEX(CONFIRM!$H$5:$H$53,G251)&lt;&gt;"",INDEX(CONFIRM!$H$5:$H$53,G251),IFERROR(INDEX(MAP!$B$7:$B$156,MATCH(TRIM(O251),MAP!$A$7:$A$156,0)),"UNMAPPED")),IFERROR(INDEX(MAP!$B$7:$B$156,MATCH(TRIM(O251),MAP!$A$7:$A$156,0)),"UNMAPPED"))</f>
        <v>Community Health Worker</v>
      </c>
      <c r="Q251" s="48" t="n">
        <f aca="false">STACK!I251</f>
        <v>383.5</v>
      </c>
      <c r="R251" s="60" t="n">
        <f aca="false">IF(G251&gt;0,IF(INDEX(CONFIRM!$F$5:$F$53,G251)&lt;&gt;"",INDEX(CONFIRM!$F$5:$F$53,G251),IF(ISNUMBER(Q251),Q251,IF(Q251="","",IFERROR(VALUE(TRIM(SUBSTITUTE(SUBSTITUTE(LOWER(Q251),"hrs",""),"hr",""))),"")))),IF(ISNUMBER(Q251),Q251,IF(Q251="","",IFERROR(VALUE(TRIM(SUBSTITUTE(SUBSTITUTE(LOWER(Q251),"hrs",""),"hr",""))),""))))</f>
        <v>383.5</v>
      </c>
      <c r="S251" s="57" t="n">
        <f aca="false">IFERROR(INDEX(RATES!$E$6:$E$28,MATCH(P251,RATES!$A$6:$A$28,0)),0)</f>
        <v>27.6275</v>
      </c>
      <c r="T251" s="61" t="n">
        <f aca="false">IF(ISNUMBER(R251),R251,0)*S251</f>
        <v>10595.14625</v>
      </c>
      <c r="U251" s="61" t="n">
        <f aca="false">T251*INDEX(INPUTS!$H$10:$H$14,MATCH(B251,INPUTS!$A$10:$A$14,0))</f>
        <v>1960.10205625</v>
      </c>
      <c r="V251" s="61" t="n">
        <f aca="false">N(STACK!K251)</f>
        <v>2335</v>
      </c>
      <c r="W251" s="61" t="n">
        <f aca="false">T251+U251+V251</f>
        <v>14890.24830625</v>
      </c>
      <c r="X251" s="61" t="n">
        <f aca="false">N(STACK!L251)</f>
        <v>0</v>
      </c>
      <c r="Y251" s="61" t="n">
        <f aca="false">W251-X251</f>
        <v>14890.24830625</v>
      </c>
      <c r="Z251" s="1" t="n">
        <f aca="false">N(STACK!J251)</f>
        <v>435</v>
      </c>
      <c r="AA251" s="1" t="str">
        <f aca="false">TRIM(IF(D251="UNMAPPED","Program not mapped. ","")&amp;IF(OR(K251="UNMAPPED",K251="UNASSIGNED"),"Category needs review. ","")&amp;IF(P251="UNMAPPED","Title not mapped. ","")&amp;IF(AND(P251&lt;&gt;"No staff time",R251=""),"Missing hours. ","")&amp;IF(M251="","Date not readable. ","")&amp;IF(N251="No","Outside fiscal year. ","")&amp;IF(AND(F251="Event",ISNUMBER(R251)),IF(R251&gt;12,"Event hours look high. ",""),"")&amp;IF(G251&gt;0,"See CONFIRM sheet.",""))</f>
        <v/>
      </c>
      <c r="AB251" s="1" t="n">
        <f aca="false">IF(N251="No",0,IF(REVIEW!O251=0,0,IF(G251&gt;0,IF(INDEX(CONFIRM!$J$5:$J$53,G251)&lt;&gt;"",INDEX(CONFIRM!$J$5:$J$53,G251),1),1)))</f>
        <v>1</v>
      </c>
      <c r="AC251" s="1" t="n">
        <f aca="false">IF(AB251=1,IF(COUNTIFS($B$5:B251,B251,$D$5:D251,D251,$AB$5:AB251,1)=1,1,0),0)</f>
        <v>0</v>
      </c>
    </row>
    <row r="252" customFormat="false" ht="15" hidden="false" customHeight="false" outlineLevel="0" collapsed="false">
      <c r="A252" s="48" t="str">
        <f aca="false">STACK!A252</f>
        <v>KVMC-0248</v>
      </c>
      <c r="B252" s="48" t="str">
        <f aca="false">STACK!B252</f>
        <v>KVMC</v>
      </c>
      <c r="C252" s="48" t="str">
        <f aca="false">STACK!E252</f>
        <v>Community Health Worker Outreach</v>
      </c>
      <c r="D252" s="1" t="str">
        <f aca="false">IFERROR(INDEX(MAP!$J$7:$J$101,MATCH(TRIM(C252),MAP!$I$7:$I$101,0)),"UNMAPPED")</f>
        <v>Community Health Worker Outreach</v>
      </c>
      <c r="E252" s="1" t="str">
        <f aca="false">IFERROR(INDEX(MAP!$K$7:$K$101,MATCH(TRIM(C252),MAP!$I$7:$I$101,0)),"")</f>
        <v>Access to care</v>
      </c>
      <c r="F252" s="1" t="str">
        <f aca="false">IFERROR(INDEX(MAP!$L$7:$L$101,MATCH(TRIM(C252),MAP!$I$7:$I$101,0)),"")</f>
        <v>Monthly</v>
      </c>
      <c r="G252" s="1" t="n">
        <f aca="false">IFERROR(MATCH(A252,CONFIRM!$A$5:$A$53,0),0)</f>
        <v>0</v>
      </c>
      <c r="H252" s="48" t="str">
        <f aca="false">STACK!F252</f>
        <v>Health Care Support Services</v>
      </c>
      <c r="I252" s="1" t="str">
        <f aca="false">IF(G252&gt;0,IF(INDEX(CONFIRM!$I$5:$I$53,G252)&lt;&gt;"",INDEX(CONFIRM!$I$5:$I$53,G252),H252),H252)</f>
        <v>Health Care Support Services</v>
      </c>
      <c r="J252" s="1" t="str">
        <f aca="false">IFERROR(INDEX(MAP!$F$7:$F$74,MATCH(TRIM(I252),MAP!$E$7:$E$74,0)),"UNMAPPED")</f>
        <v>Health care support services</v>
      </c>
      <c r="K252" s="1" t="str">
        <f aca="false">IFERROR(INDEX(MAP!$G$7:$G$74,MATCH(TRIM(I252),MAP!$E$7:$E$74,0)),"UNMAPPED")</f>
        <v>7e</v>
      </c>
      <c r="L252" s="49" t="n">
        <f aca="false">STACK!G252</f>
        <v>46022</v>
      </c>
      <c r="M252" s="59" t="n">
        <f aca="false">IF(G252&gt;0,IF(INDEX(CONFIRM!$G$5:$G$53,G252)&lt;&gt;"",INDEX(CONFIRM!$G$5:$G$53,G252),IF(ISNUMBER(L252),L252,IFERROR(DATEVALUE(L252),""))),IF(ISNUMBER(L252),L252,IFERROR(DATEVALUE(L252),"")))</f>
        <v>46022</v>
      </c>
      <c r="N252" s="1" t="str">
        <f aca="false">IF(M252="","Check",IF(AND(M252&gt;=INPUTS!$C$6,M252&lt;=INPUTS!$C$7),"Yes","No"))</f>
        <v>Yes</v>
      </c>
      <c r="O252" s="48" t="str">
        <f aca="false">STACK!H252</f>
        <v>Financial Navigator</v>
      </c>
      <c r="P252" s="1" t="str">
        <f aca="false">IF(G252&gt;0,IF(INDEX(CONFIRM!$H$5:$H$53,G252)&lt;&gt;"",INDEX(CONFIRM!$H$5:$H$53,G252),IFERROR(INDEX(MAP!$B$7:$B$156,MATCH(TRIM(O252),MAP!$A$7:$A$156,0)),"UNMAPPED")),IFERROR(INDEX(MAP!$B$7:$B$156,MATCH(TRIM(O252),MAP!$A$7:$A$156,0)),"UNMAPPED"))</f>
        <v>Patient Navigator</v>
      </c>
      <c r="Q252" s="48" t="n">
        <f aca="false">STACK!I252</f>
        <v>159.5</v>
      </c>
      <c r="R252" s="60" t="n">
        <f aca="false">IF(G252&gt;0,IF(INDEX(CONFIRM!$F$5:$F$53,G252)&lt;&gt;"",INDEX(CONFIRM!$F$5:$F$53,G252),IF(ISNUMBER(Q252),Q252,IF(Q252="","",IFERROR(VALUE(TRIM(SUBSTITUTE(SUBSTITUTE(LOWER(Q252),"hrs",""),"hr",""))),"")))),IF(ISNUMBER(Q252),Q252,IF(Q252="","",IFERROR(VALUE(TRIM(SUBSTITUTE(SUBSTITUTE(LOWER(Q252),"hrs",""),"hr",""))),""))))</f>
        <v>159.5</v>
      </c>
      <c r="S252" s="57" t="n">
        <f aca="false">IFERROR(INDEX(RATES!$E$6:$E$28,MATCH(P252,RATES!$A$6:$A$28,0)),0)</f>
        <v>30.84</v>
      </c>
      <c r="T252" s="61" t="n">
        <f aca="false">IF(ISNUMBER(R252),R252,0)*S252</f>
        <v>4918.98</v>
      </c>
      <c r="U252" s="61" t="n">
        <f aca="false">T252*INDEX(INPUTS!$H$10:$H$14,MATCH(B252,INPUTS!$A$10:$A$14,0))</f>
        <v>910.0113</v>
      </c>
      <c r="V252" s="61" t="n">
        <f aca="false">N(STACK!K252)</f>
        <v>0</v>
      </c>
      <c r="W252" s="61" t="n">
        <f aca="false">T252+U252+V252</f>
        <v>5828.9913</v>
      </c>
      <c r="X252" s="61" t="n">
        <f aca="false">N(STACK!L252)</f>
        <v>0</v>
      </c>
      <c r="Y252" s="61" t="n">
        <f aca="false">W252-X252</f>
        <v>5828.9913</v>
      </c>
      <c r="Z252" s="1" t="n">
        <f aca="false">N(STACK!J252)</f>
        <v>0</v>
      </c>
      <c r="AA252" s="1" t="str">
        <f aca="false">TRIM(IF(D252="UNMAPPED","Program not mapped. ","")&amp;IF(OR(K252="UNMAPPED",K252="UNASSIGNED"),"Category needs review. ","")&amp;IF(P252="UNMAPPED","Title not mapped. ","")&amp;IF(AND(P252&lt;&gt;"No staff time",R252=""),"Missing hours. ","")&amp;IF(M252="","Date not readable. ","")&amp;IF(N252="No","Outside fiscal year. ","")&amp;IF(AND(F252="Event",ISNUMBER(R252)),IF(R252&gt;12,"Event hours look high. ",""),"")&amp;IF(G252&gt;0,"See CONFIRM sheet.",""))</f>
        <v/>
      </c>
      <c r="AB252" s="1" t="n">
        <f aca="false">IF(N252="No",0,IF(REVIEW!O252=0,0,IF(G252&gt;0,IF(INDEX(CONFIRM!$J$5:$J$53,G252)&lt;&gt;"",INDEX(CONFIRM!$J$5:$J$53,G252),1),1)))</f>
        <v>1</v>
      </c>
      <c r="AC252" s="1" t="n">
        <f aca="false">IF(AB252=1,IF(COUNTIFS($B$5:B252,B252,$D$5:D252,D252,$AB$5:AB252,1)=1,1,0),0)</f>
        <v>0</v>
      </c>
    </row>
    <row r="253" customFormat="false" ht="15" hidden="false" customHeight="false" outlineLevel="0" collapsed="false">
      <c r="A253" s="48" t="str">
        <f aca="false">STACK!A253</f>
        <v>KVMC-0249</v>
      </c>
      <c r="B253" s="48" t="str">
        <f aca="false">STACK!B253</f>
        <v>KVMC</v>
      </c>
      <c r="C253" s="48" t="str">
        <f aca="false">STACK!E253</f>
        <v>Medication Assistance Program</v>
      </c>
      <c r="D253" s="1" t="str">
        <f aca="false">IFERROR(INDEX(MAP!$J$7:$J$101,MATCH(TRIM(C253),MAP!$I$7:$I$101,0)),"UNMAPPED")</f>
        <v>Medication Assistance Program</v>
      </c>
      <c r="E253" s="1" t="str">
        <f aca="false">IFERROR(INDEX(MAP!$K$7:$K$101,MATCH(TRIM(C253),MAP!$I$7:$I$101,0)),"")</f>
        <v>Access to care</v>
      </c>
      <c r="F253" s="1" t="str">
        <f aca="false">IFERROR(INDEX(MAP!$L$7:$L$101,MATCH(TRIM(C253),MAP!$I$7:$I$101,0)),"")</f>
        <v>Monthly</v>
      </c>
      <c r="G253" s="1" t="n">
        <f aca="false">IFERROR(MATCH(A253,CONFIRM!$A$5:$A$53,0),0)</f>
        <v>0</v>
      </c>
      <c r="H253" s="48" t="str">
        <f aca="false">STACK!F253</f>
        <v>Health Care Support Services</v>
      </c>
      <c r="I253" s="1" t="str">
        <f aca="false">IF(G253&gt;0,IF(INDEX(CONFIRM!$I$5:$I$53,G253)&lt;&gt;"",INDEX(CONFIRM!$I$5:$I$53,G253),H253),H253)</f>
        <v>Health Care Support Services</v>
      </c>
      <c r="J253" s="1" t="str">
        <f aca="false">IFERROR(INDEX(MAP!$F$7:$F$74,MATCH(TRIM(I253),MAP!$E$7:$E$74,0)),"UNMAPPED")</f>
        <v>Health care support services</v>
      </c>
      <c r="K253" s="1" t="str">
        <f aca="false">IFERROR(INDEX(MAP!$G$7:$G$74,MATCH(TRIM(I253),MAP!$E$7:$E$74,0)),"UNMAPPED")</f>
        <v>7e</v>
      </c>
      <c r="L253" s="49" t="n">
        <f aca="false">STACK!G253</f>
        <v>46022</v>
      </c>
      <c r="M253" s="59" t="n">
        <f aca="false">IF(G253&gt;0,IF(INDEX(CONFIRM!$G$5:$G$53,G253)&lt;&gt;"",INDEX(CONFIRM!$G$5:$G$53,G253),IF(ISNUMBER(L253),L253,IFERROR(DATEVALUE(L253),""))),IF(ISNUMBER(L253),L253,IFERROR(DATEVALUE(L253),"")))</f>
        <v>46022</v>
      </c>
      <c r="N253" s="1" t="str">
        <f aca="false">IF(M253="","Check",IF(AND(M253&gt;=INPUTS!$C$6,M253&lt;=INPUTS!$C$7),"Yes","No"))</f>
        <v>Yes</v>
      </c>
      <c r="O253" s="48" t="str">
        <f aca="false">STACK!H253</f>
        <v>Nurse Navigator </v>
      </c>
      <c r="P253" s="1" t="str">
        <f aca="false">IF(G253&gt;0,IF(INDEX(CONFIRM!$H$5:$H$53,G253)&lt;&gt;"",INDEX(CONFIRM!$H$5:$H$53,G253),IFERROR(INDEX(MAP!$B$7:$B$156,MATCH(TRIM(O253),MAP!$A$7:$A$156,0)),"UNMAPPED")),IFERROR(INDEX(MAP!$B$7:$B$156,MATCH(TRIM(O253),MAP!$A$7:$A$156,0)),"UNMAPPED"))</f>
        <v>Patient Navigator</v>
      </c>
      <c r="Q253" s="48" t="n">
        <f aca="false">STACK!I253</f>
        <v>81.25</v>
      </c>
      <c r="R253" s="60" t="n">
        <f aca="false">IF(G253&gt;0,IF(INDEX(CONFIRM!$F$5:$F$53,G253)&lt;&gt;"",INDEX(CONFIRM!$F$5:$F$53,G253),IF(ISNUMBER(Q253),Q253,IF(Q253="","",IFERROR(VALUE(TRIM(SUBSTITUTE(SUBSTITUTE(LOWER(Q253),"hrs",""),"hr",""))),"")))),IF(ISNUMBER(Q253),Q253,IF(Q253="","",IFERROR(VALUE(TRIM(SUBSTITUTE(SUBSTITUTE(LOWER(Q253),"hrs",""),"hr",""))),""))))</f>
        <v>81.25</v>
      </c>
      <c r="S253" s="57" t="n">
        <f aca="false">IFERROR(INDEX(RATES!$E$6:$E$28,MATCH(P253,RATES!$A$6:$A$28,0)),0)</f>
        <v>30.84</v>
      </c>
      <c r="T253" s="61" t="n">
        <f aca="false">IF(ISNUMBER(R253),R253,0)*S253</f>
        <v>2505.75</v>
      </c>
      <c r="U253" s="61" t="n">
        <f aca="false">T253*INDEX(INPUTS!$H$10:$H$14,MATCH(B253,INPUTS!$A$10:$A$14,0))</f>
        <v>463.56375</v>
      </c>
      <c r="V253" s="61" t="n">
        <f aca="false">N(STACK!K253)</f>
        <v>0</v>
      </c>
      <c r="W253" s="61" t="n">
        <f aca="false">T253+U253+V253</f>
        <v>2969.31375</v>
      </c>
      <c r="X253" s="61" t="n">
        <f aca="false">N(STACK!L253)</f>
        <v>0</v>
      </c>
      <c r="Y253" s="61" t="n">
        <f aca="false">W253-X253</f>
        <v>2969.31375</v>
      </c>
      <c r="Z253" s="1" t="n">
        <f aca="false">N(STACK!J253)</f>
        <v>0</v>
      </c>
      <c r="AA253" s="1" t="str">
        <f aca="false">TRIM(IF(D253="UNMAPPED","Program not mapped. ","")&amp;IF(OR(K253="UNMAPPED",K253="UNASSIGNED"),"Category needs review. ","")&amp;IF(P253="UNMAPPED","Title not mapped. ","")&amp;IF(AND(P253&lt;&gt;"No staff time",R253=""),"Missing hours. ","")&amp;IF(M253="","Date not readable. ","")&amp;IF(N253="No","Outside fiscal year. ","")&amp;IF(AND(F253="Event",ISNUMBER(R253)),IF(R253&gt;12,"Event hours look high. ",""),"")&amp;IF(G253&gt;0,"See CONFIRM sheet.",""))</f>
        <v/>
      </c>
      <c r="AB253" s="1" t="n">
        <f aca="false">IF(N253="No",0,IF(REVIEW!O253=0,0,IF(G253&gt;0,IF(INDEX(CONFIRM!$J$5:$J$53,G253)&lt;&gt;"",INDEX(CONFIRM!$J$5:$J$53,G253),1),1)))</f>
        <v>1</v>
      </c>
      <c r="AC253" s="1" t="n">
        <f aca="false">IF(AB253=1,IF(COUNTIFS($B$5:B253,B253,$D$5:D253,D253,$AB$5:AB253,1)=1,1,0),0)</f>
        <v>0</v>
      </c>
    </row>
    <row r="254" customFormat="false" ht="15" hidden="false" customHeight="false" outlineLevel="0" collapsed="false">
      <c r="A254" s="48" t="str">
        <f aca="false">STACK!A254</f>
        <v>KVMC-0250</v>
      </c>
      <c r="B254" s="48" t="str">
        <f aca="false">STACK!B254</f>
        <v>KVMC</v>
      </c>
      <c r="C254" s="48" t="str">
        <f aca="false">STACK!E254</f>
        <v>Medication Assistance Program</v>
      </c>
      <c r="D254" s="1" t="str">
        <f aca="false">IFERROR(INDEX(MAP!$J$7:$J$101,MATCH(TRIM(C254),MAP!$I$7:$I$101,0)),"UNMAPPED")</f>
        <v>Medication Assistance Program</v>
      </c>
      <c r="E254" s="1" t="str">
        <f aca="false">IFERROR(INDEX(MAP!$K$7:$K$101,MATCH(TRIM(C254),MAP!$I$7:$I$101,0)),"")</f>
        <v>Access to care</v>
      </c>
      <c r="F254" s="1" t="str">
        <f aca="false">IFERROR(INDEX(MAP!$L$7:$L$101,MATCH(TRIM(C254),MAP!$I$7:$I$101,0)),"")</f>
        <v>Monthly</v>
      </c>
      <c r="G254" s="1" t="n">
        <f aca="false">IFERROR(MATCH(A254,CONFIRM!$A$5:$A$53,0),0)</f>
        <v>0</v>
      </c>
      <c r="H254" s="48" t="str">
        <f aca="false">STACK!F254</f>
        <v>Health Care Support Services</v>
      </c>
      <c r="I254" s="1" t="str">
        <f aca="false">IF(G254&gt;0,IF(INDEX(CONFIRM!$I$5:$I$53,G254)&lt;&gt;"",INDEX(CONFIRM!$I$5:$I$53,G254),H254),H254)</f>
        <v>Health Care Support Services</v>
      </c>
      <c r="J254" s="1" t="str">
        <f aca="false">IFERROR(INDEX(MAP!$F$7:$F$74,MATCH(TRIM(I254),MAP!$E$7:$E$74,0)),"UNMAPPED")</f>
        <v>Health care support services</v>
      </c>
      <c r="K254" s="1" t="str">
        <f aca="false">IFERROR(INDEX(MAP!$G$7:$G$74,MATCH(TRIM(I254),MAP!$E$7:$E$74,0)),"UNMAPPED")</f>
        <v>7e</v>
      </c>
      <c r="L254" s="49" t="n">
        <f aca="false">STACK!G254</f>
        <v>46022</v>
      </c>
      <c r="M254" s="59" t="n">
        <f aca="false">IF(G254&gt;0,IF(INDEX(CONFIRM!$G$5:$G$53,G254)&lt;&gt;"",INDEX(CONFIRM!$G$5:$G$53,G254),IF(ISNUMBER(L254),L254,IFERROR(DATEVALUE(L254),""))),IF(ISNUMBER(L254),L254,IFERROR(DATEVALUE(L254),"")))</f>
        <v>46022</v>
      </c>
      <c r="N254" s="1" t="str">
        <f aca="false">IF(M254="","Check",IF(AND(M254&gt;=INPUTS!$C$6,M254&lt;=INPUTS!$C$7),"Yes","No"))</f>
        <v>Yes</v>
      </c>
      <c r="O254" s="48" t="str">
        <f aca="false">STACK!H254</f>
        <v>Pharm.D. </v>
      </c>
      <c r="P254" s="1" t="str">
        <f aca="false">IF(G254&gt;0,IF(INDEX(CONFIRM!$H$5:$H$53,G254)&lt;&gt;"",INDEX(CONFIRM!$H$5:$H$53,G254),IFERROR(INDEX(MAP!$B$7:$B$156,MATCH(TRIM(O254),MAP!$A$7:$A$156,0)),"UNMAPPED")),IFERROR(INDEX(MAP!$B$7:$B$156,MATCH(TRIM(O254),MAP!$A$7:$A$156,0)),"UNMAPPED"))</f>
        <v>Pharmacist</v>
      </c>
      <c r="Q254" s="48" t="n">
        <f aca="false">STACK!I254</f>
        <v>32.5</v>
      </c>
      <c r="R254" s="60" t="n">
        <f aca="false">IF(G254&gt;0,IF(INDEX(CONFIRM!$F$5:$F$53,G254)&lt;&gt;"",INDEX(CONFIRM!$F$5:$F$53,G254),IF(ISNUMBER(Q254),Q254,IF(Q254="","",IFERROR(VALUE(TRIM(SUBSTITUTE(SUBSTITUTE(LOWER(Q254),"hrs",""),"hr",""))),"")))),IF(ISNUMBER(Q254),Q254,IF(Q254="","",IFERROR(VALUE(TRIM(SUBSTITUTE(SUBSTITUTE(LOWER(Q254),"hrs",""),"hr",""))),""))))</f>
        <v>32.5</v>
      </c>
      <c r="S254" s="57" t="n">
        <f aca="false">IFERROR(INDEX(RATES!$E$6:$E$28,MATCH(P254,RATES!$A$6:$A$28,0)),0)</f>
        <v>84.81</v>
      </c>
      <c r="T254" s="61" t="n">
        <f aca="false">IF(ISNUMBER(R254),R254,0)*S254</f>
        <v>2756.325</v>
      </c>
      <c r="U254" s="61" t="n">
        <f aca="false">T254*INDEX(INPUTS!$H$10:$H$14,MATCH(B254,INPUTS!$A$10:$A$14,0))</f>
        <v>509.920125</v>
      </c>
      <c r="V254" s="61" t="n">
        <f aca="false">N(STACK!K254)</f>
        <v>20895</v>
      </c>
      <c r="W254" s="61" t="n">
        <f aca="false">T254+U254+V254</f>
        <v>24161.245125</v>
      </c>
      <c r="X254" s="61" t="n">
        <f aca="false">N(STACK!L254)</f>
        <v>0</v>
      </c>
      <c r="Y254" s="61" t="n">
        <f aca="false">W254-X254</f>
        <v>24161.245125</v>
      </c>
      <c r="Z254" s="1" t="n">
        <f aca="false">N(STACK!J254)</f>
        <v>185</v>
      </c>
      <c r="AA254" s="1" t="str">
        <f aca="false">TRIM(IF(D254="UNMAPPED","Program not mapped. ","")&amp;IF(OR(K254="UNMAPPED",K254="UNASSIGNED"),"Category needs review. ","")&amp;IF(P254="UNMAPPED","Title not mapped. ","")&amp;IF(AND(P254&lt;&gt;"No staff time",R254=""),"Missing hours. ","")&amp;IF(M254="","Date not readable. ","")&amp;IF(N254="No","Outside fiscal year. ","")&amp;IF(AND(F254="Event",ISNUMBER(R254)),IF(R254&gt;12,"Event hours look high. ",""),"")&amp;IF(G254&gt;0,"See CONFIRM sheet.",""))</f>
        <v/>
      </c>
      <c r="AB254" s="1" t="n">
        <f aca="false">IF(N254="No",0,IF(REVIEW!O254=0,0,IF(G254&gt;0,IF(INDEX(CONFIRM!$J$5:$J$53,G254)&lt;&gt;"",INDEX(CONFIRM!$J$5:$J$53,G254),1),1)))</f>
        <v>1</v>
      </c>
      <c r="AC254" s="1" t="n">
        <f aca="false">IF(AB254=1,IF(COUNTIFS($B$5:B254,B254,$D$5:D254,D254,$AB$5:AB254,1)=1,1,0),0)</f>
        <v>0</v>
      </c>
    </row>
    <row r="255" customFormat="false" ht="15" hidden="false" customHeight="false" outlineLevel="0" collapsed="false">
      <c r="A255" s="48" t="str">
        <f aca="false">STACK!A255</f>
        <v>KVMC-0251</v>
      </c>
      <c r="B255" s="48" t="str">
        <f aca="false">STACK!B255</f>
        <v>KVMC</v>
      </c>
      <c r="C255" s="48" t="str">
        <f aca="false">STACK!E255</f>
        <v>Community Health Needs Assessment</v>
      </c>
      <c r="D255" s="1" t="str">
        <f aca="false">IFERROR(INDEX(MAP!$J$7:$J$101,MATCH(TRIM(C255),MAP!$I$7:$I$101,0)),"UNMAPPED")</f>
        <v>Community Health Needs Assessment</v>
      </c>
      <c r="E255" s="1" t="str">
        <f aca="false">IFERROR(INDEX(MAP!$K$7:$K$101,MATCH(TRIM(C255),MAP!$I$7:$I$101,0)),"")</f>
        <v>Community benefit infrastructure</v>
      </c>
      <c r="F255" s="1" t="str">
        <f aca="false">IFERROR(INDEX(MAP!$L$7:$L$101,MATCH(TRIM(C255),MAP!$I$7:$I$101,0)),"")</f>
        <v>Monthly</v>
      </c>
      <c r="G255" s="1" t="n">
        <f aca="false">IFERROR(MATCH(A255,CONFIRM!$A$5:$A$53,0),0)</f>
        <v>0</v>
      </c>
      <c r="H255" s="48" t="str">
        <f aca="false">STACK!F255</f>
        <v>CB Operations</v>
      </c>
      <c r="I255" s="1" t="str">
        <f aca="false">IF(G255&gt;0,IF(INDEX(CONFIRM!$I$5:$I$53,G255)&lt;&gt;"",INDEX(CONFIRM!$I$5:$I$53,G255),H255),H255)</f>
        <v>CB Operations</v>
      </c>
      <c r="J255" s="1" t="str">
        <f aca="false">IFERROR(INDEX(MAP!$F$7:$F$74,MATCH(TRIM(I255),MAP!$E$7:$E$74,0)),"UNMAPPED")</f>
        <v>Community benefit operations</v>
      </c>
      <c r="K255" s="1" t="str">
        <f aca="false">IFERROR(INDEX(MAP!$G$7:$G$74,MATCH(TRIM(I255),MAP!$E$7:$E$74,0)),"UNMAPPED")</f>
        <v>7e</v>
      </c>
      <c r="L255" s="49" t="n">
        <f aca="false">STACK!G255</f>
        <v>46022</v>
      </c>
      <c r="M255" s="59" t="n">
        <f aca="false">IF(G255&gt;0,IF(INDEX(CONFIRM!$G$5:$G$53,G255)&lt;&gt;"",INDEX(CONFIRM!$G$5:$G$53,G255),IF(ISNUMBER(L255),L255,IFERROR(DATEVALUE(L255),""))),IF(ISNUMBER(L255),L255,IFERROR(DATEVALUE(L255),"")))</f>
        <v>46022</v>
      </c>
      <c r="N255" s="1" t="str">
        <f aca="false">IF(M255="","Check",IF(AND(M255&gt;=INPUTS!$C$6,M255&lt;=INPUTS!$C$7),"Yes","No"))</f>
        <v>Yes</v>
      </c>
      <c r="O255" s="48" t="str">
        <f aca="false">STACK!H255</f>
        <v>Community Benefit Manager</v>
      </c>
      <c r="P255" s="1" t="str">
        <f aca="false">IF(G255&gt;0,IF(INDEX(CONFIRM!$H$5:$H$53,G255)&lt;&gt;"",INDEX(CONFIRM!$H$5:$H$53,G255),IFERROR(INDEX(MAP!$B$7:$B$156,MATCH(TRIM(O255),MAP!$A$7:$A$156,0)),"UNMAPPED")),IFERROR(INDEX(MAP!$B$7:$B$156,MATCH(TRIM(O255),MAP!$A$7:$A$156,0)),"UNMAPPED"))</f>
        <v>Community Benefit Manager</v>
      </c>
      <c r="Q255" s="48" t="n">
        <f aca="false">STACK!I255</f>
        <v>41.5</v>
      </c>
      <c r="R255" s="60" t="n">
        <f aca="false">IF(G255&gt;0,IF(INDEX(CONFIRM!$F$5:$F$53,G255)&lt;&gt;"",INDEX(CONFIRM!$F$5:$F$53,G255),IF(ISNUMBER(Q255),Q255,IF(Q255="","",IFERROR(VALUE(TRIM(SUBSTITUTE(SUBSTITUTE(LOWER(Q255),"hrs",""),"hr",""))),"")))),IF(ISNUMBER(Q255),Q255,IF(Q255="","",IFERROR(VALUE(TRIM(SUBSTITUTE(SUBSTITUTE(LOWER(Q255),"hrs",""),"hr",""))),""))))</f>
        <v>41.5</v>
      </c>
      <c r="S255" s="57" t="n">
        <f aca="false">IFERROR(INDEX(RATES!$E$6:$E$28,MATCH(P255,RATES!$A$6:$A$28,0)),0)</f>
        <v>59.11</v>
      </c>
      <c r="T255" s="61" t="n">
        <f aca="false">IF(ISNUMBER(R255),R255,0)*S255</f>
        <v>2453.065</v>
      </c>
      <c r="U255" s="61" t="n">
        <f aca="false">T255*INDEX(INPUTS!$H$10:$H$14,MATCH(B255,INPUTS!$A$10:$A$14,0))</f>
        <v>453.817025</v>
      </c>
      <c r="V255" s="61" t="n">
        <f aca="false">N(STACK!K255)</f>
        <v>2045</v>
      </c>
      <c r="W255" s="61" t="n">
        <f aca="false">T255+U255+V255</f>
        <v>4951.882025</v>
      </c>
      <c r="X255" s="61" t="n">
        <f aca="false">N(STACK!L255)</f>
        <v>0</v>
      </c>
      <c r="Y255" s="61" t="n">
        <f aca="false">W255-X255</f>
        <v>4951.882025</v>
      </c>
      <c r="Z255" s="1" t="n">
        <f aca="false">N(STACK!J255)</f>
        <v>0</v>
      </c>
      <c r="AA255" s="1" t="str">
        <f aca="false">TRIM(IF(D255="UNMAPPED","Program not mapped. ","")&amp;IF(OR(K255="UNMAPPED",K255="UNASSIGNED"),"Category needs review. ","")&amp;IF(P255="UNMAPPED","Title not mapped. ","")&amp;IF(AND(P255&lt;&gt;"No staff time",R255=""),"Missing hours. ","")&amp;IF(M255="","Date not readable. ","")&amp;IF(N255="No","Outside fiscal year. ","")&amp;IF(AND(F255="Event",ISNUMBER(R255)),IF(R255&gt;12,"Event hours look high. ",""),"")&amp;IF(G255&gt;0,"See CONFIRM sheet.",""))</f>
        <v/>
      </c>
      <c r="AB255" s="1" t="n">
        <f aca="false">IF(N255="No",0,IF(REVIEW!O255=0,0,IF(G255&gt;0,IF(INDEX(CONFIRM!$J$5:$J$53,G255)&lt;&gt;"",INDEX(CONFIRM!$J$5:$J$53,G255),1),1)))</f>
        <v>1</v>
      </c>
      <c r="AC255" s="1" t="n">
        <f aca="false">IF(AB255=1,IF(COUNTIFS($B$5:B255,B255,$D$5:D255,D255,$AB$5:AB255,1)=1,1,0),0)</f>
        <v>0</v>
      </c>
    </row>
    <row r="256" customFormat="false" ht="15" hidden="false" customHeight="false" outlineLevel="0" collapsed="false">
      <c r="A256" s="48" t="str">
        <f aca="false">STACK!A256</f>
        <v>KVMC-0252</v>
      </c>
      <c r="B256" s="48" t="str">
        <f aca="false">STACK!B256</f>
        <v>KVMC</v>
      </c>
      <c r="C256" s="48" t="str">
        <f aca="false">STACK!E256</f>
        <v>Community Health Needs Assessment</v>
      </c>
      <c r="D256" s="1" t="str">
        <f aca="false">IFERROR(INDEX(MAP!$J$7:$J$101,MATCH(TRIM(C256),MAP!$I$7:$I$101,0)),"UNMAPPED")</f>
        <v>Community Health Needs Assessment</v>
      </c>
      <c r="E256" s="1" t="str">
        <f aca="false">IFERROR(INDEX(MAP!$K$7:$K$101,MATCH(TRIM(C256),MAP!$I$7:$I$101,0)),"")</f>
        <v>Community benefit infrastructure</v>
      </c>
      <c r="F256" s="1" t="str">
        <f aca="false">IFERROR(INDEX(MAP!$L$7:$L$101,MATCH(TRIM(C256),MAP!$I$7:$I$101,0)),"")</f>
        <v>Monthly</v>
      </c>
      <c r="G256" s="1" t="n">
        <f aca="false">IFERROR(MATCH(A256,CONFIRM!$A$5:$A$53,0),0)</f>
        <v>0</v>
      </c>
      <c r="H256" s="48" t="str">
        <f aca="false">STACK!F256</f>
        <v>CB Operations</v>
      </c>
      <c r="I256" s="1" t="str">
        <f aca="false">IF(G256&gt;0,IF(INDEX(CONFIRM!$I$5:$I$53,G256)&lt;&gt;"",INDEX(CONFIRM!$I$5:$I$53,G256),H256),H256)</f>
        <v>CB Operations</v>
      </c>
      <c r="J256" s="1" t="str">
        <f aca="false">IFERROR(INDEX(MAP!$F$7:$F$74,MATCH(TRIM(I256),MAP!$E$7:$E$74,0)),"UNMAPPED")</f>
        <v>Community benefit operations</v>
      </c>
      <c r="K256" s="1" t="str">
        <f aca="false">IFERROR(INDEX(MAP!$G$7:$G$74,MATCH(TRIM(I256),MAP!$E$7:$E$74,0)),"UNMAPPED")</f>
        <v>7e</v>
      </c>
      <c r="L256" s="49" t="n">
        <f aca="false">STACK!G256</f>
        <v>46022</v>
      </c>
      <c r="M256" s="59" t="n">
        <f aca="false">IF(G256&gt;0,IF(INDEX(CONFIRM!$G$5:$G$53,G256)&lt;&gt;"",INDEX(CONFIRM!$G$5:$G$53,G256),IF(ISNUMBER(L256),L256,IFERROR(DATEVALUE(L256),""))),IF(ISNUMBER(L256),L256,IFERROR(DATEVALUE(L256),"")))</f>
        <v>46022</v>
      </c>
      <c r="N256" s="1" t="str">
        <f aca="false">IF(M256="","Check",IF(AND(M256&gt;=INPUTS!$C$6,M256&lt;=INPUTS!$C$7),"Yes","No"))</f>
        <v>Yes</v>
      </c>
      <c r="O256" s="48" t="str">
        <f aca="false">STACK!H256</f>
        <v>Data Analyst</v>
      </c>
      <c r="P256" s="1" t="str">
        <f aca="false">IF(G256&gt;0,IF(INDEX(CONFIRM!$H$5:$H$53,G256)&lt;&gt;"",INDEX(CONFIRM!$H$5:$H$53,G256),IFERROR(INDEX(MAP!$B$7:$B$156,MATCH(TRIM(O256),MAP!$A$7:$A$156,0)),"UNMAPPED")),IFERROR(INDEX(MAP!$B$7:$B$156,MATCH(TRIM(O256),MAP!$A$7:$A$156,0)),"UNMAPPED"))</f>
        <v>Data Analyst</v>
      </c>
      <c r="Q256" s="48" t="n">
        <f aca="false">STACK!I256</f>
        <v>20.75</v>
      </c>
      <c r="R256" s="60" t="n">
        <f aca="false">IF(G256&gt;0,IF(INDEX(CONFIRM!$F$5:$F$53,G256)&lt;&gt;"",INDEX(CONFIRM!$F$5:$F$53,G256),IF(ISNUMBER(Q256),Q256,IF(Q256="","",IFERROR(VALUE(TRIM(SUBSTITUTE(SUBSTITUTE(LOWER(Q256),"hrs",""),"hr",""))),"")))),IF(ISNUMBER(Q256),Q256,IF(Q256="","",IFERROR(VALUE(TRIM(SUBSTITUTE(SUBSTITUTE(LOWER(Q256),"hrs",""),"hr",""))),""))))</f>
        <v>20.75</v>
      </c>
      <c r="S256" s="57" t="n">
        <f aca="false">IFERROR(INDEX(RATES!$E$6:$E$28,MATCH(P256,RATES!$A$6:$A$28,0)),0)</f>
        <v>48.83</v>
      </c>
      <c r="T256" s="61" t="n">
        <f aca="false">IF(ISNUMBER(R256),R256,0)*S256</f>
        <v>1013.2225</v>
      </c>
      <c r="U256" s="61" t="n">
        <f aca="false">T256*INDEX(INPUTS!$H$10:$H$14,MATCH(B256,INPUTS!$A$10:$A$14,0))</f>
        <v>187.4461625</v>
      </c>
      <c r="V256" s="61" t="n">
        <f aca="false">N(STACK!K256)</f>
        <v>0</v>
      </c>
      <c r="W256" s="61" t="n">
        <f aca="false">T256+U256+V256</f>
        <v>1200.6686625</v>
      </c>
      <c r="X256" s="61" t="n">
        <f aca="false">N(STACK!L256)</f>
        <v>0</v>
      </c>
      <c r="Y256" s="61" t="n">
        <f aca="false">W256-X256</f>
        <v>1200.6686625</v>
      </c>
      <c r="Z256" s="1" t="n">
        <f aca="false">N(STACK!J256)</f>
        <v>0</v>
      </c>
      <c r="AA256" s="1" t="str">
        <f aca="false">TRIM(IF(D256="UNMAPPED","Program not mapped. ","")&amp;IF(OR(K256="UNMAPPED",K256="UNASSIGNED"),"Category needs review. ","")&amp;IF(P256="UNMAPPED","Title not mapped. ","")&amp;IF(AND(P256&lt;&gt;"No staff time",R256=""),"Missing hours. ","")&amp;IF(M256="","Date not readable. ","")&amp;IF(N256="No","Outside fiscal year. ","")&amp;IF(AND(F256="Event",ISNUMBER(R256)),IF(R256&gt;12,"Event hours look high. ",""),"")&amp;IF(G256&gt;0,"See CONFIRM sheet.",""))</f>
        <v/>
      </c>
      <c r="AB256" s="1" t="n">
        <f aca="false">IF(N256="No",0,IF(REVIEW!O256=0,0,IF(G256&gt;0,IF(INDEX(CONFIRM!$J$5:$J$53,G256)&lt;&gt;"",INDEX(CONFIRM!$J$5:$J$53,G256),1),1)))</f>
        <v>1</v>
      </c>
      <c r="AC256" s="1" t="n">
        <f aca="false">IF(AB256=1,IF(COUNTIFS($B$5:B256,B256,$D$5:D256,D256,$AB$5:AB256,1)=1,1,0),0)</f>
        <v>0</v>
      </c>
    </row>
    <row r="257" customFormat="false" ht="15" hidden="false" customHeight="false" outlineLevel="0" collapsed="false">
      <c r="A257" s="48" t="str">
        <f aca="false">STACK!A257</f>
        <v>KVMC-0253</v>
      </c>
      <c r="B257" s="48" t="str">
        <f aca="false">STACK!B257</f>
        <v>KVMC</v>
      </c>
      <c r="C257" s="48" t="str">
        <f aca="false">STACK!E257</f>
        <v>Community Benefit Program Administration</v>
      </c>
      <c r="D257" s="1" t="str">
        <f aca="false">IFERROR(INDEX(MAP!$J$7:$J$101,MATCH(TRIM(C257),MAP!$I$7:$I$101,0)),"UNMAPPED")</f>
        <v>Community Benefit Program Administration</v>
      </c>
      <c r="E257" s="1" t="str">
        <f aca="false">IFERROR(INDEX(MAP!$K$7:$K$101,MATCH(TRIM(C257),MAP!$I$7:$I$101,0)),"")</f>
        <v>Community benefit infrastructure</v>
      </c>
      <c r="F257" s="1" t="str">
        <f aca="false">IFERROR(INDEX(MAP!$L$7:$L$101,MATCH(TRIM(C257),MAP!$I$7:$I$101,0)),"")</f>
        <v>Monthly</v>
      </c>
      <c r="G257" s="1" t="n">
        <f aca="false">IFERROR(MATCH(A257,CONFIRM!$A$5:$A$53,0),0)</f>
        <v>0</v>
      </c>
      <c r="H257" s="48" t="str">
        <f aca="false">STACK!F257</f>
        <v>CB Operations</v>
      </c>
      <c r="I257" s="1" t="str">
        <f aca="false">IF(G257&gt;0,IF(INDEX(CONFIRM!$I$5:$I$53,G257)&lt;&gt;"",INDEX(CONFIRM!$I$5:$I$53,G257),H257),H257)</f>
        <v>CB Operations</v>
      </c>
      <c r="J257" s="1" t="str">
        <f aca="false">IFERROR(INDEX(MAP!$F$7:$F$74,MATCH(TRIM(I257),MAP!$E$7:$E$74,0)),"UNMAPPED")</f>
        <v>Community benefit operations</v>
      </c>
      <c r="K257" s="1" t="str">
        <f aca="false">IFERROR(INDEX(MAP!$G$7:$G$74,MATCH(TRIM(I257),MAP!$E$7:$E$74,0)),"UNMAPPED")</f>
        <v>7e</v>
      </c>
      <c r="L257" s="49" t="n">
        <f aca="false">STACK!G257</f>
        <v>46022</v>
      </c>
      <c r="M257" s="59" t="n">
        <f aca="false">IF(G257&gt;0,IF(INDEX(CONFIRM!$G$5:$G$53,G257)&lt;&gt;"",INDEX(CONFIRM!$G$5:$G$53,G257),IF(ISNUMBER(L257),L257,IFERROR(DATEVALUE(L257),""))),IF(ISNUMBER(L257),L257,IFERROR(DATEVALUE(L257),"")))</f>
        <v>46022</v>
      </c>
      <c r="N257" s="1" t="str">
        <f aca="false">IF(M257="","Check",IF(AND(M257&gt;=INPUTS!$C$6,M257&lt;=INPUTS!$C$7),"Yes","No"))</f>
        <v>Yes</v>
      </c>
      <c r="O257" s="48" t="str">
        <f aca="false">STACK!H257</f>
        <v>admin</v>
      </c>
      <c r="P257" s="1" t="str">
        <f aca="false">IF(G257&gt;0,IF(INDEX(CONFIRM!$H$5:$H$53,G257)&lt;&gt;"",INDEX(CONFIRM!$H$5:$H$53,G257),IFERROR(INDEX(MAP!$B$7:$B$156,MATCH(TRIM(O257),MAP!$A$7:$A$156,0)),"UNMAPPED")),IFERROR(INDEX(MAP!$B$7:$B$156,MATCH(TRIM(O257),MAP!$A$7:$A$156,0)),"UNMAPPED"))</f>
        <v>Administrative Assistant</v>
      </c>
      <c r="Q257" s="48" t="n">
        <f aca="false">STACK!I257</f>
        <v>73.5</v>
      </c>
      <c r="R257" s="60" t="n">
        <f aca="false">IF(G257&gt;0,IF(INDEX(CONFIRM!$F$5:$F$53,G257)&lt;&gt;"",INDEX(CONFIRM!$F$5:$F$53,G257),IF(ISNUMBER(Q257),Q257,IF(Q257="","",IFERROR(VALUE(TRIM(SUBSTITUTE(SUBSTITUTE(LOWER(Q257),"hrs",""),"hr",""))),"")))),IF(ISNUMBER(Q257),Q257,IF(Q257="","",IFERROR(VALUE(TRIM(SUBSTITUTE(SUBSTITUTE(LOWER(Q257),"hrs",""),"hr",""))),""))))</f>
        <v>73.5</v>
      </c>
      <c r="S257" s="57" t="n">
        <f aca="false">IFERROR(INDEX(RATES!$E$6:$E$28,MATCH(P257,RATES!$A$6:$A$28,0)),0)</f>
        <v>26.985</v>
      </c>
      <c r="T257" s="61" t="n">
        <f aca="false">IF(ISNUMBER(R257),R257,0)*S257</f>
        <v>1983.3975</v>
      </c>
      <c r="U257" s="61" t="n">
        <f aca="false">T257*INDEX(INPUTS!$H$10:$H$14,MATCH(B257,INPUTS!$A$10:$A$14,0))</f>
        <v>366.9285375</v>
      </c>
      <c r="V257" s="61" t="n">
        <f aca="false">N(STACK!K257)</f>
        <v>0</v>
      </c>
      <c r="W257" s="61" t="n">
        <f aca="false">T257+U257+V257</f>
        <v>2350.3260375</v>
      </c>
      <c r="X257" s="61" t="n">
        <f aca="false">N(STACK!L257)</f>
        <v>0</v>
      </c>
      <c r="Y257" s="61" t="n">
        <f aca="false">W257-X257</f>
        <v>2350.3260375</v>
      </c>
      <c r="Z257" s="1" t="n">
        <f aca="false">N(STACK!J257)</f>
        <v>0</v>
      </c>
      <c r="AA257" s="1" t="str">
        <f aca="false">TRIM(IF(D257="UNMAPPED","Program not mapped. ","")&amp;IF(OR(K257="UNMAPPED",K257="UNASSIGNED"),"Category needs review. ","")&amp;IF(P257="UNMAPPED","Title not mapped. ","")&amp;IF(AND(P257&lt;&gt;"No staff time",R257=""),"Missing hours. ","")&amp;IF(M257="","Date not readable. ","")&amp;IF(N257="No","Outside fiscal year. ","")&amp;IF(AND(F257="Event",ISNUMBER(R257)),IF(R257&gt;12,"Event hours look high. ",""),"")&amp;IF(G257&gt;0,"See CONFIRM sheet.",""))</f>
        <v/>
      </c>
      <c r="AB257" s="1" t="n">
        <f aca="false">IF(N257="No",0,IF(REVIEW!O257=0,0,IF(G257&gt;0,IF(INDEX(CONFIRM!$J$5:$J$53,G257)&lt;&gt;"",INDEX(CONFIRM!$J$5:$J$53,G257),1),1)))</f>
        <v>1</v>
      </c>
      <c r="AC257" s="1" t="n">
        <f aca="false">IF(AB257=1,IF(COUNTIFS($B$5:B257,B257,$D$5:D257,D257,$AB$5:AB257,1)=1,1,0),0)</f>
        <v>0</v>
      </c>
    </row>
    <row r="258" customFormat="false" ht="15" hidden="false" customHeight="false" outlineLevel="0" collapsed="false">
      <c r="A258" s="48" t="str">
        <f aca="false">STACK!A258</f>
        <v>KVMC-0254</v>
      </c>
      <c r="B258" s="48" t="str">
        <f aca="false">STACK!B258</f>
        <v>KVMC</v>
      </c>
      <c r="C258" s="48" t="str">
        <f aca="false">STACK!E258</f>
        <v>Community Benefit Program Administration</v>
      </c>
      <c r="D258" s="1" t="str">
        <f aca="false">IFERROR(INDEX(MAP!$J$7:$J$101,MATCH(TRIM(C258),MAP!$I$7:$I$101,0)),"UNMAPPED")</f>
        <v>Community Benefit Program Administration</v>
      </c>
      <c r="E258" s="1" t="str">
        <f aca="false">IFERROR(INDEX(MAP!$K$7:$K$101,MATCH(TRIM(C258),MAP!$I$7:$I$101,0)),"")</f>
        <v>Community benefit infrastructure</v>
      </c>
      <c r="F258" s="1" t="str">
        <f aca="false">IFERROR(INDEX(MAP!$L$7:$L$101,MATCH(TRIM(C258),MAP!$I$7:$I$101,0)),"")</f>
        <v>Monthly</v>
      </c>
      <c r="G258" s="1" t="n">
        <f aca="false">IFERROR(MATCH(A258,CONFIRM!$A$5:$A$53,0),0)</f>
        <v>0</v>
      </c>
      <c r="H258" s="48" t="str">
        <f aca="false">STACK!F258</f>
        <v>CB Operations</v>
      </c>
      <c r="I258" s="1" t="str">
        <f aca="false">IF(G258&gt;0,IF(INDEX(CONFIRM!$I$5:$I$53,G258)&lt;&gt;"",INDEX(CONFIRM!$I$5:$I$53,G258),H258),H258)</f>
        <v>CB Operations</v>
      </c>
      <c r="J258" s="1" t="str">
        <f aca="false">IFERROR(INDEX(MAP!$F$7:$F$74,MATCH(TRIM(I258),MAP!$E$7:$E$74,0)),"UNMAPPED")</f>
        <v>Community benefit operations</v>
      </c>
      <c r="K258" s="1" t="str">
        <f aca="false">IFERROR(INDEX(MAP!$G$7:$G$74,MATCH(TRIM(I258),MAP!$E$7:$E$74,0)),"UNMAPPED")</f>
        <v>7e</v>
      </c>
      <c r="L258" s="49" t="n">
        <f aca="false">STACK!G258</f>
        <v>46022</v>
      </c>
      <c r="M258" s="59" t="n">
        <f aca="false">IF(G258&gt;0,IF(INDEX(CONFIRM!$G$5:$G$53,G258)&lt;&gt;"",INDEX(CONFIRM!$G$5:$G$53,G258),IF(ISNUMBER(L258),L258,IFERROR(DATEVALUE(L258),""))),IF(ISNUMBER(L258),L258,IFERROR(DATEVALUE(L258),"")))</f>
        <v>46022</v>
      </c>
      <c r="N258" s="1" t="str">
        <f aca="false">IF(M258="","Check",IF(AND(M258&gt;=INPUTS!$C$6,M258&lt;=INPUTS!$C$7),"Yes","No"))</f>
        <v>Yes</v>
      </c>
      <c r="O258" s="48" t="str">
        <f aca="false">STACK!H258</f>
        <v>CB Manager</v>
      </c>
      <c r="P258" s="1" t="str">
        <f aca="false">IF(G258&gt;0,IF(INDEX(CONFIRM!$H$5:$H$53,G258)&lt;&gt;"",INDEX(CONFIRM!$H$5:$H$53,G258),IFERROR(INDEX(MAP!$B$7:$B$156,MATCH(TRIM(O258),MAP!$A$7:$A$156,0)),"UNMAPPED")),IFERROR(INDEX(MAP!$B$7:$B$156,MATCH(TRIM(O258),MAP!$A$7:$A$156,0)),"UNMAPPED"))</f>
        <v>Community Benefit Manager</v>
      </c>
      <c r="Q258" s="48" t="n">
        <f aca="false">STACK!I258</f>
        <v>76.75</v>
      </c>
      <c r="R258" s="60" t="n">
        <f aca="false">IF(G258&gt;0,IF(INDEX(CONFIRM!$F$5:$F$53,G258)&lt;&gt;"",INDEX(CONFIRM!$F$5:$F$53,G258),IF(ISNUMBER(Q258),Q258,IF(Q258="","",IFERROR(VALUE(TRIM(SUBSTITUTE(SUBSTITUTE(LOWER(Q258),"hrs",""),"hr",""))),"")))),IF(ISNUMBER(Q258),Q258,IF(Q258="","",IFERROR(VALUE(TRIM(SUBSTITUTE(SUBSTITUTE(LOWER(Q258),"hrs",""),"hr",""))),""))))</f>
        <v>76.75</v>
      </c>
      <c r="S258" s="57" t="n">
        <f aca="false">IFERROR(INDEX(RATES!$E$6:$E$28,MATCH(P258,RATES!$A$6:$A$28,0)),0)</f>
        <v>59.11</v>
      </c>
      <c r="T258" s="61" t="n">
        <f aca="false">IF(ISNUMBER(R258),R258,0)*S258</f>
        <v>4536.6925</v>
      </c>
      <c r="U258" s="61" t="n">
        <f aca="false">T258*INDEX(INPUTS!$H$10:$H$14,MATCH(B258,INPUTS!$A$10:$A$14,0))</f>
        <v>839.2881125</v>
      </c>
      <c r="V258" s="61" t="n">
        <f aca="false">N(STACK!K258)</f>
        <v>1000</v>
      </c>
      <c r="W258" s="61" t="n">
        <f aca="false">T258+U258+V258</f>
        <v>6375.9806125</v>
      </c>
      <c r="X258" s="61" t="n">
        <f aca="false">N(STACK!L258)</f>
        <v>0</v>
      </c>
      <c r="Y258" s="61" t="n">
        <f aca="false">W258-X258</f>
        <v>6375.9806125</v>
      </c>
      <c r="Z258" s="1" t="n">
        <f aca="false">N(STACK!J258)</f>
        <v>0</v>
      </c>
      <c r="AA258" s="1" t="str">
        <f aca="false">TRIM(IF(D258="UNMAPPED","Program not mapped. ","")&amp;IF(OR(K258="UNMAPPED",K258="UNASSIGNED"),"Category needs review. ","")&amp;IF(P258="UNMAPPED","Title not mapped. ","")&amp;IF(AND(P258&lt;&gt;"No staff time",R258=""),"Missing hours. ","")&amp;IF(M258="","Date not readable. ","")&amp;IF(N258="No","Outside fiscal year. ","")&amp;IF(AND(F258="Event",ISNUMBER(R258)),IF(R258&gt;12,"Event hours look high. ",""),"")&amp;IF(G258&gt;0,"See CONFIRM sheet.",""))</f>
        <v/>
      </c>
      <c r="AB258" s="1" t="n">
        <f aca="false">IF(N258="No",0,IF(REVIEW!O258=0,0,IF(G258&gt;0,IF(INDEX(CONFIRM!$J$5:$J$53,G258)&lt;&gt;"",INDEX(CONFIRM!$J$5:$J$53,G258),1),1)))</f>
        <v>1</v>
      </c>
      <c r="AC258" s="1" t="n">
        <f aca="false">IF(AB258=1,IF(COUNTIFS($B$5:B258,B258,$D$5:D258,D258,$AB$5:AB258,1)=1,1,0),0)</f>
        <v>0</v>
      </c>
    </row>
    <row r="259" customFormat="false" ht="15" hidden="false" customHeight="false" outlineLevel="0" collapsed="false">
      <c r="A259" s="48" t="str">
        <f aca="false">STACK!A259</f>
        <v>KVMC-0255</v>
      </c>
      <c r="B259" s="48" t="str">
        <f aca="false">STACK!B259</f>
        <v>KVMC</v>
      </c>
      <c r="C259" s="48" t="str">
        <f aca="false">STACK!E259</f>
        <v>Naloxone Training and Distribution</v>
      </c>
      <c r="D259" s="1" t="str">
        <f aca="false">IFERROR(INDEX(MAP!$J$7:$J$101,MATCH(TRIM(C259),MAP!$I$7:$I$101,0)),"UNMAPPED")</f>
        <v>Naloxone Training and Distribution</v>
      </c>
      <c r="E259" s="1" t="str">
        <f aca="false">IFERROR(INDEX(MAP!$K$7:$K$101,MATCH(TRIM(C259),MAP!$I$7:$I$101,0)),"")</f>
        <v>Behavioral health</v>
      </c>
      <c r="F259" s="1" t="str">
        <f aca="false">IFERROR(INDEX(MAP!$L$7:$L$101,MATCH(TRIM(C259),MAP!$I$7:$I$101,0)),"")</f>
        <v>Event</v>
      </c>
      <c r="G259" s="1" t="n">
        <f aca="false">IFERROR(MATCH(A259,CONFIRM!$A$5:$A$53,0),0)</f>
        <v>0</v>
      </c>
      <c r="H259" s="48" t="str">
        <f aca="false">STACK!F259</f>
        <v>Community Health Education</v>
      </c>
      <c r="I259" s="1" t="str">
        <f aca="false">IF(G259&gt;0,IF(INDEX(CONFIRM!$I$5:$I$53,G259)&lt;&gt;"",INDEX(CONFIRM!$I$5:$I$53,G259),H259),H259)</f>
        <v>Community Health Education</v>
      </c>
      <c r="J259" s="1" t="str">
        <f aca="false">IFERROR(INDEX(MAP!$F$7:$F$74,MATCH(TRIM(I259),MAP!$E$7:$E$74,0)),"UNMAPPED")</f>
        <v>Community health education</v>
      </c>
      <c r="K259" s="1" t="str">
        <f aca="false">IFERROR(INDEX(MAP!$G$7:$G$74,MATCH(TRIM(I259),MAP!$E$7:$E$74,0)),"UNMAPPED")</f>
        <v>7e</v>
      </c>
      <c r="L259" s="49" t="n">
        <f aca="false">STACK!G259</f>
        <v>46022</v>
      </c>
      <c r="M259" s="59" t="n">
        <f aca="false">IF(G259&gt;0,IF(INDEX(CONFIRM!$G$5:$G$53,G259)&lt;&gt;"",INDEX(CONFIRM!$G$5:$G$53,G259),IF(ISNUMBER(L259),L259,IFERROR(DATEVALUE(L259),""))),IF(ISNUMBER(L259),L259,IFERROR(DATEVALUE(L259),"")))</f>
        <v>46022</v>
      </c>
      <c r="N259" s="1" t="str">
        <f aca="false">IF(M259="","Check",IF(AND(M259&gt;=INPUTS!$C$6,M259&lt;=INPUTS!$C$7),"Yes","No"))</f>
        <v>Yes</v>
      </c>
      <c r="O259" s="48" t="str">
        <f aca="false">STACK!H259</f>
        <v>Health Educator</v>
      </c>
      <c r="P259" s="1" t="str">
        <f aca="false">IF(G259&gt;0,IF(INDEX(CONFIRM!$H$5:$H$53,G259)&lt;&gt;"",INDEX(CONFIRM!$H$5:$H$53,G259),IFERROR(INDEX(MAP!$B$7:$B$156,MATCH(TRIM(O259),MAP!$A$7:$A$156,0)),"UNMAPPED")),IFERROR(INDEX(MAP!$B$7:$B$156,MATCH(TRIM(O259),MAP!$A$7:$A$156,0)),"UNMAPPED"))</f>
        <v>Health Educator</v>
      </c>
      <c r="Q259" s="48" t="n">
        <f aca="false">STACK!I259</f>
        <v>3</v>
      </c>
      <c r="R259" s="60" t="n">
        <f aca="false">IF(G259&gt;0,IF(INDEX(CONFIRM!$F$5:$F$53,G259)&lt;&gt;"",INDEX(CONFIRM!$F$5:$F$53,G259),IF(ISNUMBER(Q259),Q259,IF(Q259="","",IFERROR(VALUE(TRIM(SUBSTITUTE(SUBSTITUTE(LOWER(Q259),"hrs",""),"hr",""))),"")))),IF(ISNUMBER(Q259),Q259,IF(Q259="","",IFERROR(VALUE(TRIM(SUBSTITUTE(SUBSTITUTE(LOWER(Q259),"hrs",""),"hr",""))),""))))</f>
        <v>3</v>
      </c>
      <c r="S259" s="57" t="n">
        <f aca="false">IFERROR(INDEX(RATES!$E$6:$E$28,MATCH(P259,RATES!$A$6:$A$28,0)),0)</f>
        <v>37.265</v>
      </c>
      <c r="T259" s="61" t="n">
        <f aca="false">IF(ISNUMBER(R259),R259,0)*S259</f>
        <v>111.795</v>
      </c>
      <c r="U259" s="61" t="n">
        <f aca="false">T259*INDEX(INPUTS!$H$10:$H$14,MATCH(B259,INPUTS!$A$10:$A$14,0))</f>
        <v>20.682075</v>
      </c>
      <c r="V259" s="61" t="n">
        <f aca="false">N(STACK!K259)</f>
        <v>0</v>
      </c>
      <c r="W259" s="61" t="n">
        <f aca="false">T259+U259+V259</f>
        <v>132.477075</v>
      </c>
      <c r="X259" s="61" t="n">
        <f aca="false">N(STACK!L259)</f>
        <v>0</v>
      </c>
      <c r="Y259" s="61" t="n">
        <f aca="false">W259-X259</f>
        <v>132.477075</v>
      </c>
      <c r="Z259" s="1" t="n">
        <f aca="false">N(STACK!J259)</f>
        <v>0</v>
      </c>
      <c r="AA259" s="1" t="str">
        <f aca="false">TRIM(IF(D259="UNMAPPED","Program not mapped. ","")&amp;IF(OR(K259="UNMAPPED",K259="UNASSIGNED"),"Category needs review. ","")&amp;IF(P259="UNMAPPED","Title not mapped. ","")&amp;IF(AND(P259&lt;&gt;"No staff time",R259=""),"Missing hours. ","")&amp;IF(M259="","Date not readable. ","")&amp;IF(N259="No","Outside fiscal year. ","")&amp;IF(AND(F259="Event",ISNUMBER(R259)),IF(R259&gt;12,"Event hours look high. ",""),"")&amp;IF(G259&gt;0,"See CONFIRM sheet.",""))</f>
        <v/>
      </c>
      <c r="AB259" s="1" t="n">
        <f aca="false">IF(N259="No",0,IF(REVIEW!O259=0,0,IF(G259&gt;0,IF(INDEX(CONFIRM!$J$5:$J$53,G259)&lt;&gt;"",INDEX(CONFIRM!$J$5:$J$53,G259),1),1)))</f>
        <v>1</v>
      </c>
      <c r="AC259" s="1" t="n">
        <f aca="false">IF(AB259=1,IF(COUNTIFS($B$5:B259,B259,$D$5:D259,D259,$AB$5:AB259,1)=1,1,0),0)</f>
        <v>0</v>
      </c>
    </row>
    <row r="260" customFormat="false" ht="15" hidden="false" customHeight="false" outlineLevel="0" collapsed="false">
      <c r="A260" s="48" t="str">
        <f aca="false">STACK!A260</f>
        <v>KVMC-0256</v>
      </c>
      <c r="B260" s="48" t="str">
        <f aca="false">STACK!B260</f>
        <v>KVMC</v>
      </c>
      <c r="C260" s="48" t="str">
        <f aca="false">STACK!E260</f>
        <v>Naloxone Training and Distribution</v>
      </c>
      <c r="D260" s="1" t="str">
        <f aca="false">IFERROR(INDEX(MAP!$J$7:$J$101,MATCH(TRIM(C260),MAP!$I$7:$I$101,0)),"UNMAPPED")</f>
        <v>Naloxone Training and Distribution</v>
      </c>
      <c r="E260" s="1" t="str">
        <f aca="false">IFERROR(INDEX(MAP!$K$7:$K$101,MATCH(TRIM(C260),MAP!$I$7:$I$101,0)),"")</f>
        <v>Behavioral health</v>
      </c>
      <c r="F260" s="1" t="str">
        <f aca="false">IFERROR(INDEX(MAP!$L$7:$L$101,MATCH(TRIM(C260),MAP!$I$7:$I$101,0)),"")</f>
        <v>Event</v>
      </c>
      <c r="G260" s="1" t="n">
        <f aca="false">IFERROR(MATCH(A260,CONFIRM!$A$5:$A$53,0),0)</f>
        <v>0</v>
      </c>
      <c r="H260" s="48" t="str">
        <f aca="false">STACK!F260</f>
        <v>Community Health Education</v>
      </c>
      <c r="I260" s="1" t="str">
        <f aca="false">IF(G260&gt;0,IF(INDEX(CONFIRM!$I$5:$I$53,G260)&lt;&gt;"",INDEX(CONFIRM!$I$5:$I$53,G260),H260),H260)</f>
        <v>Community Health Education</v>
      </c>
      <c r="J260" s="1" t="str">
        <f aca="false">IFERROR(INDEX(MAP!$F$7:$F$74,MATCH(TRIM(I260),MAP!$E$7:$E$74,0)),"UNMAPPED")</f>
        <v>Community health education</v>
      </c>
      <c r="K260" s="1" t="str">
        <f aca="false">IFERROR(INDEX(MAP!$G$7:$G$74,MATCH(TRIM(I260),MAP!$E$7:$E$74,0)),"UNMAPPED")</f>
        <v>7e</v>
      </c>
      <c r="L260" s="49" t="n">
        <f aca="false">STACK!G260</f>
        <v>46022</v>
      </c>
      <c r="M260" s="59" t="n">
        <f aca="false">IF(G260&gt;0,IF(INDEX(CONFIRM!$G$5:$G$53,G260)&lt;&gt;"",INDEX(CONFIRM!$G$5:$G$53,G260),IF(ISNUMBER(L260),L260,IFERROR(DATEVALUE(L260),""))),IF(ISNUMBER(L260),L260,IFERROR(DATEVALUE(L260),"")))</f>
        <v>46022</v>
      </c>
      <c r="N260" s="1" t="str">
        <f aca="false">IF(M260="","Check",IF(AND(M260&gt;=INPUTS!$C$6,M260&lt;=INPUTS!$C$7),"Yes","No"))</f>
        <v>Yes</v>
      </c>
      <c r="O260" s="48" t="str">
        <f aca="false">STACK!H260</f>
        <v>PharmD</v>
      </c>
      <c r="P260" s="1" t="str">
        <f aca="false">IF(G260&gt;0,IF(INDEX(CONFIRM!$H$5:$H$53,G260)&lt;&gt;"",INDEX(CONFIRM!$H$5:$H$53,G260),IFERROR(INDEX(MAP!$B$7:$B$156,MATCH(TRIM(O260),MAP!$A$7:$A$156,0)),"UNMAPPED")),IFERROR(INDEX(MAP!$B$7:$B$156,MATCH(TRIM(O260),MAP!$A$7:$A$156,0)),"UNMAPPED"))</f>
        <v>Pharmacist</v>
      </c>
      <c r="Q260" s="48" t="n">
        <f aca="false">STACK!I260</f>
        <v>2.5</v>
      </c>
      <c r="R260" s="60" t="n">
        <f aca="false">IF(G260&gt;0,IF(INDEX(CONFIRM!$F$5:$F$53,G260)&lt;&gt;"",INDEX(CONFIRM!$F$5:$F$53,G260),IF(ISNUMBER(Q260),Q260,IF(Q260="","",IFERROR(VALUE(TRIM(SUBSTITUTE(SUBSTITUTE(LOWER(Q260),"hrs",""),"hr",""))),"")))),IF(ISNUMBER(Q260),Q260,IF(Q260="","",IFERROR(VALUE(TRIM(SUBSTITUTE(SUBSTITUTE(LOWER(Q260),"hrs",""),"hr",""))),""))))</f>
        <v>2.5</v>
      </c>
      <c r="S260" s="57" t="n">
        <f aca="false">IFERROR(INDEX(RATES!$E$6:$E$28,MATCH(P260,RATES!$A$6:$A$28,0)),0)</f>
        <v>84.81</v>
      </c>
      <c r="T260" s="61" t="n">
        <f aca="false">IF(ISNUMBER(R260),R260,0)*S260</f>
        <v>212.025</v>
      </c>
      <c r="U260" s="61" t="n">
        <f aca="false">T260*INDEX(INPUTS!$H$10:$H$14,MATCH(B260,INPUTS!$A$10:$A$14,0))</f>
        <v>39.224625</v>
      </c>
      <c r="V260" s="61" t="n">
        <f aca="false">N(STACK!K260)</f>
        <v>1220</v>
      </c>
      <c r="W260" s="61" t="n">
        <f aca="false">T260+U260+V260</f>
        <v>1471.249625</v>
      </c>
      <c r="X260" s="61" t="n">
        <f aca="false">N(STACK!L260)</f>
        <v>800</v>
      </c>
      <c r="Y260" s="61" t="n">
        <f aca="false">W260-X260</f>
        <v>671.249625</v>
      </c>
      <c r="Z260" s="1" t="n">
        <f aca="false">N(STACK!J260)</f>
        <v>24</v>
      </c>
      <c r="AA260" s="1" t="str">
        <f aca="false">TRIM(IF(D260="UNMAPPED","Program not mapped. ","")&amp;IF(OR(K260="UNMAPPED",K260="UNASSIGNED"),"Category needs review. ","")&amp;IF(P260="UNMAPPED","Title not mapped. ","")&amp;IF(AND(P260&lt;&gt;"No staff time",R260=""),"Missing hours. ","")&amp;IF(M260="","Date not readable. ","")&amp;IF(N260="No","Outside fiscal year. ","")&amp;IF(AND(F260="Event",ISNUMBER(R260)),IF(R260&gt;12,"Event hours look high. ",""),"")&amp;IF(G260&gt;0,"See CONFIRM sheet.",""))</f>
        <v/>
      </c>
      <c r="AB260" s="1" t="n">
        <f aca="false">IF(N260="No",0,IF(REVIEW!O260=0,0,IF(G260&gt;0,IF(INDEX(CONFIRM!$J$5:$J$53,G260)&lt;&gt;"",INDEX(CONFIRM!$J$5:$J$53,G260),1),1)))</f>
        <v>1</v>
      </c>
      <c r="AC260" s="1" t="n">
        <f aca="false">IF(AB260=1,IF(COUNTIFS($B$5:B260,B260,$D$5:D260,D260,$AB$5:AB260,1)=1,1,0),0)</f>
        <v>0</v>
      </c>
    </row>
    <row r="261" customFormat="false" ht="15" hidden="false" customHeight="false" outlineLevel="0" collapsed="false">
      <c r="A261" s="48" t="str">
        <f aca="false">STACK!A261</f>
        <v>KVMC-0257</v>
      </c>
      <c r="B261" s="48" t="str">
        <f aca="false">STACK!B261</f>
        <v>KVMC</v>
      </c>
      <c r="C261" s="48" t="str">
        <f aca="false">STACK!E261</f>
        <v>Interpreter Services for Community Clinics</v>
      </c>
      <c r="D261" s="1" t="str">
        <f aca="false">IFERROR(INDEX(MAP!$J$7:$J$101,MATCH(TRIM(C261),MAP!$I$7:$I$101,0)),"UNMAPPED")</f>
        <v>Interpreter Services for Community Clinics</v>
      </c>
      <c r="E261" s="1" t="str">
        <f aca="false">IFERROR(INDEX(MAP!$K$7:$K$101,MATCH(TRIM(C261),MAP!$I$7:$I$101,0)),"")</f>
        <v>Access to care</v>
      </c>
      <c r="F261" s="1" t="str">
        <f aca="false">IFERROR(INDEX(MAP!$L$7:$L$101,MATCH(TRIM(C261),MAP!$I$7:$I$101,0)),"")</f>
        <v>Monthly</v>
      </c>
      <c r="G261" s="1" t="n">
        <f aca="false">IFERROR(MATCH(A261,CONFIRM!$A$5:$A$53,0),0)</f>
        <v>0</v>
      </c>
      <c r="H261" s="48" t="str">
        <f aca="false">STACK!F261</f>
        <v>Health Care Support Services</v>
      </c>
      <c r="I261" s="1" t="str">
        <f aca="false">IF(G261&gt;0,IF(INDEX(CONFIRM!$I$5:$I$53,G261)&lt;&gt;"",INDEX(CONFIRM!$I$5:$I$53,G261),H261),H261)</f>
        <v>Health Care Support Services</v>
      </c>
      <c r="J261" s="1" t="str">
        <f aca="false">IFERROR(INDEX(MAP!$F$7:$F$74,MATCH(TRIM(I261),MAP!$E$7:$E$74,0)),"UNMAPPED")</f>
        <v>Health care support services</v>
      </c>
      <c r="K261" s="1" t="str">
        <f aca="false">IFERROR(INDEX(MAP!$G$7:$G$74,MATCH(TRIM(I261),MAP!$E$7:$E$74,0)),"UNMAPPED")</f>
        <v>7e</v>
      </c>
      <c r="L261" s="49" t="n">
        <f aca="false">STACK!G261</f>
        <v>46022</v>
      </c>
      <c r="M261" s="59" t="n">
        <f aca="false">IF(G261&gt;0,IF(INDEX(CONFIRM!$G$5:$G$53,G261)&lt;&gt;"",INDEX(CONFIRM!$G$5:$G$53,G261),IF(ISNUMBER(L261),L261,IFERROR(DATEVALUE(L261),""))),IF(ISNUMBER(L261),L261,IFERROR(DATEVALUE(L261),"")))</f>
        <v>46022</v>
      </c>
      <c r="N261" s="1" t="str">
        <f aca="false">IF(M261="","Check",IF(AND(M261&gt;=INPUTS!$C$6,M261&lt;=INPUTS!$C$7),"Yes","No"))</f>
        <v>Yes</v>
      </c>
      <c r="O261" s="48" t="str">
        <f aca="false">STACK!H261</f>
        <v>Language Services</v>
      </c>
      <c r="P261" s="1" t="str">
        <f aca="false">IF(G261&gt;0,IF(INDEX(CONFIRM!$H$5:$H$53,G261)&lt;&gt;"",INDEX(CONFIRM!$H$5:$H$53,G261),IFERROR(INDEX(MAP!$B$7:$B$156,MATCH(TRIM(O261),MAP!$A$7:$A$156,0)),"UNMAPPED")),IFERROR(INDEX(MAP!$B$7:$B$156,MATCH(TRIM(O261),MAP!$A$7:$A$156,0)),"UNMAPPED"))</f>
        <v>Interpreter</v>
      </c>
      <c r="Q261" s="48" t="n">
        <f aca="false">STACK!I261</f>
        <v>83.25</v>
      </c>
      <c r="R261" s="60" t="n">
        <f aca="false">IF(G261&gt;0,IF(INDEX(CONFIRM!$F$5:$F$53,G261)&lt;&gt;"",INDEX(CONFIRM!$F$5:$F$53,G261),IF(ISNUMBER(Q261),Q261,IF(Q261="","",IFERROR(VALUE(TRIM(SUBSTITUTE(SUBSTITUTE(LOWER(Q261),"hrs",""),"hr",""))),"")))),IF(ISNUMBER(Q261),Q261,IF(Q261="","",IFERROR(VALUE(TRIM(SUBSTITUTE(SUBSTITUTE(LOWER(Q261),"hrs",""),"hr",""))),""))))</f>
        <v>83.25</v>
      </c>
      <c r="S261" s="57" t="n">
        <f aca="false">IFERROR(INDEX(RATES!$E$6:$E$28,MATCH(P261,RATES!$A$6:$A$28,0)),0)</f>
        <v>32.7675</v>
      </c>
      <c r="T261" s="61" t="n">
        <f aca="false">IF(ISNUMBER(R261),R261,0)*S261</f>
        <v>2727.894375</v>
      </c>
      <c r="U261" s="61" t="n">
        <f aca="false">T261*INDEX(INPUTS!$H$10:$H$14,MATCH(B261,INPUTS!$A$10:$A$14,0))</f>
        <v>504.660459375</v>
      </c>
      <c r="V261" s="61" t="n">
        <f aca="false">N(STACK!K261)</f>
        <v>0</v>
      </c>
      <c r="W261" s="61" t="n">
        <f aca="false">T261+U261+V261</f>
        <v>3232.554834375</v>
      </c>
      <c r="X261" s="61" t="n">
        <f aca="false">N(STACK!L261)</f>
        <v>0</v>
      </c>
      <c r="Y261" s="61" t="n">
        <f aca="false">W261-X261</f>
        <v>3232.554834375</v>
      </c>
      <c r="Z261" s="1" t="n">
        <f aca="false">N(STACK!J261)</f>
        <v>213</v>
      </c>
      <c r="AA261" s="1" t="str">
        <f aca="false">TRIM(IF(D261="UNMAPPED","Program not mapped. ","")&amp;IF(OR(K261="UNMAPPED",K261="UNASSIGNED"),"Category needs review. ","")&amp;IF(P261="UNMAPPED","Title not mapped. ","")&amp;IF(AND(P261&lt;&gt;"No staff time",R261=""),"Missing hours. ","")&amp;IF(M261="","Date not readable. ","")&amp;IF(N261="No","Outside fiscal year. ","")&amp;IF(AND(F261="Event",ISNUMBER(R261)),IF(R261&gt;12,"Event hours look high. ",""),"")&amp;IF(G261&gt;0,"See CONFIRM sheet.",""))</f>
        <v/>
      </c>
      <c r="AB261" s="1" t="n">
        <f aca="false">IF(N261="No",0,IF(REVIEW!O261=0,0,IF(G261&gt;0,IF(INDEX(CONFIRM!$J$5:$J$53,G261)&lt;&gt;"",INDEX(CONFIRM!$J$5:$J$53,G261),1),1)))</f>
        <v>1</v>
      </c>
      <c r="AC261" s="1" t="n">
        <f aca="false">IF(AB261=1,IF(COUNTIFS($B$5:B261,B261,$D$5:D261,D261,$AB$5:AB261,1)=1,1,0),0)</f>
        <v>0</v>
      </c>
    </row>
    <row r="262" customFormat="false" ht="15" hidden="false" customHeight="false" outlineLevel="0" collapsed="false">
      <c r="A262" s="48" t="str">
        <f aca="false">STACK!A262</f>
        <v>KVMC-0258</v>
      </c>
      <c r="B262" s="48" t="str">
        <f aca="false">STACK!B262</f>
        <v>KVMC</v>
      </c>
      <c r="C262" s="48" t="str">
        <f aca="false">STACK!E262</f>
        <v>Nursing Student Clinical Rotations</v>
      </c>
      <c r="D262" s="1" t="str">
        <f aca="false">IFERROR(INDEX(MAP!$J$7:$J$101,MATCH(TRIM(C262),MAP!$I$7:$I$101,0)),"UNMAPPED")</f>
        <v>Nursing Student Clinical Rotations</v>
      </c>
      <c r="E262" s="1" t="str">
        <f aca="false">IFERROR(INDEX(MAP!$K$7:$K$101,MATCH(TRIM(C262),MAP!$I$7:$I$101,0)),"")</f>
        <v>Health workforce</v>
      </c>
      <c r="F262" s="1" t="str">
        <f aca="false">IFERROR(INDEX(MAP!$L$7:$L$101,MATCH(TRIM(C262),MAP!$I$7:$I$101,0)),"")</f>
        <v>Monthly</v>
      </c>
      <c r="G262" s="1" t="n">
        <f aca="false">IFERROR(MATCH(A262,CONFIRM!$A$5:$A$53,0),0)</f>
        <v>0</v>
      </c>
      <c r="H262" s="48" t="str">
        <f aca="false">STACK!F262</f>
        <v>Health Professions Education</v>
      </c>
      <c r="I262" s="1" t="str">
        <f aca="false">IF(G262&gt;0,IF(INDEX(CONFIRM!$I$5:$I$53,G262)&lt;&gt;"",INDEX(CONFIRM!$I$5:$I$53,G262),H262),H262)</f>
        <v>Health Professions Education</v>
      </c>
      <c r="J262" s="1" t="str">
        <f aca="false">IFERROR(INDEX(MAP!$F$7:$F$74,MATCH(TRIM(I262),MAP!$E$7:$E$74,0)),"UNMAPPED")</f>
        <v>Health professions education</v>
      </c>
      <c r="K262" s="1" t="str">
        <f aca="false">IFERROR(INDEX(MAP!$G$7:$G$74,MATCH(TRIM(I262),MAP!$E$7:$E$74,0)),"UNMAPPED")</f>
        <v>7f</v>
      </c>
      <c r="L262" s="49" t="n">
        <f aca="false">STACK!G262</f>
        <v>46022</v>
      </c>
      <c r="M262" s="59" t="n">
        <f aca="false">IF(G262&gt;0,IF(INDEX(CONFIRM!$G$5:$G$53,G262)&lt;&gt;"",INDEX(CONFIRM!$G$5:$G$53,G262),IF(ISNUMBER(L262),L262,IFERROR(DATEVALUE(L262),""))),IF(ISNUMBER(L262),L262,IFERROR(DATEVALUE(L262),"")))</f>
        <v>46022</v>
      </c>
      <c r="N262" s="1" t="str">
        <f aca="false">IF(M262="","Check",IF(AND(M262&gt;=INPUTS!$C$6,M262&lt;=INPUTS!$C$7),"Yes","No"))</f>
        <v>Yes</v>
      </c>
      <c r="O262" s="48" t="str">
        <f aca="false">STACK!H262</f>
        <v>Clin Educator</v>
      </c>
      <c r="P262" s="1" t="str">
        <f aca="false">IF(G262&gt;0,IF(INDEX(CONFIRM!$H$5:$H$53,G262)&lt;&gt;"",INDEX(CONFIRM!$H$5:$H$53,G262),IFERROR(INDEX(MAP!$B$7:$B$156,MATCH(TRIM(O262),MAP!$A$7:$A$156,0)),"UNMAPPED")),IFERROR(INDEX(MAP!$B$7:$B$156,MATCH(TRIM(O262),MAP!$A$7:$A$156,0)),"UNMAPPED"))</f>
        <v>Clinical Nurse Educator</v>
      </c>
      <c r="Q262" s="48" t="n">
        <f aca="false">STACK!I262</f>
        <v>57</v>
      </c>
      <c r="R262" s="60" t="n">
        <f aca="false">IF(G262&gt;0,IF(INDEX(CONFIRM!$F$5:$F$53,G262)&lt;&gt;"",INDEX(CONFIRM!$F$5:$F$53,G262),IF(ISNUMBER(Q262),Q262,IF(Q262="","",IFERROR(VALUE(TRIM(SUBSTITUTE(SUBSTITUTE(LOWER(Q262),"hrs",""),"hr",""))),"")))),IF(ISNUMBER(Q262),Q262,IF(Q262="","",IFERROR(VALUE(TRIM(SUBSTITUTE(SUBSTITUTE(LOWER(Q262),"hrs",""),"hr",""))),""))))</f>
        <v>57</v>
      </c>
      <c r="S262" s="57" t="n">
        <f aca="false">IFERROR(INDEX(RATES!$E$6:$E$28,MATCH(P262,RATES!$A$6:$A$28,0)),0)</f>
        <v>62.965</v>
      </c>
      <c r="T262" s="61" t="n">
        <f aca="false">IF(ISNUMBER(R262),R262,0)*S262</f>
        <v>3589.005</v>
      </c>
      <c r="U262" s="61" t="n">
        <f aca="false">T262*INDEX(INPUTS!$H$10:$H$14,MATCH(B262,INPUTS!$A$10:$A$14,0))</f>
        <v>663.965925</v>
      </c>
      <c r="V262" s="61" t="n">
        <f aca="false">N(STACK!K262)</f>
        <v>385</v>
      </c>
      <c r="W262" s="61" t="n">
        <f aca="false">T262+U262+V262</f>
        <v>4637.970925</v>
      </c>
      <c r="X262" s="61" t="n">
        <f aca="false">N(STACK!L262)</f>
        <v>0</v>
      </c>
      <c r="Y262" s="61" t="n">
        <f aca="false">W262-X262</f>
        <v>4637.970925</v>
      </c>
      <c r="Z262" s="1" t="n">
        <f aca="false">N(STACK!J262)</f>
        <v>15</v>
      </c>
      <c r="AA262" s="1" t="str">
        <f aca="false">TRIM(IF(D262="UNMAPPED","Program not mapped. ","")&amp;IF(OR(K262="UNMAPPED",K262="UNASSIGNED"),"Category needs review. ","")&amp;IF(P262="UNMAPPED","Title not mapped. ","")&amp;IF(AND(P262&lt;&gt;"No staff time",R262=""),"Missing hours. ","")&amp;IF(M262="","Date not readable. ","")&amp;IF(N262="No","Outside fiscal year. ","")&amp;IF(AND(F262="Event",ISNUMBER(R262)),IF(R262&gt;12,"Event hours look high. ",""),"")&amp;IF(G262&gt;0,"See CONFIRM sheet.",""))</f>
        <v/>
      </c>
      <c r="AB262" s="1" t="n">
        <f aca="false">IF(N262="No",0,IF(REVIEW!O262=0,0,IF(G262&gt;0,IF(INDEX(CONFIRM!$J$5:$J$53,G262)&lt;&gt;"",INDEX(CONFIRM!$J$5:$J$53,G262),1),1)))</f>
        <v>1</v>
      </c>
      <c r="AC262" s="1" t="n">
        <f aca="false">IF(AB262=1,IF(COUNTIFS($B$5:B262,B262,$D$5:D262,D262,$AB$5:AB262,1)=1,1,0),0)</f>
        <v>0</v>
      </c>
    </row>
    <row r="263" customFormat="false" ht="15" hidden="false" customHeight="false" outlineLevel="0" collapsed="false">
      <c r="A263" s="48" t="str">
        <f aca="false">STACK!A263</f>
        <v>KVMC-0259</v>
      </c>
      <c r="B263" s="48" t="str">
        <f aca="false">STACK!B263</f>
        <v>KVMC</v>
      </c>
      <c r="C263" s="48" t="str">
        <f aca="false">STACK!E263</f>
        <v>Nursing Student Clinical Rotations</v>
      </c>
      <c r="D263" s="1" t="str">
        <f aca="false">IFERROR(INDEX(MAP!$J$7:$J$101,MATCH(TRIM(C263),MAP!$I$7:$I$101,0)),"UNMAPPED")</f>
        <v>Nursing Student Clinical Rotations</v>
      </c>
      <c r="E263" s="1" t="str">
        <f aca="false">IFERROR(INDEX(MAP!$K$7:$K$101,MATCH(TRIM(C263),MAP!$I$7:$I$101,0)),"")</f>
        <v>Health workforce</v>
      </c>
      <c r="F263" s="1" t="str">
        <f aca="false">IFERROR(INDEX(MAP!$L$7:$L$101,MATCH(TRIM(C263),MAP!$I$7:$I$101,0)),"")</f>
        <v>Monthly</v>
      </c>
      <c r="G263" s="1" t="n">
        <f aca="false">IFERROR(MATCH(A263,CONFIRM!$A$5:$A$53,0),0)</f>
        <v>0</v>
      </c>
      <c r="H263" s="48" t="str">
        <f aca="false">STACK!F263</f>
        <v>Health Professions Education</v>
      </c>
      <c r="I263" s="1" t="str">
        <f aca="false">IF(G263&gt;0,IF(INDEX(CONFIRM!$I$5:$I$53,G263)&lt;&gt;"",INDEX(CONFIRM!$I$5:$I$53,G263),H263),H263)</f>
        <v>Health Professions Education</v>
      </c>
      <c r="J263" s="1" t="str">
        <f aca="false">IFERROR(INDEX(MAP!$F$7:$F$74,MATCH(TRIM(I263),MAP!$E$7:$E$74,0)),"UNMAPPED")</f>
        <v>Health professions education</v>
      </c>
      <c r="K263" s="1" t="str">
        <f aca="false">IFERROR(INDEX(MAP!$G$7:$G$74,MATCH(TRIM(I263),MAP!$E$7:$E$74,0)),"UNMAPPED")</f>
        <v>7f</v>
      </c>
      <c r="L263" s="49" t="n">
        <f aca="false">STACK!G263</f>
        <v>46022</v>
      </c>
      <c r="M263" s="59" t="n">
        <f aca="false">IF(G263&gt;0,IF(INDEX(CONFIRM!$G$5:$G$53,G263)&lt;&gt;"",INDEX(CONFIRM!$G$5:$G$53,G263),IF(ISNUMBER(L263),L263,IFERROR(DATEVALUE(L263),""))),IF(ISNUMBER(L263),L263,IFERROR(DATEVALUE(L263),"")))</f>
        <v>46022</v>
      </c>
      <c r="N263" s="1" t="str">
        <f aca="false">IF(M263="","Check",IF(AND(M263&gt;=INPUTS!$C$6,M263&lt;=INPUTS!$C$7),"Yes","No"))</f>
        <v>Yes</v>
      </c>
      <c r="O263" s="48" t="str">
        <f aca="false">STACK!H263</f>
        <v>RN II</v>
      </c>
      <c r="P263" s="1" t="str">
        <f aca="false">IF(G263&gt;0,IF(INDEX(CONFIRM!$H$5:$H$53,G263)&lt;&gt;"",INDEX(CONFIRM!$H$5:$H$53,G263),IFERROR(INDEX(MAP!$B$7:$B$156,MATCH(TRIM(O263),MAP!$A$7:$A$156,0)),"UNMAPPED")),IFERROR(INDEX(MAP!$B$7:$B$156,MATCH(TRIM(O263),MAP!$A$7:$A$156,0)),"UNMAPPED"))</f>
        <v>Registered Nurse</v>
      </c>
      <c r="Q263" s="48" t="n">
        <f aca="false">STACK!I263</f>
        <v>85.75</v>
      </c>
      <c r="R263" s="60" t="n">
        <f aca="false">IF(G263&gt;0,IF(INDEX(CONFIRM!$F$5:$F$53,G263)&lt;&gt;"",INDEX(CONFIRM!$F$5:$F$53,G263),IF(ISNUMBER(Q263),Q263,IF(Q263="","",IFERROR(VALUE(TRIM(SUBSTITUTE(SUBSTITUTE(LOWER(Q263),"hrs",""),"hr",""))),"")))),IF(ISNUMBER(Q263),Q263,IF(Q263="","",IFERROR(VALUE(TRIM(SUBSTITUTE(SUBSTITUTE(LOWER(Q263),"hrs",""),"hr",""))),""))))</f>
        <v>85.75</v>
      </c>
      <c r="S263" s="57" t="n">
        <f aca="false">IFERROR(INDEX(RATES!$E$6:$E$28,MATCH(P263,RATES!$A$6:$A$28,0)),0)</f>
        <v>55.8975</v>
      </c>
      <c r="T263" s="61" t="n">
        <f aca="false">IF(ISNUMBER(R263),R263,0)*S263</f>
        <v>4793.210625</v>
      </c>
      <c r="U263" s="61" t="n">
        <f aca="false">T263*INDEX(INPUTS!$H$10:$H$14,MATCH(B263,INPUTS!$A$10:$A$14,0))</f>
        <v>886.743965625</v>
      </c>
      <c r="V263" s="61" t="n">
        <f aca="false">N(STACK!K263)</f>
        <v>0</v>
      </c>
      <c r="W263" s="61" t="n">
        <f aca="false">T263+U263+V263</f>
        <v>5679.954590625</v>
      </c>
      <c r="X263" s="61" t="n">
        <f aca="false">N(STACK!L263)</f>
        <v>0</v>
      </c>
      <c r="Y263" s="61" t="n">
        <f aca="false">W263-X263</f>
        <v>5679.954590625</v>
      </c>
      <c r="Z263" s="1" t="n">
        <f aca="false">N(STACK!J263)</f>
        <v>0</v>
      </c>
      <c r="AA263" s="1" t="str">
        <f aca="false">TRIM(IF(D263="UNMAPPED","Program not mapped. ","")&amp;IF(OR(K263="UNMAPPED",K263="UNASSIGNED"),"Category needs review. ","")&amp;IF(P263="UNMAPPED","Title not mapped. ","")&amp;IF(AND(P263&lt;&gt;"No staff time",R263=""),"Missing hours. ","")&amp;IF(M263="","Date not readable. ","")&amp;IF(N263="No","Outside fiscal year. ","")&amp;IF(AND(F263="Event",ISNUMBER(R263)),IF(R263&gt;12,"Event hours look high. ",""),"")&amp;IF(G263&gt;0,"See CONFIRM sheet.",""))</f>
        <v/>
      </c>
      <c r="AB263" s="1" t="n">
        <f aca="false">IF(N263="No",0,IF(REVIEW!O263=0,0,IF(G263&gt;0,IF(INDEX(CONFIRM!$J$5:$J$53,G263)&lt;&gt;"",INDEX(CONFIRM!$J$5:$J$53,G263),1),1)))</f>
        <v>1</v>
      </c>
      <c r="AC263" s="1" t="n">
        <f aca="false">IF(AB263=1,IF(COUNTIFS($B$5:B263,B263,$D$5:D263,D263,$AB$5:AB263,1)=1,1,0),0)</f>
        <v>0</v>
      </c>
    </row>
    <row r="264" customFormat="false" ht="15" hidden="false" customHeight="false" outlineLevel="0" collapsed="false">
      <c r="A264" s="48" t="str">
        <f aca="false">STACK!A264</f>
        <v>KVMC-0260</v>
      </c>
      <c r="B264" s="48" t="str">
        <f aca="false">STACK!B264</f>
        <v>KVMC</v>
      </c>
      <c r="C264" s="48" t="str">
        <f aca="false">STACK!E264</f>
        <v>Family Medicine Residency Program</v>
      </c>
      <c r="D264" s="1" t="str">
        <f aca="false">IFERROR(INDEX(MAP!$J$7:$J$101,MATCH(TRIM(C264),MAP!$I$7:$I$101,0)),"UNMAPPED")</f>
        <v>Family Medicine Residency Program</v>
      </c>
      <c r="E264" s="1" t="str">
        <f aca="false">IFERROR(INDEX(MAP!$K$7:$K$101,MATCH(TRIM(C264),MAP!$I$7:$I$101,0)),"")</f>
        <v>Health workforce</v>
      </c>
      <c r="F264" s="1" t="str">
        <f aca="false">IFERROR(INDEX(MAP!$L$7:$L$101,MATCH(TRIM(C264),MAP!$I$7:$I$101,0)),"")</f>
        <v>Monthly</v>
      </c>
      <c r="G264" s="1" t="n">
        <f aca="false">IFERROR(MATCH(A264,CONFIRM!$A$5:$A$53,0),0)</f>
        <v>0</v>
      </c>
      <c r="H264" s="48" t="str">
        <f aca="false">STACK!F264</f>
        <v>Health Professions Education</v>
      </c>
      <c r="I264" s="1" t="str">
        <f aca="false">IF(G264&gt;0,IF(INDEX(CONFIRM!$I$5:$I$53,G264)&lt;&gt;"",INDEX(CONFIRM!$I$5:$I$53,G264),H264),H264)</f>
        <v>Health Professions Education</v>
      </c>
      <c r="J264" s="1" t="str">
        <f aca="false">IFERROR(INDEX(MAP!$F$7:$F$74,MATCH(TRIM(I264),MAP!$E$7:$E$74,0)),"UNMAPPED")</f>
        <v>Health professions education</v>
      </c>
      <c r="K264" s="1" t="str">
        <f aca="false">IFERROR(INDEX(MAP!$G$7:$G$74,MATCH(TRIM(I264),MAP!$E$7:$E$74,0)),"UNMAPPED")</f>
        <v>7f</v>
      </c>
      <c r="L264" s="49" t="n">
        <f aca="false">STACK!G264</f>
        <v>46022</v>
      </c>
      <c r="M264" s="59" t="n">
        <f aca="false">IF(G264&gt;0,IF(INDEX(CONFIRM!$G$5:$G$53,G264)&lt;&gt;"",INDEX(CONFIRM!$G$5:$G$53,G264),IF(ISNUMBER(L264),L264,IFERROR(DATEVALUE(L264),""))),IF(ISNUMBER(L264),L264,IFERROR(DATEVALUE(L264),"")))</f>
        <v>46022</v>
      </c>
      <c r="N264" s="1" t="str">
        <f aca="false">IF(M264="","Check",IF(AND(M264&gt;=INPUTS!$C$6,M264&lt;=INPUTS!$C$7),"Yes","No"))</f>
        <v>Yes</v>
      </c>
      <c r="O264" s="48" t="str">
        <f aca="false">STACK!H264</f>
        <v>Physician</v>
      </c>
      <c r="P264" s="1" t="str">
        <f aca="false">IF(G264&gt;0,IF(INDEX(CONFIRM!$H$5:$H$53,G264)&lt;&gt;"",INDEX(CONFIRM!$H$5:$H$53,G264),IFERROR(INDEX(MAP!$B$7:$B$156,MATCH(TRIM(O264),MAP!$A$7:$A$156,0)),"UNMAPPED")),IFERROR(INDEX(MAP!$B$7:$B$156,MATCH(TRIM(O264),MAP!$A$7:$A$156,0)),"UNMAPPED"))</f>
        <v>Physician</v>
      </c>
      <c r="Q264" s="48" t="n">
        <f aca="false">STACK!I264</f>
        <v>414</v>
      </c>
      <c r="R264" s="60" t="n">
        <f aca="false">IF(G264&gt;0,IF(INDEX(CONFIRM!$F$5:$F$53,G264)&lt;&gt;"",INDEX(CONFIRM!$F$5:$F$53,G264),IF(ISNUMBER(Q264),Q264,IF(Q264="","",IFERROR(VALUE(TRIM(SUBSTITUTE(SUBSTITUTE(LOWER(Q264),"hrs",""),"hr",""))),"")))),IF(ISNUMBER(Q264),Q264,IF(Q264="","",IFERROR(VALUE(TRIM(SUBSTITUTE(SUBSTITUTE(LOWER(Q264),"hrs",""),"hr",""))),""))))</f>
        <v>414</v>
      </c>
      <c r="S264" s="57" t="n">
        <f aca="false">IFERROR(INDEX(RATES!$E$6:$E$28,MATCH(P264,RATES!$A$6:$A$28,0)),0)</f>
        <v>151.63</v>
      </c>
      <c r="T264" s="61" t="n">
        <f aca="false">IF(ISNUMBER(R264),R264,0)*S264</f>
        <v>62774.82</v>
      </c>
      <c r="U264" s="61" t="n">
        <f aca="false">T264*INDEX(INPUTS!$H$10:$H$14,MATCH(B264,INPUTS!$A$10:$A$14,0))</f>
        <v>11613.3417</v>
      </c>
      <c r="V264" s="61" t="n">
        <f aca="false">N(STACK!K264)</f>
        <v>44745</v>
      </c>
      <c r="W264" s="61" t="n">
        <f aca="false">T264+U264+V264</f>
        <v>119133.1617</v>
      </c>
      <c r="X264" s="61" t="n">
        <f aca="false">N(STACK!L264)</f>
        <v>174555</v>
      </c>
      <c r="Y264" s="61" t="n">
        <f aca="false">W264-X264</f>
        <v>-55421.8383</v>
      </c>
      <c r="Z264" s="1" t="n">
        <f aca="false">N(STACK!J264)</f>
        <v>0</v>
      </c>
      <c r="AA264" s="1" t="str">
        <f aca="false">TRIM(IF(D264="UNMAPPED","Program not mapped. ","")&amp;IF(OR(K264="UNMAPPED",K264="UNASSIGNED"),"Category needs review. ","")&amp;IF(P264="UNMAPPED","Title not mapped. ","")&amp;IF(AND(P264&lt;&gt;"No staff time",R264=""),"Missing hours. ","")&amp;IF(M264="","Date not readable. ","")&amp;IF(N264="No","Outside fiscal year. ","")&amp;IF(AND(F264="Event",ISNUMBER(R264)),IF(R264&gt;12,"Event hours look high. ",""),"")&amp;IF(G264&gt;0,"See CONFIRM sheet.",""))</f>
        <v/>
      </c>
      <c r="AB264" s="1" t="n">
        <f aca="false">IF(N264="No",0,IF(REVIEW!O264=0,0,IF(G264&gt;0,IF(INDEX(CONFIRM!$J$5:$J$53,G264)&lt;&gt;"",INDEX(CONFIRM!$J$5:$J$53,G264),1),1)))</f>
        <v>1</v>
      </c>
      <c r="AC264" s="1" t="n">
        <f aca="false">IF(AB264=1,IF(COUNTIFS($B$5:B264,B264,$D$5:D264,D264,$AB$5:AB264,1)=1,1,0),0)</f>
        <v>0</v>
      </c>
    </row>
    <row r="265" customFormat="false" ht="15" hidden="false" customHeight="false" outlineLevel="0" collapsed="false">
      <c r="A265" s="48" t="str">
        <f aca="false">STACK!A265</f>
        <v>KVMC-0261</v>
      </c>
      <c r="B265" s="48" t="str">
        <f aca="false">STACK!B265</f>
        <v>KVMC</v>
      </c>
      <c r="C265" s="48" t="str">
        <f aca="false">STACK!E265</f>
        <v>Family Medicine Residency Program</v>
      </c>
      <c r="D265" s="1" t="str">
        <f aca="false">IFERROR(INDEX(MAP!$J$7:$J$101,MATCH(TRIM(C265),MAP!$I$7:$I$101,0)),"UNMAPPED")</f>
        <v>Family Medicine Residency Program</v>
      </c>
      <c r="E265" s="1" t="str">
        <f aca="false">IFERROR(INDEX(MAP!$K$7:$K$101,MATCH(TRIM(C265),MAP!$I$7:$I$101,0)),"")</f>
        <v>Health workforce</v>
      </c>
      <c r="F265" s="1" t="str">
        <f aca="false">IFERROR(INDEX(MAP!$L$7:$L$101,MATCH(TRIM(C265),MAP!$I$7:$I$101,0)),"")</f>
        <v>Monthly</v>
      </c>
      <c r="G265" s="1" t="n">
        <f aca="false">IFERROR(MATCH(A265,CONFIRM!$A$5:$A$53,0),0)</f>
        <v>0</v>
      </c>
      <c r="H265" s="48" t="str">
        <f aca="false">STACK!F265</f>
        <v>Health Professions Education</v>
      </c>
      <c r="I265" s="1" t="str">
        <f aca="false">IF(G265&gt;0,IF(INDEX(CONFIRM!$I$5:$I$53,G265)&lt;&gt;"",INDEX(CONFIRM!$I$5:$I$53,G265),H265),H265)</f>
        <v>Health Professions Education</v>
      </c>
      <c r="J265" s="1" t="str">
        <f aca="false">IFERROR(INDEX(MAP!$F$7:$F$74,MATCH(TRIM(I265),MAP!$E$7:$E$74,0)),"UNMAPPED")</f>
        <v>Health professions education</v>
      </c>
      <c r="K265" s="1" t="str">
        <f aca="false">IFERROR(INDEX(MAP!$G$7:$G$74,MATCH(TRIM(I265),MAP!$E$7:$E$74,0)),"UNMAPPED")</f>
        <v>7f</v>
      </c>
      <c r="L265" s="49" t="n">
        <f aca="false">STACK!G265</f>
        <v>46022</v>
      </c>
      <c r="M265" s="59" t="n">
        <f aca="false">IF(G265&gt;0,IF(INDEX(CONFIRM!$G$5:$G$53,G265)&lt;&gt;"",INDEX(CONFIRM!$G$5:$G$53,G265),IF(ISNUMBER(L265),L265,IFERROR(DATEVALUE(L265),""))),IF(ISNUMBER(L265),L265,IFERROR(DATEVALUE(L265),"")))</f>
        <v>46022</v>
      </c>
      <c r="N265" s="1" t="str">
        <f aca="false">IF(M265="","Check",IF(AND(M265&gt;=INPUTS!$C$6,M265&lt;=INPUTS!$C$7),"Yes","No"))</f>
        <v>Yes</v>
      </c>
      <c r="O265" s="48" t="str">
        <f aca="false">STACK!H265</f>
        <v>Residency Coordinator</v>
      </c>
      <c r="P265" s="1" t="str">
        <f aca="false">IF(G265&gt;0,IF(INDEX(CONFIRM!$H$5:$H$53,G265)&lt;&gt;"",INDEX(CONFIRM!$H$5:$H$53,G265),IFERROR(INDEX(MAP!$B$7:$B$156,MATCH(TRIM(O265),MAP!$A$7:$A$156,0)),"UNMAPPED")),IFERROR(INDEX(MAP!$B$7:$B$156,MATCH(TRIM(O265),MAP!$A$7:$A$156,0)),"UNMAPPED"))</f>
        <v>Program Coordinator</v>
      </c>
      <c r="Q265" s="48" t="n">
        <f aca="false">STACK!I265</f>
        <v>167.5</v>
      </c>
      <c r="R265" s="60" t="n">
        <f aca="false">IF(G265&gt;0,IF(INDEX(CONFIRM!$F$5:$F$53,G265)&lt;&gt;"",INDEX(CONFIRM!$F$5:$F$53,G265),IF(ISNUMBER(Q265),Q265,IF(Q265="","",IFERROR(VALUE(TRIM(SUBSTITUTE(SUBSTITUTE(LOWER(Q265),"hrs",""),"hr",""))),"")))),IF(ISNUMBER(Q265),Q265,IF(Q265="","",IFERROR(VALUE(TRIM(SUBSTITUTE(SUBSTITUTE(LOWER(Q265),"hrs",""),"hr",""))),""))))</f>
        <v>167.5</v>
      </c>
      <c r="S265" s="57" t="n">
        <f aca="false">IFERROR(INDEX(RATES!$E$6:$E$28,MATCH(P265,RATES!$A$6:$A$28,0)),0)</f>
        <v>35.3375</v>
      </c>
      <c r="T265" s="61" t="n">
        <f aca="false">IF(ISNUMBER(R265),R265,0)*S265</f>
        <v>5919.03125</v>
      </c>
      <c r="U265" s="61" t="n">
        <f aca="false">T265*INDEX(INPUTS!$H$10:$H$14,MATCH(B265,INPUTS!$A$10:$A$14,0))</f>
        <v>1095.02078125</v>
      </c>
      <c r="V265" s="61" t="n">
        <f aca="false">N(STACK!K265)</f>
        <v>0</v>
      </c>
      <c r="W265" s="61" t="n">
        <f aca="false">T265+U265+V265</f>
        <v>7014.05203125</v>
      </c>
      <c r="X265" s="61" t="n">
        <f aca="false">N(STACK!L265)</f>
        <v>0</v>
      </c>
      <c r="Y265" s="61" t="n">
        <f aca="false">W265-X265</f>
        <v>7014.05203125</v>
      </c>
      <c r="Z265" s="1" t="n">
        <f aca="false">N(STACK!J265)</f>
        <v>0</v>
      </c>
      <c r="AA265" s="1" t="str">
        <f aca="false">TRIM(IF(D265="UNMAPPED","Program not mapped. ","")&amp;IF(OR(K265="UNMAPPED",K265="UNASSIGNED"),"Category needs review. ","")&amp;IF(P265="UNMAPPED","Title not mapped. ","")&amp;IF(AND(P265&lt;&gt;"No staff time",R265=""),"Missing hours. ","")&amp;IF(M265="","Date not readable. ","")&amp;IF(N265="No","Outside fiscal year. ","")&amp;IF(AND(F265="Event",ISNUMBER(R265)),IF(R265&gt;12,"Event hours look high. ",""),"")&amp;IF(G265&gt;0,"See CONFIRM sheet.",""))</f>
        <v/>
      </c>
      <c r="AB265" s="1" t="n">
        <f aca="false">IF(N265="No",0,IF(REVIEW!O265=0,0,IF(G265&gt;0,IF(INDEX(CONFIRM!$J$5:$J$53,G265)&lt;&gt;"",INDEX(CONFIRM!$J$5:$J$53,G265),1),1)))</f>
        <v>1</v>
      </c>
      <c r="AC265" s="1" t="n">
        <f aca="false">IF(AB265=1,IF(COUNTIFS($B$5:B265,B265,$D$5:D265,D265,$AB$5:AB265,1)=1,1,0),0)</f>
        <v>0</v>
      </c>
    </row>
    <row r="266" customFormat="false" ht="15" hidden="false" customHeight="false" outlineLevel="0" collapsed="false">
      <c r="A266" s="48" t="str">
        <f aca="false">STACK!A266</f>
        <v>KVMC-0262</v>
      </c>
      <c r="B266" s="48" t="str">
        <f aca="false">STACK!B266</f>
        <v>KVMC</v>
      </c>
      <c r="C266" s="48" t="str">
        <f aca="false">STACK!E266</f>
        <v>Family Medicine Residency Program</v>
      </c>
      <c r="D266" s="1" t="str">
        <f aca="false">IFERROR(INDEX(MAP!$J$7:$J$101,MATCH(TRIM(C266),MAP!$I$7:$I$101,0)),"UNMAPPED")</f>
        <v>Family Medicine Residency Program</v>
      </c>
      <c r="E266" s="1" t="str">
        <f aca="false">IFERROR(INDEX(MAP!$K$7:$K$101,MATCH(TRIM(C266),MAP!$I$7:$I$101,0)),"")</f>
        <v>Health workforce</v>
      </c>
      <c r="F266" s="1" t="str">
        <f aca="false">IFERROR(INDEX(MAP!$L$7:$L$101,MATCH(TRIM(C266),MAP!$I$7:$I$101,0)),"")</f>
        <v>Monthly</v>
      </c>
      <c r="G266" s="1" t="n">
        <f aca="false">IFERROR(MATCH(A266,CONFIRM!$A$5:$A$53,0),0)</f>
        <v>0</v>
      </c>
      <c r="H266" s="48" t="str">
        <f aca="false">STACK!F266</f>
        <v>Health Professions Education</v>
      </c>
      <c r="I266" s="1" t="str">
        <f aca="false">IF(G266&gt;0,IF(INDEX(CONFIRM!$I$5:$I$53,G266)&lt;&gt;"",INDEX(CONFIRM!$I$5:$I$53,G266),H266),H266)</f>
        <v>Health Professions Education</v>
      </c>
      <c r="J266" s="1" t="str">
        <f aca="false">IFERROR(INDEX(MAP!$F$7:$F$74,MATCH(TRIM(I266),MAP!$E$7:$E$74,0)),"UNMAPPED")</f>
        <v>Health professions education</v>
      </c>
      <c r="K266" s="1" t="str">
        <f aca="false">IFERROR(INDEX(MAP!$G$7:$G$74,MATCH(TRIM(I266),MAP!$E$7:$E$74,0)),"UNMAPPED")</f>
        <v>7f</v>
      </c>
      <c r="L266" s="49" t="n">
        <f aca="false">STACK!G266</f>
        <v>46022</v>
      </c>
      <c r="M266" s="59" t="n">
        <f aca="false">IF(G266&gt;0,IF(INDEX(CONFIRM!$G$5:$G$53,G266)&lt;&gt;"",INDEX(CONFIRM!$G$5:$G$53,G266),IF(ISNUMBER(L266),L266,IFERROR(DATEVALUE(L266),""))),IF(ISNUMBER(L266),L266,IFERROR(DATEVALUE(L266),"")))</f>
        <v>46022</v>
      </c>
      <c r="N266" s="1" t="str">
        <f aca="false">IF(M266="","Check",IF(AND(M266&gt;=INPUTS!$C$6,M266&lt;=INPUTS!$C$7),"Yes","No"))</f>
        <v>Yes</v>
      </c>
      <c r="O266" s="48" t="str">
        <f aca="false">STACK!H266</f>
        <v>Res. Physician</v>
      </c>
      <c r="P266" s="1" t="str">
        <f aca="false">IF(G266&gt;0,IF(INDEX(CONFIRM!$H$5:$H$53,G266)&lt;&gt;"",INDEX(CONFIRM!$H$5:$H$53,G266),IFERROR(INDEX(MAP!$B$7:$B$156,MATCH(TRIM(O266),MAP!$A$7:$A$156,0)),"UNMAPPED")),IFERROR(INDEX(MAP!$B$7:$B$156,MATCH(TRIM(O266),MAP!$A$7:$A$156,0)),"UNMAPPED"))</f>
        <v>Resident Physician</v>
      </c>
      <c r="Q266" s="48" t="n">
        <f aca="false">STACK!I266</f>
        <v>4291.25</v>
      </c>
      <c r="R266" s="60" t="n">
        <f aca="false">IF(G266&gt;0,IF(INDEX(CONFIRM!$F$5:$F$53,G266)&lt;&gt;"",INDEX(CONFIRM!$F$5:$F$53,G266),IF(ISNUMBER(Q266),Q266,IF(Q266="","",IFERROR(VALUE(TRIM(SUBSTITUTE(SUBSTITUTE(LOWER(Q266),"hrs",""),"hr",""))),"")))),IF(ISNUMBER(Q266),Q266,IF(Q266="","",IFERROR(VALUE(TRIM(SUBSTITUTE(SUBSTITUTE(LOWER(Q266),"hrs",""),"hr",""))),""))))</f>
        <v>4291.25</v>
      </c>
      <c r="S266" s="57" t="n">
        <f aca="false">IFERROR(INDEX(RATES!$E$6:$E$28,MATCH(P266,RATES!$A$6:$A$28,0)),0)</f>
        <v>38.43</v>
      </c>
      <c r="T266" s="61" t="n">
        <f aca="false">IF(ISNUMBER(R266),R266,0)*S266</f>
        <v>164912.7375</v>
      </c>
      <c r="U266" s="61" t="n">
        <f aca="false">T266*INDEX(INPUTS!$H$10:$H$14,MATCH(B266,INPUTS!$A$10:$A$14,0))</f>
        <v>30508.8564375</v>
      </c>
      <c r="V266" s="61" t="n">
        <f aca="false">N(STACK!K266)</f>
        <v>0</v>
      </c>
      <c r="W266" s="61" t="n">
        <f aca="false">T266+U266+V266</f>
        <v>195421.5939375</v>
      </c>
      <c r="X266" s="61" t="n">
        <f aca="false">N(STACK!L266)</f>
        <v>0</v>
      </c>
      <c r="Y266" s="61" t="n">
        <f aca="false">W266-X266</f>
        <v>195421.5939375</v>
      </c>
      <c r="Z266" s="1" t="n">
        <f aca="false">N(STACK!J266)</f>
        <v>0</v>
      </c>
      <c r="AA266" s="1" t="str">
        <f aca="false">TRIM(IF(D266="UNMAPPED","Program not mapped. ","")&amp;IF(OR(K266="UNMAPPED",K266="UNASSIGNED"),"Category needs review. ","")&amp;IF(P266="UNMAPPED","Title not mapped. ","")&amp;IF(AND(P266&lt;&gt;"No staff time",R266=""),"Missing hours. ","")&amp;IF(M266="","Date not readable. ","")&amp;IF(N266="No","Outside fiscal year. ","")&amp;IF(AND(F266="Event",ISNUMBER(R266)),IF(R266&gt;12,"Event hours look high. ",""),"")&amp;IF(G266&gt;0,"See CONFIRM sheet.",""))</f>
        <v/>
      </c>
      <c r="AB266" s="1" t="n">
        <f aca="false">IF(N266="No",0,IF(REVIEW!O266=0,0,IF(G266&gt;0,IF(INDEX(CONFIRM!$J$5:$J$53,G266)&lt;&gt;"",INDEX(CONFIRM!$J$5:$J$53,G266),1),1)))</f>
        <v>1</v>
      </c>
      <c r="AC266" s="1" t="n">
        <f aca="false">IF(AB266=1,IF(COUNTIFS($B$5:B266,B266,$D$5:D266,D266,$AB$5:AB266,1)=1,1,0),0)</f>
        <v>0</v>
      </c>
    </row>
    <row r="267" customFormat="false" ht="15" hidden="false" customHeight="false" outlineLevel="0" collapsed="false">
      <c r="A267" s="48" t="str">
        <f aca="false">STACK!A267</f>
        <v>KVMC-0263</v>
      </c>
      <c r="B267" s="48" t="str">
        <f aca="false">STACK!B267</f>
        <v>KVMC</v>
      </c>
      <c r="C267" s="48" t="str">
        <f aca="false">STACK!E267</f>
        <v>Pharmacy Student Rotations</v>
      </c>
      <c r="D267" s="1" t="str">
        <f aca="false">IFERROR(INDEX(MAP!$J$7:$J$101,MATCH(TRIM(C267),MAP!$I$7:$I$101,0)),"UNMAPPED")</f>
        <v>Pharmacy Student Rotations</v>
      </c>
      <c r="E267" s="1" t="str">
        <f aca="false">IFERROR(INDEX(MAP!$K$7:$K$101,MATCH(TRIM(C267),MAP!$I$7:$I$101,0)),"")</f>
        <v>Health workforce</v>
      </c>
      <c r="F267" s="1" t="str">
        <f aca="false">IFERROR(INDEX(MAP!$L$7:$L$101,MATCH(TRIM(C267),MAP!$I$7:$I$101,0)),"")</f>
        <v>Monthly</v>
      </c>
      <c r="G267" s="1" t="n">
        <f aca="false">IFERROR(MATCH(A267,CONFIRM!$A$5:$A$53,0),0)</f>
        <v>0</v>
      </c>
      <c r="H267" s="48" t="str">
        <f aca="false">STACK!F267</f>
        <v>Health Professions Education</v>
      </c>
      <c r="I267" s="1" t="str">
        <f aca="false">IF(G267&gt;0,IF(INDEX(CONFIRM!$I$5:$I$53,G267)&lt;&gt;"",INDEX(CONFIRM!$I$5:$I$53,G267),H267),H267)</f>
        <v>Health Professions Education</v>
      </c>
      <c r="J267" s="1" t="str">
        <f aca="false">IFERROR(INDEX(MAP!$F$7:$F$74,MATCH(TRIM(I267),MAP!$E$7:$E$74,0)),"UNMAPPED")</f>
        <v>Health professions education</v>
      </c>
      <c r="K267" s="1" t="str">
        <f aca="false">IFERROR(INDEX(MAP!$G$7:$G$74,MATCH(TRIM(I267),MAP!$E$7:$E$74,0)),"UNMAPPED")</f>
        <v>7f</v>
      </c>
      <c r="L267" s="49" t="n">
        <f aca="false">STACK!G267</f>
        <v>46022</v>
      </c>
      <c r="M267" s="59" t="n">
        <f aca="false">IF(G267&gt;0,IF(INDEX(CONFIRM!$G$5:$G$53,G267)&lt;&gt;"",INDEX(CONFIRM!$G$5:$G$53,G267),IF(ISNUMBER(L267),L267,IFERROR(DATEVALUE(L267),""))),IF(ISNUMBER(L267),L267,IFERROR(DATEVALUE(L267),"")))</f>
        <v>46022</v>
      </c>
      <c r="N267" s="1" t="str">
        <f aca="false">IF(M267="","Check",IF(AND(M267&gt;=INPUTS!$C$6,M267&lt;=INPUTS!$C$7),"Yes","No"))</f>
        <v>Yes</v>
      </c>
      <c r="O267" s="48" t="str">
        <f aca="false">STACK!H267</f>
        <v>RPh</v>
      </c>
      <c r="P267" s="1" t="str">
        <f aca="false">IF(G267&gt;0,IF(INDEX(CONFIRM!$H$5:$H$53,G267)&lt;&gt;"",INDEX(CONFIRM!$H$5:$H$53,G267),IFERROR(INDEX(MAP!$B$7:$B$156,MATCH(TRIM(O267),MAP!$A$7:$A$156,0)),"UNMAPPED")),IFERROR(INDEX(MAP!$B$7:$B$156,MATCH(TRIM(O267),MAP!$A$7:$A$156,0)),"UNMAPPED"))</f>
        <v>Pharmacist</v>
      </c>
      <c r="Q267" s="48" t="n">
        <f aca="false">STACK!I267</f>
        <v>76.75</v>
      </c>
      <c r="R267" s="60" t="n">
        <f aca="false">IF(G267&gt;0,IF(INDEX(CONFIRM!$F$5:$F$53,G267)&lt;&gt;"",INDEX(CONFIRM!$F$5:$F$53,G267),IF(ISNUMBER(Q267),Q267,IF(Q267="","",IFERROR(VALUE(TRIM(SUBSTITUTE(SUBSTITUTE(LOWER(Q267),"hrs",""),"hr",""))),"")))),IF(ISNUMBER(Q267),Q267,IF(Q267="","",IFERROR(VALUE(TRIM(SUBSTITUTE(SUBSTITUTE(LOWER(Q267),"hrs",""),"hr",""))),""))))</f>
        <v>76.75</v>
      </c>
      <c r="S267" s="57" t="n">
        <f aca="false">IFERROR(INDEX(RATES!$E$6:$E$28,MATCH(P267,RATES!$A$6:$A$28,0)),0)</f>
        <v>84.81</v>
      </c>
      <c r="T267" s="61" t="n">
        <f aca="false">IF(ISNUMBER(R267),R267,0)*S267</f>
        <v>6509.1675</v>
      </c>
      <c r="U267" s="61" t="n">
        <f aca="false">T267*INDEX(INPUTS!$H$10:$H$14,MATCH(B267,INPUTS!$A$10:$A$14,0))</f>
        <v>1204.1959875</v>
      </c>
      <c r="V267" s="61" t="n">
        <f aca="false">N(STACK!K267)</f>
        <v>185</v>
      </c>
      <c r="W267" s="61" t="n">
        <f aca="false">T267+U267+V267</f>
        <v>7898.3634875</v>
      </c>
      <c r="X267" s="61" t="n">
        <f aca="false">N(STACK!L267)</f>
        <v>0</v>
      </c>
      <c r="Y267" s="61" t="n">
        <f aca="false">W267-X267</f>
        <v>7898.3634875</v>
      </c>
      <c r="Z267" s="1" t="n">
        <f aca="false">N(STACK!J267)</f>
        <v>4</v>
      </c>
      <c r="AA267" s="1" t="str">
        <f aca="false">TRIM(IF(D267="UNMAPPED","Program not mapped. ","")&amp;IF(OR(K267="UNMAPPED",K267="UNASSIGNED"),"Category needs review. ","")&amp;IF(P267="UNMAPPED","Title not mapped. ","")&amp;IF(AND(P267&lt;&gt;"No staff time",R267=""),"Missing hours. ","")&amp;IF(M267="","Date not readable. ","")&amp;IF(N267="No","Outside fiscal year. ","")&amp;IF(AND(F267="Event",ISNUMBER(R267)),IF(R267&gt;12,"Event hours look high. ",""),"")&amp;IF(G267&gt;0,"See CONFIRM sheet.",""))</f>
        <v/>
      </c>
      <c r="AB267" s="1" t="n">
        <f aca="false">IF(N267="No",0,IF(REVIEW!O267=0,0,IF(G267&gt;0,IF(INDEX(CONFIRM!$J$5:$J$53,G267)&lt;&gt;"",INDEX(CONFIRM!$J$5:$J$53,G267),1),1)))</f>
        <v>1</v>
      </c>
      <c r="AC267" s="1" t="n">
        <f aca="false">IF(AB267=1,IF(COUNTIFS($B$5:B267,B267,$D$5:D267,D267,$AB$5:AB267,1)=1,1,0),0)</f>
        <v>0</v>
      </c>
    </row>
    <row r="268" customFormat="false" ht="15" hidden="false" customHeight="false" outlineLevel="0" collapsed="false">
      <c r="A268" s="48" t="str">
        <f aca="false">STACK!A268</f>
        <v>KVMC-0264</v>
      </c>
      <c r="B268" s="48" t="str">
        <f aca="false">STACK!B268</f>
        <v>KVMC</v>
      </c>
      <c r="C268" s="48" t="str">
        <f aca="false">STACK!E268</f>
        <v>Community Hypertension Control Study</v>
      </c>
      <c r="D268" s="1" t="str">
        <f aca="false">IFERROR(INDEX(MAP!$J$7:$J$101,MATCH(TRIM(C268),MAP!$I$7:$I$101,0)),"UNMAPPED")</f>
        <v>Community Hypertension Control Study</v>
      </c>
      <c r="E268" s="1" t="str">
        <f aca="false">IFERROR(INDEX(MAP!$K$7:$K$101,MATCH(TRIM(C268),MAP!$I$7:$I$101,0)),"")</f>
        <v>Chronic disease prevention</v>
      </c>
      <c r="F268" s="1" t="str">
        <f aca="false">IFERROR(INDEX(MAP!$L$7:$L$101,MATCH(TRIM(C268),MAP!$I$7:$I$101,0)),"")</f>
        <v>Monthly</v>
      </c>
      <c r="G268" s="1" t="n">
        <f aca="false">IFERROR(MATCH(A268,CONFIRM!$A$5:$A$53,0),0)</f>
        <v>0</v>
      </c>
      <c r="H268" s="48" t="str">
        <f aca="false">STACK!F268</f>
        <v>Research</v>
      </c>
      <c r="I268" s="1" t="str">
        <f aca="false">IF(G268&gt;0,IF(INDEX(CONFIRM!$I$5:$I$53,G268)&lt;&gt;"",INDEX(CONFIRM!$I$5:$I$53,G268),H268),H268)</f>
        <v>Research</v>
      </c>
      <c r="J268" s="1" t="str">
        <f aca="false">IFERROR(INDEX(MAP!$F$7:$F$74,MATCH(TRIM(I268),MAP!$E$7:$E$74,0)),"UNMAPPED")</f>
        <v>Research</v>
      </c>
      <c r="K268" s="1" t="str">
        <f aca="false">IFERROR(INDEX(MAP!$G$7:$G$74,MATCH(TRIM(I268),MAP!$E$7:$E$74,0)),"UNMAPPED")</f>
        <v>7h</v>
      </c>
      <c r="L268" s="49" t="n">
        <f aca="false">STACK!G268</f>
        <v>46022</v>
      </c>
      <c r="M268" s="59" t="n">
        <f aca="false">IF(G268&gt;0,IF(INDEX(CONFIRM!$G$5:$G$53,G268)&lt;&gt;"",INDEX(CONFIRM!$G$5:$G$53,G268),IF(ISNUMBER(L268),L268,IFERROR(DATEVALUE(L268),""))),IF(ISNUMBER(L268),L268,IFERROR(DATEVALUE(L268),"")))</f>
        <v>46022</v>
      </c>
      <c r="N268" s="1" t="str">
        <f aca="false">IF(M268="","Check",IF(AND(M268&gt;=INPUTS!$C$6,M268&lt;=INPUTS!$C$7),"Yes","No"))</f>
        <v>Yes</v>
      </c>
      <c r="O268" s="48" t="str">
        <f aca="false">STACK!H268</f>
        <v>Decision Support Analyst </v>
      </c>
      <c r="P268" s="1" t="str">
        <f aca="false">IF(G268&gt;0,IF(INDEX(CONFIRM!$H$5:$H$53,G268)&lt;&gt;"",INDEX(CONFIRM!$H$5:$H$53,G268),IFERROR(INDEX(MAP!$B$7:$B$156,MATCH(TRIM(O268),MAP!$A$7:$A$156,0)),"UNMAPPED")),IFERROR(INDEX(MAP!$B$7:$B$156,MATCH(TRIM(O268),MAP!$A$7:$A$156,0)),"UNMAPPED"))</f>
        <v>Data Analyst</v>
      </c>
      <c r="Q268" s="48" t="n">
        <f aca="false">STACK!I268</f>
        <v>49.25</v>
      </c>
      <c r="R268" s="60" t="n">
        <f aca="false">IF(G268&gt;0,IF(INDEX(CONFIRM!$F$5:$F$53,G268)&lt;&gt;"",INDEX(CONFIRM!$F$5:$F$53,G268),IF(ISNUMBER(Q268),Q268,IF(Q268="","",IFERROR(VALUE(TRIM(SUBSTITUTE(SUBSTITUTE(LOWER(Q268),"hrs",""),"hr",""))),"")))),IF(ISNUMBER(Q268),Q268,IF(Q268="","",IFERROR(VALUE(TRIM(SUBSTITUTE(SUBSTITUTE(LOWER(Q268),"hrs",""),"hr",""))),""))))</f>
        <v>49.25</v>
      </c>
      <c r="S268" s="57" t="n">
        <f aca="false">IFERROR(INDEX(RATES!$E$6:$E$28,MATCH(P268,RATES!$A$6:$A$28,0)),0)</f>
        <v>48.83</v>
      </c>
      <c r="T268" s="61" t="n">
        <f aca="false">IF(ISNUMBER(R268),R268,0)*S268</f>
        <v>2404.8775</v>
      </c>
      <c r="U268" s="61" t="n">
        <f aca="false">T268*INDEX(INPUTS!$H$10:$H$14,MATCH(B268,INPUTS!$A$10:$A$14,0))</f>
        <v>444.9023375</v>
      </c>
      <c r="V268" s="61" t="n">
        <f aca="false">N(STACK!K268)</f>
        <v>0</v>
      </c>
      <c r="W268" s="61" t="n">
        <f aca="false">T268+U268+V268</f>
        <v>2849.7798375</v>
      </c>
      <c r="X268" s="61" t="n">
        <f aca="false">N(STACK!L268)</f>
        <v>0</v>
      </c>
      <c r="Y268" s="61" t="n">
        <f aca="false">W268-X268</f>
        <v>2849.7798375</v>
      </c>
      <c r="Z268" s="1" t="n">
        <f aca="false">N(STACK!J268)</f>
        <v>0</v>
      </c>
      <c r="AA268" s="1" t="str">
        <f aca="false">TRIM(IF(D268="UNMAPPED","Program not mapped. ","")&amp;IF(OR(K268="UNMAPPED",K268="UNASSIGNED"),"Category needs review. ","")&amp;IF(P268="UNMAPPED","Title not mapped. ","")&amp;IF(AND(P268&lt;&gt;"No staff time",R268=""),"Missing hours. ","")&amp;IF(M268="","Date not readable. ","")&amp;IF(N268="No","Outside fiscal year. ","")&amp;IF(AND(F268="Event",ISNUMBER(R268)),IF(R268&gt;12,"Event hours look high. ",""),"")&amp;IF(G268&gt;0,"See CONFIRM sheet.",""))</f>
        <v/>
      </c>
      <c r="AB268" s="1" t="n">
        <f aca="false">IF(N268="No",0,IF(REVIEW!O268=0,0,IF(G268&gt;0,IF(INDEX(CONFIRM!$J$5:$J$53,G268)&lt;&gt;"",INDEX(CONFIRM!$J$5:$J$53,G268),1),1)))</f>
        <v>1</v>
      </c>
      <c r="AC268" s="1" t="n">
        <f aca="false">IF(AB268=1,IF(COUNTIFS($B$5:B268,B268,$D$5:D268,D268,$AB$5:AB268,1)=1,1,0),0)</f>
        <v>0</v>
      </c>
    </row>
    <row r="269" customFormat="false" ht="15" hidden="false" customHeight="false" outlineLevel="0" collapsed="false">
      <c r="A269" s="48" t="str">
        <f aca="false">STACK!A269</f>
        <v>KVMC-0265</v>
      </c>
      <c r="B269" s="48" t="str">
        <f aca="false">STACK!B269</f>
        <v>KVMC</v>
      </c>
      <c r="C269" s="48" t="str">
        <f aca="false">STACK!E269</f>
        <v>Community Hypertension Control Study</v>
      </c>
      <c r="D269" s="1" t="str">
        <f aca="false">IFERROR(INDEX(MAP!$J$7:$J$101,MATCH(TRIM(C269),MAP!$I$7:$I$101,0)),"UNMAPPED")</f>
        <v>Community Hypertension Control Study</v>
      </c>
      <c r="E269" s="1" t="str">
        <f aca="false">IFERROR(INDEX(MAP!$K$7:$K$101,MATCH(TRIM(C269),MAP!$I$7:$I$101,0)),"")</f>
        <v>Chronic disease prevention</v>
      </c>
      <c r="F269" s="1" t="str">
        <f aca="false">IFERROR(INDEX(MAP!$L$7:$L$101,MATCH(TRIM(C269),MAP!$I$7:$I$101,0)),"")</f>
        <v>Monthly</v>
      </c>
      <c r="G269" s="1" t="n">
        <f aca="false">IFERROR(MATCH(A269,CONFIRM!$A$5:$A$53,0),0)</f>
        <v>0</v>
      </c>
      <c r="H269" s="48" t="str">
        <f aca="false">STACK!F269</f>
        <v>Research</v>
      </c>
      <c r="I269" s="1" t="str">
        <f aca="false">IF(G269&gt;0,IF(INDEX(CONFIRM!$I$5:$I$53,G269)&lt;&gt;"",INDEX(CONFIRM!$I$5:$I$53,G269),H269),H269)</f>
        <v>Research</v>
      </c>
      <c r="J269" s="1" t="str">
        <f aca="false">IFERROR(INDEX(MAP!$F$7:$F$74,MATCH(TRIM(I269),MAP!$E$7:$E$74,0)),"UNMAPPED")</f>
        <v>Research</v>
      </c>
      <c r="K269" s="1" t="str">
        <f aca="false">IFERROR(INDEX(MAP!$G$7:$G$74,MATCH(TRIM(I269),MAP!$E$7:$E$74,0)),"UNMAPPED")</f>
        <v>7h</v>
      </c>
      <c r="L269" s="49" t="n">
        <f aca="false">STACK!G269</f>
        <v>46022</v>
      </c>
      <c r="M269" s="59" t="n">
        <f aca="false">IF(G269&gt;0,IF(INDEX(CONFIRM!$G$5:$G$53,G269)&lt;&gt;"",INDEX(CONFIRM!$G$5:$G$53,G269),IF(ISNUMBER(L269),L269,IFERROR(DATEVALUE(L269),""))),IF(ISNUMBER(L269),L269,IFERROR(DATEVALUE(L269),"")))</f>
        <v>46022</v>
      </c>
      <c r="N269" s="1" t="str">
        <f aca="false">IF(M269="","Check",IF(AND(M269&gt;=INPUTS!$C$6,M269&lt;=INPUTS!$C$7),"Yes","No"))</f>
        <v>Yes</v>
      </c>
      <c r="O269" s="48" t="str">
        <f aca="false">STACK!H269</f>
        <v>MD</v>
      </c>
      <c r="P269" s="1" t="str">
        <f aca="false">IF(G269&gt;0,IF(INDEX(CONFIRM!$H$5:$H$53,G269)&lt;&gt;"",INDEX(CONFIRM!$H$5:$H$53,G269),IFERROR(INDEX(MAP!$B$7:$B$156,MATCH(TRIM(O269),MAP!$A$7:$A$156,0)),"UNMAPPED")),IFERROR(INDEX(MAP!$B$7:$B$156,MATCH(TRIM(O269),MAP!$A$7:$A$156,0)),"UNMAPPED"))</f>
        <v>Physician</v>
      </c>
      <c r="Q269" s="48" t="n">
        <f aca="false">STACK!I269</f>
        <v>16.75</v>
      </c>
      <c r="R269" s="60" t="n">
        <f aca="false">IF(G269&gt;0,IF(INDEX(CONFIRM!$F$5:$F$53,G269)&lt;&gt;"",INDEX(CONFIRM!$F$5:$F$53,G269),IF(ISNUMBER(Q269),Q269,IF(Q269="","",IFERROR(VALUE(TRIM(SUBSTITUTE(SUBSTITUTE(LOWER(Q269),"hrs",""),"hr",""))),"")))),IF(ISNUMBER(Q269),Q269,IF(Q269="","",IFERROR(VALUE(TRIM(SUBSTITUTE(SUBSTITUTE(LOWER(Q269),"hrs",""),"hr",""))),""))))</f>
        <v>16.75</v>
      </c>
      <c r="S269" s="57" t="n">
        <f aca="false">IFERROR(INDEX(RATES!$E$6:$E$28,MATCH(P269,RATES!$A$6:$A$28,0)),0)</f>
        <v>151.63</v>
      </c>
      <c r="T269" s="61" t="n">
        <f aca="false">IF(ISNUMBER(R269),R269,0)*S269</f>
        <v>2539.8025</v>
      </c>
      <c r="U269" s="61" t="n">
        <f aca="false">T269*INDEX(INPUTS!$H$10:$H$14,MATCH(B269,INPUTS!$A$10:$A$14,0))</f>
        <v>469.8634625</v>
      </c>
      <c r="V269" s="61" t="n">
        <f aca="false">N(STACK!K269)</f>
        <v>0</v>
      </c>
      <c r="W269" s="61" t="n">
        <f aca="false">T269+U269+V269</f>
        <v>3009.6659625</v>
      </c>
      <c r="X269" s="61" t="n">
        <f aca="false">N(STACK!L269)</f>
        <v>0</v>
      </c>
      <c r="Y269" s="61" t="n">
        <f aca="false">W269-X269</f>
        <v>3009.6659625</v>
      </c>
      <c r="Z269" s="1" t="n">
        <f aca="false">N(STACK!J269)</f>
        <v>0</v>
      </c>
      <c r="AA269" s="1" t="str">
        <f aca="false">TRIM(IF(D269="UNMAPPED","Program not mapped. ","")&amp;IF(OR(K269="UNMAPPED",K269="UNASSIGNED"),"Category needs review. ","")&amp;IF(P269="UNMAPPED","Title not mapped. ","")&amp;IF(AND(P269&lt;&gt;"No staff time",R269=""),"Missing hours. ","")&amp;IF(M269="","Date not readable. ","")&amp;IF(N269="No","Outside fiscal year. ","")&amp;IF(AND(F269="Event",ISNUMBER(R269)),IF(R269&gt;12,"Event hours look high. ",""),"")&amp;IF(G269&gt;0,"See CONFIRM sheet.",""))</f>
        <v/>
      </c>
      <c r="AB269" s="1" t="n">
        <f aca="false">IF(N269="No",0,IF(REVIEW!O269=0,0,IF(G269&gt;0,IF(INDEX(CONFIRM!$J$5:$J$53,G269)&lt;&gt;"",INDEX(CONFIRM!$J$5:$J$53,G269),1),1)))</f>
        <v>1</v>
      </c>
      <c r="AC269" s="1" t="n">
        <f aca="false">IF(AB269=1,IF(COUNTIFS($B$5:B269,B269,$D$5:D269,D269,$AB$5:AB269,1)=1,1,0),0)</f>
        <v>0</v>
      </c>
    </row>
    <row r="270" customFormat="false" ht="15" hidden="false" customHeight="false" outlineLevel="0" collapsed="false">
      <c r="A270" s="48" t="str">
        <f aca="false">STACK!A270</f>
        <v>KVMC-0266</v>
      </c>
      <c r="B270" s="48" t="str">
        <f aca="false">STACK!B270</f>
        <v>KVMC</v>
      </c>
      <c r="C270" s="48" t="str">
        <f aca="false">STACK!E270</f>
        <v>Community Hypertension Control Study</v>
      </c>
      <c r="D270" s="1" t="str">
        <f aca="false">IFERROR(INDEX(MAP!$J$7:$J$101,MATCH(TRIM(C270),MAP!$I$7:$I$101,0)),"UNMAPPED")</f>
        <v>Community Hypertension Control Study</v>
      </c>
      <c r="E270" s="1" t="str">
        <f aca="false">IFERROR(INDEX(MAP!$K$7:$K$101,MATCH(TRIM(C270),MAP!$I$7:$I$101,0)),"")</f>
        <v>Chronic disease prevention</v>
      </c>
      <c r="F270" s="1" t="str">
        <f aca="false">IFERROR(INDEX(MAP!$L$7:$L$101,MATCH(TRIM(C270),MAP!$I$7:$I$101,0)),"")</f>
        <v>Monthly</v>
      </c>
      <c r="G270" s="1" t="n">
        <f aca="false">IFERROR(MATCH(A270,CONFIRM!$A$5:$A$53,0),0)</f>
        <v>0</v>
      </c>
      <c r="H270" s="48" t="str">
        <f aca="false">STACK!F270</f>
        <v>Research</v>
      </c>
      <c r="I270" s="1" t="str">
        <f aca="false">IF(G270&gt;0,IF(INDEX(CONFIRM!$I$5:$I$53,G270)&lt;&gt;"",INDEX(CONFIRM!$I$5:$I$53,G270),H270),H270)</f>
        <v>Research</v>
      </c>
      <c r="J270" s="1" t="str">
        <f aca="false">IFERROR(INDEX(MAP!$F$7:$F$74,MATCH(TRIM(I270),MAP!$E$7:$E$74,0)),"UNMAPPED")</f>
        <v>Research</v>
      </c>
      <c r="K270" s="1" t="str">
        <f aca="false">IFERROR(INDEX(MAP!$G$7:$G$74,MATCH(TRIM(I270),MAP!$E$7:$E$74,0)),"UNMAPPED")</f>
        <v>7h</v>
      </c>
      <c r="L270" s="49" t="n">
        <f aca="false">STACK!G270</f>
        <v>46022</v>
      </c>
      <c r="M270" s="59" t="n">
        <f aca="false">IF(G270&gt;0,IF(INDEX(CONFIRM!$G$5:$G$53,G270)&lt;&gt;"",INDEX(CONFIRM!$G$5:$G$53,G270),IF(ISNUMBER(L270),L270,IFERROR(DATEVALUE(L270),""))),IF(ISNUMBER(L270),L270,IFERROR(DATEVALUE(L270),"")))</f>
        <v>46022</v>
      </c>
      <c r="N270" s="1" t="str">
        <f aca="false">IF(M270="","Check",IF(AND(M270&gt;=INPUTS!$C$6,M270&lt;=INPUTS!$C$7),"Yes","No"))</f>
        <v>Yes</v>
      </c>
      <c r="O270" s="48" t="str">
        <f aca="false">STACK!H270</f>
        <v>Clinical Research Coord</v>
      </c>
      <c r="P270" s="1" t="str">
        <f aca="false">IF(G270&gt;0,IF(INDEX(CONFIRM!$H$5:$H$53,G270)&lt;&gt;"",INDEX(CONFIRM!$H$5:$H$53,G270),IFERROR(INDEX(MAP!$B$7:$B$156,MATCH(TRIM(O270),MAP!$A$7:$A$156,0)),"UNMAPPED")),IFERROR(INDEX(MAP!$B$7:$B$156,MATCH(TRIM(O270),MAP!$A$7:$A$156,0)),"UNMAPPED"))</f>
        <v>Research Coordinator</v>
      </c>
      <c r="Q270" s="48" t="n">
        <f aca="false">STACK!I270</f>
        <v>158.75</v>
      </c>
      <c r="R270" s="60" t="n">
        <f aca="false">IF(G270&gt;0,IF(INDEX(CONFIRM!$F$5:$F$53,G270)&lt;&gt;"",INDEX(CONFIRM!$F$5:$F$53,G270),IF(ISNUMBER(Q270),Q270,IF(Q270="","",IFERROR(VALUE(TRIM(SUBSTITUTE(SUBSTITUTE(LOWER(Q270),"hrs",""),"hr",""))),"")))),IF(ISNUMBER(Q270),Q270,IF(Q270="","",IFERROR(VALUE(TRIM(SUBSTITUTE(SUBSTITUTE(LOWER(Q270),"hrs",""),"hr",""))),""))))</f>
        <v>158.75</v>
      </c>
      <c r="S270" s="57" t="n">
        <f aca="false">IFERROR(INDEX(RATES!$E$6:$E$28,MATCH(P270,RATES!$A$6:$A$28,0)),0)</f>
        <v>42.405</v>
      </c>
      <c r="T270" s="61" t="n">
        <f aca="false">IF(ISNUMBER(R270),R270,0)*S270</f>
        <v>6731.79375</v>
      </c>
      <c r="U270" s="61" t="n">
        <f aca="false">T270*INDEX(INPUTS!$H$10:$H$14,MATCH(B270,INPUTS!$A$10:$A$14,0))</f>
        <v>1245.38184375</v>
      </c>
      <c r="V270" s="61" t="n">
        <f aca="false">N(STACK!K270)</f>
        <v>7625</v>
      </c>
      <c r="W270" s="61" t="n">
        <f aca="false">T270+U270+V270</f>
        <v>15602.17559375</v>
      </c>
      <c r="X270" s="61" t="n">
        <f aca="false">N(STACK!L270)</f>
        <v>12780</v>
      </c>
      <c r="Y270" s="61" t="n">
        <f aca="false">W270-X270</f>
        <v>2822.17559375</v>
      </c>
      <c r="Z270" s="1" t="n">
        <f aca="false">N(STACK!J270)</f>
        <v>104</v>
      </c>
      <c r="AA270" s="1" t="str">
        <f aca="false">TRIM(IF(D270="UNMAPPED","Program not mapped. ","")&amp;IF(OR(K270="UNMAPPED",K270="UNASSIGNED"),"Category needs review. ","")&amp;IF(P270="UNMAPPED","Title not mapped. ","")&amp;IF(AND(P270&lt;&gt;"No staff time",R270=""),"Missing hours. ","")&amp;IF(M270="","Date not readable. ","")&amp;IF(N270="No","Outside fiscal year. ","")&amp;IF(AND(F270="Event",ISNUMBER(R270)),IF(R270&gt;12,"Event hours look high. ",""),"")&amp;IF(G270&gt;0,"See CONFIRM sheet.",""))</f>
        <v/>
      </c>
      <c r="AB270" s="1" t="n">
        <f aca="false">IF(N270="No",0,IF(REVIEW!O270=0,0,IF(G270&gt;0,IF(INDEX(CONFIRM!$J$5:$J$53,G270)&lt;&gt;"",INDEX(CONFIRM!$J$5:$J$53,G270),1),1)))</f>
        <v>1</v>
      </c>
      <c r="AC270" s="1" t="n">
        <f aca="false">IF(AB270=1,IF(COUNTIFS($B$5:B270,B270,$D$5:D270,D270,$AB$5:AB270,1)=1,1,0),0)</f>
        <v>0</v>
      </c>
    </row>
    <row r="271" customFormat="false" ht="15" hidden="false" customHeight="false" outlineLevel="0" collapsed="false">
      <c r="A271" s="48" t="str">
        <f aca="false">STACK!A271</f>
        <v>KVMC-0267</v>
      </c>
      <c r="B271" s="48" t="str">
        <f aca="false">STACK!B271</f>
        <v>KVMC</v>
      </c>
      <c r="C271" s="48" t="str">
        <f aca="false">STACK!E271</f>
        <v>Naloxone Training and Distribution</v>
      </c>
      <c r="D271" s="1" t="str">
        <f aca="false">IFERROR(INDEX(MAP!$J$7:$J$101,MATCH(TRIM(C271),MAP!$I$7:$I$101,0)),"UNMAPPED")</f>
        <v>Naloxone Training and Distribution</v>
      </c>
      <c r="E271" s="1" t="str">
        <f aca="false">IFERROR(INDEX(MAP!$K$7:$K$101,MATCH(TRIM(C271),MAP!$I$7:$I$101,0)),"")</f>
        <v>Behavioral health</v>
      </c>
      <c r="F271" s="1" t="str">
        <f aca="false">IFERROR(INDEX(MAP!$L$7:$L$101,MATCH(TRIM(C271),MAP!$I$7:$I$101,0)),"")</f>
        <v>Event</v>
      </c>
      <c r="G271" s="1" t="n">
        <f aca="false">IFERROR(MATCH(A271,CONFIRM!$A$5:$A$53,0),0)</f>
        <v>0</v>
      </c>
      <c r="H271" s="48" t="str">
        <f aca="false">STACK!F271</f>
        <v>Community Health Education</v>
      </c>
      <c r="I271" s="1" t="str">
        <f aca="false">IF(G271&gt;0,IF(INDEX(CONFIRM!$I$5:$I$53,G271)&lt;&gt;"",INDEX(CONFIRM!$I$5:$I$53,G271),H271),H271)</f>
        <v>Community Health Education</v>
      </c>
      <c r="J271" s="1" t="str">
        <f aca="false">IFERROR(INDEX(MAP!$F$7:$F$74,MATCH(TRIM(I271),MAP!$E$7:$E$74,0)),"UNMAPPED")</f>
        <v>Community health education</v>
      </c>
      <c r="K271" s="1" t="str">
        <f aca="false">IFERROR(INDEX(MAP!$G$7:$G$74,MATCH(TRIM(I271),MAP!$E$7:$E$74,0)),"UNMAPPED")</f>
        <v>7e</v>
      </c>
      <c r="L271" s="49" t="n">
        <f aca="false">STACK!G271</f>
        <v>46024</v>
      </c>
      <c r="M271" s="59" t="n">
        <f aca="false">IF(G271&gt;0,IF(INDEX(CONFIRM!$G$5:$G$53,G271)&lt;&gt;"",INDEX(CONFIRM!$G$5:$G$53,G271),IF(ISNUMBER(L271),L271,IFERROR(DATEVALUE(L271),""))),IF(ISNUMBER(L271),L271,IFERROR(DATEVALUE(L271),"")))</f>
        <v>46024</v>
      </c>
      <c r="N271" s="1" t="str">
        <f aca="false">IF(M271="","Check",IF(AND(M271&gt;=INPUTS!$C$6,M271&lt;=INPUTS!$C$7),"Yes","No"))</f>
        <v>Yes</v>
      </c>
      <c r="O271" s="48" t="str">
        <f aca="false">STACK!H271</f>
        <v>Wellness Educator</v>
      </c>
      <c r="P271" s="1" t="str">
        <f aca="false">IF(G271&gt;0,IF(INDEX(CONFIRM!$H$5:$H$53,G271)&lt;&gt;"",INDEX(CONFIRM!$H$5:$H$53,G271),IFERROR(INDEX(MAP!$B$7:$B$156,MATCH(TRIM(O271),MAP!$A$7:$A$156,0)),"UNMAPPED")),IFERROR(INDEX(MAP!$B$7:$B$156,MATCH(TRIM(O271),MAP!$A$7:$A$156,0)),"UNMAPPED"))</f>
        <v>Health Educator</v>
      </c>
      <c r="Q271" s="48" t="n">
        <f aca="false">STACK!I271</f>
        <v>3</v>
      </c>
      <c r="R271" s="60" t="n">
        <f aca="false">IF(G271&gt;0,IF(INDEX(CONFIRM!$F$5:$F$53,G271)&lt;&gt;"",INDEX(CONFIRM!$F$5:$F$53,G271),IF(ISNUMBER(Q271),Q271,IF(Q271="","",IFERROR(VALUE(TRIM(SUBSTITUTE(SUBSTITUTE(LOWER(Q271),"hrs",""),"hr",""))),"")))),IF(ISNUMBER(Q271),Q271,IF(Q271="","",IFERROR(VALUE(TRIM(SUBSTITUTE(SUBSTITUTE(LOWER(Q271),"hrs",""),"hr",""))),""))))</f>
        <v>3</v>
      </c>
      <c r="S271" s="57" t="n">
        <f aca="false">IFERROR(INDEX(RATES!$E$6:$E$28,MATCH(P271,RATES!$A$6:$A$28,0)),0)</f>
        <v>37.265</v>
      </c>
      <c r="T271" s="61" t="n">
        <f aca="false">IF(ISNUMBER(R271),R271,0)*S271</f>
        <v>111.795</v>
      </c>
      <c r="U271" s="61" t="n">
        <f aca="false">T271*INDEX(INPUTS!$H$10:$H$14,MATCH(B271,INPUTS!$A$10:$A$14,0))</f>
        <v>20.682075</v>
      </c>
      <c r="V271" s="61" t="n">
        <f aca="false">N(STACK!K271)</f>
        <v>0</v>
      </c>
      <c r="W271" s="61" t="n">
        <f aca="false">T271+U271+V271</f>
        <v>132.477075</v>
      </c>
      <c r="X271" s="61" t="n">
        <f aca="false">N(STACK!L271)</f>
        <v>0</v>
      </c>
      <c r="Y271" s="61" t="n">
        <f aca="false">W271-X271</f>
        <v>132.477075</v>
      </c>
      <c r="Z271" s="1" t="n">
        <f aca="false">N(STACK!J271)</f>
        <v>0</v>
      </c>
      <c r="AA271" s="1" t="str">
        <f aca="false">TRIM(IF(D271="UNMAPPED","Program not mapped. ","")&amp;IF(OR(K271="UNMAPPED",K271="UNASSIGNED"),"Category needs review. ","")&amp;IF(P271="UNMAPPED","Title not mapped. ","")&amp;IF(AND(P271&lt;&gt;"No staff time",R271=""),"Missing hours. ","")&amp;IF(M271="","Date not readable. ","")&amp;IF(N271="No","Outside fiscal year. ","")&amp;IF(AND(F271="Event",ISNUMBER(R271)),IF(R271&gt;12,"Event hours look high. ",""),"")&amp;IF(G271&gt;0,"See CONFIRM sheet.",""))</f>
        <v/>
      </c>
      <c r="AB271" s="1" t="n">
        <f aca="false">IF(N271="No",0,IF(REVIEW!O271=0,0,IF(G271&gt;0,IF(INDEX(CONFIRM!$J$5:$J$53,G271)&lt;&gt;"",INDEX(CONFIRM!$J$5:$J$53,G271),1),1)))</f>
        <v>1</v>
      </c>
      <c r="AC271" s="1" t="n">
        <f aca="false">IF(AB271=1,IF(COUNTIFS($B$5:B271,B271,$D$5:D271,D271,$AB$5:AB271,1)=1,1,0),0)</f>
        <v>0</v>
      </c>
    </row>
    <row r="272" customFormat="false" ht="15" hidden="false" customHeight="false" outlineLevel="0" collapsed="false">
      <c r="A272" s="48" t="str">
        <f aca="false">STACK!A272</f>
        <v>KVMC-0268</v>
      </c>
      <c r="B272" s="48" t="str">
        <f aca="false">STACK!B272</f>
        <v>KVMC</v>
      </c>
      <c r="C272" s="48" t="str">
        <f aca="false">STACK!E272</f>
        <v>Naloxone Training and Distribution</v>
      </c>
      <c r="D272" s="1" t="str">
        <f aca="false">IFERROR(INDEX(MAP!$J$7:$J$101,MATCH(TRIM(C272),MAP!$I$7:$I$101,0)),"UNMAPPED")</f>
        <v>Naloxone Training and Distribution</v>
      </c>
      <c r="E272" s="1" t="str">
        <f aca="false">IFERROR(INDEX(MAP!$K$7:$K$101,MATCH(TRIM(C272),MAP!$I$7:$I$101,0)),"")</f>
        <v>Behavioral health</v>
      </c>
      <c r="F272" s="1" t="str">
        <f aca="false">IFERROR(INDEX(MAP!$L$7:$L$101,MATCH(TRIM(C272),MAP!$I$7:$I$101,0)),"")</f>
        <v>Event</v>
      </c>
      <c r="G272" s="1" t="n">
        <f aca="false">IFERROR(MATCH(A272,CONFIRM!$A$5:$A$53,0),0)</f>
        <v>0</v>
      </c>
      <c r="H272" s="48" t="str">
        <f aca="false">STACK!F272</f>
        <v>Community Health Education</v>
      </c>
      <c r="I272" s="1" t="str">
        <f aca="false">IF(G272&gt;0,IF(INDEX(CONFIRM!$I$5:$I$53,G272)&lt;&gt;"",INDEX(CONFIRM!$I$5:$I$53,G272),H272),H272)</f>
        <v>Community Health Education</v>
      </c>
      <c r="J272" s="1" t="str">
        <f aca="false">IFERROR(INDEX(MAP!$F$7:$F$74,MATCH(TRIM(I272),MAP!$E$7:$E$74,0)),"UNMAPPED")</f>
        <v>Community health education</v>
      </c>
      <c r="K272" s="1" t="str">
        <f aca="false">IFERROR(INDEX(MAP!$G$7:$G$74,MATCH(TRIM(I272),MAP!$E$7:$E$74,0)),"UNMAPPED")</f>
        <v>7e</v>
      </c>
      <c r="L272" s="49" t="n">
        <f aca="false">STACK!G272</f>
        <v>46024</v>
      </c>
      <c r="M272" s="59" t="n">
        <f aca="false">IF(G272&gt;0,IF(INDEX(CONFIRM!$G$5:$G$53,G272)&lt;&gt;"",INDEX(CONFIRM!$G$5:$G$53,G272),IF(ISNUMBER(L272),L272,IFERROR(DATEVALUE(L272),""))),IF(ISNUMBER(L272),L272,IFERROR(DATEVALUE(L272),"")))</f>
        <v>46024</v>
      </c>
      <c r="N272" s="1" t="str">
        <f aca="false">IF(M272="","Check",IF(AND(M272&gt;=INPUTS!$C$6,M272&lt;=INPUTS!$C$7),"Yes","No"))</f>
        <v>Yes</v>
      </c>
      <c r="O272" s="48" t="str">
        <f aca="false">STACK!H272</f>
        <v>PharmD</v>
      </c>
      <c r="P272" s="1" t="str">
        <f aca="false">IF(G272&gt;0,IF(INDEX(CONFIRM!$H$5:$H$53,G272)&lt;&gt;"",INDEX(CONFIRM!$H$5:$H$53,G272),IFERROR(INDEX(MAP!$B$7:$B$156,MATCH(TRIM(O272),MAP!$A$7:$A$156,0)),"UNMAPPED")),IFERROR(INDEX(MAP!$B$7:$B$156,MATCH(TRIM(O272),MAP!$A$7:$A$156,0)),"UNMAPPED"))</f>
        <v>Pharmacist</v>
      </c>
      <c r="Q272" s="48" t="n">
        <f aca="false">STACK!I272</f>
        <v>2.5</v>
      </c>
      <c r="R272" s="60" t="n">
        <f aca="false">IF(G272&gt;0,IF(INDEX(CONFIRM!$F$5:$F$53,G272)&lt;&gt;"",INDEX(CONFIRM!$F$5:$F$53,G272),IF(ISNUMBER(Q272),Q272,IF(Q272="","",IFERROR(VALUE(TRIM(SUBSTITUTE(SUBSTITUTE(LOWER(Q272),"hrs",""),"hr",""))),"")))),IF(ISNUMBER(Q272),Q272,IF(Q272="","",IFERROR(VALUE(TRIM(SUBSTITUTE(SUBSTITUTE(LOWER(Q272),"hrs",""),"hr",""))),""))))</f>
        <v>2.5</v>
      </c>
      <c r="S272" s="57" t="n">
        <f aca="false">IFERROR(INDEX(RATES!$E$6:$E$28,MATCH(P272,RATES!$A$6:$A$28,0)),0)</f>
        <v>84.81</v>
      </c>
      <c r="T272" s="61" t="n">
        <f aca="false">IF(ISNUMBER(R272),R272,0)*S272</f>
        <v>212.025</v>
      </c>
      <c r="U272" s="61" t="n">
        <f aca="false">T272*INDEX(INPUTS!$H$10:$H$14,MATCH(B272,INPUTS!$A$10:$A$14,0))</f>
        <v>39.224625</v>
      </c>
      <c r="V272" s="61" t="n">
        <f aca="false">N(STACK!K272)</f>
        <v>1105</v>
      </c>
      <c r="W272" s="61" t="n">
        <f aca="false">T272+U272+V272</f>
        <v>1356.249625</v>
      </c>
      <c r="X272" s="61" t="n">
        <f aca="false">N(STACK!L272)</f>
        <v>1590</v>
      </c>
      <c r="Y272" s="61" t="n">
        <f aca="false">W272-X272</f>
        <v>-233.750375</v>
      </c>
      <c r="Z272" s="1" t="n">
        <f aca="false">N(STACK!J272)</f>
        <v>35</v>
      </c>
      <c r="AA272" s="1" t="str">
        <f aca="false">TRIM(IF(D272="UNMAPPED","Program not mapped. ","")&amp;IF(OR(K272="UNMAPPED",K272="UNASSIGNED"),"Category needs review. ","")&amp;IF(P272="UNMAPPED","Title not mapped. ","")&amp;IF(AND(P272&lt;&gt;"No staff time",R272=""),"Missing hours. ","")&amp;IF(M272="","Date not readable. ","")&amp;IF(N272="No","Outside fiscal year. ","")&amp;IF(AND(F272="Event",ISNUMBER(R272)),IF(R272&gt;12,"Event hours look high. ",""),"")&amp;IF(G272&gt;0,"See CONFIRM sheet.",""))</f>
        <v/>
      </c>
      <c r="AB272" s="1" t="n">
        <f aca="false">IF(N272="No",0,IF(REVIEW!O272=0,0,IF(G272&gt;0,IF(INDEX(CONFIRM!$J$5:$J$53,G272)&lt;&gt;"",INDEX(CONFIRM!$J$5:$J$53,G272),1),1)))</f>
        <v>1</v>
      </c>
      <c r="AC272" s="1" t="n">
        <f aca="false">IF(AB272=1,IF(COUNTIFS($B$5:B272,B272,$D$5:D272,D272,$AB$5:AB272,1)=1,1,0),0)</f>
        <v>0</v>
      </c>
    </row>
    <row r="273" customFormat="false" ht="15" hidden="false" customHeight="false" outlineLevel="0" collapsed="false">
      <c r="A273" s="48" t="str">
        <f aca="false">STACK!A273</f>
        <v>KVMC-0269</v>
      </c>
      <c r="B273" s="48" t="str">
        <f aca="false">STACK!B273</f>
        <v>KVMC</v>
      </c>
      <c r="C273" s="48" t="str">
        <f aca="false">STACK!E273</f>
        <v>Diabetes Prevention Classes</v>
      </c>
      <c r="D273" s="1" t="str">
        <f aca="false">IFERROR(INDEX(MAP!$J$7:$J$101,MATCH(TRIM(C273),MAP!$I$7:$I$101,0)),"UNMAPPED")</f>
        <v>Diabetes Prevention Classes</v>
      </c>
      <c r="E273" s="1" t="str">
        <f aca="false">IFERROR(INDEX(MAP!$K$7:$K$101,MATCH(TRIM(C273),MAP!$I$7:$I$101,0)),"")</f>
        <v>Chronic disease prevention</v>
      </c>
      <c r="F273" s="1" t="str">
        <f aca="false">IFERROR(INDEX(MAP!$L$7:$L$101,MATCH(TRIM(C273),MAP!$I$7:$I$101,0)),"")</f>
        <v>Event</v>
      </c>
      <c r="G273" s="1" t="n">
        <f aca="false">IFERROR(MATCH(A273,CONFIRM!$A$5:$A$53,0),0)</f>
        <v>0</v>
      </c>
      <c r="H273" s="48" t="str">
        <f aca="false">STACK!F273</f>
        <v>Community Health Education</v>
      </c>
      <c r="I273" s="1" t="str">
        <f aca="false">IF(G273&gt;0,IF(INDEX(CONFIRM!$I$5:$I$53,G273)&lt;&gt;"",INDEX(CONFIRM!$I$5:$I$53,G273),H273),H273)</f>
        <v>Community Health Education</v>
      </c>
      <c r="J273" s="1" t="str">
        <f aca="false">IFERROR(INDEX(MAP!$F$7:$F$74,MATCH(TRIM(I273),MAP!$E$7:$E$74,0)),"UNMAPPED")</f>
        <v>Community health education</v>
      </c>
      <c r="K273" s="1" t="str">
        <f aca="false">IFERROR(INDEX(MAP!$G$7:$G$74,MATCH(TRIM(I273),MAP!$E$7:$E$74,0)),"UNMAPPED")</f>
        <v>7e</v>
      </c>
      <c r="L273" s="49" t="n">
        <f aca="false">STACK!G273</f>
        <v>46025</v>
      </c>
      <c r="M273" s="59" t="n">
        <f aca="false">IF(G273&gt;0,IF(INDEX(CONFIRM!$G$5:$G$53,G273)&lt;&gt;"",INDEX(CONFIRM!$G$5:$G$53,G273),IF(ISNUMBER(L273),L273,IFERROR(DATEVALUE(L273),""))),IF(ISNUMBER(L273),L273,IFERROR(DATEVALUE(L273),"")))</f>
        <v>46025</v>
      </c>
      <c r="N273" s="1" t="str">
        <f aca="false">IF(M273="","Check",IF(AND(M273&gt;=INPUTS!$C$6,M273&lt;=INPUTS!$C$7),"Yes","No"))</f>
        <v>Yes</v>
      </c>
      <c r="O273" s="48" t="str">
        <f aca="false">STACK!H273</f>
        <v>Hlth Educator</v>
      </c>
      <c r="P273" s="1" t="str">
        <f aca="false">IF(G273&gt;0,IF(INDEX(CONFIRM!$H$5:$H$53,G273)&lt;&gt;"",INDEX(CONFIRM!$H$5:$H$53,G273),IFERROR(INDEX(MAP!$B$7:$B$156,MATCH(TRIM(O273),MAP!$A$7:$A$156,0)),"UNMAPPED")),IFERROR(INDEX(MAP!$B$7:$B$156,MATCH(TRIM(O273),MAP!$A$7:$A$156,0)),"UNMAPPED"))</f>
        <v>Health Educator</v>
      </c>
      <c r="Q273" s="48" t="n">
        <f aca="false">STACK!I273</f>
        <v>2.25</v>
      </c>
      <c r="R273" s="60" t="n">
        <f aca="false">IF(G273&gt;0,IF(INDEX(CONFIRM!$F$5:$F$53,G273)&lt;&gt;"",INDEX(CONFIRM!$F$5:$F$53,G273),IF(ISNUMBER(Q273),Q273,IF(Q273="","",IFERROR(VALUE(TRIM(SUBSTITUTE(SUBSTITUTE(LOWER(Q273),"hrs",""),"hr",""))),"")))),IF(ISNUMBER(Q273),Q273,IF(Q273="","",IFERROR(VALUE(TRIM(SUBSTITUTE(SUBSTITUTE(LOWER(Q273),"hrs",""),"hr",""))),""))))</f>
        <v>2.25</v>
      </c>
      <c r="S273" s="57" t="n">
        <f aca="false">IFERROR(INDEX(RATES!$E$6:$E$28,MATCH(P273,RATES!$A$6:$A$28,0)),0)</f>
        <v>37.265</v>
      </c>
      <c r="T273" s="61" t="n">
        <f aca="false">IF(ISNUMBER(R273),R273,0)*S273</f>
        <v>83.84625</v>
      </c>
      <c r="U273" s="61" t="n">
        <f aca="false">T273*INDEX(INPUTS!$H$10:$H$14,MATCH(B273,INPUTS!$A$10:$A$14,0))</f>
        <v>15.51155625</v>
      </c>
      <c r="V273" s="61" t="n">
        <f aca="false">N(STACK!K273)</f>
        <v>150</v>
      </c>
      <c r="W273" s="61" t="n">
        <f aca="false">T273+U273+V273</f>
        <v>249.35780625</v>
      </c>
      <c r="X273" s="61" t="n">
        <f aca="false">N(STACK!L273)</f>
        <v>0</v>
      </c>
      <c r="Y273" s="61" t="n">
        <f aca="false">W273-X273</f>
        <v>249.35780625</v>
      </c>
      <c r="Z273" s="1" t="n">
        <f aca="false">N(STACK!J273)</f>
        <v>15</v>
      </c>
      <c r="AA273" s="1" t="str">
        <f aca="false">TRIM(IF(D273="UNMAPPED","Program not mapped. ","")&amp;IF(OR(K273="UNMAPPED",K273="UNASSIGNED"),"Category needs review. ","")&amp;IF(P273="UNMAPPED","Title not mapped. ","")&amp;IF(AND(P273&lt;&gt;"No staff time",R273=""),"Missing hours. ","")&amp;IF(M273="","Date not readable. ","")&amp;IF(N273="No","Outside fiscal year. ","")&amp;IF(AND(F273="Event",ISNUMBER(R273)),IF(R273&gt;12,"Event hours look high. ",""),"")&amp;IF(G273&gt;0,"See CONFIRM sheet.",""))</f>
        <v/>
      </c>
      <c r="AB273" s="1" t="n">
        <f aca="false">IF(N273="No",0,IF(REVIEW!O273=0,0,IF(G273&gt;0,IF(INDEX(CONFIRM!$J$5:$J$53,G273)&lt;&gt;"",INDEX(CONFIRM!$J$5:$J$53,G273),1),1)))</f>
        <v>1</v>
      </c>
      <c r="AC273" s="1" t="n">
        <f aca="false">IF(AB273=1,IF(COUNTIFS($B$5:B273,B273,$D$5:D273,D273,$AB$5:AB273,1)=1,1,0),0)</f>
        <v>0</v>
      </c>
    </row>
    <row r="274" customFormat="false" ht="15" hidden="false" customHeight="false" outlineLevel="0" collapsed="false">
      <c r="A274" s="48" t="str">
        <f aca="false">STACK!A274</f>
        <v>KVMC-0270</v>
      </c>
      <c r="B274" s="48" t="str">
        <f aca="false">STACK!B274</f>
        <v>KVMC</v>
      </c>
      <c r="C274" s="48" t="str">
        <f aca="false">STACK!E274</f>
        <v>Diabetes Prevention Classes</v>
      </c>
      <c r="D274" s="1" t="str">
        <f aca="false">IFERROR(INDEX(MAP!$J$7:$J$101,MATCH(TRIM(C274),MAP!$I$7:$I$101,0)),"UNMAPPED")</f>
        <v>Diabetes Prevention Classes</v>
      </c>
      <c r="E274" s="1" t="str">
        <f aca="false">IFERROR(INDEX(MAP!$K$7:$K$101,MATCH(TRIM(C274),MAP!$I$7:$I$101,0)),"")</f>
        <v>Chronic disease prevention</v>
      </c>
      <c r="F274" s="1" t="str">
        <f aca="false">IFERROR(INDEX(MAP!$L$7:$L$101,MATCH(TRIM(C274),MAP!$I$7:$I$101,0)),"")</f>
        <v>Event</v>
      </c>
      <c r="G274" s="1" t="n">
        <f aca="false">IFERROR(MATCH(A274,CONFIRM!$A$5:$A$53,0),0)</f>
        <v>0</v>
      </c>
      <c r="H274" s="48" t="str">
        <f aca="false">STACK!F274</f>
        <v>Community Health Education</v>
      </c>
      <c r="I274" s="1" t="str">
        <f aca="false">IF(G274&gt;0,IF(INDEX(CONFIRM!$I$5:$I$53,G274)&lt;&gt;"",INDEX(CONFIRM!$I$5:$I$53,G274),H274),H274)</f>
        <v>Community Health Education</v>
      </c>
      <c r="J274" s="1" t="str">
        <f aca="false">IFERROR(INDEX(MAP!$F$7:$F$74,MATCH(TRIM(I274),MAP!$E$7:$E$74,0)),"UNMAPPED")</f>
        <v>Community health education</v>
      </c>
      <c r="K274" s="1" t="str">
        <f aca="false">IFERROR(INDEX(MAP!$G$7:$G$74,MATCH(TRIM(I274),MAP!$E$7:$E$74,0)),"UNMAPPED")</f>
        <v>7e</v>
      </c>
      <c r="L274" s="49" t="n">
        <f aca="false">STACK!G274</f>
        <v>46025</v>
      </c>
      <c r="M274" s="59" t="n">
        <f aca="false">IF(G274&gt;0,IF(INDEX(CONFIRM!$G$5:$G$53,G274)&lt;&gt;"",INDEX(CONFIRM!$G$5:$G$53,G274),IF(ISNUMBER(L274),L274,IFERROR(DATEVALUE(L274),""))),IF(ISNUMBER(L274),L274,IFERROR(DATEVALUE(L274),"")))</f>
        <v>46025</v>
      </c>
      <c r="N274" s="1" t="str">
        <f aca="false">IF(M274="","Check",IF(AND(M274&gt;=INPUTS!$C$6,M274&lt;=INPUTS!$C$7),"Yes","No"))</f>
        <v>Yes</v>
      </c>
      <c r="O274" s="48" t="str">
        <f aca="false">STACK!H274</f>
        <v>Nutritionist</v>
      </c>
      <c r="P274" s="1" t="str">
        <f aca="false">IF(G274&gt;0,IF(INDEX(CONFIRM!$H$5:$H$53,G274)&lt;&gt;"",INDEX(CONFIRM!$H$5:$H$53,G274),IFERROR(INDEX(MAP!$B$7:$B$156,MATCH(TRIM(O274),MAP!$A$7:$A$156,0)),"UNMAPPED")),IFERROR(INDEX(MAP!$B$7:$B$156,MATCH(TRIM(O274),MAP!$A$7:$A$156,0)),"UNMAPPED"))</f>
        <v>Registered Dietitian</v>
      </c>
      <c r="Q274" s="48" t="n">
        <f aca="false">STACK!I274</f>
        <v>1.5</v>
      </c>
      <c r="R274" s="60" t="n">
        <f aca="false">IF(G274&gt;0,IF(INDEX(CONFIRM!$F$5:$F$53,G274)&lt;&gt;"",INDEX(CONFIRM!$F$5:$F$53,G274),IF(ISNUMBER(Q274),Q274,IF(Q274="","",IFERROR(VALUE(TRIM(SUBSTITUTE(SUBSTITUTE(LOWER(Q274),"hrs",""),"hr",""))),"")))),IF(ISNUMBER(Q274),Q274,IF(Q274="","",IFERROR(VALUE(TRIM(SUBSTITUTE(SUBSTITUTE(LOWER(Q274),"hrs",""),"hr",""))),""))))</f>
        <v>1.5</v>
      </c>
      <c r="S274" s="57" t="n">
        <f aca="false">IFERROR(INDEX(RATES!$E$6:$E$28,MATCH(P274,RATES!$A$6:$A$28,0)),0)</f>
        <v>46.9025</v>
      </c>
      <c r="T274" s="61" t="n">
        <f aca="false">IF(ISNUMBER(R274),R274,0)*S274</f>
        <v>70.35375</v>
      </c>
      <c r="U274" s="61" t="n">
        <f aca="false">T274*INDEX(INPUTS!$H$10:$H$14,MATCH(B274,INPUTS!$A$10:$A$14,0))</f>
        <v>13.01544375</v>
      </c>
      <c r="V274" s="61" t="n">
        <f aca="false">N(STACK!K274)</f>
        <v>0</v>
      </c>
      <c r="W274" s="61" t="n">
        <f aca="false">T274+U274+V274</f>
        <v>83.36919375</v>
      </c>
      <c r="X274" s="61" t="n">
        <f aca="false">N(STACK!L274)</f>
        <v>0</v>
      </c>
      <c r="Y274" s="61" t="n">
        <f aca="false">W274-X274</f>
        <v>83.36919375</v>
      </c>
      <c r="Z274" s="1" t="n">
        <f aca="false">N(STACK!J274)</f>
        <v>0</v>
      </c>
      <c r="AA274" s="1" t="str">
        <f aca="false">TRIM(IF(D274="UNMAPPED","Program not mapped. ","")&amp;IF(OR(K274="UNMAPPED",K274="UNASSIGNED"),"Category needs review. ","")&amp;IF(P274="UNMAPPED","Title not mapped. ","")&amp;IF(AND(P274&lt;&gt;"No staff time",R274=""),"Missing hours. ","")&amp;IF(M274="","Date not readable. ","")&amp;IF(N274="No","Outside fiscal year. ","")&amp;IF(AND(F274="Event",ISNUMBER(R274)),IF(R274&gt;12,"Event hours look high. ",""),"")&amp;IF(G274&gt;0,"See CONFIRM sheet.",""))</f>
        <v/>
      </c>
      <c r="AB274" s="1" t="n">
        <f aca="false">IF(N274="No",0,IF(REVIEW!O274=0,0,IF(G274&gt;0,IF(INDEX(CONFIRM!$J$5:$J$53,G274)&lt;&gt;"",INDEX(CONFIRM!$J$5:$J$53,G274),1),1)))</f>
        <v>1</v>
      </c>
      <c r="AC274" s="1" t="n">
        <f aca="false">IF(AB274=1,IF(COUNTIFS($B$5:B274,B274,$D$5:D274,D274,$AB$5:AB274,1)=1,1,0),0)</f>
        <v>0</v>
      </c>
    </row>
    <row r="275" customFormat="false" ht="15" hidden="false" customHeight="false" outlineLevel="0" collapsed="false">
      <c r="A275" s="48" t="str">
        <f aca="false">STACK!A275</f>
        <v>KVMC-0271</v>
      </c>
      <c r="B275" s="48" t="str">
        <f aca="false">STACK!B275</f>
        <v>KVMC</v>
      </c>
      <c r="C275" s="48" t="str">
        <f aca="false">STACK!E275</f>
        <v>Diabetes Prevention Classes</v>
      </c>
      <c r="D275" s="1" t="str">
        <f aca="false">IFERROR(INDEX(MAP!$J$7:$J$101,MATCH(TRIM(C275),MAP!$I$7:$I$101,0)),"UNMAPPED")</f>
        <v>Diabetes Prevention Classes</v>
      </c>
      <c r="E275" s="1" t="str">
        <f aca="false">IFERROR(INDEX(MAP!$K$7:$K$101,MATCH(TRIM(C275),MAP!$I$7:$I$101,0)),"")</f>
        <v>Chronic disease prevention</v>
      </c>
      <c r="F275" s="1" t="str">
        <f aca="false">IFERROR(INDEX(MAP!$L$7:$L$101,MATCH(TRIM(C275),MAP!$I$7:$I$101,0)),"")</f>
        <v>Event</v>
      </c>
      <c r="G275" s="1" t="n">
        <f aca="false">IFERROR(MATCH(A275,CONFIRM!$A$5:$A$53,0),0)</f>
        <v>0</v>
      </c>
      <c r="H275" s="48" t="str">
        <f aca="false">STACK!F275</f>
        <v>Community Health Education</v>
      </c>
      <c r="I275" s="1" t="str">
        <f aca="false">IF(G275&gt;0,IF(INDEX(CONFIRM!$I$5:$I$53,G275)&lt;&gt;"",INDEX(CONFIRM!$I$5:$I$53,G275),H275),H275)</f>
        <v>Community Health Education</v>
      </c>
      <c r="J275" s="1" t="str">
        <f aca="false">IFERROR(INDEX(MAP!$F$7:$F$74,MATCH(TRIM(I275),MAP!$E$7:$E$74,0)),"UNMAPPED")</f>
        <v>Community health education</v>
      </c>
      <c r="K275" s="1" t="str">
        <f aca="false">IFERROR(INDEX(MAP!$G$7:$G$74,MATCH(TRIM(I275),MAP!$E$7:$E$74,0)),"UNMAPPED")</f>
        <v>7e</v>
      </c>
      <c r="L275" s="49" t="n">
        <f aca="false">STACK!G275</f>
        <v>46031</v>
      </c>
      <c r="M275" s="59" t="n">
        <f aca="false">IF(G275&gt;0,IF(INDEX(CONFIRM!$G$5:$G$53,G275)&lt;&gt;"",INDEX(CONFIRM!$G$5:$G$53,G275),IF(ISNUMBER(L275),L275,IFERROR(DATEVALUE(L275),""))),IF(ISNUMBER(L275),L275,IFERROR(DATEVALUE(L275),"")))</f>
        <v>46031</v>
      </c>
      <c r="N275" s="1" t="str">
        <f aca="false">IF(M275="","Check",IF(AND(M275&gt;=INPUTS!$C$6,M275&lt;=INPUTS!$C$7),"Yes","No"))</f>
        <v>Yes</v>
      </c>
      <c r="O275" s="48" t="str">
        <f aca="false">STACK!H275</f>
        <v>Health Educator</v>
      </c>
      <c r="P275" s="1" t="str">
        <f aca="false">IF(G275&gt;0,IF(INDEX(CONFIRM!$H$5:$H$53,G275)&lt;&gt;"",INDEX(CONFIRM!$H$5:$H$53,G275),IFERROR(INDEX(MAP!$B$7:$B$156,MATCH(TRIM(O275),MAP!$A$7:$A$156,0)),"UNMAPPED")),IFERROR(INDEX(MAP!$B$7:$B$156,MATCH(TRIM(O275),MAP!$A$7:$A$156,0)),"UNMAPPED"))</f>
        <v>Health Educator</v>
      </c>
      <c r="Q275" s="48" t="n">
        <f aca="false">STACK!I275</f>
        <v>2.5</v>
      </c>
      <c r="R275" s="60" t="n">
        <f aca="false">IF(G275&gt;0,IF(INDEX(CONFIRM!$F$5:$F$53,G275)&lt;&gt;"",INDEX(CONFIRM!$F$5:$F$53,G275),IF(ISNUMBER(Q275),Q275,IF(Q275="","",IFERROR(VALUE(TRIM(SUBSTITUTE(SUBSTITUTE(LOWER(Q275),"hrs",""),"hr",""))),"")))),IF(ISNUMBER(Q275),Q275,IF(Q275="","",IFERROR(VALUE(TRIM(SUBSTITUTE(SUBSTITUTE(LOWER(Q275),"hrs",""),"hr",""))),""))))</f>
        <v>2.5</v>
      </c>
      <c r="S275" s="57" t="n">
        <f aca="false">IFERROR(INDEX(RATES!$E$6:$E$28,MATCH(P275,RATES!$A$6:$A$28,0)),0)</f>
        <v>37.265</v>
      </c>
      <c r="T275" s="61" t="n">
        <f aca="false">IF(ISNUMBER(R275),R275,0)*S275</f>
        <v>93.1625</v>
      </c>
      <c r="U275" s="61" t="n">
        <f aca="false">T275*INDEX(INPUTS!$H$10:$H$14,MATCH(B275,INPUTS!$A$10:$A$14,0))</f>
        <v>17.2350625</v>
      </c>
      <c r="V275" s="61" t="n">
        <f aca="false">N(STACK!K275)</f>
        <v>75</v>
      </c>
      <c r="W275" s="61" t="n">
        <f aca="false">T275+U275+V275</f>
        <v>185.3975625</v>
      </c>
      <c r="X275" s="61" t="n">
        <f aca="false">N(STACK!L275)</f>
        <v>0</v>
      </c>
      <c r="Y275" s="61" t="n">
        <f aca="false">W275-X275</f>
        <v>185.3975625</v>
      </c>
      <c r="Z275" s="1" t="n">
        <f aca="false">N(STACK!J275)</f>
        <v>20</v>
      </c>
      <c r="AA275" s="1" t="str">
        <f aca="false">TRIM(IF(D275="UNMAPPED","Program not mapped. ","")&amp;IF(OR(K275="UNMAPPED",K275="UNASSIGNED"),"Category needs review. ","")&amp;IF(P275="UNMAPPED","Title not mapped. ","")&amp;IF(AND(P275&lt;&gt;"No staff time",R275=""),"Missing hours. ","")&amp;IF(M275="","Date not readable. ","")&amp;IF(N275="No","Outside fiscal year. ","")&amp;IF(AND(F275="Event",ISNUMBER(R275)),IF(R275&gt;12,"Event hours look high. ",""),"")&amp;IF(G275&gt;0,"See CONFIRM sheet.",""))</f>
        <v/>
      </c>
      <c r="AB275" s="1" t="n">
        <f aca="false">IF(N275="No",0,IF(REVIEW!O275=0,0,IF(G275&gt;0,IF(INDEX(CONFIRM!$J$5:$J$53,G275)&lt;&gt;"",INDEX(CONFIRM!$J$5:$J$53,G275),1),1)))</f>
        <v>1</v>
      </c>
      <c r="AC275" s="1" t="n">
        <f aca="false">IF(AB275=1,IF(COUNTIFS($B$5:B275,B275,$D$5:D275,D275,$AB$5:AB275,1)=1,1,0),0)</f>
        <v>0</v>
      </c>
    </row>
    <row r="276" customFormat="false" ht="15" hidden="false" customHeight="false" outlineLevel="0" collapsed="false">
      <c r="A276" s="48" t="str">
        <f aca="false">STACK!A276</f>
        <v>KVMC-0272</v>
      </c>
      <c r="B276" s="48" t="str">
        <f aca="false">STACK!B276</f>
        <v>KVMC</v>
      </c>
      <c r="C276" s="48" t="str">
        <f aca="false">STACK!E276</f>
        <v>Diabetes Prevention Classes</v>
      </c>
      <c r="D276" s="1" t="str">
        <f aca="false">IFERROR(INDEX(MAP!$J$7:$J$101,MATCH(TRIM(C276),MAP!$I$7:$I$101,0)),"UNMAPPED")</f>
        <v>Diabetes Prevention Classes</v>
      </c>
      <c r="E276" s="1" t="str">
        <f aca="false">IFERROR(INDEX(MAP!$K$7:$K$101,MATCH(TRIM(C276),MAP!$I$7:$I$101,0)),"")</f>
        <v>Chronic disease prevention</v>
      </c>
      <c r="F276" s="1" t="str">
        <f aca="false">IFERROR(INDEX(MAP!$L$7:$L$101,MATCH(TRIM(C276),MAP!$I$7:$I$101,0)),"")</f>
        <v>Event</v>
      </c>
      <c r="G276" s="1" t="n">
        <f aca="false">IFERROR(MATCH(A276,CONFIRM!$A$5:$A$53,0),0)</f>
        <v>0</v>
      </c>
      <c r="H276" s="48" t="str">
        <f aca="false">STACK!F276</f>
        <v>Community Health Education</v>
      </c>
      <c r="I276" s="1" t="str">
        <f aca="false">IF(G276&gt;0,IF(INDEX(CONFIRM!$I$5:$I$53,G276)&lt;&gt;"",INDEX(CONFIRM!$I$5:$I$53,G276),H276),H276)</f>
        <v>Community Health Education</v>
      </c>
      <c r="J276" s="1" t="str">
        <f aca="false">IFERROR(INDEX(MAP!$F$7:$F$74,MATCH(TRIM(I276),MAP!$E$7:$E$74,0)),"UNMAPPED")</f>
        <v>Community health education</v>
      </c>
      <c r="K276" s="1" t="str">
        <f aca="false">IFERROR(INDEX(MAP!$G$7:$G$74,MATCH(TRIM(I276),MAP!$E$7:$E$74,0)),"UNMAPPED")</f>
        <v>7e</v>
      </c>
      <c r="L276" s="49" t="n">
        <f aca="false">STACK!G276</f>
        <v>46031</v>
      </c>
      <c r="M276" s="59" t="n">
        <f aca="false">IF(G276&gt;0,IF(INDEX(CONFIRM!$G$5:$G$53,G276)&lt;&gt;"",INDEX(CONFIRM!$G$5:$G$53,G276),IF(ISNUMBER(L276),L276,IFERROR(DATEVALUE(L276),""))),IF(ISNUMBER(L276),L276,IFERROR(DATEVALUE(L276),"")))</f>
        <v>46031</v>
      </c>
      <c r="N276" s="1" t="str">
        <f aca="false">IF(M276="","Check",IF(AND(M276&gt;=INPUTS!$C$6,M276&lt;=INPUTS!$C$7),"Yes","No"))</f>
        <v>Yes</v>
      </c>
      <c r="O276" s="48" t="str">
        <f aca="false">STACK!H276</f>
        <v>Nutritionist </v>
      </c>
      <c r="P276" s="1" t="str">
        <f aca="false">IF(G276&gt;0,IF(INDEX(CONFIRM!$H$5:$H$53,G276)&lt;&gt;"",INDEX(CONFIRM!$H$5:$H$53,G276),IFERROR(INDEX(MAP!$B$7:$B$156,MATCH(TRIM(O276),MAP!$A$7:$A$156,0)),"UNMAPPED")),IFERROR(INDEX(MAP!$B$7:$B$156,MATCH(TRIM(O276),MAP!$A$7:$A$156,0)),"UNMAPPED"))</f>
        <v>Registered Dietitian</v>
      </c>
      <c r="Q276" s="48" t="n">
        <f aca="false">STACK!I276</f>
        <v>1.75</v>
      </c>
      <c r="R276" s="60" t="n">
        <f aca="false">IF(G276&gt;0,IF(INDEX(CONFIRM!$F$5:$F$53,G276)&lt;&gt;"",INDEX(CONFIRM!$F$5:$F$53,G276),IF(ISNUMBER(Q276),Q276,IF(Q276="","",IFERROR(VALUE(TRIM(SUBSTITUTE(SUBSTITUTE(LOWER(Q276),"hrs",""),"hr",""))),"")))),IF(ISNUMBER(Q276),Q276,IF(Q276="","",IFERROR(VALUE(TRIM(SUBSTITUTE(SUBSTITUTE(LOWER(Q276),"hrs",""),"hr",""))),""))))</f>
        <v>1.75</v>
      </c>
      <c r="S276" s="57" t="n">
        <f aca="false">IFERROR(INDEX(RATES!$E$6:$E$28,MATCH(P276,RATES!$A$6:$A$28,0)),0)</f>
        <v>46.9025</v>
      </c>
      <c r="T276" s="61" t="n">
        <f aca="false">IF(ISNUMBER(R276),R276,0)*S276</f>
        <v>82.079375</v>
      </c>
      <c r="U276" s="61" t="n">
        <f aca="false">T276*INDEX(INPUTS!$H$10:$H$14,MATCH(B276,INPUTS!$A$10:$A$14,0))</f>
        <v>15.184684375</v>
      </c>
      <c r="V276" s="61" t="n">
        <f aca="false">N(STACK!K276)</f>
        <v>0</v>
      </c>
      <c r="W276" s="61" t="n">
        <f aca="false">T276+U276+V276</f>
        <v>97.264059375</v>
      </c>
      <c r="X276" s="61" t="n">
        <f aca="false">N(STACK!L276)</f>
        <v>0</v>
      </c>
      <c r="Y276" s="61" t="n">
        <f aca="false">W276-X276</f>
        <v>97.264059375</v>
      </c>
      <c r="Z276" s="1" t="n">
        <f aca="false">N(STACK!J276)</f>
        <v>0</v>
      </c>
      <c r="AA276" s="1" t="str">
        <f aca="false">TRIM(IF(D276="UNMAPPED","Program not mapped. ","")&amp;IF(OR(K276="UNMAPPED",K276="UNASSIGNED"),"Category needs review. ","")&amp;IF(P276="UNMAPPED","Title not mapped. ","")&amp;IF(AND(P276&lt;&gt;"No staff time",R276=""),"Missing hours. ","")&amp;IF(M276="","Date not readable. ","")&amp;IF(N276="No","Outside fiscal year. ","")&amp;IF(AND(F276="Event",ISNUMBER(R276)),IF(R276&gt;12,"Event hours look high. ",""),"")&amp;IF(G276&gt;0,"See CONFIRM sheet.",""))</f>
        <v/>
      </c>
      <c r="AB276" s="1" t="n">
        <f aca="false">IF(N276="No",0,IF(REVIEW!O276=0,0,IF(G276&gt;0,IF(INDEX(CONFIRM!$J$5:$J$53,G276)&lt;&gt;"",INDEX(CONFIRM!$J$5:$J$53,G276),1),1)))</f>
        <v>1</v>
      </c>
      <c r="AC276" s="1" t="n">
        <f aca="false">IF(AB276=1,IF(COUNTIFS($B$5:B276,B276,$D$5:D276,D276,$AB$5:AB276,1)=1,1,0),0)</f>
        <v>0</v>
      </c>
    </row>
    <row r="277" customFormat="false" ht="15" hidden="false" customHeight="false" outlineLevel="0" collapsed="false">
      <c r="A277" s="48" t="str">
        <f aca="false">STACK!A277</f>
        <v>KVMC-0273</v>
      </c>
      <c r="B277" s="48" t="str">
        <f aca="false">STACK!B277</f>
        <v>KVMC</v>
      </c>
      <c r="C277" s="48" t="str">
        <f aca="false">STACK!E277</f>
        <v>Grief Support Group</v>
      </c>
      <c r="D277" s="1" t="str">
        <f aca="false">IFERROR(INDEX(MAP!$J$7:$J$101,MATCH(TRIM(C277),MAP!$I$7:$I$101,0)),"UNMAPPED")</f>
        <v>Grief Support Group</v>
      </c>
      <c r="E277" s="1" t="str">
        <f aca="false">IFERROR(INDEX(MAP!$K$7:$K$101,MATCH(TRIM(C277),MAP!$I$7:$I$101,0)),"")</f>
        <v>Behavioral health</v>
      </c>
      <c r="F277" s="1" t="str">
        <f aca="false">IFERROR(INDEX(MAP!$L$7:$L$101,MATCH(TRIM(C277),MAP!$I$7:$I$101,0)),"")</f>
        <v>Event</v>
      </c>
      <c r="G277" s="1" t="n">
        <f aca="false">IFERROR(MATCH(A277,CONFIRM!$A$5:$A$53,0),0)</f>
        <v>0</v>
      </c>
      <c r="H277" s="48" t="str">
        <f aca="false">STACK!F277</f>
        <v>Health Care Support Services</v>
      </c>
      <c r="I277" s="1" t="str">
        <f aca="false">IF(G277&gt;0,IF(INDEX(CONFIRM!$I$5:$I$53,G277)&lt;&gt;"",INDEX(CONFIRM!$I$5:$I$53,G277),H277),H277)</f>
        <v>Health Care Support Services</v>
      </c>
      <c r="J277" s="1" t="str">
        <f aca="false">IFERROR(INDEX(MAP!$F$7:$F$74,MATCH(TRIM(I277),MAP!$E$7:$E$74,0)),"UNMAPPED")</f>
        <v>Health care support services</v>
      </c>
      <c r="K277" s="1" t="str">
        <f aca="false">IFERROR(INDEX(MAP!$G$7:$G$74,MATCH(TRIM(I277),MAP!$E$7:$E$74,0)),"UNMAPPED")</f>
        <v>7e</v>
      </c>
      <c r="L277" s="49" t="n">
        <f aca="false">STACK!G277</f>
        <v>46031</v>
      </c>
      <c r="M277" s="59" t="n">
        <f aca="false">IF(G277&gt;0,IF(INDEX(CONFIRM!$G$5:$G$53,G277)&lt;&gt;"",INDEX(CONFIRM!$G$5:$G$53,G277),IF(ISNUMBER(L277),L277,IFERROR(DATEVALUE(L277),""))),IF(ISNUMBER(L277),L277,IFERROR(DATEVALUE(L277),"")))</f>
        <v>46031</v>
      </c>
      <c r="N277" s="1" t="str">
        <f aca="false">IF(M277="","Check",IF(AND(M277&gt;=INPUTS!$C$6,M277&lt;=INPUTS!$C$7),"Yes","No"))</f>
        <v>Yes</v>
      </c>
      <c r="O277" s="48" t="str">
        <f aca="false">STACK!H277</f>
        <v> Chaplain</v>
      </c>
      <c r="P277" s="1" t="str">
        <f aca="false">IF(G277&gt;0,IF(INDEX(CONFIRM!$H$5:$H$53,G277)&lt;&gt;"",INDEX(CONFIRM!$H$5:$H$53,G277),IFERROR(INDEX(MAP!$B$7:$B$156,MATCH(TRIM(O277),MAP!$A$7:$A$156,0)),"UNMAPPED")),IFERROR(INDEX(MAP!$B$7:$B$156,MATCH(TRIM(O277),MAP!$A$7:$A$156,0)),"UNMAPPED"))</f>
        <v>Chaplain</v>
      </c>
      <c r="Q277" s="48" t="n">
        <f aca="false">STACK!I277</f>
        <v>2.25</v>
      </c>
      <c r="R277" s="60" t="n">
        <f aca="false">IF(G277&gt;0,IF(INDEX(CONFIRM!$F$5:$F$53,G277)&lt;&gt;"",INDEX(CONFIRM!$F$5:$F$53,G277),IF(ISNUMBER(Q277),Q277,IF(Q277="","",IFERROR(VALUE(TRIM(SUBSTITUTE(SUBSTITUTE(LOWER(Q277),"hrs",""),"hr",""))),"")))),IF(ISNUMBER(Q277),Q277,IF(Q277="","",IFERROR(VALUE(TRIM(SUBSTITUTE(SUBSTITUTE(LOWER(Q277),"hrs",""),"hr",""))),""))))</f>
        <v>2.25</v>
      </c>
      <c r="S277" s="57" t="n">
        <f aca="false">IFERROR(INDEX(RATES!$E$6:$E$28,MATCH(P277,RATES!$A$6:$A$28,0)),0)</f>
        <v>39.835</v>
      </c>
      <c r="T277" s="61" t="n">
        <f aca="false">IF(ISNUMBER(R277),R277,0)*S277</f>
        <v>89.62875</v>
      </c>
      <c r="U277" s="61" t="n">
        <f aca="false">T277*INDEX(INPUTS!$H$10:$H$14,MATCH(B277,INPUTS!$A$10:$A$14,0))</f>
        <v>16.58131875</v>
      </c>
      <c r="V277" s="61" t="n">
        <f aca="false">N(STACK!K277)</f>
        <v>55</v>
      </c>
      <c r="W277" s="61" t="n">
        <f aca="false">T277+U277+V277</f>
        <v>161.21006875</v>
      </c>
      <c r="X277" s="61" t="n">
        <f aca="false">N(STACK!L277)</f>
        <v>0</v>
      </c>
      <c r="Y277" s="61" t="n">
        <f aca="false">W277-X277</f>
        <v>161.21006875</v>
      </c>
      <c r="Z277" s="1" t="n">
        <f aca="false">N(STACK!J277)</f>
        <v>16</v>
      </c>
      <c r="AA277" s="1" t="str">
        <f aca="false">TRIM(IF(D277="UNMAPPED","Program not mapped. ","")&amp;IF(OR(K277="UNMAPPED",K277="UNASSIGNED"),"Category needs review. ","")&amp;IF(P277="UNMAPPED","Title not mapped. ","")&amp;IF(AND(P277&lt;&gt;"No staff time",R277=""),"Missing hours. ","")&amp;IF(M277="","Date not readable. ","")&amp;IF(N277="No","Outside fiscal year. ","")&amp;IF(AND(F277="Event",ISNUMBER(R277)),IF(R277&gt;12,"Event hours look high. ",""),"")&amp;IF(G277&gt;0,"See CONFIRM sheet.",""))</f>
        <v/>
      </c>
      <c r="AB277" s="1" t="n">
        <f aca="false">IF(N277="No",0,IF(REVIEW!O277=0,0,IF(G277&gt;0,IF(INDEX(CONFIRM!$J$5:$J$53,G277)&lt;&gt;"",INDEX(CONFIRM!$J$5:$J$53,G277),1),1)))</f>
        <v>1</v>
      </c>
      <c r="AC277" s="1" t="n">
        <f aca="false">IF(AB277=1,IF(COUNTIFS($B$5:B277,B277,$D$5:D277,D277,$AB$5:AB277,1)=1,1,0),0)</f>
        <v>0</v>
      </c>
    </row>
    <row r="278" customFormat="false" ht="15" hidden="false" customHeight="false" outlineLevel="0" collapsed="false">
      <c r="A278" s="48" t="str">
        <f aca="false">STACK!A278</f>
        <v>KVMC-0274</v>
      </c>
      <c r="B278" s="48" t="str">
        <f aca="false">STACK!B278</f>
        <v>KVMC</v>
      </c>
      <c r="C278" s="48" t="str">
        <f aca="false">STACK!E278</f>
        <v>Grief Support Group</v>
      </c>
      <c r="D278" s="1" t="str">
        <f aca="false">IFERROR(INDEX(MAP!$J$7:$J$101,MATCH(TRIM(C278),MAP!$I$7:$I$101,0)),"UNMAPPED")</f>
        <v>Grief Support Group</v>
      </c>
      <c r="E278" s="1" t="str">
        <f aca="false">IFERROR(INDEX(MAP!$K$7:$K$101,MATCH(TRIM(C278),MAP!$I$7:$I$101,0)),"")</f>
        <v>Behavioral health</v>
      </c>
      <c r="F278" s="1" t="str">
        <f aca="false">IFERROR(INDEX(MAP!$L$7:$L$101,MATCH(TRIM(C278),MAP!$I$7:$I$101,0)),"")</f>
        <v>Event</v>
      </c>
      <c r="G278" s="1" t="n">
        <f aca="false">IFERROR(MATCH(A278,CONFIRM!$A$5:$A$53,0),0)</f>
        <v>0</v>
      </c>
      <c r="H278" s="48" t="str">
        <f aca="false">STACK!F278</f>
        <v>Health Care Support Services</v>
      </c>
      <c r="I278" s="1" t="str">
        <f aca="false">IF(G278&gt;0,IF(INDEX(CONFIRM!$I$5:$I$53,G278)&lt;&gt;"",INDEX(CONFIRM!$I$5:$I$53,G278),H278),H278)</f>
        <v>Health Care Support Services</v>
      </c>
      <c r="J278" s="1" t="str">
        <f aca="false">IFERROR(INDEX(MAP!$F$7:$F$74,MATCH(TRIM(I278),MAP!$E$7:$E$74,0)),"UNMAPPED")</f>
        <v>Health care support services</v>
      </c>
      <c r="K278" s="1" t="str">
        <f aca="false">IFERROR(INDEX(MAP!$G$7:$G$74,MATCH(TRIM(I278),MAP!$E$7:$E$74,0)),"UNMAPPED")</f>
        <v>7e</v>
      </c>
      <c r="L278" s="49" t="n">
        <f aca="false">STACK!G278</f>
        <v>46031</v>
      </c>
      <c r="M278" s="59" t="n">
        <f aca="false">IF(G278&gt;0,IF(INDEX(CONFIRM!$G$5:$G$53,G278)&lt;&gt;"",INDEX(CONFIRM!$G$5:$G$53,G278),IF(ISNUMBER(L278),L278,IFERROR(DATEVALUE(L278),""))),IF(ISNUMBER(L278),L278,IFERROR(DATEVALUE(L278),"")))</f>
        <v>46031</v>
      </c>
      <c r="N278" s="1" t="str">
        <f aca="false">IF(M278="","Check",IF(AND(M278&gt;=INPUTS!$C$6,M278&lt;=INPUTS!$C$7),"Yes","No"))</f>
        <v>Yes</v>
      </c>
      <c r="O278" s="48" t="str">
        <f aca="false">STACK!H278</f>
        <v>Social Worker</v>
      </c>
      <c r="P278" s="1" t="str">
        <f aca="false">IF(G278&gt;0,IF(INDEX(CONFIRM!$H$5:$H$53,G278)&lt;&gt;"",INDEX(CONFIRM!$H$5:$H$53,G278),IFERROR(INDEX(MAP!$B$7:$B$156,MATCH(TRIM(O278),MAP!$A$7:$A$156,0)),"UNMAPPED")),IFERROR(INDEX(MAP!$B$7:$B$156,MATCH(TRIM(O278),MAP!$A$7:$A$156,0)),"UNMAPPED"))</f>
        <v>Social Worker</v>
      </c>
      <c r="Q278" s="48" t="n">
        <f aca="false">STACK!I278</f>
        <v>1.5</v>
      </c>
      <c r="R278" s="60" t="n">
        <f aca="false">IF(G278&gt;0,IF(INDEX(CONFIRM!$F$5:$F$53,G278)&lt;&gt;"",INDEX(CONFIRM!$F$5:$F$53,G278),IF(ISNUMBER(Q278),Q278,IF(Q278="","",IFERROR(VALUE(TRIM(SUBSTITUTE(SUBSTITUTE(LOWER(Q278),"hrs",""),"hr",""))),"")))),IF(ISNUMBER(Q278),Q278,IF(Q278="","",IFERROR(VALUE(TRIM(SUBSTITUTE(SUBSTITUTE(LOWER(Q278),"hrs",""),"hr",""))),""))))</f>
        <v>1.5</v>
      </c>
      <c r="S278" s="57" t="n">
        <f aca="false">IFERROR(INDEX(RATES!$E$6:$E$28,MATCH(P278,RATES!$A$6:$A$28,0)),0)</f>
        <v>45.6175</v>
      </c>
      <c r="T278" s="61" t="n">
        <f aca="false">IF(ISNUMBER(R278),R278,0)*S278</f>
        <v>68.42625</v>
      </c>
      <c r="U278" s="61" t="n">
        <f aca="false">T278*INDEX(INPUTS!$H$10:$H$14,MATCH(B278,INPUTS!$A$10:$A$14,0))</f>
        <v>12.65885625</v>
      </c>
      <c r="V278" s="61" t="n">
        <f aca="false">N(STACK!K278)</f>
        <v>0</v>
      </c>
      <c r="W278" s="61" t="n">
        <f aca="false">T278+U278+V278</f>
        <v>81.08510625</v>
      </c>
      <c r="X278" s="61" t="n">
        <f aca="false">N(STACK!L278)</f>
        <v>0</v>
      </c>
      <c r="Y278" s="61" t="n">
        <f aca="false">W278-X278</f>
        <v>81.08510625</v>
      </c>
      <c r="Z278" s="1" t="n">
        <f aca="false">N(STACK!J278)</f>
        <v>0</v>
      </c>
      <c r="AA278" s="1" t="str">
        <f aca="false">TRIM(IF(D278="UNMAPPED","Program not mapped. ","")&amp;IF(OR(K278="UNMAPPED",K278="UNASSIGNED"),"Category needs review. ","")&amp;IF(P278="UNMAPPED","Title not mapped. ","")&amp;IF(AND(P278&lt;&gt;"No staff time",R278=""),"Missing hours. ","")&amp;IF(M278="","Date not readable. ","")&amp;IF(N278="No","Outside fiscal year. ","")&amp;IF(AND(F278="Event",ISNUMBER(R278)),IF(R278&gt;12,"Event hours look high. ",""),"")&amp;IF(G278&gt;0,"See CONFIRM sheet.",""))</f>
        <v/>
      </c>
      <c r="AB278" s="1" t="n">
        <f aca="false">IF(N278="No",0,IF(REVIEW!O278=0,0,IF(G278&gt;0,IF(INDEX(CONFIRM!$J$5:$J$53,G278)&lt;&gt;"",INDEX(CONFIRM!$J$5:$J$53,G278),1),1)))</f>
        <v>1</v>
      </c>
      <c r="AC278" s="1" t="n">
        <f aca="false">IF(AB278=1,IF(COUNTIFS($B$5:B278,B278,$D$5:D278,D278,$AB$5:AB278,1)=1,1,0),0)</f>
        <v>0</v>
      </c>
    </row>
    <row r="279" customFormat="false" ht="15" hidden="false" customHeight="false" outlineLevel="0" collapsed="false">
      <c r="A279" s="48" t="str">
        <f aca="false">STACK!A279</f>
        <v>KVMC-0275</v>
      </c>
      <c r="B279" s="48" t="str">
        <f aca="false">STACK!B279</f>
        <v>KVMC</v>
      </c>
      <c r="C279" s="48" t="str">
        <f aca="false">STACK!E279</f>
        <v>Small Business Health Partnership</v>
      </c>
      <c r="D279" s="1" t="str">
        <f aca="false">IFERROR(INDEX(MAP!$J$7:$J$101,MATCH(TRIM(C279),MAP!$I$7:$I$101,0)),"UNMAPPED")</f>
        <v>Small Business Health Partnership</v>
      </c>
      <c r="E279" s="1" t="str">
        <f aca="false">IFERROR(INDEX(MAP!$K$7:$K$101,MATCH(TRIM(C279),MAP!$I$7:$I$101,0)),"")</f>
        <v>Access to care</v>
      </c>
      <c r="F279" s="1" t="str">
        <f aca="false">IFERROR(INDEX(MAP!$L$7:$L$101,MATCH(TRIM(C279),MAP!$I$7:$I$101,0)),"")</f>
        <v>Event</v>
      </c>
      <c r="G279" s="1" t="n">
        <f aca="false">IFERROR(MATCH(A279,CONFIRM!$A$5:$A$53,0),0)</f>
        <v>0</v>
      </c>
      <c r="H279" s="48" t="str">
        <f aca="false">STACK!F279</f>
        <v>Community Building - Economic Dev</v>
      </c>
      <c r="I279" s="1" t="str">
        <f aca="false">IF(G279&gt;0,IF(INDEX(CONFIRM!$I$5:$I$53,G279)&lt;&gt;"",INDEX(CONFIRM!$I$5:$I$53,G279),H279),H279)</f>
        <v>Community Building - Economic Dev</v>
      </c>
      <c r="J279" s="1" t="str">
        <f aca="false">IFERROR(INDEX(MAP!$F$7:$F$74,MATCH(TRIM(I279),MAP!$E$7:$E$74,0)),"UNMAPPED")</f>
        <v>Community building: economic development</v>
      </c>
      <c r="K279" s="1" t="str">
        <f aca="false">IFERROR(INDEX(MAP!$G$7:$G$74,MATCH(TRIM(I279),MAP!$E$7:$E$74,0)),"UNMAPPED")</f>
        <v>II-2</v>
      </c>
      <c r="L279" s="49" t="n">
        <f aca="false">STACK!G279</f>
        <v>46032</v>
      </c>
      <c r="M279" s="59" t="n">
        <f aca="false">IF(G279&gt;0,IF(INDEX(CONFIRM!$G$5:$G$53,G279)&lt;&gt;"",INDEX(CONFIRM!$G$5:$G$53,G279),IF(ISNUMBER(L279),L279,IFERROR(DATEVALUE(L279),""))),IF(ISNUMBER(L279),L279,IFERROR(DATEVALUE(L279),"")))</f>
        <v>46032</v>
      </c>
      <c r="N279" s="1" t="str">
        <f aca="false">IF(M279="","Check",IF(AND(M279&gt;=INPUTS!$C$6,M279&lt;=INPUTS!$C$7),"Yes","No"))</f>
        <v>Yes</v>
      </c>
      <c r="O279" s="48" t="str">
        <f aca="false">STACK!H279</f>
        <v>Assoc. Director</v>
      </c>
      <c r="P279" s="1" t="str">
        <f aca="false">IF(G279&gt;0,IF(INDEX(CONFIRM!$H$5:$H$53,G279)&lt;&gt;"",INDEX(CONFIRM!$H$5:$H$53,G279),IFERROR(INDEX(MAP!$B$7:$B$156,MATCH(TRIM(O279),MAP!$A$7:$A$156,0)),"UNMAPPED")),IFERROR(INDEX(MAP!$B$7:$B$156,MATCH(TRIM(O279),MAP!$A$7:$A$156,0)),"UNMAPPED"))</f>
        <v>Director</v>
      </c>
      <c r="Q279" s="48" t="n">
        <f aca="false">STACK!I279</f>
        <v>3.25</v>
      </c>
      <c r="R279" s="60" t="n">
        <f aca="false">IF(G279&gt;0,IF(INDEX(CONFIRM!$F$5:$F$53,G279)&lt;&gt;"",INDEX(CONFIRM!$F$5:$F$53,G279),IF(ISNUMBER(Q279),Q279,IF(Q279="","",IFERROR(VALUE(TRIM(SUBSTITUTE(SUBSTITUTE(LOWER(Q279),"hrs",""),"hr",""))),"")))),IF(ISNUMBER(Q279),Q279,IF(Q279="","",IFERROR(VALUE(TRIM(SUBSTITUTE(SUBSTITUTE(LOWER(Q279),"hrs",""),"hr",""))),""))))</f>
        <v>3.25</v>
      </c>
      <c r="S279" s="57" t="n">
        <f aca="false">IFERROR(INDEX(RATES!$E$6:$E$28,MATCH(P279,RATES!$A$6:$A$28,0)),0)</f>
        <v>92.52</v>
      </c>
      <c r="T279" s="61" t="n">
        <f aca="false">IF(ISNUMBER(R279),R279,0)*S279</f>
        <v>300.69</v>
      </c>
      <c r="U279" s="61" t="n">
        <f aca="false">T279*INDEX(INPUTS!$H$10:$H$14,MATCH(B279,INPUTS!$A$10:$A$14,0))</f>
        <v>55.62765</v>
      </c>
      <c r="V279" s="61" t="n">
        <f aca="false">N(STACK!K279)</f>
        <v>3295</v>
      </c>
      <c r="W279" s="61" t="n">
        <f aca="false">T279+U279+V279</f>
        <v>3651.31765</v>
      </c>
      <c r="X279" s="61" t="n">
        <f aca="false">N(STACK!L279)</f>
        <v>0</v>
      </c>
      <c r="Y279" s="61" t="n">
        <f aca="false">W279-X279</f>
        <v>3651.31765</v>
      </c>
      <c r="Z279" s="1" t="n">
        <f aca="false">N(STACK!J279)</f>
        <v>0</v>
      </c>
      <c r="AA279" s="1" t="str">
        <f aca="false">TRIM(IF(D279="UNMAPPED","Program not mapped. ","")&amp;IF(OR(K279="UNMAPPED",K279="UNASSIGNED"),"Category needs review. ","")&amp;IF(P279="UNMAPPED","Title not mapped. ","")&amp;IF(AND(P279&lt;&gt;"No staff time",R279=""),"Missing hours. ","")&amp;IF(M279="","Date not readable. ","")&amp;IF(N279="No","Outside fiscal year. ","")&amp;IF(AND(F279="Event",ISNUMBER(R279)),IF(R279&gt;12,"Event hours look high. ",""),"")&amp;IF(G279&gt;0,"See CONFIRM sheet.",""))</f>
        <v/>
      </c>
      <c r="AB279" s="1" t="n">
        <f aca="false">IF(N279="No",0,IF(REVIEW!O279=0,0,IF(G279&gt;0,IF(INDEX(CONFIRM!$J$5:$J$53,G279)&lt;&gt;"",INDEX(CONFIRM!$J$5:$J$53,G279),1),1)))</f>
        <v>1</v>
      </c>
      <c r="AC279" s="1" t="n">
        <f aca="false">IF(AB279=1,IF(COUNTIFS($B$5:B279,B279,$D$5:D279,D279,$AB$5:AB279,1)=1,1,0),0)</f>
        <v>1</v>
      </c>
    </row>
    <row r="280" customFormat="false" ht="15" hidden="false" customHeight="false" outlineLevel="0" collapsed="false">
      <c r="A280" s="48" t="str">
        <f aca="false">STACK!A280</f>
        <v>KVMC-0276</v>
      </c>
      <c r="B280" s="48" t="str">
        <f aca="false">STACK!B280</f>
        <v>KVMC</v>
      </c>
      <c r="C280" s="48" t="str">
        <f aca="false">STACK!E280</f>
        <v>Small Business Health Partnership</v>
      </c>
      <c r="D280" s="1" t="str">
        <f aca="false">IFERROR(INDEX(MAP!$J$7:$J$101,MATCH(TRIM(C280),MAP!$I$7:$I$101,0)),"UNMAPPED")</f>
        <v>Small Business Health Partnership</v>
      </c>
      <c r="E280" s="1" t="str">
        <f aca="false">IFERROR(INDEX(MAP!$K$7:$K$101,MATCH(TRIM(C280),MAP!$I$7:$I$101,0)),"")</f>
        <v>Access to care</v>
      </c>
      <c r="F280" s="1" t="str">
        <f aca="false">IFERROR(INDEX(MAP!$L$7:$L$101,MATCH(TRIM(C280),MAP!$I$7:$I$101,0)),"")</f>
        <v>Event</v>
      </c>
      <c r="G280" s="1" t="n">
        <f aca="false">IFERROR(MATCH(A280,CONFIRM!$A$5:$A$53,0),0)</f>
        <v>0</v>
      </c>
      <c r="H280" s="48" t="str">
        <f aca="false">STACK!F280</f>
        <v>Community Building - Economic Dev</v>
      </c>
      <c r="I280" s="1" t="str">
        <f aca="false">IF(G280&gt;0,IF(INDEX(CONFIRM!$I$5:$I$53,G280)&lt;&gt;"",INDEX(CONFIRM!$I$5:$I$53,G280),H280),H280)</f>
        <v>Community Building - Economic Dev</v>
      </c>
      <c r="J280" s="1" t="str">
        <f aca="false">IFERROR(INDEX(MAP!$F$7:$F$74,MATCH(TRIM(I280),MAP!$E$7:$E$74,0)),"UNMAPPED")</f>
        <v>Community building: economic development</v>
      </c>
      <c r="K280" s="1" t="str">
        <f aca="false">IFERROR(INDEX(MAP!$G$7:$G$74,MATCH(TRIM(I280),MAP!$E$7:$E$74,0)),"UNMAPPED")</f>
        <v>II-2</v>
      </c>
      <c r="L280" s="49" t="n">
        <f aca="false">STACK!G280</f>
        <v>46032</v>
      </c>
      <c r="M280" s="59" t="n">
        <f aca="false">IF(G280&gt;0,IF(INDEX(CONFIRM!$G$5:$G$53,G280)&lt;&gt;"",INDEX(CONFIRM!$G$5:$G$53,G280),IF(ISNUMBER(L280),L280,IFERROR(DATEVALUE(L280),""))),IF(ISNUMBER(L280),L280,IFERROR(DATEVALUE(L280),"")))</f>
        <v>46032</v>
      </c>
      <c r="N280" s="1" t="str">
        <f aca="false">IF(M280="","Check",IF(AND(M280&gt;=INPUTS!$C$6,M280&lt;=INPUTS!$C$7),"Yes","No"))</f>
        <v>Yes</v>
      </c>
      <c r="O280" s="48" t="str">
        <f aca="false">STACK!H280</f>
        <v> Volunteer Coordinator</v>
      </c>
      <c r="P280" s="1" t="str">
        <f aca="false">IF(G280&gt;0,IF(INDEX(CONFIRM!$H$5:$H$53,G280)&lt;&gt;"",INDEX(CONFIRM!$H$5:$H$53,G280),IFERROR(INDEX(MAP!$B$7:$B$156,MATCH(TRIM(O280),MAP!$A$7:$A$156,0)),"UNMAPPED")),IFERROR(INDEX(MAP!$B$7:$B$156,MATCH(TRIM(O280),MAP!$A$7:$A$156,0)),"UNMAPPED"))</f>
        <v>Program Coordinator</v>
      </c>
      <c r="Q280" s="48" t="n">
        <f aca="false">STACK!I280</f>
        <v>5.25</v>
      </c>
      <c r="R280" s="60" t="n">
        <f aca="false">IF(G280&gt;0,IF(INDEX(CONFIRM!$F$5:$F$53,G280)&lt;&gt;"",INDEX(CONFIRM!$F$5:$F$53,G280),IF(ISNUMBER(Q280),Q280,IF(Q280="","",IFERROR(VALUE(TRIM(SUBSTITUTE(SUBSTITUTE(LOWER(Q280),"hrs",""),"hr",""))),"")))),IF(ISNUMBER(Q280),Q280,IF(Q280="","",IFERROR(VALUE(TRIM(SUBSTITUTE(SUBSTITUTE(LOWER(Q280),"hrs",""),"hr",""))),""))))</f>
        <v>5.25</v>
      </c>
      <c r="S280" s="57" t="n">
        <f aca="false">IFERROR(INDEX(RATES!$E$6:$E$28,MATCH(P280,RATES!$A$6:$A$28,0)),0)</f>
        <v>35.3375</v>
      </c>
      <c r="T280" s="61" t="n">
        <f aca="false">IF(ISNUMBER(R280),R280,0)*S280</f>
        <v>185.521875</v>
      </c>
      <c r="U280" s="61" t="n">
        <f aca="false">T280*INDEX(INPUTS!$H$10:$H$14,MATCH(B280,INPUTS!$A$10:$A$14,0))</f>
        <v>34.321546875</v>
      </c>
      <c r="V280" s="61" t="n">
        <f aca="false">N(STACK!K280)</f>
        <v>0</v>
      </c>
      <c r="W280" s="61" t="n">
        <f aca="false">T280+U280+V280</f>
        <v>219.843421875</v>
      </c>
      <c r="X280" s="61" t="n">
        <f aca="false">N(STACK!L280)</f>
        <v>0</v>
      </c>
      <c r="Y280" s="61" t="n">
        <f aca="false">W280-X280</f>
        <v>219.843421875</v>
      </c>
      <c r="Z280" s="1" t="n">
        <f aca="false">N(STACK!J280)</f>
        <v>0</v>
      </c>
      <c r="AA280" s="1" t="str">
        <f aca="false">TRIM(IF(D280="UNMAPPED","Program not mapped. ","")&amp;IF(OR(K280="UNMAPPED",K280="UNASSIGNED"),"Category needs review. ","")&amp;IF(P280="UNMAPPED","Title not mapped. ","")&amp;IF(AND(P280&lt;&gt;"No staff time",R280=""),"Missing hours. ","")&amp;IF(M280="","Date not readable. ","")&amp;IF(N280="No","Outside fiscal year. ","")&amp;IF(AND(F280="Event",ISNUMBER(R280)),IF(R280&gt;12,"Event hours look high. ",""),"")&amp;IF(G280&gt;0,"See CONFIRM sheet.",""))</f>
        <v/>
      </c>
      <c r="AB280" s="1" t="n">
        <f aca="false">IF(N280="No",0,IF(REVIEW!O280=0,0,IF(G280&gt;0,IF(INDEX(CONFIRM!$J$5:$J$53,G280)&lt;&gt;"",INDEX(CONFIRM!$J$5:$J$53,G280),1),1)))</f>
        <v>1</v>
      </c>
      <c r="AC280" s="1" t="n">
        <f aca="false">IF(AB280=1,IF(COUNTIFS($B$5:B280,B280,$D$5:D280,D280,$AB$5:AB280,1)=1,1,0),0)</f>
        <v>0</v>
      </c>
    </row>
    <row r="281" customFormat="false" ht="15" hidden="false" customHeight="false" outlineLevel="0" collapsed="false">
      <c r="A281" s="48" t="str">
        <f aca="false">STACK!A281</f>
        <v>KVMC-0277</v>
      </c>
      <c r="B281" s="48" t="str">
        <f aca="false">STACK!B281</f>
        <v>KVMC</v>
      </c>
      <c r="C281" s="48" t="str">
        <f aca="false">STACK!E281</f>
        <v>Childbirth and Newborn Care Classes</v>
      </c>
      <c r="D281" s="1" t="str">
        <f aca="false">IFERROR(INDEX(MAP!$J$7:$J$101,MATCH(TRIM(C281),MAP!$I$7:$I$101,0)),"UNMAPPED")</f>
        <v>Childbirth and Newborn Care Classes</v>
      </c>
      <c r="E281" s="1" t="str">
        <f aca="false">IFERROR(INDEX(MAP!$K$7:$K$101,MATCH(TRIM(C281),MAP!$I$7:$I$101,0)),"")</f>
        <v>Maternal and child health</v>
      </c>
      <c r="F281" s="1" t="str">
        <f aca="false">IFERROR(INDEX(MAP!$L$7:$L$101,MATCH(TRIM(C281),MAP!$I$7:$I$101,0)),"")</f>
        <v>Event</v>
      </c>
      <c r="G281" s="1" t="n">
        <f aca="false">IFERROR(MATCH(A281,CONFIRM!$A$5:$A$53,0),0)</f>
        <v>0</v>
      </c>
      <c r="H281" s="48" t="str">
        <f aca="false">STACK!F281</f>
        <v>Community Health Education</v>
      </c>
      <c r="I281" s="1" t="str">
        <f aca="false">IF(G281&gt;0,IF(INDEX(CONFIRM!$I$5:$I$53,G281)&lt;&gt;"",INDEX(CONFIRM!$I$5:$I$53,G281),H281),H281)</f>
        <v>Community Health Education</v>
      </c>
      <c r="J281" s="1" t="str">
        <f aca="false">IFERROR(INDEX(MAP!$F$7:$F$74,MATCH(TRIM(I281),MAP!$E$7:$E$74,0)),"UNMAPPED")</f>
        <v>Community health education</v>
      </c>
      <c r="K281" s="1" t="str">
        <f aca="false">IFERROR(INDEX(MAP!$G$7:$G$74,MATCH(TRIM(I281),MAP!$E$7:$E$74,0)),"UNMAPPED")</f>
        <v>7e</v>
      </c>
      <c r="L281" s="49" t="n">
        <f aca="false">STACK!G281</f>
        <v>46035</v>
      </c>
      <c r="M281" s="59" t="n">
        <f aca="false">IF(G281&gt;0,IF(INDEX(CONFIRM!$G$5:$G$53,G281)&lt;&gt;"",INDEX(CONFIRM!$G$5:$G$53,G281),IF(ISNUMBER(L281),L281,IFERROR(DATEVALUE(L281),""))),IF(ISNUMBER(L281),L281,IFERROR(DATEVALUE(L281),"")))</f>
        <v>46035</v>
      </c>
      <c r="N281" s="1" t="str">
        <f aca="false">IF(M281="","Check",IF(AND(M281&gt;=INPUTS!$C$6,M281&lt;=INPUTS!$C$7),"Yes","No"))</f>
        <v>Yes</v>
      </c>
      <c r="O281" s="48" t="str">
        <f aca="false">STACK!H281</f>
        <v>Clin Educator</v>
      </c>
      <c r="P281" s="1" t="str">
        <f aca="false">IF(G281&gt;0,IF(INDEX(CONFIRM!$H$5:$H$53,G281)&lt;&gt;"",INDEX(CONFIRM!$H$5:$H$53,G281),IFERROR(INDEX(MAP!$B$7:$B$156,MATCH(TRIM(O281),MAP!$A$7:$A$156,0)),"UNMAPPED")),IFERROR(INDEX(MAP!$B$7:$B$156,MATCH(TRIM(O281),MAP!$A$7:$A$156,0)),"UNMAPPED"))</f>
        <v>Clinical Nurse Educator</v>
      </c>
      <c r="Q281" s="48" t="n">
        <f aca="false">STACK!I281</f>
        <v>3.25</v>
      </c>
      <c r="R281" s="60" t="n">
        <f aca="false">IF(G281&gt;0,IF(INDEX(CONFIRM!$F$5:$F$53,G281)&lt;&gt;"",INDEX(CONFIRM!$F$5:$F$53,G281),IF(ISNUMBER(Q281),Q281,IF(Q281="","",IFERROR(VALUE(TRIM(SUBSTITUTE(SUBSTITUTE(LOWER(Q281),"hrs",""),"hr",""))),"")))),IF(ISNUMBER(Q281),Q281,IF(Q281="","",IFERROR(VALUE(TRIM(SUBSTITUTE(SUBSTITUTE(LOWER(Q281),"hrs",""),"hr",""))),""))))</f>
        <v>3.25</v>
      </c>
      <c r="S281" s="57" t="n">
        <f aca="false">IFERROR(INDEX(RATES!$E$6:$E$28,MATCH(P281,RATES!$A$6:$A$28,0)),0)</f>
        <v>62.965</v>
      </c>
      <c r="T281" s="61" t="n">
        <f aca="false">IF(ISNUMBER(R281),R281,0)*S281</f>
        <v>204.63625</v>
      </c>
      <c r="U281" s="61" t="n">
        <f aca="false">T281*INDEX(INPUTS!$H$10:$H$14,MATCH(B281,INPUTS!$A$10:$A$14,0))</f>
        <v>37.85770625</v>
      </c>
      <c r="V281" s="61" t="n">
        <f aca="false">N(STACK!K281)</f>
        <v>170</v>
      </c>
      <c r="W281" s="61" t="n">
        <f aca="false">T281+U281+V281</f>
        <v>412.49395625</v>
      </c>
      <c r="X281" s="61" t="n">
        <f aca="false">N(STACK!L281)</f>
        <v>440</v>
      </c>
      <c r="Y281" s="61" t="n">
        <f aca="false">W281-X281</f>
        <v>-27.50604375</v>
      </c>
      <c r="Z281" s="1" t="n">
        <f aca="false">N(STACK!J281)</f>
        <v>22</v>
      </c>
      <c r="AA281" s="1" t="str">
        <f aca="false">TRIM(IF(D281="UNMAPPED","Program not mapped. ","")&amp;IF(OR(K281="UNMAPPED",K281="UNASSIGNED"),"Category needs review. ","")&amp;IF(P281="UNMAPPED","Title not mapped. ","")&amp;IF(AND(P281&lt;&gt;"No staff time",R281=""),"Missing hours. ","")&amp;IF(M281="","Date not readable. ","")&amp;IF(N281="No","Outside fiscal year. ","")&amp;IF(AND(F281="Event",ISNUMBER(R281)),IF(R281&gt;12,"Event hours look high. ",""),"")&amp;IF(G281&gt;0,"See CONFIRM sheet.",""))</f>
        <v/>
      </c>
      <c r="AB281" s="1" t="n">
        <f aca="false">IF(N281="No",0,IF(REVIEW!O281=0,0,IF(G281&gt;0,IF(INDEX(CONFIRM!$J$5:$J$53,G281)&lt;&gt;"",INDEX(CONFIRM!$J$5:$J$53,G281),1),1)))</f>
        <v>1</v>
      </c>
      <c r="AC281" s="1" t="n">
        <f aca="false">IF(AB281=1,IF(COUNTIFS($B$5:B281,B281,$D$5:D281,D281,$AB$5:AB281,1)=1,1,0),0)</f>
        <v>0</v>
      </c>
    </row>
    <row r="282" customFormat="false" ht="15" hidden="false" customHeight="false" outlineLevel="0" collapsed="false">
      <c r="A282" s="48" t="str">
        <f aca="false">STACK!A282</f>
        <v>KVMC-0278</v>
      </c>
      <c r="B282" s="48" t="str">
        <f aca="false">STACK!B282</f>
        <v>KVMC</v>
      </c>
      <c r="C282" s="48" t="str">
        <f aca="false">STACK!E282</f>
        <v>Grief Support Group</v>
      </c>
      <c r="D282" s="1" t="str">
        <f aca="false">IFERROR(INDEX(MAP!$J$7:$J$101,MATCH(TRIM(C282),MAP!$I$7:$I$101,0)),"UNMAPPED")</f>
        <v>Grief Support Group</v>
      </c>
      <c r="E282" s="1" t="str">
        <f aca="false">IFERROR(INDEX(MAP!$K$7:$K$101,MATCH(TRIM(C282),MAP!$I$7:$I$101,0)),"")</f>
        <v>Behavioral health</v>
      </c>
      <c r="F282" s="1" t="str">
        <f aca="false">IFERROR(INDEX(MAP!$L$7:$L$101,MATCH(TRIM(C282),MAP!$I$7:$I$101,0)),"")</f>
        <v>Event</v>
      </c>
      <c r="G282" s="1" t="n">
        <f aca="false">IFERROR(MATCH(A282,CONFIRM!$A$5:$A$53,0),0)</f>
        <v>0</v>
      </c>
      <c r="H282" s="48" t="str">
        <f aca="false">STACK!F282</f>
        <v>Health Care Support Services</v>
      </c>
      <c r="I282" s="1" t="str">
        <f aca="false">IF(G282&gt;0,IF(INDEX(CONFIRM!$I$5:$I$53,G282)&lt;&gt;"",INDEX(CONFIRM!$I$5:$I$53,G282),H282),H282)</f>
        <v>Health Care Support Services</v>
      </c>
      <c r="J282" s="1" t="str">
        <f aca="false">IFERROR(INDEX(MAP!$F$7:$F$74,MATCH(TRIM(I282),MAP!$E$7:$E$74,0)),"UNMAPPED")</f>
        <v>Health care support services</v>
      </c>
      <c r="K282" s="1" t="str">
        <f aca="false">IFERROR(INDEX(MAP!$G$7:$G$74,MATCH(TRIM(I282),MAP!$E$7:$E$74,0)),"UNMAPPED")</f>
        <v>7e</v>
      </c>
      <c r="L282" s="49" t="n">
        <f aca="false">STACK!G282</f>
        <v>46039</v>
      </c>
      <c r="M282" s="59" t="n">
        <f aca="false">IF(G282&gt;0,IF(INDEX(CONFIRM!$G$5:$G$53,G282)&lt;&gt;"",INDEX(CONFIRM!$G$5:$G$53,G282),IF(ISNUMBER(L282),L282,IFERROR(DATEVALUE(L282),""))),IF(ISNUMBER(L282),L282,IFERROR(DATEVALUE(L282),"")))</f>
        <v>46039</v>
      </c>
      <c r="N282" s="1" t="str">
        <f aca="false">IF(M282="","Check",IF(AND(M282&gt;=INPUTS!$C$6,M282&lt;=INPUTS!$C$7),"Yes","No"))</f>
        <v>Yes</v>
      </c>
      <c r="O282" s="48" t="str">
        <f aca="false">STACK!H282</f>
        <v>Staff Chaplain</v>
      </c>
      <c r="P282" s="1" t="str">
        <f aca="false">IF(G282&gt;0,IF(INDEX(CONFIRM!$H$5:$H$53,G282)&lt;&gt;"",INDEX(CONFIRM!$H$5:$H$53,G282),IFERROR(INDEX(MAP!$B$7:$B$156,MATCH(TRIM(O282),MAP!$A$7:$A$156,0)),"UNMAPPED")),IFERROR(INDEX(MAP!$B$7:$B$156,MATCH(TRIM(O282),MAP!$A$7:$A$156,0)),"UNMAPPED"))</f>
        <v>Chaplain</v>
      </c>
      <c r="Q282" s="48" t="n">
        <f aca="false">STACK!I282</f>
        <v>2.25</v>
      </c>
      <c r="R282" s="60" t="n">
        <f aca="false">IF(G282&gt;0,IF(INDEX(CONFIRM!$F$5:$F$53,G282)&lt;&gt;"",INDEX(CONFIRM!$F$5:$F$53,G282),IF(ISNUMBER(Q282),Q282,IF(Q282="","",IFERROR(VALUE(TRIM(SUBSTITUTE(SUBSTITUTE(LOWER(Q282),"hrs",""),"hr",""))),"")))),IF(ISNUMBER(Q282),Q282,IF(Q282="","",IFERROR(VALUE(TRIM(SUBSTITUTE(SUBSTITUTE(LOWER(Q282),"hrs",""),"hr",""))),""))))</f>
        <v>2.25</v>
      </c>
      <c r="S282" s="57" t="n">
        <f aca="false">IFERROR(INDEX(RATES!$E$6:$E$28,MATCH(P282,RATES!$A$6:$A$28,0)),0)</f>
        <v>39.835</v>
      </c>
      <c r="T282" s="61" t="n">
        <f aca="false">IF(ISNUMBER(R282),R282,0)*S282</f>
        <v>89.62875</v>
      </c>
      <c r="U282" s="61" t="n">
        <f aca="false">T282*INDEX(INPUTS!$H$10:$H$14,MATCH(B282,INPUTS!$A$10:$A$14,0))</f>
        <v>16.58131875</v>
      </c>
      <c r="V282" s="61" t="n">
        <f aca="false">N(STACK!K282)</f>
        <v>40</v>
      </c>
      <c r="W282" s="61" t="n">
        <f aca="false">T282+U282+V282</f>
        <v>146.21006875</v>
      </c>
      <c r="X282" s="61" t="n">
        <f aca="false">N(STACK!L282)</f>
        <v>0</v>
      </c>
      <c r="Y282" s="61" t="n">
        <f aca="false">W282-X282</f>
        <v>146.21006875</v>
      </c>
      <c r="Z282" s="1" t="n">
        <f aca="false">N(STACK!J282)</f>
        <v>9</v>
      </c>
      <c r="AA282" s="1" t="str">
        <f aca="false">TRIM(IF(D282="UNMAPPED","Program not mapped. ","")&amp;IF(OR(K282="UNMAPPED",K282="UNASSIGNED"),"Category needs review. ","")&amp;IF(P282="UNMAPPED","Title not mapped. ","")&amp;IF(AND(P282&lt;&gt;"No staff time",R282=""),"Missing hours. ","")&amp;IF(M282="","Date not readable. ","")&amp;IF(N282="No","Outside fiscal year. ","")&amp;IF(AND(F282="Event",ISNUMBER(R282)),IF(R282&gt;12,"Event hours look high. ",""),"")&amp;IF(G282&gt;0,"See CONFIRM sheet.",""))</f>
        <v/>
      </c>
      <c r="AB282" s="1" t="n">
        <f aca="false">IF(N282="No",0,IF(REVIEW!O282=0,0,IF(G282&gt;0,IF(INDEX(CONFIRM!$J$5:$J$53,G282)&lt;&gt;"",INDEX(CONFIRM!$J$5:$J$53,G282),1),1)))</f>
        <v>1</v>
      </c>
      <c r="AC282" s="1" t="n">
        <f aca="false">IF(AB282=1,IF(COUNTIFS($B$5:B282,B282,$D$5:D282,D282,$AB$5:AB282,1)=1,1,0),0)</f>
        <v>0</v>
      </c>
    </row>
    <row r="283" customFormat="false" ht="15" hidden="false" customHeight="false" outlineLevel="0" collapsed="false">
      <c r="A283" s="48" t="str">
        <f aca="false">STACK!A283</f>
        <v>KVMC-0279</v>
      </c>
      <c r="B283" s="48" t="str">
        <f aca="false">STACK!B283</f>
        <v>KVMC</v>
      </c>
      <c r="C283" s="48" t="str">
        <f aca="false">STACK!E283</f>
        <v>Grief Support Group</v>
      </c>
      <c r="D283" s="1" t="str">
        <f aca="false">IFERROR(INDEX(MAP!$J$7:$J$101,MATCH(TRIM(C283),MAP!$I$7:$I$101,0)),"UNMAPPED")</f>
        <v>Grief Support Group</v>
      </c>
      <c r="E283" s="1" t="str">
        <f aca="false">IFERROR(INDEX(MAP!$K$7:$K$101,MATCH(TRIM(C283),MAP!$I$7:$I$101,0)),"")</f>
        <v>Behavioral health</v>
      </c>
      <c r="F283" s="1" t="str">
        <f aca="false">IFERROR(INDEX(MAP!$L$7:$L$101,MATCH(TRIM(C283),MAP!$I$7:$I$101,0)),"")</f>
        <v>Event</v>
      </c>
      <c r="G283" s="1" t="n">
        <f aca="false">IFERROR(MATCH(A283,CONFIRM!$A$5:$A$53,0),0)</f>
        <v>0</v>
      </c>
      <c r="H283" s="48" t="str">
        <f aca="false">STACK!F283</f>
        <v>Health Care Support Services</v>
      </c>
      <c r="I283" s="1" t="str">
        <f aca="false">IF(G283&gt;0,IF(INDEX(CONFIRM!$I$5:$I$53,G283)&lt;&gt;"",INDEX(CONFIRM!$I$5:$I$53,G283),H283),H283)</f>
        <v>Health Care Support Services</v>
      </c>
      <c r="J283" s="1" t="str">
        <f aca="false">IFERROR(INDEX(MAP!$F$7:$F$74,MATCH(TRIM(I283),MAP!$E$7:$E$74,0)),"UNMAPPED")</f>
        <v>Health care support services</v>
      </c>
      <c r="K283" s="1" t="str">
        <f aca="false">IFERROR(INDEX(MAP!$G$7:$G$74,MATCH(TRIM(I283),MAP!$E$7:$E$74,0)),"UNMAPPED")</f>
        <v>7e</v>
      </c>
      <c r="L283" s="49" t="n">
        <f aca="false">STACK!G283</f>
        <v>46039</v>
      </c>
      <c r="M283" s="59" t="n">
        <f aca="false">IF(G283&gt;0,IF(INDEX(CONFIRM!$G$5:$G$53,G283)&lt;&gt;"",INDEX(CONFIRM!$G$5:$G$53,G283),IF(ISNUMBER(L283),L283,IFERROR(DATEVALUE(L283),""))),IF(ISNUMBER(L283),L283,IFERROR(DATEVALUE(L283),"")))</f>
        <v>46039</v>
      </c>
      <c r="N283" s="1" t="str">
        <f aca="false">IF(M283="","Check",IF(AND(M283&gt;=INPUTS!$C$6,M283&lt;=INPUTS!$C$7),"Yes","No"))</f>
        <v>Yes</v>
      </c>
      <c r="O283" s="48" t="str">
        <f aca="false">STACK!H283</f>
        <v>Social Work</v>
      </c>
      <c r="P283" s="1" t="str">
        <f aca="false">IF(G283&gt;0,IF(INDEX(CONFIRM!$H$5:$H$53,G283)&lt;&gt;"",INDEX(CONFIRM!$H$5:$H$53,G283),IFERROR(INDEX(MAP!$B$7:$B$156,MATCH(TRIM(O283),MAP!$A$7:$A$156,0)),"UNMAPPED")),IFERROR(INDEX(MAP!$B$7:$B$156,MATCH(TRIM(O283),MAP!$A$7:$A$156,0)),"UNMAPPED"))</f>
        <v>Social Worker</v>
      </c>
      <c r="Q283" s="48" t="n">
        <f aca="false">STACK!I283</f>
        <v>1.5</v>
      </c>
      <c r="R283" s="60" t="n">
        <f aca="false">IF(G283&gt;0,IF(INDEX(CONFIRM!$F$5:$F$53,G283)&lt;&gt;"",INDEX(CONFIRM!$F$5:$F$53,G283),IF(ISNUMBER(Q283),Q283,IF(Q283="","",IFERROR(VALUE(TRIM(SUBSTITUTE(SUBSTITUTE(LOWER(Q283),"hrs",""),"hr",""))),"")))),IF(ISNUMBER(Q283),Q283,IF(Q283="","",IFERROR(VALUE(TRIM(SUBSTITUTE(SUBSTITUTE(LOWER(Q283),"hrs",""),"hr",""))),""))))</f>
        <v>1.5</v>
      </c>
      <c r="S283" s="57" t="n">
        <f aca="false">IFERROR(INDEX(RATES!$E$6:$E$28,MATCH(P283,RATES!$A$6:$A$28,0)),0)</f>
        <v>45.6175</v>
      </c>
      <c r="T283" s="61" t="n">
        <f aca="false">IF(ISNUMBER(R283),R283,0)*S283</f>
        <v>68.42625</v>
      </c>
      <c r="U283" s="61" t="n">
        <f aca="false">T283*INDEX(INPUTS!$H$10:$H$14,MATCH(B283,INPUTS!$A$10:$A$14,0))</f>
        <v>12.65885625</v>
      </c>
      <c r="V283" s="61" t="n">
        <f aca="false">N(STACK!K283)</f>
        <v>0</v>
      </c>
      <c r="W283" s="61" t="n">
        <f aca="false">T283+U283+V283</f>
        <v>81.08510625</v>
      </c>
      <c r="X283" s="61" t="n">
        <f aca="false">N(STACK!L283)</f>
        <v>0</v>
      </c>
      <c r="Y283" s="61" t="n">
        <f aca="false">W283-X283</f>
        <v>81.08510625</v>
      </c>
      <c r="Z283" s="1" t="n">
        <f aca="false">N(STACK!J283)</f>
        <v>0</v>
      </c>
      <c r="AA283" s="1" t="str">
        <f aca="false">TRIM(IF(D283="UNMAPPED","Program not mapped. ","")&amp;IF(OR(K283="UNMAPPED",K283="UNASSIGNED"),"Category needs review. ","")&amp;IF(P283="UNMAPPED","Title not mapped. ","")&amp;IF(AND(P283&lt;&gt;"No staff time",R283=""),"Missing hours. ","")&amp;IF(M283="","Date not readable. ","")&amp;IF(N283="No","Outside fiscal year. ","")&amp;IF(AND(F283="Event",ISNUMBER(R283)),IF(R283&gt;12,"Event hours look high. ",""),"")&amp;IF(G283&gt;0,"See CONFIRM sheet.",""))</f>
        <v/>
      </c>
      <c r="AB283" s="1" t="n">
        <f aca="false">IF(N283="No",0,IF(REVIEW!O283=0,0,IF(G283&gt;0,IF(INDEX(CONFIRM!$J$5:$J$53,G283)&lt;&gt;"",INDEX(CONFIRM!$J$5:$J$53,G283),1),1)))</f>
        <v>1</v>
      </c>
      <c r="AC283" s="1" t="n">
        <f aca="false">IF(AB283=1,IF(COUNTIFS($B$5:B283,B283,$D$5:D283,D283,$AB$5:AB283,1)=1,1,0),0)</f>
        <v>0</v>
      </c>
    </row>
    <row r="284" customFormat="false" ht="15" hidden="false" customHeight="false" outlineLevel="0" collapsed="false">
      <c r="A284" s="48" t="str">
        <f aca="false">STACK!A284</f>
        <v>KVMC-0280</v>
      </c>
      <c r="B284" s="48" t="str">
        <f aca="false">STACK!B284</f>
        <v>KVMC</v>
      </c>
      <c r="C284" s="48" t="str">
        <f aca="false">STACK!E284</f>
        <v>Childbirth and Newborn Care Classes</v>
      </c>
      <c r="D284" s="1" t="str">
        <f aca="false">IFERROR(INDEX(MAP!$J$7:$J$101,MATCH(TRIM(C284),MAP!$I$7:$I$101,0)),"UNMAPPED")</f>
        <v>Childbirth and Newborn Care Classes</v>
      </c>
      <c r="E284" s="1" t="str">
        <f aca="false">IFERROR(INDEX(MAP!$K$7:$K$101,MATCH(TRIM(C284),MAP!$I$7:$I$101,0)),"")</f>
        <v>Maternal and child health</v>
      </c>
      <c r="F284" s="1" t="str">
        <f aca="false">IFERROR(INDEX(MAP!$L$7:$L$101,MATCH(TRIM(C284),MAP!$I$7:$I$101,0)),"")</f>
        <v>Event</v>
      </c>
      <c r="G284" s="1" t="n">
        <f aca="false">IFERROR(MATCH(A284,CONFIRM!$A$5:$A$53,0),0)</f>
        <v>0</v>
      </c>
      <c r="H284" s="48" t="str">
        <f aca="false">STACK!F284</f>
        <v>Community Health Education</v>
      </c>
      <c r="I284" s="1" t="str">
        <f aca="false">IF(G284&gt;0,IF(INDEX(CONFIRM!$I$5:$I$53,G284)&lt;&gt;"",INDEX(CONFIRM!$I$5:$I$53,G284),H284),H284)</f>
        <v>Community Health Education</v>
      </c>
      <c r="J284" s="1" t="str">
        <f aca="false">IFERROR(INDEX(MAP!$F$7:$F$74,MATCH(TRIM(I284),MAP!$E$7:$E$74,0)),"UNMAPPED")</f>
        <v>Community health education</v>
      </c>
      <c r="K284" s="1" t="str">
        <f aca="false">IFERROR(INDEX(MAP!$G$7:$G$74,MATCH(TRIM(I284),MAP!$E$7:$E$74,0)),"UNMAPPED")</f>
        <v>7e</v>
      </c>
      <c r="L284" s="49" t="n">
        <f aca="false">STACK!G284</f>
        <v>46041</v>
      </c>
      <c r="M284" s="59" t="n">
        <f aca="false">IF(G284&gt;0,IF(INDEX(CONFIRM!$G$5:$G$53,G284)&lt;&gt;"",INDEX(CONFIRM!$G$5:$G$53,G284),IF(ISNUMBER(L284),L284,IFERROR(DATEVALUE(L284),""))),IF(ISNUMBER(L284),L284,IFERROR(DATEVALUE(L284),"")))</f>
        <v>46041</v>
      </c>
      <c r="N284" s="1" t="str">
        <f aca="false">IF(M284="","Check",IF(AND(M284&gt;=INPUTS!$C$6,M284&lt;=INPUTS!$C$7),"Yes","No"))</f>
        <v>Yes</v>
      </c>
      <c r="O284" s="48" t="str">
        <f aca="false">STACK!H284</f>
        <v>Preceptor RN</v>
      </c>
      <c r="P284" s="1" t="str">
        <f aca="false">IF(G284&gt;0,IF(INDEX(CONFIRM!$H$5:$H$53,G284)&lt;&gt;"",INDEX(CONFIRM!$H$5:$H$53,G284),IFERROR(INDEX(MAP!$B$7:$B$156,MATCH(TRIM(O284),MAP!$A$7:$A$156,0)),"UNMAPPED")),IFERROR(INDEX(MAP!$B$7:$B$156,MATCH(TRIM(O284),MAP!$A$7:$A$156,0)),"UNMAPPED"))</f>
        <v>Clinical Nurse Educator</v>
      </c>
      <c r="Q284" s="48" t="n">
        <f aca="false">STACK!I284</f>
        <v>3</v>
      </c>
      <c r="R284" s="60" t="n">
        <f aca="false">IF(G284&gt;0,IF(INDEX(CONFIRM!$F$5:$F$53,G284)&lt;&gt;"",INDEX(CONFIRM!$F$5:$F$53,G284),IF(ISNUMBER(Q284),Q284,IF(Q284="","",IFERROR(VALUE(TRIM(SUBSTITUTE(SUBSTITUTE(LOWER(Q284),"hrs",""),"hr",""))),"")))),IF(ISNUMBER(Q284),Q284,IF(Q284="","",IFERROR(VALUE(TRIM(SUBSTITUTE(SUBSTITUTE(LOWER(Q284),"hrs",""),"hr",""))),""))))</f>
        <v>3</v>
      </c>
      <c r="S284" s="57" t="n">
        <f aca="false">IFERROR(INDEX(RATES!$E$6:$E$28,MATCH(P284,RATES!$A$6:$A$28,0)),0)</f>
        <v>62.965</v>
      </c>
      <c r="T284" s="61" t="n">
        <f aca="false">IF(ISNUMBER(R284),R284,0)*S284</f>
        <v>188.895</v>
      </c>
      <c r="U284" s="61" t="n">
        <f aca="false">T284*INDEX(INPUTS!$H$10:$H$14,MATCH(B284,INPUTS!$A$10:$A$14,0))</f>
        <v>34.945575</v>
      </c>
      <c r="V284" s="61" t="n">
        <f aca="false">N(STACK!K284)</f>
        <v>160</v>
      </c>
      <c r="W284" s="61" t="n">
        <f aca="false">T284+U284+V284</f>
        <v>383.840575</v>
      </c>
      <c r="X284" s="61" t="n">
        <f aca="false">N(STACK!L284)</f>
        <v>320</v>
      </c>
      <c r="Y284" s="61" t="n">
        <f aca="false">W284-X284</f>
        <v>63.8405749999999</v>
      </c>
      <c r="Z284" s="1" t="n">
        <f aca="false">N(STACK!J284)</f>
        <v>16</v>
      </c>
      <c r="AA284" s="1" t="str">
        <f aca="false">TRIM(IF(D284="UNMAPPED","Program not mapped. ","")&amp;IF(OR(K284="UNMAPPED",K284="UNASSIGNED"),"Category needs review. ","")&amp;IF(P284="UNMAPPED","Title not mapped. ","")&amp;IF(AND(P284&lt;&gt;"No staff time",R284=""),"Missing hours. ","")&amp;IF(M284="","Date not readable. ","")&amp;IF(N284="No","Outside fiscal year. ","")&amp;IF(AND(F284="Event",ISNUMBER(R284)),IF(R284&gt;12,"Event hours look high. ",""),"")&amp;IF(G284&gt;0,"See CONFIRM sheet.",""))</f>
        <v/>
      </c>
      <c r="AB284" s="1" t="n">
        <f aca="false">IF(N284="No",0,IF(REVIEW!O284=0,0,IF(G284&gt;0,IF(INDEX(CONFIRM!$J$5:$J$53,G284)&lt;&gt;"",INDEX(CONFIRM!$J$5:$J$53,G284),1),1)))</f>
        <v>1</v>
      </c>
      <c r="AC284" s="1" t="n">
        <f aca="false">IF(AB284=1,IF(COUNTIFS($B$5:B284,B284,$D$5:D284,D284,$AB$5:AB284,1)=1,1,0),0)</f>
        <v>0</v>
      </c>
    </row>
    <row r="285" customFormat="false" ht="15" hidden="false" customHeight="false" outlineLevel="0" collapsed="false">
      <c r="A285" s="48" t="str">
        <f aca="false">STACK!A285</f>
        <v>KVMC-0281</v>
      </c>
      <c r="B285" s="48" t="str">
        <f aca="false">STACK!B285</f>
        <v>KVMC</v>
      </c>
      <c r="C285" s="48" t="str">
        <f aca="false">STACK!E285</f>
        <v>Diabetes Prevention Classes</v>
      </c>
      <c r="D285" s="1" t="str">
        <f aca="false">IFERROR(INDEX(MAP!$J$7:$J$101,MATCH(TRIM(C285),MAP!$I$7:$I$101,0)),"UNMAPPED")</f>
        <v>Diabetes Prevention Classes</v>
      </c>
      <c r="E285" s="1" t="str">
        <f aca="false">IFERROR(INDEX(MAP!$K$7:$K$101,MATCH(TRIM(C285),MAP!$I$7:$I$101,0)),"")</f>
        <v>Chronic disease prevention</v>
      </c>
      <c r="F285" s="1" t="str">
        <f aca="false">IFERROR(INDEX(MAP!$L$7:$L$101,MATCH(TRIM(C285),MAP!$I$7:$I$101,0)),"")</f>
        <v>Event</v>
      </c>
      <c r="G285" s="1" t="n">
        <f aca="false">IFERROR(MATCH(A285,CONFIRM!$A$5:$A$53,0),0)</f>
        <v>0</v>
      </c>
      <c r="H285" s="48" t="str">
        <f aca="false">STACK!F285</f>
        <v>Community Health Education</v>
      </c>
      <c r="I285" s="1" t="str">
        <f aca="false">IF(G285&gt;0,IF(INDEX(CONFIRM!$I$5:$I$53,G285)&lt;&gt;"",INDEX(CONFIRM!$I$5:$I$53,G285),H285),H285)</f>
        <v>Community Health Education</v>
      </c>
      <c r="J285" s="1" t="str">
        <f aca="false">IFERROR(INDEX(MAP!$F$7:$F$74,MATCH(TRIM(I285),MAP!$E$7:$E$74,0)),"UNMAPPED")</f>
        <v>Community health education</v>
      </c>
      <c r="K285" s="1" t="str">
        <f aca="false">IFERROR(INDEX(MAP!$G$7:$G$74,MATCH(TRIM(I285),MAP!$E$7:$E$74,0)),"UNMAPPED")</f>
        <v>7e</v>
      </c>
      <c r="L285" s="49" t="n">
        <f aca="false">STACK!G285</f>
        <v>46043</v>
      </c>
      <c r="M285" s="59" t="n">
        <f aca="false">IF(G285&gt;0,IF(INDEX(CONFIRM!$G$5:$G$53,G285)&lt;&gt;"",INDEX(CONFIRM!$G$5:$G$53,G285),IF(ISNUMBER(L285),L285,IFERROR(DATEVALUE(L285),""))),IF(ISNUMBER(L285),L285,IFERROR(DATEVALUE(L285),"")))</f>
        <v>46043</v>
      </c>
      <c r="N285" s="1" t="str">
        <f aca="false">IF(M285="","Check",IF(AND(M285&gt;=INPUTS!$C$6,M285&lt;=INPUTS!$C$7),"Yes","No"))</f>
        <v>Yes</v>
      </c>
      <c r="O285" s="48" t="str">
        <f aca="false">STACK!H285</f>
        <v>Hlth Educator</v>
      </c>
      <c r="P285" s="1" t="str">
        <f aca="false">IF(G285&gt;0,IF(INDEX(CONFIRM!$H$5:$H$53,G285)&lt;&gt;"",INDEX(CONFIRM!$H$5:$H$53,G285),IFERROR(INDEX(MAP!$B$7:$B$156,MATCH(TRIM(O285),MAP!$A$7:$A$156,0)),"UNMAPPED")),IFERROR(INDEX(MAP!$B$7:$B$156,MATCH(TRIM(O285),MAP!$A$7:$A$156,0)),"UNMAPPED"))</f>
        <v>Health Educator</v>
      </c>
      <c r="Q285" s="48" t="n">
        <f aca="false">STACK!I285</f>
        <v>2.5</v>
      </c>
      <c r="R285" s="60" t="n">
        <f aca="false">IF(G285&gt;0,IF(INDEX(CONFIRM!$F$5:$F$53,G285)&lt;&gt;"",INDEX(CONFIRM!$F$5:$F$53,G285),IF(ISNUMBER(Q285),Q285,IF(Q285="","",IFERROR(VALUE(TRIM(SUBSTITUTE(SUBSTITUTE(LOWER(Q285),"hrs",""),"hr",""))),"")))),IF(ISNUMBER(Q285),Q285,IF(Q285="","",IFERROR(VALUE(TRIM(SUBSTITUTE(SUBSTITUTE(LOWER(Q285),"hrs",""),"hr",""))),""))))</f>
        <v>2.5</v>
      </c>
      <c r="S285" s="57" t="n">
        <f aca="false">IFERROR(INDEX(RATES!$E$6:$E$28,MATCH(P285,RATES!$A$6:$A$28,0)),0)</f>
        <v>37.265</v>
      </c>
      <c r="T285" s="61" t="n">
        <f aca="false">IF(ISNUMBER(R285),R285,0)*S285</f>
        <v>93.1625</v>
      </c>
      <c r="U285" s="61" t="n">
        <f aca="false">T285*INDEX(INPUTS!$H$10:$H$14,MATCH(B285,INPUTS!$A$10:$A$14,0))</f>
        <v>17.2350625</v>
      </c>
      <c r="V285" s="61" t="n">
        <f aca="false">N(STACK!K285)</f>
        <v>80</v>
      </c>
      <c r="W285" s="61" t="n">
        <f aca="false">T285+U285+V285</f>
        <v>190.3975625</v>
      </c>
      <c r="X285" s="61" t="n">
        <f aca="false">N(STACK!L285)</f>
        <v>0</v>
      </c>
      <c r="Y285" s="61" t="n">
        <f aca="false">W285-X285</f>
        <v>190.3975625</v>
      </c>
      <c r="Z285" s="1" t="n">
        <f aca="false">N(STACK!J285)</f>
        <v>18</v>
      </c>
      <c r="AA285" s="1" t="str">
        <f aca="false">TRIM(IF(D285="UNMAPPED","Program not mapped. ","")&amp;IF(OR(K285="UNMAPPED",K285="UNASSIGNED"),"Category needs review. ","")&amp;IF(P285="UNMAPPED","Title not mapped. ","")&amp;IF(AND(P285&lt;&gt;"No staff time",R285=""),"Missing hours. ","")&amp;IF(M285="","Date not readable. ","")&amp;IF(N285="No","Outside fiscal year. ","")&amp;IF(AND(F285="Event",ISNUMBER(R285)),IF(R285&gt;12,"Event hours look high. ",""),"")&amp;IF(G285&gt;0,"See CONFIRM sheet.",""))</f>
        <v/>
      </c>
      <c r="AB285" s="1" t="n">
        <f aca="false">IF(N285="No",0,IF(REVIEW!O285=0,0,IF(G285&gt;0,IF(INDEX(CONFIRM!$J$5:$J$53,G285)&lt;&gt;"",INDEX(CONFIRM!$J$5:$J$53,G285),1),1)))</f>
        <v>1</v>
      </c>
      <c r="AC285" s="1" t="n">
        <f aca="false">IF(AB285=1,IF(COUNTIFS($B$5:B285,B285,$D$5:D285,D285,$AB$5:AB285,1)=1,1,0),0)</f>
        <v>0</v>
      </c>
    </row>
    <row r="286" customFormat="false" ht="15" hidden="false" customHeight="false" outlineLevel="0" collapsed="false">
      <c r="A286" s="48" t="str">
        <f aca="false">STACK!A286</f>
        <v>KVMC-0282</v>
      </c>
      <c r="B286" s="48" t="str">
        <f aca="false">STACK!B286</f>
        <v>KVMC</v>
      </c>
      <c r="C286" s="48" t="str">
        <f aca="false">STACK!E286</f>
        <v>Diabetes Prevention Classes</v>
      </c>
      <c r="D286" s="1" t="str">
        <f aca="false">IFERROR(INDEX(MAP!$J$7:$J$101,MATCH(TRIM(C286),MAP!$I$7:$I$101,0)),"UNMAPPED")</f>
        <v>Diabetes Prevention Classes</v>
      </c>
      <c r="E286" s="1" t="str">
        <f aca="false">IFERROR(INDEX(MAP!$K$7:$K$101,MATCH(TRIM(C286),MAP!$I$7:$I$101,0)),"")</f>
        <v>Chronic disease prevention</v>
      </c>
      <c r="F286" s="1" t="str">
        <f aca="false">IFERROR(INDEX(MAP!$L$7:$L$101,MATCH(TRIM(C286),MAP!$I$7:$I$101,0)),"")</f>
        <v>Event</v>
      </c>
      <c r="G286" s="1" t="n">
        <f aca="false">IFERROR(MATCH(A286,CONFIRM!$A$5:$A$53,0),0)</f>
        <v>0</v>
      </c>
      <c r="H286" s="48" t="str">
        <f aca="false">STACK!F286</f>
        <v>Community Health Education</v>
      </c>
      <c r="I286" s="1" t="str">
        <f aca="false">IF(G286&gt;0,IF(INDEX(CONFIRM!$I$5:$I$53,G286)&lt;&gt;"",INDEX(CONFIRM!$I$5:$I$53,G286),H286),H286)</f>
        <v>Community Health Education</v>
      </c>
      <c r="J286" s="1" t="str">
        <f aca="false">IFERROR(INDEX(MAP!$F$7:$F$74,MATCH(TRIM(I286),MAP!$E$7:$E$74,0)),"UNMAPPED")</f>
        <v>Community health education</v>
      </c>
      <c r="K286" s="1" t="str">
        <f aca="false">IFERROR(INDEX(MAP!$G$7:$G$74,MATCH(TRIM(I286),MAP!$E$7:$E$74,0)),"UNMAPPED")</f>
        <v>7e</v>
      </c>
      <c r="L286" s="49" t="n">
        <f aca="false">STACK!G286</f>
        <v>46043</v>
      </c>
      <c r="M286" s="59" t="n">
        <f aca="false">IF(G286&gt;0,IF(INDEX(CONFIRM!$G$5:$G$53,G286)&lt;&gt;"",INDEX(CONFIRM!$G$5:$G$53,G286),IF(ISNUMBER(L286),L286,IFERROR(DATEVALUE(L286),""))),IF(ISNUMBER(L286),L286,IFERROR(DATEVALUE(L286),"")))</f>
        <v>46043</v>
      </c>
      <c r="N286" s="1" t="str">
        <f aca="false">IF(M286="","Check",IF(AND(M286&gt;=INPUTS!$C$6,M286&lt;=INPUTS!$C$7),"Yes","No"))</f>
        <v>Yes</v>
      </c>
      <c r="O286" s="48" t="str">
        <f aca="false">STACK!H286</f>
        <v>Registered Dietitian</v>
      </c>
      <c r="P286" s="1" t="str">
        <f aca="false">IF(G286&gt;0,IF(INDEX(CONFIRM!$H$5:$H$53,G286)&lt;&gt;"",INDEX(CONFIRM!$H$5:$H$53,G286),IFERROR(INDEX(MAP!$B$7:$B$156,MATCH(TRIM(O286),MAP!$A$7:$A$156,0)),"UNMAPPED")),IFERROR(INDEX(MAP!$B$7:$B$156,MATCH(TRIM(O286),MAP!$A$7:$A$156,0)),"UNMAPPED"))</f>
        <v>Registered Dietitian</v>
      </c>
      <c r="Q286" s="48" t="n">
        <f aca="false">STACK!I286</f>
        <v>1.5</v>
      </c>
      <c r="R286" s="60" t="n">
        <f aca="false">IF(G286&gt;0,IF(INDEX(CONFIRM!$F$5:$F$53,G286)&lt;&gt;"",INDEX(CONFIRM!$F$5:$F$53,G286),IF(ISNUMBER(Q286),Q286,IF(Q286="","",IFERROR(VALUE(TRIM(SUBSTITUTE(SUBSTITUTE(LOWER(Q286),"hrs",""),"hr",""))),"")))),IF(ISNUMBER(Q286),Q286,IF(Q286="","",IFERROR(VALUE(TRIM(SUBSTITUTE(SUBSTITUTE(LOWER(Q286),"hrs",""),"hr",""))),""))))</f>
        <v>1.5</v>
      </c>
      <c r="S286" s="57" t="n">
        <f aca="false">IFERROR(INDEX(RATES!$E$6:$E$28,MATCH(P286,RATES!$A$6:$A$28,0)),0)</f>
        <v>46.9025</v>
      </c>
      <c r="T286" s="61" t="n">
        <f aca="false">IF(ISNUMBER(R286),R286,0)*S286</f>
        <v>70.35375</v>
      </c>
      <c r="U286" s="61" t="n">
        <f aca="false">T286*INDEX(INPUTS!$H$10:$H$14,MATCH(B286,INPUTS!$A$10:$A$14,0))</f>
        <v>13.01544375</v>
      </c>
      <c r="V286" s="61" t="n">
        <f aca="false">N(STACK!K286)</f>
        <v>0</v>
      </c>
      <c r="W286" s="61" t="n">
        <f aca="false">T286+U286+V286</f>
        <v>83.36919375</v>
      </c>
      <c r="X286" s="61" t="n">
        <f aca="false">N(STACK!L286)</f>
        <v>0</v>
      </c>
      <c r="Y286" s="61" t="n">
        <f aca="false">W286-X286</f>
        <v>83.36919375</v>
      </c>
      <c r="Z286" s="1" t="n">
        <f aca="false">N(STACK!J286)</f>
        <v>0</v>
      </c>
      <c r="AA286" s="1" t="str">
        <f aca="false">TRIM(IF(D286="UNMAPPED","Program not mapped. ","")&amp;IF(OR(K286="UNMAPPED",K286="UNASSIGNED"),"Category needs review. ","")&amp;IF(P286="UNMAPPED","Title not mapped. ","")&amp;IF(AND(P286&lt;&gt;"No staff time",R286=""),"Missing hours. ","")&amp;IF(M286="","Date not readable. ","")&amp;IF(N286="No","Outside fiscal year. ","")&amp;IF(AND(F286="Event",ISNUMBER(R286)),IF(R286&gt;12,"Event hours look high. ",""),"")&amp;IF(G286&gt;0,"See CONFIRM sheet.",""))</f>
        <v/>
      </c>
      <c r="AB286" s="1" t="n">
        <f aca="false">IF(N286="No",0,IF(REVIEW!O286=0,0,IF(G286&gt;0,IF(INDEX(CONFIRM!$J$5:$J$53,G286)&lt;&gt;"",INDEX(CONFIRM!$J$5:$J$53,G286),1),1)))</f>
        <v>1</v>
      </c>
      <c r="AC286" s="1" t="n">
        <f aca="false">IF(AB286=1,IF(COUNTIFS($B$5:B286,B286,$D$5:D286,D286,$AB$5:AB286,1)=1,1,0),0)</f>
        <v>0</v>
      </c>
    </row>
    <row r="287" customFormat="false" ht="15" hidden="false" customHeight="false" outlineLevel="0" collapsed="false">
      <c r="A287" s="48" t="str">
        <f aca="false">STACK!A287</f>
        <v>KVMC-0283</v>
      </c>
      <c r="B287" s="48" t="str">
        <f aca="false">STACK!B287</f>
        <v>KVMC</v>
      </c>
      <c r="C287" s="48" t="str">
        <f aca="false">STACK!E287</f>
        <v>Grief Support Group</v>
      </c>
      <c r="D287" s="1" t="str">
        <f aca="false">IFERROR(INDEX(MAP!$J$7:$J$101,MATCH(TRIM(C287),MAP!$I$7:$I$101,0)),"UNMAPPED")</f>
        <v>Grief Support Group</v>
      </c>
      <c r="E287" s="1" t="str">
        <f aca="false">IFERROR(INDEX(MAP!$K$7:$K$101,MATCH(TRIM(C287),MAP!$I$7:$I$101,0)),"")</f>
        <v>Behavioral health</v>
      </c>
      <c r="F287" s="1" t="str">
        <f aca="false">IFERROR(INDEX(MAP!$L$7:$L$101,MATCH(TRIM(C287),MAP!$I$7:$I$101,0)),"")</f>
        <v>Event</v>
      </c>
      <c r="G287" s="1" t="n">
        <f aca="false">IFERROR(MATCH(A287,CONFIRM!$A$5:$A$53,0),0)</f>
        <v>0</v>
      </c>
      <c r="H287" s="48" t="str">
        <f aca="false">STACK!F287</f>
        <v>Health Care Support Services</v>
      </c>
      <c r="I287" s="1" t="str">
        <f aca="false">IF(G287&gt;0,IF(INDEX(CONFIRM!$I$5:$I$53,G287)&lt;&gt;"",INDEX(CONFIRM!$I$5:$I$53,G287),H287),H287)</f>
        <v>Health Care Support Services</v>
      </c>
      <c r="J287" s="1" t="str">
        <f aca="false">IFERROR(INDEX(MAP!$F$7:$F$74,MATCH(TRIM(I287),MAP!$E$7:$E$74,0)),"UNMAPPED")</f>
        <v>Health care support services</v>
      </c>
      <c r="K287" s="1" t="str">
        <f aca="false">IFERROR(INDEX(MAP!$G$7:$G$74,MATCH(TRIM(I287),MAP!$E$7:$E$74,0)),"UNMAPPED")</f>
        <v>7e</v>
      </c>
      <c r="L287" s="49" t="n">
        <f aca="false">STACK!G287</f>
        <v>46046</v>
      </c>
      <c r="M287" s="59" t="n">
        <f aca="false">IF(G287&gt;0,IF(INDEX(CONFIRM!$G$5:$G$53,G287)&lt;&gt;"",INDEX(CONFIRM!$G$5:$G$53,G287),IF(ISNUMBER(L287),L287,IFERROR(DATEVALUE(L287),""))),IF(ISNUMBER(L287),L287,IFERROR(DATEVALUE(L287),"")))</f>
        <v>46046</v>
      </c>
      <c r="N287" s="1" t="str">
        <f aca="false">IF(M287="","Check",IF(AND(M287&gt;=INPUTS!$C$6,M287&lt;=INPUTS!$C$7),"Yes","No"))</f>
        <v>Yes</v>
      </c>
      <c r="O287" s="48" t="str">
        <f aca="false">STACK!H287</f>
        <v>Chaplain</v>
      </c>
      <c r="P287" s="1" t="str">
        <f aca="false">IF(G287&gt;0,IF(INDEX(CONFIRM!$H$5:$H$53,G287)&lt;&gt;"",INDEX(CONFIRM!$H$5:$H$53,G287),IFERROR(INDEX(MAP!$B$7:$B$156,MATCH(TRIM(O287),MAP!$A$7:$A$156,0)),"UNMAPPED")),IFERROR(INDEX(MAP!$B$7:$B$156,MATCH(TRIM(O287),MAP!$A$7:$A$156,0)),"UNMAPPED"))</f>
        <v>Chaplain</v>
      </c>
      <c r="Q287" s="48" t="n">
        <f aca="false">STACK!I287</f>
        <v>2</v>
      </c>
      <c r="R287" s="60" t="n">
        <f aca="false">IF(G287&gt;0,IF(INDEX(CONFIRM!$F$5:$F$53,G287)&lt;&gt;"",INDEX(CONFIRM!$F$5:$F$53,G287),IF(ISNUMBER(Q287),Q287,IF(Q287="","",IFERROR(VALUE(TRIM(SUBSTITUTE(SUBSTITUTE(LOWER(Q287),"hrs",""),"hr",""))),"")))),IF(ISNUMBER(Q287),Q287,IF(Q287="","",IFERROR(VALUE(TRIM(SUBSTITUTE(SUBSTITUTE(LOWER(Q287),"hrs",""),"hr",""))),""))))</f>
        <v>2</v>
      </c>
      <c r="S287" s="57" t="n">
        <f aca="false">IFERROR(INDEX(RATES!$E$6:$E$28,MATCH(P287,RATES!$A$6:$A$28,0)),0)</f>
        <v>39.835</v>
      </c>
      <c r="T287" s="61" t="n">
        <f aca="false">IF(ISNUMBER(R287),R287,0)*S287</f>
        <v>79.67</v>
      </c>
      <c r="U287" s="61" t="n">
        <f aca="false">T287*INDEX(INPUTS!$H$10:$H$14,MATCH(B287,INPUTS!$A$10:$A$14,0))</f>
        <v>14.73895</v>
      </c>
      <c r="V287" s="61" t="n">
        <f aca="false">N(STACK!K287)</f>
        <v>25</v>
      </c>
      <c r="W287" s="61" t="n">
        <f aca="false">T287+U287+V287</f>
        <v>119.40895</v>
      </c>
      <c r="X287" s="61" t="n">
        <f aca="false">N(STACK!L287)</f>
        <v>0</v>
      </c>
      <c r="Y287" s="61" t="n">
        <f aca="false">W287-X287</f>
        <v>119.40895</v>
      </c>
      <c r="Z287" s="1" t="n">
        <f aca="false">N(STACK!J287)</f>
        <v>13</v>
      </c>
      <c r="AA287" s="1" t="str">
        <f aca="false">TRIM(IF(D287="UNMAPPED","Program not mapped. ","")&amp;IF(OR(K287="UNMAPPED",K287="UNASSIGNED"),"Category needs review. ","")&amp;IF(P287="UNMAPPED","Title not mapped. ","")&amp;IF(AND(P287&lt;&gt;"No staff time",R287=""),"Missing hours. ","")&amp;IF(M287="","Date not readable. ","")&amp;IF(N287="No","Outside fiscal year. ","")&amp;IF(AND(F287="Event",ISNUMBER(R287)),IF(R287&gt;12,"Event hours look high. ",""),"")&amp;IF(G287&gt;0,"See CONFIRM sheet.",""))</f>
        <v/>
      </c>
      <c r="AB287" s="1" t="n">
        <f aca="false">IF(N287="No",0,IF(REVIEW!O287=0,0,IF(G287&gt;0,IF(INDEX(CONFIRM!$J$5:$J$53,G287)&lt;&gt;"",INDEX(CONFIRM!$J$5:$J$53,G287),1),1)))</f>
        <v>1</v>
      </c>
      <c r="AC287" s="1" t="n">
        <f aca="false">IF(AB287=1,IF(COUNTIFS($B$5:B287,B287,$D$5:D287,D287,$AB$5:AB287,1)=1,1,0),0)</f>
        <v>0</v>
      </c>
    </row>
    <row r="288" customFormat="false" ht="15" hidden="false" customHeight="false" outlineLevel="0" collapsed="false">
      <c r="A288" s="48" t="str">
        <f aca="false">STACK!A288</f>
        <v>KVMC-0284</v>
      </c>
      <c r="B288" s="48" t="str">
        <f aca="false">STACK!B288</f>
        <v>KVMC</v>
      </c>
      <c r="C288" s="48" t="str">
        <f aca="false">STACK!E288</f>
        <v>Grief Support Group</v>
      </c>
      <c r="D288" s="1" t="str">
        <f aca="false">IFERROR(INDEX(MAP!$J$7:$J$101,MATCH(TRIM(C288),MAP!$I$7:$I$101,0)),"UNMAPPED")</f>
        <v>Grief Support Group</v>
      </c>
      <c r="E288" s="1" t="str">
        <f aca="false">IFERROR(INDEX(MAP!$K$7:$K$101,MATCH(TRIM(C288),MAP!$I$7:$I$101,0)),"")</f>
        <v>Behavioral health</v>
      </c>
      <c r="F288" s="1" t="str">
        <f aca="false">IFERROR(INDEX(MAP!$L$7:$L$101,MATCH(TRIM(C288),MAP!$I$7:$I$101,0)),"")</f>
        <v>Event</v>
      </c>
      <c r="G288" s="1" t="n">
        <f aca="false">IFERROR(MATCH(A288,CONFIRM!$A$5:$A$53,0),0)</f>
        <v>0</v>
      </c>
      <c r="H288" s="48" t="str">
        <f aca="false">STACK!F288</f>
        <v>Health Care Support Services</v>
      </c>
      <c r="I288" s="1" t="str">
        <f aca="false">IF(G288&gt;0,IF(INDEX(CONFIRM!$I$5:$I$53,G288)&lt;&gt;"",INDEX(CONFIRM!$I$5:$I$53,G288),H288),H288)</f>
        <v>Health Care Support Services</v>
      </c>
      <c r="J288" s="1" t="str">
        <f aca="false">IFERROR(INDEX(MAP!$F$7:$F$74,MATCH(TRIM(I288),MAP!$E$7:$E$74,0)),"UNMAPPED")</f>
        <v>Health care support services</v>
      </c>
      <c r="K288" s="1" t="str">
        <f aca="false">IFERROR(INDEX(MAP!$G$7:$G$74,MATCH(TRIM(I288),MAP!$E$7:$E$74,0)),"UNMAPPED")</f>
        <v>7e</v>
      </c>
      <c r="L288" s="49" t="n">
        <f aca="false">STACK!G288</f>
        <v>46046</v>
      </c>
      <c r="M288" s="59" t="n">
        <f aca="false">IF(G288&gt;0,IF(INDEX(CONFIRM!$G$5:$G$53,G288)&lt;&gt;"",INDEX(CONFIRM!$G$5:$G$53,G288),IF(ISNUMBER(L288),L288,IFERROR(DATEVALUE(L288),""))),IF(ISNUMBER(L288),L288,IFERROR(DATEVALUE(L288),"")))</f>
        <v>46046</v>
      </c>
      <c r="N288" s="1" t="str">
        <f aca="false">IF(M288="","Check",IF(AND(M288&gt;=INPUTS!$C$6,M288&lt;=INPUTS!$C$7),"Yes","No"))</f>
        <v>Yes</v>
      </c>
      <c r="O288" s="48" t="str">
        <f aca="false">STACK!H288</f>
        <v> Social Worker</v>
      </c>
      <c r="P288" s="1" t="str">
        <f aca="false">IF(G288&gt;0,IF(INDEX(CONFIRM!$H$5:$H$53,G288)&lt;&gt;"",INDEX(CONFIRM!$H$5:$H$53,G288),IFERROR(INDEX(MAP!$B$7:$B$156,MATCH(TRIM(O288),MAP!$A$7:$A$156,0)),"UNMAPPED")),IFERROR(INDEX(MAP!$B$7:$B$156,MATCH(TRIM(O288),MAP!$A$7:$A$156,0)),"UNMAPPED"))</f>
        <v>Social Worker</v>
      </c>
      <c r="Q288" s="48" t="n">
        <f aca="false">STACK!I288</f>
        <v>2</v>
      </c>
      <c r="R288" s="60" t="n">
        <f aca="false">IF(G288&gt;0,IF(INDEX(CONFIRM!$F$5:$F$53,G288)&lt;&gt;"",INDEX(CONFIRM!$F$5:$F$53,G288),IF(ISNUMBER(Q288),Q288,IF(Q288="","",IFERROR(VALUE(TRIM(SUBSTITUTE(SUBSTITUTE(LOWER(Q288),"hrs",""),"hr",""))),"")))),IF(ISNUMBER(Q288),Q288,IF(Q288="","",IFERROR(VALUE(TRIM(SUBSTITUTE(SUBSTITUTE(LOWER(Q288),"hrs",""),"hr",""))),""))))</f>
        <v>2</v>
      </c>
      <c r="S288" s="57" t="n">
        <f aca="false">IFERROR(INDEX(RATES!$E$6:$E$28,MATCH(P288,RATES!$A$6:$A$28,0)),0)</f>
        <v>45.6175</v>
      </c>
      <c r="T288" s="61" t="n">
        <f aca="false">IF(ISNUMBER(R288),R288,0)*S288</f>
        <v>91.235</v>
      </c>
      <c r="U288" s="61" t="n">
        <f aca="false">T288*INDEX(INPUTS!$H$10:$H$14,MATCH(B288,INPUTS!$A$10:$A$14,0))</f>
        <v>16.878475</v>
      </c>
      <c r="V288" s="61" t="n">
        <f aca="false">N(STACK!K288)</f>
        <v>0</v>
      </c>
      <c r="W288" s="61" t="n">
        <f aca="false">T288+U288+V288</f>
        <v>108.113475</v>
      </c>
      <c r="X288" s="61" t="n">
        <f aca="false">N(STACK!L288)</f>
        <v>0</v>
      </c>
      <c r="Y288" s="61" t="n">
        <f aca="false">W288-X288</f>
        <v>108.113475</v>
      </c>
      <c r="Z288" s="1" t="n">
        <f aca="false">N(STACK!J288)</f>
        <v>0</v>
      </c>
      <c r="AA288" s="1" t="str">
        <f aca="false">TRIM(IF(D288="UNMAPPED","Program not mapped. ","")&amp;IF(OR(K288="UNMAPPED",K288="UNASSIGNED"),"Category needs review. ","")&amp;IF(P288="UNMAPPED","Title not mapped. ","")&amp;IF(AND(P288&lt;&gt;"No staff time",R288=""),"Missing hours. ","")&amp;IF(M288="","Date not readable. ","")&amp;IF(N288="No","Outside fiscal year. ","")&amp;IF(AND(F288="Event",ISNUMBER(R288)),IF(R288&gt;12,"Event hours look high. ",""),"")&amp;IF(G288&gt;0,"See CONFIRM sheet.",""))</f>
        <v/>
      </c>
      <c r="AB288" s="1" t="n">
        <f aca="false">IF(N288="No",0,IF(REVIEW!O288=0,0,IF(G288&gt;0,IF(INDEX(CONFIRM!$J$5:$J$53,G288)&lt;&gt;"",INDEX(CONFIRM!$J$5:$J$53,G288),1),1)))</f>
        <v>1</v>
      </c>
      <c r="AC288" s="1" t="n">
        <f aca="false">IF(AB288=1,IF(COUNTIFS($B$5:B288,B288,$D$5:D288,D288,$AB$5:AB288,1)=1,1,0),0)</f>
        <v>0</v>
      </c>
    </row>
    <row r="289" customFormat="false" ht="15" hidden="false" customHeight="false" outlineLevel="0" collapsed="false">
      <c r="A289" s="48" t="str">
        <f aca="false">STACK!A289</f>
        <v>KVMC-0285</v>
      </c>
      <c r="B289" s="48" t="str">
        <f aca="false">STACK!B289</f>
        <v>KVMC</v>
      </c>
      <c r="C289" s="48" t="str">
        <f aca="false">STACK!E289</f>
        <v>Regional Health Coalition</v>
      </c>
      <c r="D289" s="1" t="str">
        <f aca="false">IFERROR(INDEX(MAP!$J$7:$J$101,MATCH(TRIM(C289),MAP!$I$7:$I$101,0)),"UNMAPPED")</f>
        <v>Regional Health Coalition</v>
      </c>
      <c r="E289" s="1" t="str">
        <f aca="false">IFERROR(INDEX(MAP!$K$7:$K$101,MATCH(TRIM(C289),MAP!$I$7:$I$101,0)),"")</f>
        <v>Community benefit infrastructure</v>
      </c>
      <c r="F289" s="1" t="str">
        <f aca="false">IFERROR(INDEX(MAP!$L$7:$L$101,MATCH(TRIM(C289),MAP!$I$7:$I$101,0)),"")</f>
        <v>Event</v>
      </c>
      <c r="G289" s="1" t="n">
        <f aca="false">IFERROR(MATCH(A289,CONFIRM!$A$5:$A$53,0),0)</f>
        <v>0</v>
      </c>
      <c r="H289" s="48" t="str">
        <f aca="false">STACK!F289</f>
        <v>Community Building - Coalition</v>
      </c>
      <c r="I289" s="1" t="str">
        <f aca="false">IF(G289&gt;0,IF(INDEX(CONFIRM!$I$5:$I$53,G289)&lt;&gt;"",INDEX(CONFIRM!$I$5:$I$53,G289),H289),H289)</f>
        <v>Community Building - Coalition</v>
      </c>
      <c r="J289" s="1" t="str">
        <f aca="false">IFERROR(INDEX(MAP!$F$7:$F$74,MATCH(TRIM(I289),MAP!$E$7:$E$74,0)),"UNMAPPED")</f>
        <v>Community building: coalition building</v>
      </c>
      <c r="K289" s="1" t="str">
        <f aca="false">IFERROR(INDEX(MAP!$G$7:$G$74,MATCH(TRIM(I289),MAP!$E$7:$E$74,0)),"UNMAPPED")</f>
        <v>II-6</v>
      </c>
      <c r="L289" s="49" t="n">
        <f aca="false">STACK!G289</f>
        <v>46046</v>
      </c>
      <c r="M289" s="59" t="n">
        <f aca="false">IF(G289&gt;0,IF(INDEX(CONFIRM!$G$5:$G$53,G289)&lt;&gt;"",INDEX(CONFIRM!$G$5:$G$53,G289),IF(ISNUMBER(L289),L289,IFERROR(DATEVALUE(L289),""))),IF(ISNUMBER(L289),L289,IFERROR(DATEVALUE(L289),"")))</f>
        <v>46046</v>
      </c>
      <c r="N289" s="1" t="str">
        <f aca="false">IF(M289="","Check",IF(AND(M289&gt;=INPUTS!$C$6,M289&lt;=INPUTS!$C$7),"Yes","No"))</f>
        <v>Yes</v>
      </c>
      <c r="O289" s="48" t="str">
        <f aca="false">STACK!H289</f>
        <v>Mgr, Community Benefit</v>
      </c>
      <c r="P289" s="1" t="str">
        <f aca="false">IF(G289&gt;0,IF(INDEX(CONFIRM!$H$5:$H$53,G289)&lt;&gt;"",INDEX(CONFIRM!$H$5:$H$53,G289),IFERROR(INDEX(MAP!$B$7:$B$156,MATCH(TRIM(O289),MAP!$A$7:$A$156,0)),"UNMAPPED")),IFERROR(INDEX(MAP!$B$7:$B$156,MATCH(TRIM(O289),MAP!$A$7:$A$156,0)),"UNMAPPED"))</f>
        <v>Community Benefit Manager</v>
      </c>
      <c r="Q289" s="48" t="n">
        <f aca="false">STACK!I289</f>
        <v>2.5</v>
      </c>
      <c r="R289" s="60" t="n">
        <f aca="false">IF(G289&gt;0,IF(INDEX(CONFIRM!$F$5:$F$53,G289)&lt;&gt;"",INDEX(CONFIRM!$F$5:$F$53,G289),IF(ISNUMBER(Q289),Q289,IF(Q289="","",IFERROR(VALUE(TRIM(SUBSTITUTE(SUBSTITUTE(LOWER(Q289),"hrs",""),"hr",""))),"")))),IF(ISNUMBER(Q289),Q289,IF(Q289="","",IFERROR(VALUE(TRIM(SUBSTITUTE(SUBSTITUTE(LOWER(Q289),"hrs",""),"hr",""))),""))))</f>
        <v>2.5</v>
      </c>
      <c r="S289" s="57" t="n">
        <f aca="false">IFERROR(INDEX(RATES!$E$6:$E$28,MATCH(P289,RATES!$A$6:$A$28,0)),0)</f>
        <v>59.11</v>
      </c>
      <c r="T289" s="61" t="n">
        <f aca="false">IF(ISNUMBER(R289),R289,0)*S289</f>
        <v>147.775</v>
      </c>
      <c r="U289" s="61" t="n">
        <f aca="false">T289*INDEX(INPUTS!$H$10:$H$14,MATCH(B289,INPUTS!$A$10:$A$14,0))</f>
        <v>27.338375</v>
      </c>
      <c r="V289" s="61" t="n">
        <f aca="false">N(STACK!K289)</f>
        <v>0</v>
      </c>
      <c r="W289" s="61" t="n">
        <f aca="false">T289+U289+V289</f>
        <v>175.113375</v>
      </c>
      <c r="X289" s="61" t="n">
        <f aca="false">N(STACK!L289)</f>
        <v>0</v>
      </c>
      <c r="Y289" s="61" t="n">
        <f aca="false">W289-X289</f>
        <v>175.113375</v>
      </c>
      <c r="Z289" s="1" t="n">
        <f aca="false">N(STACK!J289)</f>
        <v>0</v>
      </c>
      <c r="AA289" s="1" t="str">
        <f aca="false">TRIM(IF(D289="UNMAPPED","Program not mapped. ","")&amp;IF(OR(K289="UNMAPPED",K289="UNASSIGNED"),"Category needs review. ","")&amp;IF(P289="UNMAPPED","Title not mapped. ","")&amp;IF(AND(P289&lt;&gt;"No staff time",R289=""),"Missing hours. ","")&amp;IF(M289="","Date not readable. ","")&amp;IF(N289="No","Outside fiscal year. ","")&amp;IF(AND(F289="Event",ISNUMBER(R289)),IF(R289&gt;12,"Event hours look high. ",""),"")&amp;IF(G289&gt;0,"See CONFIRM sheet.",""))</f>
        <v/>
      </c>
      <c r="AB289" s="1" t="n">
        <f aca="false">IF(N289="No",0,IF(REVIEW!O289=0,0,IF(G289&gt;0,IF(INDEX(CONFIRM!$J$5:$J$53,G289)&lt;&gt;"",INDEX(CONFIRM!$J$5:$J$53,G289),1),1)))</f>
        <v>1</v>
      </c>
      <c r="AC289" s="1" t="n">
        <f aca="false">IF(AB289=1,IF(COUNTIFS($B$5:B289,B289,$D$5:D289,D289,$AB$5:AB289,1)=1,1,0),0)</f>
        <v>0</v>
      </c>
    </row>
    <row r="290" customFormat="false" ht="15" hidden="false" customHeight="false" outlineLevel="0" collapsed="false">
      <c r="A290" s="48" t="str">
        <f aca="false">STACK!A290</f>
        <v>KVMC-0286</v>
      </c>
      <c r="B290" s="48" t="str">
        <f aca="false">STACK!B290</f>
        <v>KVMC</v>
      </c>
      <c r="C290" s="48" t="str">
        <f aca="false">STACK!E290</f>
        <v>Regional Health Coalition</v>
      </c>
      <c r="D290" s="1" t="str">
        <f aca="false">IFERROR(INDEX(MAP!$J$7:$J$101,MATCH(TRIM(C290),MAP!$I$7:$I$101,0)),"UNMAPPED")</f>
        <v>Regional Health Coalition</v>
      </c>
      <c r="E290" s="1" t="str">
        <f aca="false">IFERROR(INDEX(MAP!$K$7:$K$101,MATCH(TRIM(C290),MAP!$I$7:$I$101,0)),"")</f>
        <v>Community benefit infrastructure</v>
      </c>
      <c r="F290" s="1" t="str">
        <f aca="false">IFERROR(INDEX(MAP!$L$7:$L$101,MATCH(TRIM(C290),MAP!$I$7:$I$101,0)),"")</f>
        <v>Event</v>
      </c>
      <c r="G290" s="1" t="n">
        <f aca="false">IFERROR(MATCH(A290,CONFIRM!$A$5:$A$53,0),0)</f>
        <v>0</v>
      </c>
      <c r="H290" s="48" t="str">
        <f aca="false">STACK!F290</f>
        <v>Community Building - Coalition</v>
      </c>
      <c r="I290" s="1" t="str">
        <f aca="false">IF(G290&gt;0,IF(INDEX(CONFIRM!$I$5:$I$53,G290)&lt;&gt;"",INDEX(CONFIRM!$I$5:$I$53,G290),H290),H290)</f>
        <v>Community Building - Coalition</v>
      </c>
      <c r="J290" s="1" t="str">
        <f aca="false">IFERROR(INDEX(MAP!$F$7:$F$74,MATCH(TRIM(I290),MAP!$E$7:$E$74,0)),"UNMAPPED")</f>
        <v>Community building: coalition building</v>
      </c>
      <c r="K290" s="1" t="str">
        <f aca="false">IFERROR(INDEX(MAP!$G$7:$G$74,MATCH(TRIM(I290),MAP!$E$7:$E$74,0)),"UNMAPPED")</f>
        <v>II-6</v>
      </c>
      <c r="L290" s="49" t="n">
        <f aca="false">STACK!G290</f>
        <v>46046</v>
      </c>
      <c r="M290" s="59" t="n">
        <f aca="false">IF(G290&gt;0,IF(INDEX(CONFIRM!$G$5:$G$53,G290)&lt;&gt;"",INDEX(CONFIRM!$G$5:$G$53,G290),IF(ISNUMBER(L290),L290,IFERROR(DATEVALUE(L290),""))),IF(ISNUMBER(L290),L290,IFERROR(DATEVALUE(L290),"")))</f>
        <v>46046</v>
      </c>
      <c r="N290" s="1" t="str">
        <f aca="false">IF(M290="","Check",IF(AND(M290&gt;=INPUTS!$C$6,M290&lt;=INPUTS!$C$7),"Yes","No"))</f>
        <v>Yes</v>
      </c>
      <c r="O290" s="48" t="str">
        <f aca="false">STACK!H290</f>
        <v>Executive Director</v>
      </c>
      <c r="P290" s="1" t="str">
        <f aca="false">IF(G290&gt;0,IF(INDEX(CONFIRM!$H$5:$H$53,G290)&lt;&gt;"",INDEX(CONFIRM!$H$5:$H$53,G290),IFERROR(INDEX(MAP!$B$7:$B$156,MATCH(TRIM(O290),MAP!$A$7:$A$156,0)),"UNMAPPED")),IFERROR(INDEX(MAP!$B$7:$B$156,MATCH(TRIM(O290),MAP!$A$7:$A$156,0)),"UNMAPPED"))</f>
        <v>Director</v>
      </c>
      <c r="Q290" s="48" t="n">
        <f aca="false">STACK!I290</f>
        <v>2.5</v>
      </c>
      <c r="R290" s="60" t="n">
        <f aca="false">IF(G290&gt;0,IF(INDEX(CONFIRM!$F$5:$F$53,G290)&lt;&gt;"",INDEX(CONFIRM!$F$5:$F$53,G290),IF(ISNUMBER(Q290),Q290,IF(Q290="","",IFERROR(VALUE(TRIM(SUBSTITUTE(SUBSTITUTE(LOWER(Q290),"hrs",""),"hr",""))),"")))),IF(ISNUMBER(Q290),Q290,IF(Q290="","",IFERROR(VALUE(TRIM(SUBSTITUTE(SUBSTITUTE(LOWER(Q290),"hrs",""),"hr",""))),""))))</f>
        <v>2.5</v>
      </c>
      <c r="S290" s="57" t="n">
        <f aca="false">IFERROR(INDEX(RATES!$E$6:$E$28,MATCH(P290,RATES!$A$6:$A$28,0)),0)</f>
        <v>92.52</v>
      </c>
      <c r="T290" s="61" t="n">
        <f aca="false">IF(ISNUMBER(R290),R290,0)*S290</f>
        <v>231.3</v>
      </c>
      <c r="U290" s="61" t="n">
        <f aca="false">T290*INDEX(INPUTS!$H$10:$H$14,MATCH(B290,INPUTS!$A$10:$A$14,0))</f>
        <v>42.7905</v>
      </c>
      <c r="V290" s="61" t="n">
        <f aca="false">N(STACK!K290)</f>
        <v>40</v>
      </c>
      <c r="W290" s="61" t="n">
        <f aca="false">T290+U290+V290</f>
        <v>314.0905</v>
      </c>
      <c r="X290" s="61" t="n">
        <f aca="false">N(STACK!L290)</f>
        <v>0</v>
      </c>
      <c r="Y290" s="61" t="n">
        <f aca="false">W290-X290</f>
        <v>314.0905</v>
      </c>
      <c r="Z290" s="1" t="n">
        <f aca="false">N(STACK!J290)</f>
        <v>0</v>
      </c>
      <c r="AA290" s="1" t="str">
        <f aca="false">TRIM(IF(D290="UNMAPPED","Program not mapped. ","")&amp;IF(OR(K290="UNMAPPED",K290="UNASSIGNED"),"Category needs review. ","")&amp;IF(P290="UNMAPPED","Title not mapped. ","")&amp;IF(AND(P290&lt;&gt;"No staff time",R290=""),"Missing hours. ","")&amp;IF(M290="","Date not readable. ","")&amp;IF(N290="No","Outside fiscal year. ","")&amp;IF(AND(F290="Event",ISNUMBER(R290)),IF(R290&gt;12,"Event hours look high. ",""),"")&amp;IF(G290&gt;0,"See CONFIRM sheet.",""))</f>
        <v/>
      </c>
      <c r="AB290" s="1" t="n">
        <f aca="false">IF(N290="No",0,IF(REVIEW!O290=0,0,IF(G290&gt;0,IF(INDEX(CONFIRM!$J$5:$J$53,G290)&lt;&gt;"",INDEX(CONFIRM!$J$5:$J$53,G290),1),1)))</f>
        <v>1</v>
      </c>
      <c r="AC290" s="1" t="n">
        <f aca="false">IF(AB290=1,IF(COUNTIFS($B$5:B290,B290,$D$5:D290,D290,$AB$5:AB290,1)=1,1,0),0)</f>
        <v>0</v>
      </c>
    </row>
    <row r="291" customFormat="false" ht="15" hidden="false" customHeight="false" outlineLevel="0" collapsed="false">
      <c r="A291" s="48" t="str">
        <f aca="false">STACK!A291</f>
        <v>KVMC-0287</v>
      </c>
      <c r="B291" s="48" t="str">
        <f aca="false">STACK!B291</f>
        <v>KVMC</v>
      </c>
      <c r="C291" s="48" t="str">
        <f aca="false">STACK!E291</f>
        <v>Mobile Health Screening Unit</v>
      </c>
      <c r="D291" s="1" t="str">
        <f aca="false">IFERROR(INDEX(MAP!$J$7:$J$101,MATCH(TRIM(C291),MAP!$I$7:$I$101,0)),"UNMAPPED")</f>
        <v>Mobile Health Screening Unit</v>
      </c>
      <c r="E291" s="1" t="str">
        <f aca="false">IFERROR(INDEX(MAP!$K$7:$K$101,MATCH(TRIM(C291),MAP!$I$7:$I$101,0)),"")</f>
        <v>Access to care</v>
      </c>
      <c r="F291" s="1" t="str">
        <f aca="false">IFERROR(INDEX(MAP!$L$7:$L$101,MATCH(TRIM(C291),MAP!$I$7:$I$101,0)),"")</f>
        <v>Monthly</v>
      </c>
      <c r="G291" s="1" t="n">
        <f aca="false">IFERROR(MATCH(A291,CONFIRM!$A$5:$A$53,0),0)</f>
        <v>0</v>
      </c>
      <c r="H291" s="48" t="str">
        <f aca="false">STACK!F291</f>
        <v>Community-Based Clinical Services</v>
      </c>
      <c r="I291" s="1" t="str">
        <f aca="false">IF(G291&gt;0,IF(INDEX(CONFIRM!$I$5:$I$53,G291)&lt;&gt;"",INDEX(CONFIRM!$I$5:$I$53,G291),H291),H291)</f>
        <v>Community-Based Clinical Services</v>
      </c>
      <c r="J291" s="1" t="str">
        <f aca="false">IFERROR(INDEX(MAP!$F$7:$F$74,MATCH(TRIM(I291),MAP!$E$7:$E$74,0)),"UNMAPPED")</f>
        <v>Community-based clinical services</v>
      </c>
      <c r="K291" s="1" t="str">
        <f aca="false">IFERROR(INDEX(MAP!$G$7:$G$74,MATCH(TRIM(I291),MAP!$E$7:$E$74,0)),"UNMAPPED")</f>
        <v>7e</v>
      </c>
      <c r="L291" s="49" t="n">
        <f aca="false">STACK!G291</f>
        <v>46053</v>
      </c>
      <c r="M291" s="59" t="n">
        <f aca="false">IF(G291&gt;0,IF(INDEX(CONFIRM!$G$5:$G$53,G291)&lt;&gt;"",INDEX(CONFIRM!$G$5:$G$53,G291),IF(ISNUMBER(L291),L291,IFERROR(DATEVALUE(L291),""))),IF(ISNUMBER(L291),L291,IFERROR(DATEVALUE(L291),"")))</f>
        <v>46053</v>
      </c>
      <c r="N291" s="1" t="str">
        <f aca="false">IF(M291="","Check",IF(AND(M291&gt;=INPUTS!$C$6,M291&lt;=INPUTS!$C$7),"Yes","No"))</f>
        <v>Yes</v>
      </c>
      <c r="O291" s="48" t="str">
        <f aca="false">STACK!H291</f>
        <v>Community Health Worker</v>
      </c>
      <c r="P291" s="1" t="str">
        <f aca="false">IF(G291&gt;0,IF(INDEX(CONFIRM!$H$5:$H$53,G291)&lt;&gt;"",INDEX(CONFIRM!$H$5:$H$53,G291),IFERROR(INDEX(MAP!$B$7:$B$156,MATCH(TRIM(O291),MAP!$A$7:$A$156,0)),"UNMAPPED")),IFERROR(INDEX(MAP!$B$7:$B$156,MATCH(TRIM(O291),MAP!$A$7:$A$156,0)),"UNMAPPED"))</f>
        <v>Community Health Worker</v>
      </c>
      <c r="Q291" s="48" t="n">
        <f aca="false">STACK!I291</f>
        <v>92.75</v>
      </c>
      <c r="R291" s="60" t="n">
        <f aca="false">IF(G291&gt;0,IF(INDEX(CONFIRM!$F$5:$F$53,G291)&lt;&gt;"",INDEX(CONFIRM!$F$5:$F$53,G291),IF(ISNUMBER(Q291),Q291,IF(Q291="","",IFERROR(VALUE(TRIM(SUBSTITUTE(SUBSTITUTE(LOWER(Q291),"hrs",""),"hr",""))),"")))),IF(ISNUMBER(Q291),Q291,IF(Q291="","",IFERROR(VALUE(TRIM(SUBSTITUTE(SUBSTITUTE(LOWER(Q291),"hrs",""),"hr",""))),""))))</f>
        <v>92.75</v>
      </c>
      <c r="S291" s="57" t="n">
        <f aca="false">IFERROR(INDEX(RATES!$E$6:$E$28,MATCH(P291,RATES!$A$6:$A$28,0)),0)</f>
        <v>27.6275</v>
      </c>
      <c r="T291" s="61" t="n">
        <f aca="false">IF(ISNUMBER(R291),R291,0)*S291</f>
        <v>2562.450625</v>
      </c>
      <c r="U291" s="61" t="n">
        <f aca="false">T291*INDEX(INPUTS!$H$10:$H$14,MATCH(B291,INPUTS!$A$10:$A$14,0))</f>
        <v>474.053365625</v>
      </c>
      <c r="V291" s="61" t="n">
        <f aca="false">N(STACK!K291)</f>
        <v>0</v>
      </c>
      <c r="W291" s="61" t="n">
        <f aca="false">T291+U291+V291</f>
        <v>3036.503990625</v>
      </c>
      <c r="X291" s="61" t="n">
        <f aca="false">N(STACK!L291)</f>
        <v>0</v>
      </c>
      <c r="Y291" s="61" t="n">
        <f aca="false">W291-X291</f>
        <v>3036.503990625</v>
      </c>
      <c r="Z291" s="1" t="n">
        <f aca="false">N(STACK!J291)</f>
        <v>0</v>
      </c>
      <c r="AA291" s="1" t="str">
        <f aca="false">TRIM(IF(D291="UNMAPPED","Program not mapped. ","")&amp;IF(OR(K291="UNMAPPED",K291="UNASSIGNED"),"Category needs review. ","")&amp;IF(P291="UNMAPPED","Title not mapped. ","")&amp;IF(AND(P291&lt;&gt;"No staff time",R291=""),"Missing hours. ","")&amp;IF(M291="","Date not readable. ","")&amp;IF(N291="No","Outside fiscal year. ","")&amp;IF(AND(F291="Event",ISNUMBER(R291)),IF(R291&gt;12,"Event hours look high. ",""),"")&amp;IF(G291&gt;0,"See CONFIRM sheet.",""))</f>
        <v/>
      </c>
      <c r="AB291" s="1" t="n">
        <f aca="false">IF(N291="No",0,IF(REVIEW!O291=0,0,IF(G291&gt;0,IF(INDEX(CONFIRM!$J$5:$J$53,G291)&lt;&gt;"",INDEX(CONFIRM!$J$5:$J$53,G291),1),1)))</f>
        <v>1</v>
      </c>
      <c r="AC291" s="1" t="n">
        <f aca="false">IF(AB291=1,IF(COUNTIFS($B$5:B291,B291,$D$5:D291,D291,$AB$5:AB291,1)=1,1,0),0)</f>
        <v>0</v>
      </c>
    </row>
    <row r="292" customFormat="false" ht="15" hidden="false" customHeight="false" outlineLevel="0" collapsed="false">
      <c r="A292" s="48" t="str">
        <f aca="false">STACK!A292</f>
        <v>KVMC-0288</v>
      </c>
      <c r="B292" s="48" t="str">
        <f aca="false">STACK!B292</f>
        <v>KVMC</v>
      </c>
      <c r="C292" s="48" t="str">
        <f aca="false">STACK!E292</f>
        <v>Mobile Health Screening Unit</v>
      </c>
      <c r="D292" s="1" t="str">
        <f aca="false">IFERROR(INDEX(MAP!$J$7:$J$101,MATCH(TRIM(C292),MAP!$I$7:$I$101,0)),"UNMAPPED")</f>
        <v>Mobile Health Screening Unit</v>
      </c>
      <c r="E292" s="1" t="str">
        <f aca="false">IFERROR(INDEX(MAP!$K$7:$K$101,MATCH(TRIM(C292),MAP!$I$7:$I$101,0)),"")</f>
        <v>Access to care</v>
      </c>
      <c r="F292" s="1" t="str">
        <f aca="false">IFERROR(INDEX(MAP!$L$7:$L$101,MATCH(TRIM(C292),MAP!$I$7:$I$101,0)),"")</f>
        <v>Monthly</v>
      </c>
      <c r="G292" s="1" t="n">
        <f aca="false">IFERROR(MATCH(A292,CONFIRM!$A$5:$A$53,0),0)</f>
        <v>0</v>
      </c>
      <c r="H292" s="48" t="str">
        <f aca="false">STACK!F292</f>
        <v>Community-Based Clinical Services</v>
      </c>
      <c r="I292" s="1" t="str">
        <f aca="false">IF(G292&gt;0,IF(INDEX(CONFIRM!$I$5:$I$53,G292)&lt;&gt;"",INDEX(CONFIRM!$I$5:$I$53,G292),H292),H292)</f>
        <v>Community-Based Clinical Services</v>
      </c>
      <c r="J292" s="1" t="str">
        <f aca="false">IFERROR(INDEX(MAP!$F$7:$F$74,MATCH(TRIM(I292),MAP!$E$7:$E$74,0)),"UNMAPPED")</f>
        <v>Community-based clinical services</v>
      </c>
      <c r="K292" s="1" t="str">
        <f aca="false">IFERROR(INDEX(MAP!$G$7:$G$74,MATCH(TRIM(I292),MAP!$E$7:$E$74,0)),"UNMAPPED")</f>
        <v>7e</v>
      </c>
      <c r="L292" s="49" t="n">
        <f aca="false">STACK!G292</f>
        <v>46053</v>
      </c>
      <c r="M292" s="59" t="n">
        <f aca="false">IF(G292&gt;0,IF(INDEX(CONFIRM!$G$5:$G$53,G292)&lt;&gt;"",INDEX(CONFIRM!$G$5:$G$53,G292),IF(ISNUMBER(L292),L292,IFERROR(DATEVALUE(L292),""))),IF(ISNUMBER(L292),L292,IFERROR(DATEVALUE(L292),"")))</f>
        <v>46053</v>
      </c>
      <c r="N292" s="1" t="str">
        <f aca="false">IF(M292="","Check",IF(AND(M292&gt;=INPUTS!$C$6,M292&lt;=INPUTS!$C$7),"Yes","No"))</f>
        <v>Yes</v>
      </c>
      <c r="O292" s="48" t="str">
        <f aca="false">STACK!H292</f>
        <v>Certified Medical Assistant</v>
      </c>
      <c r="P292" s="1" t="str">
        <f aca="false">IF(G292&gt;0,IF(INDEX(CONFIRM!$H$5:$H$53,G292)&lt;&gt;"",INDEX(CONFIRM!$H$5:$H$53,G292),IFERROR(INDEX(MAP!$B$7:$B$156,MATCH(TRIM(O292),MAP!$A$7:$A$156,0)),"UNMAPPED")),IFERROR(INDEX(MAP!$B$7:$B$156,MATCH(TRIM(O292),MAP!$A$7:$A$156,0)),"UNMAPPED"))</f>
        <v>Medical Assistant</v>
      </c>
      <c r="Q292" s="48" t="n">
        <f aca="false">STACK!I292</f>
        <v>97</v>
      </c>
      <c r="R292" s="60" t="n">
        <f aca="false">IF(G292&gt;0,IF(INDEX(CONFIRM!$F$5:$F$53,G292)&lt;&gt;"",INDEX(CONFIRM!$F$5:$F$53,G292),IF(ISNUMBER(Q292),Q292,IF(Q292="","",IFERROR(VALUE(TRIM(SUBSTITUTE(SUBSTITUTE(LOWER(Q292),"hrs",""),"hr",""))),"")))),IF(ISNUMBER(Q292),Q292,IF(Q292="","",IFERROR(VALUE(TRIM(SUBSTITUTE(SUBSTITUTE(LOWER(Q292),"hrs",""),"hr",""))),""))))</f>
        <v>97</v>
      </c>
      <c r="S292" s="57" t="n">
        <f aca="false">IFERROR(INDEX(RATES!$E$6:$E$28,MATCH(P292,RATES!$A$6:$A$28,0)),0)</f>
        <v>25.37875</v>
      </c>
      <c r="T292" s="61" t="n">
        <f aca="false">IF(ISNUMBER(R292),R292,0)*S292</f>
        <v>2461.73875</v>
      </c>
      <c r="U292" s="61" t="n">
        <f aca="false">T292*INDEX(INPUTS!$H$10:$H$14,MATCH(B292,INPUTS!$A$10:$A$14,0))</f>
        <v>455.42166875</v>
      </c>
      <c r="V292" s="61" t="n">
        <f aca="false">N(STACK!K292)</f>
        <v>0</v>
      </c>
      <c r="W292" s="61" t="n">
        <f aca="false">T292+U292+V292</f>
        <v>2917.16041875</v>
      </c>
      <c r="X292" s="61" t="n">
        <f aca="false">N(STACK!L292)</f>
        <v>0</v>
      </c>
      <c r="Y292" s="61" t="n">
        <f aca="false">W292-X292</f>
        <v>2917.16041875</v>
      </c>
      <c r="Z292" s="1" t="n">
        <f aca="false">N(STACK!J292)</f>
        <v>0</v>
      </c>
      <c r="AA292" s="1" t="str">
        <f aca="false">TRIM(IF(D292="UNMAPPED","Program not mapped. ","")&amp;IF(OR(K292="UNMAPPED",K292="UNASSIGNED"),"Category needs review. ","")&amp;IF(P292="UNMAPPED","Title not mapped. ","")&amp;IF(AND(P292&lt;&gt;"No staff time",R292=""),"Missing hours. ","")&amp;IF(M292="","Date not readable. ","")&amp;IF(N292="No","Outside fiscal year. ","")&amp;IF(AND(F292="Event",ISNUMBER(R292)),IF(R292&gt;12,"Event hours look high. ",""),"")&amp;IF(G292&gt;0,"See CONFIRM sheet.",""))</f>
        <v/>
      </c>
      <c r="AB292" s="1" t="n">
        <f aca="false">IF(N292="No",0,IF(REVIEW!O292=0,0,IF(G292&gt;0,IF(INDEX(CONFIRM!$J$5:$J$53,G292)&lt;&gt;"",INDEX(CONFIRM!$J$5:$J$53,G292),1),1)))</f>
        <v>1</v>
      </c>
      <c r="AC292" s="1" t="n">
        <f aca="false">IF(AB292=1,IF(COUNTIFS($B$5:B292,B292,$D$5:D292,D292,$AB$5:AB292,1)=1,1,0),0)</f>
        <v>0</v>
      </c>
    </row>
    <row r="293" customFormat="false" ht="15" hidden="false" customHeight="false" outlineLevel="0" collapsed="false">
      <c r="A293" s="48" t="str">
        <f aca="false">STACK!A293</f>
        <v>KVMC-0289</v>
      </c>
      <c r="B293" s="48" t="str">
        <f aca="false">STACK!B293</f>
        <v>KVMC</v>
      </c>
      <c r="C293" s="48" t="str">
        <f aca="false">STACK!E293</f>
        <v>Mobile Health Screening Unit</v>
      </c>
      <c r="D293" s="1" t="str">
        <f aca="false">IFERROR(INDEX(MAP!$J$7:$J$101,MATCH(TRIM(C293),MAP!$I$7:$I$101,0)),"UNMAPPED")</f>
        <v>Mobile Health Screening Unit</v>
      </c>
      <c r="E293" s="1" t="str">
        <f aca="false">IFERROR(INDEX(MAP!$K$7:$K$101,MATCH(TRIM(C293),MAP!$I$7:$I$101,0)),"")</f>
        <v>Access to care</v>
      </c>
      <c r="F293" s="1" t="str">
        <f aca="false">IFERROR(INDEX(MAP!$L$7:$L$101,MATCH(TRIM(C293),MAP!$I$7:$I$101,0)),"")</f>
        <v>Monthly</v>
      </c>
      <c r="G293" s="1" t="n">
        <f aca="false">IFERROR(MATCH(A293,CONFIRM!$A$5:$A$53,0),0)</f>
        <v>0</v>
      </c>
      <c r="H293" s="48" t="str">
        <f aca="false">STACK!F293</f>
        <v>Community-Based Clinical Services</v>
      </c>
      <c r="I293" s="1" t="str">
        <f aca="false">IF(G293&gt;0,IF(INDEX(CONFIRM!$I$5:$I$53,G293)&lt;&gt;"",INDEX(CONFIRM!$I$5:$I$53,G293),H293),H293)</f>
        <v>Community-Based Clinical Services</v>
      </c>
      <c r="J293" s="1" t="str">
        <f aca="false">IFERROR(INDEX(MAP!$F$7:$F$74,MATCH(TRIM(I293),MAP!$E$7:$E$74,0)),"UNMAPPED")</f>
        <v>Community-based clinical services</v>
      </c>
      <c r="K293" s="1" t="str">
        <f aca="false">IFERROR(INDEX(MAP!$G$7:$G$74,MATCH(TRIM(I293),MAP!$E$7:$E$74,0)),"UNMAPPED")</f>
        <v>7e</v>
      </c>
      <c r="L293" s="49" t="n">
        <f aca="false">STACK!G293</f>
        <v>46053</v>
      </c>
      <c r="M293" s="59" t="n">
        <f aca="false">IF(G293&gt;0,IF(INDEX(CONFIRM!$G$5:$G$53,G293)&lt;&gt;"",INDEX(CONFIRM!$G$5:$G$53,G293),IF(ISNUMBER(L293),L293,IFERROR(DATEVALUE(L293),""))),IF(ISNUMBER(L293),L293,IFERROR(DATEVALUE(L293),"")))</f>
        <v>46053</v>
      </c>
      <c r="N293" s="1" t="str">
        <f aca="false">IF(M293="","Check",IF(AND(M293&gt;=INPUTS!$C$6,M293&lt;=INPUTS!$C$7),"Yes","No"))</f>
        <v>Yes</v>
      </c>
      <c r="O293" s="48" t="str">
        <f aca="false">STACK!H293</f>
        <v>Clinical RN</v>
      </c>
      <c r="P293" s="1" t="str">
        <f aca="false">IF(G293&gt;0,IF(INDEX(CONFIRM!$H$5:$H$53,G293)&lt;&gt;"",INDEX(CONFIRM!$H$5:$H$53,G293),IFERROR(INDEX(MAP!$B$7:$B$156,MATCH(TRIM(O293),MAP!$A$7:$A$156,0)),"UNMAPPED")),IFERROR(INDEX(MAP!$B$7:$B$156,MATCH(TRIM(O293),MAP!$A$7:$A$156,0)),"UNMAPPED"))</f>
        <v>Registered Nurse</v>
      </c>
      <c r="Q293" s="48" t="n">
        <f aca="false">STACK!I293</f>
        <v>120.5</v>
      </c>
      <c r="R293" s="60" t="n">
        <f aca="false">IF(G293&gt;0,IF(INDEX(CONFIRM!$F$5:$F$53,G293)&lt;&gt;"",INDEX(CONFIRM!$F$5:$F$53,G293),IF(ISNUMBER(Q293),Q293,IF(Q293="","",IFERROR(VALUE(TRIM(SUBSTITUTE(SUBSTITUTE(LOWER(Q293),"hrs",""),"hr",""))),"")))),IF(ISNUMBER(Q293),Q293,IF(Q293="","",IFERROR(VALUE(TRIM(SUBSTITUTE(SUBSTITUTE(LOWER(Q293),"hrs",""),"hr",""))),""))))</f>
        <v>120.5</v>
      </c>
      <c r="S293" s="57" t="n">
        <f aca="false">IFERROR(INDEX(RATES!$E$6:$E$28,MATCH(P293,RATES!$A$6:$A$28,0)),0)</f>
        <v>55.8975</v>
      </c>
      <c r="T293" s="61" t="n">
        <f aca="false">IF(ISNUMBER(R293),R293,0)*S293</f>
        <v>6735.64875</v>
      </c>
      <c r="U293" s="61" t="n">
        <f aca="false">T293*INDEX(INPUTS!$H$10:$H$14,MATCH(B293,INPUTS!$A$10:$A$14,0))</f>
        <v>1246.09501875</v>
      </c>
      <c r="V293" s="61" t="n">
        <f aca="false">N(STACK!K293)</f>
        <v>10585</v>
      </c>
      <c r="W293" s="61" t="n">
        <f aca="false">T293+U293+V293</f>
        <v>18566.74376875</v>
      </c>
      <c r="X293" s="61" t="n">
        <f aca="false">N(STACK!L293)</f>
        <v>0</v>
      </c>
      <c r="Y293" s="61" t="n">
        <f aca="false">W293-X293</f>
        <v>18566.74376875</v>
      </c>
      <c r="Z293" s="1" t="n">
        <f aca="false">N(STACK!J293)</f>
        <v>321</v>
      </c>
      <c r="AA293" s="1" t="str">
        <f aca="false">TRIM(IF(D293="UNMAPPED","Program not mapped. ","")&amp;IF(OR(K293="UNMAPPED",K293="UNASSIGNED"),"Category needs review. ","")&amp;IF(P293="UNMAPPED","Title not mapped. ","")&amp;IF(AND(P293&lt;&gt;"No staff time",R293=""),"Missing hours. ","")&amp;IF(M293="","Date not readable. ","")&amp;IF(N293="No","Outside fiscal year. ","")&amp;IF(AND(F293="Event",ISNUMBER(R293)),IF(R293&gt;12,"Event hours look high. ",""),"")&amp;IF(G293&gt;0,"See CONFIRM sheet.",""))</f>
        <v/>
      </c>
      <c r="AB293" s="1" t="n">
        <f aca="false">IF(N293="No",0,IF(REVIEW!O293=0,0,IF(G293&gt;0,IF(INDEX(CONFIRM!$J$5:$J$53,G293)&lt;&gt;"",INDEX(CONFIRM!$J$5:$J$53,G293),1),1)))</f>
        <v>1</v>
      </c>
      <c r="AC293" s="1" t="n">
        <f aca="false">IF(AB293=1,IF(COUNTIFS($B$5:B293,B293,$D$5:D293,D293,$AB$5:AB293,1)=1,1,0),0)</f>
        <v>0</v>
      </c>
    </row>
    <row r="294" customFormat="false" ht="15" hidden="false" customHeight="false" outlineLevel="0" collapsed="false">
      <c r="A294" s="48" t="str">
        <f aca="false">STACK!A294</f>
        <v>KVMC-0290</v>
      </c>
      <c r="B294" s="48" t="str">
        <f aca="false">STACK!B294</f>
        <v>KVMC</v>
      </c>
      <c r="C294" s="48" t="str">
        <f aca="false">STACK!E294</f>
        <v>Free Clinic Provider Staffing</v>
      </c>
      <c r="D294" s="1" t="str">
        <f aca="false">IFERROR(INDEX(MAP!$J$7:$J$101,MATCH(TRIM(C294),MAP!$I$7:$I$101,0)),"UNMAPPED")</f>
        <v>Free Clinic Provider Staffing</v>
      </c>
      <c r="E294" s="1" t="str">
        <f aca="false">IFERROR(INDEX(MAP!$K$7:$K$101,MATCH(TRIM(C294),MAP!$I$7:$I$101,0)),"")</f>
        <v>Access to care</v>
      </c>
      <c r="F294" s="1" t="str">
        <f aca="false">IFERROR(INDEX(MAP!$L$7:$L$101,MATCH(TRIM(C294),MAP!$I$7:$I$101,0)),"")</f>
        <v>Monthly</v>
      </c>
      <c r="G294" s="1" t="n">
        <f aca="false">IFERROR(MATCH(A294,CONFIRM!$A$5:$A$53,0),0)</f>
        <v>0</v>
      </c>
      <c r="H294" s="48" t="str">
        <f aca="false">STACK!F294</f>
        <v>Community-Based Clinical Services</v>
      </c>
      <c r="I294" s="1" t="str">
        <f aca="false">IF(G294&gt;0,IF(INDEX(CONFIRM!$I$5:$I$53,G294)&lt;&gt;"",INDEX(CONFIRM!$I$5:$I$53,G294),H294),H294)</f>
        <v>Community-Based Clinical Services</v>
      </c>
      <c r="J294" s="1" t="str">
        <f aca="false">IFERROR(INDEX(MAP!$F$7:$F$74,MATCH(TRIM(I294),MAP!$E$7:$E$74,0)),"UNMAPPED")</f>
        <v>Community-based clinical services</v>
      </c>
      <c r="K294" s="1" t="str">
        <f aca="false">IFERROR(INDEX(MAP!$G$7:$G$74,MATCH(TRIM(I294),MAP!$E$7:$E$74,0)),"UNMAPPED")</f>
        <v>7e</v>
      </c>
      <c r="L294" s="49" t="n">
        <f aca="false">STACK!G294</f>
        <v>46053</v>
      </c>
      <c r="M294" s="59" t="n">
        <f aca="false">IF(G294&gt;0,IF(INDEX(CONFIRM!$G$5:$G$53,G294)&lt;&gt;"",INDEX(CONFIRM!$G$5:$G$53,G294),IF(ISNUMBER(L294),L294,IFERROR(DATEVALUE(L294),""))),IF(ISNUMBER(L294),L294,IFERROR(DATEVALUE(L294),"")))</f>
        <v>46053</v>
      </c>
      <c r="N294" s="1" t="str">
        <f aca="false">IF(M294="","Check",IF(AND(M294&gt;=INPUTS!$C$6,M294&lt;=INPUTS!$C$7),"Yes","No"))</f>
        <v>Yes</v>
      </c>
      <c r="O294" s="48" t="str">
        <f aca="false">STACK!H294</f>
        <v>Family NP</v>
      </c>
      <c r="P294" s="1" t="str">
        <f aca="false">IF(G294&gt;0,IF(INDEX(CONFIRM!$H$5:$H$53,G294)&lt;&gt;"",INDEX(CONFIRM!$H$5:$H$53,G294),IFERROR(INDEX(MAP!$B$7:$B$156,MATCH(TRIM(O294),MAP!$A$7:$A$156,0)),"UNMAPPED")),IFERROR(INDEX(MAP!$B$7:$B$156,MATCH(TRIM(O294),MAP!$A$7:$A$156,0)),"UNMAPPED"))</f>
        <v>Nurse Practitioner</v>
      </c>
      <c r="Q294" s="48" t="n">
        <f aca="false">STACK!I294</f>
        <v>39</v>
      </c>
      <c r="R294" s="60" t="n">
        <f aca="false">IF(G294&gt;0,IF(INDEX(CONFIRM!$F$5:$F$53,G294)&lt;&gt;"",INDEX(CONFIRM!$F$5:$F$53,G294),IF(ISNUMBER(Q294),Q294,IF(Q294="","",IFERROR(VALUE(TRIM(SUBSTITUTE(SUBSTITUTE(LOWER(Q294),"hrs",""),"hr",""))),"")))),IF(ISNUMBER(Q294),Q294,IF(Q294="","",IFERROR(VALUE(TRIM(SUBSTITUTE(SUBSTITUTE(LOWER(Q294),"hrs",""),"hr",""))),""))))</f>
        <v>39</v>
      </c>
      <c r="S294" s="57" t="n">
        <f aca="false">IFERROR(INDEX(RATES!$E$6:$E$28,MATCH(P294,RATES!$A$6:$A$28,0)),0)</f>
        <v>79.67</v>
      </c>
      <c r="T294" s="61" t="n">
        <f aca="false">IF(ISNUMBER(R294),R294,0)*S294</f>
        <v>3107.13</v>
      </c>
      <c r="U294" s="61" t="n">
        <f aca="false">T294*INDEX(INPUTS!$H$10:$H$14,MATCH(B294,INPUTS!$A$10:$A$14,0))</f>
        <v>574.81905</v>
      </c>
      <c r="V294" s="61" t="n">
        <f aca="false">N(STACK!K294)</f>
        <v>4615</v>
      </c>
      <c r="W294" s="61" t="n">
        <f aca="false">T294+U294+V294</f>
        <v>8296.94905</v>
      </c>
      <c r="X294" s="61" t="n">
        <f aca="false">N(STACK!L294)</f>
        <v>0</v>
      </c>
      <c r="Y294" s="61" t="n">
        <f aca="false">W294-X294</f>
        <v>8296.94905</v>
      </c>
      <c r="Z294" s="1" t="n">
        <f aca="false">N(STACK!J294)</f>
        <v>397</v>
      </c>
      <c r="AA294" s="1" t="str">
        <f aca="false">TRIM(IF(D294="UNMAPPED","Program not mapped. ","")&amp;IF(OR(K294="UNMAPPED",K294="UNASSIGNED"),"Category needs review. ","")&amp;IF(P294="UNMAPPED","Title not mapped. ","")&amp;IF(AND(P294&lt;&gt;"No staff time",R294=""),"Missing hours. ","")&amp;IF(M294="","Date not readable. ","")&amp;IF(N294="No","Outside fiscal year. ","")&amp;IF(AND(F294="Event",ISNUMBER(R294)),IF(R294&gt;12,"Event hours look high. ",""),"")&amp;IF(G294&gt;0,"See CONFIRM sheet.",""))</f>
        <v/>
      </c>
      <c r="AB294" s="1" t="n">
        <f aca="false">IF(N294="No",0,IF(REVIEW!O294=0,0,IF(G294&gt;0,IF(INDEX(CONFIRM!$J$5:$J$53,G294)&lt;&gt;"",INDEX(CONFIRM!$J$5:$J$53,G294),1),1)))</f>
        <v>1</v>
      </c>
      <c r="AC294" s="1" t="n">
        <f aca="false">IF(AB294=1,IF(COUNTIFS($B$5:B294,B294,$D$5:D294,D294,$AB$5:AB294,1)=1,1,0),0)</f>
        <v>0</v>
      </c>
    </row>
    <row r="295" customFormat="false" ht="15" hidden="false" customHeight="false" outlineLevel="0" collapsed="false">
      <c r="A295" s="48" t="str">
        <f aca="false">STACK!A295</f>
        <v>KVMC-0291</v>
      </c>
      <c r="B295" s="48" t="str">
        <f aca="false">STACK!B295</f>
        <v>KVMC</v>
      </c>
      <c r="C295" s="48" t="str">
        <f aca="false">STACK!E295</f>
        <v>Free Clinic Provider Staffing</v>
      </c>
      <c r="D295" s="1" t="str">
        <f aca="false">IFERROR(INDEX(MAP!$J$7:$J$101,MATCH(TRIM(C295),MAP!$I$7:$I$101,0)),"UNMAPPED")</f>
        <v>Free Clinic Provider Staffing</v>
      </c>
      <c r="E295" s="1" t="str">
        <f aca="false">IFERROR(INDEX(MAP!$K$7:$K$101,MATCH(TRIM(C295),MAP!$I$7:$I$101,0)),"")</f>
        <v>Access to care</v>
      </c>
      <c r="F295" s="1" t="str">
        <f aca="false">IFERROR(INDEX(MAP!$L$7:$L$101,MATCH(TRIM(C295),MAP!$I$7:$I$101,0)),"")</f>
        <v>Monthly</v>
      </c>
      <c r="G295" s="1" t="n">
        <f aca="false">IFERROR(MATCH(A295,CONFIRM!$A$5:$A$53,0),0)</f>
        <v>0</v>
      </c>
      <c r="H295" s="48" t="str">
        <f aca="false">STACK!F295</f>
        <v>Community-Based Clinical Services</v>
      </c>
      <c r="I295" s="1" t="str">
        <f aca="false">IF(G295&gt;0,IF(INDEX(CONFIRM!$I$5:$I$53,G295)&lt;&gt;"",INDEX(CONFIRM!$I$5:$I$53,G295),H295),H295)</f>
        <v>Community-Based Clinical Services</v>
      </c>
      <c r="J295" s="1" t="str">
        <f aca="false">IFERROR(INDEX(MAP!$F$7:$F$74,MATCH(TRIM(I295),MAP!$E$7:$E$74,0)),"UNMAPPED")</f>
        <v>Community-based clinical services</v>
      </c>
      <c r="K295" s="1" t="str">
        <f aca="false">IFERROR(INDEX(MAP!$G$7:$G$74,MATCH(TRIM(I295),MAP!$E$7:$E$74,0)),"UNMAPPED")</f>
        <v>7e</v>
      </c>
      <c r="L295" s="49" t="n">
        <f aca="false">STACK!G295</f>
        <v>46053</v>
      </c>
      <c r="M295" s="59" t="n">
        <f aca="false">IF(G295&gt;0,IF(INDEX(CONFIRM!$G$5:$G$53,G295)&lt;&gt;"",INDEX(CONFIRM!$G$5:$G$53,G295),IF(ISNUMBER(L295),L295,IFERROR(DATEVALUE(L295),""))),IF(ISNUMBER(L295),L295,IFERROR(DATEVALUE(L295),"")))</f>
        <v>46053</v>
      </c>
      <c r="N295" s="1" t="str">
        <f aca="false">IF(M295="","Check",IF(AND(M295&gt;=INPUTS!$C$6,M295&lt;=INPUTS!$C$7),"Yes","No"))</f>
        <v>Yes</v>
      </c>
      <c r="O295" s="48" t="str">
        <f aca="false">STACK!H295</f>
        <v>Pharmacist</v>
      </c>
      <c r="P295" s="1" t="str">
        <f aca="false">IF(G295&gt;0,IF(INDEX(CONFIRM!$H$5:$H$53,G295)&lt;&gt;"",INDEX(CONFIRM!$H$5:$H$53,G295),IFERROR(INDEX(MAP!$B$7:$B$156,MATCH(TRIM(O295),MAP!$A$7:$A$156,0)),"UNMAPPED")),IFERROR(INDEX(MAP!$B$7:$B$156,MATCH(TRIM(O295),MAP!$A$7:$A$156,0)),"UNMAPPED"))</f>
        <v>Pharmacist</v>
      </c>
      <c r="Q295" s="48" t="n">
        <f aca="false">STACK!I295</f>
        <v>19.5</v>
      </c>
      <c r="R295" s="60" t="n">
        <f aca="false">IF(G295&gt;0,IF(INDEX(CONFIRM!$F$5:$F$53,G295)&lt;&gt;"",INDEX(CONFIRM!$F$5:$F$53,G295),IF(ISNUMBER(Q295),Q295,IF(Q295="","",IFERROR(VALUE(TRIM(SUBSTITUTE(SUBSTITUTE(LOWER(Q295),"hrs",""),"hr",""))),"")))),IF(ISNUMBER(Q295),Q295,IF(Q295="","",IFERROR(VALUE(TRIM(SUBSTITUTE(SUBSTITUTE(LOWER(Q295),"hrs",""),"hr",""))),""))))</f>
        <v>19.5</v>
      </c>
      <c r="S295" s="57" t="n">
        <f aca="false">IFERROR(INDEX(RATES!$E$6:$E$28,MATCH(P295,RATES!$A$6:$A$28,0)),0)</f>
        <v>84.81</v>
      </c>
      <c r="T295" s="61" t="n">
        <f aca="false">IF(ISNUMBER(R295),R295,0)*S295</f>
        <v>1653.795</v>
      </c>
      <c r="U295" s="61" t="n">
        <f aca="false">T295*INDEX(INPUTS!$H$10:$H$14,MATCH(B295,INPUTS!$A$10:$A$14,0))</f>
        <v>305.952075</v>
      </c>
      <c r="V295" s="61" t="n">
        <f aca="false">N(STACK!K295)</f>
        <v>0</v>
      </c>
      <c r="W295" s="61" t="n">
        <f aca="false">T295+U295+V295</f>
        <v>1959.747075</v>
      </c>
      <c r="X295" s="61" t="n">
        <f aca="false">N(STACK!L295)</f>
        <v>0</v>
      </c>
      <c r="Y295" s="61" t="n">
        <f aca="false">W295-X295</f>
        <v>1959.747075</v>
      </c>
      <c r="Z295" s="1" t="n">
        <f aca="false">N(STACK!J295)</f>
        <v>0</v>
      </c>
      <c r="AA295" s="1" t="str">
        <f aca="false">TRIM(IF(D295="UNMAPPED","Program not mapped. ","")&amp;IF(OR(K295="UNMAPPED",K295="UNASSIGNED"),"Category needs review. ","")&amp;IF(P295="UNMAPPED","Title not mapped. ","")&amp;IF(AND(P295&lt;&gt;"No staff time",R295=""),"Missing hours. ","")&amp;IF(M295="","Date not readable. ","")&amp;IF(N295="No","Outside fiscal year. ","")&amp;IF(AND(F295="Event",ISNUMBER(R295)),IF(R295&gt;12,"Event hours look high. ",""),"")&amp;IF(G295&gt;0,"See CONFIRM sheet.",""))</f>
        <v/>
      </c>
      <c r="AB295" s="1" t="n">
        <f aca="false">IF(N295="No",0,IF(REVIEW!O295=0,0,IF(G295&gt;0,IF(INDEX(CONFIRM!$J$5:$J$53,G295)&lt;&gt;"",INDEX(CONFIRM!$J$5:$J$53,G295),1),1)))</f>
        <v>1</v>
      </c>
      <c r="AC295" s="1" t="n">
        <f aca="false">IF(AB295=1,IF(COUNTIFS($B$5:B295,B295,$D$5:D295,D295,$AB$5:AB295,1)=1,1,0),0)</f>
        <v>0</v>
      </c>
    </row>
    <row r="296" customFormat="false" ht="15" hidden="false" customHeight="false" outlineLevel="0" collapsed="false">
      <c r="A296" s="48" t="str">
        <f aca="false">STACK!A296</f>
        <v>KVMC-0292</v>
      </c>
      <c r="B296" s="48" t="str">
        <f aca="false">STACK!B296</f>
        <v>KVMC</v>
      </c>
      <c r="C296" s="48" t="str">
        <f aca="false">STACK!E296</f>
        <v>Free Clinic Provider Staffing</v>
      </c>
      <c r="D296" s="1" t="str">
        <f aca="false">IFERROR(INDEX(MAP!$J$7:$J$101,MATCH(TRIM(C296),MAP!$I$7:$I$101,0)),"UNMAPPED")</f>
        <v>Free Clinic Provider Staffing</v>
      </c>
      <c r="E296" s="1" t="str">
        <f aca="false">IFERROR(INDEX(MAP!$K$7:$K$101,MATCH(TRIM(C296),MAP!$I$7:$I$101,0)),"")</f>
        <v>Access to care</v>
      </c>
      <c r="F296" s="1" t="str">
        <f aca="false">IFERROR(INDEX(MAP!$L$7:$L$101,MATCH(TRIM(C296),MAP!$I$7:$I$101,0)),"")</f>
        <v>Monthly</v>
      </c>
      <c r="G296" s="1" t="n">
        <f aca="false">IFERROR(MATCH(A296,CONFIRM!$A$5:$A$53,0),0)</f>
        <v>0</v>
      </c>
      <c r="H296" s="48" t="str">
        <f aca="false">STACK!F296</f>
        <v>Community-Based Clinical Services</v>
      </c>
      <c r="I296" s="1" t="str">
        <f aca="false">IF(G296&gt;0,IF(INDEX(CONFIRM!$I$5:$I$53,G296)&lt;&gt;"",INDEX(CONFIRM!$I$5:$I$53,G296),H296),H296)</f>
        <v>Community-Based Clinical Services</v>
      </c>
      <c r="J296" s="1" t="str">
        <f aca="false">IFERROR(INDEX(MAP!$F$7:$F$74,MATCH(TRIM(I296),MAP!$E$7:$E$74,0)),"UNMAPPED")</f>
        <v>Community-based clinical services</v>
      </c>
      <c r="K296" s="1" t="str">
        <f aca="false">IFERROR(INDEX(MAP!$G$7:$G$74,MATCH(TRIM(I296),MAP!$E$7:$E$74,0)),"UNMAPPED")</f>
        <v>7e</v>
      </c>
      <c r="L296" s="49" t="n">
        <f aca="false">STACK!G296</f>
        <v>46053</v>
      </c>
      <c r="M296" s="59" t="n">
        <f aca="false">IF(G296&gt;0,IF(INDEX(CONFIRM!$G$5:$G$53,G296)&lt;&gt;"",INDEX(CONFIRM!$G$5:$G$53,G296),IF(ISNUMBER(L296),L296,IFERROR(DATEVALUE(L296),""))),IF(ISNUMBER(L296),L296,IFERROR(DATEVALUE(L296),"")))</f>
        <v>46053</v>
      </c>
      <c r="N296" s="1" t="str">
        <f aca="false">IF(M296="","Check",IF(AND(M296&gt;=INPUTS!$C$6,M296&lt;=INPUTS!$C$7),"Yes","No"))</f>
        <v>Yes</v>
      </c>
      <c r="O296" s="48" t="str">
        <f aca="false">STACK!H296</f>
        <v>Reg Nurse</v>
      </c>
      <c r="P296" s="1" t="str">
        <f aca="false">IF(G296&gt;0,IF(INDEX(CONFIRM!$H$5:$H$53,G296)&lt;&gt;"",INDEX(CONFIRM!$H$5:$H$53,G296),IFERROR(INDEX(MAP!$B$7:$B$156,MATCH(TRIM(O296),MAP!$A$7:$A$156,0)),"UNMAPPED")),IFERROR(INDEX(MAP!$B$7:$B$156,MATCH(TRIM(O296),MAP!$A$7:$A$156,0)),"UNMAPPED"))</f>
        <v>Registered Nurse</v>
      </c>
      <c r="Q296" s="48" t="n">
        <f aca="false">STACK!I296</f>
        <v>59</v>
      </c>
      <c r="R296" s="60" t="n">
        <f aca="false">IF(G296&gt;0,IF(INDEX(CONFIRM!$F$5:$F$53,G296)&lt;&gt;"",INDEX(CONFIRM!$F$5:$F$53,G296),IF(ISNUMBER(Q296),Q296,IF(Q296="","",IFERROR(VALUE(TRIM(SUBSTITUTE(SUBSTITUTE(LOWER(Q296),"hrs",""),"hr",""))),"")))),IF(ISNUMBER(Q296),Q296,IF(Q296="","",IFERROR(VALUE(TRIM(SUBSTITUTE(SUBSTITUTE(LOWER(Q296),"hrs",""),"hr",""))),""))))</f>
        <v>59</v>
      </c>
      <c r="S296" s="57" t="n">
        <f aca="false">IFERROR(INDEX(RATES!$E$6:$E$28,MATCH(P296,RATES!$A$6:$A$28,0)),0)</f>
        <v>55.8975</v>
      </c>
      <c r="T296" s="61" t="n">
        <f aca="false">IF(ISNUMBER(R296),R296,0)*S296</f>
        <v>3297.9525</v>
      </c>
      <c r="U296" s="61" t="n">
        <f aca="false">T296*INDEX(INPUTS!$H$10:$H$14,MATCH(B296,INPUTS!$A$10:$A$14,0))</f>
        <v>610.1212125</v>
      </c>
      <c r="V296" s="61" t="n">
        <f aca="false">N(STACK!K296)</f>
        <v>0</v>
      </c>
      <c r="W296" s="61" t="n">
        <f aca="false">T296+U296+V296</f>
        <v>3908.0737125</v>
      </c>
      <c r="X296" s="61" t="n">
        <f aca="false">N(STACK!L296)</f>
        <v>0</v>
      </c>
      <c r="Y296" s="61" t="n">
        <f aca="false">W296-X296</f>
        <v>3908.0737125</v>
      </c>
      <c r="Z296" s="1" t="n">
        <f aca="false">N(STACK!J296)</f>
        <v>0</v>
      </c>
      <c r="AA296" s="1" t="str">
        <f aca="false">TRIM(IF(D296="UNMAPPED","Program not mapped. ","")&amp;IF(OR(K296="UNMAPPED",K296="UNASSIGNED"),"Category needs review. ","")&amp;IF(P296="UNMAPPED","Title not mapped. ","")&amp;IF(AND(P296&lt;&gt;"No staff time",R296=""),"Missing hours. ","")&amp;IF(M296="","Date not readable. ","")&amp;IF(N296="No","Outside fiscal year. ","")&amp;IF(AND(F296="Event",ISNUMBER(R296)),IF(R296&gt;12,"Event hours look high. ",""),"")&amp;IF(G296&gt;0,"See CONFIRM sheet.",""))</f>
        <v/>
      </c>
      <c r="AB296" s="1" t="n">
        <f aca="false">IF(N296="No",0,IF(REVIEW!O296=0,0,IF(G296&gt;0,IF(INDEX(CONFIRM!$J$5:$J$53,G296)&lt;&gt;"",INDEX(CONFIRM!$J$5:$J$53,G296),1),1)))</f>
        <v>1</v>
      </c>
      <c r="AC296" s="1" t="n">
        <f aca="false">IF(AB296=1,IF(COUNTIFS($B$5:B296,B296,$D$5:D296,D296,$AB$5:AB296,1)=1,1,0),0)</f>
        <v>0</v>
      </c>
    </row>
    <row r="297" customFormat="false" ht="15" hidden="false" customHeight="false" outlineLevel="0" collapsed="false">
      <c r="A297" s="48" t="str">
        <f aca="false">STACK!A297</f>
        <v>KVMC-0293</v>
      </c>
      <c r="B297" s="48" t="str">
        <f aca="false">STACK!B297</f>
        <v>KVMC</v>
      </c>
      <c r="C297" s="48" t="str">
        <f aca="false">STACK!E297</f>
        <v>Community Health Worker Outreach</v>
      </c>
      <c r="D297" s="1" t="str">
        <f aca="false">IFERROR(INDEX(MAP!$J$7:$J$101,MATCH(TRIM(C297),MAP!$I$7:$I$101,0)),"UNMAPPED")</f>
        <v>Community Health Worker Outreach</v>
      </c>
      <c r="E297" s="1" t="str">
        <f aca="false">IFERROR(INDEX(MAP!$K$7:$K$101,MATCH(TRIM(C297),MAP!$I$7:$I$101,0)),"")</f>
        <v>Access to care</v>
      </c>
      <c r="F297" s="1" t="str">
        <f aca="false">IFERROR(INDEX(MAP!$L$7:$L$101,MATCH(TRIM(C297),MAP!$I$7:$I$101,0)),"")</f>
        <v>Monthly</v>
      </c>
      <c r="G297" s="1" t="n">
        <f aca="false">IFERROR(MATCH(A297,CONFIRM!$A$5:$A$53,0),0)</f>
        <v>0</v>
      </c>
      <c r="H297" s="48" t="str">
        <f aca="false">STACK!F297</f>
        <v>Health Care Support Services</v>
      </c>
      <c r="I297" s="1" t="str">
        <f aca="false">IF(G297&gt;0,IF(INDEX(CONFIRM!$I$5:$I$53,G297)&lt;&gt;"",INDEX(CONFIRM!$I$5:$I$53,G297),H297),H297)</f>
        <v>Health Care Support Services</v>
      </c>
      <c r="J297" s="1" t="str">
        <f aca="false">IFERROR(INDEX(MAP!$F$7:$F$74,MATCH(TRIM(I297),MAP!$E$7:$E$74,0)),"UNMAPPED")</f>
        <v>Health care support services</v>
      </c>
      <c r="K297" s="1" t="str">
        <f aca="false">IFERROR(INDEX(MAP!$G$7:$G$74,MATCH(TRIM(I297),MAP!$E$7:$E$74,0)),"UNMAPPED")</f>
        <v>7e</v>
      </c>
      <c r="L297" s="49" t="n">
        <f aca="false">STACK!G297</f>
        <v>46053</v>
      </c>
      <c r="M297" s="59" t="n">
        <f aca="false">IF(G297&gt;0,IF(INDEX(CONFIRM!$G$5:$G$53,G297)&lt;&gt;"",INDEX(CONFIRM!$G$5:$G$53,G297),IF(ISNUMBER(L297),L297,IFERROR(DATEVALUE(L297),""))),IF(ISNUMBER(L297),L297,IFERROR(DATEVALUE(L297),"")))</f>
        <v>46053</v>
      </c>
      <c r="N297" s="1" t="str">
        <f aca="false">IF(M297="","Check",IF(AND(M297&gt;=INPUTS!$C$6,M297&lt;=INPUTS!$C$7),"Yes","No"))</f>
        <v>Yes</v>
      </c>
      <c r="O297" s="48" t="str">
        <f aca="false">STACK!H297</f>
        <v>Comm. Health Worker</v>
      </c>
      <c r="P297" s="1" t="str">
        <f aca="false">IF(G297&gt;0,IF(INDEX(CONFIRM!$H$5:$H$53,G297)&lt;&gt;"",INDEX(CONFIRM!$H$5:$H$53,G297),IFERROR(INDEX(MAP!$B$7:$B$156,MATCH(TRIM(O297),MAP!$A$7:$A$156,0)),"UNMAPPED")),IFERROR(INDEX(MAP!$B$7:$B$156,MATCH(TRIM(O297),MAP!$A$7:$A$156,0)),"UNMAPPED"))</f>
        <v>Community Health Worker</v>
      </c>
      <c r="Q297" s="48" t="n">
        <f aca="false">STACK!I297</f>
        <v>370.75</v>
      </c>
      <c r="R297" s="60" t="n">
        <f aca="false">IF(G297&gt;0,IF(INDEX(CONFIRM!$F$5:$F$53,G297)&lt;&gt;"",INDEX(CONFIRM!$F$5:$F$53,G297),IF(ISNUMBER(Q297),Q297,IF(Q297="","",IFERROR(VALUE(TRIM(SUBSTITUTE(SUBSTITUTE(LOWER(Q297),"hrs",""),"hr",""))),"")))),IF(ISNUMBER(Q297),Q297,IF(Q297="","",IFERROR(VALUE(TRIM(SUBSTITUTE(SUBSTITUTE(LOWER(Q297),"hrs",""),"hr",""))),""))))</f>
        <v>370.75</v>
      </c>
      <c r="S297" s="57" t="n">
        <f aca="false">IFERROR(INDEX(RATES!$E$6:$E$28,MATCH(P297,RATES!$A$6:$A$28,0)),0)</f>
        <v>27.6275</v>
      </c>
      <c r="T297" s="61" t="n">
        <f aca="false">IF(ISNUMBER(R297),R297,0)*S297</f>
        <v>10242.895625</v>
      </c>
      <c r="U297" s="61" t="n">
        <f aca="false">T297*INDEX(INPUTS!$H$10:$H$14,MATCH(B297,INPUTS!$A$10:$A$14,0))</f>
        <v>1894.935690625</v>
      </c>
      <c r="V297" s="61" t="n">
        <f aca="false">N(STACK!K297)</f>
        <v>1085</v>
      </c>
      <c r="W297" s="61" t="n">
        <f aca="false">T297+U297+V297</f>
        <v>13222.831315625</v>
      </c>
      <c r="X297" s="61" t="n">
        <f aca="false">N(STACK!L297)</f>
        <v>0</v>
      </c>
      <c r="Y297" s="61" t="n">
        <f aca="false">W297-X297</f>
        <v>13222.831315625</v>
      </c>
      <c r="Z297" s="1" t="n">
        <f aca="false">N(STACK!J297)</f>
        <v>438</v>
      </c>
      <c r="AA297" s="1" t="str">
        <f aca="false">TRIM(IF(D297="UNMAPPED","Program not mapped. ","")&amp;IF(OR(K297="UNMAPPED",K297="UNASSIGNED"),"Category needs review. ","")&amp;IF(P297="UNMAPPED","Title not mapped. ","")&amp;IF(AND(P297&lt;&gt;"No staff time",R297=""),"Missing hours. ","")&amp;IF(M297="","Date not readable. ","")&amp;IF(N297="No","Outside fiscal year. ","")&amp;IF(AND(F297="Event",ISNUMBER(R297)),IF(R297&gt;12,"Event hours look high. ",""),"")&amp;IF(G297&gt;0,"See CONFIRM sheet.",""))</f>
        <v/>
      </c>
      <c r="AB297" s="1" t="n">
        <f aca="false">IF(N297="No",0,IF(REVIEW!O297=0,0,IF(G297&gt;0,IF(INDEX(CONFIRM!$J$5:$J$53,G297)&lt;&gt;"",INDEX(CONFIRM!$J$5:$J$53,G297),1),1)))</f>
        <v>1</v>
      </c>
      <c r="AC297" s="1" t="n">
        <f aca="false">IF(AB297=1,IF(COUNTIFS($B$5:B297,B297,$D$5:D297,D297,$AB$5:AB297,1)=1,1,0),0)</f>
        <v>0</v>
      </c>
    </row>
    <row r="298" customFormat="false" ht="15" hidden="false" customHeight="false" outlineLevel="0" collapsed="false">
      <c r="A298" s="48" t="str">
        <f aca="false">STACK!A298</f>
        <v>KVMC-0294</v>
      </c>
      <c r="B298" s="48" t="str">
        <f aca="false">STACK!B298</f>
        <v>KVMC</v>
      </c>
      <c r="C298" s="48" t="str">
        <f aca="false">STACK!E298</f>
        <v>Community Health Worker Outreach</v>
      </c>
      <c r="D298" s="1" t="str">
        <f aca="false">IFERROR(INDEX(MAP!$J$7:$J$101,MATCH(TRIM(C298),MAP!$I$7:$I$101,0)),"UNMAPPED")</f>
        <v>Community Health Worker Outreach</v>
      </c>
      <c r="E298" s="1" t="str">
        <f aca="false">IFERROR(INDEX(MAP!$K$7:$K$101,MATCH(TRIM(C298),MAP!$I$7:$I$101,0)),"")</f>
        <v>Access to care</v>
      </c>
      <c r="F298" s="1" t="str">
        <f aca="false">IFERROR(INDEX(MAP!$L$7:$L$101,MATCH(TRIM(C298),MAP!$I$7:$I$101,0)),"")</f>
        <v>Monthly</v>
      </c>
      <c r="G298" s="1" t="n">
        <f aca="false">IFERROR(MATCH(A298,CONFIRM!$A$5:$A$53,0),0)</f>
        <v>0</v>
      </c>
      <c r="H298" s="48" t="str">
        <f aca="false">STACK!F298</f>
        <v>Health Care Support Services</v>
      </c>
      <c r="I298" s="1" t="str">
        <f aca="false">IF(G298&gt;0,IF(INDEX(CONFIRM!$I$5:$I$53,G298)&lt;&gt;"",INDEX(CONFIRM!$I$5:$I$53,G298),H298),H298)</f>
        <v>Health Care Support Services</v>
      </c>
      <c r="J298" s="1" t="str">
        <f aca="false">IFERROR(INDEX(MAP!$F$7:$F$74,MATCH(TRIM(I298),MAP!$E$7:$E$74,0)),"UNMAPPED")</f>
        <v>Health care support services</v>
      </c>
      <c r="K298" s="1" t="str">
        <f aca="false">IFERROR(INDEX(MAP!$G$7:$G$74,MATCH(TRIM(I298),MAP!$E$7:$E$74,0)),"UNMAPPED")</f>
        <v>7e</v>
      </c>
      <c r="L298" s="49" t="n">
        <f aca="false">STACK!G298</f>
        <v>46053</v>
      </c>
      <c r="M298" s="59" t="n">
        <f aca="false">IF(G298&gt;0,IF(INDEX(CONFIRM!$G$5:$G$53,G298)&lt;&gt;"",INDEX(CONFIRM!$G$5:$G$53,G298),IF(ISNUMBER(L298),L298,IFERROR(DATEVALUE(L298),""))),IF(ISNUMBER(L298),L298,IFERROR(DATEVALUE(L298),"")))</f>
        <v>46053</v>
      </c>
      <c r="N298" s="1" t="str">
        <f aca="false">IF(M298="","Check",IF(AND(M298&gt;=INPUTS!$C$6,M298&lt;=INPUTS!$C$7),"Yes","No"))</f>
        <v>Yes</v>
      </c>
      <c r="O298" s="48" t="str">
        <f aca="false">STACK!H298</f>
        <v> Pt Navigator</v>
      </c>
      <c r="P298" s="1" t="str">
        <f aca="false">IF(G298&gt;0,IF(INDEX(CONFIRM!$H$5:$H$53,G298)&lt;&gt;"",INDEX(CONFIRM!$H$5:$H$53,G298),IFERROR(INDEX(MAP!$B$7:$B$156,MATCH(TRIM(O298),MAP!$A$7:$A$156,0)),"UNMAPPED")),IFERROR(INDEX(MAP!$B$7:$B$156,MATCH(TRIM(O298),MAP!$A$7:$A$156,0)),"UNMAPPED"))</f>
        <v>Patient Navigator</v>
      </c>
      <c r="Q298" s="48" t="n">
        <f aca="false">STACK!I298</f>
        <v>144.5</v>
      </c>
      <c r="R298" s="60" t="n">
        <f aca="false">IF(G298&gt;0,IF(INDEX(CONFIRM!$F$5:$F$53,G298)&lt;&gt;"",INDEX(CONFIRM!$F$5:$F$53,G298),IF(ISNUMBER(Q298),Q298,IF(Q298="","",IFERROR(VALUE(TRIM(SUBSTITUTE(SUBSTITUTE(LOWER(Q298),"hrs",""),"hr",""))),"")))),IF(ISNUMBER(Q298),Q298,IF(Q298="","",IFERROR(VALUE(TRIM(SUBSTITUTE(SUBSTITUTE(LOWER(Q298),"hrs",""),"hr",""))),""))))</f>
        <v>144.5</v>
      </c>
      <c r="S298" s="57" t="n">
        <f aca="false">IFERROR(INDEX(RATES!$E$6:$E$28,MATCH(P298,RATES!$A$6:$A$28,0)),0)</f>
        <v>30.84</v>
      </c>
      <c r="T298" s="61" t="n">
        <f aca="false">IF(ISNUMBER(R298),R298,0)*S298</f>
        <v>4456.38</v>
      </c>
      <c r="U298" s="61" t="n">
        <f aca="false">T298*INDEX(INPUTS!$H$10:$H$14,MATCH(B298,INPUTS!$A$10:$A$14,0))</f>
        <v>824.4303</v>
      </c>
      <c r="V298" s="61" t="n">
        <f aca="false">N(STACK!K298)</f>
        <v>0</v>
      </c>
      <c r="W298" s="61" t="n">
        <f aca="false">T298+U298+V298</f>
        <v>5280.8103</v>
      </c>
      <c r="X298" s="61" t="n">
        <f aca="false">N(STACK!L298)</f>
        <v>0</v>
      </c>
      <c r="Y298" s="61" t="n">
        <f aca="false">W298-X298</f>
        <v>5280.8103</v>
      </c>
      <c r="Z298" s="1" t="n">
        <f aca="false">N(STACK!J298)</f>
        <v>0</v>
      </c>
      <c r="AA298" s="1" t="str">
        <f aca="false">TRIM(IF(D298="UNMAPPED","Program not mapped. ","")&amp;IF(OR(K298="UNMAPPED",K298="UNASSIGNED"),"Category needs review. ","")&amp;IF(P298="UNMAPPED","Title not mapped. ","")&amp;IF(AND(P298&lt;&gt;"No staff time",R298=""),"Missing hours. ","")&amp;IF(M298="","Date not readable. ","")&amp;IF(N298="No","Outside fiscal year. ","")&amp;IF(AND(F298="Event",ISNUMBER(R298)),IF(R298&gt;12,"Event hours look high. ",""),"")&amp;IF(G298&gt;0,"See CONFIRM sheet.",""))</f>
        <v/>
      </c>
      <c r="AB298" s="1" t="n">
        <f aca="false">IF(N298="No",0,IF(REVIEW!O298=0,0,IF(G298&gt;0,IF(INDEX(CONFIRM!$J$5:$J$53,G298)&lt;&gt;"",INDEX(CONFIRM!$J$5:$J$53,G298),1),1)))</f>
        <v>1</v>
      </c>
      <c r="AC298" s="1" t="n">
        <f aca="false">IF(AB298=1,IF(COUNTIFS($B$5:B298,B298,$D$5:D298,D298,$AB$5:AB298,1)=1,1,0),0)</f>
        <v>0</v>
      </c>
    </row>
    <row r="299" customFormat="false" ht="15" hidden="false" customHeight="false" outlineLevel="0" collapsed="false">
      <c r="A299" s="48" t="str">
        <f aca="false">STACK!A299</f>
        <v>KVMC-0295</v>
      </c>
      <c r="B299" s="48" t="str">
        <f aca="false">STACK!B299</f>
        <v>KVMC</v>
      </c>
      <c r="C299" s="48" t="str">
        <f aca="false">STACK!E299</f>
        <v>Medication Assistance Program</v>
      </c>
      <c r="D299" s="1" t="str">
        <f aca="false">IFERROR(INDEX(MAP!$J$7:$J$101,MATCH(TRIM(C299),MAP!$I$7:$I$101,0)),"UNMAPPED")</f>
        <v>Medication Assistance Program</v>
      </c>
      <c r="E299" s="1" t="str">
        <f aca="false">IFERROR(INDEX(MAP!$K$7:$K$101,MATCH(TRIM(C299),MAP!$I$7:$I$101,0)),"")</f>
        <v>Access to care</v>
      </c>
      <c r="F299" s="1" t="str">
        <f aca="false">IFERROR(INDEX(MAP!$L$7:$L$101,MATCH(TRIM(C299),MAP!$I$7:$I$101,0)),"")</f>
        <v>Monthly</v>
      </c>
      <c r="G299" s="1" t="n">
        <f aca="false">IFERROR(MATCH(A299,CONFIRM!$A$5:$A$53,0),0)</f>
        <v>0</v>
      </c>
      <c r="H299" s="48" t="str">
        <f aca="false">STACK!F299</f>
        <v>Health Care Support Services</v>
      </c>
      <c r="I299" s="1" t="str">
        <f aca="false">IF(G299&gt;0,IF(INDEX(CONFIRM!$I$5:$I$53,G299)&lt;&gt;"",INDEX(CONFIRM!$I$5:$I$53,G299),H299),H299)</f>
        <v>Health Care Support Services</v>
      </c>
      <c r="J299" s="1" t="str">
        <f aca="false">IFERROR(INDEX(MAP!$F$7:$F$74,MATCH(TRIM(I299),MAP!$E$7:$E$74,0)),"UNMAPPED")</f>
        <v>Health care support services</v>
      </c>
      <c r="K299" s="1" t="str">
        <f aca="false">IFERROR(INDEX(MAP!$G$7:$G$74,MATCH(TRIM(I299),MAP!$E$7:$E$74,0)),"UNMAPPED")</f>
        <v>7e</v>
      </c>
      <c r="L299" s="49" t="n">
        <f aca="false">STACK!G299</f>
        <v>46053</v>
      </c>
      <c r="M299" s="59" t="n">
        <f aca="false">IF(G299&gt;0,IF(INDEX(CONFIRM!$G$5:$G$53,G299)&lt;&gt;"",INDEX(CONFIRM!$G$5:$G$53,G299),IF(ISNUMBER(L299),L299,IFERROR(DATEVALUE(L299),""))),IF(ISNUMBER(L299),L299,IFERROR(DATEVALUE(L299),"")))</f>
        <v>46053</v>
      </c>
      <c r="N299" s="1" t="str">
        <f aca="false">IF(M299="","Check",IF(AND(M299&gt;=INPUTS!$C$6,M299&lt;=INPUTS!$C$7),"Yes","No"))</f>
        <v>Yes</v>
      </c>
      <c r="O299" s="48" t="str">
        <f aca="false">STACK!H299</f>
        <v>Financial Navigator</v>
      </c>
      <c r="P299" s="1" t="str">
        <f aca="false">IF(G299&gt;0,IF(INDEX(CONFIRM!$H$5:$H$53,G299)&lt;&gt;"",INDEX(CONFIRM!$H$5:$H$53,G299),IFERROR(INDEX(MAP!$B$7:$B$156,MATCH(TRIM(O299),MAP!$A$7:$A$156,0)),"UNMAPPED")),IFERROR(INDEX(MAP!$B$7:$B$156,MATCH(TRIM(O299),MAP!$A$7:$A$156,0)),"UNMAPPED"))</f>
        <v>Patient Navigator</v>
      </c>
      <c r="Q299" s="48" t="n">
        <f aca="false">STACK!I299</f>
        <v>103.75</v>
      </c>
      <c r="R299" s="60" t="n">
        <f aca="false">IF(G299&gt;0,IF(INDEX(CONFIRM!$F$5:$F$53,G299)&lt;&gt;"",INDEX(CONFIRM!$F$5:$F$53,G299),IF(ISNUMBER(Q299),Q299,IF(Q299="","",IFERROR(VALUE(TRIM(SUBSTITUTE(SUBSTITUTE(LOWER(Q299),"hrs",""),"hr",""))),"")))),IF(ISNUMBER(Q299),Q299,IF(Q299="","",IFERROR(VALUE(TRIM(SUBSTITUTE(SUBSTITUTE(LOWER(Q299),"hrs",""),"hr",""))),""))))</f>
        <v>103.75</v>
      </c>
      <c r="S299" s="57" t="n">
        <f aca="false">IFERROR(INDEX(RATES!$E$6:$E$28,MATCH(P299,RATES!$A$6:$A$28,0)),0)</f>
        <v>30.84</v>
      </c>
      <c r="T299" s="61" t="n">
        <f aca="false">IF(ISNUMBER(R299),R299,0)*S299</f>
        <v>3199.65</v>
      </c>
      <c r="U299" s="61" t="n">
        <f aca="false">T299*INDEX(INPUTS!$H$10:$H$14,MATCH(B299,INPUTS!$A$10:$A$14,0))</f>
        <v>591.93525</v>
      </c>
      <c r="V299" s="61" t="n">
        <f aca="false">N(STACK!K299)</f>
        <v>0</v>
      </c>
      <c r="W299" s="61" t="n">
        <f aca="false">T299+U299+V299</f>
        <v>3791.58525</v>
      </c>
      <c r="X299" s="61" t="n">
        <f aca="false">N(STACK!L299)</f>
        <v>0</v>
      </c>
      <c r="Y299" s="61" t="n">
        <f aca="false">W299-X299</f>
        <v>3791.58525</v>
      </c>
      <c r="Z299" s="1" t="n">
        <f aca="false">N(STACK!J299)</f>
        <v>0</v>
      </c>
      <c r="AA299" s="1" t="str">
        <f aca="false">TRIM(IF(D299="UNMAPPED","Program not mapped. ","")&amp;IF(OR(K299="UNMAPPED",K299="UNASSIGNED"),"Category needs review. ","")&amp;IF(P299="UNMAPPED","Title not mapped. ","")&amp;IF(AND(P299&lt;&gt;"No staff time",R299=""),"Missing hours. ","")&amp;IF(M299="","Date not readable. ","")&amp;IF(N299="No","Outside fiscal year. ","")&amp;IF(AND(F299="Event",ISNUMBER(R299)),IF(R299&gt;12,"Event hours look high. ",""),"")&amp;IF(G299&gt;0,"See CONFIRM sheet.",""))</f>
        <v/>
      </c>
      <c r="AB299" s="1" t="n">
        <f aca="false">IF(N299="No",0,IF(REVIEW!O299=0,0,IF(G299&gt;0,IF(INDEX(CONFIRM!$J$5:$J$53,G299)&lt;&gt;"",INDEX(CONFIRM!$J$5:$J$53,G299),1),1)))</f>
        <v>1</v>
      </c>
      <c r="AC299" s="1" t="n">
        <f aca="false">IF(AB299=1,IF(COUNTIFS($B$5:B299,B299,$D$5:D299,D299,$AB$5:AB299,1)=1,1,0),0)</f>
        <v>0</v>
      </c>
    </row>
    <row r="300" customFormat="false" ht="15" hidden="false" customHeight="false" outlineLevel="0" collapsed="false">
      <c r="A300" s="48" t="str">
        <f aca="false">STACK!A300</f>
        <v>KVMC-0296</v>
      </c>
      <c r="B300" s="48" t="str">
        <f aca="false">STACK!B300</f>
        <v>KVMC</v>
      </c>
      <c r="C300" s="48" t="str">
        <f aca="false">STACK!E300</f>
        <v>Medication Assistance Program</v>
      </c>
      <c r="D300" s="1" t="str">
        <f aca="false">IFERROR(INDEX(MAP!$J$7:$J$101,MATCH(TRIM(C300),MAP!$I$7:$I$101,0)),"UNMAPPED")</f>
        <v>Medication Assistance Program</v>
      </c>
      <c r="E300" s="1" t="str">
        <f aca="false">IFERROR(INDEX(MAP!$K$7:$K$101,MATCH(TRIM(C300),MAP!$I$7:$I$101,0)),"")</f>
        <v>Access to care</v>
      </c>
      <c r="F300" s="1" t="str">
        <f aca="false">IFERROR(INDEX(MAP!$L$7:$L$101,MATCH(TRIM(C300),MAP!$I$7:$I$101,0)),"")</f>
        <v>Monthly</v>
      </c>
      <c r="G300" s="1" t="n">
        <f aca="false">IFERROR(MATCH(A300,CONFIRM!$A$5:$A$53,0),0)</f>
        <v>0</v>
      </c>
      <c r="H300" s="48" t="str">
        <f aca="false">STACK!F300</f>
        <v>Health Care Support Services</v>
      </c>
      <c r="I300" s="1" t="str">
        <f aca="false">IF(G300&gt;0,IF(INDEX(CONFIRM!$I$5:$I$53,G300)&lt;&gt;"",INDEX(CONFIRM!$I$5:$I$53,G300),H300),H300)</f>
        <v>Health Care Support Services</v>
      </c>
      <c r="J300" s="1" t="str">
        <f aca="false">IFERROR(INDEX(MAP!$F$7:$F$74,MATCH(TRIM(I300),MAP!$E$7:$E$74,0)),"UNMAPPED")</f>
        <v>Health care support services</v>
      </c>
      <c r="K300" s="1" t="str">
        <f aca="false">IFERROR(INDEX(MAP!$G$7:$G$74,MATCH(TRIM(I300),MAP!$E$7:$E$74,0)),"UNMAPPED")</f>
        <v>7e</v>
      </c>
      <c r="L300" s="49" t="n">
        <f aca="false">STACK!G300</f>
        <v>46053</v>
      </c>
      <c r="M300" s="59" t="n">
        <f aca="false">IF(G300&gt;0,IF(INDEX(CONFIRM!$G$5:$G$53,G300)&lt;&gt;"",INDEX(CONFIRM!$G$5:$G$53,G300),IF(ISNUMBER(L300),L300,IFERROR(DATEVALUE(L300),""))),IF(ISNUMBER(L300),L300,IFERROR(DATEVALUE(L300),"")))</f>
        <v>46053</v>
      </c>
      <c r="N300" s="1" t="str">
        <f aca="false">IF(M300="","Check",IF(AND(M300&gt;=INPUTS!$C$6,M300&lt;=INPUTS!$C$7),"Yes","No"))</f>
        <v>Yes</v>
      </c>
      <c r="O300" s="48" t="str">
        <f aca="false">STACK!H300</f>
        <v>Pharmacist</v>
      </c>
      <c r="P300" s="1" t="str">
        <f aca="false">IF(G300&gt;0,IF(INDEX(CONFIRM!$H$5:$H$53,G300)&lt;&gt;"",INDEX(CONFIRM!$H$5:$H$53,G300),IFERROR(INDEX(MAP!$B$7:$B$156,MATCH(TRIM(O300),MAP!$A$7:$A$156,0)),"UNMAPPED")),IFERROR(INDEX(MAP!$B$7:$B$156,MATCH(TRIM(O300),MAP!$A$7:$A$156,0)),"UNMAPPED"))</f>
        <v>Pharmacist</v>
      </c>
      <c r="Q300" s="48" t="n">
        <f aca="false">STACK!I300</f>
        <v>20.5</v>
      </c>
      <c r="R300" s="60" t="n">
        <f aca="false">IF(G300&gt;0,IF(INDEX(CONFIRM!$F$5:$F$53,G300)&lt;&gt;"",INDEX(CONFIRM!$F$5:$F$53,G300),IF(ISNUMBER(Q300),Q300,IF(Q300="","",IFERROR(VALUE(TRIM(SUBSTITUTE(SUBSTITUTE(LOWER(Q300),"hrs",""),"hr",""))),"")))),IF(ISNUMBER(Q300),Q300,IF(Q300="","",IFERROR(VALUE(TRIM(SUBSTITUTE(SUBSTITUTE(LOWER(Q300),"hrs",""),"hr",""))),""))))</f>
        <v>20.5</v>
      </c>
      <c r="S300" s="57" t="n">
        <f aca="false">IFERROR(INDEX(RATES!$E$6:$E$28,MATCH(P300,RATES!$A$6:$A$28,0)),0)</f>
        <v>84.81</v>
      </c>
      <c r="T300" s="61" t="n">
        <f aca="false">IF(ISNUMBER(R300),R300,0)*S300</f>
        <v>1738.605</v>
      </c>
      <c r="U300" s="61" t="n">
        <f aca="false">T300*INDEX(INPUTS!$H$10:$H$14,MATCH(B300,INPUTS!$A$10:$A$14,0))</f>
        <v>321.641925</v>
      </c>
      <c r="V300" s="61" t="n">
        <f aca="false">N(STACK!K300)</f>
        <v>18270</v>
      </c>
      <c r="W300" s="61" t="n">
        <f aca="false">T300+U300+V300</f>
        <v>20330.246925</v>
      </c>
      <c r="X300" s="61" t="n">
        <f aca="false">N(STACK!L300)</f>
        <v>0</v>
      </c>
      <c r="Y300" s="61" t="n">
        <f aca="false">W300-X300</f>
        <v>20330.246925</v>
      </c>
      <c r="Z300" s="1" t="n">
        <f aca="false">N(STACK!J300)</f>
        <v>100</v>
      </c>
      <c r="AA300" s="1" t="str">
        <f aca="false">TRIM(IF(D300="UNMAPPED","Program not mapped. ","")&amp;IF(OR(K300="UNMAPPED",K300="UNASSIGNED"),"Category needs review. ","")&amp;IF(P300="UNMAPPED","Title not mapped. ","")&amp;IF(AND(P300&lt;&gt;"No staff time",R300=""),"Missing hours. ","")&amp;IF(M300="","Date not readable. ","")&amp;IF(N300="No","Outside fiscal year. ","")&amp;IF(AND(F300="Event",ISNUMBER(R300)),IF(R300&gt;12,"Event hours look high. ",""),"")&amp;IF(G300&gt;0,"See CONFIRM sheet.",""))</f>
        <v/>
      </c>
      <c r="AB300" s="1" t="n">
        <f aca="false">IF(N300="No",0,IF(REVIEW!O300=0,0,IF(G300&gt;0,IF(INDEX(CONFIRM!$J$5:$J$53,G300)&lt;&gt;"",INDEX(CONFIRM!$J$5:$J$53,G300),1),1)))</f>
        <v>1</v>
      </c>
      <c r="AC300" s="1" t="n">
        <f aca="false">IF(AB300=1,IF(COUNTIFS($B$5:B300,B300,$D$5:D300,D300,$AB$5:AB300,1)=1,1,0),0)</f>
        <v>0</v>
      </c>
    </row>
    <row r="301" customFormat="false" ht="15" hidden="false" customHeight="false" outlineLevel="0" collapsed="false">
      <c r="A301" s="48" t="str">
        <f aca="false">STACK!A301</f>
        <v>KVMC-0297</v>
      </c>
      <c r="B301" s="48" t="str">
        <f aca="false">STACK!B301</f>
        <v>KVMC</v>
      </c>
      <c r="C301" s="48" t="str">
        <f aca="false">STACK!E301</f>
        <v>Community Health Needs Assessment</v>
      </c>
      <c r="D301" s="1" t="str">
        <f aca="false">IFERROR(INDEX(MAP!$J$7:$J$101,MATCH(TRIM(C301),MAP!$I$7:$I$101,0)),"UNMAPPED")</f>
        <v>Community Health Needs Assessment</v>
      </c>
      <c r="E301" s="1" t="str">
        <f aca="false">IFERROR(INDEX(MAP!$K$7:$K$101,MATCH(TRIM(C301),MAP!$I$7:$I$101,0)),"")</f>
        <v>Community benefit infrastructure</v>
      </c>
      <c r="F301" s="1" t="str">
        <f aca="false">IFERROR(INDEX(MAP!$L$7:$L$101,MATCH(TRIM(C301),MAP!$I$7:$I$101,0)),"")</f>
        <v>Monthly</v>
      </c>
      <c r="G301" s="1" t="n">
        <f aca="false">IFERROR(MATCH(A301,CONFIRM!$A$5:$A$53,0),0)</f>
        <v>0</v>
      </c>
      <c r="H301" s="48" t="str">
        <f aca="false">STACK!F301</f>
        <v>CB Operations</v>
      </c>
      <c r="I301" s="1" t="str">
        <f aca="false">IF(G301&gt;0,IF(INDEX(CONFIRM!$I$5:$I$53,G301)&lt;&gt;"",INDEX(CONFIRM!$I$5:$I$53,G301),H301),H301)</f>
        <v>CB Operations</v>
      </c>
      <c r="J301" s="1" t="str">
        <f aca="false">IFERROR(INDEX(MAP!$F$7:$F$74,MATCH(TRIM(I301),MAP!$E$7:$E$74,0)),"UNMAPPED")</f>
        <v>Community benefit operations</v>
      </c>
      <c r="K301" s="1" t="str">
        <f aca="false">IFERROR(INDEX(MAP!$G$7:$G$74,MATCH(TRIM(I301),MAP!$E$7:$E$74,0)),"UNMAPPED")</f>
        <v>7e</v>
      </c>
      <c r="L301" s="49" t="n">
        <f aca="false">STACK!G301</f>
        <v>46053</v>
      </c>
      <c r="M301" s="59" t="n">
        <f aca="false">IF(G301&gt;0,IF(INDEX(CONFIRM!$G$5:$G$53,G301)&lt;&gt;"",INDEX(CONFIRM!$G$5:$G$53,G301),IF(ISNUMBER(L301),L301,IFERROR(DATEVALUE(L301),""))),IF(ISNUMBER(L301),L301,IFERROR(DATEVALUE(L301),"")))</f>
        <v>46053</v>
      </c>
      <c r="N301" s="1" t="str">
        <f aca="false">IF(M301="","Check",IF(AND(M301&gt;=INPUTS!$C$6,M301&lt;=INPUTS!$C$7),"Yes","No"))</f>
        <v>Yes</v>
      </c>
      <c r="O301" s="48" t="str">
        <f aca="false">STACK!H301</f>
        <v>Community Benefit Manager</v>
      </c>
      <c r="P301" s="1" t="str">
        <f aca="false">IF(G301&gt;0,IF(INDEX(CONFIRM!$H$5:$H$53,G301)&lt;&gt;"",INDEX(CONFIRM!$H$5:$H$53,G301),IFERROR(INDEX(MAP!$B$7:$B$156,MATCH(TRIM(O301),MAP!$A$7:$A$156,0)),"UNMAPPED")),IFERROR(INDEX(MAP!$B$7:$B$156,MATCH(TRIM(O301),MAP!$A$7:$A$156,0)),"UNMAPPED"))</f>
        <v>Community Benefit Manager</v>
      </c>
      <c r="Q301" s="48" t="n">
        <f aca="false">STACK!I301</f>
        <v>121.25</v>
      </c>
      <c r="R301" s="60" t="n">
        <f aca="false">IF(G301&gt;0,IF(INDEX(CONFIRM!$F$5:$F$53,G301)&lt;&gt;"",INDEX(CONFIRM!$F$5:$F$53,G301),IF(ISNUMBER(Q301),Q301,IF(Q301="","",IFERROR(VALUE(TRIM(SUBSTITUTE(SUBSTITUTE(LOWER(Q301),"hrs",""),"hr",""))),"")))),IF(ISNUMBER(Q301),Q301,IF(Q301="","",IFERROR(VALUE(TRIM(SUBSTITUTE(SUBSTITUTE(LOWER(Q301),"hrs",""),"hr",""))),""))))</f>
        <v>121.25</v>
      </c>
      <c r="S301" s="57" t="n">
        <f aca="false">IFERROR(INDEX(RATES!$E$6:$E$28,MATCH(P301,RATES!$A$6:$A$28,0)),0)</f>
        <v>59.11</v>
      </c>
      <c r="T301" s="61" t="n">
        <f aca="false">IF(ISNUMBER(R301),R301,0)*S301</f>
        <v>7167.0875</v>
      </c>
      <c r="U301" s="61" t="n">
        <f aca="false">T301*INDEX(INPUTS!$H$10:$H$14,MATCH(B301,INPUTS!$A$10:$A$14,0))</f>
        <v>1325.9111875</v>
      </c>
      <c r="V301" s="61" t="n">
        <f aca="false">N(STACK!K301)</f>
        <v>4310</v>
      </c>
      <c r="W301" s="61" t="n">
        <f aca="false">T301+U301+V301</f>
        <v>12802.9986875</v>
      </c>
      <c r="X301" s="61" t="n">
        <f aca="false">N(STACK!L301)</f>
        <v>0</v>
      </c>
      <c r="Y301" s="61" t="n">
        <f aca="false">W301-X301</f>
        <v>12802.9986875</v>
      </c>
      <c r="Z301" s="1" t="n">
        <f aca="false">N(STACK!J301)</f>
        <v>0</v>
      </c>
      <c r="AA301" s="1" t="str">
        <f aca="false">TRIM(IF(D301="UNMAPPED","Program not mapped. ","")&amp;IF(OR(K301="UNMAPPED",K301="UNASSIGNED"),"Category needs review. ","")&amp;IF(P301="UNMAPPED","Title not mapped. ","")&amp;IF(AND(P301&lt;&gt;"No staff time",R301=""),"Missing hours. ","")&amp;IF(M301="","Date not readable. ","")&amp;IF(N301="No","Outside fiscal year. ","")&amp;IF(AND(F301="Event",ISNUMBER(R301)),IF(R301&gt;12,"Event hours look high. ",""),"")&amp;IF(G301&gt;0,"See CONFIRM sheet.",""))</f>
        <v/>
      </c>
      <c r="AB301" s="1" t="n">
        <f aca="false">IF(N301="No",0,IF(REVIEW!O301=0,0,IF(G301&gt;0,IF(INDEX(CONFIRM!$J$5:$J$53,G301)&lt;&gt;"",INDEX(CONFIRM!$J$5:$J$53,G301),1),1)))</f>
        <v>1</v>
      </c>
      <c r="AC301" s="1" t="n">
        <f aca="false">IF(AB301=1,IF(COUNTIFS($B$5:B301,B301,$D$5:D301,D301,$AB$5:AB301,1)=1,1,0),0)</f>
        <v>0</v>
      </c>
    </row>
    <row r="302" customFormat="false" ht="15" hidden="false" customHeight="false" outlineLevel="0" collapsed="false">
      <c r="A302" s="48" t="str">
        <f aca="false">STACK!A302</f>
        <v>KVMC-0298</v>
      </c>
      <c r="B302" s="48" t="str">
        <f aca="false">STACK!B302</f>
        <v>KVMC</v>
      </c>
      <c r="C302" s="48" t="str">
        <f aca="false">STACK!E302</f>
        <v>Community Health Needs Assessment</v>
      </c>
      <c r="D302" s="1" t="str">
        <f aca="false">IFERROR(INDEX(MAP!$J$7:$J$101,MATCH(TRIM(C302),MAP!$I$7:$I$101,0)),"UNMAPPED")</f>
        <v>Community Health Needs Assessment</v>
      </c>
      <c r="E302" s="1" t="str">
        <f aca="false">IFERROR(INDEX(MAP!$K$7:$K$101,MATCH(TRIM(C302),MAP!$I$7:$I$101,0)),"")</f>
        <v>Community benefit infrastructure</v>
      </c>
      <c r="F302" s="1" t="str">
        <f aca="false">IFERROR(INDEX(MAP!$L$7:$L$101,MATCH(TRIM(C302),MAP!$I$7:$I$101,0)),"")</f>
        <v>Monthly</v>
      </c>
      <c r="G302" s="1" t="n">
        <f aca="false">IFERROR(MATCH(A302,CONFIRM!$A$5:$A$53,0),0)</f>
        <v>0</v>
      </c>
      <c r="H302" s="48" t="str">
        <f aca="false">STACK!F302</f>
        <v>CB Operations</v>
      </c>
      <c r="I302" s="1" t="str">
        <f aca="false">IF(G302&gt;0,IF(INDEX(CONFIRM!$I$5:$I$53,G302)&lt;&gt;"",INDEX(CONFIRM!$I$5:$I$53,G302),H302),H302)</f>
        <v>CB Operations</v>
      </c>
      <c r="J302" s="1" t="str">
        <f aca="false">IFERROR(INDEX(MAP!$F$7:$F$74,MATCH(TRIM(I302),MAP!$E$7:$E$74,0)),"UNMAPPED")</f>
        <v>Community benefit operations</v>
      </c>
      <c r="K302" s="1" t="str">
        <f aca="false">IFERROR(INDEX(MAP!$G$7:$G$74,MATCH(TRIM(I302),MAP!$E$7:$E$74,0)),"UNMAPPED")</f>
        <v>7e</v>
      </c>
      <c r="L302" s="49" t="n">
        <f aca="false">STACK!G302</f>
        <v>46053</v>
      </c>
      <c r="M302" s="59" t="n">
        <f aca="false">IF(G302&gt;0,IF(INDEX(CONFIRM!$G$5:$G$53,G302)&lt;&gt;"",INDEX(CONFIRM!$G$5:$G$53,G302),IF(ISNUMBER(L302),L302,IFERROR(DATEVALUE(L302),""))),IF(ISNUMBER(L302),L302,IFERROR(DATEVALUE(L302),"")))</f>
        <v>46053</v>
      </c>
      <c r="N302" s="1" t="str">
        <f aca="false">IF(M302="","Check",IF(AND(M302&gt;=INPUTS!$C$6,M302&lt;=INPUTS!$C$7),"Yes","No"))</f>
        <v>Yes</v>
      </c>
      <c r="O302" s="48" t="str">
        <f aca="false">STACK!H302</f>
        <v>Sr Data Analyst </v>
      </c>
      <c r="P302" s="1" t="str">
        <f aca="false">IF(G302&gt;0,IF(INDEX(CONFIRM!$H$5:$H$53,G302)&lt;&gt;"",INDEX(CONFIRM!$H$5:$H$53,G302),IFERROR(INDEX(MAP!$B$7:$B$156,MATCH(TRIM(O302),MAP!$A$7:$A$156,0)),"UNMAPPED")),IFERROR(INDEX(MAP!$B$7:$B$156,MATCH(TRIM(O302),MAP!$A$7:$A$156,0)),"UNMAPPED"))</f>
        <v>Data Analyst</v>
      </c>
      <c r="Q302" s="48" t="n">
        <f aca="false">STACK!I302</f>
        <v>63.75</v>
      </c>
      <c r="R302" s="60" t="n">
        <f aca="false">IF(G302&gt;0,IF(INDEX(CONFIRM!$F$5:$F$53,G302)&lt;&gt;"",INDEX(CONFIRM!$F$5:$F$53,G302),IF(ISNUMBER(Q302),Q302,IF(Q302="","",IFERROR(VALUE(TRIM(SUBSTITUTE(SUBSTITUTE(LOWER(Q302),"hrs",""),"hr",""))),"")))),IF(ISNUMBER(Q302),Q302,IF(Q302="","",IFERROR(VALUE(TRIM(SUBSTITUTE(SUBSTITUTE(LOWER(Q302),"hrs",""),"hr",""))),""))))</f>
        <v>63.75</v>
      </c>
      <c r="S302" s="57" t="n">
        <f aca="false">IFERROR(INDEX(RATES!$E$6:$E$28,MATCH(P302,RATES!$A$6:$A$28,0)),0)</f>
        <v>48.83</v>
      </c>
      <c r="T302" s="61" t="n">
        <f aca="false">IF(ISNUMBER(R302),R302,0)*S302</f>
        <v>3112.9125</v>
      </c>
      <c r="U302" s="61" t="n">
        <f aca="false">T302*INDEX(INPUTS!$H$10:$H$14,MATCH(B302,INPUTS!$A$10:$A$14,0))</f>
        <v>575.8888125</v>
      </c>
      <c r="V302" s="61" t="n">
        <f aca="false">N(STACK!K302)</f>
        <v>0</v>
      </c>
      <c r="W302" s="61" t="n">
        <f aca="false">T302+U302+V302</f>
        <v>3688.8013125</v>
      </c>
      <c r="X302" s="61" t="n">
        <f aca="false">N(STACK!L302)</f>
        <v>0</v>
      </c>
      <c r="Y302" s="61" t="n">
        <f aca="false">W302-X302</f>
        <v>3688.8013125</v>
      </c>
      <c r="Z302" s="1" t="n">
        <f aca="false">N(STACK!J302)</f>
        <v>0</v>
      </c>
      <c r="AA302" s="1" t="str">
        <f aca="false">TRIM(IF(D302="UNMAPPED","Program not mapped. ","")&amp;IF(OR(K302="UNMAPPED",K302="UNASSIGNED"),"Category needs review. ","")&amp;IF(P302="UNMAPPED","Title not mapped. ","")&amp;IF(AND(P302&lt;&gt;"No staff time",R302=""),"Missing hours. ","")&amp;IF(M302="","Date not readable. ","")&amp;IF(N302="No","Outside fiscal year. ","")&amp;IF(AND(F302="Event",ISNUMBER(R302)),IF(R302&gt;12,"Event hours look high. ",""),"")&amp;IF(G302&gt;0,"See CONFIRM sheet.",""))</f>
        <v/>
      </c>
      <c r="AB302" s="1" t="n">
        <f aca="false">IF(N302="No",0,IF(REVIEW!O302=0,0,IF(G302&gt;0,IF(INDEX(CONFIRM!$J$5:$J$53,G302)&lt;&gt;"",INDEX(CONFIRM!$J$5:$J$53,G302),1),1)))</f>
        <v>1</v>
      </c>
      <c r="AC302" s="1" t="n">
        <f aca="false">IF(AB302=1,IF(COUNTIFS($B$5:B302,B302,$D$5:D302,D302,$AB$5:AB302,1)=1,1,0),0)</f>
        <v>0</v>
      </c>
    </row>
    <row r="303" customFormat="false" ht="15" hidden="false" customHeight="false" outlineLevel="0" collapsed="false">
      <c r="A303" s="48" t="str">
        <f aca="false">STACK!A303</f>
        <v>KVMC-0299</v>
      </c>
      <c r="B303" s="48" t="str">
        <f aca="false">STACK!B303</f>
        <v>KVMC</v>
      </c>
      <c r="C303" s="48" t="str">
        <f aca="false">STACK!E303</f>
        <v>Community Benefit Program Administration</v>
      </c>
      <c r="D303" s="1" t="str">
        <f aca="false">IFERROR(INDEX(MAP!$J$7:$J$101,MATCH(TRIM(C303),MAP!$I$7:$I$101,0)),"UNMAPPED")</f>
        <v>Community Benefit Program Administration</v>
      </c>
      <c r="E303" s="1" t="str">
        <f aca="false">IFERROR(INDEX(MAP!$K$7:$K$101,MATCH(TRIM(C303),MAP!$I$7:$I$101,0)),"")</f>
        <v>Community benefit infrastructure</v>
      </c>
      <c r="F303" s="1" t="str">
        <f aca="false">IFERROR(INDEX(MAP!$L$7:$L$101,MATCH(TRIM(C303),MAP!$I$7:$I$101,0)),"")</f>
        <v>Monthly</v>
      </c>
      <c r="G303" s="1" t="n">
        <f aca="false">IFERROR(MATCH(A303,CONFIRM!$A$5:$A$53,0),0)</f>
        <v>0</v>
      </c>
      <c r="H303" s="48" t="str">
        <f aca="false">STACK!F303</f>
        <v>CB Operations</v>
      </c>
      <c r="I303" s="1" t="str">
        <f aca="false">IF(G303&gt;0,IF(INDEX(CONFIRM!$I$5:$I$53,G303)&lt;&gt;"",INDEX(CONFIRM!$I$5:$I$53,G303),H303),H303)</f>
        <v>CB Operations</v>
      </c>
      <c r="J303" s="1" t="str">
        <f aca="false">IFERROR(INDEX(MAP!$F$7:$F$74,MATCH(TRIM(I303),MAP!$E$7:$E$74,0)),"UNMAPPED")</f>
        <v>Community benefit operations</v>
      </c>
      <c r="K303" s="1" t="str">
        <f aca="false">IFERROR(INDEX(MAP!$G$7:$G$74,MATCH(TRIM(I303),MAP!$E$7:$E$74,0)),"UNMAPPED")</f>
        <v>7e</v>
      </c>
      <c r="L303" s="49" t="n">
        <f aca="false">STACK!G303</f>
        <v>46053</v>
      </c>
      <c r="M303" s="59" t="n">
        <f aca="false">IF(G303&gt;0,IF(INDEX(CONFIRM!$G$5:$G$53,G303)&lt;&gt;"",INDEX(CONFIRM!$G$5:$G$53,G303),IF(ISNUMBER(L303),L303,IFERROR(DATEVALUE(L303),""))),IF(ISNUMBER(L303),L303,IFERROR(DATEVALUE(L303),"")))</f>
        <v>46053</v>
      </c>
      <c r="N303" s="1" t="str">
        <f aca="false">IF(M303="","Check",IF(AND(M303&gt;=INPUTS!$C$6,M303&lt;=INPUTS!$C$7),"Yes","No"))</f>
        <v>Yes</v>
      </c>
      <c r="O303" s="48" t="str">
        <f aca="false">STACK!H303</f>
        <v>Administrative Assistant</v>
      </c>
      <c r="P303" s="1" t="str">
        <f aca="false">IF(G303&gt;0,IF(INDEX(CONFIRM!$H$5:$H$53,G303)&lt;&gt;"",INDEX(CONFIRM!$H$5:$H$53,G303),IFERROR(INDEX(MAP!$B$7:$B$156,MATCH(TRIM(O303),MAP!$A$7:$A$156,0)),"UNMAPPED")),IFERROR(INDEX(MAP!$B$7:$B$156,MATCH(TRIM(O303),MAP!$A$7:$A$156,0)),"UNMAPPED"))</f>
        <v>Administrative Assistant</v>
      </c>
      <c r="Q303" s="48" t="n">
        <f aca="false">STACK!I303</f>
        <v>37.5</v>
      </c>
      <c r="R303" s="60" t="n">
        <f aca="false">IF(G303&gt;0,IF(INDEX(CONFIRM!$F$5:$F$53,G303)&lt;&gt;"",INDEX(CONFIRM!$F$5:$F$53,G303),IF(ISNUMBER(Q303),Q303,IF(Q303="","",IFERROR(VALUE(TRIM(SUBSTITUTE(SUBSTITUTE(LOWER(Q303),"hrs",""),"hr",""))),"")))),IF(ISNUMBER(Q303),Q303,IF(Q303="","",IFERROR(VALUE(TRIM(SUBSTITUTE(SUBSTITUTE(LOWER(Q303),"hrs",""),"hr",""))),""))))</f>
        <v>37.5</v>
      </c>
      <c r="S303" s="57" t="n">
        <f aca="false">IFERROR(INDEX(RATES!$E$6:$E$28,MATCH(P303,RATES!$A$6:$A$28,0)),0)</f>
        <v>26.985</v>
      </c>
      <c r="T303" s="61" t="n">
        <f aca="false">IF(ISNUMBER(R303),R303,0)*S303</f>
        <v>1011.9375</v>
      </c>
      <c r="U303" s="61" t="n">
        <f aca="false">T303*INDEX(INPUTS!$H$10:$H$14,MATCH(B303,INPUTS!$A$10:$A$14,0))</f>
        <v>187.2084375</v>
      </c>
      <c r="V303" s="61" t="n">
        <f aca="false">N(STACK!K303)</f>
        <v>0</v>
      </c>
      <c r="W303" s="61" t="n">
        <f aca="false">T303+U303+V303</f>
        <v>1199.1459375</v>
      </c>
      <c r="X303" s="61" t="n">
        <f aca="false">N(STACK!L303)</f>
        <v>0</v>
      </c>
      <c r="Y303" s="61" t="n">
        <f aca="false">W303-X303</f>
        <v>1199.1459375</v>
      </c>
      <c r="Z303" s="1" t="n">
        <f aca="false">N(STACK!J303)</f>
        <v>0</v>
      </c>
      <c r="AA303" s="1" t="str">
        <f aca="false">TRIM(IF(D303="UNMAPPED","Program not mapped. ","")&amp;IF(OR(K303="UNMAPPED",K303="UNASSIGNED"),"Category needs review. ","")&amp;IF(P303="UNMAPPED","Title not mapped. ","")&amp;IF(AND(P303&lt;&gt;"No staff time",R303=""),"Missing hours. ","")&amp;IF(M303="","Date not readable. ","")&amp;IF(N303="No","Outside fiscal year. ","")&amp;IF(AND(F303="Event",ISNUMBER(R303)),IF(R303&gt;12,"Event hours look high. ",""),"")&amp;IF(G303&gt;0,"See CONFIRM sheet.",""))</f>
        <v/>
      </c>
      <c r="AB303" s="1" t="n">
        <f aca="false">IF(N303="No",0,IF(REVIEW!O303=0,0,IF(G303&gt;0,IF(INDEX(CONFIRM!$J$5:$J$53,G303)&lt;&gt;"",INDEX(CONFIRM!$J$5:$J$53,G303),1),1)))</f>
        <v>1</v>
      </c>
      <c r="AC303" s="1" t="n">
        <f aca="false">IF(AB303=1,IF(COUNTIFS($B$5:B303,B303,$D$5:D303,D303,$AB$5:AB303,1)=1,1,0),0)</f>
        <v>0</v>
      </c>
    </row>
    <row r="304" customFormat="false" ht="15" hidden="false" customHeight="false" outlineLevel="0" collapsed="false">
      <c r="A304" s="48" t="str">
        <f aca="false">STACK!A304</f>
        <v>KVMC-0300</v>
      </c>
      <c r="B304" s="48" t="str">
        <f aca="false">STACK!B304</f>
        <v>KVMC</v>
      </c>
      <c r="C304" s="48" t="str">
        <f aca="false">STACK!E304</f>
        <v>Community Benefit Program Administration</v>
      </c>
      <c r="D304" s="1" t="str">
        <f aca="false">IFERROR(INDEX(MAP!$J$7:$J$101,MATCH(TRIM(C304),MAP!$I$7:$I$101,0)),"UNMAPPED")</f>
        <v>Community Benefit Program Administration</v>
      </c>
      <c r="E304" s="1" t="str">
        <f aca="false">IFERROR(INDEX(MAP!$K$7:$K$101,MATCH(TRIM(C304),MAP!$I$7:$I$101,0)),"")</f>
        <v>Community benefit infrastructure</v>
      </c>
      <c r="F304" s="1" t="str">
        <f aca="false">IFERROR(INDEX(MAP!$L$7:$L$101,MATCH(TRIM(C304),MAP!$I$7:$I$101,0)),"")</f>
        <v>Monthly</v>
      </c>
      <c r="G304" s="1" t="n">
        <f aca="false">IFERROR(MATCH(A304,CONFIRM!$A$5:$A$53,0),0)</f>
        <v>0</v>
      </c>
      <c r="H304" s="48" t="str">
        <f aca="false">STACK!F304</f>
        <v>CB Operations</v>
      </c>
      <c r="I304" s="1" t="str">
        <f aca="false">IF(G304&gt;0,IF(INDEX(CONFIRM!$I$5:$I$53,G304)&lt;&gt;"",INDEX(CONFIRM!$I$5:$I$53,G304),H304),H304)</f>
        <v>CB Operations</v>
      </c>
      <c r="J304" s="1" t="str">
        <f aca="false">IFERROR(INDEX(MAP!$F$7:$F$74,MATCH(TRIM(I304),MAP!$E$7:$E$74,0)),"UNMAPPED")</f>
        <v>Community benefit operations</v>
      </c>
      <c r="K304" s="1" t="str">
        <f aca="false">IFERROR(INDEX(MAP!$G$7:$G$74,MATCH(TRIM(I304),MAP!$E$7:$E$74,0)),"UNMAPPED")</f>
        <v>7e</v>
      </c>
      <c r="L304" s="49" t="n">
        <f aca="false">STACK!G304</f>
        <v>46053</v>
      </c>
      <c r="M304" s="59" t="n">
        <f aca="false">IF(G304&gt;0,IF(INDEX(CONFIRM!$G$5:$G$53,G304)&lt;&gt;"",INDEX(CONFIRM!$G$5:$G$53,G304),IF(ISNUMBER(L304),L304,IFERROR(DATEVALUE(L304),""))),IF(ISNUMBER(L304),L304,IFERROR(DATEVALUE(L304),"")))</f>
        <v>46053</v>
      </c>
      <c r="N304" s="1" t="str">
        <f aca="false">IF(M304="","Check",IF(AND(M304&gt;=INPUTS!$C$6,M304&lt;=INPUTS!$C$7),"Yes","No"))</f>
        <v>Yes</v>
      </c>
      <c r="O304" s="48" t="str">
        <f aca="false">STACK!H304</f>
        <v>Community Health Manager</v>
      </c>
      <c r="P304" s="1" t="str">
        <f aca="false">IF(G304&gt;0,IF(INDEX(CONFIRM!$H$5:$H$53,G304)&lt;&gt;"",INDEX(CONFIRM!$H$5:$H$53,G304),IFERROR(INDEX(MAP!$B$7:$B$156,MATCH(TRIM(O304),MAP!$A$7:$A$156,0)),"UNMAPPED")),IFERROR(INDEX(MAP!$B$7:$B$156,MATCH(TRIM(O304),MAP!$A$7:$A$156,0)),"UNMAPPED"))</f>
        <v>Community Benefit Manager</v>
      </c>
      <c r="Q304" s="48" t="n">
        <f aca="false">STACK!I304</f>
        <v>70.75</v>
      </c>
      <c r="R304" s="60" t="n">
        <f aca="false">IF(G304&gt;0,IF(INDEX(CONFIRM!$F$5:$F$53,G304)&lt;&gt;"",INDEX(CONFIRM!$F$5:$F$53,G304),IF(ISNUMBER(Q304),Q304,IF(Q304="","",IFERROR(VALUE(TRIM(SUBSTITUTE(SUBSTITUTE(LOWER(Q304),"hrs",""),"hr",""))),"")))),IF(ISNUMBER(Q304),Q304,IF(Q304="","",IFERROR(VALUE(TRIM(SUBSTITUTE(SUBSTITUTE(LOWER(Q304),"hrs",""),"hr",""))),""))))</f>
        <v>70.75</v>
      </c>
      <c r="S304" s="57" t="n">
        <f aca="false">IFERROR(INDEX(RATES!$E$6:$E$28,MATCH(P304,RATES!$A$6:$A$28,0)),0)</f>
        <v>59.11</v>
      </c>
      <c r="T304" s="61" t="n">
        <f aca="false">IF(ISNUMBER(R304),R304,0)*S304</f>
        <v>4182.0325</v>
      </c>
      <c r="U304" s="61" t="n">
        <f aca="false">T304*INDEX(INPUTS!$H$10:$H$14,MATCH(B304,INPUTS!$A$10:$A$14,0))</f>
        <v>773.6760125</v>
      </c>
      <c r="V304" s="61" t="n">
        <f aca="false">N(STACK!K304)</f>
        <v>385</v>
      </c>
      <c r="W304" s="61" t="n">
        <f aca="false">T304+U304+V304</f>
        <v>5340.7085125</v>
      </c>
      <c r="X304" s="61" t="n">
        <f aca="false">N(STACK!L304)</f>
        <v>0</v>
      </c>
      <c r="Y304" s="61" t="n">
        <f aca="false">W304-X304</f>
        <v>5340.7085125</v>
      </c>
      <c r="Z304" s="1" t="n">
        <f aca="false">N(STACK!J304)</f>
        <v>0</v>
      </c>
      <c r="AA304" s="1" t="str">
        <f aca="false">TRIM(IF(D304="UNMAPPED","Program not mapped. ","")&amp;IF(OR(K304="UNMAPPED",K304="UNASSIGNED"),"Category needs review. ","")&amp;IF(P304="UNMAPPED","Title not mapped. ","")&amp;IF(AND(P304&lt;&gt;"No staff time",R304=""),"Missing hours. ","")&amp;IF(M304="","Date not readable. ","")&amp;IF(N304="No","Outside fiscal year. ","")&amp;IF(AND(F304="Event",ISNUMBER(R304)),IF(R304&gt;12,"Event hours look high. ",""),"")&amp;IF(G304&gt;0,"See CONFIRM sheet.",""))</f>
        <v/>
      </c>
      <c r="AB304" s="1" t="n">
        <f aca="false">IF(N304="No",0,IF(REVIEW!O304=0,0,IF(G304&gt;0,IF(INDEX(CONFIRM!$J$5:$J$53,G304)&lt;&gt;"",INDEX(CONFIRM!$J$5:$J$53,G304),1),1)))</f>
        <v>1</v>
      </c>
      <c r="AC304" s="1" t="n">
        <f aca="false">IF(AB304=1,IF(COUNTIFS($B$5:B304,B304,$D$5:D304,D304,$AB$5:AB304,1)=1,1,0),0)</f>
        <v>0</v>
      </c>
    </row>
    <row r="305" customFormat="false" ht="15" hidden="false" customHeight="false" outlineLevel="0" collapsed="false">
      <c r="A305" s="48" t="str">
        <f aca="false">STACK!A305</f>
        <v>KVMC-0301</v>
      </c>
      <c r="B305" s="48" t="str">
        <f aca="false">STACK!B305</f>
        <v>KVMC</v>
      </c>
      <c r="C305" s="48" t="str">
        <f aca="false">STACK!E305</f>
        <v>Interpreter Services for Community Clinics</v>
      </c>
      <c r="D305" s="1" t="str">
        <f aca="false">IFERROR(INDEX(MAP!$J$7:$J$101,MATCH(TRIM(C305),MAP!$I$7:$I$101,0)),"UNMAPPED")</f>
        <v>Interpreter Services for Community Clinics</v>
      </c>
      <c r="E305" s="1" t="str">
        <f aca="false">IFERROR(INDEX(MAP!$K$7:$K$101,MATCH(TRIM(C305),MAP!$I$7:$I$101,0)),"")</f>
        <v>Access to care</v>
      </c>
      <c r="F305" s="1" t="str">
        <f aca="false">IFERROR(INDEX(MAP!$L$7:$L$101,MATCH(TRIM(C305),MAP!$I$7:$I$101,0)),"")</f>
        <v>Monthly</v>
      </c>
      <c r="G305" s="1" t="n">
        <f aca="false">IFERROR(MATCH(A305,CONFIRM!$A$5:$A$53,0),0)</f>
        <v>0</v>
      </c>
      <c r="H305" s="48" t="str">
        <f aca="false">STACK!F305</f>
        <v>Health Care Support Services</v>
      </c>
      <c r="I305" s="1" t="str">
        <f aca="false">IF(G305&gt;0,IF(INDEX(CONFIRM!$I$5:$I$53,G305)&lt;&gt;"",INDEX(CONFIRM!$I$5:$I$53,G305),H305),H305)</f>
        <v>Health Care Support Services</v>
      </c>
      <c r="J305" s="1" t="str">
        <f aca="false">IFERROR(INDEX(MAP!$F$7:$F$74,MATCH(TRIM(I305),MAP!$E$7:$E$74,0)),"UNMAPPED")</f>
        <v>Health care support services</v>
      </c>
      <c r="K305" s="1" t="str">
        <f aca="false">IFERROR(INDEX(MAP!$G$7:$G$74,MATCH(TRIM(I305),MAP!$E$7:$E$74,0)),"UNMAPPED")</f>
        <v>7e</v>
      </c>
      <c r="L305" s="49" t="n">
        <f aca="false">STACK!G305</f>
        <v>46053</v>
      </c>
      <c r="M305" s="59" t="n">
        <f aca="false">IF(G305&gt;0,IF(INDEX(CONFIRM!$G$5:$G$53,G305)&lt;&gt;"",INDEX(CONFIRM!$G$5:$G$53,G305),IF(ISNUMBER(L305),L305,IFERROR(DATEVALUE(L305),""))),IF(ISNUMBER(L305),L305,IFERROR(DATEVALUE(L305),"")))</f>
        <v>46053</v>
      </c>
      <c r="N305" s="1" t="str">
        <f aca="false">IF(M305="","Check",IF(AND(M305&gt;=INPUTS!$C$6,M305&lt;=INPUTS!$C$7),"Yes","No"))</f>
        <v>Yes</v>
      </c>
      <c r="O305" s="48" t="str">
        <f aca="false">STACK!H305</f>
        <v>Medical Interpreter</v>
      </c>
      <c r="P305" s="1" t="str">
        <f aca="false">IF(G305&gt;0,IF(INDEX(CONFIRM!$H$5:$H$53,G305)&lt;&gt;"",INDEX(CONFIRM!$H$5:$H$53,G305),IFERROR(INDEX(MAP!$B$7:$B$156,MATCH(TRIM(O305),MAP!$A$7:$A$156,0)),"UNMAPPED")),IFERROR(INDEX(MAP!$B$7:$B$156,MATCH(TRIM(O305),MAP!$A$7:$A$156,0)),"UNMAPPED"))</f>
        <v>Interpreter</v>
      </c>
      <c r="Q305" s="48" t="n">
        <f aca="false">STACK!I305</f>
        <v>66</v>
      </c>
      <c r="R305" s="60" t="n">
        <f aca="false">IF(G305&gt;0,IF(INDEX(CONFIRM!$F$5:$F$53,G305)&lt;&gt;"",INDEX(CONFIRM!$F$5:$F$53,G305),IF(ISNUMBER(Q305),Q305,IF(Q305="","",IFERROR(VALUE(TRIM(SUBSTITUTE(SUBSTITUTE(LOWER(Q305),"hrs",""),"hr",""))),"")))),IF(ISNUMBER(Q305),Q305,IF(Q305="","",IFERROR(VALUE(TRIM(SUBSTITUTE(SUBSTITUTE(LOWER(Q305),"hrs",""),"hr",""))),""))))</f>
        <v>66</v>
      </c>
      <c r="S305" s="57" t="n">
        <f aca="false">IFERROR(INDEX(RATES!$E$6:$E$28,MATCH(P305,RATES!$A$6:$A$28,0)),0)</f>
        <v>32.7675</v>
      </c>
      <c r="T305" s="61" t="n">
        <f aca="false">IF(ISNUMBER(R305),R305,0)*S305</f>
        <v>2162.655</v>
      </c>
      <c r="U305" s="61" t="n">
        <f aca="false">T305*INDEX(INPUTS!$H$10:$H$14,MATCH(B305,INPUTS!$A$10:$A$14,0))</f>
        <v>400.091175</v>
      </c>
      <c r="V305" s="61" t="n">
        <f aca="false">N(STACK!K305)</f>
        <v>0</v>
      </c>
      <c r="W305" s="61" t="n">
        <f aca="false">T305+U305+V305</f>
        <v>2562.746175</v>
      </c>
      <c r="X305" s="61" t="n">
        <f aca="false">N(STACK!L305)</f>
        <v>0</v>
      </c>
      <c r="Y305" s="61" t="n">
        <f aca="false">W305-X305</f>
        <v>2562.746175</v>
      </c>
      <c r="Z305" s="1" t="n">
        <f aca="false">N(STACK!J305)</f>
        <v>134</v>
      </c>
      <c r="AA305" s="1" t="str">
        <f aca="false">TRIM(IF(D305="UNMAPPED","Program not mapped. ","")&amp;IF(OR(K305="UNMAPPED",K305="UNASSIGNED"),"Category needs review. ","")&amp;IF(P305="UNMAPPED","Title not mapped. ","")&amp;IF(AND(P305&lt;&gt;"No staff time",R305=""),"Missing hours. ","")&amp;IF(M305="","Date not readable. ","")&amp;IF(N305="No","Outside fiscal year. ","")&amp;IF(AND(F305="Event",ISNUMBER(R305)),IF(R305&gt;12,"Event hours look high. ",""),"")&amp;IF(G305&gt;0,"See CONFIRM sheet.",""))</f>
        <v/>
      </c>
      <c r="AB305" s="1" t="n">
        <f aca="false">IF(N305="No",0,IF(REVIEW!O305=0,0,IF(G305&gt;0,IF(INDEX(CONFIRM!$J$5:$J$53,G305)&lt;&gt;"",INDEX(CONFIRM!$J$5:$J$53,G305),1),1)))</f>
        <v>1</v>
      </c>
      <c r="AC305" s="1" t="n">
        <f aca="false">IF(AB305=1,IF(COUNTIFS($B$5:B305,B305,$D$5:D305,D305,$AB$5:AB305,1)=1,1,0),0)</f>
        <v>0</v>
      </c>
    </row>
    <row r="306" customFormat="false" ht="15" hidden="false" customHeight="false" outlineLevel="0" collapsed="false">
      <c r="A306" s="48" t="str">
        <f aca="false">STACK!A306</f>
        <v>KVMC-0302</v>
      </c>
      <c r="B306" s="48" t="str">
        <f aca="false">STACK!B306</f>
        <v>KVMC</v>
      </c>
      <c r="C306" s="48" t="str">
        <f aca="false">STACK!E306</f>
        <v>Nursing Student Clinical Rotations</v>
      </c>
      <c r="D306" s="1" t="str">
        <f aca="false">IFERROR(INDEX(MAP!$J$7:$J$101,MATCH(TRIM(C306),MAP!$I$7:$I$101,0)),"UNMAPPED")</f>
        <v>Nursing Student Clinical Rotations</v>
      </c>
      <c r="E306" s="1" t="str">
        <f aca="false">IFERROR(INDEX(MAP!$K$7:$K$101,MATCH(TRIM(C306),MAP!$I$7:$I$101,0)),"")</f>
        <v>Health workforce</v>
      </c>
      <c r="F306" s="1" t="str">
        <f aca="false">IFERROR(INDEX(MAP!$L$7:$L$101,MATCH(TRIM(C306),MAP!$I$7:$I$101,0)),"")</f>
        <v>Monthly</v>
      </c>
      <c r="G306" s="1" t="n">
        <f aca="false">IFERROR(MATCH(A306,CONFIRM!$A$5:$A$53,0),0)</f>
        <v>0</v>
      </c>
      <c r="H306" s="48" t="str">
        <f aca="false">STACK!F306</f>
        <v>Health Professions Education</v>
      </c>
      <c r="I306" s="1" t="str">
        <f aca="false">IF(G306&gt;0,IF(INDEX(CONFIRM!$I$5:$I$53,G306)&lt;&gt;"",INDEX(CONFIRM!$I$5:$I$53,G306),H306),H306)</f>
        <v>Health Professions Education</v>
      </c>
      <c r="J306" s="1" t="str">
        <f aca="false">IFERROR(INDEX(MAP!$F$7:$F$74,MATCH(TRIM(I306),MAP!$E$7:$E$74,0)),"UNMAPPED")</f>
        <v>Health professions education</v>
      </c>
      <c r="K306" s="1" t="str">
        <f aca="false">IFERROR(INDEX(MAP!$G$7:$G$74,MATCH(TRIM(I306),MAP!$E$7:$E$74,0)),"UNMAPPED")</f>
        <v>7f</v>
      </c>
      <c r="L306" s="49" t="n">
        <f aca="false">STACK!G306</f>
        <v>46053</v>
      </c>
      <c r="M306" s="59" t="n">
        <f aca="false">IF(G306&gt;0,IF(INDEX(CONFIRM!$G$5:$G$53,G306)&lt;&gt;"",INDEX(CONFIRM!$G$5:$G$53,G306),IF(ISNUMBER(L306),L306,IFERROR(DATEVALUE(L306),""))),IF(ISNUMBER(L306),L306,IFERROR(DATEVALUE(L306),"")))</f>
        <v>46053</v>
      </c>
      <c r="N306" s="1" t="str">
        <f aca="false">IF(M306="","Check",IF(AND(M306&gt;=INPUTS!$C$6,M306&lt;=INPUTS!$C$7),"Yes","No"))</f>
        <v>Yes</v>
      </c>
      <c r="O306" s="48" t="str">
        <f aca="false">STACK!H306</f>
        <v>Educator, Nursing</v>
      </c>
      <c r="P306" s="1" t="str">
        <f aca="false">IF(G306&gt;0,IF(INDEX(CONFIRM!$H$5:$H$53,G306)&lt;&gt;"",INDEX(CONFIRM!$H$5:$H$53,G306),IFERROR(INDEX(MAP!$B$7:$B$156,MATCH(TRIM(O306),MAP!$A$7:$A$156,0)),"UNMAPPED")),IFERROR(INDEX(MAP!$B$7:$B$156,MATCH(TRIM(O306),MAP!$A$7:$A$156,0)),"UNMAPPED"))</f>
        <v>Clinical Nurse Educator</v>
      </c>
      <c r="Q306" s="48" t="n">
        <f aca="false">STACK!I306</f>
        <v>183.75</v>
      </c>
      <c r="R306" s="60" t="n">
        <f aca="false">IF(G306&gt;0,IF(INDEX(CONFIRM!$F$5:$F$53,G306)&lt;&gt;"",INDEX(CONFIRM!$F$5:$F$53,G306),IF(ISNUMBER(Q306),Q306,IF(Q306="","",IFERROR(VALUE(TRIM(SUBSTITUTE(SUBSTITUTE(LOWER(Q306),"hrs",""),"hr",""))),"")))),IF(ISNUMBER(Q306),Q306,IF(Q306="","",IFERROR(VALUE(TRIM(SUBSTITUTE(SUBSTITUTE(LOWER(Q306),"hrs",""),"hr",""))),""))))</f>
        <v>183.75</v>
      </c>
      <c r="S306" s="57" t="n">
        <f aca="false">IFERROR(INDEX(RATES!$E$6:$E$28,MATCH(P306,RATES!$A$6:$A$28,0)),0)</f>
        <v>62.965</v>
      </c>
      <c r="T306" s="61" t="n">
        <f aca="false">IF(ISNUMBER(R306),R306,0)*S306</f>
        <v>11569.81875</v>
      </c>
      <c r="U306" s="61" t="n">
        <f aca="false">T306*INDEX(INPUTS!$H$10:$H$14,MATCH(B306,INPUTS!$A$10:$A$14,0))</f>
        <v>2140.41646875</v>
      </c>
      <c r="V306" s="61" t="n">
        <f aca="false">N(STACK!K306)</f>
        <v>675</v>
      </c>
      <c r="W306" s="61" t="n">
        <f aca="false">T306+U306+V306</f>
        <v>14385.23521875</v>
      </c>
      <c r="X306" s="61" t="n">
        <f aca="false">N(STACK!L306)</f>
        <v>0</v>
      </c>
      <c r="Y306" s="61" t="n">
        <f aca="false">W306-X306</f>
        <v>14385.23521875</v>
      </c>
      <c r="Z306" s="1" t="n">
        <f aca="false">N(STACK!J306)</f>
        <v>27</v>
      </c>
      <c r="AA306" s="1" t="str">
        <f aca="false">TRIM(IF(D306="UNMAPPED","Program not mapped. ","")&amp;IF(OR(K306="UNMAPPED",K306="UNASSIGNED"),"Category needs review. ","")&amp;IF(P306="UNMAPPED","Title not mapped. ","")&amp;IF(AND(P306&lt;&gt;"No staff time",R306=""),"Missing hours. ","")&amp;IF(M306="","Date not readable. ","")&amp;IF(N306="No","Outside fiscal year. ","")&amp;IF(AND(F306="Event",ISNUMBER(R306)),IF(R306&gt;12,"Event hours look high. ",""),"")&amp;IF(G306&gt;0,"See CONFIRM sheet.",""))</f>
        <v/>
      </c>
      <c r="AB306" s="1" t="n">
        <f aca="false">IF(N306="No",0,IF(REVIEW!O306=0,0,IF(G306&gt;0,IF(INDEX(CONFIRM!$J$5:$J$53,G306)&lt;&gt;"",INDEX(CONFIRM!$J$5:$J$53,G306),1),1)))</f>
        <v>1</v>
      </c>
      <c r="AC306" s="1" t="n">
        <f aca="false">IF(AB306=1,IF(COUNTIFS($B$5:B306,B306,$D$5:D306,D306,$AB$5:AB306,1)=1,1,0),0)</f>
        <v>0</v>
      </c>
    </row>
    <row r="307" customFormat="false" ht="15" hidden="false" customHeight="false" outlineLevel="0" collapsed="false">
      <c r="A307" s="48" t="str">
        <f aca="false">STACK!A307</f>
        <v>KVMC-0303</v>
      </c>
      <c r="B307" s="48" t="str">
        <f aca="false">STACK!B307</f>
        <v>KVMC</v>
      </c>
      <c r="C307" s="48" t="str">
        <f aca="false">STACK!E307</f>
        <v>Nursing Student Clinical Rotations</v>
      </c>
      <c r="D307" s="1" t="str">
        <f aca="false">IFERROR(INDEX(MAP!$J$7:$J$101,MATCH(TRIM(C307),MAP!$I$7:$I$101,0)),"UNMAPPED")</f>
        <v>Nursing Student Clinical Rotations</v>
      </c>
      <c r="E307" s="1" t="str">
        <f aca="false">IFERROR(INDEX(MAP!$K$7:$K$101,MATCH(TRIM(C307),MAP!$I$7:$I$101,0)),"")</f>
        <v>Health workforce</v>
      </c>
      <c r="F307" s="1" t="str">
        <f aca="false">IFERROR(INDEX(MAP!$L$7:$L$101,MATCH(TRIM(C307),MAP!$I$7:$I$101,0)),"")</f>
        <v>Monthly</v>
      </c>
      <c r="G307" s="1" t="n">
        <f aca="false">IFERROR(MATCH(A307,CONFIRM!$A$5:$A$53,0),0)</f>
        <v>0</v>
      </c>
      <c r="H307" s="48" t="str">
        <f aca="false">STACK!F307</f>
        <v>Health Professions Education</v>
      </c>
      <c r="I307" s="1" t="str">
        <f aca="false">IF(G307&gt;0,IF(INDEX(CONFIRM!$I$5:$I$53,G307)&lt;&gt;"",INDEX(CONFIRM!$I$5:$I$53,G307),H307),H307)</f>
        <v>Health Professions Education</v>
      </c>
      <c r="J307" s="1" t="str">
        <f aca="false">IFERROR(INDEX(MAP!$F$7:$F$74,MATCH(TRIM(I307),MAP!$E$7:$E$74,0)),"UNMAPPED")</f>
        <v>Health professions education</v>
      </c>
      <c r="K307" s="1" t="str">
        <f aca="false">IFERROR(INDEX(MAP!$G$7:$G$74,MATCH(TRIM(I307),MAP!$E$7:$E$74,0)),"UNMAPPED")</f>
        <v>7f</v>
      </c>
      <c r="L307" s="49" t="n">
        <f aca="false">STACK!G307</f>
        <v>46053</v>
      </c>
      <c r="M307" s="59" t="n">
        <f aca="false">IF(G307&gt;0,IF(INDEX(CONFIRM!$G$5:$G$53,G307)&lt;&gt;"",INDEX(CONFIRM!$G$5:$G$53,G307),IF(ISNUMBER(L307),L307,IFERROR(DATEVALUE(L307),""))),IF(ISNUMBER(L307),L307,IFERROR(DATEVALUE(L307),"")))</f>
        <v>46053</v>
      </c>
      <c r="N307" s="1" t="str">
        <f aca="false">IF(M307="","Check",IF(AND(M307&gt;=INPUTS!$C$6,M307&lt;=INPUTS!$C$7),"Yes","No"))</f>
        <v>Yes</v>
      </c>
      <c r="O307" s="48" t="str">
        <f aca="false">STACK!H307</f>
        <v>Registered Nurse</v>
      </c>
      <c r="P307" s="1" t="str">
        <f aca="false">IF(G307&gt;0,IF(INDEX(CONFIRM!$H$5:$H$53,G307)&lt;&gt;"",INDEX(CONFIRM!$H$5:$H$53,G307),IFERROR(INDEX(MAP!$B$7:$B$156,MATCH(TRIM(O307),MAP!$A$7:$A$156,0)),"UNMAPPED")),IFERROR(INDEX(MAP!$B$7:$B$156,MATCH(TRIM(O307),MAP!$A$7:$A$156,0)),"UNMAPPED"))</f>
        <v>Registered Nurse</v>
      </c>
      <c r="Q307" s="48" t="n">
        <f aca="false">STACK!I307</f>
        <v>305.5</v>
      </c>
      <c r="R307" s="60" t="n">
        <f aca="false">IF(G307&gt;0,IF(INDEX(CONFIRM!$F$5:$F$53,G307)&lt;&gt;"",INDEX(CONFIRM!$F$5:$F$53,G307),IF(ISNUMBER(Q307),Q307,IF(Q307="","",IFERROR(VALUE(TRIM(SUBSTITUTE(SUBSTITUTE(LOWER(Q307),"hrs",""),"hr",""))),"")))),IF(ISNUMBER(Q307),Q307,IF(Q307="","",IFERROR(VALUE(TRIM(SUBSTITUTE(SUBSTITUTE(LOWER(Q307),"hrs",""),"hr",""))),""))))</f>
        <v>305.5</v>
      </c>
      <c r="S307" s="57" t="n">
        <f aca="false">IFERROR(INDEX(RATES!$E$6:$E$28,MATCH(P307,RATES!$A$6:$A$28,0)),0)</f>
        <v>55.8975</v>
      </c>
      <c r="T307" s="61" t="n">
        <f aca="false">IF(ISNUMBER(R307),R307,0)*S307</f>
        <v>17076.68625</v>
      </c>
      <c r="U307" s="61" t="n">
        <f aca="false">T307*INDEX(INPUTS!$H$10:$H$14,MATCH(B307,INPUTS!$A$10:$A$14,0))</f>
        <v>3159.18695625</v>
      </c>
      <c r="V307" s="61" t="n">
        <f aca="false">N(STACK!K307)</f>
        <v>0</v>
      </c>
      <c r="W307" s="61" t="n">
        <f aca="false">T307+U307+V307</f>
        <v>20235.87320625</v>
      </c>
      <c r="X307" s="61" t="n">
        <f aca="false">N(STACK!L307)</f>
        <v>0</v>
      </c>
      <c r="Y307" s="61" t="n">
        <f aca="false">W307-X307</f>
        <v>20235.87320625</v>
      </c>
      <c r="Z307" s="1" t="n">
        <f aca="false">N(STACK!J307)</f>
        <v>0</v>
      </c>
      <c r="AA307" s="1" t="str">
        <f aca="false">TRIM(IF(D307="UNMAPPED","Program not mapped. ","")&amp;IF(OR(K307="UNMAPPED",K307="UNASSIGNED"),"Category needs review. ","")&amp;IF(P307="UNMAPPED","Title not mapped. ","")&amp;IF(AND(P307&lt;&gt;"No staff time",R307=""),"Missing hours. ","")&amp;IF(M307="","Date not readable. ","")&amp;IF(N307="No","Outside fiscal year. ","")&amp;IF(AND(F307="Event",ISNUMBER(R307)),IF(R307&gt;12,"Event hours look high. ",""),"")&amp;IF(G307&gt;0,"See CONFIRM sheet.",""))</f>
        <v/>
      </c>
      <c r="AB307" s="1" t="n">
        <f aca="false">IF(N307="No",0,IF(REVIEW!O307=0,0,IF(G307&gt;0,IF(INDEX(CONFIRM!$J$5:$J$53,G307)&lt;&gt;"",INDEX(CONFIRM!$J$5:$J$53,G307),1),1)))</f>
        <v>1</v>
      </c>
      <c r="AC307" s="1" t="n">
        <f aca="false">IF(AB307=1,IF(COUNTIFS($B$5:B307,B307,$D$5:D307,D307,$AB$5:AB307,1)=1,1,0),0)</f>
        <v>0</v>
      </c>
    </row>
    <row r="308" customFormat="false" ht="15" hidden="false" customHeight="false" outlineLevel="0" collapsed="false">
      <c r="A308" s="48" t="str">
        <f aca="false">STACK!A308</f>
        <v>KVMC-0304</v>
      </c>
      <c r="B308" s="48" t="str">
        <f aca="false">STACK!B308</f>
        <v>KVMC</v>
      </c>
      <c r="C308" s="48" t="str">
        <f aca="false">STACK!E308</f>
        <v>Family Medicine Residency Program</v>
      </c>
      <c r="D308" s="1" t="str">
        <f aca="false">IFERROR(INDEX(MAP!$J$7:$J$101,MATCH(TRIM(C308),MAP!$I$7:$I$101,0)),"UNMAPPED")</f>
        <v>Family Medicine Residency Program</v>
      </c>
      <c r="E308" s="1" t="str">
        <f aca="false">IFERROR(INDEX(MAP!$K$7:$K$101,MATCH(TRIM(C308),MAP!$I$7:$I$101,0)),"")</f>
        <v>Health workforce</v>
      </c>
      <c r="F308" s="1" t="str">
        <f aca="false">IFERROR(INDEX(MAP!$L$7:$L$101,MATCH(TRIM(C308),MAP!$I$7:$I$101,0)),"")</f>
        <v>Monthly</v>
      </c>
      <c r="G308" s="1" t="n">
        <f aca="false">IFERROR(MATCH(A308,CONFIRM!$A$5:$A$53,0),0)</f>
        <v>0</v>
      </c>
      <c r="H308" s="48" t="str">
        <f aca="false">STACK!F308</f>
        <v>Health Professions Education</v>
      </c>
      <c r="I308" s="1" t="str">
        <f aca="false">IF(G308&gt;0,IF(INDEX(CONFIRM!$I$5:$I$53,G308)&lt;&gt;"",INDEX(CONFIRM!$I$5:$I$53,G308),H308),H308)</f>
        <v>Health Professions Education</v>
      </c>
      <c r="J308" s="1" t="str">
        <f aca="false">IFERROR(INDEX(MAP!$F$7:$F$74,MATCH(TRIM(I308),MAP!$E$7:$E$74,0)),"UNMAPPED")</f>
        <v>Health professions education</v>
      </c>
      <c r="K308" s="1" t="str">
        <f aca="false">IFERROR(INDEX(MAP!$G$7:$G$74,MATCH(TRIM(I308),MAP!$E$7:$E$74,0)),"UNMAPPED")</f>
        <v>7f</v>
      </c>
      <c r="L308" s="49" t="n">
        <f aca="false">STACK!G308</f>
        <v>46053</v>
      </c>
      <c r="M308" s="59" t="n">
        <f aca="false">IF(G308&gt;0,IF(INDEX(CONFIRM!$G$5:$G$53,G308)&lt;&gt;"",INDEX(CONFIRM!$G$5:$G$53,G308),IF(ISNUMBER(L308),L308,IFERROR(DATEVALUE(L308),""))),IF(ISNUMBER(L308),L308,IFERROR(DATEVALUE(L308),"")))</f>
        <v>46053</v>
      </c>
      <c r="N308" s="1" t="str">
        <f aca="false">IF(M308="","Check",IF(AND(M308&gt;=INPUTS!$C$6,M308&lt;=INPUTS!$C$7),"Yes","No"))</f>
        <v>Yes</v>
      </c>
      <c r="O308" s="48" t="str">
        <f aca="false">STACK!H308</f>
        <v>Staff Physician</v>
      </c>
      <c r="P308" s="1" t="str">
        <f aca="false">IF(G308&gt;0,IF(INDEX(CONFIRM!$H$5:$H$53,G308)&lt;&gt;"",INDEX(CONFIRM!$H$5:$H$53,G308),IFERROR(INDEX(MAP!$B$7:$B$156,MATCH(TRIM(O308),MAP!$A$7:$A$156,0)),"UNMAPPED")),IFERROR(INDEX(MAP!$B$7:$B$156,MATCH(TRIM(O308),MAP!$A$7:$A$156,0)),"UNMAPPED"))</f>
        <v>Physician</v>
      </c>
      <c r="Q308" s="48" t="n">
        <f aca="false">STACK!I308</f>
        <v>403.25</v>
      </c>
      <c r="R308" s="60" t="n">
        <f aca="false">IF(G308&gt;0,IF(INDEX(CONFIRM!$F$5:$F$53,G308)&lt;&gt;"",INDEX(CONFIRM!$F$5:$F$53,G308),IF(ISNUMBER(Q308),Q308,IF(Q308="","",IFERROR(VALUE(TRIM(SUBSTITUTE(SUBSTITUTE(LOWER(Q308),"hrs",""),"hr",""))),"")))),IF(ISNUMBER(Q308),Q308,IF(Q308="","",IFERROR(VALUE(TRIM(SUBSTITUTE(SUBSTITUTE(LOWER(Q308),"hrs",""),"hr",""))),""))))</f>
        <v>403.25</v>
      </c>
      <c r="S308" s="57" t="n">
        <f aca="false">IFERROR(INDEX(RATES!$E$6:$E$28,MATCH(P308,RATES!$A$6:$A$28,0)),0)</f>
        <v>151.63</v>
      </c>
      <c r="T308" s="61" t="n">
        <f aca="false">IF(ISNUMBER(R308),R308,0)*S308</f>
        <v>61144.7975</v>
      </c>
      <c r="U308" s="61" t="n">
        <f aca="false">T308*INDEX(INPUTS!$H$10:$H$14,MATCH(B308,INPUTS!$A$10:$A$14,0))</f>
        <v>11311.7875375</v>
      </c>
      <c r="V308" s="61" t="n">
        <f aca="false">N(STACK!K308)</f>
        <v>39425</v>
      </c>
      <c r="W308" s="61" t="n">
        <f aca="false">T308+U308+V308</f>
        <v>111881.5850375</v>
      </c>
      <c r="X308" s="61" t="n">
        <f aca="false">N(STACK!L308)</f>
        <v>166625</v>
      </c>
      <c r="Y308" s="61" t="n">
        <f aca="false">W308-X308</f>
        <v>-54743.4149625</v>
      </c>
      <c r="Z308" s="1" t="n">
        <f aca="false">N(STACK!J308)</f>
        <v>0</v>
      </c>
      <c r="AA308" s="1" t="str">
        <f aca="false">TRIM(IF(D308="UNMAPPED","Program not mapped. ","")&amp;IF(OR(K308="UNMAPPED",K308="UNASSIGNED"),"Category needs review. ","")&amp;IF(P308="UNMAPPED","Title not mapped. ","")&amp;IF(AND(P308&lt;&gt;"No staff time",R308=""),"Missing hours. ","")&amp;IF(M308="","Date not readable. ","")&amp;IF(N308="No","Outside fiscal year. ","")&amp;IF(AND(F308="Event",ISNUMBER(R308)),IF(R308&gt;12,"Event hours look high. ",""),"")&amp;IF(G308&gt;0,"See CONFIRM sheet.",""))</f>
        <v/>
      </c>
      <c r="AB308" s="1" t="n">
        <f aca="false">IF(N308="No",0,IF(REVIEW!O308=0,0,IF(G308&gt;0,IF(INDEX(CONFIRM!$J$5:$J$53,G308)&lt;&gt;"",INDEX(CONFIRM!$J$5:$J$53,G308),1),1)))</f>
        <v>1</v>
      </c>
      <c r="AC308" s="1" t="n">
        <f aca="false">IF(AB308=1,IF(COUNTIFS($B$5:B308,B308,$D$5:D308,D308,$AB$5:AB308,1)=1,1,0),0)</f>
        <v>0</v>
      </c>
    </row>
    <row r="309" customFormat="false" ht="15" hidden="false" customHeight="false" outlineLevel="0" collapsed="false">
      <c r="A309" s="48" t="str">
        <f aca="false">STACK!A309</f>
        <v>KVMC-0305</v>
      </c>
      <c r="B309" s="48" t="str">
        <f aca="false">STACK!B309</f>
        <v>KVMC</v>
      </c>
      <c r="C309" s="48" t="str">
        <f aca="false">STACK!E309</f>
        <v>Family Medicine Residency Program</v>
      </c>
      <c r="D309" s="1" t="str">
        <f aca="false">IFERROR(INDEX(MAP!$J$7:$J$101,MATCH(TRIM(C309),MAP!$I$7:$I$101,0)),"UNMAPPED")</f>
        <v>Family Medicine Residency Program</v>
      </c>
      <c r="E309" s="1" t="str">
        <f aca="false">IFERROR(INDEX(MAP!$K$7:$K$101,MATCH(TRIM(C309),MAP!$I$7:$I$101,0)),"")</f>
        <v>Health workforce</v>
      </c>
      <c r="F309" s="1" t="str">
        <f aca="false">IFERROR(INDEX(MAP!$L$7:$L$101,MATCH(TRIM(C309),MAP!$I$7:$I$101,0)),"")</f>
        <v>Monthly</v>
      </c>
      <c r="G309" s="1" t="n">
        <f aca="false">IFERROR(MATCH(A309,CONFIRM!$A$5:$A$53,0),0)</f>
        <v>0</v>
      </c>
      <c r="H309" s="48" t="str">
        <f aca="false">STACK!F309</f>
        <v>Health Professions Education</v>
      </c>
      <c r="I309" s="1" t="str">
        <f aca="false">IF(G309&gt;0,IF(INDEX(CONFIRM!$I$5:$I$53,G309)&lt;&gt;"",INDEX(CONFIRM!$I$5:$I$53,G309),H309),H309)</f>
        <v>Health Professions Education</v>
      </c>
      <c r="J309" s="1" t="str">
        <f aca="false">IFERROR(INDEX(MAP!$F$7:$F$74,MATCH(TRIM(I309),MAP!$E$7:$E$74,0)),"UNMAPPED")</f>
        <v>Health professions education</v>
      </c>
      <c r="K309" s="1" t="str">
        <f aca="false">IFERROR(INDEX(MAP!$G$7:$G$74,MATCH(TRIM(I309),MAP!$E$7:$E$74,0)),"UNMAPPED")</f>
        <v>7f</v>
      </c>
      <c r="L309" s="49" t="n">
        <f aca="false">STACK!G309</f>
        <v>46053</v>
      </c>
      <c r="M309" s="59" t="n">
        <f aca="false">IF(G309&gt;0,IF(INDEX(CONFIRM!$G$5:$G$53,G309)&lt;&gt;"",INDEX(CONFIRM!$G$5:$G$53,G309),IF(ISNUMBER(L309),L309,IFERROR(DATEVALUE(L309),""))),IF(ISNUMBER(L309),L309,IFERROR(DATEVALUE(L309),"")))</f>
        <v>46053</v>
      </c>
      <c r="N309" s="1" t="str">
        <f aca="false">IF(M309="","Check",IF(AND(M309&gt;=INPUTS!$C$6,M309&lt;=INPUTS!$C$7),"Yes","No"))</f>
        <v>Yes</v>
      </c>
      <c r="O309" s="48" t="str">
        <f aca="false">STACK!H309</f>
        <v>Residency Coordinator</v>
      </c>
      <c r="P309" s="1" t="str">
        <f aca="false">IF(G309&gt;0,IF(INDEX(CONFIRM!$H$5:$H$53,G309)&lt;&gt;"",INDEX(CONFIRM!$H$5:$H$53,G309),IFERROR(INDEX(MAP!$B$7:$B$156,MATCH(TRIM(O309),MAP!$A$7:$A$156,0)),"UNMAPPED")),IFERROR(INDEX(MAP!$B$7:$B$156,MATCH(TRIM(O309),MAP!$A$7:$A$156,0)),"UNMAPPED"))</f>
        <v>Program Coordinator</v>
      </c>
      <c r="Q309" s="48" t="n">
        <f aca="false">STACK!I309</f>
        <v>165.25</v>
      </c>
      <c r="R309" s="60" t="n">
        <f aca="false">IF(G309&gt;0,IF(INDEX(CONFIRM!$F$5:$F$53,G309)&lt;&gt;"",INDEX(CONFIRM!$F$5:$F$53,G309),IF(ISNUMBER(Q309),Q309,IF(Q309="","",IFERROR(VALUE(TRIM(SUBSTITUTE(SUBSTITUTE(LOWER(Q309),"hrs",""),"hr",""))),"")))),IF(ISNUMBER(Q309),Q309,IF(Q309="","",IFERROR(VALUE(TRIM(SUBSTITUTE(SUBSTITUTE(LOWER(Q309),"hrs",""),"hr",""))),""))))</f>
        <v>165.25</v>
      </c>
      <c r="S309" s="57" t="n">
        <f aca="false">IFERROR(INDEX(RATES!$E$6:$E$28,MATCH(P309,RATES!$A$6:$A$28,0)),0)</f>
        <v>35.3375</v>
      </c>
      <c r="T309" s="61" t="n">
        <f aca="false">IF(ISNUMBER(R309),R309,0)*S309</f>
        <v>5839.521875</v>
      </c>
      <c r="U309" s="61" t="n">
        <f aca="false">T309*INDEX(INPUTS!$H$10:$H$14,MATCH(B309,INPUTS!$A$10:$A$14,0))</f>
        <v>1080.311546875</v>
      </c>
      <c r="V309" s="61" t="n">
        <f aca="false">N(STACK!K309)</f>
        <v>0</v>
      </c>
      <c r="W309" s="61" t="n">
        <f aca="false">T309+U309+V309</f>
        <v>6919.833421875</v>
      </c>
      <c r="X309" s="61" t="n">
        <f aca="false">N(STACK!L309)</f>
        <v>0</v>
      </c>
      <c r="Y309" s="61" t="n">
        <f aca="false">W309-X309</f>
        <v>6919.833421875</v>
      </c>
      <c r="Z309" s="1" t="n">
        <f aca="false">N(STACK!J309)</f>
        <v>0</v>
      </c>
      <c r="AA309" s="1" t="str">
        <f aca="false">TRIM(IF(D309="UNMAPPED","Program not mapped. ","")&amp;IF(OR(K309="UNMAPPED",K309="UNASSIGNED"),"Category needs review. ","")&amp;IF(P309="UNMAPPED","Title not mapped. ","")&amp;IF(AND(P309&lt;&gt;"No staff time",R309=""),"Missing hours. ","")&amp;IF(M309="","Date not readable. ","")&amp;IF(N309="No","Outside fiscal year. ","")&amp;IF(AND(F309="Event",ISNUMBER(R309)),IF(R309&gt;12,"Event hours look high. ",""),"")&amp;IF(G309&gt;0,"See CONFIRM sheet.",""))</f>
        <v/>
      </c>
      <c r="AB309" s="1" t="n">
        <f aca="false">IF(N309="No",0,IF(REVIEW!O309=0,0,IF(G309&gt;0,IF(INDEX(CONFIRM!$J$5:$J$53,G309)&lt;&gt;"",INDEX(CONFIRM!$J$5:$J$53,G309),1),1)))</f>
        <v>1</v>
      </c>
      <c r="AC309" s="1" t="n">
        <f aca="false">IF(AB309=1,IF(COUNTIFS($B$5:B309,B309,$D$5:D309,D309,$AB$5:AB309,1)=1,1,0),0)</f>
        <v>0</v>
      </c>
    </row>
    <row r="310" customFormat="false" ht="15" hidden="false" customHeight="false" outlineLevel="0" collapsed="false">
      <c r="A310" s="48" t="str">
        <f aca="false">STACK!A310</f>
        <v>KVMC-0306</v>
      </c>
      <c r="B310" s="48" t="str">
        <f aca="false">STACK!B310</f>
        <v>KVMC</v>
      </c>
      <c r="C310" s="48" t="str">
        <f aca="false">STACK!E310</f>
        <v>Family Medicine Residency Program</v>
      </c>
      <c r="D310" s="1" t="str">
        <f aca="false">IFERROR(INDEX(MAP!$J$7:$J$101,MATCH(TRIM(C310),MAP!$I$7:$I$101,0)),"UNMAPPED")</f>
        <v>Family Medicine Residency Program</v>
      </c>
      <c r="E310" s="1" t="str">
        <f aca="false">IFERROR(INDEX(MAP!$K$7:$K$101,MATCH(TRIM(C310),MAP!$I$7:$I$101,0)),"")</f>
        <v>Health workforce</v>
      </c>
      <c r="F310" s="1" t="str">
        <f aca="false">IFERROR(INDEX(MAP!$L$7:$L$101,MATCH(TRIM(C310),MAP!$I$7:$I$101,0)),"")</f>
        <v>Monthly</v>
      </c>
      <c r="G310" s="1" t="n">
        <f aca="false">IFERROR(MATCH(A310,CONFIRM!$A$5:$A$53,0),0)</f>
        <v>0</v>
      </c>
      <c r="H310" s="48" t="str">
        <f aca="false">STACK!F310</f>
        <v>Health Professions Education</v>
      </c>
      <c r="I310" s="1" t="str">
        <f aca="false">IF(G310&gt;0,IF(INDEX(CONFIRM!$I$5:$I$53,G310)&lt;&gt;"",INDEX(CONFIRM!$I$5:$I$53,G310),H310),H310)</f>
        <v>Health Professions Education</v>
      </c>
      <c r="J310" s="1" t="str">
        <f aca="false">IFERROR(INDEX(MAP!$F$7:$F$74,MATCH(TRIM(I310),MAP!$E$7:$E$74,0)),"UNMAPPED")</f>
        <v>Health professions education</v>
      </c>
      <c r="K310" s="1" t="str">
        <f aca="false">IFERROR(INDEX(MAP!$G$7:$G$74,MATCH(TRIM(I310),MAP!$E$7:$E$74,0)),"UNMAPPED")</f>
        <v>7f</v>
      </c>
      <c r="L310" s="49" t="n">
        <f aca="false">STACK!G310</f>
        <v>46053</v>
      </c>
      <c r="M310" s="59" t="n">
        <f aca="false">IF(G310&gt;0,IF(INDEX(CONFIRM!$G$5:$G$53,G310)&lt;&gt;"",INDEX(CONFIRM!$G$5:$G$53,G310),IF(ISNUMBER(L310),L310,IFERROR(DATEVALUE(L310),""))),IF(ISNUMBER(L310),L310,IFERROR(DATEVALUE(L310),"")))</f>
        <v>46053</v>
      </c>
      <c r="N310" s="1" t="str">
        <f aca="false">IF(M310="","Check",IF(AND(M310&gt;=INPUTS!$C$6,M310&lt;=INPUTS!$C$7),"Yes","No"))</f>
        <v>Yes</v>
      </c>
      <c r="O310" s="48" t="str">
        <f aca="false">STACK!H310</f>
        <v>PGY-2</v>
      </c>
      <c r="P310" s="1" t="str">
        <f aca="false">IF(G310&gt;0,IF(INDEX(CONFIRM!$H$5:$H$53,G310)&lt;&gt;"",INDEX(CONFIRM!$H$5:$H$53,G310),IFERROR(INDEX(MAP!$B$7:$B$156,MATCH(TRIM(O310),MAP!$A$7:$A$156,0)),"UNMAPPED")),IFERROR(INDEX(MAP!$B$7:$B$156,MATCH(TRIM(O310),MAP!$A$7:$A$156,0)),"UNMAPPED"))</f>
        <v>Resident Physician</v>
      </c>
      <c r="Q310" s="48" t="n">
        <f aca="false">STACK!I310</f>
        <v>3925.5</v>
      </c>
      <c r="R310" s="60" t="n">
        <f aca="false">IF(G310&gt;0,IF(INDEX(CONFIRM!$F$5:$F$53,G310)&lt;&gt;"",INDEX(CONFIRM!$F$5:$F$53,G310),IF(ISNUMBER(Q310),Q310,IF(Q310="","",IFERROR(VALUE(TRIM(SUBSTITUTE(SUBSTITUTE(LOWER(Q310),"hrs",""),"hr",""))),"")))),IF(ISNUMBER(Q310),Q310,IF(Q310="","",IFERROR(VALUE(TRIM(SUBSTITUTE(SUBSTITUTE(LOWER(Q310),"hrs",""),"hr",""))),""))))</f>
        <v>3925.5</v>
      </c>
      <c r="S310" s="57" t="n">
        <f aca="false">IFERROR(INDEX(RATES!$E$6:$E$28,MATCH(P310,RATES!$A$6:$A$28,0)),0)</f>
        <v>38.43</v>
      </c>
      <c r="T310" s="61" t="n">
        <f aca="false">IF(ISNUMBER(R310),R310,0)*S310</f>
        <v>150856.965</v>
      </c>
      <c r="U310" s="61" t="n">
        <f aca="false">T310*INDEX(INPUTS!$H$10:$H$14,MATCH(B310,INPUTS!$A$10:$A$14,0))</f>
        <v>27908.538525</v>
      </c>
      <c r="V310" s="61" t="n">
        <f aca="false">N(STACK!K310)</f>
        <v>0</v>
      </c>
      <c r="W310" s="61" t="n">
        <f aca="false">T310+U310+V310</f>
        <v>178765.503525</v>
      </c>
      <c r="X310" s="61" t="n">
        <f aca="false">N(STACK!L310)</f>
        <v>0</v>
      </c>
      <c r="Y310" s="61" t="n">
        <f aca="false">W310-X310</f>
        <v>178765.503525</v>
      </c>
      <c r="Z310" s="1" t="n">
        <f aca="false">N(STACK!J310)</f>
        <v>0</v>
      </c>
      <c r="AA310" s="1" t="str">
        <f aca="false">TRIM(IF(D310="UNMAPPED","Program not mapped. ","")&amp;IF(OR(K310="UNMAPPED",K310="UNASSIGNED"),"Category needs review. ","")&amp;IF(P310="UNMAPPED","Title not mapped. ","")&amp;IF(AND(P310&lt;&gt;"No staff time",R310=""),"Missing hours. ","")&amp;IF(M310="","Date not readable. ","")&amp;IF(N310="No","Outside fiscal year. ","")&amp;IF(AND(F310="Event",ISNUMBER(R310)),IF(R310&gt;12,"Event hours look high. ",""),"")&amp;IF(G310&gt;0,"See CONFIRM sheet.",""))</f>
        <v/>
      </c>
      <c r="AB310" s="1" t="n">
        <f aca="false">IF(N310="No",0,IF(REVIEW!O310=0,0,IF(G310&gt;0,IF(INDEX(CONFIRM!$J$5:$J$53,G310)&lt;&gt;"",INDEX(CONFIRM!$J$5:$J$53,G310),1),1)))</f>
        <v>1</v>
      </c>
      <c r="AC310" s="1" t="n">
        <f aca="false">IF(AB310=1,IF(COUNTIFS($B$5:B310,B310,$D$5:D310,D310,$AB$5:AB310,1)=1,1,0),0)</f>
        <v>0</v>
      </c>
    </row>
    <row r="311" customFormat="false" ht="15" hidden="false" customHeight="false" outlineLevel="0" collapsed="false">
      <c r="A311" s="48" t="str">
        <f aca="false">STACK!A311</f>
        <v>KVMC-0307</v>
      </c>
      <c r="B311" s="48" t="str">
        <f aca="false">STACK!B311</f>
        <v>KVMC</v>
      </c>
      <c r="C311" s="48" t="str">
        <f aca="false">STACK!E311</f>
        <v>Pharmacy Student Rotations</v>
      </c>
      <c r="D311" s="1" t="str">
        <f aca="false">IFERROR(INDEX(MAP!$J$7:$J$101,MATCH(TRIM(C311),MAP!$I$7:$I$101,0)),"UNMAPPED")</f>
        <v>Pharmacy Student Rotations</v>
      </c>
      <c r="E311" s="1" t="str">
        <f aca="false">IFERROR(INDEX(MAP!$K$7:$K$101,MATCH(TRIM(C311),MAP!$I$7:$I$101,0)),"")</f>
        <v>Health workforce</v>
      </c>
      <c r="F311" s="1" t="str">
        <f aca="false">IFERROR(INDEX(MAP!$L$7:$L$101,MATCH(TRIM(C311),MAP!$I$7:$I$101,0)),"")</f>
        <v>Monthly</v>
      </c>
      <c r="G311" s="1" t="n">
        <f aca="false">IFERROR(MATCH(A311,CONFIRM!$A$5:$A$53,0),0)</f>
        <v>0</v>
      </c>
      <c r="H311" s="48" t="str">
        <f aca="false">STACK!F311</f>
        <v>Health Professions Education</v>
      </c>
      <c r="I311" s="1" t="str">
        <f aca="false">IF(G311&gt;0,IF(INDEX(CONFIRM!$I$5:$I$53,G311)&lt;&gt;"",INDEX(CONFIRM!$I$5:$I$53,G311),H311),H311)</f>
        <v>Health Professions Education</v>
      </c>
      <c r="J311" s="1" t="str">
        <f aca="false">IFERROR(INDEX(MAP!$F$7:$F$74,MATCH(TRIM(I311),MAP!$E$7:$E$74,0)),"UNMAPPED")</f>
        <v>Health professions education</v>
      </c>
      <c r="K311" s="1" t="str">
        <f aca="false">IFERROR(INDEX(MAP!$G$7:$G$74,MATCH(TRIM(I311),MAP!$E$7:$E$74,0)),"UNMAPPED")</f>
        <v>7f</v>
      </c>
      <c r="L311" s="49" t="n">
        <f aca="false">STACK!G311</f>
        <v>46053</v>
      </c>
      <c r="M311" s="59" t="n">
        <f aca="false">IF(G311&gt;0,IF(INDEX(CONFIRM!$G$5:$G$53,G311)&lt;&gt;"",INDEX(CONFIRM!$G$5:$G$53,G311),IF(ISNUMBER(L311),L311,IFERROR(DATEVALUE(L311),""))),IF(ISNUMBER(L311),L311,IFERROR(DATEVALUE(L311),"")))</f>
        <v>46053</v>
      </c>
      <c r="N311" s="1" t="str">
        <f aca="false">IF(M311="","Check",IF(AND(M311&gt;=INPUTS!$C$6,M311&lt;=INPUTS!$C$7),"Yes","No"))</f>
        <v>Yes</v>
      </c>
      <c r="O311" s="48" t="str">
        <f aca="false">STACK!H311</f>
        <v>Pharmacist</v>
      </c>
      <c r="P311" s="1" t="str">
        <f aca="false">IF(G311&gt;0,IF(INDEX(CONFIRM!$H$5:$H$53,G311)&lt;&gt;"",INDEX(CONFIRM!$H$5:$H$53,G311),IFERROR(INDEX(MAP!$B$7:$B$156,MATCH(TRIM(O311),MAP!$A$7:$A$156,0)),"UNMAPPED")),IFERROR(INDEX(MAP!$B$7:$B$156,MATCH(TRIM(O311),MAP!$A$7:$A$156,0)),"UNMAPPED"))</f>
        <v>Pharmacist</v>
      </c>
      <c r="Q311" s="48" t="n">
        <f aca="false">STACK!I311</f>
        <v>58</v>
      </c>
      <c r="R311" s="60" t="n">
        <f aca="false">IF(G311&gt;0,IF(INDEX(CONFIRM!$F$5:$F$53,G311)&lt;&gt;"",INDEX(CONFIRM!$F$5:$F$53,G311),IF(ISNUMBER(Q311),Q311,IF(Q311="","",IFERROR(VALUE(TRIM(SUBSTITUTE(SUBSTITUTE(LOWER(Q311),"hrs",""),"hr",""))),"")))),IF(ISNUMBER(Q311),Q311,IF(Q311="","",IFERROR(VALUE(TRIM(SUBSTITUTE(SUBSTITUTE(LOWER(Q311),"hrs",""),"hr",""))),""))))</f>
        <v>58</v>
      </c>
      <c r="S311" s="57" t="n">
        <f aca="false">IFERROR(INDEX(RATES!$E$6:$E$28,MATCH(P311,RATES!$A$6:$A$28,0)),0)</f>
        <v>84.81</v>
      </c>
      <c r="T311" s="61" t="n">
        <f aca="false">IF(ISNUMBER(R311),R311,0)*S311</f>
        <v>4918.98</v>
      </c>
      <c r="U311" s="61" t="n">
        <f aca="false">T311*INDEX(INPUTS!$H$10:$H$14,MATCH(B311,INPUTS!$A$10:$A$14,0))</f>
        <v>910.0113</v>
      </c>
      <c r="V311" s="61" t="n">
        <f aca="false">N(STACK!K311)</f>
        <v>55</v>
      </c>
      <c r="W311" s="61" t="n">
        <f aca="false">T311+U311+V311</f>
        <v>5883.9913</v>
      </c>
      <c r="X311" s="61" t="n">
        <f aca="false">N(STACK!L311)</f>
        <v>0</v>
      </c>
      <c r="Y311" s="61" t="n">
        <f aca="false">W311-X311</f>
        <v>5883.9913</v>
      </c>
      <c r="Z311" s="1" t="n">
        <f aca="false">N(STACK!J311)</f>
        <v>5</v>
      </c>
      <c r="AA311" s="1" t="str">
        <f aca="false">TRIM(IF(D311="UNMAPPED","Program not mapped. ","")&amp;IF(OR(K311="UNMAPPED",K311="UNASSIGNED"),"Category needs review. ","")&amp;IF(P311="UNMAPPED","Title not mapped. ","")&amp;IF(AND(P311&lt;&gt;"No staff time",R311=""),"Missing hours. ","")&amp;IF(M311="","Date not readable. ","")&amp;IF(N311="No","Outside fiscal year. ","")&amp;IF(AND(F311="Event",ISNUMBER(R311)),IF(R311&gt;12,"Event hours look high. ",""),"")&amp;IF(G311&gt;0,"See CONFIRM sheet.",""))</f>
        <v/>
      </c>
      <c r="AB311" s="1" t="n">
        <f aca="false">IF(N311="No",0,IF(REVIEW!O311=0,0,IF(G311&gt;0,IF(INDEX(CONFIRM!$J$5:$J$53,G311)&lt;&gt;"",INDEX(CONFIRM!$J$5:$J$53,G311),1),1)))</f>
        <v>1</v>
      </c>
      <c r="AC311" s="1" t="n">
        <f aca="false">IF(AB311=1,IF(COUNTIFS($B$5:B311,B311,$D$5:D311,D311,$AB$5:AB311,1)=1,1,0),0)</f>
        <v>0</v>
      </c>
    </row>
    <row r="312" customFormat="false" ht="15" hidden="false" customHeight="false" outlineLevel="0" collapsed="false">
      <c r="A312" s="48" t="str">
        <f aca="false">STACK!A312</f>
        <v>KVMC-0308</v>
      </c>
      <c r="B312" s="48" t="str">
        <f aca="false">STACK!B312</f>
        <v>KVMC</v>
      </c>
      <c r="C312" s="48" t="str">
        <f aca="false">STACK!E312</f>
        <v>Community Hypertension Control Study</v>
      </c>
      <c r="D312" s="1" t="str">
        <f aca="false">IFERROR(INDEX(MAP!$J$7:$J$101,MATCH(TRIM(C312),MAP!$I$7:$I$101,0)),"UNMAPPED")</f>
        <v>Community Hypertension Control Study</v>
      </c>
      <c r="E312" s="1" t="str">
        <f aca="false">IFERROR(INDEX(MAP!$K$7:$K$101,MATCH(TRIM(C312),MAP!$I$7:$I$101,0)),"")</f>
        <v>Chronic disease prevention</v>
      </c>
      <c r="F312" s="1" t="str">
        <f aca="false">IFERROR(INDEX(MAP!$L$7:$L$101,MATCH(TRIM(C312),MAP!$I$7:$I$101,0)),"")</f>
        <v>Monthly</v>
      </c>
      <c r="G312" s="1" t="n">
        <f aca="false">IFERROR(MATCH(A312,CONFIRM!$A$5:$A$53,0),0)</f>
        <v>0</v>
      </c>
      <c r="H312" s="48" t="str">
        <f aca="false">STACK!F312</f>
        <v>Research</v>
      </c>
      <c r="I312" s="1" t="str">
        <f aca="false">IF(G312&gt;0,IF(INDEX(CONFIRM!$I$5:$I$53,G312)&lt;&gt;"",INDEX(CONFIRM!$I$5:$I$53,G312),H312),H312)</f>
        <v>Research</v>
      </c>
      <c r="J312" s="1" t="str">
        <f aca="false">IFERROR(INDEX(MAP!$F$7:$F$74,MATCH(TRIM(I312),MAP!$E$7:$E$74,0)),"UNMAPPED")</f>
        <v>Research</v>
      </c>
      <c r="K312" s="1" t="str">
        <f aca="false">IFERROR(INDEX(MAP!$G$7:$G$74,MATCH(TRIM(I312),MAP!$E$7:$E$74,0)),"UNMAPPED")</f>
        <v>7h</v>
      </c>
      <c r="L312" s="49" t="n">
        <f aca="false">STACK!G312</f>
        <v>46053</v>
      </c>
      <c r="M312" s="59" t="n">
        <f aca="false">IF(G312&gt;0,IF(INDEX(CONFIRM!$G$5:$G$53,G312)&lt;&gt;"",INDEX(CONFIRM!$G$5:$G$53,G312),IF(ISNUMBER(L312),L312,IFERROR(DATEVALUE(L312),""))),IF(ISNUMBER(L312),L312,IFERROR(DATEVALUE(L312),"")))</f>
        <v>46053</v>
      </c>
      <c r="N312" s="1" t="str">
        <f aca="false">IF(M312="","Check",IF(AND(M312&gt;=INPUTS!$C$6,M312&lt;=INPUTS!$C$7),"Yes","No"))</f>
        <v>Yes</v>
      </c>
      <c r="O312" s="48" t="str">
        <f aca="false">STACK!H312</f>
        <v>Data Analyst </v>
      </c>
      <c r="P312" s="1" t="str">
        <f aca="false">IF(G312&gt;0,IF(INDEX(CONFIRM!$H$5:$H$53,G312)&lt;&gt;"",INDEX(CONFIRM!$H$5:$H$53,G312),IFERROR(INDEX(MAP!$B$7:$B$156,MATCH(TRIM(O312),MAP!$A$7:$A$156,0)),"UNMAPPED")),IFERROR(INDEX(MAP!$B$7:$B$156,MATCH(TRIM(O312),MAP!$A$7:$A$156,0)),"UNMAPPED"))</f>
        <v>Data Analyst</v>
      </c>
      <c r="Q312" s="48" t="n">
        <f aca="false">STACK!I312</f>
        <v>57.75</v>
      </c>
      <c r="R312" s="60" t="n">
        <f aca="false">IF(G312&gt;0,IF(INDEX(CONFIRM!$F$5:$F$53,G312)&lt;&gt;"",INDEX(CONFIRM!$F$5:$F$53,G312),IF(ISNUMBER(Q312),Q312,IF(Q312="","",IFERROR(VALUE(TRIM(SUBSTITUTE(SUBSTITUTE(LOWER(Q312),"hrs",""),"hr",""))),"")))),IF(ISNUMBER(Q312),Q312,IF(Q312="","",IFERROR(VALUE(TRIM(SUBSTITUTE(SUBSTITUTE(LOWER(Q312),"hrs",""),"hr",""))),""))))</f>
        <v>57.75</v>
      </c>
      <c r="S312" s="57" t="n">
        <f aca="false">IFERROR(INDEX(RATES!$E$6:$E$28,MATCH(P312,RATES!$A$6:$A$28,0)),0)</f>
        <v>48.83</v>
      </c>
      <c r="T312" s="61" t="n">
        <f aca="false">IF(ISNUMBER(R312),R312,0)*S312</f>
        <v>2819.9325</v>
      </c>
      <c r="U312" s="61" t="n">
        <f aca="false">T312*INDEX(INPUTS!$H$10:$H$14,MATCH(B312,INPUTS!$A$10:$A$14,0))</f>
        <v>521.6875125</v>
      </c>
      <c r="V312" s="61" t="n">
        <f aca="false">N(STACK!K312)</f>
        <v>0</v>
      </c>
      <c r="W312" s="61" t="n">
        <f aca="false">T312+U312+V312</f>
        <v>3341.6200125</v>
      </c>
      <c r="X312" s="61" t="n">
        <f aca="false">N(STACK!L312)</f>
        <v>0</v>
      </c>
      <c r="Y312" s="61" t="n">
        <f aca="false">W312-X312</f>
        <v>3341.6200125</v>
      </c>
      <c r="Z312" s="1" t="n">
        <f aca="false">N(STACK!J312)</f>
        <v>0</v>
      </c>
      <c r="AA312" s="1" t="str">
        <f aca="false">TRIM(IF(D312="UNMAPPED","Program not mapped. ","")&amp;IF(OR(K312="UNMAPPED",K312="UNASSIGNED"),"Category needs review. ","")&amp;IF(P312="UNMAPPED","Title not mapped. ","")&amp;IF(AND(P312&lt;&gt;"No staff time",R312=""),"Missing hours. ","")&amp;IF(M312="","Date not readable. ","")&amp;IF(N312="No","Outside fiscal year. ","")&amp;IF(AND(F312="Event",ISNUMBER(R312)),IF(R312&gt;12,"Event hours look high. ",""),"")&amp;IF(G312&gt;0,"See CONFIRM sheet.",""))</f>
        <v/>
      </c>
      <c r="AB312" s="1" t="n">
        <f aca="false">IF(N312="No",0,IF(REVIEW!O312=0,0,IF(G312&gt;0,IF(INDEX(CONFIRM!$J$5:$J$53,G312)&lt;&gt;"",INDEX(CONFIRM!$J$5:$J$53,G312),1),1)))</f>
        <v>1</v>
      </c>
      <c r="AC312" s="1" t="n">
        <f aca="false">IF(AB312=1,IF(COUNTIFS($B$5:B312,B312,$D$5:D312,D312,$AB$5:AB312,1)=1,1,0),0)</f>
        <v>0</v>
      </c>
    </row>
    <row r="313" customFormat="false" ht="15" hidden="false" customHeight="false" outlineLevel="0" collapsed="false">
      <c r="A313" s="48" t="str">
        <f aca="false">STACK!A313</f>
        <v>KVMC-0309</v>
      </c>
      <c r="B313" s="48" t="str">
        <f aca="false">STACK!B313</f>
        <v>KVMC</v>
      </c>
      <c r="C313" s="48" t="str">
        <f aca="false">STACK!E313</f>
        <v>Community Hypertension Control Study</v>
      </c>
      <c r="D313" s="1" t="str">
        <f aca="false">IFERROR(INDEX(MAP!$J$7:$J$101,MATCH(TRIM(C313),MAP!$I$7:$I$101,0)),"UNMAPPED")</f>
        <v>Community Hypertension Control Study</v>
      </c>
      <c r="E313" s="1" t="str">
        <f aca="false">IFERROR(INDEX(MAP!$K$7:$K$101,MATCH(TRIM(C313),MAP!$I$7:$I$101,0)),"")</f>
        <v>Chronic disease prevention</v>
      </c>
      <c r="F313" s="1" t="str">
        <f aca="false">IFERROR(INDEX(MAP!$L$7:$L$101,MATCH(TRIM(C313),MAP!$I$7:$I$101,0)),"")</f>
        <v>Monthly</v>
      </c>
      <c r="G313" s="1" t="n">
        <f aca="false">IFERROR(MATCH(A313,CONFIRM!$A$5:$A$53,0),0)</f>
        <v>0</v>
      </c>
      <c r="H313" s="48" t="str">
        <f aca="false">STACK!F313</f>
        <v>Research</v>
      </c>
      <c r="I313" s="1" t="str">
        <f aca="false">IF(G313&gt;0,IF(INDEX(CONFIRM!$I$5:$I$53,G313)&lt;&gt;"",INDEX(CONFIRM!$I$5:$I$53,G313),H313),H313)</f>
        <v>Research</v>
      </c>
      <c r="J313" s="1" t="str">
        <f aca="false">IFERROR(INDEX(MAP!$F$7:$F$74,MATCH(TRIM(I313),MAP!$E$7:$E$74,0)),"UNMAPPED")</f>
        <v>Research</v>
      </c>
      <c r="K313" s="1" t="str">
        <f aca="false">IFERROR(INDEX(MAP!$G$7:$G$74,MATCH(TRIM(I313),MAP!$E$7:$E$74,0)),"UNMAPPED")</f>
        <v>7h</v>
      </c>
      <c r="L313" s="49" t="n">
        <f aca="false">STACK!G313</f>
        <v>46053</v>
      </c>
      <c r="M313" s="59" t="n">
        <f aca="false">IF(G313&gt;0,IF(INDEX(CONFIRM!$G$5:$G$53,G313)&lt;&gt;"",INDEX(CONFIRM!$G$5:$G$53,G313),IF(ISNUMBER(L313),L313,IFERROR(DATEVALUE(L313),""))),IF(ISNUMBER(L313),L313,IFERROR(DATEVALUE(L313),"")))</f>
        <v>46053</v>
      </c>
      <c r="N313" s="1" t="str">
        <f aca="false">IF(M313="","Check",IF(AND(M313&gt;=INPUTS!$C$6,M313&lt;=INPUTS!$C$7),"Yes","No"))</f>
        <v>Yes</v>
      </c>
      <c r="O313" s="48" t="str">
        <f aca="false">STACK!H313</f>
        <v>Dr.</v>
      </c>
      <c r="P313" s="1" t="str">
        <f aca="false">IF(G313&gt;0,IF(INDEX(CONFIRM!$H$5:$H$53,G313)&lt;&gt;"",INDEX(CONFIRM!$H$5:$H$53,G313),IFERROR(INDEX(MAP!$B$7:$B$156,MATCH(TRIM(O313),MAP!$A$7:$A$156,0)),"UNMAPPED")),IFERROR(INDEX(MAP!$B$7:$B$156,MATCH(TRIM(O313),MAP!$A$7:$A$156,0)),"UNMAPPED"))</f>
        <v>Physician</v>
      </c>
      <c r="Q313" s="48" t="n">
        <f aca="false">STACK!I313</f>
        <v>21</v>
      </c>
      <c r="R313" s="60" t="n">
        <f aca="false">IF(G313&gt;0,IF(INDEX(CONFIRM!$F$5:$F$53,G313)&lt;&gt;"",INDEX(CONFIRM!$F$5:$F$53,G313),IF(ISNUMBER(Q313),Q313,IF(Q313="","",IFERROR(VALUE(TRIM(SUBSTITUTE(SUBSTITUTE(LOWER(Q313),"hrs",""),"hr",""))),"")))),IF(ISNUMBER(Q313),Q313,IF(Q313="","",IFERROR(VALUE(TRIM(SUBSTITUTE(SUBSTITUTE(LOWER(Q313),"hrs",""),"hr",""))),""))))</f>
        <v>21</v>
      </c>
      <c r="S313" s="57" t="n">
        <f aca="false">IFERROR(INDEX(RATES!$E$6:$E$28,MATCH(P313,RATES!$A$6:$A$28,0)),0)</f>
        <v>151.63</v>
      </c>
      <c r="T313" s="61" t="n">
        <f aca="false">IF(ISNUMBER(R313),R313,0)*S313</f>
        <v>3184.23</v>
      </c>
      <c r="U313" s="61" t="n">
        <f aca="false">T313*INDEX(INPUTS!$H$10:$H$14,MATCH(B313,INPUTS!$A$10:$A$14,0))</f>
        <v>589.08255</v>
      </c>
      <c r="V313" s="61" t="n">
        <f aca="false">N(STACK!K313)</f>
        <v>0</v>
      </c>
      <c r="W313" s="61" t="n">
        <f aca="false">T313+U313+V313</f>
        <v>3773.31255</v>
      </c>
      <c r="X313" s="61" t="n">
        <f aca="false">N(STACK!L313)</f>
        <v>0</v>
      </c>
      <c r="Y313" s="61" t="n">
        <f aca="false">W313-X313</f>
        <v>3773.31255</v>
      </c>
      <c r="Z313" s="1" t="n">
        <f aca="false">N(STACK!J313)</f>
        <v>0</v>
      </c>
      <c r="AA313" s="1" t="str">
        <f aca="false">TRIM(IF(D313="UNMAPPED","Program not mapped. ","")&amp;IF(OR(K313="UNMAPPED",K313="UNASSIGNED"),"Category needs review. ","")&amp;IF(P313="UNMAPPED","Title not mapped. ","")&amp;IF(AND(P313&lt;&gt;"No staff time",R313=""),"Missing hours. ","")&amp;IF(M313="","Date not readable. ","")&amp;IF(N313="No","Outside fiscal year. ","")&amp;IF(AND(F313="Event",ISNUMBER(R313)),IF(R313&gt;12,"Event hours look high. ",""),"")&amp;IF(G313&gt;0,"See CONFIRM sheet.",""))</f>
        <v/>
      </c>
      <c r="AB313" s="1" t="n">
        <f aca="false">IF(N313="No",0,IF(REVIEW!O313=0,0,IF(G313&gt;0,IF(INDEX(CONFIRM!$J$5:$J$53,G313)&lt;&gt;"",INDEX(CONFIRM!$J$5:$J$53,G313),1),1)))</f>
        <v>1</v>
      </c>
      <c r="AC313" s="1" t="n">
        <f aca="false">IF(AB313=1,IF(COUNTIFS($B$5:B313,B313,$D$5:D313,D313,$AB$5:AB313,1)=1,1,0),0)</f>
        <v>0</v>
      </c>
    </row>
    <row r="314" customFormat="false" ht="15" hidden="false" customHeight="false" outlineLevel="0" collapsed="false">
      <c r="A314" s="48" t="str">
        <f aca="false">STACK!A314</f>
        <v>KVMC-0310</v>
      </c>
      <c r="B314" s="48" t="str">
        <f aca="false">STACK!B314</f>
        <v>KVMC</v>
      </c>
      <c r="C314" s="48" t="str">
        <f aca="false">STACK!E314</f>
        <v>Community Hypertension Control Study</v>
      </c>
      <c r="D314" s="1" t="str">
        <f aca="false">IFERROR(INDEX(MAP!$J$7:$J$101,MATCH(TRIM(C314),MAP!$I$7:$I$101,0)),"UNMAPPED")</f>
        <v>Community Hypertension Control Study</v>
      </c>
      <c r="E314" s="1" t="str">
        <f aca="false">IFERROR(INDEX(MAP!$K$7:$K$101,MATCH(TRIM(C314),MAP!$I$7:$I$101,0)),"")</f>
        <v>Chronic disease prevention</v>
      </c>
      <c r="F314" s="1" t="str">
        <f aca="false">IFERROR(INDEX(MAP!$L$7:$L$101,MATCH(TRIM(C314),MAP!$I$7:$I$101,0)),"")</f>
        <v>Monthly</v>
      </c>
      <c r="G314" s="1" t="n">
        <f aca="false">IFERROR(MATCH(A314,CONFIRM!$A$5:$A$53,0),0)</f>
        <v>0</v>
      </c>
      <c r="H314" s="48" t="str">
        <f aca="false">STACK!F314</f>
        <v>Research</v>
      </c>
      <c r="I314" s="1" t="str">
        <f aca="false">IF(G314&gt;0,IF(INDEX(CONFIRM!$I$5:$I$53,G314)&lt;&gt;"",INDEX(CONFIRM!$I$5:$I$53,G314),H314),H314)</f>
        <v>Research</v>
      </c>
      <c r="J314" s="1" t="str">
        <f aca="false">IFERROR(INDEX(MAP!$F$7:$F$74,MATCH(TRIM(I314),MAP!$E$7:$E$74,0)),"UNMAPPED")</f>
        <v>Research</v>
      </c>
      <c r="K314" s="1" t="str">
        <f aca="false">IFERROR(INDEX(MAP!$G$7:$G$74,MATCH(TRIM(I314),MAP!$E$7:$E$74,0)),"UNMAPPED")</f>
        <v>7h</v>
      </c>
      <c r="L314" s="49" t="n">
        <f aca="false">STACK!G314</f>
        <v>46053</v>
      </c>
      <c r="M314" s="59" t="n">
        <f aca="false">IF(G314&gt;0,IF(INDEX(CONFIRM!$G$5:$G$53,G314)&lt;&gt;"",INDEX(CONFIRM!$G$5:$G$53,G314),IF(ISNUMBER(L314),L314,IFERROR(DATEVALUE(L314),""))),IF(ISNUMBER(L314),L314,IFERROR(DATEVALUE(L314),"")))</f>
        <v>46053</v>
      </c>
      <c r="N314" s="1" t="str">
        <f aca="false">IF(M314="","Check",IF(AND(M314&gt;=INPUTS!$C$6,M314&lt;=INPUTS!$C$7),"Yes","No"))</f>
        <v>Yes</v>
      </c>
      <c r="O314" s="48" t="str">
        <f aca="false">STACK!H314</f>
        <v>Study Coordinator</v>
      </c>
      <c r="P314" s="1" t="str">
        <f aca="false">IF(G314&gt;0,IF(INDEX(CONFIRM!$H$5:$H$53,G314)&lt;&gt;"",INDEX(CONFIRM!$H$5:$H$53,G314),IFERROR(INDEX(MAP!$B$7:$B$156,MATCH(TRIM(O314),MAP!$A$7:$A$156,0)),"UNMAPPED")),IFERROR(INDEX(MAP!$B$7:$B$156,MATCH(TRIM(O314),MAP!$A$7:$A$156,0)),"UNMAPPED"))</f>
        <v>Research Coordinator</v>
      </c>
      <c r="Q314" s="48" t="n">
        <f aca="false">STACK!I314</f>
        <v>184.25</v>
      </c>
      <c r="R314" s="60" t="n">
        <f aca="false">IF(G314&gt;0,IF(INDEX(CONFIRM!$F$5:$F$53,G314)&lt;&gt;"",INDEX(CONFIRM!$F$5:$F$53,G314),IF(ISNUMBER(Q314),Q314,IF(Q314="","",IFERROR(VALUE(TRIM(SUBSTITUTE(SUBSTITUTE(LOWER(Q314),"hrs",""),"hr",""))),"")))),IF(ISNUMBER(Q314),Q314,IF(Q314="","",IFERROR(VALUE(TRIM(SUBSTITUTE(SUBSTITUTE(LOWER(Q314),"hrs",""),"hr",""))),""))))</f>
        <v>184.25</v>
      </c>
      <c r="S314" s="57" t="n">
        <f aca="false">IFERROR(INDEX(RATES!$E$6:$E$28,MATCH(P314,RATES!$A$6:$A$28,0)),0)</f>
        <v>42.405</v>
      </c>
      <c r="T314" s="61" t="n">
        <f aca="false">IF(ISNUMBER(R314),R314,0)*S314</f>
        <v>7813.12125</v>
      </c>
      <c r="U314" s="61" t="n">
        <f aca="false">T314*INDEX(INPUTS!$H$10:$H$14,MATCH(B314,INPUTS!$A$10:$A$14,0))</f>
        <v>1445.42743125</v>
      </c>
      <c r="V314" s="61" t="n">
        <f aca="false">N(STACK!K314)</f>
        <v>10665</v>
      </c>
      <c r="W314" s="61" t="n">
        <f aca="false">T314+U314+V314</f>
        <v>19923.54868125</v>
      </c>
      <c r="X314" s="61" t="n">
        <f aca="false">N(STACK!L314)</f>
        <v>11945</v>
      </c>
      <c r="Y314" s="61" t="n">
        <f aca="false">W314-X314</f>
        <v>7978.54868125</v>
      </c>
      <c r="Z314" s="1" t="n">
        <f aca="false">N(STACK!J314)</f>
        <v>63</v>
      </c>
      <c r="AA314" s="1" t="str">
        <f aca="false">TRIM(IF(D314="UNMAPPED","Program not mapped. ","")&amp;IF(OR(K314="UNMAPPED",K314="UNASSIGNED"),"Category needs review. ","")&amp;IF(P314="UNMAPPED","Title not mapped. ","")&amp;IF(AND(P314&lt;&gt;"No staff time",R314=""),"Missing hours. ","")&amp;IF(M314="","Date not readable. ","")&amp;IF(N314="No","Outside fiscal year. ","")&amp;IF(AND(F314="Event",ISNUMBER(R314)),IF(R314&gt;12,"Event hours look high. ",""),"")&amp;IF(G314&gt;0,"See CONFIRM sheet.",""))</f>
        <v/>
      </c>
      <c r="AB314" s="1" t="n">
        <f aca="false">IF(N314="No",0,IF(REVIEW!O314=0,0,IF(G314&gt;0,IF(INDEX(CONFIRM!$J$5:$J$53,G314)&lt;&gt;"",INDEX(CONFIRM!$J$5:$J$53,G314),1),1)))</f>
        <v>1</v>
      </c>
      <c r="AC314" s="1" t="n">
        <f aca="false">IF(AB314=1,IF(COUNTIFS($B$5:B314,B314,$D$5:D314,D314,$AB$5:AB314,1)=1,1,0),0)</f>
        <v>0</v>
      </c>
    </row>
    <row r="315" customFormat="false" ht="15" hidden="false" customHeight="false" outlineLevel="0" collapsed="false">
      <c r="A315" s="48" t="str">
        <f aca="false">STACK!A315</f>
        <v>KVMC-0311</v>
      </c>
      <c r="B315" s="48" t="str">
        <f aca="false">STACK!B315</f>
        <v>KVMC</v>
      </c>
      <c r="C315" s="48" t="str">
        <f aca="false">STACK!E315</f>
        <v>Regional Health Coalition</v>
      </c>
      <c r="D315" s="1" t="str">
        <f aca="false">IFERROR(INDEX(MAP!$J$7:$J$101,MATCH(TRIM(C315),MAP!$I$7:$I$101,0)),"UNMAPPED")</f>
        <v>Regional Health Coalition</v>
      </c>
      <c r="E315" s="1" t="str">
        <f aca="false">IFERROR(INDEX(MAP!$K$7:$K$101,MATCH(TRIM(C315),MAP!$I$7:$I$101,0)),"")</f>
        <v>Community benefit infrastructure</v>
      </c>
      <c r="F315" s="1" t="str">
        <f aca="false">IFERROR(INDEX(MAP!$L$7:$L$101,MATCH(TRIM(C315),MAP!$I$7:$I$101,0)),"")</f>
        <v>Event</v>
      </c>
      <c r="G315" s="1" t="n">
        <f aca="false">IFERROR(MATCH(A315,CONFIRM!$A$5:$A$53,0),0)</f>
        <v>0</v>
      </c>
      <c r="H315" s="48" t="str">
        <f aca="false">STACK!F315</f>
        <v>Community Building - Coalition</v>
      </c>
      <c r="I315" s="1" t="str">
        <f aca="false">IF(G315&gt;0,IF(INDEX(CONFIRM!$I$5:$I$53,G315)&lt;&gt;"",INDEX(CONFIRM!$I$5:$I$53,G315),H315),H315)</f>
        <v>Community Building - Coalition</v>
      </c>
      <c r="J315" s="1" t="str">
        <f aca="false">IFERROR(INDEX(MAP!$F$7:$F$74,MATCH(TRIM(I315),MAP!$E$7:$E$74,0)),"UNMAPPED")</f>
        <v>Community building: coalition building</v>
      </c>
      <c r="K315" s="1" t="str">
        <f aca="false">IFERROR(INDEX(MAP!$G$7:$G$74,MATCH(TRIM(I315),MAP!$E$7:$E$74,0)),"UNMAPPED")</f>
        <v>II-6</v>
      </c>
      <c r="L315" s="49" t="n">
        <f aca="false">STACK!G315</f>
        <v>46053</v>
      </c>
      <c r="M315" s="59" t="n">
        <f aca="false">IF(G315&gt;0,IF(INDEX(CONFIRM!$G$5:$G$53,G315)&lt;&gt;"",INDEX(CONFIRM!$G$5:$G$53,G315),IF(ISNUMBER(L315),L315,IFERROR(DATEVALUE(L315),""))),IF(ISNUMBER(L315),L315,IFERROR(DATEVALUE(L315),"")))</f>
        <v>46053</v>
      </c>
      <c r="N315" s="1" t="str">
        <f aca="false">IF(M315="","Check",IF(AND(M315&gt;=INPUTS!$C$6,M315&lt;=INPUTS!$C$7),"Yes","No"))</f>
        <v>Yes</v>
      </c>
      <c r="O315" s="48" t="str">
        <f aca="false">STACK!H315</f>
        <v>Community Benefit Mgr</v>
      </c>
      <c r="P315" s="1" t="str">
        <f aca="false">IF(G315&gt;0,IF(INDEX(CONFIRM!$H$5:$H$53,G315)&lt;&gt;"",INDEX(CONFIRM!$H$5:$H$53,G315),IFERROR(INDEX(MAP!$B$7:$B$156,MATCH(TRIM(O315),MAP!$A$7:$A$156,0)),"UNMAPPED")),IFERROR(INDEX(MAP!$B$7:$B$156,MATCH(TRIM(O315),MAP!$A$7:$A$156,0)),"UNMAPPED"))</f>
        <v>Community Benefit Manager</v>
      </c>
      <c r="Q315" s="48" t="n">
        <f aca="false">STACK!I315</f>
        <v>2.75</v>
      </c>
      <c r="R315" s="60" t="n">
        <f aca="false">IF(G315&gt;0,IF(INDEX(CONFIRM!$F$5:$F$53,G315)&lt;&gt;"",INDEX(CONFIRM!$F$5:$F$53,G315),IF(ISNUMBER(Q315),Q315,IF(Q315="","",IFERROR(VALUE(TRIM(SUBSTITUTE(SUBSTITUTE(LOWER(Q315),"hrs",""),"hr",""))),"")))),IF(ISNUMBER(Q315),Q315,IF(Q315="","",IFERROR(VALUE(TRIM(SUBSTITUTE(SUBSTITUTE(LOWER(Q315),"hrs",""),"hr",""))),""))))</f>
        <v>2.75</v>
      </c>
      <c r="S315" s="57" t="n">
        <f aca="false">IFERROR(INDEX(RATES!$E$6:$E$28,MATCH(P315,RATES!$A$6:$A$28,0)),0)</f>
        <v>59.11</v>
      </c>
      <c r="T315" s="61" t="n">
        <f aca="false">IF(ISNUMBER(R315),R315,0)*S315</f>
        <v>162.5525</v>
      </c>
      <c r="U315" s="61" t="n">
        <f aca="false">T315*INDEX(INPUTS!$H$10:$H$14,MATCH(B315,INPUTS!$A$10:$A$14,0))</f>
        <v>30.0722125</v>
      </c>
      <c r="V315" s="61" t="n">
        <f aca="false">N(STACK!K315)</f>
        <v>0</v>
      </c>
      <c r="W315" s="61" t="n">
        <f aca="false">T315+U315+V315</f>
        <v>192.6247125</v>
      </c>
      <c r="X315" s="61" t="n">
        <f aca="false">N(STACK!L315)</f>
        <v>0</v>
      </c>
      <c r="Y315" s="61" t="n">
        <f aca="false">W315-X315</f>
        <v>192.6247125</v>
      </c>
      <c r="Z315" s="1" t="n">
        <f aca="false">N(STACK!J315)</f>
        <v>0</v>
      </c>
      <c r="AA315" s="1" t="str">
        <f aca="false">TRIM(IF(D315="UNMAPPED","Program not mapped. ","")&amp;IF(OR(K315="UNMAPPED",K315="UNASSIGNED"),"Category needs review. ","")&amp;IF(P315="UNMAPPED","Title not mapped. ","")&amp;IF(AND(P315&lt;&gt;"No staff time",R315=""),"Missing hours. ","")&amp;IF(M315="","Date not readable. ","")&amp;IF(N315="No","Outside fiscal year. ","")&amp;IF(AND(F315="Event",ISNUMBER(R315)),IF(R315&gt;12,"Event hours look high. ",""),"")&amp;IF(G315&gt;0,"See CONFIRM sheet.",""))</f>
        <v/>
      </c>
      <c r="AB315" s="1" t="n">
        <f aca="false">IF(N315="No",0,IF(REVIEW!O315=0,0,IF(G315&gt;0,IF(INDEX(CONFIRM!$J$5:$J$53,G315)&lt;&gt;"",INDEX(CONFIRM!$J$5:$J$53,G315),1),1)))</f>
        <v>1</v>
      </c>
      <c r="AC315" s="1" t="n">
        <f aca="false">IF(AB315=1,IF(COUNTIFS($B$5:B315,B315,$D$5:D315,D315,$AB$5:AB315,1)=1,1,0),0)</f>
        <v>0</v>
      </c>
    </row>
    <row r="316" customFormat="false" ht="15" hidden="false" customHeight="false" outlineLevel="0" collapsed="false">
      <c r="A316" s="48" t="str">
        <f aca="false">STACK!A316</f>
        <v>KVMC-0312</v>
      </c>
      <c r="B316" s="48" t="str">
        <f aca="false">STACK!B316</f>
        <v>KVMC</v>
      </c>
      <c r="C316" s="48" t="str">
        <f aca="false">STACK!E316</f>
        <v>Regional Health Coalition</v>
      </c>
      <c r="D316" s="1" t="str">
        <f aca="false">IFERROR(INDEX(MAP!$J$7:$J$101,MATCH(TRIM(C316),MAP!$I$7:$I$101,0)),"UNMAPPED")</f>
        <v>Regional Health Coalition</v>
      </c>
      <c r="E316" s="1" t="str">
        <f aca="false">IFERROR(INDEX(MAP!$K$7:$K$101,MATCH(TRIM(C316),MAP!$I$7:$I$101,0)),"")</f>
        <v>Community benefit infrastructure</v>
      </c>
      <c r="F316" s="1" t="str">
        <f aca="false">IFERROR(INDEX(MAP!$L$7:$L$101,MATCH(TRIM(C316),MAP!$I$7:$I$101,0)),"")</f>
        <v>Event</v>
      </c>
      <c r="G316" s="1" t="n">
        <f aca="false">IFERROR(MATCH(A316,CONFIRM!$A$5:$A$53,0),0)</f>
        <v>0</v>
      </c>
      <c r="H316" s="48" t="str">
        <f aca="false">STACK!F316</f>
        <v>Community Building - Coalition</v>
      </c>
      <c r="I316" s="1" t="str">
        <f aca="false">IF(G316&gt;0,IF(INDEX(CONFIRM!$I$5:$I$53,G316)&lt;&gt;"",INDEX(CONFIRM!$I$5:$I$53,G316),H316),H316)</f>
        <v>Community Building - Coalition</v>
      </c>
      <c r="J316" s="1" t="str">
        <f aca="false">IFERROR(INDEX(MAP!$F$7:$F$74,MATCH(TRIM(I316),MAP!$E$7:$E$74,0)),"UNMAPPED")</f>
        <v>Community building: coalition building</v>
      </c>
      <c r="K316" s="1" t="str">
        <f aca="false">IFERROR(INDEX(MAP!$G$7:$G$74,MATCH(TRIM(I316),MAP!$E$7:$E$74,0)),"UNMAPPED")</f>
        <v>II-6</v>
      </c>
      <c r="L316" s="49" t="n">
        <f aca="false">STACK!G316</f>
        <v>46053</v>
      </c>
      <c r="M316" s="59" t="n">
        <f aca="false">IF(G316&gt;0,IF(INDEX(CONFIRM!$G$5:$G$53,G316)&lt;&gt;"",INDEX(CONFIRM!$G$5:$G$53,G316),IF(ISNUMBER(L316),L316,IFERROR(DATEVALUE(L316),""))),IF(ISNUMBER(L316),L316,IFERROR(DATEVALUE(L316),"")))</f>
        <v>46053</v>
      </c>
      <c r="N316" s="1" t="str">
        <f aca="false">IF(M316="","Check",IF(AND(M316&gt;=INPUTS!$C$6,M316&lt;=INPUTS!$C$7),"Yes","No"))</f>
        <v>Yes</v>
      </c>
      <c r="O316" s="48" t="str">
        <f aca="false">STACK!H316</f>
        <v>vp</v>
      </c>
      <c r="P316" s="1" t="str">
        <f aca="false">IF(G316&gt;0,IF(INDEX(CONFIRM!$H$5:$H$53,G316)&lt;&gt;"",INDEX(CONFIRM!$H$5:$H$53,G316),IFERROR(INDEX(MAP!$B$7:$B$156,MATCH(TRIM(O316),MAP!$A$7:$A$156,0)),"UNMAPPED")),IFERROR(INDEX(MAP!$B$7:$B$156,MATCH(TRIM(O316),MAP!$A$7:$A$156,0)),"UNMAPPED"))</f>
        <v>Director</v>
      </c>
      <c r="Q316" s="48" t="n">
        <f aca="false">STACK!I316</f>
        <v>2</v>
      </c>
      <c r="R316" s="60" t="n">
        <f aca="false">IF(G316&gt;0,IF(INDEX(CONFIRM!$F$5:$F$53,G316)&lt;&gt;"",INDEX(CONFIRM!$F$5:$F$53,G316),IF(ISNUMBER(Q316),Q316,IF(Q316="","",IFERROR(VALUE(TRIM(SUBSTITUTE(SUBSTITUTE(LOWER(Q316),"hrs",""),"hr",""))),"")))),IF(ISNUMBER(Q316),Q316,IF(Q316="","",IFERROR(VALUE(TRIM(SUBSTITUTE(SUBSTITUTE(LOWER(Q316),"hrs",""),"hr",""))),""))))</f>
        <v>2</v>
      </c>
      <c r="S316" s="57" t="n">
        <f aca="false">IFERROR(INDEX(RATES!$E$6:$E$28,MATCH(P316,RATES!$A$6:$A$28,0)),0)</f>
        <v>92.52</v>
      </c>
      <c r="T316" s="61" t="n">
        <f aca="false">IF(ISNUMBER(R316),R316,0)*S316</f>
        <v>185.04</v>
      </c>
      <c r="U316" s="61" t="n">
        <f aca="false">T316*INDEX(INPUTS!$H$10:$H$14,MATCH(B316,INPUTS!$A$10:$A$14,0))</f>
        <v>34.2324</v>
      </c>
      <c r="V316" s="61" t="n">
        <f aca="false">N(STACK!K316)</f>
        <v>105</v>
      </c>
      <c r="W316" s="61" t="n">
        <f aca="false">T316+U316+V316</f>
        <v>324.2724</v>
      </c>
      <c r="X316" s="61" t="n">
        <f aca="false">N(STACK!L316)</f>
        <v>0</v>
      </c>
      <c r="Y316" s="61" t="n">
        <f aca="false">W316-X316</f>
        <v>324.2724</v>
      </c>
      <c r="Z316" s="1" t="n">
        <f aca="false">N(STACK!J316)</f>
        <v>0</v>
      </c>
      <c r="AA316" s="1" t="str">
        <f aca="false">TRIM(IF(D316="UNMAPPED","Program not mapped. ","")&amp;IF(OR(K316="UNMAPPED",K316="UNASSIGNED"),"Category needs review. ","")&amp;IF(P316="UNMAPPED","Title not mapped. ","")&amp;IF(AND(P316&lt;&gt;"No staff time",R316=""),"Missing hours. ","")&amp;IF(M316="","Date not readable. ","")&amp;IF(N316="No","Outside fiscal year. ","")&amp;IF(AND(F316="Event",ISNUMBER(R316)),IF(R316&gt;12,"Event hours look high. ",""),"")&amp;IF(G316&gt;0,"See CONFIRM sheet.",""))</f>
        <v/>
      </c>
      <c r="AB316" s="1" t="n">
        <f aca="false">IF(N316="No",0,IF(REVIEW!O316=0,0,IF(G316&gt;0,IF(INDEX(CONFIRM!$J$5:$J$53,G316)&lt;&gt;"",INDEX(CONFIRM!$J$5:$J$53,G316),1),1)))</f>
        <v>1</v>
      </c>
      <c r="AC316" s="1" t="n">
        <f aca="false">IF(AB316=1,IF(COUNTIFS($B$5:B316,B316,$D$5:D316,D316,$AB$5:AB316,1)=1,1,0),0)</f>
        <v>0</v>
      </c>
    </row>
    <row r="317" customFormat="false" ht="15" hidden="false" customHeight="false" outlineLevel="0" collapsed="false">
      <c r="A317" s="48" t="str">
        <f aca="false">STACK!A317</f>
        <v>KVMC-0313</v>
      </c>
      <c r="B317" s="48" t="str">
        <f aca="false">STACK!B317</f>
        <v>KVMC</v>
      </c>
      <c r="C317" s="48" t="str">
        <f aca="false">STACK!E317</f>
        <v>Naloxone Training and Distribution</v>
      </c>
      <c r="D317" s="1" t="str">
        <f aca="false">IFERROR(INDEX(MAP!$J$7:$J$101,MATCH(TRIM(C317),MAP!$I$7:$I$101,0)),"UNMAPPED")</f>
        <v>Naloxone Training and Distribution</v>
      </c>
      <c r="E317" s="1" t="str">
        <f aca="false">IFERROR(INDEX(MAP!$K$7:$K$101,MATCH(TRIM(C317),MAP!$I$7:$I$101,0)),"")</f>
        <v>Behavioral health</v>
      </c>
      <c r="F317" s="1" t="str">
        <f aca="false">IFERROR(INDEX(MAP!$L$7:$L$101,MATCH(TRIM(C317),MAP!$I$7:$I$101,0)),"")</f>
        <v>Event</v>
      </c>
      <c r="G317" s="1" t="n">
        <f aca="false">IFERROR(MATCH(A317,CONFIRM!$A$5:$A$53,0),0)</f>
        <v>0</v>
      </c>
      <c r="H317" s="48" t="str">
        <f aca="false">STACK!F317</f>
        <v>Community Health Education</v>
      </c>
      <c r="I317" s="1" t="str">
        <f aca="false">IF(G317&gt;0,IF(INDEX(CONFIRM!$I$5:$I$53,G317)&lt;&gt;"",INDEX(CONFIRM!$I$5:$I$53,G317),H317),H317)</f>
        <v>Community Health Education</v>
      </c>
      <c r="J317" s="1" t="str">
        <f aca="false">IFERROR(INDEX(MAP!$F$7:$F$74,MATCH(TRIM(I317),MAP!$E$7:$E$74,0)),"UNMAPPED")</f>
        <v>Community health education</v>
      </c>
      <c r="K317" s="1" t="str">
        <f aca="false">IFERROR(INDEX(MAP!$G$7:$G$74,MATCH(TRIM(I317),MAP!$E$7:$E$74,0)),"UNMAPPED")</f>
        <v>7e</v>
      </c>
      <c r="L317" s="49" t="n">
        <f aca="false">STACK!G317</f>
        <v>46058</v>
      </c>
      <c r="M317" s="59" t="n">
        <f aca="false">IF(G317&gt;0,IF(INDEX(CONFIRM!$G$5:$G$53,G317)&lt;&gt;"",INDEX(CONFIRM!$G$5:$G$53,G317),IF(ISNUMBER(L317),L317,IFERROR(DATEVALUE(L317),""))),IF(ISNUMBER(L317),L317,IFERROR(DATEVALUE(L317),"")))</f>
        <v>46058</v>
      </c>
      <c r="N317" s="1" t="str">
        <f aca="false">IF(M317="","Check",IF(AND(M317&gt;=INPUTS!$C$6,M317&lt;=INPUTS!$C$7),"Yes","No"))</f>
        <v>Yes</v>
      </c>
      <c r="O317" s="48" t="str">
        <f aca="false">STACK!H317</f>
        <v>CHES</v>
      </c>
      <c r="P317" s="1" t="str">
        <f aca="false">IF(G317&gt;0,IF(INDEX(CONFIRM!$H$5:$H$53,G317)&lt;&gt;"",INDEX(CONFIRM!$H$5:$H$53,G317),IFERROR(INDEX(MAP!$B$7:$B$156,MATCH(TRIM(O317),MAP!$A$7:$A$156,0)),"UNMAPPED")),IFERROR(INDEX(MAP!$B$7:$B$156,MATCH(TRIM(O317),MAP!$A$7:$A$156,0)),"UNMAPPED"))</f>
        <v>Health Educator</v>
      </c>
      <c r="Q317" s="48" t="n">
        <f aca="false">STACK!I317</f>
        <v>2</v>
      </c>
      <c r="R317" s="60" t="n">
        <f aca="false">IF(G317&gt;0,IF(INDEX(CONFIRM!$F$5:$F$53,G317)&lt;&gt;"",INDEX(CONFIRM!$F$5:$F$53,G317),IF(ISNUMBER(Q317),Q317,IF(Q317="","",IFERROR(VALUE(TRIM(SUBSTITUTE(SUBSTITUTE(LOWER(Q317),"hrs",""),"hr",""))),"")))),IF(ISNUMBER(Q317),Q317,IF(Q317="","",IFERROR(VALUE(TRIM(SUBSTITUTE(SUBSTITUTE(LOWER(Q317),"hrs",""),"hr",""))),""))))</f>
        <v>2</v>
      </c>
      <c r="S317" s="57" t="n">
        <f aca="false">IFERROR(INDEX(RATES!$E$6:$E$28,MATCH(P317,RATES!$A$6:$A$28,0)),0)</f>
        <v>37.265</v>
      </c>
      <c r="T317" s="61" t="n">
        <f aca="false">IF(ISNUMBER(R317),R317,0)*S317</f>
        <v>74.53</v>
      </c>
      <c r="U317" s="61" t="n">
        <f aca="false">T317*INDEX(INPUTS!$H$10:$H$14,MATCH(B317,INPUTS!$A$10:$A$14,0))</f>
        <v>13.78805</v>
      </c>
      <c r="V317" s="61" t="n">
        <f aca="false">N(STACK!K317)</f>
        <v>0</v>
      </c>
      <c r="W317" s="61" t="n">
        <f aca="false">T317+U317+V317</f>
        <v>88.31805</v>
      </c>
      <c r="X317" s="61" t="n">
        <f aca="false">N(STACK!L317)</f>
        <v>0</v>
      </c>
      <c r="Y317" s="61" t="n">
        <f aca="false">W317-X317</f>
        <v>88.31805</v>
      </c>
      <c r="Z317" s="1" t="n">
        <f aca="false">N(STACK!J317)</f>
        <v>0</v>
      </c>
      <c r="AA317" s="1" t="str">
        <f aca="false">TRIM(IF(D317="UNMAPPED","Program not mapped. ","")&amp;IF(OR(K317="UNMAPPED",K317="UNASSIGNED"),"Category needs review. ","")&amp;IF(P317="UNMAPPED","Title not mapped. ","")&amp;IF(AND(P317&lt;&gt;"No staff time",R317=""),"Missing hours. ","")&amp;IF(M317="","Date not readable. ","")&amp;IF(N317="No","Outside fiscal year. ","")&amp;IF(AND(F317="Event",ISNUMBER(R317)),IF(R317&gt;12,"Event hours look high. ",""),"")&amp;IF(G317&gt;0,"See CONFIRM sheet.",""))</f>
        <v/>
      </c>
      <c r="AB317" s="1" t="n">
        <f aca="false">IF(N317="No",0,IF(REVIEW!O317=0,0,IF(G317&gt;0,IF(INDEX(CONFIRM!$J$5:$J$53,G317)&lt;&gt;"",INDEX(CONFIRM!$J$5:$J$53,G317),1),1)))</f>
        <v>1</v>
      </c>
      <c r="AC317" s="1" t="n">
        <f aca="false">IF(AB317=1,IF(COUNTIFS($B$5:B317,B317,$D$5:D317,D317,$AB$5:AB317,1)=1,1,0),0)</f>
        <v>0</v>
      </c>
    </row>
    <row r="318" customFormat="false" ht="15" hidden="false" customHeight="false" outlineLevel="0" collapsed="false">
      <c r="A318" s="48" t="str">
        <f aca="false">STACK!A318</f>
        <v>KVMC-0314</v>
      </c>
      <c r="B318" s="48" t="str">
        <f aca="false">STACK!B318</f>
        <v>KVMC</v>
      </c>
      <c r="C318" s="48" t="str">
        <f aca="false">STACK!E318</f>
        <v>Naloxone Training and Distribution</v>
      </c>
      <c r="D318" s="1" t="str">
        <f aca="false">IFERROR(INDEX(MAP!$J$7:$J$101,MATCH(TRIM(C318),MAP!$I$7:$I$101,0)),"UNMAPPED")</f>
        <v>Naloxone Training and Distribution</v>
      </c>
      <c r="E318" s="1" t="str">
        <f aca="false">IFERROR(INDEX(MAP!$K$7:$K$101,MATCH(TRIM(C318),MAP!$I$7:$I$101,0)),"")</f>
        <v>Behavioral health</v>
      </c>
      <c r="F318" s="1" t="str">
        <f aca="false">IFERROR(INDEX(MAP!$L$7:$L$101,MATCH(TRIM(C318),MAP!$I$7:$I$101,0)),"")</f>
        <v>Event</v>
      </c>
      <c r="G318" s="1" t="n">
        <f aca="false">IFERROR(MATCH(A318,CONFIRM!$A$5:$A$53,0),0)</f>
        <v>0</v>
      </c>
      <c r="H318" s="48" t="str">
        <f aca="false">STACK!F318</f>
        <v>Community Health Education</v>
      </c>
      <c r="I318" s="1" t="str">
        <f aca="false">IF(G318&gt;0,IF(INDEX(CONFIRM!$I$5:$I$53,G318)&lt;&gt;"",INDEX(CONFIRM!$I$5:$I$53,G318),H318),H318)</f>
        <v>Community Health Education</v>
      </c>
      <c r="J318" s="1" t="str">
        <f aca="false">IFERROR(INDEX(MAP!$F$7:$F$74,MATCH(TRIM(I318),MAP!$E$7:$E$74,0)),"UNMAPPED")</f>
        <v>Community health education</v>
      </c>
      <c r="K318" s="1" t="str">
        <f aca="false">IFERROR(INDEX(MAP!$G$7:$G$74,MATCH(TRIM(I318),MAP!$E$7:$E$74,0)),"UNMAPPED")</f>
        <v>7e</v>
      </c>
      <c r="L318" s="49" t="n">
        <f aca="false">STACK!G318</f>
        <v>46058</v>
      </c>
      <c r="M318" s="59" t="n">
        <f aca="false">IF(G318&gt;0,IF(INDEX(CONFIRM!$G$5:$G$53,G318)&lt;&gt;"",INDEX(CONFIRM!$G$5:$G$53,G318),IF(ISNUMBER(L318),L318,IFERROR(DATEVALUE(L318),""))),IF(ISNUMBER(L318),L318,IFERROR(DATEVALUE(L318),"")))</f>
        <v>46058</v>
      </c>
      <c r="N318" s="1" t="str">
        <f aca="false">IF(M318="","Check",IF(AND(M318&gt;=INPUTS!$C$6,M318&lt;=INPUTS!$C$7),"Yes","No"))</f>
        <v>Yes</v>
      </c>
      <c r="O318" s="48" t="str">
        <f aca="false">STACK!H318</f>
        <v>Clinical Pharmacist</v>
      </c>
      <c r="P318" s="1" t="str">
        <f aca="false">IF(G318&gt;0,IF(INDEX(CONFIRM!$H$5:$H$53,G318)&lt;&gt;"",INDEX(CONFIRM!$H$5:$H$53,G318),IFERROR(INDEX(MAP!$B$7:$B$156,MATCH(TRIM(O318),MAP!$A$7:$A$156,0)),"UNMAPPED")),IFERROR(INDEX(MAP!$B$7:$B$156,MATCH(TRIM(O318),MAP!$A$7:$A$156,0)),"UNMAPPED"))</f>
        <v>Pharmacist</v>
      </c>
      <c r="Q318" s="48" t="n">
        <f aca="false">STACK!I318</f>
        <v>2.75</v>
      </c>
      <c r="R318" s="60" t="n">
        <f aca="false">IF(G318&gt;0,IF(INDEX(CONFIRM!$F$5:$F$53,G318)&lt;&gt;"",INDEX(CONFIRM!$F$5:$F$53,G318),IF(ISNUMBER(Q318),Q318,IF(Q318="","",IFERROR(VALUE(TRIM(SUBSTITUTE(SUBSTITUTE(LOWER(Q318),"hrs",""),"hr",""))),"")))),IF(ISNUMBER(Q318),Q318,IF(Q318="","",IFERROR(VALUE(TRIM(SUBSTITUTE(SUBSTITUTE(LOWER(Q318),"hrs",""),"hr",""))),""))))</f>
        <v>2.75</v>
      </c>
      <c r="S318" s="57" t="n">
        <f aca="false">IFERROR(INDEX(RATES!$E$6:$E$28,MATCH(P318,RATES!$A$6:$A$28,0)),0)</f>
        <v>84.81</v>
      </c>
      <c r="T318" s="61" t="n">
        <f aca="false">IF(ISNUMBER(R318),R318,0)*S318</f>
        <v>233.2275</v>
      </c>
      <c r="U318" s="61" t="n">
        <f aca="false">T318*INDEX(INPUTS!$H$10:$H$14,MATCH(B318,INPUTS!$A$10:$A$14,0))</f>
        <v>43.1470875</v>
      </c>
      <c r="V318" s="61" t="n">
        <f aca="false">N(STACK!K318)</f>
        <v>1100</v>
      </c>
      <c r="W318" s="61" t="n">
        <f aca="false">T318+U318+V318</f>
        <v>1376.3745875</v>
      </c>
      <c r="X318" s="61" t="n">
        <f aca="false">N(STACK!L318)</f>
        <v>520</v>
      </c>
      <c r="Y318" s="61" t="n">
        <f aca="false">W318-X318</f>
        <v>856.3745875</v>
      </c>
      <c r="Z318" s="1" t="n">
        <f aca="false">N(STACK!J318)</f>
        <v>44</v>
      </c>
      <c r="AA318" s="1" t="str">
        <f aca="false">TRIM(IF(D318="UNMAPPED","Program not mapped. ","")&amp;IF(OR(K318="UNMAPPED",K318="UNASSIGNED"),"Category needs review. ","")&amp;IF(P318="UNMAPPED","Title not mapped. ","")&amp;IF(AND(P318&lt;&gt;"No staff time",R318=""),"Missing hours. ","")&amp;IF(M318="","Date not readable. ","")&amp;IF(N318="No","Outside fiscal year. ","")&amp;IF(AND(F318="Event",ISNUMBER(R318)),IF(R318&gt;12,"Event hours look high. ",""),"")&amp;IF(G318&gt;0,"See CONFIRM sheet.",""))</f>
        <v/>
      </c>
      <c r="AB318" s="1" t="n">
        <f aca="false">IF(N318="No",0,IF(REVIEW!O318=0,0,IF(G318&gt;0,IF(INDEX(CONFIRM!$J$5:$J$53,G318)&lt;&gt;"",INDEX(CONFIRM!$J$5:$J$53,G318),1),1)))</f>
        <v>1</v>
      </c>
      <c r="AC318" s="1" t="n">
        <f aca="false">IF(AB318=1,IF(COUNTIFS($B$5:B318,B318,$D$5:D318,D318,$AB$5:AB318,1)=1,1,0),0)</f>
        <v>0</v>
      </c>
    </row>
    <row r="319" customFormat="false" ht="15" hidden="false" customHeight="false" outlineLevel="0" collapsed="false">
      <c r="A319" s="48" t="str">
        <f aca="false">STACK!A319</f>
        <v>KVMC-0315</v>
      </c>
      <c r="B319" s="48" t="str">
        <f aca="false">STACK!B319</f>
        <v>KVMC</v>
      </c>
      <c r="C319" s="48" t="str">
        <f aca="false">STACK!E319</f>
        <v>Tobacco Cessation Classes</v>
      </c>
      <c r="D319" s="1" t="str">
        <f aca="false">IFERROR(INDEX(MAP!$J$7:$J$101,MATCH(TRIM(C319),MAP!$I$7:$I$101,0)),"UNMAPPED")</f>
        <v>Tobacco Cessation Classes</v>
      </c>
      <c r="E319" s="1" t="str">
        <f aca="false">IFERROR(INDEX(MAP!$K$7:$K$101,MATCH(TRIM(C319),MAP!$I$7:$I$101,0)),"")</f>
        <v>Chronic disease prevention</v>
      </c>
      <c r="F319" s="1" t="str">
        <f aca="false">IFERROR(INDEX(MAP!$L$7:$L$101,MATCH(TRIM(C319),MAP!$I$7:$I$101,0)),"")</f>
        <v>Event</v>
      </c>
      <c r="G319" s="1" t="n">
        <f aca="false">IFERROR(MATCH(A319,CONFIRM!$A$5:$A$53,0),0)</f>
        <v>2</v>
      </c>
      <c r="H319" s="48" t="str">
        <f aca="false">STACK!F319</f>
        <v>Community Health Education</v>
      </c>
      <c r="I319" s="1" t="str">
        <f aca="false">IF(G319&gt;0,IF(INDEX(CONFIRM!$I$5:$I$53,G319)&lt;&gt;"",INDEX(CONFIRM!$I$5:$I$53,G319),H319),H319)</f>
        <v>Community Health Education</v>
      </c>
      <c r="J319" s="1" t="str">
        <f aca="false">IFERROR(INDEX(MAP!$F$7:$F$74,MATCH(TRIM(I319),MAP!$E$7:$E$74,0)),"UNMAPPED")</f>
        <v>Community health education</v>
      </c>
      <c r="K319" s="1" t="str">
        <f aca="false">IFERROR(INDEX(MAP!$G$7:$G$74,MATCH(TRIM(I319),MAP!$E$7:$E$74,0)),"UNMAPPED")</f>
        <v>7e</v>
      </c>
      <c r="L319" s="49" t="n">
        <f aca="false">STACK!G319</f>
        <v>46060</v>
      </c>
      <c r="M319" s="59" t="n">
        <f aca="false">IF(G319&gt;0,IF(INDEX(CONFIRM!$G$5:$G$53,G319)&lt;&gt;"",INDEX(CONFIRM!$G$5:$G$53,G319),IF(ISNUMBER(L319),L319,IFERROR(DATEVALUE(L319),""))),IF(ISNUMBER(L319),L319,IFERROR(DATEVALUE(L319),"")))</f>
        <v>46060</v>
      </c>
      <c r="N319" s="1" t="str">
        <f aca="false">IF(M319="","Check",IF(AND(M319&gt;=INPUTS!$C$6,M319&lt;=INPUTS!$C$7),"Yes","No"))</f>
        <v>Yes</v>
      </c>
      <c r="O319" s="48" t="str">
        <f aca="false">STACK!H319</f>
        <v>Contract</v>
      </c>
      <c r="P319" s="1" t="str">
        <f aca="false">IF(G319&gt;0,IF(INDEX(CONFIRM!$H$5:$H$53,G319)&lt;&gt;"",INDEX(CONFIRM!$H$5:$H$53,G319),IFERROR(INDEX(MAP!$B$7:$B$156,MATCH(TRIM(O319),MAP!$A$7:$A$156,0)),"UNMAPPED")),IFERROR(INDEX(MAP!$B$7:$B$156,MATCH(TRIM(O319),MAP!$A$7:$A$156,0)),"UNMAPPED"))</f>
        <v>Licensed Therapist</v>
      </c>
      <c r="Q319" s="48" t="n">
        <f aca="false">STACK!I319</f>
        <v>2</v>
      </c>
      <c r="R319" s="60" t="n">
        <f aca="false">IF(G319&gt;0,IF(INDEX(CONFIRM!$F$5:$F$53,G319)&lt;&gt;"",INDEX(CONFIRM!$F$5:$F$53,G319),IF(ISNUMBER(Q319),Q319,IF(Q319="","",IFERROR(VALUE(TRIM(SUBSTITUTE(SUBSTITUTE(LOWER(Q319),"hrs",""),"hr",""))),"")))),IF(ISNUMBER(Q319),Q319,IF(Q319="","",IFERROR(VALUE(TRIM(SUBSTITUTE(SUBSTITUTE(LOWER(Q319),"hrs",""),"hr",""))),""))))</f>
        <v>2</v>
      </c>
      <c r="S319" s="57" t="n">
        <f aca="false">IFERROR(INDEX(RATES!$E$6:$E$28,MATCH(P319,RATES!$A$6:$A$28,0)),0)</f>
        <v>53.97</v>
      </c>
      <c r="T319" s="61" t="n">
        <f aca="false">IF(ISNUMBER(R319),R319,0)*S319</f>
        <v>107.94</v>
      </c>
      <c r="U319" s="61" t="n">
        <f aca="false">T319*INDEX(INPUTS!$H$10:$H$14,MATCH(B319,INPUTS!$A$10:$A$14,0))</f>
        <v>19.9689</v>
      </c>
      <c r="V319" s="61" t="n">
        <f aca="false">N(STACK!K319)</f>
        <v>195</v>
      </c>
      <c r="W319" s="61" t="n">
        <f aca="false">T319+U319+V319</f>
        <v>322.9089</v>
      </c>
      <c r="X319" s="61" t="n">
        <f aca="false">N(STACK!L319)</f>
        <v>0</v>
      </c>
      <c r="Y319" s="61" t="n">
        <f aca="false">W319-X319</f>
        <v>322.9089</v>
      </c>
      <c r="Z319" s="1" t="n">
        <f aca="false">N(STACK!J319)</f>
        <v>12</v>
      </c>
      <c r="AA319" s="1" t="str">
        <f aca="false">TRIM(IF(D319="UNMAPPED","Program not mapped. ","")&amp;IF(OR(K319="UNMAPPED",K319="UNASSIGNED"),"Category needs review. ","")&amp;IF(P319="UNMAPPED","Title not mapped. ","")&amp;IF(AND(P319&lt;&gt;"No staff time",R319=""),"Missing hours. ","")&amp;IF(M319="","Date not readable. ","")&amp;IF(N319="No","Outside fiscal year. ","")&amp;IF(AND(F319="Event",ISNUMBER(R319)),IF(R319&gt;12,"Event hours look high. ",""),"")&amp;IF(G319&gt;0,"See CONFIRM sheet.",""))</f>
        <v>See CONFIRM sheet.</v>
      </c>
      <c r="AB319" s="1" t="n">
        <f aca="false">IF(N319="No",0,IF(REVIEW!O319=0,0,IF(G319&gt;0,IF(INDEX(CONFIRM!$J$5:$J$53,G319)&lt;&gt;"",INDEX(CONFIRM!$J$5:$J$53,G319),1),1)))</f>
        <v>1</v>
      </c>
      <c r="AC319" s="1" t="n">
        <f aca="false">IF(AB319=1,IF(COUNTIFS($B$5:B319,B319,$D$5:D319,D319,$AB$5:AB319,1)=1,1,0),0)</f>
        <v>0</v>
      </c>
    </row>
    <row r="320" customFormat="false" ht="15" hidden="false" customHeight="false" outlineLevel="0" collapsed="false">
      <c r="A320" s="48" t="str">
        <f aca="false">STACK!A320</f>
        <v>KVMC-0316</v>
      </c>
      <c r="B320" s="48" t="str">
        <f aca="false">STACK!B320</f>
        <v>KVMC</v>
      </c>
      <c r="C320" s="48" t="str">
        <f aca="false">STACK!E320</f>
        <v>Small Business Health Partnership</v>
      </c>
      <c r="D320" s="1" t="str">
        <f aca="false">IFERROR(INDEX(MAP!$J$7:$J$101,MATCH(TRIM(C320),MAP!$I$7:$I$101,0)),"UNMAPPED")</f>
        <v>Small Business Health Partnership</v>
      </c>
      <c r="E320" s="1" t="str">
        <f aca="false">IFERROR(INDEX(MAP!$K$7:$K$101,MATCH(TRIM(C320),MAP!$I$7:$I$101,0)),"")</f>
        <v>Access to care</v>
      </c>
      <c r="F320" s="1" t="str">
        <f aca="false">IFERROR(INDEX(MAP!$L$7:$L$101,MATCH(TRIM(C320),MAP!$I$7:$I$101,0)),"")</f>
        <v>Event</v>
      </c>
      <c r="G320" s="1" t="n">
        <f aca="false">IFERROR(MATCH(A320,CONFIRM!$A$5:$A$53,0),0)</f>
        <v>0</v>
      </c>
      <c r="H320" s="48" t="str">
        <f aca="false">STACK!F320</f>
        <v>Community Building - Economic Dev</v>
      </c>
      <c r="I320" s="1" t="str">
        <f aca="false">IF(G320&gt;0,IF(INDEX(CONFIRM!$I$5:$I$53,G320)&lt;&gt;"",INDEX(CONFIRM!$I$5:$I$53,G320),H320),H320)</f>
        <v>Community Building - Economic Dev</v>
      </c>
      <c r="J320" s="1" t="str">
        <f aca="false">IFERROR(INDEX(MAP!$F$7:$F$74,MATCH(TRIM(I320),MAP!$E$7:$E$74,0)),"UNMAPPED")</f>
        <v>Community building: economic development</v>
      </c>
      <c r="K320" s="1" t="str">
        <f aca="false">IFERROR(INDEX(MAP!$G$7:$G$74,MATCH(TRIM(I320),MAP!$E$7:$E$74,0)),"UNMAPPED")</f>
        <v>II-2</v>
      </c>
      <c r="L320" s="49" t="n">
        <f aca="false">STACK!G320</f>
        <v>46060</v>
      </c>
      <c r="M320" s="59" t="n">
        <f aca="false">IF(G320&gt;0,IF(INDEX(CONFIRM!$G$5:$G$53,G320)&lt;&gt;"",INDEX(CONFIRM!$G$5:$G$53,G320),IF(ISNUMBER(L320),L320,IFERROR(DATEVALUE(L320),""))),IF(ISNUMBER(L320),L320,IFERROR(DATEVALUE(L320),"")))</f>
        <v>46060</v>
      </c>
      <c r="N320" s="1" t="str">
        <f aca="false">IF(M320="","Check",IF(AND(M320&gt;=INPUTS!$C$6,M320&lt;=INPUTS!$C$7),"Yes","No"))</f>
        <v>Yes</v>
      </c>
      <c r="O320" s="48" t="str">
        <f aca="false">STACK!H320</f>
        <v>Director</v>
      </c>
      <c r="P320" s="1" t="str">
        <f aca="false">IF(G320&gt;0,IF(INDEX(CONFIRM!$H$5:$H$53,G320)&lt;&gt;"",INDEX(CONFIRM!$H$5:$H$53,G320),IFERROR(INDEX(MAP!$B$7:$B$156,MATCH(TRIM(O320),MAP!$A$7:$A$156,0)),"UNMAPPED")),IFERROR(INDEX(MAP!$B$7:$B$156,MATCH(TRIM(O320),MAP!$A$7:$A$156,0)),"UNMAPPED"))</f>
        <v>Director</v>
      </c>
      <c r="Q320" s="48" t="n">
        <f aca="false">STACK!I320</f>
        <v>4</v>
      </c>
      <c r="R320" s="60" t="n">
        <f aca="false">IF(G320&gt;0,IF(INDEX(CONFIRM!$F$5:$F$53,G320)&lt;&gt;"",INDEX(CONFIRM!$F$5:$F$53,G320),IF(ISNUMBER(Q320),Q320,IF(Q320="","",IFERROR(VALUE(TRIM(SUBSTITUTE(SUBSTITUTE(LOWER(Q320),"hrs",""),"hr",""))),"")))),IF(ISNUMBER(Q320),Q320,IF(Q320="","",IFERROR(VALUE(TRIM(SUBSTITUTE(SUBSTITUTE(LOWER(Q320),"hrs",""),"hr",""))),""))))</f>
        <v>4</v>
      </c>
      <c r="S320" s="57" t="n">
        <f aca="false">IFERROR(INDEX(RATES!$E$6:$E$28,MATCH(P320,RATES!$A$6:$A$28,0)),0)</f>
        <v>92.52</v>
      </c>
      <c r="T320" s="61" t="n">
        <f aca="false">IF(ISNUMBER(R320),R320,0)*S320</f>
        <v>370.08</v>
      </c>
      <c r="U320" s="61" t="n">
        <f aca="false">T320*INDEX(INPUTS!$H$10:$H$14,MATCH(B320,INPUTS!$A$10:$A$14,0))</f>
        <v>68.4648</v>
      </c>
      <c r="V320" s="61" t="n">
        <f aca="false">N(STACK!K320)</f>
        <v>1940</v>
      </c>
      <c r="W320" s="61" t="n">
        <f aca="false">T320+U320+V320</f>
        <v>2378.5448</v>
      </c>
      <c r="X320" s="61" t="n">
        <f aca="false">N(STACK!L320)</f>
        <v>0</v>
      </c>
      <c r="Y320" s="61" t="n">
        <f aca="false">W320-X320</f>
        <v>2378.5448</v>
      </c>
      <c r="Z320" s="1" t="n">
        <f aca="false">N(STACK!J320)</f>
        <v>0</v>
      </c>
      <c r="AA320" s="1" t="str">
        <f aca="false">TRIM(IF(D320="UNMAPPED","Program not mapped. ","")&amp;IF(OR(K320="UNMAPPED",K320="UNASSIGNED"),"Category needs review. ","")&amp;IF(P320="UNMAPPED","Title not mapped. ","")&amp;IF(AND(P320&lt;&gt;"No staff time",R320=""),"Missing hours. ","")&amp;IF(M320="","Date not readable. ","")&amp;IF(N320="No","Outside fiscal year. ","")&amp;IF(AND(F320="Event",ISNUMBER(R320)),IF(R320&gt;12,"Event hours look high. ",""),"")&amp;IF(G320&gt;0,"See CONFIRM sheet.",""))</f>
        <v/>
      </c>
      <c r="AB320" s="1" t="n">
        <f aca="false">IF(N320="No",0,IF(REVIEW!O320=0,0,IF(G320&gt;0,IF(INDEX(CONFIRM!$J$5:$J$53,G320)&lt;&gt;"",INDEX(CONFIRM!$J$5:$J$53,G320),1),1)))</f>
        <v>1</v>
      </c>
      <c r="AC320" s="1" t="n">
        <f aca="false">IF(AB320=1,IF(COUNTIFS($B$5:B320,B320,$D$5:D320,D320,$AB$5:AB320,1)=1,1,0),0)</f>
        <v>0</v>
      </c>
    </row>
    <row r="321" customFormat="false" ht="15" hidden="false" customHeight="false" outlineLevel="0" collapsed="false">
      <c r="A321" s="48" t="str">
        <f aca="false">STACK!A321</f>
        <v>KVMC-0317</v>
      </c>
      <c r="B321" s="48" t="str">
        <f aca="false">STACK!B321</f>
        <v>KVMC</v>
      </c>
      <c r="C321" s="48" t="str">
        <f aca="false">STACK!E321</f>
        <v>Small Business Health Partnership</v>
      </c>
      <c r="D321" s="1" t="str">
        <f aca="false">IFERROR(INDEX(MAP!$J$7:$J$101,MATCH(TRIM(C321),MAP!$I$7:$I$101,0)),"UNMAPPED")</f>
        <v>Small Business Health Partnership</v>
      </c>
      <c r="E321" s="1" t="str">
        <f aca="false">IFERROR(INDEX(MAP!$K$7:$K$101,MATCH(TRIM(C321),MAP!$I$7:$I$101,0)),"")</f>
        <v>Access to care</v>
      </c>
      <c r="F321" s="1" t="str">
        <f aca="false">IFERROR(INDEX(MAP!$L$7:$L$101,MATCH(TRIM(C321),MAP!$I$7:$I$101,0)),"")</f>
        <v>Event</v>
      </c>
      <c r="G321" s="1" t="n">
        <f aca="false">IFERROR(MATCH(A321,CONFIRM!$A$5:$A$53,0),0)</f>
        <v>0</v>
      </c>
      <c r="H321" s="48" t="str">
        <f aca="false">STACK!F321</f>
        <v>Community Building - Economic Dev</v>
      </c>
      <c r="I321" s="1" t="str">
        <f aca="false">IF(G321&gt;0,IF(INDEX(CONFIRM!$I$5:$I$53,G321)&lt;&gt;"",INDEX(CONFIRM!$I$5:$I$53,G321),H321),H321)</f>
        <v>Community Building - Economic Dev</v>
      </c>
      <c r="J321" s="1" t="str">
        <f aca="false">IFERROR(INDEX(MAP!$F$7:$F$74,MATCH(TRIM(I321),MAP!$E$7:$E$74,0)),"UNMAPPED")</f>
        <v>Community building: economic development</v>
      </c>
      <c r="K321" s="1" t="str">
        <f aca="false">IFERROR(INDEX(MAP!$G$7:$G$74,MATCH(TRIM(I321),MAP!$E$7:$E$74,0)),"UNMAPPED")</f>
        <v>II-2</v>
      </c>
      <c r="L321" s="49" t="n">
        <f aca="false">STACK!G321</f>
        <v>46060</v>
      </c>
      <c r="M321" s="59" t="n">
        <f aca="false">IF(G321&gt;0,IF(INDEX(CONFIRM!$G$5:$G$53,G321)&lt;&gt;"",INDEX(CONFIRM!$G$5:$G$53,G321),IF(ISNUMBER(L321),L321,IFERROR(DATEVALUE(L321),""))),IF(ISNUMBER(L321),L321,IFERROR(DATEVALUE(L321),"")))</f>
        <v>46060</v>
      </c>
      <c r="N321" s="1" t="str">
        <f aca="false">IF(M321="","Check",IF(AND(M321&gt;=INPUTS!$C$6,M321&lt;=INPUTS!$C$7),"Yes","No"))</f>
        <v>Yes</v>
      </c>
      <c r="O321" s="48" t="str">
        <f aca="false">STACK!H321</f>
        <v>Program Coordinator </v>
      </c>
      <c r="P321" s="1" t="str">
        <f aca="false">IF(G321&gt;0,IF(INDEX(CONFIRM!$H$5:$H$53,G321)&lt;&gt;"",INDEX(CONFIRM!$H$5:$H$53,G321),IFERROR(INDEX(MAP!$B$7:$B$156,MATCH(TRIM(O321),MAP!$A$7:$A$156,0)),"UNMAPPED")),IFERROR(INDEX(MAP!$B$7:$B$156,MATCH(TRIM(O321),MAP!$A$7:$A$156,0)),"UNMAPPED"))</f>
        <v>Program Coordinator</v>
      </c>
      <c r="Q321" s="48" t="n">
        <f aca="false">STACK!I321</f>
        <v>6</v>
      </c>
      <c r="R321" s="60" t="n">
        <f aca="false">IF(G321&gt;0,IF(INDEX(CONFIRM!$F$5:$F$53,G321)&lt;&gt;"",INDEX(CONFIRM!$F$5:$F$53,G321),IF(ISNUMBER(Q321),Q321,IF(Q321="","",IFERROR(VALUE(TRIM(SUBSTITUTE(SUBSTITUTE(LOWER(Q321),"hrs",""),"hr",""))),"")))),IF(ISNUMBER(Q321),Q321,IF(Q321="","",IFERROR(VALUE(TRIM(SUBSTITUTE(SUBSTITUTE(LOWER(Q321),"hrs",""),"hr",""))),""))))</f>
        <v>6</v>
      </c>
      <c r="S321" s="57" t="n">
        <f aca="false">IFERROR(INDEX(RATES!$E$6:$E$28,MATCH(P321,RATES!$A$6:$A$28,0)),0)</f>
        <v>35.3375</v>
      </c>
      <c r="T321" s="61" t="n">
        <f aca="false">IF(ISNUMBER(R321),R321,0)*S321</f>
        <v>212.025</v>
      </c>
      <c r="U321" s="61" t="n">
        <f aca="false">T321*INDEX(INPUTS!$H$10:$H$14,MATCH(B321,INPUTS!$A$10:$A$14,0))</f>
        <v>39.224625</v>
      </c>
      <c r="V321" s="61" t="n">
        <f aca="false">N(STACK!K321)</f>
        <v>0</v>
      </c>
      <c r="W321" s="61" t="n">
        <f aca="false">T321+U321+V321</f>
        <v>251.249625</v>
      </c>
      <c r="X321" s="61" t="n">
        <f aca="false">N(STACK!L321)</f>
        <v>0</v>
      </c>
      <c r="Y321" s="61" t="n">
        <f aca="false">W321-X321</f>
        <v>251.249625</v>
      </c>
      <c r="Z321" s="1" t="n">
        <f aca="false">N(STACK!J321)</f>
        <v>0</v>
      </c>
      <c r="AA321" s="1" t="str">
        <f aca="false">TRIM(IF(D321="UNMAPPED","Program not mapped. ","")&amp;IF(OR(K321="UNMAPPED",K321="UNASSIGNED"),"Category needs review. ","")&amp;IF(P321="UNMAPPED","Title not mapped. ","")&amp;IF(AND(P321&lt;&gt;"No staff time",R321=""),"Missing hours. ","")&amp;IF(M321="","Date not readable. ","")&amp;IF(N321="No","Outside fiscal year. ","")&amp;IF(AND(F321="Event",ISNUMBER(R321)),IF(R321&gt;12,"Event hours look high. ",""),"")&amp;IF(G321&gt;0,"See CONFIRM sheet.",""))</f>
        <v/>
      </c>
      <c r="AB321" s="1" t="n">
        <f aca="false">IF(N321="No",0,IF(REVIEW!O321=0,0,IF(G321&gt;0,IF(INDEX(CONFIRM!$J$5:$J$53,G321)&lt;&gt;"",INDEX(CONFIRM!$J$5:$J$53,G321),1),1)))</f>
        <v>1</v>
      </c>
      <c r="AC321" s="1" t="n">
        <f aca="false">IF(AB321=1,IF(COUNTIFS($B$5:B321,B321,$D$5:D321,D321,$AB$5:AB321,1)=1,1,0),0)</f>
        <v>0</v>
      </c>
    </row>
    <row r="322" customFormat="false" ht="15" hidden="false" customHeight="false" outlineLevel="0" collapsed="false">
      <c r="A322" s="48" t="str">
        <f aca="false">STACK!A322</f>
        <v>KVMC-0318</v>
      </c>
      <c r="B322" s="48" t="str">
        <f aca="false">STACK!B322</f>
        <v>KVMC</v>
      </c>
      <c r="C322" s="48" t="str">
        <f aca="false">STACK!E322</f>
        <v>Naloxone Training and Distribution</v>
      </c>
      <c r="D322" s="1" t="str">
        <f aca="false">IFERROR(INDEX(MAP!$J$7:$J$101,MATCH(TRIM(C322),MAP!$I$7:$I$101,0)),"UNMAPPED")</f>
        <v>Naloxone Training and Distribution</v>
      </c>
      <c r="E322" s="1" t="str">
        <f aca="false">IFERROR(INDEX(MAP!$K$7:$K$101,MATCH(TRIM(C322),MAP!$I$7:$I$101,0)),"")</f>
        <v>Behavioral health</v>
      </c>
      <c r="F322" s="1" t="str">
        <f aca="false">IFERROR(INDEX(MAP!$L$7:$L$101,MATCH(TRIM(C322),MAP!$I$7:$I$101,0)),"")</f>
        <v>Event</v>
      </c>
      <c r="G322" s="1" t="n">
        <f aca="false">IFERROR(MATCH(A322,CONFIRM!$A$5:$A$53,0),0)</f>
        <v>0</v>
      </c>
      <c r="H322" s="48" t="str">
        <f aca="false">STACK!F322</f>
        <v>Community Health Education</v>
      </c>
      <c r="I322" s="1" t="str">
        <f aca="false">IF(G322&gt;0,IF(INDEX(CONFIRM!$I$5:$I$53,G322)&lt;&gt;"",INDEX(CONFIRM!$I$5:$I$53,G322),H322),H322)</f>
        <v>Community Health Education</v>
      </c>
      <c r="J322" s="1" t="str">
        <f aca="false">IFERROR(INDEX(MAP!$F$7:$F$74,MATCH(TRIM(I322),MAP!$E$7:$E$74,0)),"UNMAPPED")</f>
        <v>Community health education</v>
      </c>
      <c r="K322" s="1" t="str">
        <f aca="false">IFERROR(INDEX(MAP!$G$7:$G$74,MATCH(TRIM(I322),MAP!$E$7:$E$74,0)),"UNMAPPED")</f>
        <v>7e</v>
      </c>
      <c r="L322" s="49" t="n">
        <f aca="false">STACK!G322</f>
        <v>46064</v>
      </c>
      <c r="M322" s="59" t="n">
        <f aca="false">IF(G322&gt;0,IF(INDEX(CONFIRM!$G$5:$G$53,G322)&lt;&gt;"",INDEX(CONFIRM!$G$5:$G$53,G322),IF(ISNUMBER(L322),L322,IFERROR(DATEVALUE(L322),""))),IF(ISNUMBER(L322),L322,IFERROR(DATEVALUE(L322),"")))</f>
        <v>46064</v>
      </c>
      <c r="N322" s="1" t="str">
        <f aca="false">IF(M322="","Check",IF(AND(M322&gt;=INPUTS!$C$6,M322&lt;=INPUTS!$C$7),"Yes","No"))</f>
        <v>Yes</v>
      </c>
      <c r="O322" s="48" t="str">
        <f aca="false">STACK!H322</f>
        <v>Wellness Educator </v>
      </c>
      <c r="P322" s="1" t="str">
        <f aca="false">IF(G322&gt;0,IF(INDEX(CONFIRM!$H$5:$H$53,G322)&lt;&gt;"",INDEX(CONFIRM!$H$5:$H$53,G322),IFERROR(INDEX(MAP!$B$7:$B$156,MATCH(TRIM(O322),MAP!$A$7:$A$156,0)),"UNMAPPED")),IFERROR(INDEX(MAP!$B$7:$B$156,MATCH(TRIM(O322),MAP!$A$7:$A$156,0)),"UNMAPPED"))</f>
        <v>Health Educator</v>
      </c>
      <c r="Q322" s="48" t="n">
        <f aca="false">STACK!I322</f>
        <v>2.25</v>
      </c>
      <c r="R322" s="60" t="n">
        <f aca="false">IF(G322&gt;0,IF(INDEX(CONFIRM!$F$5:$F$53,G322)&lt;&gt;"",INDEX(CONFIRM!$F$5:$F$53,G322),IF(ISNUMBER(Q322),Q322,IF(Q322="","",IFERROR(VALUE(TRIM(SUBSTITUTE(SUBSTITUTE(LOWER(Q322),"hrs",""),"hr",""))),"")))),IF(ISNUMBER(Q322),Q322,IF(Q322="","",IFERROR(VALUE(TRIM(SUBSTITUTE(SUBSTITUTE(LOWER(Q322),"hrs",""),"hr",""))),""))))</f>
        <v>2.25</v>
      </c>
      <c r="S322" s="57" t="n">
        <f aca="false">IFERROR(INDEX(RATES!$E$6:$E$28,MATCH(P322,RATES!$A$6:$A$28,0)),0)</f>
        <v>37.265</v>
      </c>
      <c r="T322" s="61" t="n">
        <f aca="false">IF(ISNUMBER(R322),R322,0)*S322</f>
        <v>83.84625</v>
      </c>
      <c r="U322" s="61" t="n">
        <f aca="false">T322*INDEX(INPUTS!$H$10:$H$14,MATCH(B322,INPUTS!$A$10:$A$14,0))</f>
        <v>15.51155625</v>
      </c>
      <c r="V322" s="61" t="n">
        <f aca="false">N(STACK!K322)</f>
        <v>0</v>
      </c>
      <c r="W322" s="61" t="n">
        <f aca="false">T322+U322+V322</f>
        <v>99.35780625</v>
      </c>
      <c r="X322" s="61" t="n">
        <f aca="false">N(STACK!L322)</f>
        <v>0</v>
      </c>
      <c r="Y322" s="61" t="n">
        <f aca="false">W322-X322</f>
        <v>99.35780625</v>
      </c>
      <c r="Z322" s="1" t="n">
        <f aca="false">N(STACK!J322)</f>
        <v>0</v>
      </c>
      <c r="AA322" s="1" t="str">
        <f aca="false">TRIM(IF(D322="UNMAPPED","Program not mapped. ","")&amp;IF(OR(K322="UNMAPPED",K322="UNASSIGNED"),"Category needs review. ","")&amp;IF(P322="UNMAPPED","Title not mapped. ","")&amp;IF(AND(P322&lt;&gt;"No staff time",R322=""),"Missing hours. ","")&amp;IF(M322="","Date not readable. ","")&amp;IF(N322="No","Outside fiscal year. ","")&amp;IF(AND(F322="Event",ISNUMBER(R322)),IF(R322&gt;12,"Event hours look high. ",""),"")&amp;IF(G322&gt;0,"See CONFIRM sheet.",""))</f>
        <v/>
      </c>
      <c r="AB322" s="1" t="n">
        <f aca="false">IF(N322="No",0,IF(REVIEW!O322=0,0,IF(G322&gt;0,IF(INDEX(CONFIRM!$J$5:$J$53,G322)&lt;&gt;"",INDEX(CONFIRM!$J$5:$J$53,G322),1),1)))</f>
        <v>1</v>
      </c>
      <c r="AC322" s="1" t="n">
        <f aca="false">IF(AB322=1,IF(COUNTIFS($B$5:B322,B322,$D$5:D322,D322,$AB$5:AB322,1)=1,1,0),0)</f>
        <v>0</v>
      </c>
    </row>
    <row r="323" customFormat="false" ht="15" hidden="false" customHeight="false" outlineLevel="0" collapsed="false">
      <c r="A323" s="48" t="str">
        <f aca="false">STACK!A323</f>
        <v>KVMC-0319</v>
      </c>
      <c r="B323" s="48" t="str">
        <f aca="false">STACK!B323</f>
        <v>KVMC</v>
      </c>
      <c r="C323" s="48" t="str">
        <f aca="false">STACK!E323</f>
        <v>Naloxone Training and Distribution</v>
      </c>
      <c r="D323" s="1" t="str">
        <f aca="false">IFERROR(INDEX(MAP!$J$7:$J$101,MATCH(TRIM(C323),MAP!$I$7:$I$101,0)),"UNMAPPED")</f>
        <v>Naloxone Training and Distribution</v>
      </c>
      <c r="E323" s="1" t="str">
        <f aca="false">IFERROR(INDEX(MAP!$K$7:$K$101,MATCH(TRIM(C323),MAP!$I$7:$I$101,0)),"")</f>
        <v>Behavioral health</v>
      </c>
      <c r="F323" s="1" t="str">
        <f aca="false">IFERROR(INDEX(MAP!$L$7:$L$101,MATCH(TRIM(C323),MAP!$I$7:$I$101,0)),"")</f>
        <v>Event</v>
      </c>
      <c r="G323" s="1" t="n">
        <f aca="false">IFERROR(MATCH(A323,CONFIRM!$A$5:$A$53,0),0)</f>
        <v>0</v>
      </c>
      <c r="H323" s="48" t="str">
        <f aca="false">STACK!F323</f>
        <v>Community Health Education</v>
      </c>
      <c r="I323" s="1" t="str">
        <f aca="false">IF(G323&gt;0,IF(INDEX(CONFIRM!$I$5:$I$53,G323)&lt;&gt;"",INDEX(CONFIRM!$I$5:$I$53,G323),H323),H323)</f>
        <v>Community Health Education</v>
      </c>
      <c r="J323" s="1" t="str">
        <f aca="false">IFERROR(INDEX(MAP!$F$7:$F$74,MATCH(TRIM(I323),MAP!$E$7:$E$74,0)),"UNMAPPED")</f>
        <v>Community health education</v>
      </c>
      <c r="K323" s="1" t="str">
        <f aca="false">IFERROR(INDEX(MAP!$G$7:$G$74,MATCH(TRIM(I323),MAP!$E$7:$E$74,0)),"UNMAPPED")</f>
        <v>7e</v>
      </c>
      <c r="L323" s="49" t="n">
        <f aca="false">STACK!G323</f>
        <v>46064</v>
      </c>
      <c r="M323" s="59" t="n">
        <f aca="false">IF(G323&gt;0,IF(INDEX(CONFIRM!$G$5:$G$53,G323)&lt;&gt;"",INDEX(CONFIRM!$G$5:$G$53,G323),IF(ISNUMBER(L323),L323,IFERROR(DATEVALUE(L323),""))),IF(ISNUMBER(L323),L323,IFERROR(DATEVALUE(L323),"")))</f>
        <v>46064</v>
      </c>
      <c r="N323" s="1" t="str">
        <f aca="false">IF(M323="","Check",IF(AND(M323&gt;=INPUTS!$C$6,M323&lt;=INPUTS!$C$7),"Yes","No"))</f>
        <v>Yes</v>
      </c>
      <c r="O323" s="48" t="str">
        <f aca="false">STACK!H323</f>
        <v>Pharmacist</v>
      </c>
      <c r="P323" s="1" t="str">
        <f aca="false">IF(G323&gt;0,IF(INDEX(CONFIRM!$H$5:$H$53,G323)&lt;&gt;"",INDEX(CONFIRM!$H$5:$H$53,G323),IFERROR(INDEX(MAP!$B$7:$B$156,MATCH(TRIM(O323),MAP!$A$7:$A$156,0)),"UNMAPPED")),IFERROR(INDEX(MAP!$B$7:$B$156,MATCH(TRIM(O323),MAP!$A$7:$A$156,0)),"UNMAPPED"))</f>
        <v>Pharmacist</v>
      </c>
      <c r="Q323" s="48" t="n">
        <f aca="false">STACK!I323</f>
        <v>2.5</v>
      </c>
      <c r="R323" s="60" t="n">
        <f aca="false">IF(G323&gt;0,IF(INDEX(CONFIRM!$F$5:$F$53,G323)&lt;&gt;"",INDEX(CONFIRM!$F$5:$F$53,G323),IF(ISNUMBER(Q323),Q323,IF(Q323="","",IFERROR(VALUE(TRIM(SUBSTITUTE(SUBSTITUTE(LOWER(Q323),"hrs",""),"hr",""))),"")))),IF(ISNUMBER(Q323),Q323,IF(Q323="","",IFERROR(VALUE(TRIM(SUBSTITUTE(SUBSTITUTE(LOWER(Q323),"hrs",""),"hr",""))),""))))</f>
        <v>2.5</v>
      </c>
      <c r="S323" s="57" t="n">
        <f aca="false">IFERROR(INDEX(RATES!$E$6:$E$28,MATCH(P323,RATES!$A$6:$A$28,0)),0)</f>
        <v>84.81</v>
      </c>
      <c r="T323" s="61" t="n">
        <f aca="false">IF(ISNUMBER(R323),R323,0)*S323</f>
        <v>212.025</v>
      </c>
      <c r="U323" s="61" t="n">
        <f aca="false">T323*INDEX(INPUTS!$H$10:$H$14,MATCH(B323,INPUTS!$A$10:$A$14,0))</f>
        <v>39.224625</v>
      </c>
      <c r="V323" s="61" t="n">
        <f aca="false">N(STACK!K323)</f>
        <v>1200</v>
      </c>
      <c r="W323" s="61" t="n">
        <f aca="false">T323+U323+V323</f>
        <v>1451.249625</v>
      </c>
      <c r="X323" s="61" t="n">
        <f aca="false">N(STACK!L323)</f>
        <v>895</v>
      </c>
      <c r="Y323" s="61" t="n">
        <f aca="false">W323-X323</f>
        <v>556.249625</v>
      </c>
      <c r="Z323" s="1" t="n">
        <f aca="false">N(STACK!J323)</f>
        <v>36</v>
      </c>
      <c r="AA323" s="1" t="str">
        <f aca="false">TRIM(IF(D323="UNMAPPED","Program not mapped. ","")&amp;IF(OR(K323="UNMAPPED",K323="UNASSIGNED"),"Category needs review. ","")&amp;IF(P323="UNMAPPED","Title not mapped. ","")&amp;IF(AND(P323&lt;&gt;"No staff time",R323=""),"Missing hours. ","")&amp;IF(M323="","Date not readable. ","")&amp;IF(N323="No","Outside fiscal year. ","")&amp;IF(AND(F323="Event",ISNUMBER(R323)),IF(R323&gt;12,"Event hours look high. ",""),"")&amp;IF(G323&gt;0,"See CONFIRM sheet.",""))</f>
        <v/>
      </c>
      <c r="AB323" s="1" t="n">
        <f aca="false">IF(N323="No",0,IF(REVIEW!O323=0,0,IF(G323&gt;0,IF(INDEX(CONFIRM!$J$5:$J$53,G323)&lt;&gt;"",INDEX(CONFIRM!$J$5:$J$53,G323),1),1)))</f>
        <v>1</v>
      </c>
      <c r="AC323" s="1" t="n">
        <f aca="false">IF(AB323=1,IF(COUNTIFS($B$5:B323,B323,$D$5:D323,D323,$AB$5:AB323,1)=1,1,0),0)</f>
        <v>0</v>
      </c>
    </row>
    <row r="324" customFormat="false" ht="15" hidden="false" customHeight="false" outlineLevel="0" collapsed="false">
      <c r="A324" s="48" t="str">
        <f aca="false">STACK!A324</f>
        <v>KVMC-0320</v>
      </c>
      <c r="B324" s="48" t="str">
        <f aca="false">STACK!B324</f>
        <v>KVMC</v>
      </c>
      <c r="C324" s="48" t="str">
        <f aca="false">STACK!E324</f>
        <v>In-Kind Medical Supply Donations</v>
      </c>
      <c r="D324" s="1" t="str">
        <f aca="false">IFERROR(INDEX(MAP!$J$7:$J$101,MATCH(TRIM(C324),MAP!$I$7:$I$101,0)),"UNMAPPED")</f>
        <v>In-Kind Medical Supply Donations</v>
      </c>
      <c r="E324" s="1" t="str">
        <f aca="false">IFERROR(INDEX(MAP!$K$7:$K$101,MATCH(TRIM(C324),MAP!$I$7:$I$101,0)),"")</f>
        <v>Access to care</v>
      </c>
      <c r="F324" s="1" t="str">
        <f aca="false">IFERROR(INDEX(MAP!$L$7:$L$101,MATCH(TRIM(C324),MAP!$I$7:$I$101,0)),"")</f>
        <v>Contribution</v>
      </c>
      <c r="G324" s="1" t="n">
        <f aca="false">IFERROR(MATCH(A324,CONFIRM!$A$5:$A$53,0),0)</f>
        <v>0</v>
      </c>
      <c r="H324" s="48" t="str">
        <f aca="false">STACK!F324</f>
        <v>Cash &amp; In-Kind Donations</v>
      </c>
      <c r="I324" s="1" t="str">
        <f aca="false">IF(G324&gt;0,IF(INDEX(CONFIRM!$I$5:$I$53,G324)&lt;&gt;"",INDEX(CONFIRM!$I$5:$I$53,G324),H324),H324)</f>
        <v>Cash &amp; In-Kind Donations</v>
      </c>
      <c r="J324" s="1" t="str">
        <f aca="false">IFERROR(INDEX(MAP!$F$7:$F$74,MATCH(TRIM(I324),MAP!$E$7:$E$74,0)),"UNMAPPED")</f>
        <v>Cash and in-kind contributions</v>
      </c>
      <c r="K324" s="1" t="str">
        <f aca="false">IFERROR(INDEX(MAP!$G$7:$G$74,MATCH(TRIM(I324),MAP!$E$7:$E$74,0)),"UNMAPPED")</f>
        <v>7i</v>
      </c>
      <c r="L324" s="49" t="n">
        <f aca="false">STACK!G324</f>
        <v>46065</v>
      </c>
      <c r="M324" s="59" t="n">
        <f aca="false">IF(G324&gt;0,IF(INDEX(CONFIRM!$G$5:$G$53,G324)&lt;&gt;"",INDEX(CONFIRM!$G$5:$G$53,G324),IF(ISNUMBER(L324),L324,IFERROR(DATEVALUE(L324),""))),IF(ISNUMBER(L324),L324,IFERROR(DATEVALUE(L324),"")))</f>
        <v>46065</v>
      </c>
      <c r="N324" s="1" t="str">
        <f aca="false">IF(M324="","Check",IF(AND(M324&gt;=INPUTS!$C$6,M324&lt;=INPUTS!$C$7),"Yes","No"))</f>
        <v>Yes</v>
      </c>
      <c r="O324" s="48" t="str">
        <f aca="false">STACK!H324</f>
        <v>none</v>
      </c>
      <c r="P324" s="1" t="str">
        <f aca="false">IF(G324&gt;0,IF(INDEX(CONFIRM!$H$5:$H$53,G324)&lt;&gt;"",INDEX(CONFIRM!$H$5:$H$53,G324),IFERROR(INDEX(MAP!$B$7:$B$156,MATCH(TRIM(O324),MAP!$A$7:$A$156,0)),"UNMAPPED")),IFERROR(INDEX(MAP!$B$7:$B$156,MATCH(TRIM(O324),MAP!$A$7:$A$156,0)),"UNMAPPED"))</f>
        <v>No staff time</v>
      </c>
      <c r="Q324" s="48" t="n">
        <f aca="false">STACK!I324</f>
        <v>0</v>
      </c>
      <c r="R324" s="60" t="n">
        <f aca="false">IF(G324&gt;0,IF(INDEX(CONFIRM!$F$5:$F$53,G324)&lt;&gt;"",INDEX(CONFIRM!$F$5:$F$53,G324),IF(ISNUMBER(Q324),Q324,IF(Q324="","",IFERROR(VALUE(TRIM(SUBSTITUTE(SUBSTITUTE(LOWER(Q324),"hrs",""),"hr",""))),"")))),IF(ISNUMBER(Q324),Q324,IF(Q324="","",IFERROR(VALUE(TRIM(SUBSTITUTE(SUBSTITUTE(LOWER(Q324),"hrs",""),"hr",""))),""))))</f>
        <v>0</v>
      </c>
      <c r="S324" s="57" t="n">
        <f aca="false">IFERROR(INDEX(RATES!$E$6:$E$28,MATCH(P324,RATES!$A$6:$A$28,0)),0)</f>
        <v>0</v>
      </c>
      <c r="T324" s="61" t="n">
        <f aca="false">IF(ISNUMBER(R324),R324,0)*S324</f>
        <v>0</v>
      </c>
      <c r="U324" s="61" t="n">
        <f aca="false">T324*INDEX(INPUTS!$H$10:$H$14,MATCH(B324,INPUTS!$A$10:$A$14,0))</f>
        <v>0</v>
      </c>
      <c r="V324" s="61" t="n">
        <f aca="false">N(STACK!K324)</f>
        <v>9800</v>
      </c>
      <c r="W324" s="61" t="n">
        <f aca="false">T324+U324+V324</f>
        <v>9800</v>
      </c>
      <c r="X324" s="61" t="n">
        <f aca="false">N(STACK!L324)</f>
        <v>0</v>
      </c>
      <c r="Y324" s="61" t="n">
        <f aca="false">W324-X324</f>
        <v>9800</v>
      </c>
      <c r="Z324" s="1" t="n">
        <f aca="false">N(STACK!J324)</f>
        <v>0</v>
      </c>
      <c r="AA324" s="1" t="str">
        <f aca="false">TRIM(IF(D324="UNMAPPED","Program not mapped. ","")&amp;IF(OR(K324="UNMAPPED",K324="UNASSIGNED"),"Category needs review. ","")&amp;IF(P324="UNMAPPED","Title not mapped. ","")&amp;IF(AND(P324&lt;&gt;"No staff time",R324=""),"Missing hours. ","")&amp;IF(M324="","Date not readable. ","")&amp;IF(N324="No","Outside fiscal year. ","")&amp;IF(AND(F324="Event",ISNUMBER(R324)),IF(R324&gt;12,"Event hours look high. ",""),"")&amp;IF(G324&gt;0,"See CONFIRM sheet.",""))</f>
        <v/>
      </c>
      <c r="AB324" s="1" t="n">
        <f aca="false">IF(N324="No",0,IF(REVIEW!O324=0,0,IF(G324&gt;0,IF(INDEX(CONFIRM!$J$5:$J$53,G324)&lt;&gt;"",INDEX(CONFIRM!$J$5:$J$53,G324),1),1)))</f>
        <v>1</v>
      </c>
      <c r="AC324" s="1" t="n">
        <f aca="false">IF(AB324=1,IF(COUNTIFS($B$5:B324,B324,$D$5:D324,D324,$AB$5:AB324,1)=1,1,0),0)</f>
        <v>0</v>
      </c>
    </row>
    <row r="325" customFormat="false" ht="15" hidden="false" customHeight="false" outlineLevel="0" collapsed="false">
      <c r="A325" s="48" t="str">
        <f aca="false">STACK!A325</f>
        <v>KVMC-0321</v>
      </c>
      <c r="B325" s="48" t="str">
        <f aca="false">STACK!B325</f>
        <v>KVMC</v>
      </c>
      <c r="C325" s="48" t="str">
        <f aca="false">STACK!E325</f>
        <v>Childbirth and Newborn Care Classes</v>
      </c>
      <c r="D325" s="1" t="str">
        <f aca="false">IFERROR(INDEX(MAP!$J$7:$J$101,MATCH(TRIM(C325),MAP!$I$7:$I$101,0)),"UNMAPPED")</f>
        <v>Childbirth and Newborn Care Classes</v>
      </c>
      <c r="E325" s="1" t="str">
        <f aca="false">IFERROR(INDEX(MAP!$K$7:$K$101,MATCH(TRIM(C325),MAP!$I$7:$I$101,0)),"")</f>
        <v>Maternal and child health</v>
      </c>
      <c r="F325" s="1" t="str">
        <f aca="false">IFERROR(INDEX(MAP!$L$7:$L$101,MATCH(TRIM(C325),MAP!$I$7:$I$101,0)),"")</f>
        <v>Event</v>
      </c>
      <c r="G325" s="1" t="n">
        <f aca="false">IFERROR(MATCH(A325,CONFIRM!$A$5:$A$53,0),0)</f>
        <v>0</v>
      </c>
      <c r="H325" s="48" t="str">
        <f aca="false">STACK!F325</f>
        <v>Community Health Education</v>
      </c>
      <c r="I325" s="1" t="str">
        <f aca="false">IF(G325&gt;0,IF(INDEX(CONFIRM!$I$5:$I$53,G325)&lt;&gt;"",INDEX(CONFIRM!$I$5:$I$53,G325),H325),H325)</f>
        <v>Community Health Education</v>
      </c>
      <c r="J325" s="1" t="str">
        <f aca="false">IFERROR(INDEX(MAP!$F$7:$F$74,MATCH(TRIM(I325),MAP!$E$7:$E$74,0)),"UNMAPPED")</f>
        <v>Community health education</v>
      </c>
      <c r="K325" s="1" t="str">
        <f aca="false">IFERROR(INDEX(MAP!$G$7:$G$74,MATCH(TRIM(I325),MAP!$E$7:$E$74,0)),"UNMAPPED")</f>
        <v>7e</v>
      </c>
      <c r="L325" s="49" t="n">
        <f aca="false">STACK!G325</f>
        <v>46070</v>
      </c>
      <c r="M325" s="59" t="n">
        <f aca="false">IF(G325&gt;0,IF(INDEX(CONFIRM!$G$5:$G$53,G325)&lt;&gt;"",INDEX(CONFIRM!$G$5:$G$53,G325),IF(ISNUMBER(L325),L325,IFERROR(DATEVALUE(L325),""))),IF(ISNUMBER(L325),L325,IFERROR(DATEVALUE(L325),"")))</f>
        <v>46070</v>
      </c>
      <c r="N325" s="1" t="str">
        <f aca="false">IF(M325="","Check",IF(AND(M325&gt;=INPUTS!$C$6,M325&lt;=INPUTS!$C$7),"Yes","No"))</f>
        <v>Yes</v>
      </c>
      <c r="O325" s="48" t="str">
        <f aca="false">STACK!H325</f>
        <v>Preceptor RN</v>
      </c>
      <c r="P325" s="1" t="str">
        <f aca="false">IF(G325&gt;0,IF(INDEX(CONFIRM!$H$5:$H$53,G325)&lt;&gt;"",INDEX(CONFIRM!$H$5:$H$53,G325),IFERROR(INDEX(MAP!$B$7:$B$156,MATCH(TRIM(O325),MAP!$A$7:$A$156,0)),"UNMAPPED")),IFERROR(INDEX(MAP!$B$7:$B$156,MATCH(TRIM(O325),MAP!$A$7:$A$156,0)),"UNMAPPED"))</f>
        <v>Clinical Nurse Educator</v>
      </c>
      <c r="Q325" s="48" t="n">
        <f aca="false">STACK!I325</f>
        <v>3</v>
      </c>
      <c r="R325" s="60" t="n">
        <f aca="false">IF(G325&gt;0,IF(INDEX(CONFIRM!$F$5:$F$53,G325)&lt;&gt;"",INDEX(CONFIRM!$F$5:$F$53,G325),IF(ISNUMBER(Q325),Q325,IF(Q325="","",IFERROR(VALUE(TRIM(SUBSTITUTE(SUBSTITUTE(LOWER(Q325),"hrs",""),"hr",""))),"")))),IF(ISNUMBER(Q325),Q325,IF(Q325="","",IFERROR(VALUE(TRIM(SUBSTITUTE(SUBSTITUTE(LOWER(Q325),"hrs",""),"hr",""))),""))))</f>
        <v>3</v>
      </c>
      <c r="S325" s="57" t="n">
        <f aca="false">IFERROR(INDEX(RATES!$E$6:$E$28,MATCH(P325,RATES!$A$6:$A$28,0)),0)</f>
        <v>62.965</v>
      </c>
      <c r="T325" s="61" t="n">
        <f aca="false">IF(ISNUMBER(R325),R325,0)*S325</f>
        <v>188.895</v>
      </c>
      <c r="U325" s="61" t="n">
        <f aca="false">T325*INDEX(INPUTS!$H$10:$H$14,MATCH(B325,INPUTS!$A$10:$A$14,0))</f>
        <v>34.945575</v>
      </c>
      <c r="V325" s="61" t="n">
        <f aca="false">N(STACK!K325)</f>
        <v>165</v>
      </c>
      <c r="W325" s="61" t="n">
        <f aca="false">T325+U325+V325</f>
        <v>388.840575</v>
      </c>
      <c r="X325" s="61" t="n">
        <f aca="false">N(STACK!L325)</f>
        <v>0</v>
      </c>
      <c r="Y325" s="61" t="n">
        <f aca="false">W325-X325</f>
        <v>388.840575</v>
      </c>
      <c r="Z325" s="1" t="n">
        <f aca="false">N(STACK!J325)</f>
        <v>17</v>
      </c>
      <c r="AA325" s="1" t="str">
        <f aca="false">TRIM(IF(D325="UNMAPPED","Program not mapped. ","")&amp;IF(OR(K325="UNMAPPED",K325="UNASSIGNED"),"Category needs review. ","")&amp;IF(P325="UNMAPPED","Title not mapped. ","")&amp;IF(AND(P325&lt;&gt;"No staff time",R325=""),"Missing hours. ","")&amp;IF(M325="","Date not readable. ","")&amp;IF(N325="No","Outside fiscal year. ","")&amp;IF(AND(F325="Event",ISNUMBER(R325)),IF(R325&gt;12,"Event hours look high. ",""),"")&amp;IF(G325&gt;0,"See CONFIRM sheet.",""))</f>
        <v/>
      </c>
      <c r="AB325" s="1" t="n">
        <f aca="false">IF(N325="No",0,IF(REVIEW!O325=0,0,IF(G325&gt;0,IF(INDEX(CONFIRM!$J$5:$J$53,G325)&lt;&gt;"",INDEX(CONFIRM!$J$5:$J$53,G325),1),1)))</f>
        <v>1</v>
      </c>
      <c r="AC325" s="1" t="n">
        <f aca="false">IF(AB325=1,IF(COUNTIFS($B$5:B325,B325,$D$5:D325,D325,$AB$5:AB325,1)=1,1,0),0)</f>
        <v>0</v>
      </c>
    </row>
    <row r="326" customFormat="false" ht="15" hidden="false" customHeight="false" outlineLevel="0" collapsed="false">
      <c r="A326" s="48" t="str">
        <f aca="false">STACK!A326</f>
        <v>KVMC-0322</v>
      </c>
      <c r="B326" s="48" t="str">
        <f aca="false">STACK!B326</f>
        <v>KVMC</v>
      </c>
      <c r="C326" s="48" t="str">
        <f aca="false">STACK!E326</f>
        <v>Regional Health Coalition</v>
      </c>
      <c r="D326" s="1" t="str">
        <f aca="false">IFERROR(INDEX(MAP!$J$7:$J$101,MATCH(TRIM(C326),MAP!$I$7:$I$101,0)),"UNMAPPED")</f>
        <v>Regional Health Coalition</v>
      </c>
      <c r="E326" s="1" t="str">
        <f aca="false">IFERROR(INDEX(MAP!$K$7:$K$101,MATCH(TRIM(C326),MAP!$I$7:$I$101,0)),"")</f>
        <v>Community benefit infrastructure</v>
      </c>
      <c r="F326" s="1" t="str">
        <f aca="false">IFERROR(INDEX(MAP!$L$7:$L$101,MATCH(TRIM(C326),MAP!$I$7:$I$101,0)),"")</f>
        <v>Event</v>
      </c>
      <c r="G326" s="1" t="n">
        <f aca="false">IFERROR(MATCH(A326,CONFIRM!$A$5:$A$53,0),0)</f>
        <v>0</v>
      </c>
      <c r="H326" s="48" t="str">
        <f aca="false">STACK!F326</f>
        <v>Community Building - Coalition</v>
      </c>
      <c r="I326" s="1" t="str">
        <f aca="false">IF(G326&gt;0,IF(INDEX(CONFIRM!$I$5:$I$53,G326)&lt;&gt;"",INDEX(CONFIRM!$I$5:$I$53,G326),H326),H326)</f>
        <v>Community Building - Coalition</v>
      </c>
      <c r="J326" s="1" t="str">
        <f aca="false">IFERROR(INDEX(MAP!$F$7:$F$74,MATCH(TRIM(I326),MAP!$E$7:$E$74,0)),"UNMAPPED")</f>
        <v>Community building: coalition building</v>
      </c>
      <c r="K326" s="1" t="str">
        <f aca="false">IFERROR(INDEX(MAP!$G$7:$G$74,MATCH(TRIM(I326),MAP!$E$7:$E$74,0)),"UNMAPPED")</f>
        <v>II-6</v>
      </c>
      <c r="L326" s="49" t="n">
        <f aca="false">STACK!G326</f>
        <v>46071</v>
      </c>
      <c r="M326" s="59" t="n">
        <f aca="false">IF(G326&gt;0,IF(INDEX(CONFIRM!$G$5:$G$53,G326)&lt;&gt;"",INDEX(CONFIRM!$G$5:$G$53,G326),IF(ISNUMBER(L326),L326,IFERROR(DATEVALUE(L326),""))),IF(ISNUMBER(L326),L326,IFERROR(DATEVALUE(L326),"")))</f>
        <v>46071</v>
      </c>
      <c r="N326" s="1" t="str">
        <f aca="false">IF(M326="","Check",IF(AND(M326&gt;=INPUTS!$C$6,M326&lt;=INPUTS!$C$7),"Yes","No"))</f>
        <v>Yes</v>
      </c>
      <c r="O326" s="48" t="str">
        <f aca="false">STACK!H326</f>
        <v>Manager Community Benefit</v>
      </c>
      <c r="P326" s="1" t="str">
        <f aca="false">IF(G326&gt;0,IF(INDEX(CONFIRM!$H$5:$H$53,G326)&lt;&gt;"",INDEX(CONFIRM!$H$5:$H$53,G326),IFERROR(INDEX(MAP!$B$7:$B$156,MATCH(TRIM(O326),MAP!$A$7:$A$156,0)),"UNMAPPED")),IFERROR(INDEX(MAP!$B$7:$B$156,MATCH(TRIM(O326),MAP!$A$7:$A$156,0)),"UNMAPPED"))</f>
        <v>Community Benefit Manager</v>
      </c>
      <c r="Q326" s="48" t="n">
        <f aca="false">STACK!I326</f>
        <v>2.5</v>
      </c>
      <c r="R326" s="60" t="n">
        <f aca="false">IF(G326&gt;0,IF(INDEX(CONFIRM!$F$5:$F$53,G326)&lt;&gt;"",INDEX(CONFIRM!$F$5:$F$53,G326),IF(ISNUMBER(Q326),Q326,IF(Q326="","",IFERROR(VALUE(TRIM(SUBSTITUTE(SUBSTITUTE(LOWER(Q326),"hrs",""),"hr",""))),"")))),IF(ISNUMBER(Q326),Q326,IF(Q326="","",IFERROR(VALUE(TRIM(SUBSTITUTE(SUBSTITUTE(LOWER(Q326),"hrs",""),"hr",""))),""))))</f>
        <v>2.5</v>
      </c>
      <c r="S326" s="57" t="n">
        <f aca="false">IFERROR(INDEX(RATES!$E$6:$E$28,MATCH(P326,RATES!$A$6:$A$28,0)),0)</f>
        <v>59.11</v>
      </c>
      <c r="T326" s="61" t="n">
        <f aca="false">IF(ISNUMBER(R326),R326,0)*S326</f>
        <v>147.775</v>
      </c>
      <c r="U326" s="61" t="n">
        <f aca="false">T326*INDEX(INPUTS!$H$10:$H$14,MATCH(B326,INPUTS!$A$10:$A$14,0))</f>
        <v>27.338375</v>
      </c>
      <c r="V326" s="61" t="n">
        <f aca="false">N(STACK!K326)</f>
        <v>0</v>
      </c>
      <c r="W326" s="61" t="n">
        <f aca="false">T326+U326+V326</f>
        <v>175.113375</v>
      </c>
      <c r="X326" s="61" t="n">
        <f aca="false">N(STACK!L326)</f>
        <v>0</v>
      </c>
      <c r="Y326" s="61" t="n">
        <f aca="false">W326-X326</f>
        <v>175.113375</v>
      </c>
      <c r="Z326" s="1" t="n">
        <f aca="false">N(STACK!J326)</f>
        <v>0</v>
      </c>
      <c r="AA326" s="1" t="str">
        <f aca="false">TRIM(IF(D326="UNMAPPED","Program not mapped. ","")&amp;IF(OR(K326="UNMAPPED",K326="UNASSIGNED"),"Category needs review. ","")&amp;IF(P326="UNMAPPED","Title not mapped. ","")&amp;IF(AND(P326&lt;&gt;"No staff time",R326=""),"Missing hours. ","")&amp;IF(M326="","Date not readable. ","")&amp;IF(N326="No","Outside fiscal year. ","")&amp;IF(AND(F326="Event",ISNUMBER(R326)),IF(R326&gt;12,"Event hours look high. ",""),"")&amp;IF(G326&gt;0,"See CONFIRM sheet.",""))</f>
        <v/>
      </c>
      <c r="AB326" s="1" t="n">
        <f aca="false">IF(N326="No",0,IF(REVIEW!O326=0,0,IF(G326&gt;0,IF(INDEX(CONFIRM!$J$5:$J$53,G326)&lt;&gt;"",INDEX(CONFIRM!$J$5:$J$53,G326),1),1)))</f>
        <v>1</v>
      </c>
      <c r="AC326" s="1" t="n">
        <f aca="false">IF(AB326=1,IF(COUNTIFS($B$5:B326,B326,$D$5:D326,D326,$AB$5:AB326,1)=1,1,0),0)</f>
        <v>0</v>
      </c>
    </row>
    <row r="327" customFormat="false" ht="15" hidden="false" customHeight="false" outlineLevel="0" collapsed="false">
      <c r="A327" s="48" t="str">
        <f aca="false">STACK!A327</f>
        <v>KVMC-0323</v>
      </c>
      <c r="B327" s="48" t="str">
        <f aca="false">STACK!B327</f>
        <v>KVMC</v>
      </c>
      <c r="C327" s="48" t="str">
        <f aca="false">STACK!E327</f>
        <v>Regional Health Coalition</v>
      </c>
      <c r="D327" s="1" t="str">
        <f aca="false">IFERROR(INDEX(MAP!$J$7:$J$101,MATCH(TRIM(C327),MAP!$I$7:$I$101,0)),"UNMAPPED")</f>
        <v>Regional Health Coalition</v>
      </c>
      <c r="E327" s="1" t="str">
        <f aca="false">IFERROR(INDEX(MAP!$K$7:$K$101,MATCH(TRIM(C327),MAP!$I$7:$I$101,0)),"")</f>
        <v>Community benefit infrastructure</v>
      </c>
      <c r="F327" s="1" t="str">
        <f aca="false">IFERROR(INDEX(MAP!$L$7:$L$101,MATCH(TRIM(C327),MAP!$I$7:$I$101,0)),"")</f>
        <v>Event</v>
      </c>
      <c r="G327" s="1" t="n">
        <f aca="false">IFERROR(MATCH(A327,CONFIRM!$A$5:$A$53,0),0)</f>
        <v>0</v>
      </c>
      <c r="H327" s="48" t="str">
        <f aca="false">STACK!F327</f>
        <v>Community Building - Coalition</v>
      </c>
      <c r="I327" s="1" t="str">
        <f aca="false">IF(G327&gt;0,IF(INDEX(CONFIRM!$I$5:$I$53,G327)&lt;&gt;"",INDEX(CONFIRM!$I$5:$I$53,G327),H327),H327)</f>
        <v>Community Building - Coalition</v>
      </c>
      <c r="J327" s="1" t="str">
        <f aca="false">IFERROR(INDEX(MAP!$F$7:$F$74,MATCH(TRIM(I327),MAP!$E$7:$E$74,0)),"UNMAPPED")</f>
        <v>Community building: coalition building</v>
      </c>
      <c r="K327" s="1" t="str">
        <f aca="false">IFERROR(INDEX(MAP!$G$7:$G$74,MATCH(TRIM(I327),MAP!$E$7:$E$74,0)),"UNMAPPED")</f>
        <v>II-6</v>
      </c>
      <c r="L327" s="49" t="n">
        <f aca="false">STACK!G327</f>
        <v>46071</v>
      </c>
      <c r="M327" s="59" t="n">
        <f aca="false">IF(G327&gt;0,IF(INDEX(CONFIRM!$G$5:$G$53,G327)&lt;&gt;"",INDEX(CONFIRM!$G$5:$G$53,G327),IF(ISNUMBER(L327),L327,IFERROR(DATEVALUE(L327),""))),IF(ISNUMBER(L327),L327,IFERROR(DATEVALUE(L327),"")))</f>
        <v>46071</v>
      </c>
      <c r="N327" s="1" t="str">
        <f aca="false">IF(M327="","Check",IF(AND(M327&gt;=INPUTS!$C$6,M327&lt;=INPUTS!$C$7),"Yes","No"))</f>
        <v>Yes</v>
      </c>
      <c r="O327" s="48" t="str">
        <f aca="false">STACK!H327</f>
        <v>Assoc. Director</v>
      </c>
      <c r="P327" s="1" t="str">
        <f aca="false">IF(G327&gt;0,IF(INDEX(CONFIRM!$H$5:$H$53,G327)&lt;&gt;"",INDEX(CONFIRM!$H$5:$H$53,G327),IFERROR(INDEX(MAP!$B$7:$B$156,MATCH(TRIM(O327),MAP!$A$7:$A$156,0)),"UNMAPPED")),IFERROR(INDEX(MAP!$B$7:$B$156,MATCH(TRIM(O327),MAP!$A$7:$A$156,0)),"UNMAPPED"))</f>
        <v>Director</v>
      </c>
      <c r="Q327" s="48" t="n">
        <f aca="false">STACK!I327</f>
        <v>2</v>
      </c>
      <c r="R327" s="60" t="n">
        <f aca="false">IF(G327&gt;0,IF(INDEX(CONFIRM!$F$5:$F$53,G327)&lt;&gt;"",INDEX(CONFIRM!$F$5:$F$53,G327),IF(ISNUMBER(Q327),Q327,IF(Q327="","",IFERROR(VALUE(TRIM(SUBSTITUTE(SUBSTITUTE(LOWER(Q327),"hrs",""),"hr",""))),"")))),IF(ISNUMBER(Q327),Q327,IF(Q327="","",IFERROR(VALUE(TRIM(SUBSTITUTE(SUBSTITUTE(LOWER(Q327),"hrs",""),"hr",""))),""))))</f>
        <v>2</v>
      </c>
      <c r="S327" s="57" t="n">
        <f aca="false">IFERROR(INDEX(RATES!$E$6:$E$28,MATCH(P327,RATES!$A$6:$A$28,0)),0)</f>
        <v>92.52</v>
      </c>
      <c r="T327" s="61" t="n">
        <f aca="false">IF(ISNUMBER(R327),R327,0)*S327</f>
        <v>185.04</v>
      </c>
      <c r="U327" s="61" t="n">
        <f aca="false">T327*INDEX(INPUTS!$H$10:$H$14,MATCH(B327,INPUTS!$A$10:$A$14,0))</f>
        <v>34.2324</v>
      </c>
      <c r="V327" s="61" t="n">
        <f aca="false">N(STACK!K327)</f>
        <v>75</v>
      </c>
      <c r="W327" s="61" t="n">
        <f aca="false">T327+U327+V327</f>
        <v>294.2724</v>
      </c>
      <c r="X327" s="61" t="n">
        <f aca="false">N(STACK!L327)</f>
        <v>0</v>
      </c>
      <c r="Y327" s="61" t="n">
        <f aca="false">W327-X327</f>
        <v>294.2724</v>
      </c>
      <c r="Z327" s="1" t="n">
        <f aca="false">N(STACK!J327)</f>
        <v>0</v>
      </c>
      <c r="AA327" s="1" t="str">
        <f aca="false">TRIM(IF(D327="UNMAPPED","Program not mapped. ","")&amp;IF(OR(K327="UNMAPPED",K327="UNASSIGNED"),"Category needs review. ","")&amp;IF(P327="UNMAPPED","Title not mapped. ","")&amp;IF(AND(P327&lt;&gt;"No staff time",R327=""),"Missing hours. ","")&amp;IF(M327="","Date not readable. ","")&amp;IF(N327="No","Outside fiscal year. ","")&amp;IF(AND(F327="Event",ISNUMBER(R327)),IF(R327&gt;12,"Event hours look high. ",""),"")&amp;IF(G327&gt;0,"See CONFIRM sheet.",""))</f>
        <v/>
      </c>
      <c r="AB327" s="1" t="n">
        <f aca="false">IF(N327="No",0,IF(REVIEW!O327=0,0,IF(G327&gt;0,IF(INDEX(CONFIRM!$J$5:$J$53,G327)&lt;&gt;"",INDEX(CONFIRM!$J$5:$J$53,G327),1),1)))</f>
        <v>1</v>
      </c>
      <c r="AC327" s="1" t="n">
        <f aca="false">IF(AB327=1,IF(COUNTIFS($B$5:B327,B327,$D$5:D327,D327,$AB$5:AB327,1)=1,1,0),0)</f>
        <v>0</v>
      </c>
    </row>
    <row r="328" customFormat="false" ht="15" hidden="false" customHeight="false" outlineLevel="0" collapsed="false">
      <c r="A328" s="48" t="str">
        <f aca="false">STACK!A328</f>
        <v>KVMC-0324</v>
      </c>
      <c r="B328" s="48" t="str">
        <f aca="false">STACK!B328</f>
        <v>KVMC</v>
      </c>
      <c r="C328" s="48" t="str">
        <f aca="false">STACK!E328</f>
        <v>Diabetes Prevention Classes</v>
      </c>
      <c r="D328" s="1" t="str">
        <f aca="false">IFERROR(INDEX(MAP!$J$7:$J$101,MATCH(TRIM(C328),MAP!$I$7:$I$101,0)),"UNMAPPED")</f>
        <v>Diabetes Prevention Classes</v>
      </c>
      <c r="E328" s="1" t="str">
        <f aca="false">IFERROR(INDEX(MAP!$K$7:$K$101,MATCH(TRIM(C328),MAP!$I$7:$I$101,0)),"")</f>
        <v>Chronic disease prevention</v>
      </c>
      <c r="F328" s="1" t="str">
        <f aca="false">IFERROR(INDEX(MAP!$L$7:$L$101,MATCH(TRIM(C328),MAP!$I$7:$I$101,0)),"")</f>
        <v>Event</v>
      </c>
      <c r="G328" s="1" t="n">
        <f aca="false">IFERROR(MATCH(A328,CONFIRM!$A$5:$A$53,0),0)</f>
        <v>0</v>
      </c>
      <c r="H328" s="48" t="str">
        <f aca="false">STACK!F328</f>
        <v>Community Health Education</v>
      </c>
      <c r="I328" s="1" t="str">
        <f aca="false">IF(G328&gt;0,IF(INDEX(CONFIRM!$I$5:$I$53,G328)&lt;&gt;"",INDEX(CONFIRM!$I$5:$I$53,G328),H328),H328)</f>
        <v>Community Health Education</v>
      </c>
      <c r="J328" s="1" t="str">
        <f aca="false">IFERROR(INDEX(MAP!$F$7:$F$74,MATCH(TRIM(I328),MAP!$E$7:$E$74,0)),"UNMAPPED")</f>
        <v>Community health education</v>
      </c>
      <c r="K328" s="1" t="str">
        <f aca="false">IFERROR(INDEX(MAP!$G$7:$G$74,MATCH(TRIM(I328),MAP!$E$7:$E$74,0)),"UNMAPPED")</f>
        <v>7e</v>
      </c>
      <c r="L328" s="49" t="n">
        <f aca="false">STACK!G328</f>
        <v>46072</v>
      </c>
      <c r="M328" s="59" t="n">
        <f aca="false">IF(G328&gt;0,IF(INDEX(CONFIRM!$G$5:$G$53,G328)&lt;&gt;"",INDEX(CONFIRM!$G$5:$G$53,G328),IF(ISNUMBER(L328),L328,IFERROR(DATEVALUE(L328),""))),IF(ISNUMBER(L328),L328,IFERROR(DATEVALUE(L328),"")))</f>
        <v>46072</v>
      </c>
      <c r="N328" s="1" t="str">
        <f aca="false">IF(M328="","Check",IF(AND(M328&gt;=INPUTS!$C$6,M328&lt;=INPUTS!$C$7),"Yes","No"))</f>
        <v>Yes</v>
      </c>
      <c r="O328" s="48" t="str">
        <f aca="false">STACK!H328</f>
        <v>CHES</v>
      </c>
      <c r="P328" s="1" t="str">
        <f aca="false">IF(G328&gt;0,IF(INDEX(CONFIRM!$H$5:$H$53,G328)&lt;&gt;"",INDEX(CONFIRM!$H$5:$H$53,G328),IFERROR(INDEX(MAP!$B$7:$B$156,MATCH(TRIM(O328),MAP!$A$7:$A$156,0)),"UNMAPPED")),IFERROR(INDEX(MAP!$B$7:$B$156,MATCH(TRIM(O328),MAP!$A$7:$A$156,0)),"UNMAPPED"))</f>
        <v>Health Educator</v>
      </c>
      <c r="Q328" s="48" t="n">
        <f aca="false">STACK!I328</f>
        <v>2.75</v>
      </c>
      <c r="R328" s="60" t="n">
        <f aca="false">IF(G328&gt;0,IF(INDEX(CONFIRM!$F$5:$F$53,G328)&lt;&gt;"",INDEX(CONFIRM!$F$5:$F$53,G328),IF(ISNUMBER(Q328),Q328,IF(Q328="","",IFERROR(VALUE(TRIM(SUBSTITUTE(SUBSTITUTE(LOWER(Q328),"hrs",""),"hr",""))),"")))),IF(ISNUMBER(Q328),Q328,IF(Q328="","",IFERROR(VALUE(TRIM(SUBSTITUTE(SUBSTITUTE(LOWER(Q328),"hrs",""),"hr",""))),""))))</f>
        <v>2.75</v>
      </c>
      <c r="S328" s="57" t="n">
        <f aca="false">IFERROR(INDEX(RATES!$E$6:$E$28,MATCH(P328,RATES!$A$6:$A$28,0)),0)</f>
        <v>37.265</v>
      </c>
      <c r="T328" s="61" t="n">
        <f aca="false">IF(ISNUMBER(R328),R328,0)*S328</f>
        <v>102.47875</v>
      </c>
      <c r="U328" s="61" t="n">
        <f aca="false">T328*INDEX(INPUTS!$H$10:$H$14,MATCH(B328,INPUTS!$A$10:$A$14,0))</f>
        <v>18.95856875</v>
      </c>
      <c r="V328" s="61" t="n">
        <f aca="false">N(STACK!K328)</f>
        <v>90</v>
      </c>
      <c r="W328" s="61" t="n">
        <f aca="false">T328+U328+V328</f>
        <v>211.43731875</v>
      </c>
      <c r="X328" s="61" t="n">
        <f aca="false">N(STACK!L328)</f>
        <v>0</v>
      </c>
      <c r="Y328" s="61" t="n">
        <f aca="false">W328-X328</f>
        <v>211.43731875</v>
      </c>
      <c r="Z328" s="1" t="n">
        <f aca="false">N(STACK!J328)</f>
        <v>13</v>
      </c>
      <c r="AA328" s="1" t="str">
        <f aca="false">TRIM(IF(D328="UNMAPPED","Program not mapped. ","")&amp;IF(OR(K328="UNMAPPED",K328="UNASSIGNED"),"Category needs review. ","")&amp;IF(P328="UNMAPPED","Title not mapped. ","")&amp;IF(AND(P328&lt;&gt;"No staff time",R328=""),"Missing hours. ","")&amp;IF(M328="","Date not readable. ","")&amp;IF(N328="No","Outside fiscal year. ","")&amp;IF(AND(F328="Event",ISNUMBER(R328)),IF(R328&gt;12,"Event hours look high. ",""),"")&amp;IF(G328&gt;0,"See CONFIRM sheet.",""))</f>
        <v/>
      </c>
      <c r="AB328" s="1" t="n">
        <f aca="false">IF(N328="No",0,IF(REVIEW!O328=0,0,IF(G328&gt;0,IF(INDEX(CONFIRM!$J$5:$J$53,G328)&lt;&gt;"",INDEX(CONFIRM!$J$5:$J$53,G328),1),1)))</f>
        <v>1</v>
      </c>
      <c r="AC328" s="1" t="n">
        <f aca="false">IF(AB328=1,IF(COUNTIFS($B$5:B328,B328,$D$5:D328,D328,$AB$5:AB328,1)=1,1,0),0)</f>
        <v>0</v>
      </c>
    </row>
    <row r="329" customFormat="false" ht="15" hidden="false" customHeight="false" outlineLevel="0" collapsed="false">
      <c r="A329" s="48" t="str">
        <f aca="false">STACK!A329</f>
        <v>KVMC-0325</v>
      </c>
      <c r="B329" s="48" t="str">
        <f aca="false">STACK!B329</f>
        <v>KVMC</v>
      </c>
      <c r="C329" s="48" t="str">
        <f aca="false">STACK!E329</f>
        <v>Diabetes Prevention Classes</v>
      </c>
      <c r="D329" s="1" t="str">
        <f aca="false">IFERROR(INDEX(MAP!$J$7:$J$101,MATCH(TRIM(C329),MAP!$I$7:$I$101,0)),"UNMAPPED")</f>
        <v>Diabetes Prevention Classes</v>
      </c>
      <c r="E329" s="1" t="str">
        <f aca="false">IFERROR(INDEX(MAP!$K$7:$K$101,MATCH(TRIM(C329),MAP!$I$7:$I$101,0)),"")</f>
        <v>Chronic disease prevention</v>
      </c>
      <c r="F329" s="1" t="str">
        <f aca="false">IFERROR(INDEX(MAP!$L$7:$L$101,MATCH(TRIM(C329),MAP!$I$7:$I$101,0)),"")</f>
        <v>Event</v>
      </c>
      <c r="G329" s="1" t="n">
        <f aca="false">IFERROR(MATCH(A329,CONFIRM!$A$5:$A$53,0),0)</f>
        <v>0</v>
      </c>
      <c r="H329" s="48" t="str">
        <f aca="false">STACK!F329</f>
        <v>Community Health Education</v>
      </c>
      <c r="I329" s="1" t="str">
        <f aca="false">IF(G329&gt;0,IF(INDEX(CONFIRM!$I$5:$I$53,G329)&lt;&gt;"",INDEX(CONFIRM!$I$5:$I$53,G329),H329),H329)</f>
        <v>Community Health Education</v>
      </c>
      <c r="J329" s="1" t="str">
        <f aca="false">IFERROR(INDEX(MAP!$F$7:$F$74,MATCH(TRIM(I329),MAP!$E$7:$E$74,0)),"UNMAPPED")</f>
        <v>Community health education</v>
      </c>
      <c r="K329" s="1" t="str">
        <f aca="false">IFERROR(INDEX(MAP!$G$7:$G$74,MATCH(TRIM(I329),MAP!$E$7:$E$74,0)),"UNMAPPED")</f>
        <v>7e</v>
      </c>
      <c r="L329" s="49" t="n">
        <f aca="false">STACK!G329</f>
        <v>46072</v>
      </c>
      <c r="M329" s="59" t="n">
        <f aca="false">IF(G329&gt;0,IF(INDEX(CONFIRM!$G$5:$G$53,G329)&lt;&gt;"",INDEX(CONFIRM!$G$5:$G$53,G329),IF(ISNUMBER(L329),L329,IFERROR(DATEVALUE(L329),""))),IF(ISNUMBER(L329),L329,IFERROR(DATEVALUE(L329),"")))</f>
        <v>46072</v>
      </c>
      <c r="N329" s="1" t="str">
        <f aca="false">IF(M329="","Check",IF(AND(M329&gt;=INPUTS!$C$6,M329&lt;=INPUTS!$C$7),"Yes","No"))</f>
        <v>Yes</v>
      </c>
      <c r="O329" s="48" t="str">
        <f aca="false">STACK!H329</f>
        <v>Nutritionist</v>
      </c>
      <c r="P329" s="1" t="str">
        <f aca="false">IF(G329&gt;0,IF(INDEX(CONFIRM!$H$5:$H$53,G329)&lt;&gt;"",INDEX(CONFIRM!$H$5:$H$53,G329),IFERROR(INDEX(MAP!$B$7:$B$156,MATCH(TRIM(O329),MAP!$A$7:$A$156,0)),"UNMAPPED")),IFERROR(INDEX(MAP!$B$7:$B$156,MATCH(TRIM(O329),MAP!$A$7:$A$156,0)),"UNMAPPED"))</f>
        <v>Registered Dietitian</v>
      </c>
      <c r="Q329" s="48" t="n">
        <f aca="false">STACK!I329</f>
        <v>1.5</v>
      </c>
      <c r="R329" s="60" t="n">
        <f aca="false">IF(G329&gt;0,IF(INDEX(CONFIRM!$F$5:$F$53,G329)&lt;&gt;"",INDEX(CONFIRM!$F$5:$F$53,G329),IF(ISNUMBER(Q329),Q329,IF(Q329="","",IFERROR(VALUE(TRIM(SUBSTITUTE(SUBSTITUTE(LOWER(Q329),"hrs",""),"hr",""))),"")))),IF(ISNUMBER(Q329),Q329,IF(Q329="","",IFERROR(VALUE(TRIM(SUBSTITUTE(SUBSTITUTE(LOWER(Q329),"hrs",""),"hr",""))),""))))</f>
        <v>1.5</v>
      </c>
      <c r="S329" s="57" t="n">
        <f aca="false">IFERROR(INDEX(RATES!$E$6:$E$28,MATCH(P329,RATES!$A$6:$A$28,0)),0)</f>
        <v>46.9025</v>
      </c>
      <c r="T329" s="61" t="n">
        <f aca="false">IF(ISNUMBER(R329),R329,0)*S329</f>
        <v>70.35375</v>
      </c>
      <c r="U329" s="61" t="n">
        <f aca="false">T329*INDEX(INPUTS!$H$10:$H$14,MATCH(B329,INPUTS!$A$10:$A$14,0))</f>
        <v>13.01544375</v>
      </c>
      <c r="V329" s="61" t="n">
        <f aca="false">N(STACK!K329)</f>
        <v>0</v>
      </c>
      <c r="W329" s="61" t="n">
        <f aca="false">T329+U329+V329</f>
        <v>83.36919375</v>
      </c>
      <c r="X329" s="61" t="n">
        <f aca="false">N(STACK!L329)</f>
        <v>0</v>
      </c>
      <c r="Y329" s="61" t="n">
        <f aca="false">W329-X329</f>
        <v>83.36919375</v>
      </c>
      <c r="Z329" s="1" t="n">
        <f aca="false">N(STACK!J329)</f>
        <v>0</v>
      </c>
      <c r="AA329" s="1" t="str">
        <f aca="false">TRIM(IF(D329="UNMAPPED","Program not mapped. ","")&amp;IF(OR(K329="UNMAPPED",K329="UNASSIGNED"),"Category needs review. ","")&amp;IF(P329="UNMAPPED","Title not mapped. ","")&amp;IF(AND(P329&lt;&gt;"No staff time",R329=""),"Missing hours. ","")&amp;IF(M329="","Date not readable. ","")&amp;IF(N329="No","Outside fiscal year. ","")&amp;IF(AND(F329="Event",ISNUMBER(R329)),IF(R329&gt;12,"Event hours look high. ",""),"")&amp;IF(G329&gt;0,"See CONFIRM sheet.",""))</f>
        <v/>
      </c>
      <c r="AB329" s="1" t="n">
        <f aca="false">IF(N329="No",0,IF(REVIEW!O329=0,0,IF(G329&gt;0,IF(INDEX(CONFIRM!$J$5:$J$53,G329)&lt;&gt;"",INDEX(CONFIRM!$J$5:$J$53,G329),1),1)))</f>
        <v>1</v>
      </c>
      <c r="AC329" s="1" t="n">
        <f aca="false">IF(AB329=1,IF(COUNTIFS($B$5:B329,B329,$D$5:D329,D329,$AB$5:AB329,1)=1,1,0),0)</f>
        <v>0</v>
      </c>
    </row>
    <row r="330" customFormat="false" ht="15" hidden="false" customHeight="false" outlineLevel="0" collapsed="false">
      <c r="A330" s="48" t="str">
        <f aca="false">STACK!A330</f>
        <v>KVMC-0326</v>
      </c>
      <c r="B330" s="48" t="str">
        <f aca="false">STACK!B330</f>
        <v>KVMC</v>
      </c>
      <c r="C330" s="48" t="str">
        <f aca="false">STACK!E330</f>
        <v>Childbirth and Newborn Care Classes</v>
      </c>
      <c r="D330" s="1" t="str">
        <f aca="false">IFERROR(INDEX(MAP!$J$7:$J$101,MATCH(TRIM(C330),MAP!$I$7:$I$101,0)),"UNMAPPED")</f>
        <v>Childbirth and Newborn Care Classes</v>
      </c>
      <c r="E330" s="1" t="str">
        <f aca="false">IFERROR(INDEX(MAP!$K$7:$K$101,MATCH(TRIM(C330),MAP!$I$7:$I$101,0)),"")</f>
        <v>Maternal and child health</v>
      </c>
      <c r="F330" s="1" t="str">
        <f aca="false">IFERROR(INDEX(MAP!$L$7:$L$101,MATCH(TRIM(C330),MAP!$I$7:$I$101,0)),"")</f>
        <v>Event</v>
      </c>
      <c r="G330" s="1" t="n">
        <f aca="false">IFERROR(MATCH(A330,CONFIRM!$A$5:$A$53,0),0)</f>
        <v>0</v>
      </c>
      <c r="H330" s="48" t="str">
        <f aca="false">STACK!F330</f>
        <v>Community Health Education</v>
      </c>
      <c r="I330" s="1" t="str">
        <f aca="false">IF(G330&gt;0,IF(INDEX(CONFIRM!$I$5:$I$53,G330)&lt;&gt;"",INDEX(CONFIRM!$I$5:$I$53,G330),H330),H330)</f>
        <v>Community Health Education</v>
      </c>
      <c r="J330" s="1" t="str">
        <f aca="false">IFERROR(INDEX(MAP!$F$7:$F$74,MATCH(TRIM(I330),MAP!$E$7:$E$74,0)),"UNMAPPED")</f>
        <v>Community health education</v>
      </c>
      <c r="K330" s="1" t="str">
        <f aca="false">IFERROR(INDEX(MAP!$G$7:$G$74,MATCH(TRIM(I330),MAP!$E$7:$E$74,0)),"UNMAPPED")</f>
        <v>7e</v>
      </c>
      <c r="L330" s="49" t="n">
        <f aca="false">STACK!G330</f>
        <v>46073</v>
      </c>
      <c r="M330" s="59" t="n">
        <f aca="false">IF(G330&gt;0,IF(INDEX(CONFIRM!$G$5:$G$53,G330)&lt;&gt;"",INDEX(CONFIRM!$G$5:$G$53,G330),IF(ISNUMBER(L330),L330,IFERROR(DATEVALUE(L330),""))),IF(ISNUMBER(L330),L330,IFERROR(DATEVALUE(L330),"")))</f>
        <v>46073</v>
      </c>
      <c r="N330" s="1" t="str">
        <f aca="false">IF(M330="","Check",IF(AND(M330&gt;=INPUTS!$C$6,M330&lt;=INPUTS!$C$7),"Yes","No"))</f>
        <v>Yes</v>
      </c>
      <c r="O330" s="48" t="str">
        <f aca="false">STACK!H330</f>
        <v>Educator, Nursing </v>
      </c>
      <c r="P330" s="1" t="str">
        <f aca="false">IF(G330&gt;0,IF(INDEX(CONFIRM!$H$5:$H$53,G330)&lt;&gt;"",INDEX(CONFIRM!$H$5:$H$53,G330),IFERROR(INDEX(MAP!$B$7:$B$156,MATCH(TRIM(O330),MAP!$A$7:$A$156,0)),"UNMAPPED")),IFERROR(INDEX(MAP!$B$7:$B$156,MATCH(TRIM(O330),MAP!$A$7:$A$156,0)),"UNMAPPED"))</f>
        <v>Clinical Nurse Educator</v>
      </c>
      <c r="Q330" s="48" t="n">
        <f aca="false">STACK!I330</f>
        <v>3.5</v>
      </c>
      <c r="R330" s="60" t="n">
        <f aca="false">IF(G330&gt;0,IF(INDEX(CONFIRM!$F$5:$F$53,G330)&lt;&gt;"",INDEX(CONFIRM!$F$5:$F$53,G330),IF(ISNUMBER(Q330),Q330,IF(Q330="","",IFERROR(VALUE(TRIM(SUBSTITUTE(SUBSTITUTE(LOWER(Q330),"hrs",""),"hr",""))),"")))),IF(ISNUMBER(Q330),Q330,IF(Q330="","",IFERROR(VALUE(TRIM(SUBSTITUTE(SUBSTITUTE(LOWER(Q330),"hrs",""),"hr",""))),""))))</f>
        <v>3.5</v>
      </c>
      <c r="S330" s="57" t="n">
        <f aca="false">IFERROR(INDEX(RATES!$E$6:$E$28,MATCH(P330,RATES!$A$6:$A$28,0)),0)</f>
        <v>62.965</v>
      </c>
      <c r="T330" s="61" t="n">
        <f aca="false">IF(ISNUMBER(R330),R330,0)*S330</f>
        <v>220.3775</v>
      </c>
      <c r="U330" s="61" t="n">
        <f aca="false">T330*INDEX(INPUTS!$H$10:$H$14,MATCH(B330,INPUTS!$A$10:$A$14,0))</f>
        <v>40.7698375</v>
      </c>
      <c r="V330" s="61" t="n">
        <f aca="false">N(STACK!K330)</f>
        <v>200</v>
      </c>
      <c r="W330" s="61" t="n">
        <f aca="false">T330+U330+V330</f>
        <v>461.1473375</v>
      </c>
      <c r="X330" s="61" t="n">
        <f aca="false">N(STACK!L330)</f>
        <v>0</v>
      </c>
      <c r="Y330" s="61" t="n">
        <f aca="false">W330-X330</f>
        <v>461.1473375</v>
      </c>
      <c r="Z330" s="1" t="n">
        <f aca="false">N(STACK!J330)</f>
        <v>19</v>
      </c>
      <c r="AA330" s="1" t="str">
        <f aca="false">TRIM(IF(D330="UNMAPPED","Program not mapped. ","")&amp;IF(OR(K330="UNMAPPED",K330="UNASSIGNED"),"Category needs review. ","")&amp;IF(P330="UNMAPPED","Title not mapped. ","")&amp;IF(AND(P330&lt;&gt;"No staff time",R330=""),"Missing hours. ","")&amp;IF(M330="","Date not readable. ","")&amp;IF(N330="No","Outside fiscal year. ","")&amp;IF(AND(F330="Event",ISNUMBER(R330)),IF(R330&gt;12,"Event hours look high. ",""),"")&amp;IF(G330&gt;0,"See CONFIRM sheet.",""))</f>
        <v/>
      </c>
      <c r="AB330" s="1" t="n">
        <f aca="false">IF(N330="No",0,IF(REVIEW!O330=0,0,IF(G330&gt;0,IF(INDEX(CONFIRM!$J$5:$J$53,G330)&lt;&gt;"",INDEX(CONFIRM!$J$5:$J$53,G330),1),1)))</f>
        <v>1</v>
      </c>
      <c r="AC330" s="1" t="n">
        <f aca="false">IF(AB330=1,IF(COUNTIFS($B$5:B330,B330,$D$5:D330,D330,$AB$5:AB330,1)=1,1,0),0)</f>
        <v>0</v>
      </c>
    </row>
    <row r="331" customFormat="false" ht="15" hidden="false" customHeight="false" outlineLevel="0" collapsed="false">
      <c r="A331" s="48" t="str">
        <f aca="false">STACK!A331</f>
        <v>KVMC-0327</v>
      </c>
      <c r="B331" s="48" t="str">
        <f aca="false">STACK!B331</f>
        <v>KVMC</v>
      </c>
      <c r="C331" s="48" t="str">
        <f aca="false">STACK!E331</f>
        <v>Diabetes Prevention Classes</v>
      </c>
      <c r="D331" s="1" t="str">
        <f aca="false">IFERROR(INDEX(MAP!$J$7:$J$101,MATCH(TRIM(C331),MAP!$I$7:$I$101,0)),"UNMAPPED")</f>
        <v>Diabetes Prevention Classes</v>
      </c>
      <c r="E331" s="1" t="str">
        <f aca="false">IFERROR(INDEX(MAP!$K$7:$K$101,MATCH(TRIM(C331),MAP!$I$7:$I$101,0)),"")</f>
        <v>Chronic disease prevention</v>
      </c>
      <c r="F331" s="1" t="str">
        <f aca="false">IFERROR(INDEX(MAP!$L$7:$L$101,MATCH(TRIM(C331),MAP!$I$7:$I$101,0)),"")</f>
        <v>Event</v>
      </c>
      <c r="G331" s="1" t="n">
        <f aca="false">IFERROR(MATCH(A331,CONFIRM!$A$5:$A$53,0),0)</f>
        <v>0</v>
      </c>
      <c r="H331" s="48" t="str">
        <f aca="false">STACK!F331</f>
        <v>Community Health Education</v>
      </c>
      <c r="I331" s="1" t="str">
        <f aca="false">IF(G331&gt;0,IF(INDEX(CONFIRM!$I$5:$I$53,G331)&lt;&gt;"",INDEX(CONFIRM!$I$5:$I$53,G331),H331),H331)</f>
        <v>Community Health Education</v>
      </c>
      <c r="J331" s="1" t="str">
        <f aca="false">IFERROR(INDEX(MAP!$F$7:$F$74,MATCH(TRIM(I331),MAP!$E$7:$E$74,0)),"UNMAPPED")</f>
        <v>Community health education</v>
      </c>
      <c r="K331" s="1" t="str">
        <f aca="false">IFERROR(INDEX(MAP!$G$7:$G$74,MATCH(TRIM(I331),MAP!$E$7:$E$74,0)),"UNMAPPED")</f>
        <v>7e</v>
      </c>
      <c r="L331" s="49" t="n">
        <f aca="false">STACK!G331</f>
        <v>46074</v>
      </c>
      <c r="M331" s="59" t="n">
        <f aca="false">IF(G331&gt;0,IF(INDEX(CONFIRM!$G$5:$G$53,G331)&lt;&gt;"",INDEX(CONFIRM!$G$5:$G$53,G331),IF(ISNUMBER(L331),L331,IFERROR(DATEVALUE(L331),""))),IF(ISNUMBER(L331),L331,IFERROR(DATEVALUE(L331),"")))</f>
        <v>46074</v>
      </c>
      <c r="N331" s="1" t="str">
        <f aca="false">IF(M331="","Check",IF(AND(M331&gt;=INPUTS!$C$6,M331&lt;=INPUTS!$C$7),"Yes","No"))</f>
        <v>Yes</v>
      </c>
      <c r="O331" s="48" t="str">
        <f aca="false">STACK!H331</f>
        <v>Hlth Educator</v>
      </c>
      <c r="P331" s="1" t="str">
        <f aca="false">IF(G331&gt;0,IF(INDEX(CONFIRM!$H$5:$H$53,G331)&lt;&gt;"",INDEX(CONFIRM!$H$5:$H$53,G331),IFERROR(INDEX(MAP!$B$7:$B$156,MATCH(TRIM(O331),MAP!$A$7:$A$156,0)),"UNMAPPED")),IFERROR(INDEX(MAP!$B$7:$B$156,MATCH(TRIM(O331),MAP!$A$7:$A$156,0)),"UNMAPPED"))</f>
        <v>Health Educator</v>
      </c>
      <c r="Q331" s="48" t="n">
        <f aca="false">STACK!I331</f>
        <v>3</v>
      </c>
      <c r="R331" s="60" t="n">
        <f aca="false">IF(G331&gt;0,IF(INDEX(CONFIRM!$F$5:$F$53,G331)&lt;&gt;"",INDEX(CONFIRM!$F$5:$F$53,G331),IF(ISNUMBER(Q331),Q331,IF(Q331="","",IFERROR(VALUE(TRIM(SUBSTITUTE(SUBSTITUTE(LOWER(Q331),"hrs",""),"hr",""))),"")))),IF(ISNUMBER(Q331),Q331,IF(Q331="","",IFERROR(VALUE(TRIM(SUBSTITUTE(SUBSTITUTE(LOWER(Q331),"hrs",""),"hr",""))),""))))</f>
        <v>3</v>
      </c>
      <c r="S331" s="57" t="n">
        <f aca="false">IFERROR(INDEX(RATES!$E$6:$E$28,MATCH(P331,RATES!$A$6:$A$28,0)),0)</f>
        <v>37.265</v>
      </c>
      <c r="T331" s="61" t="n">
        <f aca="false">IF(ISNUMBER(R331),R331,0)*S331</f>
        <v>111.795</v>
      </c>
      <c r="U331" s="61" t="n">
        <f aca="false">T331*INDEX(INPUTS!$H$10:$H$14,MATCH(B331,INPUTS!$A$10:$A$14,0))</f>
        <v>20.682075</v>
      </c>
      <c r="V331" s="61" t="n">
        <f aca="false">N(STACK!K331)</f>
        <v>90</v>
      </c>
      <c r="W331" s="61" t="n">
        <f aca="false">T331+U331+V331</f>
        <v>222.477075</v>
      </c>
      <c r="X331" s="61" t="n">
        <f aca="false">N(STACK!L331)</f>
        <v>0</v>
      </c>
      <c r="Y331" s="61" t="n">
        <f aca="false">W331-X331</f>
        <v>222.477075</v>
      </c>
      <c r="Z331" s="1" t="n">
        <f aca="false">N(STACK!J331)</f>
        <v>10</v>
      </c>
      <c r="AA331" s="1" t="str">
        <f aca="false">TRIM(IF(D331="UNMAPPED","Program not mapped. ","")&amp;IF(OR(K331="UNMAPPED",K331="UNASSIGNED"),"Category needs review. ","")&amp;IF(P331="UNMAPPED","Title not mapped. ","")&amp;IF(AND(P331&lt;&gt;"No staff time",R331=""),"Missing hours. ","")&amp;IF(M331="","Date not readable. ","")&amp;IF(N331="No","Outside fiscal year. ","")&amp;IF(AND(F331="Event",ISNUMBER(R331)),IF(R331&gt;12,"Event hours look high. ",""),"")&amp;IF(G331&gt;0,"See CONFIRM sheet.",""))</f>
        <v/>
      </c>
      <c r="AB331" s="1" t="n">
        <f aca="false">IF(N331="No",0,IF(REVIEW!O331=0,0,IF(G331&gt;0,IF(INDEX(CONFIRM!$J$5:$J$53,G331)&lt;&gt;"",INDEX(CONFIRM!$J$5:$J$53,G331),1),1)))</f>
        <v>1</v>
      </c>
      <c r="AC331" s="1" t="n">
        <f aca="false">IF(AB331=1,IF(COUNTIFS($B$5:B331,B331,$D$5:D331,D331,$AB$5:AB331,1)=1,1,0),0)</f>
        <v>0</v>
      </c>
    </row>
    <row r="332" customFormat="false" ht="15" hidden="false" customHeight="false" outlineLevel="0" collapsed="false">
      <c r="A332" s="48" t="str">
        <f aca="false">STACK!A332</f>
        <v>KVMC-0328</v>
      </c>
      <c r="B332" s="48" t="str">
        <f aca="false">STACK!B332</f>
        <v>KVMC</v>
      </c>
      <c r="C332" s="48" t="str">
        <f aca="false">STACK!E332</f>
        <v>Diabetes Prevention Classes</v>
      </c>
      <c r="D332" s="1" t="str">
        <f aca="false">IFERROR(INDEX(MAP!$J$7:$J$101,MATCH(TRIM(C332),MAP!$I$7:$I$101,0)),"UNMAPPED")</f>
        <v>Diabetes Prevention Classes</v>
      </c>
      <c r="E332" s="1" t="str">
        <f aca="false">IFERROR(INDEX(MAP!$K$7:$K$101,MATCH(TRIM(C332),MAP!$I$7:$I$101,0)),"")</f>
        <v>Chronic disease prevention</v>
      </c>
      <c r="F332" s="1" t="str">
        <f aca="false">IFERROR(INDEX(MAP!$L$7:$L$101,MATCH(TRIM(C332),MAP!$I$7:$I$101,0)),"")</f>
        <v>Event</v>
      </c>
      <c r="G332" s="1" t="n">
        <f aca="false">IFERROR(MATCH(A332,CONFIRM!$A$5:$A$53,0),0)</f>
        <v>0</v>
      </c>
      <c r="H332" s="48" t="str">
        <f aca="false">STACK!F332</f>
        <v>Community Health Education</v>
      </c>
      <c r="I332" s="1" t="str">
        <f aca="false">IF(G332&gt;0,IF(INDEX(CONFIRM!$I$5:$I$53,G332)&lt;&gt;"",INDEX(CONFIRM!$I$5:$I$53,G332),H332),H332)</f>
        <v>Community Health Education</v>
      </c>
      <c r="J332" s="1" t="str">
        <f aca="false">IFERROR(INDEX(MAP!$F$7:$F$74,MATCH(TRIM(I332),MAP!$E$7:$E$74,0)),"UNMAPPED")</f>
        <v>Community health education</v>
      </c>
      <c r="K332" s="1" t="str">
        <f aca="false">IFERROR(INDEX(MAP!$G$7:$G$74,MATCH(TRIM(I332),MAP!$E$7:$E$74,0)),"UNMAPPED")</f>
        <v>7e</v>
      </c>
      <c r="L332" s="49" t="n">
        <f aca="false">STACK!G332</f>
        <v>46074</v>
      </c>
      <c r="M332" s="59" t="n">
        <f aca="false">IF(G332&gt;0,IF(INDEX(CONFIRM!$G$5:$G$53,G332)&lt;&gt;"",INDEX(CONFIRM!$G$5:$G$53,G332),IF(ISNUMBER(L332),L332,IFERROR(DATEVALUE(L332),""))),IF(ISNUMBER(L332),L332,IFERROR(DATEVALUE(L332),"")))</f>
        <v>46074</v>
      </c>
      <c r="N332" s="1" t="str">
        <f aca="false">IF(M332="","Check",IF(AND(M332&gt;=INPUTS!$C$6,M332&lt;=INPUTS!$C$7),"Yes","No"))</f>
        <v>Yes</v>
      </c>
      <c r="O332" s="48" t="str">
        <f aca="false">STACK!H332</f>
        <v>Registered Dietitian</v>
      </c>
      <c r="P332" s="1" t="str">
        <f aca="false">IF(G332&gt;0,IF(INDEX(CONFIRM!$H$5:$H$53,G332)&lt;&gt;"",INDEX(CONFIRM!$H$5:$H$53,G332),IFERROR(INDEX(MAP!$B$7:$B$156,MATCH(TRIM(O332),MAP!$A$7:$A$156,0)),"UNMAPPED")),IFERROR(INDEX(MAP!$B$7:$B$156,MATCH(TRIM(O332),MAP!$A$7:$A$156,0)),"UNMAPPED"))</f>
        <v>Registered Dietitian</v>
      </c>
      <c r="Q332" s="48" t="n">
        <f aca="false">STACK!I332</f>
        <v>1.5</v>
      </c>
      <c r="R332" s="60" t="n">
        <f aca="false">IF(G332&gt;0,IF(INDEX(CONFIRM!$F$5:$F$53,G332)&lt;&gt;"",INDEX(CONFIRM!$F$5:$F$53,G332),IF(ISNUMBER(Q332),Q332,IF(Q332="","",IFERROR(VALUE(TRIM(SUBSTITUTE(SUBSTITUTE(LOWER(Q332),"hrs",""),"hr",""))),"")))),IF(ISNUMBER(Q332),Q332,IF(Q332="","",IFERROR(VALUE(TRIM(SUBSTITUTE(SUBSTITUTE(LOWER(Q332),"hrs",""),"hr",""))),""))))</f>
        <v>1.5</v>
      </c>
      <c r="S332" s="57" t="n">
        <f aca="false">IFERROR(INDEX(RATES!$E$6:$E$28,MATCH(P332,RATES!$A$6:$A$28,0)),0)</f>
        <v>46.9025</v>
      </c>
      <c r="T332" s="61" t="n">
        <f aca="false">IF(ISNUMBER(R332),R332,0)*S332</f>
        <v>70.35375</v>
      </c>
      <c r="U332" s="61" t="n">
        <f aca="false">T332*INDEX(INPUTS!$H$10:$H$14,MATCH(B332,INPUTS!$A$10:$A$14,0))</f>
        <v>13.01544375</v>
      </c>
      <c r="V332" s="61" t="n">
        <f aca="false">N(STACK!K332)</f>
        <v>0</v>
      </c>
      <c r="W332" s="61" t="n">
        <f aca="false">T332+U332+V332</f>
        <v>83.36919375</v>
      </c>
      <c r="X332" s="61" t="n">
        <f aca="false">N(STACK!L332)</f>
        <v>0</v>
      </c>
      <c r="Y332" s="61" t="n">
        <f aca="false">W332-X332</f>
        <v>83.36919375</v>
      </c>
      <c r="Z332" s="1" t="n">
        <f aca="false">N(STACK!J332)</f>
        <v>0</v>
      </c>
      <c r="AA332" s="1" t="str">
        <f aca="false">TRIM(IF(D332="UNMAPPED","Program not mapped. ","")&amp;IF(OR(K332="UNMAPPED",K332="UNASSIGNED"),"Category needs review. ","")&amp;IF(P332="UNMAPPED","Title not mapped. ","")&amp;IF(AND(P332&lt;&gt;"No staff time",R332=""),"Missing hours. ","")&amp;IF(M332="","Date not readable. ","")&amp;IF(N332="No","Outside fiscal year. ","")&amp;IF(AND(F332="Event",ISNUMBER(R332)),IF(R332&gt;12,"Event hours look high. ",""),"")&amp;IF(G332&gt;0,"See CONFIRM sheet.",""))</f>
        <v/>
      </c>
      <c r="AB332" s="1" t="n">
        <f aca="false">IF(N332="No",0,IF(REVIEW!O332=0,0,IF(G332&gt;0,IF(INDEX(CONFIRM!$J$5:$J$53,G332)&lt;&gt;"",INDEX(CONFIRM!$J$5:$J$53,G332),1),1)))</f>
        <v>1</v>
      </c>
      <c r="AC332" s="1" t="n">
        <f aca="false">IF(AB332=1,IF(COUNTIFS($B$5:B332,B332,$D$5:D332,D332,$AB$5:AB332,1)=1,1,0),0)</f>
        <v>0</v>
      </c>
    </row>
    <row r="333" customFormat="false" ht="15" hidden="false" customHeight="false" outlineLevel="0" collapsed="false">
      <c r="A333" s="48" t="str">
        <f aca="false">STACK!A333</f>
        <v>KVMC-0329</v>
      </c>
      <c r="B333" s="48" t="str">
        <f aca="false">STACK!B333</f>
        <v>KVMC</v>
      </c>
      <c r="C333" s="48" t="str">
        <f aca="false">STACK!E333</f>
        <v>Naloxone Training and Distribution</v>
      </c>
      <c r="D333" s="1" t="str">
        <f aca="false">IFERROR(INDEX(MAP!$J$7:$J$101,MATCH(TRIM(C333),MAP!$I$7:$I$101,0)),"UNMAPPED")</f>
        <v>Naloxone Training and Distribution</v>
      </c>
      <c r="E333" s="1" t="str">
        <f aca="false">IFERROR(INDEX(MAP!$K$7:$K$101,MATCH(TRIM(C333),MAP!$I$7:$I$101,0)),"")</f>
        <v>Behavioral health</v>
      </c>
      <c r="F333" s="1" t="str">
        <f aca="false">IFERROR(INDEX(MAP!$L$7:$L$101,MATCH(TRIM(C333),MAP!$I$7:$I$101,0)),"")</f>
        <v>Event</v>
      </c>
      <c r="G333" s="1" t="n">
        <f aca="false">IFERROR(MATCH(A333,CONFIRM!$A$5:$A$53,0),0)</f>
        <v>0</v>
      </c>
      <c r="H333" s="48" t="str">
        <f aca="false">STACK!F333</f>
        <v>Community Health Education</v>
      </c>
      <c r="I333" s="1" t="str">
        <f aca="false">IF(G333&gt;0,IF(INDEX(CONFIRM!$I$5:$I$53,G333)&lt;&gt;"",INDEX(CONFIRM!$I$5:$I$53,G333),H333),H333)</f>
        <v>Community Health Education</v>
      </c>
      <c r="J333" s="1" t="str">
        <f aca="false">IFERROR(INDEX(MAP!$F$7:$F$74,MATCH(TRIM(I333),MAP!$E$7:$E$74,0)),"UNMAPPED")</f>
        <v>Community health education</v>
      </c>
      <c r="K333" s="1" t="str">
        <f aca="false">IFERROR(INDEX(MAP!$G$7:$G$74,MATCH(TRIM(I333),MAP!$E$7:$E$74,0)),"UNMAPPED")</f>
        <v>7e</v>
      </c>
      <c r="L333" s="49" t="n">
        <f aca="false">STACK!G333</f>
        <v>46077</v>
      </c>
      <c r="M333" s="59" t="n">
        <f aca="false">IF(G333&gt;0,IF(INDEX(CONFIRM!$G$5:$G$53,G333)&lt;&gt;"",INDEX(CONFIRM!$G$5:$G$53,G333),IF(ISNUMBER(L333),L333,IFERROR(DATEVALUE(L333),""))),IF(ISNUMBER(L333),L333,IFERROR(DATEVALUE(L333),"")))</f>
        <v>46077</v>
      </c>
      <c r="N333" s="1" t="str">
        <f aca="false">IF(M333="","Check",IF(AND(M333&gt;=INPUTS!$C$6,M333&lt;=INPUTS!$C$7),"Yes","No"))</f>
        <v>Yes</v>
      </c>
      <c r="O333" s="48" t="str">
        <f aca="false">STACK!H333</f>
        <v> CHES</v>
      </c>
      <c r="P333" s="1" t="str">
        <f aca="false">IF(G333&gt;0,IF(INDEX(CONFIRM!$H$5:$H$53,G333)&lt;&gt;"",INDEX(CONFIRM!$H$5:$H$53,G333),IFERROR(INDEX(MAP!$B$7:$B$156,MATCH(TRIM(O333),MAP!$A$7:$A$156,0)),"UNMAPPED")),IFERROR(INDEX(MAP!$B$7:$B$156,MATCH(TRIM(O333),MAP!$A$7:$A$156,0)),"UNMAPPED"))</f>
        <v>Health Educator</v>
      </c>
      <c r="Q333" s="48" t="n">
        <f aca="false">STACK!I333</f>
        <v>2.25</v>
      </c>
      <c r="R333" s="60" t="n">
        <f aca="false">IF(G333&gt;0,IF(INDEX(CONFIRM!$F$5:$F$53,G333)&lt;&gt;"",INDEX(CONFIRM!$F$5:$F$53,G333),IF(ISNUMBER(Q333),Q333,IF(Q333="","",IFERROR(VALUE(TRIM(SUBSTITUTE(SUBSTITUTE(LOWER(Q333),"hrs",""),"hr",""))),"")))),IF(ISNUMBER(Q333),Q333,IF(Q333="","",IFERROR(VALUE(TRIM(SUBSTITUTE(SUBSTITUTE(LOWER(Q333),"hrs",""),"hr",""))),""))))</f>
        <v>2.25</v>
      </c>
      <c r="S333" s="57" t="n">
        <f aca="false">IFERROR(INDEX(RATES!$E$6:$E$28,MATCH(P333,RATES!$A$6:$A$28,0)),0)</f>
        <v>37.265</v>
      </c>
      <c r="T333" s="61" t="n">
        <f aca="false">IF(ISNUMBER(R333),R333,0)*S333</f>
        <v>83.84625</v>
      </c>
      <c r="U333" s="61" t="n">
        <f aca="false">T333*INDEX(INPUTS!$H$10:$H$14,MATCH(B333,INPUTS!$A$10:$A$14,0))</f>
        <v>15.51155625</v>
      </c>
      <c r="V333" s="61" t="n">
        <f aca="false">N(STACK!K333)</f>
        <v>0</v>
      </c>
      <c r="W333" s="61" t="n">
        <f aca="false">T333+U333+V333</f>
        <v>99.35780625</v>
      </c>
      <c r="X333" s="61" t="n">
        <f aca="false">N(STACK!L333)</f>
        <v>0</v>
      </c>
      <c r="Y333" s="61" t="n">
        <f aca="false">W333-X333</f>
        <v>99.35780625</v>
      </c>
      <c r="Z333" s="1" t="n">
        <f aca="false">N(STACK!J333)</f>
        <v>0</v>
      </c>
      <c r="AA333" s="1" t="str">
        <f aca="false">TRIM(IF(D333="UNMAPPED","Program not mapped. ","")&amp;IF(OR(K333="UNMAPPED",K333="UNASSIGNED"),"Category needs review. ","")&amp;IF(P333="UNMAPPED","Title not mapped. ","")&amp;IF(AND(P333&lt;&gt;"No staff time",R333=""),"Missing hours. ","")&amp;IF(M333="","Date not readable. ","")&amp;IF(N333="No","Outside fiscal year. ","")&amp;IF(AND(F333="Event",ISNUMBER(R333)),IF(R333&gt;12,"Event hours look high. ",""),"")&amp;IF(G333&gt;0,"See CONFIRM sheet.",""))</f>
        <v/>
      </c>
      <c r="AB333" s="1" t="n">
        <f aca="false">IF(N333="No",0,IF(REVIEW!O333=0,0,IF(G333&gt;0,IF(INDEX(CONFIRM!$J$5:$J$53,G333)&lt;&gt;"",INDEX(CONFIRM!$J$5:$J$53,G333),1),1)))</f>
        <v>1</v>
      </c>
      <c r="AC333" s="1" t="n">
        <f aca="false">IF(AB333=1,IF(COUNTIFS($B$5:B333,B333,$D$5:D333,D333,$AB$5:AB333,1)=1,1,0),0)</f>
        <v>0</v>
      </c>
    </row>
    <row r="334" customFormat="false" ht="15" hidden="false" customHeight="false" outlineLevel="0" collapsed="false">
      <c r="A334" s="48" t="str">
        <f aca="false">STACK!A334</f>
        <v>KVMC-0330</v>
      </c>
      <c r="B334" s="48" t="str">
        <f aca="false">STACK!B334</f>
        <v>KVMC</v>
      </c>
      <c r="C334" s="48" t="str">
        <f aca="false">STACK!E334</f>
        <v>Naloxone Training and Distribution</v>
      </c>
      <c r="D334" s="1" t="str">
        <f aca="false">IFERROR(INDEX(MAP!$J$7:$J$101,MATCH(TRIM(C334),MAP!$I$7:$I$101,0)),"UNMAPPED")</f>
        <v>Naloxone Training and Distribution</v>
      </c>
      <c r="E334" s="1" t="str">
        <f aca="false">IFERROR(INDEX(MAP!$K$7:$K$101,MATCH(TRIM(C334),MAP!$I$7:$I$101,0)),"")</f>
        <v>Behavioral health</v>
      </c>
      <c r="F334" s="1" t="str">
        <f aca="false">IFERROR(INDEX(MAP!$L$7:$L$101,MATCH(TRIM(C334),MAP!$I$7:$I$101,0)),"")</f>
        <v>Event</v>
      </c>
      <c r="G334" s="1" t="n">
        <f aca="false">IFERROR(MATCH(A334,CONFIRM!$A$5:$A$53,0),0)</f>
        <v>0</v>
      </c>
      <c r="H334" s="48" t="str">
        <f aca="false">STACK!F334</f>
        <v>Community Health Education</v>
      </c>
      <c r="I334" s="1" t="str">
        <f aca="false">IF(G334&gt;0,IF(INDEX(CONFIRM!$I$5:$I$53,G334)&lt;&gt;"",INDEX(CONFIRM!$I$5:$I$53,G334),H334),H334)</f>
        <v>Community Health Education</v>
      </c>
      <c r="J334" s="1" t="str">
        <f aca="false">IFERROR(INDEX(MAP!$F$7:$F$74,MATCH(TRIM(I334),MAP!$E$7:$E$74,0)),"UNMAPPED")</f>
        <v>Community health education</v>
      </c>
      <c r="K334" s="1" t="str">
        <f aca="false">IFERROR(INDEX(MAP!$G$7:$G$74,MATCH(TRIM(I334),MAP!$E$7:$E$74,0)),"UNMAPPED")</f>
        <v>7e</v>
      </c>
      <c r="L334" s="49" t="n">
        <f aca="false">STACK!G334</f>
        <v>46077</v>
      </c>
      <c r="M334" s="59" t="n">
        <f aca="false">IF(G334&gt;0,IF(INDEX(CONFIRM!$G$5:$G$53,G334)&lt;&gt;"",INDEX(CONFIRM!$G$5:$G$53,G334),IF(ISNUMBER(L334),L334,IFERROR(DATEVALUE(L334),""))),IF(ISNUMBER(L334),L334,IFERROR(DATEVALUE(L334),"")))</f>
        <v>46077</v>
      </c>
      <c r="N334" s="1" t="str">
        <f aca="false">IF(M334="","Check",IF(AND(M334&gt;=INPUTS!$C$6,M334&lt;=INPUTS!$C$7),"Yes","No"))</f>
        <v>Yes</v>
      </c>
      <c r="O334" s="48" t="str">
        <f aca="false">STACK!H334</f>
        <v> Pharm.D.</v>
      </c>
      <c r="P334" s="1" t="str">
        <f aca="false">IF(G334&gt;0,IF(INDEX(CONFIRM!$H$5:$H$53,G334)&lt;&gt;"",INDEX(CONFIRM!$H$5:$H$53,G334),IFERROR(INDEX(MAP!$B$7:$B$156,MATCH(TRIM(O334),MAP!$A$7:$A$156,0)),"UNMAPPED")),IFERROR(INDEX(MAP!$B$7:$B$156,MATCH(TRIM(O334),MAP!$A$7:$A$156,0)),"UNMAPPED"))</f>
        <v>Pharmacist</v>
      </c>
      <c r="Q334" s="48" t="n">
        <f aca="false">STACK!I334</f>
        <v>2.25</v>
      </c>
      <c r="R334" s="60" t="n">
        <f aca="false">IF(G334&gt;0,IF(INDEX(CONFIRM!$F$5:$F$53,G334)&lt;&gt;"",INDEX(CONFIRM!$F$5:$F$53,G334),IF(ISNUMBER(Q334),Q334,IF(Q334="","",IFERROR(VALUE(TRIM(SUBSTITUTE(SUBSTITUTE(LOWER(Q334),"hrs",""),"hr",""))),"")))),IF(ISNUMBER(Q334),Q334,IF(Q334="","",IFERROR(VALUE(TRIM(SUBSTITUTE(SUBSTITUTE(LOWER(Q334),"hrs",""),"hr",""))),""))))</f>
        <v>2.25</v>
      </c>
      <c r="S334" s="57" t="n">
        <f aca="false">IFERROR(INDEX(RATES!$E$6:$E$28,MATCH(P334,RATES!$A$6:$A$28,0)),0)</f>
        <v>84.81</v>
      </c>
      <c r="T334" s="61" t="n">
        <f aca="false">IF(ISNUMBER(R334),R334,0)*S334</f>
        <v>190.8225</v>
      </c>
      <c r="U334" s="61" t="n">
        <f aca="false">T334*INDEX(INPUTS!$H$10:$H$14,MATCH(B334,INPUTS!$A$10:$A$14,0))</f>
        <v>35.3021625</v>
      </c>
      <c r="V334" s="61" t="n">
        <f aca="false">N(STACK!K334)</f>
        <v>2215</v>
      </c>
      <c r="W334" s="61" t="n">
        <f aca="false">T334+U334+V334</f>
        <v>2441.1246625</v>
      </c>
      <c r="X334" s="61" t="n">
        <f aca="false">N(STACK!L334)</f>
        <v>1685</v>
      </c>
      <c r="Y334" s="61" t="n">
        <f aca="false">W334-X334</f>
        <v>756.1246625</v>
      </c>
      <c r="Z334" s="1" t="n">
        <f aca="false">N(STACK!J334)</f>
        <v>51</v>
      </c>
      <c r="AA334" s="1" t="str">
        <f aca="false">TRIM(IF(D334="UNMAPPED","Program not mapped. ","")&amp;IF(OR(K334="UNMAPPED",K334="UNASSIGNED"),"Category needs review. ","")&amp;IF(P334="UNMAPPED","Title not mapped. ","")&amp;IF(AND(P334&lt;&gt;"No staff time",R334=""),"Missing hours. ","")&amp;IF(M334="","Date not readable. ","")&amp;IF(N334="No","Outside fiscal year. ","")&amp;IF(AND(F334="Event",ISNUMBER(R334)),IF(R334&gt;12,"Event hours look high. ",""),"")&amp;IF(G334&gt;0,"See CONFIRM sheet.",""))</f>
        <v/>
      </c>
      <c r="AB334" s="1" t="n">
        <f aca="false">IF(N334="No",0,IF(REVIEW!O334=0,0,IF(G334&gt;0,IF(INDEX(CONFIRM!$J$5:$J$53,G334)&lt;&gt;"",INDEX(CONFIRM!$J$5:$J$53,G334),1),1)))</f>
        <v>1</v>
      </c>
      <c r="AC334" s="1" t="n">
        <f aca="false">IF(AB334=1,IF(COUNTIFS($B$5:B334,B334,$D$5:D334,D334,$AB$5:AB334,1)=1,1,0),0)</f>
        <v>0</v>
      </c>
    </row>
    <row r="335" customFormat="false" ht="15" hidden="false" customHeight="false" outlineLevel="0" collapsed="false">
      <c r="A335" s="48" t="str">
        <f aca="false">STACK!A335</f>
        <v>KVMC-0331</v>
      </c>
      <c r="B335" s="48" t="str">
        <f aca="false">STACK!B335</f>
        <v>KVMC</v>
      </c>
      <c r="C335" s="48" t="str">
        <f aca="false">STACK!E335</f>
        <v>Mobile Health Screening Unit</v>
      </c>
      <c r="D335" s="1" t="str">
        <f aca="false">IFERROR(INDEX(MAP!$J$7:$J$101,MATCH(TRIM(C335),MAP!$I$7:$I$101,0)),"UNMAPPED")</f>
        <v>Mobile Health Screening Unit</v>
      </c>
      <c r="E335" s="1" t="str">
        <f aca="false">IFERROR(INDEX(MAP!$K$7:$K$101,MATCH(TRIM(C335),MAP!$I$7:$I$101,0)),"")</f>
        <v>Access to care</v>
      </c>
      <c r="F335" s="1" t="str">
        <f aca="false">IFERROR(INDEX(MAP!$L$7:$L$101,MATCH(TRIM(C335),MAP!$I$7:$I$101,0)),"")</f>
        <v>Monthly</v>
      </c>
      <c r="G335" s="1" t="n">
        <f aca="false">IFERROR(MATCH(A335,CONFIRM!$A$5:$A$53,0),0)</f>
        <v>0</v>
      </c>
      <c r="H335" s="48" t="str">
        <f aca="false">STACK!F335</f>
        <v>Community-Based Clinical Services</v>
      </c>
      <c r="I335" s="1" t="str">
        <f aca="false">IF(G335&gt;0,IF(INDEX(CONFIRM!$I$5:$I$53,G335)&lt;&gt;"",INDEX(CONFIRM!$I$5:$I$53,G335),H335),H335)</f>
        <v>Community-Based Clinical Services</v>
      </c>
      <c r="J335" s="1" t="str">
        <f aca="false">IFERROR(INDEX(MAP!$F$7:$F$74,MATCH(TRIM(I335),MAP!$E$7:$E$74,0)),"UNMAPPED")</f>
        <v>Community-based clinical services</v>
      </c>
      <c r="K335" s="1" t="str">
        <f aca="false">IFERROR(INDEX(MAP!$G$7:$G$74,MATCH(TRIM(I335),MAP!$E$7:$E$74,0)),"UNMAPPED")</f>
        <v>7e</v>
      </c>
      <c r="L335" s="49" t="n">
        <f aca="false">STACK!G335</f>
        <v>46081</v>
      </c>
      <c r="M335" s="59" t="n">
        <f aca="false">IF(G335&gt;0,IF(INDEX(CONFIRM!$G$5:$G$53,G335)&lt;&gt;"",INDEX(CONFIRM!$G$5:$G$53,G335),IF(ISNUMBER(L335),L335,IFERROR(DATEVALUE(L335),""))),IF(ISNUMBER(L335),L335,IFERROR(DATEVALUE(L335),"")))</f>
        <v>46081</v>
      </c>
      <c r="N335" s="1" t="str">
        <f aca="false">IF(M335="","Check",IF(AND(M335&gt;=INPUTS!$C$6,M335&lt;=INPUTS!$C$7),"Yes","No"))</f>
        <v>Yes</v>
      </c>
      <c r="O335" s="48" t="str">
        <f aca="false">STACK!H335</f>
        <v>Comm. Health Worker</v>
      </c>
      <c r="P335" s="1" t="str">
        <f aca="false">IF(G335&gt;0,IF(INDEX(CONFIRM!$H$5:$H$53,G335)&lt;&gt;"",INDEX(CONFIRM!$H$5:$H$53,G335),IFERROR(INDEX(MAP!$B$7:$B$156,MATCH(TRIM(O335),MAP!$A$7:$A$156,0)),"UNMAPPED")),IFERROR(INDEX(MAP!$B$7:$B$156,MATCH(TRIM(O335),MAP!$A$7:$A$156,0)),"UNMAPPED"))</f>
        <v>Community Health Worker</v>
      </c>
      <c r="Q335" s="48" t="n">
        <f aca="false">STACK!I335</f>
        <v>70</v>
      </c>
      <c r="R335" s="60" t="n">
        <f aca="false">IF(G335&gt;0,IF(INDEX(CONFIRM!$F$5:$F$53,G335)&lt;&gt;"",INDEX(CONFIRM!$F$5:$F$53,G335),IF(ISNUMBER(Q335),Q335,IF(Q335="","",IFERROR(VALUE(TRIM(SUBSTITUTE(SUBSTITUTE(LOWER(Q335),"hrs",""),"hr",""))),"")))),IF(ISNUMBER(Q335),Q335,IF(Q335="","",IFERROR(VALUE(TRIM(SUBSTITUTE(SUBSTITUTE(LOWER(Q335),"hrs",""),"hr",""))),""))))</f>
        <v>70</v>
      </c>
      <c r="S335" s="57" t="n">
        <f aca="false">IFERROR(INDEX(RATES!$E$6:$E$28,MATCH(P335,RATES!$A$6:$A$28,0)),0)</f>
        <v>27.6275</v>
      </c>
      <c r="T335" s="61" t="n">
        <f aca="false">IF(ISNUMBER(R335),R335,0)*S335</f>
        <v>1933.925</v>
      </c>
      <c r="U335" s="61" t="n">
        <f aca="false">T335*INDEX(INPUTS!$H$10:$H$14,MATCH(B335,INPUTS!$A$10:$A$14,0))</f>
        <v>357.776125</v>
      </c>
      <c r="V335" s="61" t="n">
        <f aca="false">N(STACK!K335)</f>
        <v>0</v>
      </c>
      <c r="W335" s="61" t="n">
        <f aca="false">T335+U335+V335</f>
        <v>2291.701125</v>
      </c>
      <c r="X335" s="61" t="n">
        <f aca="false">N(STACK!L335)</f>
        <v>0</v>
      </c>
      <c r="Y335" s="61" t="n">
        <f aca="false">W335-X335</f>
        <v>2291.701125</v>
      </c>
      <c r="Z335" s="1" t="n">
        <f aca="false">N(STACK!J335)</f>
        <v>0</v>
      </c>
      <c r="AA335" s="1" t="str">
        <f aca="false">TRIM(IF(D335="UNMAPPED","Program not mapped. ","")&amp;IF(OR(K335="UNMAPPED",K335="UNASSIGNED"),"Category needs review. ","")&amp;IF(P335="UNMAPPED","Title not mapped. ","")&amp;IF(AND(P335&lt;&gt;"No staff time",R335=""),"Missing hours. ","")&amp;IF(M335="","Date not readable. ","")&amp;IF(N335="No","Outside fiscal year. ","")&amp;IF(AND(F335="Event",ISNUMBER(R335)),IF(R335&gt;12,"Event hours look high. ",""),"")&amp;IF(G335&gt;0,"See CONFIRM sheet.",""))</f>
        <v/>
      </c>
      <c r="AB335" s="1" t="n">
        <f aca="false">IF(N335="No",0,IF(REVIEW!O335=0,0,IF(G335&gt;0,IF(INDEX(CONFIRM!$J$5:$J$53,G335)&lt;&gt;"",INDEX(CONFIRM!$J$5:$J$53,G335),1),1)))</f>
        <v>1</v>
      </c>
      <c r="AC335" s="1" t="n">
        <f aca="false">IF(AB335=1,IF(COUNTIFS($B$5:B335,B335,$D$5:D335,D335,$AB$5:AB335,1)=1,1,0),0)</f>
        <v>0</v>
      </c>
    </row>
    <row r="336" customFormat="false" ht="15" hidden="false" customHeight="false" outlineLevel="0" collapsed="false">
      <c r="A336" s="48" t="str">
        <f aca="false">STACK!A336</f>
        <v>KVMC-0332</v>
      </c>
      <c r="B336" s="48" t="str">
        <f aca="false">STACK!B336</f>
        <v>KVMC</v>
      </c>
      <c r="C336" s="48" t="str">
        <f aca="false">STACK!E336</f>
        <v>Mobile Health Screening Unit</v>
      </c>
      <c r="D336" s="1" t="str">
        <f aca="false">IFERROR(INDEX(MAP!$J$7:$J$101,MATCH(TRIM(C336),MAP!$I$7:$I$101,0)),"UNMAPPED")</f>
        <v>Mobile Health Screening Unit</v>
      </c>
      <c r="E336" s="1" t="str">
        <f aca="false">IFERROR(INDEX(MAP!$K$7:$K$101,MATCH(TRIM(C336),MAP!$I$7:$I$101,0)),"")</f>
        <v>Access to care</v>
      </c>
      <c r="F336" s="1" t="str">
        <f aca="false">IFERROR(INDEX(MAP!$L$7:$L$101,MATCH(TRIM(C336),MAP!$I$7:$I$101,0)),"")</f>
        <v>Monthly</v>
      </c>
      <c r="G336" s="1" t="n">
        <f aca="false">IFERROR(MATCH(A336,CONFIRM!$A$5:$A$53,0),0)</f>
        <v>0</v>
      </c>
      <c r="H336" s="48" t="str">
        <f aca="false">STACK!F336</f>
        <v>Community-Based Clinical Services</v>
      </c>
      <c r="I336" s="1" t="str">
        <f aca="false">IF(G336&gt;0,IF(INDEX(CONFIRM!$I$5:$I$53,G336)&lt;&gt;"",INDEX(CONFIRM!$I$5:$I$53,G336),H336),H336)</f>
        <v>Community-Based Clinical Services</v>
      </c>
      <c r="J336" s="1" t="str">
        <f aca="false">IFERROR(INDEX(MAP!$F$7:$F$74,MATCH(TRIM(I336),MAP!$E$7:$E$74,0)),"UNMAPPED")</f>
        <v>Community-based clinical services</v>
      </c>
      <c r="K336" s="1" t="str">
        <f aca="false">IFERROR(INDEX(MAP!$G$7:$G$74,MATCH(TRIM(I336),MAP!$E$7:$E$74,0)),"UNMAPPED")</f>
        <v>7e</v>
      </c>
      <c r="L336" s="49" t="n">
        <f aca="false">STACK!G336</f>
        <v>46081</v>
      </c>
      <c r="M336" s="59" t="n">
        <f aca="false">IF(G336&gt;0,IF(INDEX(CONFIRM!$G$5:$G$53,G336)&lt;&gt;"",INDEX(CONFIRM!$G$5:$G$53,G336),IF(ISNUMBER(L336),L336,IFERROR(DATEVALUE(L336),""))),IF(ISNUMBER(L336),L336,IFERROR(DATEVALUE(L336),"")))</f>
        <v>46081</v>
      </c>
      <c r="N336" s="1" t="str">
        <f aca="false">IF(M336="","Check",IF(AND(M336&gt;=INPUTS!$C$6,M336&lt;=INPUTS!$C$7),"Yes","No"))</f>
        <v>Yes</v>
      </c>
      <c r="O336" s="48" t="str">
        <f aca="false">STACK!H336</f>
        <v>CMA</v>
      </c>
      <c r="P336" s="1" t="str">
        <f aca="false">IF(G336&gt;0,IF(INDEX(CONFIRM!$H$5:$H$53,G336)&lt;&gt;"",INDEX(CONFIRM!$H$5:$H$53,G336),IFERROR(INDEX(MAP!$B$7:$B$156,MATCH(TRIM(O336),MAP!$A$7:$A$156,0)),"UNMAPPED")),IFERROR(INDEX(MAP!$B$7:$B$156,MATCH(TRIM(O336),MAP!$A$7:$A$156,0)),"UNMAPPED"))</f>
        <v>Medical Assistant</v>
      </c>
      <c r="Q336" s="48" t="n">
        <f aca="false">STACK!I336</f>
        <v>96.25</v>
      </c>
      <c r="R336" s="60" t="n">
        <f aca="false">IF(G336&gt;0,IF(INDEX(CONFIRM!$F$5:$F$53,G336)&lt;&gt;"",INDEX(CONFIRM!$F$5:$F$53,G336),IF(ISNUMBER(Q336),Q336,IF(Q336="","",IFERROR(VALUE(TRIM(SUBSTITUTE(SUBSTITUTE(LOWER(Q336),"hrs",""),"hr",""))),"")))),IF(ISNUMBER(Q336),Q336,IF(Q336="","",IFERROR(VALUE(TRIM(SUBSTITUTE(SUBSTITUTE(LOWER(Q336),"hrs",""),"hr",""))),""))))</f>
        <v>96.25</v>
      </c>
      <c r="S336" s="57" t="n">
        <f aca="false">IFERROR(INDEX(RATES!$E$6:$E$28,MATCH(P336,RATES!$A$6:$A$28,0)),0)</f>
        <v>25.37875</v>
      </c>
      <c r="T336" s="61" t="n">
        <f aca="false">IF(ISNUMBER(R336),R336,0)*S336</f>
        <v>2442.7046875</v>
      </c>
      <c r="U336" s="61" t="n">
        <f aca="false">T336*INDEX(INPUTS!$H$10:$H$14,MATCH(B336,INPUTS!$A$10:$A$14,0))</f>
        <v>451.9003671875</v>
      </c>
      <c r="V336" s="61" t="n">
        <f aca="false">N(STACK!K336)</f>
        <v>0</v>
      </c>
      <c r="W336" s="61" t="n">
        <f aca="false">T336+U336+V336</f>
        <v>2894.6050546875</v>
      </c>
      <c r="X336" s="61" t="n">
        <f aca="false">N(STACK!L336)</f>
        <v>0</v>
      </c>
      <c r="Y336" s="61" t="n">
        <f aca="false">W336-X336</f>
        <v>2894.6050546875</v>
      </c>
      <c r="Z336" s="1" t="n">
        <f aca="false">N(STACK!J336)</f>
        <v>0</v>
      </c>
      <c r="AA336" s="1" t="str">
        <f aca="false">TRIM(IF(D336="UNMAPPED","Program not mapped. ","")&amp;IF(OR(K336="UNMAPPED",K336="UNASSIGNED"),"Category needs review. ","")&amp;IF(P336="UNMAPPED","Title not mapped. ","")&amp;IF(AND(P336&lt;&gt;"No staff time",R336=""),"Missing hours. ","")&amp;IF(M336="","Date not readable. ","")&amp;IF(N336="No","Outside fiscal year. ","")&amp;IF(AND(F336="Event",ISNUMBER(R336)),IF(R336&gt;12,"Event hours look high. ",""),"")&amp;IF(G336&gt;0,"See CONFIRM sheet.",""))</f>
        <v/>
      </c>
      <c r="AB336" s="1" t="n">
        <f aca="false">IF(N336="No",0,IF(REVIEW!O336=0,0,IF(G336&gt;0,IF(INDEX(CONFIRM!$J$5:$J$53,G336)&lt;&gt;"",INDEX(CONFIRM!$J$5:$J$53,G336),1),1)))</f>
        <v>1</v>
      </c>
      <c r="AC336" s="1" t="n">
        <f aca="false">IF(AB336=1,IF(COUNTIFS($B$5:B336,B336,$D$5:D336,D336,$AB$5:AB336,1)=1,1,0),0)</f>
        <v>0</v>
      </c>
    </row>
    <row r="337" customFormat="false" ht="15" hidden="false" customHeight="false" outlineLevel="0" collapsed="false">
      <c r="A337" s="48" t="str">
        <f aca="false">STACK!A337</f>
        <v>KVMC-0333</v>
      </c>
      <c r="B337" s="48" t="str">
        <f aca="false">STACK!B337</f>
        <v>KVMC</v>
      </c>
      <c r="C337" s="48" t="str">
        <f aca="false">STACK!E337</f>
        <v>Mobile Health Screening Unit</v>
      </c>
      <c r="D337" s="1" t="str">
        <f aca="false">IFERROR(INDEX(MAP!$J$7:$J$101,MATCH(TRIM(C337),MAP!$I$7:$I$101,0)),"UNMAPPED")</f>
        <v>Mobile Health Screening Unit</v>
      </c>
      <c r="E337" s="1" t="str">
        <f aca="false">IFERROR(INDEX(MAP!$K$7:$K$101,MATCH(TRIM(C337),MAP!$I$7:$I$101,0)),"")</f>
        <v>Access to care</v>
      </c>
      <c r="F337" s="1" t="str">
        <f aca="false">IFERROR(INDEX(MAP!$L$7:$L$101,MATCH(TRIM(C337),MAP!$I$7:$I$101,0)),"")</f>
        <v>Monthly</v>
      </c>
      <c r="G337" s="1" t="n">
        <f aca="false">IFERROR(MATCH(A337,CONFIRM!$A$5:$A$53,0),0)</f>
        <v>0</v>
      </c>
      <c r="H337" s="48" t="str">
        <f aca="false">STACK!F337</f>
        <v>Community-Based Clinical Services</v>
      </c>
      <c r="I337" s="1" t="str">
        <f aca="false">IF(G337&gt;0,IF(INDEX(CONFIRM!$I$5:$I$53,G337)&lt;&gt;"",INDEX(CONFIRM!$I$5:$I$53,G337),H337),H337)</f>
        <v>Community-Based Clinical Services</v>
      </c>
      <c r="J337" s="1" t="str">
        <f aca="false">IFERROR(INDEX(MAP!$F$7:$F$74,MATCH(TRIM(I337),MAP!$E$7:$E$74,0)),"UNMAPPED")</f>
        <v>Community-based clinical services</v>
      </c>
      <c r="K337" s="1" t="str">
        <f aca="false">IFERROR(INDEX(MAP!$G$7:$G$74,MATCH(TRIM(I337),MAP!$E$7:$E$74,0)),"UNMAPPED")</f>
        <v>7e</v>
      </c>
      <c r="L337" s="49" t="n">
        <f aca="false">STACK!G337</f>
        <v>46081</v>
      </c>
      <c r="M337" s="59" t="n">
        <f aca="false">IF(G337&gt;0,IF(INDEX(CONFIRM!$G$5:$G$53,G337)&lt;&gt;"",INDEX(CONFIRM!$G$5:$G$53,G337),IF(ISNUMBER(L337),L337,IFERROR(DATEVALUE(L337),""))),IF(ISNUMBER(L337),L337,IFERROR(DATEVALUE(L337),"")))</f>
        <v>46081</v>
      </c>
      <c r="N337" s="1" t="str">
        <f aca="false">IF(M337="","Check",IF(AND(M337&gt;=INPUTS!$C$6,M337&lt;=INPUTS!$C$7),"Yes","No"))</f>
        <v>Yes</v>
      </c>
      <c r="O337" s="48" t="str">
        <f aca="false">STACK!H337</f>
        <v>RN II</v>
      </c>
      <c r="P337" s="1" t="str">
        <f aca="false">IF(G337&gt;0,IF(INDEX(CONFIRM!$H$5:$H$53,G337)&lt;&gt;"",INDEX(CONFIRM!$H$5:$H$53,G337),IFERROR(INDEX(MAP!$B$7:$B$156,MATCH(TRIM(O337),MAP!$A$7:$A$156,0)),"UNMAPPED")),IFERROR(INDEX(MAP!$B$7:$B$156,MATCH(TRIM(O337),MAP!$A$7:$A$156,0)),"UNMAPPED"))</f>
        <v>Registered Nurse</v>
      </c>
      <c r="Q337" s="48" t="n">
        <f aca="false">STACK!I337</f>
        <v>106.25</v>
      </c>
      <c r="R337" s="60" t="n">
        <f aca="false">IF(G337&gt;0,IF(INDEX(CONFIRM!$F$5:$F$53,G337)&lt;&gt;"",INDEX(CONFIRM!$F$5:$F$53,G337),IF(ISNUMBER(Q337),Q337,IF(Q337="","",IFERROR(VALUE(TRIM(SUBSTITUTE(SUBSTITUTE(LOWER(Q337),"hrs",""),"hr",""))),"")))),IF(ISNUMBER(Q337),Q337,IF(Q337="","",IFERROR(VALUE(TRIM(SUBSTITUTE(SUBSTITUTE(LOWER(Q337),"hrs",""),"hr",""))),""))))</f>
        <v>106.25</v>
      </c>
      <c r="S337" s="57" t="n">
        <f aca="false">IFERROR(INDEX(RATES!$E$6:$E$28,MATCH(P337,RATES!$A$6:$A$28,0)),0)</f>
        <v>55.8975</v>
      </c>
      <c r="T337" s="61" t="n">
        <f aca="false">IF(ISNUMBER(R337),R337,0)*S337</f>
        <v>5939.109375</v>
      </c>
      <c r="U337" s="61" t="n">
        <f aca="false">T337*INDEX(INPUTS!$H$10:$H$14,MATCH(B337,INPUTS!$A$10:$A$14,0))</f>
        <v>1098.735234375</v>
      </c>
      <c r="V337" s="61" t="n">
        <f aca="false">N(STACK!K337)</f>
        <v>12085</v>
      </c>
      <c r="W337" s="61" t="n">
        <f aca="false">T337+U337+V337</f>
        <v>19122.844609375</v>
      </c>
      <c r="X337" s="61" t="n">
        <f aca="false">N(STACK!L337)</f>
        <v>0</v>
      </c>
      <c r="Y337" s="61" t="n">
        <f aca="false">W337-X337</f>
        <v>19122.844609375</v>
      </c>
      <c r="Z337" s="1" t="n">
        <f aca="false">N(STACK!J337)</f>
        <v>380</v>
      </c>
      <c r="AA337" s="1" t="str">
        <f aca="false">TRIM(IF(D337="UNMAPPED","Program not mapped. ","")&amp;IF(OR(K337="UNMAPPED",K337="UNASSIGNED"),"Category needs review. ","")&amp;IF(P337="UNMAPPED","Title not mapped. ","")&amp;IF(AND(P337&lt;&gt;"No staff time",R337=""),"Missing hours. ","")&amp;IF(M337="","Date not readable. ","")&amp;IF(N337="No","Outside fiscal year. ","")&amp;IF(AND(F337="Event",ISNUMBER(R337)),IF(R337&gt;12,"Event hours look high. ",""),"")&amp;IF(G337&gt;0,"See CONFIRM sheet.",""))</f>
        <v/>
      </c>
      <c r="AB337" s="1" t="n">
        <f aca="false">IF(N337="No",0,IF(REVIEW!O337=0,0,IF(G337&gt;0,IF(INDEX(CONFIRM!$J$5:$J$53,G337)&lt;&gt;"",INDEX(CONFIRM!$J$5:$J$53,G337),1),1)))</f>
        <v>1</v>
      </c>
      <c r="AC337" s="1" t="n">
        <f aca="false">IF(AB337=1,IF(COUNTIFS($B$5:B337,B337,$D$5:D337,D337,$AB$5:AB337,1)=1,1,0),0)</f>
        <v>0</v>
      </c>
    </row>
    <row r="338" customFormat="false" ht="15" hidden="false" customHeight="false" outlineLevel="0" collapsed="false">
      <c r="A338" s="48" t="str">
        <f aca="false">STACK!A338</f>
        <v>KVMC-0334</v>
      </c>
      <c r="B338" s="48" t="str">
        <f aca="false">STACK!B338</f>
        <v>KVMC</v>
      </c>
      <c r="C338" s="48" t="str">
        <f aca="false">STACK!E338</f>
        <v>Grief Support Group</v>
      </c>
      <c r="D338" s="1" t="str">
        <f aca="false">IFERROR(INDEX(MAP!$J$7:$J$101,MATCH(TRIM(C338),MAP!$I$7:$I$101,0)),"UNMAPPED")</f>
        <v>Grief Support Group</v>
      </c>
      <c r="E338" s="1" t="str">
        <f aca="false">IFERROR(INDEX(MAP!$K$7:$K$101,MATCH(TRIM(C338),MAP!$I$7:$I$101,0)),"")</f>
        <v>Behavioral health</v>
      </c>
      <c r="F338" s="1" t="str">
        <f aca="false">IFERROR(INDEX(MAP!$L$7:$L$101,MATCH(TRIM(C338),MAP!$I$7:$I$101,0)),"")</f>
        <v>Event</v>
      </c>
      <c r="G338" s="1" t="n">
        <f aca="false">IFERROR(MATCH(A338,CONFIRM!$A$5:$A$53,0),0)</f>
        <v>0</v>
      </c>
      <c r="H338" s="48" t="str">
        <f aca="false">STACK!F338</f>
        <v>Health Care Support Services</v>
      </c>
      <c r="I338" s="1" t="str">
        <f aca="false">IF(G338&gt;0,IF(INDEX(CONFIRM!$I$5:$I$53,G338)&lt;&gt;"",INDEX(CONFIRM!$I$5:$I$53,G338),H338),H338)</f>
        <v>Health Care Support Services</v>
      </c>
      <c r="J338" s="1" t="str">
        <f aca="false">IFERROR(INDEX(MAP!$F$7:$F$74,MATCH(TRIM(I338),MAP!$E$7:$E$74,0)),"UNMAPPED")</f>
        <v>Health care support services</v>
      </c>
      <c r="K338" s="1" t="str">
        <f aca="false">IFERROR(INDEX(MAP!$G$7:$G$74,MATCH(TRIM(I338),MAP!$E$7:$E$74,0)),"UNMAPPED")</f>
        <v>7e</v>
      </c>
      <c r="L338" s="49" t="n">
        <f aca="false">STACK!G338</f>
        <v>46081</v>
      </c>
      <c r="M338" s="59" t="n">
        <f aca="false">IF(G338&gt;0,IF(INDEX(CONFIRM!$G$5:$G$53,G338)&lt;&gt;"",INDEX(CONFIRM!$G$5:$G$53,G338),IF(ISNUMBER(L338),L338,IFERROR(DATEVALUE(L338),""))),IF(ISNUMBER(L338),L338,IFERROR(DATEVALUE(L338),"")))</f>
        <v>46081</v>
      </c>
      <c r="N338" s="1" t="str">
        <f aca="false">IF(M338="","Check",IF(AND(M338&gt;=INPUTS!$C$6,M338&lt;=INPUTS!$C$7),"Yes","No"))</f>
        <v>Yes</v>
      </c>
      <c r="O338" s="48" t="str">
        <f aca="false">STACK!H338</f>
        <v>Chaplain</v>
      </c>
      <c r="P338" s="1" t="str">
        <f aca="false">IF(G338&gt;0,IF(INDEX(CONFIRM!$H$5:$H$53,G338)&lt;&gt;"",INDEX(CONFIRM!$H$5:$H$53,G338),IFERROR(INDEX(MAP!$B$7:$B$156,MATCH(TRIM(O338),MAP!$A$7:$A$156,0)),"UNMAPPED")),IFERROR(INDEX(MAP!$B$7:$B$156,MATCH(TRIM(O338),MAP!$A$7:$A$156,0)),"UNMAPPED"))</f>
        <v>Chaplain</v>
      </c>
      <c r="Q338" s="48" t="n">
        <f aca="false">STACK!I338</f>
        <v>2</v>
      </c>
      <c r="R338" s="60" t="n">
        <f aca="false">IF(G338&gt;0,IF(INDEX(CONFIRM!$F$5:$F$53,G338)&lt;&gt;"",INDEX(CONFIRM!$F$5:$F$53,G338),IF(ISNUMBER(Q338),Q338,IF(Q338="","",IFERROR(VALUE(TRIM(SUBSTITUTE(SUBSTITUTE(LOWER(Q338),"hrs",""),"hr",""))),"")))),IF(ISNUMBER(Q338),Q338,IF(Q338="","",IFERROR(VALUE(TRIM(SUBSTITUTE(SUBSTITUTE(LOWER(Q338),"hrs",""),"hr",""))),""))))</f>
        <v>2</v>
      </c>
      <c r="S338" s="57" t="n">
        <f aca="false">IFERROR(INDEX(RATES!$E$6:$E$28,MATCH(P338,RATES!$A$6:$A$28,0)),0)</f>
        <v>39.835</v>
      </c>
      <c r="T338" s="61" t="n">
        <f aca="false">IF(ISNUMBER(R338),R338,0)*S338</f>
        <v>79.67</v>
      </c>
      <c r="U338" s="61" t="n">
        <f aca="false">T338*INDEX(INPUTS!$H$10:$H$14,MATCH(B338,INPUTS!$A$10:$A$14,0))</f>
        <v>14.73895</v>
      </c>
      <c r="V338" s="61" t="n">
        <f aca="false">N(STACK!K338)</f>
        <v>45</v>
      </c>
      <c r="W338" s="61" t="n">
        <f aca="false">T338+U338+V338</f>
        <v>139.40895</v>
      </c>
      <c r="X338" s="61" t="n">
        <f aca="false">N(STACK!L338)</f>
        <v>0</v>
      </c>
      <c r="Y338" s="61" t="n">
        <f aca="false">W338-X338</f>
        <v>139.40895</v>
      </c>
      <c r="Z338" s="1" t="n">
        <f aca="false">N(STACK!J338)</f>
        <v>13</v>
      </c>
      <c r="AA338" s="1" t="str">
        <f aca="false">TRIM(IF(D338="UNMAPPED","Program not mapped. ","")&amp;IF(OR(K338="UNMAPPED",K338="UNASSIGNED"),"Category needs review. ","")&amp;IF(P338="UNMAPPED","Title not mapped. ","")&amp;IF(AND(P338&lt;&gt;"No staff time",R338=""),"Missing hours. ","")&amp;IF(M338="","Date not readable. ","")&amp;IF(N338="No","Outside fiscal year. ","")&amp;IF(AND(F338="Event",ISNUMBER(R338)),IF(R338&gt;12,"Event hours look high. ",""),"")&amp;IF(G338&gt;0,"See CONFIRM sheet.",""))</f>
        <v/>
      </c>
      <c r="AB338" s="1" t="n">
        <f aca="false">IF(N338="No",0,IF(REVIEW!O338=0,0,IF(G338&gt;0,IF(INDEX(CONFIRM!$J$5:$J$53,G338)&lt;&gt;"",INDEX(CONFIRM!$J$5:$J$53,G338),1),1)))</f>
        <v>1</v>
      </c>
      <c r="AC338" s="1" t="n">
        <f aca="false">IF(AB338=1,IF(COUNTIFS($B$5:B338,B338,$D$5:D338,D338,$AB$5:AB338,1)=1,1,0),0)</f>
        <v>0</v>
      </c>
    </row>
    <row r="339" customFormat="false" ht="15" hidden="false" customHeight="false" outlineLevel="0" collapsed="false">
      <c r="A339" s="48" t="str">
        <f aca="false">STACK!A339</f>
        <v>KVMC-0335</v>
      </c>
      <c r="B339" s="48" t="str">
        <f aca="false">STACK!B339</f>
        <v>KVMC</v>
      </c>
      <c r="C339" s="48" t="str">
        <f aca="false">STACK!E339</f>
        <v>Grief Support Group</v>
      </c>
      <c r="D339" s="1" t="str">
        <f aca="false">IFERROR(INDEX(MAP!$J$7:$J$101,MATCH(TRIM(C339),MAP!$I$7:$I$101,0)),"UNMAPPED")</f>
        <v>Grief Support Group</v>
      </c>
      <c r="E339" s="1" t="str">
        <f aca="false">IFERROR(INDEX(MAP!$K$7:$K$101,MATCH(TRIM(C339),MAP!$I$7:$I$101,0)),"")</f>
        <v>Behavioral health</v>
      </c>
      <c r="F339" s="1" t="str">
        <f aca="false">IFERROR(INDEX(MAP!$L$7:$L$101,MATCH(TRIM(C339),MAP!$I$7:$I$101,0)),"")</f>
        <v>Event</v>
      </c>
      <c r="G339" s="1" t="n">
        <f aca="false">IFERROR(MATCH(A339,CONFIRM!$A$5:$A$53,0),0)</f>
        <v>0</v>
      </c>
      <c r="H339" s="48" t="str">
        <f aca="false">STACK!F339</f>
        <v>Health Care Support Services</v>
      </c>
      <c r="I339" s="1" t="str">
        <f aca="false">IF(G339&gt;0,IF(INDEX(CONFIRM!$I$5:$I$53,G339)&lt;&gt;"",INDEX(CONFIRM!$I$5:$I$53,G339),H339),H339)</f>
        <v>Health Care Support Services</v>
      </c>
      <c r="J339" s="1" t="str">
        <f aca="false">IFERROR(INDEX(MAP!$F$7:$F$74,MATCH(TRIM(I339),MAP!$E$7:$E$74,0)),"UNMAPPED")</f>
        <v>Health care support services</v>
      </c>
      <c r="K339" s="1" t="str">
        <f aca="false">IFERROR(INDEX(MAP!$G$7:$G$74,MATCH(TRIM(I339),MAP!$E$7:$E$74,0)),"UNMAPPED")</f>
        <v>7e</v>
      </c>
      <c r="L339" s="49" t="n">
        <f aca="false">STACK!G339</f>
        <v>46081</v>
      </c>
      <c r="M339" s="59" t="n">
        <f aca="false">IF(G339&gt;0,IF(INDEX(CONFIRM!$G$5:$G$53,G339)&lt;&gt;"",INDEX(CONFIRM!$G$5:$G$53,G339),IF(ISNUMBER(L339),L339,IFERROR(DATEVALUE(L339),""))),IF(ISNUMBER(L339),L339,IFERROR(DATEVALUE(L339),"")))</f>
        <v>46081</v>
      </c>
      <c r="N339" s="1" t="str">
        <f aca="false">IF(M339="","Check",IF(AND(M339&gt;=INPUTS!$C$6,M339&lt;=INPUTS!$C$7),"Yes","No"))</f>
        <v>Yes</v>
      </c>
      <c r="O339" s="48" t="str">
        <f aca="false">STACK!H339</f>
        <v> MSW</v>
      </c>
      <c r="P339" s="1" t="str">
        <f aca="false">IF(G339&gt;0,IF(INDEX(CONFIRM!$H$5:$H$53,G339)&lt;&gt;"",INDEX(CONFIRM!$H$5:$H$53,G339),IFERROR(INDEX(MAP!$B$7:$B$156,MATCH(TRIM(O339),MAP!$A$7:$A$156,0)),"UNMAPPED")),IFERROR(INDEX(MAP!$B$7:$B$156,MATCH(TRIM(O339),MAP!$A$7:$A$156,0)),"UNMAPPED"))</f>
        <v>Social Worker</v>
      </c>
      <c r="Q339" s="48" t="n">
        <f aca="false">STACK!I339</f>
        <v>2</v>
      </c>
      <c r="R339" s="60" t="n">
        <f aca="false">IF(G339&gt;0,IF(INDEX(CONFIRM!$F$5:$F$53,G339)&lt;&gt;"",INDEX(CONFIRM!$F$5:$F$53,G339),IF(ISNUMBER(Q339),Q339,IF(Q339="","",IFERROR(VALUE(TRIM(SUBSTITUTE(SUBSTITUTE(LOWER(Q339),"hrs",""),"hr",""))),"")))),IF(ISNUMBER(Q339),Q339,IF(Q339="","",IFERROR(VALUE(TRIM(SUBSTITUTE(SUBSTITUTE(LOWER(Q339),"hrs",""),"hr",""))),""))))</f>
        <v>2</v>
      </c>
      <c r="S339" s="57" t="n">
        <f aca="false">IFERROR(INDEX(RATES!$E$6:$E$28,MATCH(P339,RATES!$A$6:$A$28,0)),0)</f>
        <v>45.6175</v>
      </c>
      <c r="T339" s="61" t="n">
        <f aca="false">IF(ISNUMBER(R339),R339,0)*S339</f>
        <v>91.235</v>
      </c>
      <c r="U339" s="61" t="n">
        <f aca="false">T339*INDEX(INPUTS!$H$10:$H$14,MATCH(B339,INPUTS!$A$10:$A$14,0))</f>
        <v>16.878475</v>
      </c>
      <c r="V339" s="61" t="n">
        <f aca="false">N(STACK!K339)</f>
        <v>0</v>
      </c>
      <c r="W339" s="61" t="n">
        <f aca="false">T339+U339+V339</f>
        <v>108.113475</v>
      </c>
      <c r="X339" s="61" t="n">
        <f aca="false">N(STACK!L339)</f>
        <v>0</v>
      </c>
      <c r="Y339" s="61" t="n">
        <f aca="false">W339-X339</f>
        <v>108.113475</v>
      </c>
      <c r="Z339" s="1" t="n">
        <f aca="false">N(STACK!J339)</f>
        <v>0</v>
      </c>
      <c r="AA339" s="1" t="str">
        <f aca="false">TRIM(IF(D339="UNMAPPED","Program not mapped. ","")&amp;IF(OR(K339="UNMAPPED",K339="UNASSIGNED"),"Category needs review. ","")&amp;IF(P339="UNMAPPED","Title not mapped. ","")&amp;IF(AND(P339&lt;&gt;"No staff time",R339=""),"Missing hours. ","")&amp;IF(M339="","Date not readable. ","")&amp;IF(N339="No","Outside fiscal year. ","")&amp;IF(AND(F339="Event",ISNUMBER(R339)),IF(R339&gt;12,"Event hours look high. ",""),"")&amp;IF(G339&gt;0,"See CONFIRM sheet.",""))</f>
        <v/>
      </c>
      <c r="AB339" s="1" t="n">
        <f aca="false">IF(N339="No",0,IF(REVIEW!O339=0,0,IF(G339&gt;0,IF(INDEX(CONFIRM!$J$5:$J$53,G339)&lt;&gt;"",INDEX(CONFIRM!$J$5:$J$53,G339),1),1)))</f>
        <v>1</v>
      </c>
      <c r="AC339" s="1" t="n">
        <f aca="false">IF(AB339=1,IF(COUNTIFS($B$5:B339,B339,$D$5:D339,D339,$AB$5:AB339,1)=1,1,0),0)</f>
        <v>0</v>
      </c>
    </row>
    <row r="340" customFormat="false" ht="15" hidden="false" customHeight="false" outlineLevel="0" collapsed="false">
      <c r="A340" s="48" t="str">
        <f aca="false">STACK!A340</f>
        <v>KVMC-0336</v>
      </c>
      <c r="B340" s="48" t="str">
        <f aca="false">STACK!B340</f>
        <v>KVMC</v>
      </c>
      <c r="C340" s="48" t="str">
        <f aca="false">STACK!E340</f>
        <v>Free Clinic Provider Staffing</v>
      </c>
      <c r="D340" s="1" t="str">
        <f aca="false">IFERROR(INDEX(MAP!$J$7:$J$101,MATCH(TRIM(C340),MAP!$I$7:$I$101,0)),"UNMAPPED")</f>
        <v>Free Clinic Provider Staffing</v>
      </c>
      <c r="E340" s="1" t="str">
        <f aca="false">IFERROR(INDEX(MAP!$K$7:$K$101,MATCH(TRIM(C340),MAP!$I$7:$I$101,0)),"")</f>
        <v>Access to care</v>
      </c>
      <c r="F340" s="1" t="str">
        <f aca="false">IFERROR(INDEX(MAP!$L$7:$L$101,MATCH(TRIM(C340),MAP!$I$7:$I$101,0)),"")</f>
        <v>Monthly</v>
      </c>
      <c r="G340" s="1" t="n">
        <f aca="false">IFERROR(MATCH(A340,CONFIRM!$A$5:$A$53,0),0)</f>
        <v>0</v>
      </c>
      <c r="H340" s="48" t="str">
        <f aca="false">STACK!F340</f>
        <v>Community-Based Clinical Services</v>
      </c>
      <c r="I340" s="1" t="str">
        <f aca="false">IF(G340&gt;0,IF(INDEX(CONFIRM!$I$5:$I$53,G340)&lt;&gt;"",INDEX(CONFIRM!$I$5:$I$53,G340),H340),H340)</f>
        <v>Community-Based Clinical Services</v>
      </c>
      <c r="J340" s="1" t="str">
        <f aca="false">IFERROR(INDEX(MAP!$F$7:$F$74,MATCH(TRIM(I340),MAP!$E$7:$E$74,0)),"UNMAPPED")</f>
        <v>Community-based clinical services</v>
      </c>
      <c r="K340" s="1" t="str">
        <f aca="false">IFERROR(INDEX(MAP!$G$7:$G$74,MATCH(TRIM(I340),MAP!$E$7:$E$74,0)),"UNMAPPED")</f>
        <v>7e</v>
      </c>
      <c r="L340" s="49" t="n">
        <f aca="false">STACK!G340</f>
        <v>46081</v>
      </c>
      <c r="M340" s="59" t="n">
        <f aca="false">IF(G340&gt;0,IF(INDEX(CONFIRM!$G$5:$G$53,G340)&lt;&gt;"",INDEX(CONFIRM!$G$5:$G$53,G340),IF(ISNUMBER(L340),L340,IFERROR(DATEVALUE(L340),""))),IF(ISNUMBER(L340),L340,IFERROR(DATEVALUE(L340),"")))</f>
        <v>46081</v>
      </c>
      <c r="N340" s="1" t="str">
        <f aca="false">IF(M340="","Check",IF(AND(M340&gt;=INPUTS!$C$6,M340&lt;=INPUTS!$C$7),"Yes","No"))</f>
        <v>Yes</v>
      </c>
      <c r="O340" s="48" t="str">
        <f aca="false">STACK!H340</f>
        <v>APRN</v>
      </c>
      <c r="P340" s="1" t="str">
        <f aca="false">IF(G340&gt;0,IF(INDEX(CONFIRM!$H$5:$H$53,G340)&lt;&gt;"",INDEX(CONFIRM!$H$5:$H$53,G340),IFERROR(INDEX(MAP!$B$7:$B$156,MATCH(TRIM(O340),MAP!$A$7:$A$156,0)),"UNMAPPED")),IFERROR(INDEX(MAP!$B$7:$B$156,MATCH(TRIM(O340),MAP!$A$7:$A$156,0)),"UNMAPPED"))</f>
        <v>Nurse Practitioner</v>
      </c>
      <c r="Q340" s="48" t="n">
        <f aca="false">STACK!I340</f>
        <v>38.75</v>
      </c>
      <c r="R340" s="60" t="n">
        <f aca="false">IF(G340&gt;0,IF(INDEX(CONFIRM!$F$5:$F$53,G340)&lt;&gt;"",INDEX(CONFIRM!$F$5:$F$53,G340),IF(ISNUMBER(Q340),Q340,IF(Q340="","",IFERROR(VALUE(TRIM(SUBSTITUTE(SUBSTITUTE(LOWER(Q340),"hrs",""),"hr",""))),"")))),IF(ISNUMBER(Q340),Q340,IF(Q340="","",IFERROR(VALUE(TRIM(SUBSTITUTE(SUBSTITUTE(LOWER(Q340),"hrs",""),"hr",""))),""))))</f>
        <v>38.75</v>
      </c>
      <c r="S340" s="57" t="n">
        <f aca="false">IFERROR(INDEX(RATES!$E$6:$E$28,MATCH(P340,RATES!$A$6:$A$28,0)),0)</f>
        <v>79.67</v>
      </c>
      <c r="T340" s="61" t="n">
        <f aca="false">IF(ISNUMBER(R340),R340,0)*S340</f>
        <v>3087.2125</v>
      </c>
      <c r="U340" s="61" t="n">
        <f aca="false">T340*INDEX(INPUTS!$H$10:$H$14,MATCH(B340,INPUTS!$A$10:$A$14,0))</f>
        <v>571.1343125</v>
      </c>
      <c r="V340" s="61" t="n">
        <f aca="false">N(STACK!K340)</f>
        <v>4585</v>
      </c>
      <c r="W340" s="61" t="n">
        <f aca="false">T340+U340+V340</f>
        <v>8243.3468125</v>
      </c>
      <c r="X340" s="61" t="n">
        <f aca="false">N(STACK!L340)</f>
        <v>0</v>
      </c>
      <c r="Y340" s="61" t="n">
        <f aca="false">W340-X340</f>
        <v>8243.3468125</v>
      </c>
      <c r="Z340" s="1" t="n">
        <f aca="false">N(STACK!J340)</f>
        <v>231</v>
      </c>
      <c r="AA340" s="1" t="str">
        <f aca="false">TRIM(IF(D340="UNMAPPED","Program not mapped. ","")&amp;IF(OR(K340="UNMAPPED",K340="UNASSIGNED"),"Category needs review. ","")&amp;IF(P340="UNMAPPED","Title not mapped. ","")&amp;IF(AND(P340&lt;&gt;"No staff time",R340=""),"Missing hours. ","")&amp;IF(M340="","Date not readable. ","")&amp;IF(N340="No","Outside fiscal year. ","")&amp;IF(AND(F340="Event",ISNUMBER(R340)),IF(R340&gt;12,"Event hours look high. ",""),"")&amp;IF(G340&gt;0,"See CONFIRM sheet.",""))</f>
        <v/>
      </c>
      <c r="AB340" s="1" t="n">
        <f aca="false">IF(N340="No",0,IF(REVIEW!O340=0,0,IF(G340&gt;0,IF(INDEX(CONFIRM!$J$5:$J$53,G340)&lt;&gt;"",INDEX(CONFIRM!$J$5:$J$53,G340),1),1)))</f>
        <v>1</v>
      </c>
      <c r="AC340" s="1" t="n">
        <f aca="false">IF(AB340=1,IF(COUNTIFS($B$5:B340,B340,$D$5:D340,D340,$AB$5:AB340,1)=1,1,0),0)</f>
        <v>0</v>
      </c>
    </row>
    <row r="341" customFormat="false" ht="15" hidden="false" customHeight="false" outlineLevel="0" collapsed="false">
      <c r="A341" s="48" t="str">
        <f aca="false">STACK!A341</f>
        <v>KVMC-0337</v>
      </c>
      <c r="B341" s="48" t="str">
        <f aca="false">STACK!B341</f>
        <v>KVMC</v>
      </c>
      <c r="C341" s="48" t="str">
        <f aca="false">STACK!E341</f>
        <v>Free Clinic Provider Staffing</v>
      </c>
      <c r="D341" s="1" t="str">
        <f aca="false">IFERROR(INDEX(MAP!$J$7:$J$101,MATCH(TRIM(C341),MAP!$I$7:$I$101,0)),"UNMAPPED")</f>
        <v>Free Clinic Provider Staffing</v>
      </c>
      <c r="E341" s="1" t="str">
        <f aca="false">IFERROR(INDEX(MAP!$K$7:$K$101,MATCH(TRIM(C341),MAP!$I$7:$I$101,0)),"")</f>
        <v>Access to care</v>
      </c>
      <c r="F341" s="1" t="str">
        <f aca="false">IFERROR(INDEX(MAP!$L$7:$L$101,MATCH(TRIM(C341),MAP!$I$7:$I$101,0)),"")</f>
        <v>Monthly</v>
      </c>
      <c r="G341" s="1" t="n">
        <f aca="false">IFERROR(MATCH(A341,CONFIRM!$A$5:$A$53,0),0)</f>
        <v>0</v>
      </c>
      <c r="H341" s="48" t="str">
        <f aca="false">STACK!F341</f>
        <v>Community-Based Clinical Services</v>
      </c>
      <c r="I341" s="1" t="str">
        <f aca="false">IF(G341&gt;0,IF(INDEX(CONFIRM!$I$5:$I$53,G341)&lt;&gt;"",INDEX(CONFIRM!$I$5:$I$53,G341),H341),H341)</f>
        <v>Community-Based Clinical Services</v>
      </c>
      <c r="J341" s="1" t="str">
        <f aca="false">IFERROR(INDEX(MAP!$F$7:$F$74,MATCH(TRIM(I341),MAP!$E$7:$E$74,0)),"UNMAPPED")</f>
        <v>Community-based clinical services</v>
      </c>
      <c r="K341" s="1" t="str">
        <f aca="false">IFERROR(INDEX(MAP!$G$7:$G$74,MATCH(TRIM(I341),MAP!$E$7:$E$74,0)),"UNMAPPED")</f>
        <v>7e</v>
      </c>
      <c r="L341" s="49" t="n">
        <f aca="false">STACK!G341</f>
        <v>46081</v>
      </c>
      <c r="M341" s="59" t="n">
        <f aca="false">IF(G341&gt;0,IF(INDEX(CONFIRM!$G$5:$G$53,G341)&lt;&gt;"",INDEX(CONFIRM!$G$5:$G$53,G341),IF(ISNUMBER(L341),L341,IFERROR(DATEVALUE(L341),""))),IF(ISNUMBER(L341),L341,IFERROR(DATEVALUE(L341),"")))</f>
        <v>46081</v>
      </c>
      <c r="N341" s="1" t="str">
        <f aca="false">IF(M341="","Check",IF(AND(M341&gt;=INPUTS!$C$6,M341&lt;=INPUTS!$C$7),"Yes","No"))</f>
        <v>Yes</v>
      </c>
      <c r="O341" s="48" t="str">
        <f aca="false">STACK!H341</f>
        <v>RPh</v>
      </c>
      <c r="P341" s="1" t="str">
        <f aca="false">IF(G341&gt;0,IF(INDEX(CONFIRM!$H$5:$H$53,G341)&lt;&gt;"",INDEX(CONFIRM!$H$5:$H$53,G341),IFERROR(INDEX(MAP!$B$7:$B$156,MATCH(TRIM(O341),MAP!$A$7:$A$156,0)),"UNMAPPED")),IFERROR(INDEX(MAP!$B$7:$B$156,MATCH(TRIM(O341),MAP!$A$7:$A$156,0)),"UNMAPPED"))</f>
        <v>Pharmacist</v>
      </c>
      <c r="Q341" s="48" t="n">
        <f aca="false">STACK!I341</f>
        <v>21</v>
      </c>
      <c r="R341" s="60" t="n">
        <f aca="false">IF(G341&gt;0,IF(INDEX(CONFIRM!$F$5:$F$53,G341)&lt;&gt;"",INDEX(CONFIRM!$F$5:$F$53,G341),IF(ISNUMBER(Q341),Q341,IF(Q341="","",IFERROR(VALUE(TRIM(SUBSTITUTE(SUBSTITUTE(LOWER(Q341),"hrs",""),"hr",""))),"")))),IF(ISNUMBER(Q341),Q341,IF(Q341="","",IFERROR(VALUE(TRIM(SUBSTITUTE(SUBSTITUTE(LOWER(Q341),"hrs",""),"hr",""))),""))))</f>
        <v>21</v>
      </c>
      <c r="S341" s="57" t="n">
        <f aca="false">IFERROR(INDEX(RATES!$E$6:$E$28,MATCH(P341,RATES!$A$6:$A$28,0)),0)</f>
        <v>84.81</v>
      </c>
      <c r="T341" s="61" t="n">
        <f aca="false">IF(ISNUMBER(R341),R341,0)*S341</f>
        <v>1781.01</v>
      </c>
      <c r="U341" s="61" t="n">
        <f aca="false">T341*INDEX(INPUTS!$H$10:$H$14,MATCH(B341,INPUTS!$A$10:$A$14,0))</f>
        <v>329.48685</v>
      </c>
      <c r="V341" s="61" t="n">
        <f aca="false">N(STACK!K341)</f>
        <v>0</v>
      </c>
      <c r="W341" s="61" t="n">
        <f aca="false">T341+U341+V341</f>
        <v>2110.49685</v>
      </c>
      <c r="X341" s="61" t="n">
        <f aca="false">N(STACK!L341)</f>
        <v>0</v>
      </c>
      <c r="Y341" s="61" t="n">
        <f aca="false">W341-X341</f>
        <v>2110.49685</v>
      </c>
      <c r="Z341" s="1" t="n">
        <f aca="false">N(STACK!J341)</f>
        <v>0</v>
      </c>
      <c r="AA341" s="1" t="str">
        <f aca="false">TRIM(IF(D341="UNMAPPED","Program not mapped. ","")&amp;IF(OR(K341="UNMAPPED",K341="UNASSIGNED"),"Category needs review. ","")&amp;IF(P341="UNMAPPED","Title not mapped. ","")&amp;IF(AND(P341&lt;&gt;"No staff time",R341=""),"Missing hours. ","")&amp;IF(M341="","Date not readable. ","")&amp;IF(N341="No","Outside fiscal year. ","")&amp;IF(AND(F341="Event",ISNUMBER(R341)),IF(R341&gt;12,"Event hours look high. ",""),"")&amp;IF(G341&gt;0,"See CONFIRM sheet.",""))</f>
        <v/>
      </c>
      <c r="AB341" s="1" t="n">
        <f aca="false">IF(N341="No",0,IF(REVIEW!O341=0,0,IF(G341&gt;0,IF(INDEX(CONFIRM!$J$5:$J$53,G341)&lt;&gt;"",INDEX(CONFIRM!$J$5:$J$53,G341),1),1)))</f>
        <v>1</v>
      </c>
      <c r="AC341" s="1" t="n">
        <f aca="false">IF(AB341=1,IF(COUNTIFS($B$5:B341,B341,$D$5:D341,D341,$AB$5:AB341,1)=1,1,0),0)</f>
        <v>0</v>
      </c>
    </row>
    <row r="342" customFormat="false" ht="15" hidden="false" customHeight="false" outlineLevel="0" collapsed="false">
      <c r="A342" s="48" t="str">
        <f aca="false">STACK!A342</f>
        <v>KVMC-0338</v>
      </c>
      <c r="B342" s="48" t="str">
        <f aca="false">STACK!B342</f>
        <v>KVMC</v>
      </c>
      <c r="C342" s="48" t="str">
        <f aca="false">STACK!E342</f>
        <v>Free Clinic Provider Staffing</v>
      </c>
      <c r="D342" s="1" t="str">
        <f aca="false">IFERROR(INDEX(MAP!$J$7:$J$101,MATCH(TRIM(C342),MAP!$I$7:$I$101,0)),"UNMAPPED")</f>
        <v>Free Clinic Provider Staffing</v>
      </c>
      <c r="E342" s="1" t="str">
        <f aca="false">IFERROR(INDEX(MAP!$K$7:$K$101,MATCH(TRIM(C342),MAP!$I$7:$I$101,0)),"")</f>
        <v>Access to care</v>
      </c>
      <c r="F342" s="1" t="str">
        <f aca="false">IFERROR(INDEX(MAP!$L$7:$L$101,MATCH(TRIM(C342),MAP!$I$7:$I$101,0)),"")</f>
        <v>Monthly</v>
      </c>
      <c r="G342" s="1" t="n">
        <f aca="false">IFERROR(MATCH(A342,CONFIRM!$A$5:$A$53,0),0)</f>
        <v>0</v>
      </c>
      <c r="H342" s="48" t="str">
        <f aca="false">STACK!F342</f>
        <v>Community-Based Clinical Services</v>
      </c>
      <c r="I342" s="1" t="str">
        <f aca="false">IF(G342&gt;0,IF(INDEX(CONFIRM!$I$5:$I$53,G342)&lt;&gt;"",INDEX(CONFIRM!$I$5:$I$53,G342),H342),H342)</f>
        <v>Community-Based Clinical Services</v>
      </c>
      <c r="J342" s="1" t="str">
        <f aca="false">IFERROR(INDEX(MAP!$F$7:$F$74,MATCH(TRIM(I342),MAP!$E$7:$E$74,0)),"UNMAPPED")</f>
        <v>Community-based clinical services</v>
      </c>
      <c r="K342" s="1" t="str">
        <f aca="false">IFERROR(INDEX(MAP!$G$7:$G$74,MATCH(TRIM(I342),MAP!$E$7:$E$74,0)),"UNMAPPED")</f>
        <v>7e</v>
      </c>
      <c r="L342" s="49" t="n">
        <f aca="false">STACK!G342</f>
        <v>46081</v>
      </c>
      <c r="M342" s="59" t="n">
        <f aca="false">IF(G342&gt;0,IF(INDEX(CONFIRM!$G$5:$G$53,G342)&lt;&gt;"",INDEX(CONFIRM!$G$5:$G$53,G342),IF(ISNUMBER(L342),L342,IFERROR(DATEVALUE(L342),""))),IF(ISNUMBER(L342),L342,IFERROR(DATEVALUE(L342),"")))</f>
        <v>46081</v>
      </c>
      <c r="N342" s="1" t="str">
        <f aca="false">IF(M342="","Check",IF(AND(M342&gt;=INPUTS!$C$6,M342&lt;=INPUTS!$C$7),"Yes","No"))</f>
        <v>Yes</v>
      </c>
      <c r="O342" s="48" t="str">
        <f aca="false">STACK!H342</f>
        <v>Charge RN</v>
      </c>
      <c r="P342" s="1" t="str">
        <f aca="false">IF(G342&gt;0,IF(INDEX(CONFIRM!$H$5:$H$53,G342)&lt;&gt;"",INDEX(CONFIRM!$H$5:$H$53,G342),IFERROR(INDEX(MAP!$B$7:$B$156,MATCH(TRIM(O342),MAP!$A$7:$A$156,0)),"UNMAPPED")),IFERROR(INDEX(MAP!$B$7:$B$156,MATCH(TRIM(O342),MAP!$A$7:$A$156,0)),"UNMAPPED"))</f>
        <v>Registered Nurse</v>
      </c>
      <c r="Q342" s="48" t="n">
        <f aca="false">STACK!I342</f>
        <v>56.75</v>
      </c>
      <c r="R342" s="60" t="n">
        <f aca="false">IF(G342&gt;0,IF(INDEX(CONFIRM!$F$5:$F$53,G342)&lt;&gt;"",INDEX(CONFIRM!$F$5:$F$53,G342),IF(ISNUMBER(Q342),Q342,IF(Q342="","",IFERROR(VALUE(TRIM(SUBSTITUTE(SUBSTITUTE(LOWER(Q342),"hrs",""),"hr",""))),"")))),IF(ISNUMBER(Q342),Q342,IF(Q342="","",IFERROR(VALUE(TRIM(SUBSTITUTE(SUBSTITUTE(LOWER(Q342),"hrs",""),"hr",""))),""))))</f>
        <v>56.75</v>
      </c>
      <c r="S342" s="57" t="n">
        <f aca="false">IFERROR(INDEX(RATES!$E$6:$E$28,MATCH(P342,RATES!$A$6:$A$28,0)),0)</f>
        <v>55.8975</v>
      </c>
      <c r="T342" s="61" t="n">
        <f aca="false">IF(ISNUMBER(R342),R342,0)*S342</f>
        <v>3172.183125</v>
      </c>
      <c r="U342" s="61" t="n">
        <f aca="false">T342*INDEX(INPUTS!$H$10:$H$14,MATCH(B342,INPUTS!$A$10:$A$14,0))</f>
        <v>586.853878125</v>
      </c>
      <c r="V342" s="61" t="n">
        <f aca="false">N(STACK!K342)</f>
        <v>0</v>
      </c>
      <c r="W342" s="61" t="n">
        <f aca="false">T342+U342+V342</f>
        <v>3759.037003125</v>
      </c>
      <c r="X342" s="61" t="n">
        <f aca="false">N(STACK!L342)</f>
        <v>0</v>
      </c>
      <c r="Y342" s="61" t="n">
        <f aca="false">W342-X342</f>
        <v>3759.037003125</v>
      </c>
      <c r="Z342" s="1" t="n">
        <f aca="false">N(STACK!J342)</f>
        <v>0</v>
      </c>
      <c r="AA342" s="1" t="str">
        <f aca="false">TRIM(IF(D342="UNMAPPED","Program not mapped. ","")&amp;IF(OR(K342="UNMAPPED",K342="UNASSIGNED"),"Category needs review. ","")&amp;IF(P342="UNMAPPED","Title not mapped. ","")&amp;IF(AND(P342&lt;&gt;"No staff time",R342=""),"Missing hours. ","")&amp;IF(M342="","Date not readable. ","")&amp;IF(N342="No","Outside fiscal year. ","")&amp;IF(AND(F342="Event",ISNUMBER(R342)),IF(R342&gt;12,"Event hours look high. ",""),"")&amp;IF(G342&gt;0,"See CONFIRM sheet.",""))</f>
        <v/>
      </c>
      <c r="AB342" s="1" t="n">
        <f aca="false">IF(N342="No",0,IF(REVIEW!O342=0,0,IF(G342&gt;0,IF(INDEX(CONFIRM!$J$5:$J$53,G342)&lt;&gt;"",INDEX(CONFIRM!$J$5:$J$53,G342),1),1)))</f>
        <v>1</v>
      </c>
      <c r="AC342" s="1" t="n">
        <f aca="false">IF(AB342=1,IF(COUNTIFS($B$5:B342,B342,$D$5:D342,D342,$AB$5:AB342,1)=1,1,0),0)</f>
        <v>0</v>
      </c>
    </row>
    <row r="343" customFormat="false" ht="15" hidden="false" customHeight="false" outlineLevel="0" collapsed="false">
      <c r="A343" s="48" t="str">
        <f aca="false">STACK!A343</f>
        <v>KVMC-0339</v>
      </c>
      <c r="B343" s="48" t="str">
        <f aca="false">STACK!B343</f>
        <v>KVMC</v>
      </c>
      <c r="C343" s="48" t="str">
        <f aca="false">STACK!E343</f>
        <v>Community Health Worker Outreach</v>
      </c>
      <c r="D343" s="1" t="str">
        <f aca="false">IFERROR(INDEX(MAP!$J$7:$J$101,MATCH(TRIM(C343),MAP!$I$7:$I$101,0)),"UNMAPPED")</f>
        <v>Community Health Worker Outreach</v>
      </c>
      <c r="E343" s="1" t="str">
        <f aca="false">IFERROR(INDEX(MAP!$K$7:$K$101,MATCH(TRIM(C343),MAP!$I$7:$I$101,0)),"")</f>
        <v>Access to care</v>
      </c>
      <c r="F343" s="1" t="str">
        <f aca="false">IFERROR(INDEX(MAP!$L$7:$L$101,MATCH(TRIM(C343),MAP!$I$7:$I$101,0)),"")</f>
        <v>Monthly</v>
      </c>
      <c r="G343" s="1" t="n">
        <f aca="false">IFERROR(MATCH(A343,CONFIRM!$A$5:$A$53,0),0)</f>
        <v>0</v>
      </c>
      <c r="H343" s="48" t="str">
        <f aca="false">STACK!F343</f>
        <v>Health Care Support Services</v>
      </c>
      <c r="I343" s="1" t="str">
        <f aca="false">IF(G343&gt;0,IF(INDEX(CONFIRM!$I$5:$I$53,G343)&lt;&gt;"",INDEX(CONFIRM!$I$5:$I$53,G343),H343),H343)</f>
        <v>Health Care Support Services</v>
      </c>
      <c r="J343" s="1" t="str">
        <f aca="false">IFERROR(INDEX(MAP!$F$7:$F$74,MATCH(TRIM(I343),MAP!$E$7:$E$74,0)),"UNMAPPED")</f>
        <v>Health care support services</v>
      </c>
      <c r="K343" s="1" t="str">
        <f aca="false">IFERROR(INDEX(MAP!$G$7:$G$74,MATCH(TRIM(I343),MAP!$E$7:$E$74,0)),"UNMAPPED")</f>
        <v>7e</v>
      </c>
      <c r="L343" s="49" t="n">
        <f aca="false">STACK!G343</f>
        <v>46081</v>
      </c>
      <c r="M343" s="59" t="n">
        <f aca="false">IF(G343&gt;0,IF(INDEX(CONFIRM!$G$5:$G$53,G343)&lt;&gt;"",INDEX(CONFIRM!$G$5:$G$53,G343),IF(ISNUMBER(L343),L343,IFERROR(DATEVALUE(L343),""))),IF(ISNUMBER(L343),L343,IFERROR(DATEVALUE(L343),"")))</f>
        <v>46081</v>
      </c>
      <c r="N343" s="1" t="str">
        <f aca="false">IF(M343="","Check",IF(AND(M343&gt;=INPUTS!$C$6,M343&lt;=INPUTS!$C$7),"Yes","No"))</f>
        <v>Yes</v>
      </c>
      <c r="O343" s="48" t="str">
        <f aca="false">STACK!H343</f>
        <v>Comm. Health Worker</v>
      </c>
      <c r="P343" s="1" t="str">
        <f aca="false">IF(G343&gt;0,IF(INDEX(CONFIRM!$H$5:$H$53,G343)&lt;&gt;"",INDEX(CONFIRM!$H$5:$H$53,G343),IFERROR(INDEX(MAP!$B$7:$B$156,MATCH(TRIM(O343),MAP!$A$7:$A$156,0)),"UNMAPPED")),IFERROR(INDEX(MAP!$B$7:$B$156,MATCH(TRIM(O343),MAP!$A$7:$A$156,0)),"UNMAPPED"))</f>
        <v>Community Health Worker</v>
      </c>
      <c r="Q343" s="48" t="n">
        <f aca="false">STACK!I343</f>
        <v>391.5</v>
      </c>
      <c r="R343" s="60" t="n">
        <f aca="false">IF(G343&gt;0,IF(INDEX(CONFIRM!$F$5:$F$53,G343)&lt;&gt;"",INDEX(CONFIRM!$F$5:$F$53,G343),IF(ISNUMBER(Q343),Q343,IF(Q343="","",IFERROR(VALUE(TRIM(SUBSTITUTE(SUBSTITUTE(LOWER(Q343),"hrs",""),"hr",""))),"")))),IF(ISNUMBER(Q343),Q343,IF(Q343="","",IFERROR(VALUE(TRIM(SUBSTITUTE(SUBSTITUTE(LOWER(Q343),"hrs",""),"hr",""))),""))))</f>
        <v>391.5</v>
      </c>
      <c r="S343" s="57" t="n">
        <f aca="false">IFERROR(INDEX(RATES!$E$6:$E$28,MATCH(P343,RATES!$A$6:$A$28,0)),0)</f>
        <v>27.6275</v>
      </c>
      <c r="T343" s="61" t="n">
        <f aca="false">IF(ISNUMBER(R343),R343,0)*S343</f>
        <v>10816.16625</v>
      </c>
      <c r="U343" s="61" t="n">
        <f aca="false">T343*INDEX(INPUTS!$H$10:$H$14,MATCH(B343,INPUTS!$A$10:$A$14,0))</f>
        <v>2000.99075625</v>
      </c>
      <c r="V343" s="61" t="n">
        <f aca="false">N(STACK!K343)</f>
        <v>1915</v>
      </c>
      <c r="W343" s="61" t="n">
        <f aca="false">T343+U343+V343</f>
        <v>14732.15700625</v>
      </c>
      <c r="X343" s="61" t="n">
        <f aca="false">N(STACK!L343)</f>
        <v>0</v>
      </c>
      <c r="Y343" s="61" t="n">
        <f aca="false">W343-X343</f>
        <v>14732.15700625</v>
      </c>
      <c r="Z343" s="1" t="n">
        <f aca="false">N(STACK!J343)</f>
        <v>419</v>
      </c>
      <c r="AA343" s="1" t="str">
        <f aca="false">TRIM(IF(D343="UNMAPPED","Program not mapped. ","")&amp;IF(OR(K343="UNMAPPED",K343="UNASSIGNED"),"Category needs review. ","")&amp;IF(P343="UNMAPPED","Title not mapped. ","")&amp;IF(AND(P343&lt;&gt;"No staff time",R343=""),"Missing hours. ","")&amp;IF(M343="","Date not readable. ","")&amp;IF(N343="No","Outside fiscal year. ","")&amp;IF(AND(F343="Event",ISNUMBER(R343)),IF(R343&gt;12,"Event hours look high. ",""),"")&amp;IF(G343&gt;0,"See CONFIRM sheet.",""))</f>
        <v/>
      </c>
      <c r="AB343" s="1" t="n">
        <f aca="false">IF(N343="No",0,IF(REVIEW!O343=0,0,IF(G343&gt;0,IF(INDEX(CONFIRM!$J$5:$J$53,G343)&lt;&gt;"",INDEX(CONFIRM!$J$5:$J$53,G343),1),1)))</f>
        <v>1</v>
      </c>
      <c r="AC343" s="1" t="n">
        <f aca="false">IF(AB343=1,IF(COUNTIFS($B$5:B343,B343,$D$5:D343,D343,$AB$5:AB343,1)=1,1,0),0)</f>
        <v>0</v>
      </c>
    </row>
    <row r="344" customFormat="false" ht="15" hidden="false" customHeight="false" outlineLevel="0" collapsed="false">
      <c r="A344" s="48" t="str">
        <f aca="false">STACK!A344</f>
        <v>KVMC-0340</v>
      </c>
      <c r="B344" s="48" t="str">
        <f aca="false">STACK!B344</f>
        <v>KVMC</v>
      </c>
      <c r="C344" s="48" t="str">
        <f aca="false">STACK!E344</f>
        <v>Community Health Worker Outreach</v>
      </c>
      <c r="D344" s="1" t="str">
        <f aca="false">IFERROR(INDEX(MAP!$J$7:$J$101,MATCH(TRIM(C344),MAP!$I$7:$I$101,0)),"UNMAPPED")</f>
        <v>Community Health Worker Outreach</v>
      </c>
      <c r="E344" s="1" t="str">
        <f aca="false">IFERROR(INDEX(MAP!$K$7:$K$101,MATCH(TRIM(C344),MAP!$I$7:$I$101,0)),"")</f>
        <v>Access to care</v>
      </c>
      <c r="F344" s="1" t="str">
        <f aca="false">IFERROR(INDEX(MAP!$L$7:$L$101,MATCH(TRIM(C344),MAP!$I$7:$I$101,0)),"")</f>
        <v>Monthly</v>
      </c>
      <c r="G344" s="1" t="n">
        <f aca="false">IFERROR(MATCH(A344,CONFIRM!$A$5:$A$53,0),0)</f>
        <v>0</v>
      </c>
      <c r="H344" s="48" t="str">
        <f aca="false">STACK!F344</f>
        <v>Health Care Support Services</v>
      </c>
      <c r="I344" s="1" t="str">
        <f aca="false">IF(G344&gt;0,IF(INDEX(CONFIRM!$I$5:$I$53,G344)&lt;&gt;"",INDEX(CONFIRM!$I$5:$I$53,G344),H344),H344)</f>
        <v>Health Care Support Services</v>
      </c>
      <c r="J344" s="1" t="str">
        <f aca="false">IFERROR(INDEX(MAP!$F$7:$F$74,MATCH(TRIM(I344),MAP!$E$7:$E$74,0)),"UNMAPPED")</f>
        <v>Health care support services</v>
      </c>
      <c r="K344" s="1" t="str">
        <f aca="false">IFERROR(INDEX(MAP!$G$7:$G$74,MATCH(TRIM(I344),MAP!$E$7:$E$74,0)),"UNMAPPED")</f>
        <v>7e</v>
      </c>
      <c r="L344" s="49" t="n">
        <f aca="false">STACK!G344</f>
        <v>46081</v>
      </c>
      <c r="M344" s="59" t="n">
        <f aca="false">IF(G344&gt;0,IF(INDEX(CONFIRM!$G$5:$G$53,G344)&lt;&gt;"",INDEX(CONFIRM!$G$5:$G$53,G344),IF(ISNUMBER(L344),L344,IFERROR(DATEVALUE(L344),""))),IF(ISNUMBER(L344),L344,IFERROR(DATEVALUE(L344),"")))</f>
        <v>46081</v>
      </c>
      <c r="N344" s="1" t="str">
        <f aca="false">IF(M344="","Check",IF(AND(M344&gt;=INPUTS!$C$6,M344&lt;=INPUTS!$C$7),"Yes","No"))</f>
        <v>Yes</v>
      </c>
      <c r="O344" s="48" t="str">
        <f aca="false">STACK!H344</f>
        <v>Pt Navigator</v>
      </c>
      <c r="P344" s="1" t="str">
        <f aca="false">IF(G344&gt;0,IF(INDEX(CONFIRM!$H$5:$H$53,G344)&lt;&gt;"",INDEX(CONFIRM!$H$5:$H$53,G344),IFERROR(INDEX(MAP!$B$7:$B$156,MATCH(TRIM(O344),MAP!$A$7:$A$156,0)),"UNMAPPED")),IFERROR(INDEX(MAP!$B$7:$B$156,MATCH(TRIM(O344),MAP!$A$7:$A$156,0)),"UNMAPPED"))</f>
        <v>Patient Navigator</v>
      </c>
      <c r="Q344" s="48" t="n">
        <f aca="false">STACK!I344</f>
        <v>187.25</v>
      </c>
      <c r="R344" s="60" t="n">
        <f aca="false">IF(G344&gt;0,IF(INDEX(CONFIRM!$F$5:$F$53,G344)&lt;&gt;"",INDEX(CONFIRM!$F$5:$F$53,G344),IF(ISNUMBER(Q344),Q344,IF(Q344="","",IFERROR(VALUE(TRIM(SUBSTITUTE(SUBSTITUTE(LOWER(Q344),"hrs",""),"hr",""))),"")))),IF(ISNUMBER(Q344),Q344,IF(Q344="","",IFERROR(VALUE(TRIM(SUBSTITUTE(SUBSTITUTE(LOWER(Q344),"hrs",""),"hr",""))),""))))</f>
        <v>187.25</v>
      </c>
      <c r="S344" s="57" t="n">
        <f aca="false">IFERROR(INDEX(RATES!$E$6:$E$28,MATCH(P344,RATES!$A$6:$A$28,0)),0)</f>
        <v>30.84</v>
      </c>
      <c r="T344" s="61" t="n">
        <f aca="false">IF(ISNUMBER(R344),R344,0)*S344</f>
        <v>5774.79</v>
      </c>
      <c r="U344" s="61" t="n">
        <f aca="false">T344*INDEX(INPUTS!$H$10:$H$14,MATCH(B344,INPUTS!$A$10:$A$14,0))</f>
        <v>1068.33615</v>
      </c>
      <c r="V344" s="61" t="n">
        <f aca="false">N(STACK!K344)</f>
        <v>0</v>
      </c>
      <c r="W344" s="61" t="n">
        <f aca="false">T344+U344+V344</f>
        <v>6843.12615</v>
      </c>
      <c r="X344" s="61" t="n">
        <f aca="false">N(STACK!L344)</f>
        <v>0</v>
      </c>
      <c r="Y344" s="61" t="n">
        <f aca="false">W344-X344</f>
        <v>6843.12615</v>
      </c>
      <c r="Z344" s="1" t="n">
        <f aca="false">N(STACK!J344)</f>
        <v>0</v>
      </c>
      <c r="AA344" s="1" t="str">
        <f aca="false">TRIM(IF(D344="UNMAPPED","Program not mapped. ","")&amp;IF(OR(K344="UNMAPPED",K344="UNASSIGNED"),"Category needs review. ","")&amp;IF(P344="UNMAPPED","Title not mapped. ","")&amp;IF(AND(P344&lt;&gt;"No staff time",R344=""),"Missing hours. ","")&amp;IF(M344="","Date not readable. ","")&amp;IF(N344="No","Outside fiscal year. ","")&amp;IF(AND(F344="Event",ISNUMBER(R344)),IF(R344&gt;12,"Event hours look high. ",""),"")&amp;IF(G344&gt;0,"See CONFIRM sheet.",""))</f>
        <v/>
      </c>
      <c r="AB344" s="1" t="n">
        <f aca="false">IF(N344="No",0,IF(REVIEW!O344=0,0,IF(G344&gt;0,IF(INDEX(CONFIRM!$J$5:$J$53,G344)&lt;&gt;"",INDEX(CONFIRM!$J$5:$J$53,G344),1),1)))</f>
        <v>1</v>
      </c>
      <c r="AC344" s="1" t="n">
        <f aca="false">IF(AB344=1,IF(COUNTIFS($B$5:B344,B344,$D$5:D344,D344,$AB$5:AB344,1)=1,1,0),0)</f>
        <v>0</v>
      </c>
    </row>
    <row r="345" customFormat="false" ht="15" hidden="false" customHeight="false" outlineLevel="0" collapsed="false">
      <c r="A345" s="48" t="str">
        <f aca="false">STACK!A345</f>
        <v>KVMC-0341</v>
      </c>
      <c r="B345" s="48" t="str">
        <f aca="false">STACK!B345</f>
        <v>KVMC</v>
      </c>
      <c r="C345" s="48" t="str">
        <f aca="false">STACK!E345</f>
        <v>Medication Assistance Program</v>
      </c>
      <c r="D345" s="1" t="str">
        <f aca="false">IFERROR(INDEX(MAP!$J$7:$J$101,MATCH(TRIM(C345),MAP!$I$7:$I$101,0)),"UNMAPPED")</f>
        <v>Medication Assistance Program</v>
      </c>
      <c r="E345" s="1" t="str">
        <f aca="false">IFERROR(INDEX(MAP!$K$7:$K$101,MATCH(TRIM(C345),MAP!$I$7:$I$101,0)),"")</f>
        <v>Access to care</v>
      </c>
      <c r="F345" s="1" t="str">
        <f aca="false">IFERROR(INDEX(MAP!$L$7:$L$101,MATCH(TRIM(C345),MAP!$I$7:$I$101,0)),"")</f>
        <v>Monthly</v>
      </c>
      <c r="G345" s="1" t="n">
        <f aca="false">IFERROR(MATCH(A345,CONFIRM!$A$5:$A$53,0),0)</f>
        <v>0</v>
      </c>
      <c r="H345" s="48" t="str">
        <f aca="false">STACK!F345</f>
        <v>Health Care Support Services</v>
      </c>
      <c r="I345" s="1" t="str">
        <f aca="false">IF(G345&gt;0,IF(INDEX(CONFIRM!$I$5:$I$53,G345)&lt;&gt;"",INDEX(CONFIRM!$I$5:$I$53,G345),H345),H345)</f>
        <v>Health Care Support Services</v>
      </c>
      <c r="J345" s="1" t="str">
        <f aca="false">IFERROR(INDEX(MAP!$F$7:$F$74,MATCH(TRIM(I345),MAP!$E$7:$E$74,0)),"UNMAPPED")</f>
        <v>Health care support services</v>
      </c>
      <c r="K345" s="1" t="str">
        <f aca="false">IFERROR(INDEX(MAP!$G$7:$G$74,MATCH(TRIM(I345),MAP!$E$7:$E$74,0)),"UNMAPPED")</f>
        <v>7e</v>
      </c>
      <c r="L345" s="49" t="n">
        <f aca="false">STACK!G345</f>
        <v>46081</v>
      </c>
      <c r="M345" s="59" t="n">
        <f aca="false">IF(G345&gt;0,IF(INDEX(CONFIRM!$G$5:$G$53,G345)&lt;&gt;"",INDEX(CONFIRM!$G$5:$G$53,G345),IF(ISNUMBER(L345),L345,IFERROR(DATEVALUE(L345),""))),IF(ISNUMBER(L345),L345,IFERROR(DATEVALUE(L345),"")))</f>
        <v>46081</v>
      </c>
      <c r="N345" s="1" t="str">
        <f aca="false">IF(M345="","Check",IF(AND(M345&gt;=INPUTS!$C$6,M345&lt;=INPUTS!$C$7),"Yes","No"))</f>
        <v>Yes</v>
      </c>
      <c r="O345" s="48" t="str">
        <f aca="false">STACK!H345</f>
        <v>Patient Navigator</v>
      </c>
      <c r="P345" s="1" t="str">
        <f aca="false">IF(G345&gt;0,IF(INDEX(CONFIRM!$H$5:$H$53,G345)&lt;&gt;"",INDEX(CONFIRM!$H$5:$H$53,G345),IFERROR(INDEX(MAP!$B$7:$B$156,MATCH(TRIM(O345),MAP!$A$7:$A$156,0)),"UNMAPPED")),IFERROR(INDEX(MAP!$B$7:$B$156,MATCH(TRIM(O345),MAP!$A$7:$A$156,0)),"UNMAPPED"))</f>
        <v>Patient Navigator</v>
      </c>
      <c r="Q345" s="48" t="n">
        <f aca="false">STACK!I345</f>
        <v>103</v>
      </c>
      <c r="R345" s="60" t="n">
        <f aca="false">IF(G345&gt;0,IF(INDEX(CONFIRM!$F$5:$F$53,G345)&lt;&gt;"",INDEX(CONFIRM!$F$5:$F$53,G345),IF(ISNUMBER(Q345),Q345,IF(Q345="","",IFERROR(VALUE(TRIM(SUBSTITUTE(SUBSTITUTE(LOWER(Q345),"hrs",""),"hr",""))),"")))),IF(ISNUMBER(Q345),Q345,IF(Q345="","",IFERROR(VALUE(TRIM(SUBSTITUTE(SUBSTITUTE(LOWER(Q345),"hrs",""),"hr",""))),""))))</f>
        <v>103</v>
      </c>
      <c r="S345" s="57" t="n">
        <f aca="false">IFERROR(INDEX(RATES!$E$6:$E$28,MATCH(P345,RATES!$A$6:$A$28,0)),0)</f>
        <v>30.84</v>
      </c>
      <c r="T345" s="61" t="n">
        <f aca="false">IF(ISNUMBER(R345),R345,0)*S345</f>
        <v>3176.52</v>
      </c>
      <c r="U345" s="61" t="n">
        <f aca="false">T345*INDEX(INPUTS!$H$10:$H$14,MATCH(B345,INPUTS!$A$10:$A$14,0))</f>
        <v>587.6562</v>
      </c>
      <c r="V345" s="61" t="n">
        <f aca="false">N(STACK!K345)</f>
        <v>0</v>
      </c>
      <c r="W345" s="61" t="n">
        <f aca="false">T345+U345+V345</f>
        <v>3764.1762</v>
      </c>
      <c r="X345" s="61" t="n">
        <f aca="false">N(STACK!L345)</f>
        <v>0</v>
      </c>
      <c r="Y345" s="61" t="n">
        <f aca="false">W345-X345</f>
        <v>3764.1762</v>
      </c>
      <c r="Z345" s="1" t="n">
        <f aca="false">N(STACK!J345)</f>
        <v>0</v>
      </c>
      <c r="AA345" s="1" t="str">
        <f aca="false">TRIM(IF(D345="UNMAPPED","Program not mapped. ","")&amp;IF(OR(K345="UNMAPPED",K345="UNASSIGNED"),"Category needs review. ","")&amp;IF(P345="UNMAPPED","Title not mapped. ","")&amp;IF(AND(P345&lt;&gt;"No staff time",R345=""),"Missing hours. ","")&amp;IF(M345="","Date not readable. ","")&amp;IF(N345="No","Outside fiscal year. ","")&amp;IF(AND(F345="Event",ISNUMBER(R345)),IF(R345&gt;12,"Event hours look high. ",""),"")&amp;IF(G345&gt;0,"See CONFIRM sheet.",""))</f>
        <v/>
      </c>
      <c r="AB345" s="1" t="n">
        <f aca="false">IF(N345="No",0,IF(REVIEW!O345=0,0,IF(G345&gt;0,IF(INDEX(CONFIRM!$J$5:$J$53,G345)&lt;&gt;"",INDEX(CONFIRM!$J$5:$J$53,G345),1),1)))</f>
        <v>1</v>
      </c>
      <c r="AC345" s="1" t="n">
        <f aca="false">IF(AB345=1,IF(COUNTIFS($B$5:B345,B345,$D$5:D345,D345,$AB$5:AB345,1)=1,1,0),0)</f>
        <v>0</v>
      </c>
    </row>
    <row r="346" customFormat="false" ht="15" hidden="false" customHeight="false" outlineLevel="0" collapsed="false">
      <c r="A346" s="48" t="str">
        <f aca="false">STACK!A346</f>
        <v>KVMC-0342</v>
      </c>
      <c r="B346" s="48" t="str">
        <f aca="false">STACK!B346</f>
        <v>KVMC</v>
      </c>
      <c r="C346" s="48" t="str">
        <f aca="false">STACK!E346</f>
        <v>Medication Assistance Program</v>
      </c>
      <c r="D346" s="1" t="str">
        <f aca="false">IFERROR(INDEX(MAP!$J$7:$J$101,MATCH(TRIM(C346),MAP!$I$7:$I$101,0)),"UNMAPPED")</f>
        <v>Medication Assistance Program</v>
      </c>
      <c r="E346" s="1" t="str">
        <f aca="false">IFERROR(INDEX(MAP!$K$7:$K$101,MATCH(TRIM(C346),MAP!$I$7:$I$101,0)),"")</f>
        <v>Access to care</v>
      </c>
      <c r="F346" s="1" t="str">
        <f aca="false">IFERROR(INDEX(MAP!$L$7:$L$101,MATCH(TRIM(C346),MAP!$I$7:$I$101,0)),"")</f>
        <v>Monthly</v>
      </c>
      <c r="G346" s="1" t="n">
        <f aca="false">IFERROR(MATCH(A346,CONFIRM!$A$5:$A$53,0),0)</f>
        <v>0</v>
      </c>
      <c r="H346" s="48" t="str">
        <f aca="false">STACK!F346</f>
        <v>Health Care Support Services</v>
      </c>
      <c r="I346" s="1" t="str">
        <f aca="false">IF(G346&gt;0,IF(INDEX(CONFIRM!$I$5:$I$53,G346)&lt;&gt;"",INDEX(CONFIRM!$I$5:$I$53,G346),H346),H346)</f>
        <v>Health Care Support Services</v>
      </c>
      <c r="J346" s="1" t="str">
        <f aca="false">IFERROR(INDEX(MAP!$F$7:$F$74,MATCH(TRIM(I346),MAP!$E$7:$E$74,0)),"UNMAPPED")</f>
        <v>Health care support services</v>
      </c>
      <c r="K346" s="1" t="str">
        <f aca="false">IFERROR(INDEX(MAP!$G$7:$G$74,MATCH(TRIM(I346),MAP!$E$7:$E$74,0)),"UNMAPPED")</f>
        <v>7e</v>
      </c>
      <c r="L346" s="49" t="n">
        <f aca="false">STACK!G346</f>
        <v>46081</v>
      </c>
      <c r="M346" s="59" t="n">
        <f aca="false">IF(G346&gt;0,IF(INDEX(CONFIRM!$G$5:$G$53,G346)&lt;&gt;"",INDEX(CONFIRM!$G$5:$G$53,G346),IF(ISNUMBER(L346),L346,IFERROR(DATEVALUE(L346),""))),IF(ISNUMBER(L346),L346,IFERROR(DATEVALUE(L346),"")))</f>
        <v>46081</v>
      </c>
      <c r="N346" s="1" t="str">
        <f aca="false">IF(M346="","Check",IF(AND(M346&gt;=INPUTS!$C$6,M346&lt;=INPUTS!$C$7),"Yes","No"))</f>
        <v>Yes</v>
      </c>
      <c r="O346" s="48" t="str">
        <f aca="false">STACK!H346</f>
        <v> Staff Pharmacist</v>
      </c>
      <c r="P346" s="1" t="str">
        <f aca="false">IF(G346&gt;0,IF(INDEX(CONFIRM!$H$5:$H$53,G346)&lt;&gt;"",INDEX(CONFIRM!$H$5:$H$53,G346),IFERROR(INDEX(MAP!$B$7:$B$156,MATCH(TRIM(O346),MAP!$A$7:$A$156,0)),"UNMAPPED")),IFERROR(INDEX(MAP!$B$7:$B$156,MATCH(TRIM(O346),MAP!$A$7:$A$156,0)),"UNMAPPED"))</f>
        <v>Pharmacist</v>
      </c>
      <c r="Q346" s="48" t="n">
        <f aca="false">STACK!I346</f>
        <v>22.75</v>
      </c>
      <c r="R346" s="60" t="n">
        <f aca="false">IF(G346&gt;0,IF(INDEX(CONFIRM!$F$5:$F$53,G346)&lt;&gt;"",INDEX(CONFIRM!$F$5:$F$53,G346),IF(ISNUMBER(Q346),Q346,IF(Q346="","",IFERROR(VALUE(TRIM(SUBSTITUTE(SUBSTITUTE(LOWER(Q346),"hrs",""),"hr",""))),"")))),IF(ISNUMBER(Q346),Q346,IF(Q346="","",IFERROR(VALUE(TRIM(SUBSTITUTE(SUBSTITUTE(LOWER(Q346),"hrs",""),"hr",""))),""))))</f>
        <v>22.75</v>
      </c>
      <c r="S346" s="57" t="n">
        <f aca="false">IFERROR(INDEX(RATES!$E$6:$E$28,MATCH(P346,RATES!$A$6:$A$28,0)),0)</f>
        <v>84.81</v>
      </c>
      <c r="T346" s="61" t="n">
        <f aca="false">IF(ISNUMBER(R346),R346,0)*S346</f>
        <v>1929.4275</v>
      </c>
      <c r="U346" s="61" t="n">
        <f aca="false">T346*INDEX(INPUTS!$H$10:$H$14,MATCH(B346,INPUTS!$A$10:$A$14,0))</f>
        <v>356.9440875</v>
      </c>
      <c r="V346" s="61" t="n">
        <f aca="false">N(STACK!K346)</f>
        <v>25855</v>
      </c>
      <c r="W346" s="61" t="n">
        <f aca="false">T346+U346+V346</f>
        <v>28141.3715875</v>
      </c>
      <c r="X346" s="61" t="n">
        <f aca="false">N(STACK!L346)</f>
        <v>0</v>
      </c>
      <c r="Y346" s="61" t="n">
        <f aca="false">W346-X346</f>
        <v>28141.3715875</v>
      </c>
      <c r="Z346" s="1" t="n">
        <f aca="false">N(STACK!J346)</f>
        <v>105</v>
      </c>
      <c r="AA346" s="1" t="str">
        <f aca="false">TRIM(IF(D346="UNMAPPED","Program not mapped. ","")&amp;IF(OR(K346="UNMAPPED",K346="UNASSIGNED"),"Category needs review. ","")&amp;IF(P346="UNMAPPED","Title not mapped. ","")&amp;IF(AND(P346&lt;&gt;"No staff time",R346=""),"Missing hours. ","")&amp;IF(M346="","Date not readable. ","")&amp;IF(N346="No","Outside fiscal year. ","")&amp;IF(AND(F346="Event",ISNUMBER(R346)),IF(R346&gt;12,"Event hours look high. ",""),"")&amp;IF(G346&gt;0,"See CONFIRM sheet.",""))</f>
        <v/>
      </c>
      <c r="AB346" s="1" t="n">
        <f aca="false">IF(N346="No",0,IF(REVIEW!O346=0,0,IF(G346&gt;0,IF(INDEX(CONFIRM!$J$5:$J$53,G346)&lt;&gt;"",INDEX(CONFIRM!$J$5:$J$53,G346),1),1)))</f>
        <v>1</v>
      </c>
      <c r="AC346" s="1" t="n">
        <f aca="false">IF(AB346=1,IF(COUNTIFS($B$5:B346,B346,$D$5:D346,D346,$AB$5:AB346,1)=1,1,0),0)</f>
        <v>0</v>
      </c>
    </row>
    <row r="347" customFormat="false" ht="15" hidden="false" customHeight="false" outlineLevel="0" collapsed="false">
      <c r="A347" s="48" t="str">
        <f aca="false">STACK!A347</f>
        <v>KVMC-0343</v>
      </c>
      <c r="B347" s="48" t="str">
        <f aca="false">STACK!B347</f>
        <v>KVMC</v>
      </c>
      <c r="C347" s="48" t="str">
        <f aca="false">STACK!E347</f>
        <v>Community Health Needs Assessment</v>
      </c>
      <c r="D347" s="1" t="str">
        <f aca="false">IFERROR(INDEX(MAP!$J$7:$J$101,MATCH(TRIM(C347),MAP!$I$7:$I$101,0)),"UNMAPPED")</f>
        <v>Community Health Needs Assessment</v>
      </c>
      <c r="E347" s="1" t="str">
        <f aca="false">IFERROR(INDEX(MAP!$K$7:$K$101,MATCH(TRIM(C347),MAP!$I$7:$I$101,0)),"")</f>
        <v>Community benefit infrastructure</v>
      </c>
      <c r="F347" s="1" t="str">
        <f aca="false">IFERROR(INDEX(MAP!$L$7:$L$101,MATCH(TRIM(C347),MAP!$I$7:$I$101,0)),"")</f>
        <v>Monthly</v>
      </c>
      <c r="G347" s="1" t="n">
        <f aca="false">IFERROR(MATCH(A347,CONFIRM!$A$5:$A$53,0),0)</f>
        <v>0</v>
      </c>
      <c r="H347" s="48" t="str">
        <f aca="false">STACK!F347</f>
        <v>CB Operations</v>
      </c>
      <c r="I347" s="1" t="str">
        <f aca="false">IF(G347&gt;0,IF(INDEX(CONFIRM!$I$5:$I$53,G347)&lt;&gt;"",INDEX(CONFIRM!$I$5:$I$53,G347),H347),H347)</f>
        <v>CB Operations</v>
      </c>
      <c r="J347" s="1" t="str">
        <f aca="false">IFERROR(INDEX(MAP!$F$7:$F$74,MATCH(TRIM(I347),MAP!$E$7:$E$74,0)),"UNMAPPED")</f>
        <v>Community benefit operations</v>
      </c>
      <c r="K347" s="1" t="str">
        <f aca="false">IFERROR(INDEX(MAP!$G$7:$G$74,MATCH(TRIM(I347),MAP!$E$7:$E$74,0)),"UNMAPPED")</f>
        <v>7e</v>
      </c>
      <c r="L347" s="49" t="n">
        <f aca="false">STACK!G347</f>
        <v>46081</v>
      </c>
      <c r="M347" s="59" t="n">
        <f aca="false">IF(G347&gt;0,IF(INDEX(CONFIRM!$G$5:$G$53,G347)&lt;&gt;"",INDEX(CONFIRM!$G$5:$G$53,G347),IF(ISNUMBER(L347),L347,IFERROR(DATEVALUE(L347),""))),IF(ISNUMBER(L347),L347,IFERROR(DATEVALUE(L347),"")))</f>
        <v>46081</v>
      </c>
      <c r="N347" s="1" t="str">
        <f aca="false">IF(M347="","Check",IF(AND(M347&gt;=INPUTS!$C$6,M347&lt;=INPUTS!$C$7),"Yes","No"))</f>
        <v>Yes</v>
      </c>
      <c r="O347" s="48" t="str">
        <f aca="false">STACK!H347</f>
        <v>Community Benefit Mgr</v>
      </c>
      <c r="P347" s="1" t="str">
        <f aca="false">IF(G347&gt;0,IF(INDEX(CONFIRM!$H$5:$H$53,G347)&lt;&gt;"",INDEX(CONFIRM!$H$5:$H$53,G347),IFERROR(INDEX(MAP!$B$7:$B$156,MATCH(TRIM(O347),MAP!$A$7:$A$156,0)),"UNMAPPED")),IFERROR(INDEX(MAP!$B$7:$B$156,MATCH(TRIM(O347),MAP!$A$7:$A$156,0)),"UNMAPPED"))</f>
        <v>Community Benefit Manager</v>
      </c>
      <c r="Q347" s="48" t="n">
        <f aca="false">STACK!I347</f>
        <v>121.75</v>
      </c>
      <c r="R347" s="60" t="n">
        <f aca="false">IF(G347&gt;0,IF(INDEX(CONFIRM!$F$5:$F$53,G347)&lt;&gt;"",INDEX(CONFIRM!$F$5:$F$53,G347),IF(ISNUMBER(Q347),Q347,IF(Q347="","",IFERROR(VALUE(TRIM(SUBSTITUTE(SUBSTITUTE(LOWER(Q347),"hrs",""),"hr",""))),"")))),IF(ISNUMBER(Q347),Q347,IF(Q347="","",IFERROR(VALUE(TRIM(SUBSTITUTE(SUBSTITUTE(LOWER(Q347),"hrs",""),"hr",""))),""))))</f>
        <v>121.75</v>
      </c>
      <c r="S347" s="57" t="n">
        <f aca="false">IFERROR(INDEX(RATES!$E$6:$E$28,MATCH(P347,RATES!$A$6:$A$28,0)),0)</f>
        <v>59.11</v>
      </c>
      <c r="T347" s="61" t="n">
        <f aca="false">IF(ISNUMBER(R347),R347,0)*S347</f>
        <v>7196.6425</v>
      </c>
      <c r="U347" s="61" t="n">
        <f aca="false">T347*INDEX(INPUTS!$H$10:$H$14,MATCH(B347,INPUTS!$A$10:$A$14,0))</f>
        <v>1331.3788625</v>
      </c>
      <c r="V347" s="61" t="n">
        <f aca="false">N(STACK!K347)</f>
        <v>3915</v>
      </c>
      <c r="W347" s="61" t="n">
        <f aca="false">T347+U347+V347</f>
        <v>12443.0213625</v>
      </c>
      <c r="X347" s="61" t="n">
        <f aca="false">N(STACK!L347)</f>
        <v>0</v>
      </c>
      <c r="Y347" s="61" t="n">
        <f aca="false">W347-X347</f>
        <v>12443.0213625</v>
      </c>
      <c r="Z347" s="1" t="n">
        <f aca="false">N(STACK!J347)</f>
        <v>0</v>
      </c>
      <c r="AA347" s="1" t="str">
        <f aca="false">TRIM(IF(D347="UNMAPPED","Program not mapped. ","")&amp;IF(OR(K347="UNMAPPED",K347="UNASSIGNED"),"Category needs review. ","")&amp;IF(P347="UNMAPPED","Title not mapped. ","")&amp;IF(AND(P347&lt;&gt;"No staff time",R347=""),"Missing hours. ","")&amp;IF(M347="","Date not readable. ","")&amp;IF(N347="No","Outside fiscal year. ","")&amp;IF(AND(F347="Event",ISNUMBER(R347)),IF(R347&gt;12,"Event hours look high. ",""),"")&amp;IF(G347&gt;0,"See CONFIRM sheet.",""))</f>
        <v/>
      </c>
      <c r="AB347" s="1" t="n">
        <f aca="false">IF(N347="No",0,IF(REVIEW!O347=0,0,IF(G347&gt;0,IF(INDEX(CONFIRM!$J$5:$J$53,G347)&lt;&gt;"",INDEX(CONFIRM!$J$5:$J$53,G347),1),1)))</f>
        <v>1</v>
      </c>
      <c r="AC347" s="1" t="n">
        <f aca="false">IF(AB347=1,IF(COUNTIFS($B$5:B347,B347,$D$5:D347,D347,$AB$5:AB347,1)=1,1,0),0)</f>
        <v>0</v>
      </c>
    </row>
    <row r="348" customFormat="false" ht="15" hidden="false" customHeight="false" outlineLevel="0" collapsed="false">
      <c r="A348" s="48" t="str">
        <f aca="false">STACK!A348</f>
        <v>KVMC-0344</v>
      </c>
      <c r="B348" s="48" t="str">
        <f aca="false">STACK!B348</f>
        <v>KVMC</v>
      </c>
      <c r="C348" s="48" t="str">
        <f aca="false">STACK!E348</f>
        <v>Community Health Needs Assessment</v>
      </c>
      <c r="D348" s="1" t="str">
        <f aca="false">IFERROR(INDEX(MAP!$J$7:$J$101,MATCH(TRIM(C348),MAP!$I$7:$I$101,0)),"UNMAPPED")</f>
        <v>Community Health Needs Assessment</v>
      </c>
      <c r="E348" s="1" t="str">
        <f aca="false">IFERROR(INDEX(MAP!$K$7:$K$101,MATCH(TRIM(C348),MAP!$I$7:$I$101,0)),"")</f>
        <v>Community benefit infrastructure</v>
      </c>
      <c r="F348" s="1" t="str">
        <f aca="false">IFERROR(INDEX(MAP!$L$7:$L$101,MATCH(TRIM(C348),MAP!$I$7:$I$101,0)),"")</f>
        <v>Monthly</v>
      </c>
      <c r="G348" s="1" t="n">
        <f aca="false">IFERROR(MATCH(A348,CONFIRM!$A$5:$A$53,0),0)</f>
        <v>0</v>
      </c>
      <c r="H348" s="48" t="str">
        <f aca="false">STACK!F348</f>
        <v>CB Operations</v>
      </c>
      <c r="I348" s="1" t="str">
        <f aca="false">IF(G348&gt;0,IF(INDEX(CONFIRM!$I$5:$I$53,G348)&lt;&gt;"",INDEX(CONFIRM!$I$5:$I$53,G348),H348),H348)</f>
        <v>CB Operations</v>
      </c>
      <c r="J348" s="1" t="str">
        <f aca="false">IFERROR(INDEX(MAP!$F$7:$F$74,MATCH(TRIM(I348),MAP!$E$7:$E$74,0)),"UNMAPPED")</f>
        <v>Community benefit operations</v>
      </c>
      <c r="K348" s="1" t="str">
        <f aca="false">IFERROR(INDEX(MAP!$G$7:$G$74,MATCH(TRIM(I348),MAP!$E$7:$E$74,0)),"UNMAPPED")</f>
        <v>7e</v>
      </c>
      <c r="L348" s="49" t="n">
        <f aca="false">STACK!G348</f>
        <v>46081</v>
      </c>
      <c r="M348" s="59" t="n">
        <f aca="false">IF(G348&gt;0,IF(INDEX(CONFIRM!$G$5:$G$53,G348)&lt;&gt;"",INDEX(CONFIRM!$G$5:$G$53,G348),IF(ISNUMBER(L348),L348,IFERROR(DATEVALUE(L348),""))),IF(ISNUMBER(L348),L348,IFERROR(DATEVALUE(L348),"")))</f>
        <v>46081</v>
      </c>
      <c r="N348" s="1" t="str">
        <f aca="false">IF(M348="","Check",IF(AND(M348&gt;=INPUTS!$C$6,M348&lt;=INPUTS!$C$7),"Yes","No"))</f>
        <v>Yes</v>
      </c>
      <c r="O348" s="48" t="str">
        <f aca="false">STACK!H348</f>
        <v>Data Analyst</v>
      </c>
      <c r="P348" s="1" t="str">
        <f aca="false">IF(G348&gt;0,IF(INDEX(CONFIRM!$H$5:$H$53,G348)&lt;&gt;"",INDEX(CONFIRM!$H$5:$H$53,G348),IFERROR(INDEX(MAP!$B$7:$B$156,MATCH(TRIM(O348),MAP!$A$7:$A$156,0)),"UNMAPPED")),IFERROR(INDEX(MAP!$B$7:$B$156,MATCH(TRIM(O348),MAP!$A$7:$A$156,0)),"UNMAPPED"))</f>
        <v>Data Analyst</v>
      </c>
      <c r="Q348" s="48" t="n">
        <f aca="false">STACK!I348</f>
        <v>71</v>
      </c>
      <c r="R348" s="60" t="n">
        <f aca="false">IF(G348&gt;0,IF(INDEX(CONFIRM!$F$5:$F$53,G348)&lt;&gt;"",INDEX(CONFIRM!$F$5:$F$53,G348),IF(ISNUMBER(Q348),Q348,IF(Q348="","",IFERROR(VALUE(TRIM(SUBSTITUTE(SUBSTITUTE(LOWER(Q348),"hrs",""),"hr",""))),"")))),IF(ISNUMBER(Q348),Q348,IF(Q348="","",IFERROR(VALUE(TRIM(SUBSTITUTE(SUBSTITUTE(LOWER(Q348),"hrs",""),"hr",""))),""))))</f>
        <v>71</v>
      </c>
      <c r="S348" s="57" t="n">
        <f aca="false">IFERROR(INDEX(RATES!$E$6:$E$28,MATCH(P348,RATES!$A$6:$A$28,0)),0)</f>
        <v>48.83</v>
      </c>
      <c r="T348" s="61" t="n">
        <f aca="false">IF(ISNUMBER(R348),R348,0)*S348</f>
        <v>3466.93</v>
      </c>
      <c r="U348" s="61" t="n">
        <f aca="false">T348*INDEX(INPUTS!$H$10:$H$14,MATCH(B348,INPUTS!$A$10:$A$14,0))</f>
        <v>641.38205</v>
      </c>
      <c r="V348" s="61" t="n">
        <f aca="false">N(STACK!K348)</f>
        <v>0</v>
      </c>
      <c r="W348" s="61" t="n">
        <f aca="false">T348+U348+V348</f>
        <v>4108.31205</v>
      </c>
      <c r="X348" s="61" t="n">
        <f aca="false">N(STACK!L348)</f>
        <v>0</v>
      </c>
      <c r="Y348" s="61" t="n">
        <f aca="false">W348-X348</f>
        <v>4108.31205</v>
      </c>
      <c r="Z348" s="1" t="n">
        <f aca="false">N(STACK!J348)</f>
        <v>0</v>
      </c>
      <c r="AA348" s="1" t="str">
        <f aca="false">TRIM(IF(D348="UNMAPPED","Program not mapped. ","")&amp;IF(OR(K348="UNMAPPED",K348="UNASSIGNED"),"Category needs review. ","")&amp;IF(P348="UNMAPPED","Title not mapped. ","")&amp;IF(AND(P348&lt;&gt;"No staff time",R348=""),"Missing hours. ","")&amp;IF(M348="","Date not readable. ","")&amp;IF(N348="No","Outside fiscal year. ","")&amp;IF(AND(F348="Event",ISNUMBER(R348)),IF(R348&gt;12,"Event hours look high. ",""),"")&amp;IF(G348&gt;0,"See CONFIRM sheet.",""))</f>
        <v/>
      </c>
      <c r="AB348" s="1" t="n">
        <f aca="false">IF(N348="No",0,IF(REVIEW!O348=0,0,IF(G348&gt;0,IF(INDEX(CONFIRM!$J$5:$J$53,G348)&lt;&gt;"",INDEX(CONFIRM!$J$5:$J$53,G348),1),1)))</f>
        <v>1</v>
      </c>
      <c r="AC348" s="1" t="n">
        <f aca="false">IF(AB348=1,IF(COUNTIFS($B$5:B348,B348,$D$5:D348,D348,$AB$5:AB348,1)=1,1,0),0)</f>
        <v>0</v>
      </c>
    </row>
    <row r="349" customFormat="false" ht="15" hidden="false" customHeight="false" outlineLevel="0" collapsed="false">
      <c r="A349" s="48" t="str">
        <f aca="false">STACK!A349</f>
        <v>KVMC-0345</v>
      </c>
      <c r="B349" s="48" t="str">
        <f aca="false">STACK!B349</f>
        <v>KVMC</v>
      </c>
      <c r="C349" s="48" t="str">
        <f aca="false">STACK!E349</f>
        <v>Community Benefit Program Administration</v>
      </c>
      <c r="D349" s="1" t="str">
        <f aca="false">IFERROR(INDEX(MAP!$J$7:$J$101,MATCH(TRIM(C349),MAP!$I$7:$I$101,0)),"UNMAPPED")</f>
        <v>Community Benefit Program Administration</v>
      </c>
      <c r="E349" s="1" t="str">
        <f aca="false">IFERROR(INDEX(MAP!$K$7:$K$101,MATCH(TRIM(C349),MAP!$I$7:$I$101,0)),"")</f>
        <v>Community benefit infrastructure</v>
      </c>
      <c r="F349" s="1" t="str">
        <f aca="false">IFERROR(INDEX(MAP!$L$7:$L$101,MATCH(TRIM(C349),MAP!$I$7:$I$101,0)),"")</f>
        <v>Monthly</v>
      </c>
      <c r="G349" s="1" t="n">
        <f aca="false">IFERROR(MATCH(A349,CONFIRM!$A$5:$A$53,0),0)</f>
        <v>0</v>
      </c>
      <c r="H349" s="48" t="str">
        <f aca="false">STACK!F349</f>
        <v>CB Operations</v>
      </c>
      <c r="I349" s="1" t="str">
        <f aca="false">IF(G349&gt;0,IF(INDEX(CONFIRM!$I$5:$I$53,G349)&lt;&gt;"",INDEX(CONFIRM!$I$5:$I$53,G349),H349),H349)</f>
        <v>CB Operations</v>
      </c>
      <c r="J349" s="1" t="str">
        <f aca="false">IFERROR(INDEX(MAP!$F$7:$F$74,MATCH(TRIM(I349),MAP!$E$7:$E$74,0)),"UNMAPPED")</f>
        <v>Community benefit operations</v>
      </c>
      <c r="K349" s="1" t="str">
        <f aca="false">IFERROR(INDEX(MAP!$G$7:$G$74,MATCH(TRIM(I349),MAP!$E$7:$E$74,0)),"UNMAPPED")</f>
        <v>7e</v>
      </c>
      <c r="L349" s="49" t="n">
        <f aca="false">STACK!G349</f>
        <v>46081</v>
      </c>
      <c r="M349" s="59" t="n">
        <f aca="false">IF(G349&gt;0,IF(INDEX(CONFIRM!$G$5:$G$53,G349)&lt;&gt;"",INDEX(CONFIRM!$G$5:$G$53,G349),IF(ISNUMBER(L349),L349,IFERROR(DATEVALUE(L349),""))),IF(ISNUMBER(L349),L349,IFERROR(DATEVALUE(L349),"")))</f>
        <v>46081</v>
      </c>
      <c r="N349" s="1" t="str">
        <f aca="false">IF(M349="","Check",IF(AND(M349&gt;=INPUTS!$C$6,M349&lt;=INPUTS!$C$7),"Yes","No"))</f>
        <v>Yes</v>
      </c>
      <c r="O349" s="48" t="str">
        <f aca="false">STACK!H349</f>
        <v>Office Coordinator</v>
      </c>
      <c r="P349" s="1" t="str">
        <f aca="false">IF(G349&gt;0,IF(INDEX(CONFIRM!$H$5:$H$53,G349)&lt;&gt;"",INDEX(CONFIRM!$H$5:$H$53,G349),IFERROR(INDEX(MAP!$B$7:$B$156,MATCH(TRIM(O349),MAP!$A$7:$A$156,0)),"UNMAPPED")),IFERROR(INDEX(MAP!$B$7:$B$156,MATCH(TRIM(O349),MAP!$A$7:$A$156,0)),"UNMAPPED"))</f>
        <v>Administrative Assistant</v>
      </c>
      <c r="Q349" s="48" t="n">
        <f aca="false">STACK!I349</f>
        <v>59.75</v>
      </c>
      <c r="R349" s="60" t="n">
        <f aca="false">IF(G349&gt;0,IF(INDEX(CONFIRM!$F$5:$F$53,G349)&lt;&gt;"",INDEX(CONFIRM!$F$5:$F$53,G349),IF(ISNUMBER(Q349),Q349,IF(Q349="","",IFERROR(VALUE(TRIM(SUBSTITUTE(SUBSTITUTE(LOWER(Q349),"hrs",""),"hr",""))),"")))),IF(ISNUMBER(Q349),Q349,IF(Q349="","",IFERROR(VALUE(TRIM(SUBSTITUTE(SUBSTITUTE(LOWER(Q349),"hrs",""),"hr",""))),""))))</f>
        <v>59.75</v>
      </c>
      <c r="S349" s="57" t="n">
        <f aca="false">IFERROR(INDEX(RATES!$E$6:$E$28,MATCH(P349,RATES!$A$6:$A$28,0)),0)</f>
        <v>26.985</v>
      </c>
      <c r="T349" s="61" t="n">
        <f aca="false">IF(ISNUMBER(R349),R349,0)*S349</f>
        <v>1612.35375</v>
      </c>
      <c r="U349" s="61" t="n">
        <f aca="false">T349*INDEX(INPUTS!$H$10:$H$14,MATCH(B349,INPUTS!$A$10:$A$14,0))</f>
        <v>298.28544375</v>
      </c>
      <c r="V349" s="61" t="n">
        <f aca="false">N(STACK!K349)</f>
        <v>0</v>
      </c>
      <c r="W349" s="61" t="n">
        <f aca="false">T349+U349+V349</f>
        <v>1910.63919375</v>
      </c>
      <c r="X349" s="61" t="n">
        <f aca="false">N(STACK!L349)</f>
        <v>0</v>
      </c>
      <c r="Y349" s="61" t="n">
        <f aca="false">W349-X349</f>
        <v>1910.63919375</v>
      </c>
      <c r="Z349" s="1" t="n">
        <f aca="false">N(STACK!J349)</f>
        <v>0</v>
      </c>
      <c r="AA349" s="1" t="str">
        <f aca="false">TRIM(IF(D349="UNMAPPED","Program not mapped. ","")&amp;IF(OR(K349="UNMAPPED",K349="UNASSIGNED"),"Category needs review. ","")&amp;IF(P349="UNMAPPED","Title not mapped. ","")&amp;IF(AND(P349&lt;&gt;"No staff time",R349=""),"Missing hours. ","")&amp;IF(M349="","Date not readable. ","")&amp;IF(N349="No","Outside fiscal year. ","")&amp;IF(AND(F349="Event",ISNUMBER(R349)),IF(R349&gt;12,"Event hours look high. ",""),"")&amp;IF(G349&gt;0,"See CONFIRM sheet.",""))</f>
        <v/>
      </c>
      <c r="AB349" s="1" t="n">
        <f aca="false">IF(N349="No",0,IF(REVIEW!O349=0,0,IF(G349&gt;0,IF(INDEX(CONFIRM!$J$5:$J$53,G349)&lt;&gt;"",INDEX(CONFIRM!$J$5:$J$53,G349),1),1)))</f>
        <v>1</v>
      </c>
      <c r="AC349" s="1" t="n">
        <f aca="false">IF(AB349=1,IF(COUNTIFS($B$5:B349,B349,$D$5:D349,D349,$AB$5:AB349,1)=1,1,0),0)</f>
        <v>0</v>
      </c>
    </row>
    <row r="350" customFormat="false" ht="15" hidden="false" customHeight="false" outlineLevel="0" collapsed="false">
      <c r="A350" s="48" t="str">
        <f aca="false">STACK!A350</f>
        <v>KVMC-0346</v>
      </c>
      <c r="B350" s="48" t="str">
        <f aca="false">STACK!B350</f>
        <v>KVMC</v>
      </c>
      <c r="C350" s="48" t="str">
        <f aca="false">STACK!E350</f>
        <v>Community Benefit Program Administration</v>
      </c>
      <c r="D350" s="1" t="str">
        <f aca="false">IFERROR(INDEX(MAP!$J$7:$J$101,MATCH(TRIM(C350),MAP!$I$7:$I$101,0)),"UNMAPPED")</f>
        <v>Community Benefit Program Administration</v>
      </c>
      <c r="E350" s="1" t="str">
        <f aca="false">IFERROR(INDEX(MAP!$K$7:$K$101,MATCH(TRIM(C350),MAP!$I$7:$I$101,0)),"")</f>
        <v>Community benefit infrastructure</v>
      </c>
      <c r="F350" s="1" t="str">
        <f aca="false">IFERROR(INDEX(MAP!$L$7:$L$101,MATCH(TRIM(C350),MAP!$I$7:$I$101,0)),"")</f>
        <v>Monthly</v>
      </c>
      <c r="G350" s="1" t="n">
        <f aca="false">IFERROR(MATCH(A350,CONFIRM!$A$5:$A$53,0),0)</f>
        <v>0</v>
      </c>
      <c r="H350" s="48" t="str">
        <f aca="false">STACK!F350</f>
        <v>CB Operations</v>
      </c>
      <c r="I350" s="1" t="str">
        <f aca="false">IF(G350&gt;0,IF(INDEX(CONFIRM!$I$5:$I$53,G350)&lt;&gt;"",INDEX(CONFIRM!$I$5:$I$53,G350),H350),H350)</f>
        <v>CB Operations</v>
      </c>
      <c r="J350" s="1" t="str">
        <f aca="false">IFERROR(INDEX(MAP!$F$7:$F$74,MATCH(TRIM(I350),MAP!$E$7:$E$74,0)),"UNMAPPED")</f>
        <v>Community benefit operations</v>
      </c>
      <c r="K350" s="1" t="str">
        <f aca="false">IFERROR(INDEX(MAP!$G$7:$G$74,MATCH(TRIM(I350),MAP!$E$7:$E$74,0)),"UNMAPPED")</f>
        <v>7e</v>
      </c>
      <c r="L350" s="49" t="n">
        <f aca="false">STACK!G350</f>
        <v>46081</v>
      </c>
      <c r="M350" s="59" t="n">
        <f aca="false">IF(G350&gt;0,IF(INDEX(CONFIRM!$G$5:$G$53,G350)&lt;&gt;"",INDEX(CONFIRM!$G$5:$G$53,G350),IF(ISNUMBER(L350),L350,IFERROR(DATEVALUE(L350),""))),IF(ISNUMBER(L350),L350,IFERROR(DATEVALUE(L350),"")))</f>
        <v>46081</v>
      </c>
      <c r="N350" s="1" t="str">
        <f aca="false">IF(M350="","Check",IF(AND(M350&gt;=INPUTS!$C$6,M350&lt;=INPUTS!$C$7),"Yes","No"))</f>
        <v>Yes</v>
      </c>
      <c r="O350" s="48" t="str">
        <f aca="false">STACK!H350</f>
        <v>CB Manager</v>
      </c>
      <c r="P350" s="1" t="str">
        <f aca="false">IF(G350&gt;0,IF(INDEX(CONFIRM!$H$5:$H$53,G350)&lt;&gt;"",INDEX(CONFIRM!$H$5:$H$53,G350),IFERROR(INDEX(MAP!$B$7:$B$156,MATCH(TRIM(O350),MAP!$A$7:$A$156,0)),"UNMAPPED")),IFERROR(INDEX(MAP!$B$7:$B$156,MATCH(TRIM(O350),MAP!$A$7:$A$156,0)),"UNMAPPED"))</f>
        <v>Community Benefit Manager</v>
      </c>
      <c r="Q350" s="48" t="n">
        <f aca="false">STACK!I350</f>
        <v>73.75</v>
      </c>
      <c r="R350" s="60" t="n">
        <f aca="false">IF(G350&gt;0,IF(INDEX(CONFIRM!$F$5:$F$53,G350)&lt;&gt;"",INDEX(CONFIRM!$F$5:$F$53,G350),IF(ISNUMBER(Q350),Q350,IF(Q350="","",IFERROR(VALUE(TRIM(SUBSTITUTE(SUBSTITUTE(LOWER(Q350),"hrs",""),"hr",""))),"")))),IF(ISNUMBER(Q350),Q350,IF(Q350="","",IFERROR(VALUE(TRIM(SUBSTITUTE(SUBSTITUTE(LOWER(Q350),"hrs",""),"hr",""))),""))))</f>
        <v>73.75</v>
      </c>
      <c r="S350" s="57" t="n">
        <f aca="false">IFERROR(INDEX(RATES!$E$6:$E$28,MATCH(P350,RATES!$A$6:$A$28,0)),0)</f>
        <v>59.11</v>
      </c>
      <c r="T350" s="61" t="n">
        <f aca="false">IF(ISNUMBER(R350),R350,0)*S350</f>
        <v>4359.3625</v>
      </c>
      <c r="U350" s="61" t="n">
        <f aca="false">T350*INDEX(INPUTS!$H$10:$H$14,MATCH(B350,INPUTS!$A$10:$A$14,0))</f>
        <v>806.4820625</v>
      </c>
      <c r="V350" s="61" t="n">
        <f aca="false">N(STACK!K350)</f>
        <v>1010</v>
      </c>
      <c r="W350" s="61" t="n">
        <f aca="false">T350+U350+V350</f>
        <v>6175.8445625</v>
      </c>
      <c r="X350" s="61" t="n">
        <f aca="false">N(STACK!L350)</f>
        <v>0</v>
      </c>
      <c r="Y350" s="61" t="n">
        <f aca="false">W350-X350</f>
        <v>6175.8445625</v>
      </c>
      <c r="Z350" s="1" t="n">
        <f aca="false">N(STACK!J350)</f>
        <v>0</v>
      </c>
      <c r="AA350" s="1" t="str">
        <f aca="false">TRIM(IF(D350="UNMAPPED","Program not mapped. ","")&amp;IF(OR(K350="UNMAPPED",K350="UNASSIGNED"),"Category needs review. ","")&amp;IF(P350="UNMAPPED","Title not mapped. ","")&amp;IF(AND(P350&lt;&gt;"No staff time",R350=""),"Missing hours. ","")&amp;IF(M350="","Date not readable. ","")&amp;IF(N350="No","Outside fiscal year. ","")&amp;IF(AND(F350="Event",ISNUMBER(R350)),IF(R350&gt;12,"Event hours look high. ",""),"")&amp;IF(G350&gt;0,"See CONFIRM sheet.",""))</f>
        <v/>
      </c>
      <c r="AB350" s="1" t="n">
        <f aca="false">IF(N350="No",0,IF(REVIEW!O350=0,0,IF(G350&gt;0,IF(INDEX(CONFIRM!$J$5:$J$53,G350)&lt;&gt;"",INDEX(CONFIRM!$J$5:$J$53,G350),1),1)))</f>
        <v>1</v>
      </c>
      <c r="AC350" s="1" t="n">
        <f aca="false">IF(AB350=1,IF(COUNTIFS($B$5:B350,B350,$D$5:D350,D350,$AB$5:AB350,1)=1,1,0),0)</f>
        <v>0</v>
      </c>
    </row>
    <row r="351" customFormat="false" ht="15" hidden="false" customHeight="false" outlineLevel="0" collapsed="false">
      <c r="A351" s="48" t="str">
        <f aca="false">STACK!A351</f>
        <v>KVMC-0347</v>
      </c>
      <c r="B351" s="48" t="str">
        <f aca="false">STACK!B351</f>
        <v>KVMC</v>
      </c>
      <c r="C351" s="48" t="str">
        <f aca="false">STACK!E351</f>
        <v>Interpreter Services for Community Clinics</v>
      </c>
      <c r="D351" s="1" t="str">
        <f aca="false">IFERROR(INDEX(MAP!$J$7:$J$101,MATCH(TRIM(C351),MAP!$I$7:$I$101,0)),"UNMAPPED")</f>
        <v>Interpreter Services for Community Clinics</v>
      </c>
      <c r="E351" s="1" t="str">
        <f aca="false">IFERROR(INDEX(MAP!$K$7:$K$101,MATCH(TRIM(C351),MAP!$I$7:$I$101,0)),"")</f>
        <v>Access to care</v>
      </c>
      <c r="F351" s="1" t="str">
        <f aca="false">IFERROR(INDEX(MAP!$L$7:$L$101,MATCH(TRIM(C351),MAP!$I$7:$I$101,0)),"")</f>
        <v>Monthly</v>
      </c>
      <c r="G351" s="1" t="n">
        <f aca="false">IFERROR(MATCH(A351,CONFIRM!$A$5:$A$53,0),0)</f>
        <v>0</v>
      </c>
      <c r="H351" s="48" t="str">
        <f aca="false">STACK!F351</f>
        <v>Health Care Support Services</v>
      </c>
      <c r="I351" s="1" t="str">
        <f aca="false">IF(G351&gt;0,IF(INDEX(CONFIRM!$I$5:$I$53,G351)&lt;&gt;"",INDEX(CONFIRM!$I$5:$I$53,G351),H351),H351)</f>
        <v>Health Care Support Services</v>
      </c>
      <c r="J351" s="1" t="str">
        <f aca="false">IFERROR(INDEX(MAP!$F$7:$F$74,MATCH(TRIM(I351),MAP!$E$7:$E$74,0)),"UNMAPPED")</f>
        <v>Health care support services</v>
      </c>
      <c r="K351" s="1" t="str">
        <f aca="false">IFERROR(INDEX(MAP!$G$7:$G$74,MATCH(TRIM(I351),MAP!$E$7:$E$74,0)),"UNMAPPED")</f>
        <v>7e</v>
      </c>
      <c r="L351" s="49" t="n">
        <f aca="false">STACK!G351</f>
        <v>46081</v>
      </c>
      <c r="M351" s="59" t="n">
        <f aca="false">IF(G351&gt;0,IF(INDEX(CONFIRM!$G$5:$G$53,G351)&lt;&gt;"",INDEX(CONFIRM!$G$5:$G$53,G351),IF(ISNUMBER(L351),L351,IFERROR(DATEVALUE(L351),""))),IF(ISNUMBER(L351),L351,IFERROR(DATEVALUE(L351),"")))</f>
        <v>46081</v>
      </c>
      <c r="N351" s="1" t="str">
        <f aca="false">IF(M351="","Check",IF(AND(M351&gt;=INPUTS!$C$6,M351&lt;=INPUTS!$C$7),"Yes","No"))</f>
        <v>Yes</v>
      </c>
      <c r="O351" s="48" t="str">
        <f aca="false">STACK!H351</f>
        <v>Spanish Interpreter</v>
      </c>
      <c r="P351" s="1" t="str">
        <f aca="false">IF(G351&gt;0,IF(INDEX(CONFIRM!$H$5:$H$53,G351)&lt;&gt;"",INDEX(CONFIRM!$H$5:$H$53,G351),IFERROR(INDEX(MAP!$B$7:$B$156,MATCH(TRIM(O351),MAP!$A$7:$A$156,0)),"UNMAPPED")),IFERROR(INDEX(MAP!$B$7:$B$156,MATCH(TRIM(O351),MAP!$A$7:$A$156,0)),"UNMAPPED"))</f>
        <v>Interpreter</v>
      </c>
      <c r="Q351" s="48" t="n">
        <f aca="false">STACK!I351</f>
        <v>70.5</v>
      </c>
      <c r="R351" s="60" t="n">
        <f aca="false">IF(G351&gt;0,IF(INDEX(CONFIRM!$F$5:$F$53,G351)&lt;&gt;"",INDEX(CONFIRM!$F$5:$F$53,G351),IF(ISNUMBER(Q351),Q351,IF(Q351="","",IFERROR(VALUE(TRIM(SUBSTITUTE(SUBSTITUTE(LOWER(Q351),"hrs",""),"hr",""))),"")))),IF(ISNUMBER(Q351),Q351,IF(Q351="","",IFERROR(VALUE(TRIM(SUBSTITUTE(SUBSTITUTE(LOWER(Q351),"hrs",""),"hr",""))),""))))</f>
        <v>70.5</v>
      </c>
      <c r="S351" s="57" t="n">
        <f aca="false">IFERROR(INDEX(RATES!$E$6:$E$28,MATCH(P351,RATES!$A$6:$A$28,0)),0)</f>
        <v>32.7675</v>
      </c>
      <c r="T351" s="61" t="n">
        <f aca="false">IF(ISNUMBER(R351),R351,0)*S351</f>
        <v>2310.10875</v>
      </c>
      <c r="U351" s="61" t="n">
        <f aca="false">T351*INDEX(INPUTS!$H$10:$H$14,MATCH(B351,INPUTS!$A$10:$A$14,0))</f>
        <v>427.37011875</v>
      </c>
      <c r="V351" s="61" t="n">
        <f aca="false">N(STACK!K351)</f>
        <v>0</v>
      </c>
      <c r="W351" s="61" t="n">
        <f aca="false">T351+U351+V351</f>
        <v>2737.47886875</v>
      </c>
      <c r="X351" s="61" t="n">
        <f aca="false">N(STACK!L351)</f>
        <v>0</v>
      </c>
      <c r="Y351" s="61" t="n">
        <f aca="false">W351-X351</f>
        <v>2737.47886875</v>
      </c>
      <c r="Z351" s="1" t="n">
        <f aca="false">N(STACK!J351)</f>
        <v>192</v>
      </c>
      <c r="AA351" s="1" t="str">
        <f aca="false">TRIM(IF(D351="UNMAPPED","Program not mapped. ","")&amp;IF(OR(K351="UNMAPPED",K351="UNASSIGNED"),"Category needs review. ","")&amp;IF(P351="UNMAPPED","Title not mapped. ","")&amp;IF(AND(P351&lt;&gt;"No staff time",R351=""),"Missing hours. ","")&amp;IF(M351="","Date not readable. ","")&amp;IF(N351="No","Outside fiscal year. ","")&amp;IF(AND(F351="Event",ISNUMBER(R351)),IF(R351&gt;12,"Event hours look high. ",""),"")&amp;IF(G351&gt;0,"See CONFIRM sheet.",""))</f>
        <v/>
      </c>
      <c r="AB351" s="1" t="n">
        <f aca="false">IF(N351="No",0,IF(REVIEW!O351=0,0,IF(G351&gt;0,IF(INDEX(CONFIRM!$J$5:$J$53,G351)&lt;&gt;"",INDEX(CONFIRM!$J$5:$J$53,G351),1),1)))</f>
        <v>1</v>
      </c>
      <c r="AC351" s="1" t="n">
        <f aca="false">IF(AB351=1,IF(COUNTIFS($B$5:B351,B351,$D$5:D351,D351,$AB$5:AB351,1)=1,1,0),0)</f>
        <v>0</v>
      </c>
    </row>
    <row r="352" customFormat="false" ht="15" hidden="false" customHeight="false" outlineLevel="0" collapsed="false">
      <c r="A352" s="48" t="str">
        <f aca="false">STACK!A352</f>
        <v>KVMC-0348</v>
      </c>
      <c r="B352" s="48" t="str">
        <f aca="false">STACK!B352</f>
        <v>KVMC</v>
      </c>
      <c r="C352" s="48" t="str">
        <f aca="false">STACK!E352</f>
        <v>Nursing Student Clinical Rotations</v>
      </c>
      <c r="D352" s="1" t="str">
        <f aca="false">IFERROR(INDEX(MAP!$J$7:$J$101,MATCH(TRIM(C352),MAP!$I$7:$I$101,0)),"UNMAPPED")</f>
        <v>Nursing Student Clinical Rotations</v>
      </c>
      <c r="E352" s="1" t="str">
        <f aca="false">IFERROR(INDEX(MAP!$K$7:$K$101,MATCH(TRIM(C352),MAP!$I$7:$I$101,0)),"")</f>
        <v>Health workforce</v>
      </c>
      <c r="F352" s="1" t="str">
        <f aca="false">IFERROR(INDEX(MAP!$L$7:$L$101,MATCH(TRIM(C352),MAP!$I$7:$I$101,0)),"")</f>
        <v>Monthly</v>
      </c>
      <c r="G352" s="1" t="n">
        <f aca="false">IFERROR(MATCH(A352,CONFIRM!$A$5:$A$53,0),0)</f>
        <v>0</v>
      </c>
      <c r="H352" s="48" t="str">
        <f aca="false">STACK!F352</f>
        <v>Health Professions Education</v>
      </c>
      <c r="I352" s="1" t="str">
        <f aca="false">IF(G352&gt;0,IF(INDEX(CONFIRM!$I$5:$I$53,G352)&lt;&gt;"",INDEX(CONFIRM!$I$5:$I$53,G352),H352),H352)</f>
        <v>Health Professions Education</v>
      </c>
      <c r="J352" s="1" t="str">
        <f aca="false">IFERROR(INDEX(MAP!$F$7:$F$74,MATCH(TRIM(I352),MAP!$E$7:$E$74,0)),"UNMAPPED")</f>
        <v>Health professions education</v>
      </c>
      <c r="K352" s="1" t="str">
        <f aca="false">IFERROR(INDEX(MAP!$G$7:$G$74,MATCH(TRIM(I352),MAP!$E$7:$E$74,0)),"UNMAPPED")</f>
        <v>7f</v>
      </c>
      <c r="L352" s="49" t="n">
        <f aca="false">STACK!G352</f>
        <v>46081</v>
      </c>
      <c r="M352" s="59" t="n">
        <f aca="false">IF(G352&gt;0,IF(INDEX(CONFIRM!$G$5:$G$53,G352)&lt;&gt;"",INDEX(CONFIRM!$G$5:$G$53,G352),IF(ISNUMBER(L352),L352,IFERROR(DATEVALUE(L352),""))),IF(ISNUMBER(L352),L352,IFERROR(DATEVALUE(L352),"")))</f>
        <v>46081</v>
      </c>
      <c r="N352" s="1" t="str">
        <f aca="false">IF(M352="","Check",IF(AND(M352&gt;=INPUTS!$C$6,M352&lt;=INPUTS!$C$7),"Yes","No"))</f>
        <v>Yes</v>
      </c>
      <c r="O352" s="48" t="str">
        <f aca="false">STACK!H352</f>
        <v>Clinical Nurse Educator</v>
      </c>
      <c r="P352" s="1" t="str">
        <f aca="false">IF(G352&gt;0,IF(INDEX(CONFIRM!$H$5:$H$53,G352)&lt;&gt;"",INDEX(CONFIRM!$H$5:$H$53,G352),IFERROR(INDEX(MAP!$B$7:$B$156,MATCH(TRIM(O352),MAP!$A$7:$A$156,0)),"UNMAPPED")),IFERROR(INDEX(MAP!$B$7:$B$156,MATCH(TRIM(O352),MAP!$A$7:$A$156,0)),"UNMAPPED"))</f>
        <v>Clinical Nurse Educator</v>
      </c>
      <c r="Q352" s="48" t="n">
        <f aca="false">STACK!I352</f>
        <v>169.75</v>
      </c>
      <c r="R352" s="60" t="n">
        <f aca="false">IF(G352&gt;0,IF(INDEX(CONFIRM!$F$5:$F$53,G352)&lt;&gt;"",INDEX(CONFIRM!$F$5:$F$53,G352),IF(ISNUMBER(Q352),Q352,IF(Q352="","",IFERROR(VALUE(TRIM(SUBSTITUTE(SUBSTITUTE(LOWER(Q352),"hrs",""),"hr",""))),"")))),IF(ISNUMBER(Q352),Q352,IF(Q352="","",IFERROR(VALUE(TRIM(SUBSTITUTE(SUBSTITUTE(LOWER(Q352),"hrs",""),"hr",""))),""))))</f>
        <v>169.75</v>
      </c>
      <c r="S352" s="57" t="n">
        <f aca="false">IFERROR(INDEX(RATES!$E$6:$E$28,MATCH(P352,RATES!$A$6:$A$28,0)),0)</f>
        <v>62.965</v>
      </c>
      <c r="T352" s="61" t="n">
        <f aca="false">IF(ISNUMBER(R352),R352,0)*S352</f>
        <v>10688.30875</v>
      </c>
      <c r="U352" s="61" t="n">
        <f aca="false">T352*INDEX(INPUTS!$H$10:$H$14,MATCH(B352,INPUTS!$A$10:$A$14,0))</f>
        <v>1977.33711875</v>
      </c>
      <c r="V352" s="61" t="n">
        <f aca="false">N(STACK!K352)</f>
        <v>1390</v>
      </c>
      <c r="W352" s="61" t="n">
        <f aca="false">T352+U352+V352</f>
        <v>14055.64586875</v>
      </c>
      <c r="X352" s="61" t="n">
        <f aca="false">N(STACK!L352)</f>
        <v>0</v>
      </c>
      <c r="Y352" s="61" t="n">
        <f aca="false">W352-X352</f>
        <v>14055.64586875</v>
      </c>
      <c r="Z352" s="1" t="n">
        <f aca="false">N(STACK!J352)</f>
        <v>23</v>
      </c>
      <c r="AA352" s="1" t="str">
        <f aca="false">TRIM(IF(D352="UNMAPPED","Program not mapped. ","")&amp;IF(OR(K352="UNMAPPED",K352="UNASSIGNED"),"Category needs review. ","")&amp;IF(P352="UNMAPPED","Title not mapped. ","")&amp;IF(AND(P352&lt;&gt;"No staff time",R352=""),"Missing hours. ","")&amp;IF(M352="","Date not readable. ","")&amp;IF(N352="No","Outside fiscal year. ","")&amp;IF(AND(F352="Event",ISNUMBER(R352)),IF(R352&gt;12,"Event hours look high. ",""),"")&amp;IF(G352&gt;0,"See CONFIRM sheet.",""))</f>
        <v/>
      </c>
      <c r="AB352" s="1" t="n">
        <f aca="false">IF(N352="No",0,IF(REVIEW!O352=0,0,IF(G352&gt;0,IF(INDEX(CONFIRM!$J$5:$J$53,G352)&lt;&gt;"",INDEX(CONFIRM!$J$5:$J$53,G352),1),1)))</f>
        <v>1</v>
      </c>
      <c r="AC352" s="1" t="n">
        <f aca="false">IF(AB352=1,IF(COUNTIFS($B$5:B352,B352,$D$5:D352,D352,$AB$5:AB352,1)=1,1,0),0)</f>
        <v>0</v>
      </c>
    </row>
    <row r="353" customFormat="false" ht="15" hidden="false" customHeight="false" outlineLevel="0" collapsed="false">
      <c r="A353" s="48" t="str">
        <f aca="false">STACK!A353</f>
        <v>KVMC-0349</v>
      </c>
      <c r="B353" s="48" t="str">
        <f aca="false">STACK!B353</f>
        <v>KVMC</v>
      </c>
      <c r="C353" s="48" t="str">
        <f aca="false">STACK!E353</f>
        <v>Nursing Student Clinical Rotations</v>
      </c>
      <c r="D353" s="1" t="str">
        <f aca="false">IFERROR(INDEX(MAP!$J$7:$J$101,MATCH(TRIM(C353),MAP!$I$7:$I$101,0)),"UNMAPPED")</f>
        <v>Nursing Student Clinical Rotations</v>
      </c>
      <c r="E353" s="1" t="str">
        <f aca="false">IFERROR(INDEX(MAP!$K$7:$K$101,MATCH(TRIM(C353),MAP!$I$7:$I$101,0)),"")</f>
        <v>Health workforce</v>
      </c>
      <c r="F353" s="1" t="str">
        <f aca="false">IFERROR(INDEX(MAP!$L$7:$L$101,MATCH(TRIM(C353),MAP!$I$7:$I$101,0)),"")</f>
        <v>Monthly</v>
      </c>
      <c r="G353" s="1" t="n">
        <f aca="false">IFERROR(MATCH(A353,CONFIRM!$A$5:$A$53,0),0)</f>
        <v>0</v>
      </c>
      <c r="H353" s="48" t="str">
        <f aca="false">STACK!F353</f>
        <v>Health Professions Education</v>
      </c>
      <c r="I353" s="1" t="str">
        <f aca="false">IF(G353&gt;0,IF(INDEX(CONFIRM!$I$5:$I$53,G353)&lt;&gt;"",INDEX(CONFIRM!$I$5:$I$53,G353),H353),H353)</f>
        <v>Health Professions Education</v>
      </c>
      <c r="J353" s="1" t="str">
        <f aca="false">IFERROR(INDEX(MAP!$F$7:$F$74,MATCH(TRIM(I353),MAP!$E$7:$E$74,0)),"UNMAPPED")</f>
        <v>Health professions education</v>
      </c>
      <c r="K353" s="1" t="str">
        <f aca="false">IFERROR(INDEX(MAP!$G$7:$G$74,MATCH(TRIM(I353),MAP!$E$7:$E$74,0)),"UNMAPPED")</f>
        <v>7f</v>
      </c>
      <c r="L353" s="49" t="n">
        <f aca="false">STACK!G353</f>
        <v>46081</v>
      </c>
      <c r="M353" s="59" t="n">
        <f aca="false">IF(G353&gt;0,IF(INDEX(CONFIRM!$G$5:$G$53,G353)&lt;&gt;"",INDEX(CONFIRM!$G$5:$G$53,G353),IF(ISNUMBER(L353),L353,IFERROR(DATEVALUE(L353),""))),IF(ISNUMBER(L353),L353,IFERROR(DATEVALUE(L353),"")))</f>
        <v>46081</v>
      </c>
      <c r="N353" s="1" t="str">
        <f aca="false">IF(M353="","Check",IF(AND(M353&gt;=INPUTS!$C$6,M353&lt;=INPUTS!$C$7),"Yes","No"))</f>
        <v>Yes</v>
      </c>
      <c r="O353" s="48" t="str">
        <f aca="false">STACK!H353</f>
        <v>Registered Nurse</v>
      </c>
      <c r="P353" s="1" t="str">
        <f aca="false">IF(G353&gt;0,IF(INDEX(CONFIRM!$H$5:$H$53,G353)&lt;&gt;"",INDEX(CONFIRM!$H$5:$H$53,G353),IFERROR(INDEX(MAP!$B$7:$B$156,MATCH(TRIM(O353),MAP!$A$7:$A$156,0)),"UNMAPPED")),IFERROR(INDEX(MAP!$B$7:$B$156,MATCH(TRIM(O353),MAP!$A$7:$A$156,0)),"UNMAPPED"))</f>
        <v>Registered Nurse</v>
      </c>
      <c r="Q353" s="48" t="n">
        <f aca="false">STACK!I353</f>
        <v>229.25</v>
      </c>
      <c r="R353" s="60" t="n">
        <f aca="false">IF(G353&gt;0,IF(INDEX(CONFIRM!$F$5:$F$53,G353)&lt;&gt;"",INDEX(CONFIRM!$F$5:$F$53,G353),IF(ISNUMBER(Q353),Q353,IF(Q353="","",IFERROR(VALUE(TRIM(SUBSTITUTE(SUBSTITUTE(LOWER(Q353),"hrs",""),"hr",""))),"")))),IF(ISNUMBER(Q353),Q353,IF(Q353="","",IFERROR(VALUE(TRIM(SUBSTITUTE(SUBSTITUTE(LOWER(Q353),"hrs",""),"hr",""))),""))))</f>
        <v>229.25</v>
      </c>
      <c r="S353" s="57" t="n">
        <f aca="false">IFERROR(INDEX(RATES!$E$6:$E$28,MATCH(P353,RATES!$A$6:$A$28,0)),0)</f>
        <v>55.8975</v>
      </c>
      <c r="T353" s="61" t="n">
        <f aca="false">IF(ISNUMBER(R353),R353,0)*S353</f>
        <v>12814.501875</v>
      </c>
      <c r="U353" s="61" t="n">
        <f aca="false">T353*INDEX(INPUTS!$H$10:$H$14,MATCH(B353,INPUTS!$A$10:$A$14,0))</f>
        <v>2370.682846875</v>
      </c>
      <c r="V353" s="61" t="n">
        <f aca="false">N(STACK!K353)</f>
        <v>0</v>
      </c>
      <c r="W353" s="61" t="n">
        <f aca="false">T353+U353+V353</f>
        <v>15185.184721875</v>
      </c>
      <c r="X353" s="61" t="n">
        <f aca="false">N(STACK!L353)</f>
        <v>0</v>
      </c>
      <c r="Y353" s="61" t="n">
        <f aca="false">W353-X353</f>
        <v>15185.184721875</v>
      </c>
      <c r="Z353" s="1" t="n">
        <f aca="false">N(STACK!J353)</f>
        <v>0</v>
      </c>
      <c r="AA353" s="1" t="str">
        <f aca="false">TRIM(IF(D353="UNMAPPED","Program not mapped. ","")&amp;IF(OR(K353="UNMAPPED",K353="UNASSIGNED"),"Category needs review. ","")&amp;IF(P353="UNMAPPED","Title not mapped. ","")&amp;IF(AND(P353&lt;&gt;"No staff time",R353=""),"Missing hours. ","")&amp;IF(M353="","Date not readable. ","")&amp;IF(N353="No","Outside fiscal year. ","")&amp;IF(AND(F353="Event",ISNUMBER(R353)),IF(R353&gt;12,"Event hours look high. ",""),"")&amp;IF(G353&gt;0,"See CONFIRM sheet.",""))</f>
        <v/>
      </c>
      <c r="AB353" s="1" t="n">
        <f aca="false">IF(N353="No",0,IF(REVIEW!O353=0,0,IF(G353&gt;0,IF(INDEX(CONFIRM!$J$5:$J$53,G353)&lt;&gt;"",INDEX(CONFIRM!$J$5:$J$53,G353),1),1)))</f>
        <v>1</v>
      </c>
      <c r="AC353" s="1" t="n">
        <f aca="false">IF(AB353=1,IF(COUNTIFS($B$5:B353,B353,$D$5:D353,D353,$AB$5:AB353,1)=1,1,0),0)</f>
        <v>0</v>
      </c>
    </row>
    <row r="354" customFormat="false" ht="15" hidden="false" customHeight="false" outlineLevel="0" collapsed="false">
      <c r="A354" s="48" t="str">
        <f aca="false">STACK!A354</f>
        <v>KVMC-0350</v>
      </c>
      <c r="B354" s="48" t="str">
        <f aca="false">STACK!B354</f>
        <v>KVMC</v>
      </c>
      <c r="C354" s="48" t="str">
        <f aca="false">STACK!E354</f>
        <v>Family Medicine Residency Program</v>
      </c>
      <c r="D354" s="1" t="str">
        <f aca="false">IFERROR(INDEX(MAP!$J$7:$J$101,MATCH(TRIM(C354),MAP!$I$7:$I$101,0)),"UNMAPPED")</f>
        <v>Family Medicine Residency Program</v>
      </c>
      <c r="E354" s="1" t="str">
        <f aca="false">IFERROR(INDEX(MAP!$K$7:$K$101,MATCH(TRIM(C354),MAP!$I$7:$I$101,0)),"")</f>
        <v>Health workforce</v>
      </c>
      <c r="F354" s="1" t="str">
        <f aca="false">IFERROR(INDEX(MAP!$L$7:$L$101,MATCH(TRIM(C354),MAP!$I$7:$I$101,0)),"")</f>
        <v>Monthly</v>
      </c>
      <c r="G354" s="1" t="n">
        <f aca="false">IFERROR(MATCH(A354,CONFIRM!$A$5:$A$53,0),0)</f>
        <v>0</v>
      </c>
      <c r="H354" s="48" t="str">
        <f aca="false">STACK!F354</f>
        <v>Health Professions Education</v>
      </c>
      <c r="I354" s="1" t="str">
        <f aca="false">IF(G354&gt;0,IF(INDEX(CONFIRM!$I$5:$I$53,G354)&lt;&gt;"",INDEX(CONFIRM!$I$5:$I$53,G354),H354),H354)</f>
        <v>Health Professions Education</v>
      </c>
      <c r="J354" s="1" t="str">
        <f aca="false">IFERROR(INDEX(MAP!$F$7:$F$74,MATCH(TRIM(I354),MAP!$E$7:$E$74,0)),"UNMAPPED")</f>
        <v>Health professions education</v>
      </c>
      <c r="K354" s="1" t="str">
        <f aca="false">IFERROR(INDEX(MAP!$G$7:$G$74,MATCH(TRIM(I354),MAP!$E$7:$E$74,0)),"UNMAPPED")</f>
        <v>7f</v>
      </c>
      <c r="L354" s="49" t="n">
        <f aca="false">STACK!G354</f>
        <v>46081</v>
      </c>
      <c r="M354" s="59" t="n">
        <f aca="false">IF(G354&gt;0,IF(INDEX(CONFIRM!$G$5:$G$53,G354)&lt;&gt;"",INDEX(CONFIRM!$G$5:$G$53,G354),IF(ISNUMBER(L354),L354,IFERROR(DATEVALUE(L354),""))),IF(ISNUMBER(L354),L354,IFERROR(DATEVALUE(L354),"")))</f>
        <v>46081</v>
      </c>
      <c r="N354" s="1" t="str">
        <f aca="false">IF(M354="","Check",IF(AND(M354&gt;=INPUTS!$C$6,M354&lt;=INPUTS!$C$7),"Yes","No"))</f>
        <v>Yes</v>
      </c>
      <c r="O354" s="48" t="str">
        <f aca="false">STACK!H354</f>
        <v> Staff Physician</v>
      </c>
      <c r="P354" s="1" t="str">
        <f aca="false">IF(G354&gt;0,IF(INDEX(CONFIRM!$H$5:$H$53,G354)&lt;&gt;"",INDEX(CONFIRM!$H$5:$H$53,G354),IFERROR(INDEX(MAP!$B$7:$B$156,MATCH(TRIM(O354),MAP!$A$7:$A$156,0)),"UNMAPPED")),IFERROR(INDEX(MAP!$B$7:$B$156,MATCH(TRIM(O354),MAP!$A$7:$A$156,0)),"UNMAPPED"))</f>
        <v>Physician</v>
      </c>
      <c r="Q354" s="48" t="n">
        <f aca="false">STACK!I354</f>
        <v>410.75</v>
      </c>
      <c r="R354" s="60" t="n">
        <f aca="false">IF(G354&gt;0,IF(INDEX(CONFIRM!$F$5:$F$53,G354)&lt;&gt;"",INDEX(CONFIRM!$F$5:$F$53,G354),IF(ISNUMBER(Q354),Q354,IF(Q354="","",IFERROR(VALUE(TRIM(SUBSTITUTE(SUBSTITUTE(LOWER(Q354),"hrs",""),"hr",""))),"")))),IF(ISNUMBER(Q354),Q354,IF(Q354="","",IFERROR(VALUE(TRIM(SUBSTITUTE(SUBSTITUTE(LOWER(Q354),"hrs",""),"hr",""))),""))))</f>
        <v>410.75</v>
      </c>
      <c r="S354" s="57" t="n">
        <f aca="false">IFERROR(INDEX(RATES!$E$6:$E$28,MATCH(P354,RATES!$A$6:$A$28,0)),0)</f>
        <v>151.63</v>
      </c>
      <c r="T354" s="61" t="n">
        <f aca="false">IF(ISNUMBER(R354),R354,0)*S354</f>
        <v>62282.0225</v>
      </c>
      <c r="U354" s="61" t="n">
        <f aca="false">T354*INDEX(INPUTS!$H$10:$H$14,MATCH(B354,INPUTS!$A$10:$A$14,0))</f>
        <v>11522.1741625</v>
      </c>
      <c r="V354" s="61" t="n">
        <f aca="false">N(STACK!K354)</f>
        <v>39660</v>
      </c>
      <c r="W354" s="61" t="n">
        <f aca="false">T354+U354+V354</f>
        <v>113464.1966625</v>
      </c>
      <c r="X354" s="61" t="n">
        <f aca="false">N(STACK!L354)</f>
        <v>169175</v>
      </c>
      <c r="Y354" s="61" t="n">
        <f aca="false">W354-X354</f>
        <v>-55710.8033375</v>
      </c>
      <c r="Z354" s="1" t="n">
        <f aca="false">N(STACK!J354)</f>
        <v>0</v>
      </c>
      <c r="AA354" s="1" t="str">
        <f aca="false">TRIM(IF(D354="UNMAPPED","Program not mapped. ","")&amp;IF(OR(K354="UNMAPPED",K354="UNASSIGNED"),"Category needs review. ","")&amp;IF(P354="UNMAPPED","Title not mapped. ","")&amp;IF(AND(P354&lt;&gt;"No staff time",R354=""),"Missing hours. ","")&amp;IF(M354="","Date not readable. ","")&amp;IF(N354="No","Outside fiscal year. ","")&amp;IF(AND(F354="Event",ISNUMBER(R354)),IF(R354&gt;12,"Event hours look high. ",""),"")&amp;IF(G354&gt;0,"See CONFIRM sheet.",""))</f>
        <v/>
      </c>
      <c r="AB354" s="1" t="n">
        <f aca="false">IF(N354="No",0,IF(REVIEW!O354=0,0,IF(G354&gt;0,IF(INDEX(CONFIRM!$J$5:$J$53,G354)&lt;&gt;"",INDEX(CONFIRM!$J$5:$J$53,G354),1),1)))</f>
        <v>1</v>
      </c>
      <c r="AC354" s="1" t="n">
        <f aca="false">IF(AB354=1,IF(COUNTIFS($B$5:B354,B354,$D$5:D354,D354,$AB$5:AB354,1)=1,1,0),0)</f>
        <v>0</v>
      </c>
    </row>
    <row r="355" customFormat="false" ht="15" hidden="false" customHeight="false" outlineLevel="0" collapsed="false">
      <c r="A355" s="48" t="str">
        <f aca="false">STACK!A355</f>
        <v>KVMC-0351</v>
      </c>
      <c r="B355" s="48" t="str">
        <f aca="false">STACK!B355</f>
        <v>KVMC</v>
      </c>
      <c r="C355" s="48" t="str">
        <f aca="false">STACK!E355</f>
        <v>Family Medicine Residency Program</v>
      </c>
      <c r="D355" s="1" t="str">
        <f aca="false">IFERROR(INDEX(MAP!$J$7:$J$101,MATCH(TRIM(C355),MAP!$I$7:$I$101,0)),"UNMAPPED")</f>
        <v>Family Medicine Residency Program</v>
      </c>
      <c r="E355" s="1" t="str">
        <f aca="false">IFERROR(INDEX(MAP!$K$7:$K$101,MATCH(TRIM(C355),MAP!$I$7:$I$101,0)),"")</f>
        <v>Health workforce</v>
      </c>
      <c r="F355" s="1" t="str">
        <f aca="false">IFERROR(INDEX(MAP!$L$7:$L$101,MATCH(TRIM(C355),MAP!$I$7:$I$101,0)),"")</f>
        <v>Monthly</v>
      </c>
      <c r="G355" s="1" t="n">
        <f aca="false">IFERROR(MATCH(A355,CONFIRM!$A$5:$A$53,0),0)</f>
        <v>0</v>
      </c>
      <c r="H355" s="48" t="str">
        <f aca="false">STACK!F355</f>
        <v>Health Professions Education</v>
      </c>
      <c r="I355" s="1" t="str">
        <f aca="false">IF(G355&gt;0,IF(INDEX(CONFIRM!$I$5:$I$53,G355)&lt;&gt;"",INDEX(CONFIRM!$I$5:$I$53,G355),H355),H355)</f>
        <v>Health Professions Education</v>
      </c>
      <c r="J355" s="1" t="str">
        <f aca="false">IFERROR(INDEX(MAP!$F$7:$F$74,MATCH(TRIM(I355),MAP!$E$7:$E$74,0)),"UNMAPPED")</f>
        <v>Health professions education</v>
      </c>
      <c r="K355" s="1" t="str">
        <f aca="false">IFERROR(INDEX(MAP!$G$7:$G$74,MATCH(TRIM(I355),MAP!$E$7:$E$74,0)),"UNMAPPED")</f>
        <v>7f</v>
      </c>
      <c r="L355" s="49" t="n">
        <f aca="false">STACK!G355</f>
        <v>46081</v>
      </c>
      <c r="M355" s="59" t="n">
        <f aca="false">IF(G355&gt;0,IF(INDEX(CONFIRM!$G$5:$G$53,G355)&lt;&gt;"",INDEX(CONFIRM!$G$5:$G$53,G355),IF(ISNUMBER(L355),L355,IFERROR(DATEVALUE(L355),""))),IF(ISNUMBER(L355),L355,IFERROR(DATEVALUE(L355),"")))</f>
        <v>46081</v>
      </c>
      <c r="N355" s="1" t="str">
        <f aca="false">IF(M355="","Check",IF(AND(M355&gt;=INPUTS!$C$6,M355&lt;=INPUTS!$C$7),"Yes","No"))</f>
        <v>Yes</v>
      </c>
      <c r="O355" s="48" t="str">
        <f aca="false">STACK!H355</f>
        <v>Residency Coordinator</v>
      </c>
      <c r="P355" s="1" t="str">
        <f aca="false">IF(G355&gt;0,IF(INDEX(CONFIRM!$H$5:$H$53,G355)&lt;&gt;"",INDEX(CONFIRM!$H$5:$H$53,G355),IFERROR(INDEX(MAP!$B$7:$B$156,MATCH(TRIM(O355),MAP!$A$7:$A$156,0)),"UNMAPPED")),IFERROR(INDEX(MAP!$B$7:$B$156,MATCH(TRIM(O355),MAP!$A$7:$A$156,0)),"UNMAPPED"))</f>
        <v>Program Coordinator</v>
      </c>
      <c r="Q355" s="48" t="n">
        <f aca="false">STACK!I355</f>
        <v>174.25</v>
      </c>
      <c r="R355" s="60" t="n">
        <f aca="false">IF(G355&gt;0,IF(INDEX(CONFIRM!$F$5:$F$53,G355)&lt;&gt;"",INDEX(CONFIRM!$F$5:$F$53,G355),IF(ISNUMBER(Q355),Q355,IF(Q355="","",IFERROR(VALUE(TRIM(SUBSTITUTE(SUBSTITUTE(LOWER(Q355),"hrs",""),"hr",""))),"")))),IF(ISNUMBER(Q355),Q355,IF(Q355="","",IFERROR(VALUE(TRIM(SUBSTITUTE(SUBSTITUTE(LOWER(Q355),"hrs",""),"hr",""))),""))))</f>
        <v>174.25</v>
      </c>
      <c r="S355" s="57" t="n">
        <f aca="false">IFERROR(INDEX(RATES!$E$6:$E$28,MATCH(P355,RATES!$A$6:$A$28,0)),0)</f>
        <v>35.3375</v>
      </c>
      <c r="T355" s="61" t="n">
        <f aca="false">IF(ISNUMBER(R355),R355,0)*S355</f>
        <v>6157.559375</v>
      </c>
      <c r="U355" s="61" t="n">
        <f aca="false">T355*INDEX(INPUTS!$H$10:$H$14,MATCH(B355,INPUTS!$A$10:$A$14,0))</f>
        <v>1139.148484375</v>
      </c>
      <c r="V355" s="61" t="n">
        <f aca="false">N(STACK!K355)</f>
        <v>0</v>
      </c>
      <c r="W355" s="61" t="n">
        <f aca="false">T355+U355+V355</f>
        <v>7296.707859375</v>
      </c>
      <c r="X355" s="61" t="n">
        <f aca="false">N(STACK!L355)</f>
        <v>0</v>
      </c>
      <c r="Y355" s="61" t="n">
        <f aca="false">W355-X355</f>
        <v>7296.707859375</v>
      </c>
      <c r="Z355" s="1" t="n">
        <f aca="false">N(STACK!J355)</f>
        <v>0</v>
      </c>
      <c r="AA355" s="1" t="str">
        <f aca="false">TRIM(IF(D355="UNMAPPED","Program not mapped. ","")&amp;IF(OR(K355="UNMAPPED",K355="UNASSIGNED"),"Category needs review. ","")&amp;IF(P355="UNMAPPED","Title not mapped. ","")&amp;IF(AND(P355&lt;&gt;"No staff time",R355=""),"Missing hours. ","")&amp;IF(M355="","Date not readable. ","")&amp;IF(N355="No","Outside fiscal year. ","")&amp;IF(AND(F355="Event",ISNUMBER(R355)),IF(R355&gt;12,"Event hours look high. ",""),"")&amp;IF(G355&gt;0,"See CONFIRM sheet.",""))</f>
        <v/>
      </c>
      <c r="AB355" s="1" t="n">
        <f aca="false">IF(N355="No",0,IF(REVIEW!O355=0,0,IF(G355&gt;0,IF(INDEX(CONFIRM!$J$5:$J$53,G355)&lt;&gt;"",INDEX(CONFIRM!$J$5:$J$53,G355),1),1)))</f>
        <v>1</v>
      </c>
      <c r="AC355" s="1" t="n">
        <f aca="false">IF(AB355=1,IF(COUNTIFS($B$5:B355,B355,$D$5:D355,D355,$AB$5:AB355,1)=1,1,0),0)</f>
        <v>0</v>
      </c>
    </row>
    <row r="356" customFormat="false" ht="15" hidden="false" customHeight="false" outlineLevel="0" collapsed="false">
      <c r="A356" s="48" t="str">
        <f aca="false">STACK!A356</f>
        <v>KVMC-0352</v>
      </c>
      <c r="B356" s="48" t="str">
        <f aca="false">STACK!B356</f>
        <v>KVMC</v>
      </c>
      <c r="C356" s="48" t="str">
        <f aca="false">STACK!E356</f>
        <v>Family Medicine Residency Program</v>
      </c>
      <c r="D356" s="1" t="str">
        <f aca="false">IFERROR(INDEX(MAP!$J$7:$J$101,MATCH(TRIM(C356),MAP!$I$7:$I$101,0)),"UNMAPPED")</f>
        <v>Family Medicine Residency Program</v>
      </c>
      <c r="E356" s="1" t="str">
        <f aca="false">IFERROR(INDEX(MAP!$K$7:$K$101,MATCH(TRIM(C356),MAP!$I$7:$I$101,0)),"")</f>
        <v>Health workforce</v>
      </c>
      <c r="F356" s="1" t="str">
        <f aca="false">IFERROR(INDEX(MAP!$L$7:$L$101,MATCH(TRIM(C356),MAP!$I$7:$I$101,0)),"")</f>
        <v>Monthly</v>
      </c>
      <c r="G356" s="1" t="n">
        <f aca="false">IFERROR(MATCH(A356,CONFIRM!$A$5:$A$53,0),0)</f>
        <v>0</v>
      </c>
      <c r="H356" s="48" t="str">
        <f aca="false">STACK!F356</f>
        <v>Health Professions Education</v>
      </c>
      <c r="I356" s="1" t="str">
        <f aca="false">IF(G356&gt;0,IF(INDEX(CONFIRM!$I$5:$I$53,G356)&lt;&gt;"",INDEX(CONFIRM!$I$5:$I$53,G356),H356),H356)</f>
        <v>Health Professions Education</v>
      </c>
      <c r="J356" s="1" t="str">
        <f aca="false">IFERROR(INDEX(MAP!$F$7:$F$74,MATCH(TRIM(I356),MAP!$E$7:$E$74,0)),"UNMAPPED")</f>
        <v>Health professions education</v>
      </c>
      <c r="K356" s="1" t="str">
        <f aca="false">IFERROR(INDEX(MAP!$G$7:$G$74,MATCH(TRIM(I356),MAP!$E$7:$E$74,0)),"UNMAPPED")</f>
        <v>7f</v>
      </c>
      <c r="L356" s="49" t="n">
        <f aca="false">STACK!G356</f>
        <v>46081</v>
      </c>
      <c r="M356" s="59" t="n">
        <f aca="false">IF(G356&gt;0,IF(INDEX(CONFIRM!$G$5:$G$53,G356)&lt;&gt;"",INDEX(CONFIRM!$G$5:$G$53,G356),IF(ISNUMBER(L356),L356,IFERROR(DATEVALUE(L356),""))),IF(ISNUMBER(L356),L356,IFERROR(DATEVALUE(L356),"")))</f>
        <v>46081</v>
      </c>
      <c r="N356" s="1" t="str">
        <f aca="false">IF(M356="","Check",IF(AND(M356&gt;=INPUTS!$C$6,M356&lt;=INPUTS!$C$7),"Yes","No"))</f>
        <v>Yes</v>
      </c>
      <c r="O356" s="48" t="str">
        <f aca="false">STACK!H356</f>
        <v> resident</v>
      </c>
      <c r="P356" s="1" t="str">
        <f aca="false">IF(G356&gt;0,IF(INDEX(CONFIRM!$H$5:$H$53,G356)&lt;&gt;"",INDEX(CONFIRM!$H$5:$H$53,G356),IFERROR(INDEX(MAP!$B$7:$B$156,MATCH(TRIM(O356),MAP!$A$7:$A$156,0)),"UNMAPPED")),IFERROR(INDEX(MAP!$B$7:$B$156,MATCH(TRIM(O356),MAP!$A$7:$A$156,0)),"UNMAPPED"))</f>
        <v>Resident Physician</v>
      </c>
      <c r="Q356" s="48" t="n">
        <f aca="false">STACK!I356</f>
        <v>4104</v>
      </c>
      <c r="R356" s="60" t="n">
        <f aca="false">IF(G356&gt;0,IF(INDEX(CONFIRM!$F$5:$F$53,G356)&lt;&gt;"",INDEX(CONFIRM!$F$5:$F$53,G356),IF(ISNUMBER(Q356),Q356,IF(Q356="","",IFERROR(VALUE(TRIM(SUBSTITUTE(SUBSTITUTE(LOWER(Q356),"hrs",""),"hr",""))),"")))),IF(ISNUMBER(Q356),Q356,IF(Q356="","",IFERROR(VALUE(TRIM(SUBSTITUTE(SUBSTITUTE(LOWER(Q356),"hrs",""),"hr",""))),""))))</f>
        <v>4104</v>
      </c>
      <c r="S356" s="57" t="n">
        <f aca="false">IFERROR(INDEX(RATES!$E$6:$E$28,MATCH(P356,RATES!$A$6:$A$28,0)),0)</f>
        <v>38.43</v>
      </c>
      <c r="T356" s="61" t="n">
        <f aca="false">IF(ISNUMBER(R356),R356,0)*S356</f>
        <v>157716.72</v>
      </c>
      <c r="U356" s="61" t="n">
        <f aca="false">T356*INDEX(INPUTS!$H$10:$H$14,MATCH(B356,INPUTS!$A$10:$A$14,0))</f>
        <v>29177.5932</v>
      </c>
      <c r="V356" s="61" t="n">
        <f aca="false">N(STACK!K356)</f>
        <v>0</v>
      </c>
      <c r="W356" s="61" t="n">
        <f aca="false">T356+U356+V356</f>
        <v>186894.3132</v>
      </c>
      <c r="X356" s="61" t="n">
        <f aca="false">N(STACK!L356)</f>
        <v>0</v>
      </c>
      <c r="Y356" s="61" t="n">
        <f aca="false">W356-X356</f>
        <v>186894.3132</v>
      </c>
      <c r="Z356" s="1" t="n">
        <f aca="false">N(STACK!J356)</f>
        <v>0</v>
      </c>
      <c r="AA356" s="1" t="str">
        <f aca="false">TRIM(IF(D356="UNMAPPED","Program not mapped. ","")&amp;IF(OR(K356="UNMAPPED",K356="UNASSIGNED"),"Category needs review. ","")&amp;IF(P356="UNMAPPED","Title not mapped. ","")&amp;IF(AND(P356&lt;&gt;"No staff time",R356=""),"Missing hours. ","")&amp;IF(M356="","Date not readable. ","")&amp;IF(N356="No","Outside fiscal year. ","")&amp;IF(AND(F356="Event",ISNUMBER(R356)),IF(R356&gt;12,"Event hours look high. ",""),"")&amp;IF(G356&gt;0,"See CONFIRM sheet.",""))</f>
        <v/>
      </c>
      <c r="AB356" s="1" t="n">
        <f aca="false">IF(N356="No",0,IF(REVIEW!O356=0,0,IF(G356&gt;0,IF(INDEX(CONFIRM!$J$5:$J$53,G356)&lt;&gt;"",INDEX(CONFIRM!$J$5:$J$53,G356),1),1)))</f>
        <v>1</v>
      </c>
      <c r="AC356" s="1" t="n">
        <f aca="false">IF(AB356=1,IF(COUNTIFS($B$5:B356,B356,$D$5:D356,D356,$AB$5:AB356,1)=1,1,0),0)</f>
        <v>0</v>
      </c>
    </row>
    <row r="357" customFormat="false" ht="15" hidden="false" customHeight="false" outlineLevel="0" collapsed="false">
      <c r="A357" s="48" t="str">
        <f aca="false">STACK!A357</f>
        <v>KVMC-0353</v>
      </c>
      <c r="B357" s="48" t="str">
        <f aca="false">STACK!B357</f>
        <v>KVMC</v>
      </c>
      <c r="C357" s="48" t="str">
        <f aca="false">STACK!E357</f>
        <v>Pharmacy Student Rotations</v>
      </c>
      <c r="D357" s="1" t="str">
        <f aca="false">IFERROR(INDEX(MAP!$J$7:$J$101,MATCH(TRIM(C357),MAP!$I$7:$I$101,0)),"UNMAPPED")</f>
        <v>Pharmacy Student Rotations</v>
      </c>
      <c r="E357" s="1" t="str">
        <f aca="false">IFERROR(INDEX(MAP!$K$7:$K$101,MATCH(TRIM(C357),MAP!$I$7:$I$101,0)),"")</f>
        <v>Health workforce</v>
      </c>
      <c r="F357" s="1" t="str">
        <f aca="false">IFERROR(INDEX(MAP!$L$7:$L$101,MATCH(TRIM(C357),MAP!$I$7:$I$101,0)),"")</f>
        <v>Monthly</v>
      </c>
      <c r="G357" s="1" t="n">
        <f aca="false">IFERROR(MATCH(A357,CONFIRM!$A$5:$A$53,0),0)</f>
        <v>0</v>
      </c>
      <c r="H357" s="48" t="str">
        <f aca="false">STACK!F357</f>
        <v>Health Professions Education</v>
      </c>
      <c r="I357" s="1" t="str">
        <f aca="false">IF(G357&gt;0,IF(INDEX(CONFIRM!$I$5:$I$53,G357)&lt;&gt;"",INDEX(CONFIRM!$I$5:$I$53,G357),H357),H357)</f>
        <v>Health Professions Education</v>
      </c>
      <c r="J357" s="1" t="str">
        <f aca="false">IFERROR(INDEX(MAP!$F$7:$F$74,MATCH(TRIM(I357),MAP!$E$7:$E$74,0)),"UNMAPPED")</f>
        <v>Health professions education</v>
      </c>
      <c r="K357" s="1" t="str">
        <f aca="false">IFERROR(INDEX(MAP!$G$7:$G$74,MATCH(TRIM(I357),MAP!$E$7:$E$74,0)),"UNMAPPED")</f>
        <v>7f</v>
      </c>
      <c r="L357" s="49" t="n">
        <f aca="false">STACK!G357</f>
        <v>46081</v>
      </c>
      <c r="M357" s="59" t="n">
        <f aca="false">IF(G357&gt;0,IF(INDEX(CONFIRM!$G$5:$G$53,G357)&lt;&gt;"",INDEX(CONFIRM!$G$5:$G$53,G357),IF(ISNUMBER(L357),L357,IFERROR(DATEVALUE(L357),""))),IF(ISNUMBER(L357),L357,IFERROR(DATEVALUE(L357),"")))</f>
        <v>46081</v>
      </c>
      <c r="N357" s="1" t="str">
        <f aca="false">IF(M357="","Check",IF(AND(M357&gt;=INPUTS!$C$6,M357&lt;=INPUTS!$C$7),"Yes","No"))</f>
        <v>Yes</v>
      </c>
      <c r="O357" s="48" t="str">
        <f aca="false">STACK!H357</f>
        <v>Pharmacist</v>
      </c>
      <c r="P357" s="1" t="str">
        <f aca="false">IF(G357&gt;0,IF(INDEX(CONFIRM!$H$5:$H$53,G357)&lt;&gt;"",INDEX(CONFIRM!$H$5:$H$53,G357),IFERROR(INDEX(MAP!$B$7:$B$156,MATCH(TRIM(O357),MAP!$A$7:$A$156,0)),"UNMAPPED")),IFERROR(INDEX(MAP!$B$7:$B$156,MATCH(TRIM(O357),MAP!$A$7:$A$156,0)),"UNMAPPED"))</f>
        <v>Pharmacist</v>
      </c>
      <c r="Q357" s="48" t="n">
        <f aca="false">STACK!I357</f>
        <v>86.75</v>
      </c>
      <c r="R357" s="60" t="n">
        <f aca="false">IF(G357&gt;0,IF(INDEX(CONFIRM!$F$5:$F$53,G357)&lt;&gt;"",INDEX(CONFIRM!$F$5:$F$53,G357),IF(ISNUMBER(Q357),Q357,IF(Q357="","",IFERROR(VALUE(TRIM(SUBSTITUTE(SUBSTITUTE(LOWER(Q357),"hrs",""),"hr",""))),"")))),IF(ISNUMBER(Q357),Q357,IF(Q357="","",IFERROR(VALUE(TRIM(SUBSTITUTE(SUBSTITUTE(LOWER(Q357),"hrs",""),"hr",""))),""))))</f>
        <v>86.75</v>
      </c>
      <c r="S357" s="57" t="n">
        <f aca="false">IFERROR(INDEX(RATES!$E$6:$E$28,MATCH(P357,RATES!$A$6:$A$28,0)),0)</f>
        <v>84.81</v>
      </c>
      <c r="T357" s="61" t="n">
        <f aca="false">IF(ISNUMBER(R357),R357,0)*S357</f>
        <v>7357.2675</v>
      </c>
      <c r="U357" s="61" t="n">
        <f aca="false">T357*INDEX(INPUTS!$H$10:$H$14,MATCH(B357,INPUTS!$A$10:$A$14,0))</f>
        <v>1361.0944875</v>
      </c>
      <c r="V357" s="61" t="n">
        <f aca="false">N(STACK!K357)</f>
        <v>40</v>
      </c>
      <c r="W357" s="61" t="n">
        <f aca="false">T357+U357+V357</f>
        <v>8758.3619875</v>
      </c>
      <c r="X357" s="61" t="n">
        <f aca="false">N(STACK!L357)</f>
        <v>0</v>
      </c>
      <c r="Y357" s="61" t="n">
        <f aca="false">W357-X357</f>
        <v>8758.3619875</v>
      </c>
      <c r="Z357" s="1" t="n">
        <f aca="false">N(STACK!J357)</f>
        <v>4</v>
      </c>
      <c r="AA357" s="1" t="str">
        <f aca="false">TRIM(IF(D357="UNMAPPED","Program not mapped. ","")&amp;IF(OR(K357="UNMAPPED",K357="UNASSIGNED"),"Category needs review. ","")&amp;IF(P357="UNMAPPED","Title not mapped. ","")&amp;IF(AND(P357&lt;&gt;"No staff time",R357=""),"Missing hours. ","")&amp;IF(M357="","Date not readable. ","")&amp;IF(N357="No","Outside fiscal year. ","")&amp;IF(AND(F357="Event",ISNUMBER(R357)),IF(R357&gt;12,"Event hours look high. ",""),"")&amp;IF(G357&gt;0,"See CONFIRM sheet.",""))</f>
        <v/>
      </c>
      <c r="AB357" s="1" t="n">
        <f aca="false">IF(N357="No",0,IF(REVIEW!O357=0,0,IF(G357&gt;0,IF(INDEX(CONFIRM!$J$5:$J$53,G357)&lt;&gt;"",INDEX(CONFIRM!$J$5:$J$53,G357),1),1)))</f>
        <v>1</v>
      </c>
      <c r="AC357" s="1" t="n">
        <f aca="false">IF(AB357=1,IF(COUNTIFS($B$5:B357,B357,$D$5:D357,D357,$AB$5:AB357,1)=1,1,0),0)</f>
        <v>0</v>
      </c>
    </row>
    <row r="358" customFormat="false" ht="15" hidden="false" customHeight="false" outlineLevel="0" collapsed="false">
      <c r="A358" s="48" t="str">
        <f aca="false">STACK!A358</f>
        <v>KVMC-0354</v>
      </c>
      <c r="B358" s="48" t="str">
        <f aca="false">STACK!B358</f>
        <v>KVMC</v>
      </c>
      <c r="C358" s="48" t="str">
        <f aca="false">STACK!E358</f>
        <v>Community Hypertension Control Study</v>
      </c>
      <c r="D358" s="1" t="str">
        <f aca="false">IFERROR(INDEX(MAP!$J$7:$J$101,MATCH(TRIM(C358),MAP!$I$7:$I$101,0)),"UNMAPPED")</f>
        <v>Community Hypertension Control Study</v>
      </c>
      <c r="E358" s="1" t="str">
        <f aca="false">IFERROR(INDEX(MAP!$K$7:$K$101,MATCH(TRIM(C358),MAP!$I$7:$I$101,0)),"")</f>
        <v>Chronic disease prevention</v>
      </c>
      <c r="F358" s="1" t="str">
        <f aca="false">IFERROR(INDEX(MAP!$L$7:$L$101,MATCH(TRIM(C358),MAP!$I$7:$I$101,0)),"")</f>
        <v>Monthly</v>
      </c>
      <c r="G358" s="1" t="n">
        <f aca="false">IFERROR(MATCH(A358,CONFIRM!$A$5:$A$53,0),0)</f>
        <v>0</v>
      </c>
      <c r="H358" s="48" t="str">
        <f aca="false">STACK!F358</f>
        <v>Research</v>
      </c>
      <c r="I358" s="1" t="str">
        <f aca="false">IF(G358&gt;0,IF(INDEX(CONFIRM!$I$5:$I$53,G358)&lt;&gt;"",INDEX(CONFIRM!$I$5:$I$53,G358),H358),H358)</f>
        <v>Research</v>
      </c>
      <c r="J358" s="1" t="str">
        <f aca="false">IFERROR(INDEX(MAP!$F$7:$F$74,MATCH(TRIM(I358),MAP!$E$7:$E$74,0)),"UNMAPPED")</f>
        <v>Research</v>
      </c>
      <c r="K358" s="1" t="str">
        <f aca="false">IFERROR(INDEX(MAP!$G$7:$G$74,MATCH(TRIM(I358),MAP!$E$7:$E$74,0)),"UNMAPPED")</f>
        <v>7h</v>
      </c>
      <c r="L358" s="49" t="n">
        <f aca="false">STACK!G358</f>
        <v>46081</v>
      </c>
      <c r="M358" s="59" t="n">
        <f aca="false">IF(G358&gt;0,IF(INDEX(CONFIRM!$G$5:$G$53,G358)&lt;&gt;"",INDEX(CONFIRM!$G$5:$G$53,G358),IF(ISNUMBER(L358),L358,IFERROR(DATEVALUE(L358),""))),IF(ISNUMBER(L358),L358,IFERROR(DATEVALUE(L358),"")))</f>
        <v>46081</v>
      </c>
      <c r="N358" s="1" t="str">
        <f aca="false">IF(M358="","Check",IF(AND(M358&gt;=INPUTS!$C$6,M358&lt;=INPUTS!$C$7),"Yes","No"))</f>
        <v>Yes</v>
      </c>
      <c r="O358" s="48" t="str">
        <f aca="false">STACK!H358</f>
        <v>Data Analyst</v>
      </c>
      <c r="P358" s="1" t="str">
        <f aca="false">IF(G358&gt;0,IF(INDEX(CONFIRM!$H$5:$H$53,G358)&lt;&gt;"",INDEX(CONFIRM!$H$5:$H$53,G358),IFERROR(INDEX(MAP!$B$7:$B$156,MATCH(TRIM(O358),MAP!$A$7:$A$156,0)),"UNMAPPED")),IFERROR(INDEX(MAP!$B$7:$B$156,MATCH(TRIM(O358),MAP!$A$7:$A$156,0)),"UNMAPPED"))</f>
        <v>Data Analyst</v>
      </c>
      <c r="Q358" s="48" t="n">
        <f aca="false">STACK!I358</f>
        <v>59.75</v>
      </c>
      <c r="R358" s="60" t="n">
        <f aca="false">IF(G358&gt;0,IF(INDEX(CONFIRM!$F$5:$F$53,G358)&lt;&gt;"",INDEX(CONFIRM!$F$5:$F$53,G358),IF(ISNUMBER(Q358),Q358,IF(Q358="","",IFERROR(VALUE(TRIM(SUBSTITUTE(SUBSTITUTE(LOWER(Q358),"hrs",""),"hr",""))),"")))),IF(ISNUMBER(Q358),Q358,IF(Q358="","",IFERROR(VALUE(TRIM(SUBSTITUTE(SUBSTITUTE(LOWER(Q358),"hrs",""),"hr",""))),""))))</f>
        <v>59.75</v>
      </c>
      <c r="S358" s="57" t="n">
        <f aca="false">IFERROR(INDEX(RATES!$E$6:$E$28,MATCH(P358,RATES!$A$6:$A$28,0)),0)</f>
        <v>48.83</v>
      </c>
      <c r="T358" s="61" t="n">
        <f aca="false">IF(ISNUMBER(R358),R358,0)*S358</f>
        <v>2917.5925</v>
      </c>
      <c r="U358" s="61" t="n">
        <f aca="false">T358*INDEX(INPUTS!$H$10:$H$14,MATCH(B358,INPUTS!$A$10:$A$14,0))</f>
        <v>539.7546125</v>
      </c>
      <c r="V358" s="61" t="n">
        <f aca="false">N(STACK!K358)</f>
        <v>0</v>
      </c>
      <c r="W358" s="61" t="n">
        <f aca="false">T358+U358+V358</f>
        <v>3457.3471125</v>
      </c>
      <c r="X358" s="61" t="n">
        <f aca="false">N(STACK!L358)</f>
        <v>0</v>
      </c>
      <c r="Y358" s="61" t="n">
        <f aca="false">W358-X358</f>
        <v>3457.3471125</v>
      </c>
      <c r="Z358" s="1" t="n">
        <f aca="false">N(STACK!J358)</f>
        <v>0</v>
      </c>
      <c r="AA358" s="1" t="str">
        <f aca="false">TRIM(IF(D358="UNMAPPED","Program not mapped. ","")&amp;IF(OR(K358="UNMAPPED",K358="UNASSIGNED"),"Category needs review. ","")&amp;IF(P358="UNMAPPED","Title not mapped. ","")&amp;IF(AND(P358&lt;&gt;"No staff time",R358=""),"Missing hours. ","")&amp;IF(M358="","Date not readable. ","")&amp;IF(N358="No","Outside fiscal year. ","")&amp;IF(AND(F358="Event",ISNUMBER(R358)),IF(R358&gt;12,"Event hours look high. ",""),"")&amp;IF(G358&gt;0,"See CONFIRM sheet.",""))</f>
        <v/>
      </c>
      <c r="AB358" s="1" t="n">
        <f aca="false">IF(N358="No",0,IF(REVIEW!O358=0,0,IF(G358&gt;0,IF(INDEX(CONFIRM!$J$5:$J$53,G358)&lt;&gt;"",INDEX(CONFIRM!$J$5:$J$53,G358),1),1)))</f>
        <v>1</v>
      </c>
      <c r="AC358" s="1" t="n">
        <f aca="false">IF(AB358=1,IF(COUNTIFS($B$5:B358,B358,$D$5:D358,D358,$AB$5:AB358,1)=1,1,0),0)</f>
        <v>0</v>
      </c>
    </row>
    <row r="359" customFormat="false" ht="15" hidden="false" customHeight="false" outlineLevel="0" collapsed="false">
      <c r="A359" s="48" t="str">
        <f aca="false">STACK!A359</f>
        <v>KVMC-0355</v>
      </c>
      <c r="B359" s="48" t="str">
        <f aca="false">STACK!B359</f>
        <v>KVMC</v>
      </c>
      <c r="C359" s="48" t="str">
        <f aca="false">STACK!E359</f>
        <v>Community Hypertension Control Study</v>
      </c>
      <c r="D359" s="1" t="str">
        <f aca="false">IFERROR(INDEX(MAP!$J$7:$J$101,MATCH(TRIM(C359),MAP!$I$7:$I$101,0)),"UNMAPPED")</f>
        <v>Community Hypertension Control Study</v>
      </c>
      <c r="E359" s="1" t="str">
        <f aca="false">IFERROR(INDEX(MAP!$K$7:$K$101,MATCH(TRIM(C359),MAP!$I$7:$I$101,0)),"")</f>
        <v>Chronic disease prevention</v>
      </c>
      <c r="F359" s="1" t="str">
        <f aca="false">IFERROR(INDEX(MAP!$L$7:$L$101,MATCH(TRIM(C359),MAP!$I$7:$I$101,0)),"")</f>
        <v>Monthly</v>
      </c>
      <c r="G359" s="1" t="n">
        <f aca="false">IFERROR(MATCH(A359,CONFIRM!$A$5:$A$53,0),0)</f>
        <v>0</v>
      </c>
      <c r="H359" s="48" t="str">
        <f aca="false">STACK!F359</f>
        <v>Research</v>
      </c>
      <c r="I359" s="1" t="str">
        <f aca="false">IF(G359&gt;0,IF(INDEX(CONFIRM!$I$5:$I$53,G359)&lt;&gt;"",INDEX(CONFIRM!$I$5:$I$53,G359),H359),H359)</f>
        <v>Research</v>
      </c>
      <c r="J359" s="1" t="str">
        <f aca="false">IFERROR(INDEX(MAP!$F$7:$F$74,MATCH(TRIM(I359),MAP!$E$7:$E$74,0)),"UNMAPPED")</f>
        <v>Research</v>
      </c>
      <c r="K359" s="1" t="str">
        <f aca="false">IFERROR(INDEX(MAP!$G$7:$G$74,MATCH(TRIM(I359),MAP!$E$7:$E$74,0)),"UNMAPPED")</f>
        <v>7h</v>
      </c>
      <c r="L359" s="49" t="n">
        <f aca="false">STACK!G359</f>
        <v>46081</v>
      </c>
      <c r="M359" s="59" t="n">
        <f aca="false">IF(G359&gt;0,IF(INDEX(CONFIRM!$G$5:$G$53,G359)&lt;&gt;"",INDEX(CONFIRM!$G$5:$G$53,G359),IF(ISNUMBER(L359),L359,IFERROR(DATEVALUE(L359),""))),IF(ISNUMBER(L359),L359,IFERROR(DATEVALUE(L359),"")))</f>
        <v>46081</v>
      </c>
      <c r="N359" s="1" t="str">
        <f aca="false">IF(M359="","Check",IF(AND(M359&gt;=INPUTS!$C$6,M359&lt;=INPUTS!$C$7),"Yes","No"))</f>
        <v>Yes</v>
      </c>
      <c r="O359" s="48" t="str">
        <f aca="false">STACK!H359</f>
        <v>Physician</v>
      </c>
      <c r="P359" s="1" t="str">
        <f aca="false">IF(G359&gt;0,IF(INDEX(CONFIRM!$H$5:$H$53,G359)&lt;&gt;"",INDEX(CONFIRM!$H$5:$H$53,G359),IFERROR(INDEX(MAP!$B$7:$B$156,MATCH(TRIM(O359),MAP!$A$7:$A$156,0)),"UNMAPPED")),IFERROR(INDEX(MAP!$B$7:$B$156,MATCH(TRIM(O359),MAP!$A$7:$A$156,0)),"UNMAPPED"))</f>
        <v>Physician</v>
      </c>
      <c r="Q359" s="48" t="n">
        <f aca="false">STACK!I359</f>
        <v>21.75</v>
      </c>
      <c r="R359" s="60" t="n">
        <f aca="false">IF(G359&gt;0,IF(INDEX(CONFIRM!$F$5:$F$53,G359)&lt;&gt;"",INDEX(CONFIRM!$F$5:$F$53,G359),IF(ISNUMBER(Q359),Q359,IF(Q359="","",IFERROR(VALUE(TRIM(SUBSTITUTE(SUBSTITUTE(LOWER(Q359),"hrs",""),"hr",""))),"")))),IF(ISNUMBER(Q359),Q359,IF(Q359="","",IFERROR(VALUE(TRIM(SUBSTITUTE(SUBSTITUTE(LOWER(Q359),"hrs",""),"hr",""))),""))))</f>
        <v>21.75</v>
      </c>
      <c r="S359" s="57" t="n">
        <f aca="false">IFERROR(INDEX(RATES!$E$6:$E$28,MATCH(P359,RATES!$A$6:$A$28,0)),0)</f>
        <v>151.63</v>
      </c>
      <c r="T359" s="61" t="n">
        <f aca="false">IF(ISNUMBER(R359),R359,0)*S359</f>
        <v>3297.9525</v>
      </c>
      <c r="U359" s="61" t="n">
        <f aca="false">T359*INDEX(INPUTS!$H$10:$H$14,MATCH(B359,INPUTS!$A$10:$A$14,0))</f>
        <v>610.1212125</v>
      </c>
      <c r="V359" s="61" t="n">
        <f aca="false">N(STACK!K359)</f>
        <v>0</v>
      </c>
      <c r="W359" s="61" t="n">
        <f aca="false">T359+U359+V359</f>
        <v>3908.0737125</v>
      </c>
      <c r="X359" s="61" t="n">
        <f aca="false">N(STACK!L359)</f>
        <v>0</v>
      </c>
      <c r="Y359" s="61" t="n">
        <f aca="false">W359-X359</f>
        <v>3908.0737125</v>
      </c>
      <c r="Z359" s="1" t="n">
        <f aca="false">N(STACK!J359)</f>
        <v>0</v>
      </c>
      <c r="AA359" s="1" t="str">
        <f aca="false">TRIM(IF(D359="UNMAPPED","Program not mapped. ","")&amp;IF(OR(K359="UNMAPPED",K359="UNASSIGNED"),"Category needs review. ","")&amp;IF(P359="UNMAPPED","Title not mapped. ","")&amp;IF(AND(P359&lt;&gt;"No staff time",R359=""),"Missing hours. ","")&amp;IF(M359="","Date not readable. ","")&amp;IF(N359="No","Outside fiscal year. ","")&amp;IF(AND(F359="Event",ISNUMBER(R359)),IF(R359&gt;12,"Event hours look high. ",""),"")&amp;IF(G359&gt;0,"See CONFIRM sheet.",""))</f>
        <v/>
      </c>
      <c r="AB359" s="1" t="n">
        <f aca="false">IF(N359="No",0,IF(REVIEW!O359=0,0,IF(G359&gt;0,IF(INDEX(CONFIRM!$J$5:$J$53,G359)&lt;&gt;"",INDEX(CONFIRM!$J$5:$J$53,G359),1),1)))</f>
        <v>1</v>
      </c>
      <c r="AC359" s="1" t="n">
        <f aca="false">IF(AB359=1,IF(COUNTIFS($B$5:B359,B359,$D$5:D359,D359,$AB$5:AB359,1)=1,1,0),0)</f>
        <v>0</v>
      </c>
    </row>
    <row r="360" customFormat="false" ht="15" hidden="false" customHeight="false" outlineLevel="0" collapsed="false">
      <c r="A360" s="48" t="str">
        <f aca="false">STACK!A360</f>
        <v>KVMC-0356</v>
      </c>
      <c r="B360" s="48" t="str">
        <f aca="false">STACK!B360</f>
        <v>KVMC</v>
      </c>
      <c r="C360" s="48" t="str">
        <f aca="false">STACK!E360</f>
        <v>Community Hypertension Control Study</v>
      </c>
      <c r="D360" s="1" t="str">
        <f aca="false">IFERROR(INDEX(MAP!$J$7:$J$101,MATCH(TRIM(C360),MAP!$I$7:$I$101,0)),"UNMAPPED")</f>
        <v>Community Hypertension Control Study</v>
      </c>
      <c r="E360" s="1" t="str">
        <f aca="false">IFERROR(INDEX(MAP!$K$7:$K$101,MATCH(TRIM(C360),MAP!$I$7:$I$101,0)),"")</f>
        <v>Chronic disease prevention</v>
      </c>
      <c r="F360" s="1" t="str">
        <f aca="false">IFERROR(INDEX(MAP!$L$7:$L$101,MATCH(TRIM(C360),MAP!$I$7:$I$101,0)),"")</f>
        <v>Monthly</v>
      </c>
      <c r="G360" s="1" t="n">
        <f aca="false">IFERROR(MATCH(A360,CONFIRM!$A$5:$A$53,0),0)</f>
        <v>0</v>
      </c>
      <c r="H360" s="48" t="str">
        <f aca="false">STACK!F360</f>
        <v>Research</v>
      </c>
      <c r="I360" s="1" t="str">
        <f aca="false">IF(G360&gt;0,IF(INDEX(CONFIRM!$I$5:$I$53,G360)&lt;&gt;"",INDEX(CONFIRM!$I$5:$I$53,G360),H360),H360)</f>
        <v>Research</v>
      </c>
      <c r="J360" s="1" t="str">
        <f aca="false">IFERROR(INDEX(MAP!$F$7:$F$74,MATCH(TRIM(I360),MAP!$E$7:$E$74,0)),"UNMAPPED")</f>
        <v>Research</v>
      </c>
      <c r="K360" s="1" t="str">
        <f aca="false">IFERROR(INDEX(MAP!$G$7:$G$74,MATCH(TRIM(I360),MAP!$E$7:$E$74,0)),"UNMAPPED")</f>
        <v>7h</v>
      </c>
      <c r="L360" s="49" t="n">
        <f aca="false">STACK!G360</f>
        <v>46081</v>
      </c>
      <c r="M360" s="59" t="n">
        <f aca="false">IF(G360&gt;0,IF(INDEX(CONFIRM!$G$5:$G$53,G360)&lt;&gt;"",INDEX(CONFIRM!$G$5:$G$53,G360),IF(ISNUMBER(L360),L360,IFERROR(DATEVALUE(L360),""))),IF(ISNUMBER(L360),L360,IFERROR(DATEVALUE(L360),"")))</f>
        <v>46081</v>
      </c>
      <c r="N360" s="1" t="str">
        <f aca="false">IF(M360="","Check",IF(AND(M360&gt;=INPUTS!$C$6,M360&lt;=INPUTS!$C$7),"Yes","No"))</f>
        <v>Yes</v>
      </c>
      <c r="O360" s="48" t="str">
        <f aca="false">STACK!H360</f>
        <v>Research Coordinator</v>
      </c>
      <c r="P360" s="1" t="str">
        <f aca="false">IF(G360&gt;0,IF(INDEX(CONFIRM!$H$5:$H$53,G360)&lt;&gt;"",INDEX(CONFIRM!$H$5:$H$53,G360),IFERROR(INDEX(MAP!$B$7:$B$156,MATCH(TRIM(O360),MAP!$A$7:$A$156,0)),"UNMAPPED")),IFERROR(INDEX(MAP!$B$7:$B$156,MATCH(TRIM(O360),MAP!$A$7:$A$156,0)),"UNMAPPED"))</f>
        <v>Research Coordinator</v>
      </c>
      <c r="Q360" s="48" t="n">
        <f aca="false">STACK!I360</f>
        <v>189.5</v>
      </c>
      <c r="R360" s="60" t="n">
        <f aca="false">IF(G360&gt;0,IF(INDEX(CONFIRM!$F$5:$F$53,G360)&lt;&gt;"",INDEX(CONFIRM!$F$5:$F$53,G360),IF(ISNUMBER(Q360),Q360,IF(Q360="","",IFERROR(VALUE(TRIM(SUBSTITUTE(SUBSTITUTE(LOWER(Q360),"hrs",""),"hr",""))),"")))),IF(ISNUMBER(Q360),Q360,IF(Q360="","",IFERROR(VALUE(TRIM(SUBSTITUTE(SUBSTITUTE(LOWER(Q360),"hrs",""),"hr",""))),""))))</f>
        <v>189.5</v>
      </c>
      <c r="S360" s="57" t="n">
        <f aca="false">IFERROR(INDEX(RATES!$E$6:$E$28,MATCH(P360,RATES!$A$6:$A$28,0)),0)</f>
        <v>42.405</v>
      </c>
      <c r="T360" s="61" t="n">
        <f aca="false">IF(ISNUMBER(R360),R360,0)*S360</f>
        <v>8035.7475</v>
      </c>
      <c r="U360" s="61" t="n">
        <f aca="false">T360*INDEX(INPUTS!$H$10:$H$14,MATCH(B360,INPUTS!$A$10:$A$14,0))</f>
        <v>1486.6132875</v>
      </c>
      <c r="V360" s="61" t="n">
        <f aca="false">N(STACK!K360)</f>
        <v>7300</v>
      </c>
      <c r="W360" s="61" t="n">
        <f aca="false">T360+U360+V360</f>
        <v>16822.3607875</v>
      </c>
      <c r="X360" s="61" t="n">
        <f aca="false">N(STACK!L360)</f>
        <v>9695</v>
      </c>
      <c r="Y360" s="61" t="n">
        <f aca="false">W360-X360</f>
        <v>7127.3607875</v>
      </c>
      <c r="Z360" s="1" t="n">
        <f aca="false">N(STACK!J360)</f>
        <v>79</v>
      </c>
      <c r="AA360" s="1" t="str">
        <f aca="false">TRIM(IF(D360="UNMAPPED","Program not mapped. ","")&amp;IF(OR(K360="UNMAPPED",K360="UNASSIGNED"),"Category needs review. ","")&amp;IF(P360="UNMAPPED","Title not mapped. ","")&amp;IF(AND(P360&lt;&gt;"No staff time",R360=""),"Missing hours. ","")&amp;IF(M360="","Date not readable. ","")&amp;IF(N360="No","Outside fiscal year. ","")&amp;IF(AND(F360="Event",ISNUMBER(R360)),IF(R360&gt;12,"Event hours look high. ",""),"")&amp;IF(G360&gt;0,"See CONFIRM sheet.",""))</f>
        <v/>
      </c>
      <c r="AB360" s="1" t="n">
        <f aca="false">IF(N360="No",0,IF(REVIEW!O360=0,0,IF(G360&gt;0,IF(INDEX(CONFIRM!$J$5:$J$53,G360)&lt;&gt;"",INDEX(CONFIRM!$J$5:$J$53,G360),1),1)))</f>
        <v>1</v>
      </c>
      <c r="AC360" s="1" t="n">
        <f aca="false">IF(AB360=1,IF(COUNTIFS($B$5:B360,B360,$D$5:D360,D360,$AB$5:AB360,1)=1,1,0),0)</f>
        <v>0</v>
      </c>
    </row>
    <row r="361" customFormat="false" ht="15" hidden="false" customHeight="false" outlineLevel="0" collapsed="false">
      <c r="A361" s="48" t="str">
        <f aca="false">STACK!A361</f>
        <v>KVMC-0357</v>
      </c>
      <c r="B361" s="48" t="str">
        <f aca="false">STACK!B361</f>
        <v>KVMC</v>
      </c>
      <c r="C361" s="48" t="str">
        <f aca="false">STACK!E361</f>
        <v>Grief Support Group</v>
      </c>
      <c r="D361" s="1" t="str">
        <f aca="false">IFERROR(INDEX(MAP!$J$7:$J$101,MATCH(TRIM(C361),MAP!$I$7:$I$101,0)),"UNMAPPED")</f>
        <v>Grief Support Group</v>
      </c>
      <c r="E361" s="1" t="str">
        <f aca="false">IFERROR(INDEX(MAP!$K$7:$K$101,MATCH(TRIM(C361),MAP!$I$7:$I$101,0)),"")</f>
        <v>Behavioral health</v>
      </c>
      <c r="F361" s="1" t="str">
        <f aca="false">IFERROR(INDEX(MAP!$L$7:$L$101,MATCH(TRIM(C361),MAP!$I$7:$I$101,0)),"")</f>
        <v>Event</v>
      </c>
      <c r="G361" s="1" t="n">
        <f aca="false">IFERROR(MATCH(A361,CONFIRM!$A$5:$A$53,0),0)</f>
        <v>0</v>
      </c>
      <c r="H361" s="48" t="str">
        <f aca="false">STACK!F361</f>
        <v>Health Care Support Services</v>
      </c>
      <c r="I361" s="1" t="str">
        <f aca="false">IF(G361&gt;0,IF(INDEX(CONFIRM!$I$5:$I$53,G361)&lt;&gt;"",INDEX(CONFIRM!$I$5:$I$53,G361),H361),H361)</f>
        <v>Health Care Support Services</v>
      </c>
      <c r="J361" s="1" t="str">
        <f aca="false">IFERROR(INDEX(MAP!$F$7:$F$74,MATCH(TRIM(I361),MAP!$E$7:$E$74,0)),"UNMAPPED")</f>
        <v>Health care support services</v>
      </c>
      <c r="K361" s="1" t="str">
        <f aca="false">IFERROR(INDEX(MAP!$G$7:$G$74,MATCH(TRIM(I361),MAP!$E$7:$E$74,0)),"UNMAPPED")</f>
        <v>7e</v>
      </c>
      <c r="L361" s="49" t="n">
        <f aca="false">STACK!G361</f>
        <v>46083</v>
      </c>
      <c r="M361" s="59" t="n">
        <f aca="false">IF(G361&gt;0,IF(INDEX(CONFIRM!$G$5:$G$53,G361)&lt;&gt;"",INDEX(CONFIRM!$G$5:$G$53,G361),IF(ISNUMBER(L361),L361,IFERROR(DATEVALUE(L361),""))),IF(ISNUMBER(L361),L361,IFERROR(DATEVALUE(L361),"")))</f>
        <v>46083</v>
      </c>
      <c r="N361" s="1" t="str">
        <f aca="false">IF(M361="","Check",IF(AND(M361&gt;=INPUTS!$C$6,M361&lt;=INPUTS!$C$7),"Yes","No"))</f>
        <v>Yes</v>
      </c>
      <c r="O361" s="48" t="str">
        <f aca="false">STACK!H361</f>
        <v>Pastoral Care</v>
      </c>
      <c r="P361" s="1" t="str">
        <f aca="false">IF(G361&gt;0,IF(INDEX(CONFIRM!$H$5:$H$53,G361)&lt;&gt;"",INDEX(CONFIRM!$H$5:$H$53,G361),IFERROR(INDEX(MAP!$B$7:$B$156,MATCH(TRIM(O361),MAP!$A$7:$A$156,0)),"UNMAPPED")),IFERROR(INDEX(MAP!$B$7:$B$156,MATCH(TRIM(O361),MAP!$A$7:$A$156,0)),"UNMAPPED"))</f>
        <v>Chaplain</v>
      </c>
      <c r="Q361" s="48" t="n">
        <f aca="false">STACK!I361</f>
        <v>2</v>
      </c>
      <c r="R361" s="60" t="n">
        <f aca="false">IF(G361&gt;0,IF(INDEX(CONFIRM!$F$5:$F$53,G361)&lt;&gt;"",INDEX(CONFIRM!$F$5:$F$53,G361),IF(ISNUMBER(Q361),Q361,IF(Q361="","",IFERROR(VALUE(TRIM(SUBSTITUTE(SUBSTITUTE(LOWER(Q361),"hrs",""),"hr",""))),"")))),IF(ISNUMBER(Q361),Q361,IF(Q361="","",IFERROR(VALUE(TRIM(SUBSTITUTE(SUBSTITUTE(LOWER(Q361),"hrs",""),"hr",""))),""))))</f>
        <v>2</v>
      </c>
      <c r="S361" s="57" t="n">
        <f aca="false">IFERROR(INDEX(RATES!$E$6:$E$28,MATCH(P361,RATES!$A$6:$A$28,0)),0)</f>
        <v>39.835</v>
      </c>
      <c r="T361" s="61" t="n">
        <f aca="false">IF(ISNUMBER(R361),R361,0)*S361</f>
        <v>79.67</v>
      </c>
      <c r="U361" s="61" t="n">
        <f aca="false">T361*INDEX(INPUTS!$H$10:$H$14,MATCH(B361,INPUTS!$A$10:$A$14,0))</f>
        <v>14.73895</v>
      </c>
      <c r="V361" s="61" t="n">
        <f aca="false">N(STACK!K361)</f>
        <v>45</v>
      </c>
      <c r="W361" s="61" t="n">
        <f aca="false">T361+U361+V361</f>
        <v>139.40895</v>
      </c>
      <c r="X361" s="61" t="n">
        <f aca="false">N(STACK!L361)</f>
        <v>0</v>
      </c>
      <c r="Y361" s="61" t="n">
        <f aca="false">W361-X361</f>
        <v>139.40895</v>
      </c>
      <c r="Z361" s="1" t="n">
        <f aca="false">N(STACK!J361)</f>
        <v>18</v>
      </c>
      <c r="AA361" s="1" t="str">
        <f aca="false">TRIM(IF(D361="UNMAPPED","Program not mapped. ","")&amp;IF(OR(K361="UNMAPPED",K361="UNASSIGNED"),"Category needs review. ","")&amp;IF(P361="UNMAPPED","Title not mapped. ","")&amp;IF(AND(P361&lt;&gt;"No staff time",R361=""),"Missing hours. ","")&amp;IF(M361="","Date not readable. ","")&amp;IF(N361="No","Outside fiscal year. ","")&amp;IF(AND(F361="Event",ISNUMBER(R361)),IF(R361&gt;12,"Event hours look high. ",""),"")&amp;IF(G361&gt;0,"See CONFIRM sheet.",""))</f>
        <v/>
      </c>
      <c r="AB361" s="1" t="n">
        <f aca="false">IF(N361="No",0,IF(REVIEW!O361=0,0,IF(G361&gt;0,IF(INDEX(CONFIRM!$J$5:$J$53,G361)&lt;&gt;"",INDEX(CONFIRM!$J$5:$J$53,G361),1),1)))</f>
        <v>1</v>
      </c>
      <c r="AC361" s="1" t="n">
        <f aca="false">IF(AB361=1,IF(COUNTIFS($B$5:B361,B361,$D$5:D361,D361,$AB$5:AB361,1)=1,1,0),0)</f>
        <v>0</v>
      </c>
    </row>
    <row r="362" customFormat="false" ht="15" hidden="false" customHeight="false" outlineLevel="0" collapsed="false">
      <c r="A362" s="48" t="str">
        <f aca="false">STACK!A362</f>
        <v>KVMC-0358</v>
      </c>
      <c r="B362" s="48" t="str">
        <f aca="false">STACK!B362</f>
        <v>KVMC</v>
      </c>
      <c r="C362" s="48" t="str">
        <f aca="false">STACK!E362</f>
        <v>Grief Support Group</v>
      </c>
      <c r="D362" s="1" t="str">
        <f aca="false">IFERROR(INDEX(MAP!$J$7:$J$101,MATCH(TRIM(C362),MAP!$I$7:$I$101,0)),"UNMAPPED")</f>
        <v>Grief Support Group</v>
      </c>
      <c r="E362" s="1" t="str">
        <f aca="false">IFERROR(INDEX(MAP!$K$7:$K$101,MATCH(TRIM(C362),MAP!$I$7:$I$101,0)),"")</f>
        <v>Behavioral health</v>
      </c>
      <c r="F362" s="1" t="str">
        <f aca="false">IFERROR(INDEX(MAP!$L$7:$L$101,MATCH(TRIM(C362),MAP!$I$7:$I$101,0)),"")</f>
        <v>Event</v>
      </c>
      <c r="G362" s="1" t="n">
        <f aca="false">IFERROR(MATCH(A362,CONFIRM!$A$5:$A$53,0),0)</f>
        <v>0</v>
      </c>
      <c r="H362" s="48" t="str">
        <f aca="false">STACK!F362</f>
        <v>Health Care Support Services</v>
      </c>
      <c r="I362" s="1" t="str">
        <f aca="false">IF(G362&gt;0,IF(INDEX(CONFIRM!$I$5:$I$53,G362)&lt;&gt;"",INDEX(CONFIRM!$I$5:$I$53,G362),H362),H362)</f>
        <v>Health Care Support Services</v>
      </c>
      <c r="J362" s="1" t="str">
        <f aca="false">IFERROR(INDEX(MAP!$F$7:$F$74,MATCH(TRIM(I362),MAP!$E$7:$E$74,0)),"UNMAPPED")</f>
        <v>Health care support services</v>
      </c>
      <c r="K362" s="1" t="str">
        <f aca="false">IFERROR(INDEX(MAP!$G$7:$G$74,MATCH(TRIM(I362),MAP!$E$7:$E$74,0)),"UNMAPPED")</f>
        <v>7e</v>
      </c>
      <c r="L362" s="49" t="n">
        <f aca="false">STACK!G362</f>
        <v>46083</v>
      </c>
      <c r="M362" s="59" t="n">
        <f aca="false">IF(G362&gt;0,IF(INDEX(CONFIRM!$G$5:$G$53,G362)&lt;&gt;"",INDEX(CONFIRM!$G$5:$G$53,G362),IF(ISNUMBER(L362),L362,IFERROR(DATEVALUE(L362),""))),IF(ISNUMBER(L362),L362,IFERROR(DATEVALUE(L362),"")))</f>
        <v>46083</v>
      </c>
      <c r="N362" s="1" t="str">
        <f aca="false">IF(M362="","Check",IF(AND(M362&gt;=INPUTS!$C$6,M362&lt;=INPUTS!$C$7),"Yes","No"))</f>
        <v>Yes</v>
      </c>
      <c r="O362" s="48" t="str">
        <f aca="false">STACK!H362</f>
        <v>LMSW</v>
      </c>
      <c r="P362" s="1" t="str">
        <f aca="false">IF(G362&gt;0,IF(INDEX(CONFIRM!$H$5:$H$53,G362)&lt;&gt;"",INDEX(CONFIRM!$H$5:$H$53,G362),IFERROR(INDEX(MAP!$B$7:$B$156,MATCH(TRIM(O362),MAP!$A$7:$A$156,0)),"UNMAPPED")),IFERROR(INDEX(MAP!$B$7:$B$156,MATCH(TRIM(O362),MAP!$A$7:$A$156,0)),"UNMAPPED"))</f>
        <v>Social Worker</v>
      </c>
      <c r="Q362" s="48" t="n">
        <f aca="false">STACK!I362</f>
        <v>1.75</v>
      </c>
      <c r="R362" s="60" t="n">
        <f aca="false">IF(G362&gt;0,IF(INDEX(CONFIRM!$F$5:$F$53,G362)&lt;&gt;"",INDEX(CONFIRM!$F$5:$F$53,G362),IF(ISNUMBER(Q362),Q362,IF(Q362="","",IFERROR(VALUE(TRIM(SUBSTITUTE(SUBSTITUTE(LOWER(Q362),"hrs",""),"hr",""))),"")))),IF(ISNUMBER(Q362),Q362,IF(Q362="","",IFERROR(VALUE(TRIM(SUBSTITUTE(SUBSTITUTE(LOWER(Q362),"hrs",""),"hr",""))),""))))</f>
        <v>1.75</v>
      </c>
      <c r="S362" s="57" t="n">
        <f aca="false">IFERROR(INDEX(RATES!$E$6:$E$28,MATCH(P362,RATES!$A$6:$A$28,0)),0)</f>
        <v>45.6175</v>
      </c>
      <c r="T362" s="61" t="n">
        <f aca="false">IF(ISNUMBER(R362),R362,0)*S362</f>
        <v>79.830625</v>
      </c>
      <c r="U362" s="61" t="n">
        <f aca="false">T362*INDEX(INPUTS!$H$10:$H$14,MATCH(B362,INPUTS!$A$10:$A$14,0))</f>
        <v>14.768665625</v>
      </c>
      <c r="V362" s="61" t="n">
        <f aca="false">N(STACK!K362)</f>
        <v>0</v>
      </c>
      <c r="W362" s="61" t="n">
        <f aca="false">T362+U362+V362</f>
        <v>94.599290625</v>
      </c>
      <c r="X362" s="61" t="n">
        <f aca="false">N(STACK!L362)</f>
        <v>0</v>
      </c>
      <c r="Y362" s="61" t="n">
        <f aca="false">W362-X362</f>
        <v>94.599290625</v>
      </c>
      <c r="Z362" s="1" t="n">
        <f aca="false">N(STACK!J362)</f>
        <v>0</v>
      </c>
      <c r="AA362" s="1" t="str">
        <f aca="false">TRIM(IF(D362="UNMAPPED","Program not mapped. ","")&amp;IF(OR(K362="UNMAPPED",K362="UNASSIGNED"),"Category needs review. ","")&amp;IF(P362="UNMAPPED","Title not mapped. ","")&amp;IF(AND(P362&lt;&gt;"No staff time",R362=""),"Missing hours. ","")&amp;IF(M362="","Date not readable. ","")&amp;IF(N362="No","Outside fiscal year. ","")&amp;IF(AND(F362="Event",ISNUMBER(R362)),IF(R362&gt;12,"Event hours look high. ",""),"")&amp;IF(G362&gt;0,"See CONFIRM sheet.",""))</f>
        <v/>
      </c>
      <c r="AB362" s="1" t="n">
        <f aca="false">IF(N362="No",0,IF(REVIEW!O362=0,0,IF(G362&gt;0,IF(INDEX(CONFIRM!$J$5:$J$53,G362)&lt;&gt;"",INDEX(CONFIRM!$J$5:$J$53,G362),1),1)))</f>
        <v>1</v>
      </c>
      <c r="AC362" s="1" t="n">
        <f aca="false">IF(AB362=1,IF(COUNTIFS($B$5:B362,B362,$D$5:D362,D362,$AB$5:AB362,1)=1,1,0),0)</f>
        <v>0</v>
      </c>
    </row>
    <row r="363" customFormat="false" ht="15" hidden="false" customHeight="false" outlineLevel="0" collapsed="false">
      <c r="A363" s="48" t="str">
        <f aca="false">STACK!A363</f>
        <v>KVMC-0359</v>
      </c>
      <c r="B363" s="48" t="str">
        <f aca="false">STACK!B363</f>
        <v>KVMC</v>
      </c>
      <c r="C363" s="48" t="str">
        <f aca="false">STACK!E363</f>
        <v>Regional Health Coalition</v>
      </c>
      <c r="D363" s="1" t="str">
        <f aca="false">IFERROR(INDEX(MAP!$J$7:$J$101,MATCH(TRIM(C363),MAP!$I$7:$I$101,0)),"UNMAPPED")</f>
        <v>Regional Health Coalition</v>
      </c>
      <c r="E363" s="1" t="str">
        <f aca="false">IFERROR(INDEX(MAP!$K$7:$K$101,MATCH(TRIM(C363),MAP!$I$7:$I$101,0)),"")</f>
        <v>Community benefit infrastructure</v>
      </c>
      <c r="F363" s="1" t="str">
        <f aca="false">IFERROR(INDEX(MAP!$L$7:$L$101,MATCH(TRIM(C363),MAP!$I$7:$I$101,0)),"")</f>
        <v>Event</v>
      </c>
      <c r="G363" s="1" t="n">
        <f aca="false">IFERROR(MATCH(A363,CONFIRM!$A$5:$A$53,0),0)</f>
        <v>0</v>
      </c>
      <c r="H363" s="48" t="str">
        <f aca="false">STACK!F363</f>
        <v>Community Building - Coalition</v>
      </c>
      <c r="I363" s="1" t="str">
        <f aca="false">IF(G363&gt;0,IF(INDEX(CONFIRM!$I$5:$I$53,G363)&lt;&gt;"",INDEX(CONFIRM!$I$5:$I$53,G363),H363),H363)</f>
        <v>Community Building - Coalition</v>
      </c>
      <c r="J363" s="1" t="str">
        <f aca="false">IFERROR(INDEX(MAP!$F$7:$F$74,MATCH(TRIM(I363),MAP!$E$7:$E$74,0)),"UNMAPPED")</f>
        <v>Community building: coalition building</v>
      </c>
      <c r="K363" s="1" t="str">
        <f aca="false">IFERROR(INDEX(MAP!$G$7:$G$74,MATCH(TRIM(I363),MAP!$E$7:$E$74,0)),"UNMAPPED")</f>
        <v>II-6</v>
      </c>
      <c r="L363" s="49" t="n">
        <f aca="false">STACK!G363</f>
        <v>46084</v>
      </c>
      <c r="M363" s="59" t="n">
        <f aca="false">IF(G363&gt;0,IF(INDEX(CONFIRM!$G$5:$G$53,G363)&lt;&gt;"",INDEX(CONFIRM!$G$5:$G$53,G363),IF(ISNUMBER(L363),L363,IFERROR(DATEVALUE(L363),""))),IF(ISNUMBER(L363),L363,IFERROR(DATEVALUE(L363),"")))</f>
        <v>46084</v>
      </c>
      <c r="N363" s="1" t="str">
        <f aca="false">IF(M363="","Check",IF(AND(M363&gt;=INPUTS!$C$6,M363&lt;=INPUTS!$C$7),"Yes","No"))</f>
        <v>Yes</v>
      </c>
      <c r="O363" s="48" t="str">
        <f aca="false">STACK!H363</f>
        <v>Community Benefit Mgr</v>
      </c>
      <c r="P363" s="1" t="str">
        <f aca="false">IF(G363&gt;0,IF(INDEX(CONFIRM!$H$5:$H$53,G363)&lt;&gt;"",INDEX(CONFIRM!$H$5:$H$53,G363),IFERROR(INDEX(MAP!$B$7:$B$156,MATCH(TRIM(O363),MAP!$A$7:$A$156,0)),"UNMAPPED")),IFERROR(INDEX(MAP!$B$7:$B$156,MATCH(TRIM(O363),MAP!$A$7:$A$156,0)),"UNMAPPED"))</f>
        <v>Community Benefit Manager</v>
      </c>
      <c r="Q363" s="48" t="n">
        <f aca="false">STACK!I363</f>
        <v>2.25</v>
      </c>
      <c r="R363" s="60" t="n">
        <f aca="false">IF(G363&gt;0,IF(INDEX(CONFIRM!$F$5:$F$53,G363)&lt;&gt;"",INDEX(CONFIRM!$F$5:$F$53,G363),IF(ISNUMBER(Q363),Q363,IF(Q363="","",IFERROR(VALUE(TRIM(SUBSTITUTE(SUBSTITUTE(LOWER(Q363),"hrs",""),"hr",""))),"")))),IF(ISNUMBER(Q363),Q363,IF(Q363="","",IFERROR(VALUE(TRIM(SUBSTITUTE(SUBSTITUTE(LOWER(Q363),"hrs",""),"hr",""))),""))))</f>
        <v>2.25</v>
      </c>
      <c r="S363" s="57" t="n">
        <f aca="false">IFERROR(INDEX(RATES!$E$6:$E$28,MATCH(P363,RATES!$A$6:$A$28,0)),0)</f>
        <v>59.11</v>
      </c>
      <c r="T363" s="61" t="n">
        <f aca="false">IF(ISNUMBER(R363),R363,0)*S363</f>
        <v>132.9975</v>
      </c>
      <c r="U363" s="61" t="n">
        <f aca="false">T363*INDEX(INPUTS!$H$10:$H$14,MATCH(B363,INPUTS!$A$10:$A$14,0))</f>
        <v>24.6045375</v>
      </c>
      <c r="V363" s="61" t="n">
        <f aca="false">N(STACK!K363)</f>
        <v>0</v>
      </c>
      <c r="W363" s="61" t="n">
        <f aca="false">T363+U363+V363</f>
        <v>157.6020375</v>
      </c>
      <c r="X363" s="61" t="n">
        <f aca="false">N(STACK!L363)</f>
        <v>0</v>
      </c>
      <c r="Y363" s="61" t="n">
        <f aca="false">W363-X363</f>
        <v>157.6020375</v>
      </c>
      <c r="Z363" s="1" t="n">
        <f aca="false">N(STACK!J363)</f>
        <v>0</v>
      </c>
      <c r="AA363" s="1" t="str">
        <f aca="false">TRIM(IF(D363="UNMAPPED","Program not mapped. ","")&amp;IF(OR(K363="UNMAPPED",K363="UNASSIGNED"),"Category needs review. ","")&amp;IF(P363="UNMAPPED","Title not mapped. ","")&amp;IF(AND(P363&lt;&gt;"No staff time",R363=""),"Missing hours. ","")&amp;IF(M363="","Date not readable. ","")&amp;IF(N363="No","Outside fiscal year. ","")&amp;IF(AND(F363="Event",ISNUMBER(R363)),IF(R363&gt;12,"Event hours look high. ",""),"")&amp;IF(G363&gt;0,"See CONFIRM sheet.",""))</f>
        <v/>
      </c>
      <c r="AB363" s="1" t="n">
        <f aca="false">IF(N363="No",0,IF(REVIEW!O363=0,0,IF(G363&gt;0,IF(INDEX(CONFIRM!$J$5:$J$53,G363)&lt;&gt;"",INDEX(CONFIRM!$J$5:$J$53,G363),1),1)))</f>
        <v>1</v>
      </c>
      <c r="AC363" s="1" t="n">
        <f aca="false">IF(AB363=1,IF(COUNTIFS($B$5:B363,B363,$D$5:D363,D363,$AB$5:AB363,1)=1,1,0),0)</f>
        <v>0</v>
      </c>
    </row>
    <row r="364" customFormat="false" ht="15" hidden="false" customHeight="false" outlineLevel="0" collapsed="false">
      <c r="A364" s="48" t="str">
        <f aca="false">STACK!A364</f>
        <v>KVMC-0360</v>
      </c>
      <c r="B364" s="48" t="str">
        <f aca="false">STACK!B364</f>
        <v>KVMC</v>
      </c>
      <c r="C364" s="48" t="str">
        <f aca="false">STACK!E364</f>
        <v>Regional Health Coalition</v>
      </c>
      <c r="D364" s="1" t="str">
        <f aca="false">IFERROR(INDEX(MAP!$J$7:$J$101,MATCH(TRIM(C364),MAP!$I$7:$I$101,0)),"UNMAPPED")</f>
        <v>Regional Health Coalition</v>
      </c>
      <c r="E364" s="1" t="str">
        <f aca="false">IFERROR(INDEX(MAP!$K$7:$K$101,MATCH(TRIM(C364),MAP!$I$7:$I$101,0)),"")</f>
        <v>Community benefit infrastructure</v>
      </c>
      <c r="F364" s="1" t="str">
        <f aca="false">IFERROR(INDEX(MAP!$L$7:$L$101,MATCH(TRIM(C364),MAP!$I$7:$I$101,0)),"")</f>
        <v>Event</v>
      </c>
      <c r="G364" s="1" t="n">
        <f aca="false">IFERROR(MATCH(A364,CONFIRM!$A$5:$A$53,0),0)</f>
        <v>0</v>
      </c>
      <c r="H364" s="48" t="str">
        <f aca="false">STACK!F364</f>
        <v>Community Building - Coalition</v>
      </c>
      <c r="I364" s="1" t="str">
        <f aca="false">IF(G364&gt;0,IF(INDEX(CONFIRM!$I$5:$I$53,G364)&lt;&gt;"",INDEX(CONFIRM!$I$5:$I$53,G364),H364),H364)</f>
        <v>Community Building - Coalition</v>
      </c>
      <c r="J364" s="1" t="str">
        <f aca="false">IFERROR(INDEX(MAP!$F$7:$F$74,MATCH(TRIM(I364),MAP!$E$7:$E$74,0)),"UNMAPPED")</f>
        <v>Community building: coalition building</v>
      </c>
      <c r="K364" s="1" t="str">
        <f aca="false">IFERROR(INDEX(MAP!$G$7:$G$74,MATCH(TRIM(I364),MAP!$E$7:$E$74,0)),"UNMAPPED")</f>
        <v>II-6</v>
      </c>
      <c r="L364" s="49" t="n">
        <f aca="false">STACK!G364</f>
        <v>46084</v>
      </c>
      <c r="M364" s="59" t="n">
        <f aca="false">IF(G364&gt;0,IF(INDEX(CONFIRM!$G$5:$G$53,G364)&lt;&gt;"",INDEX(CONFIRM!$G$5:$G$53,G364),IF(ISNUMBER(L364),L364,IFERROR(DATEVALUE(L364),""))),IF(ISNUMBER(L364),L364,IFERROR(DATEVALUE(L364),"")))</f>
        <v>46084</v>
      </c>
      <c r="N364" s="1" t="str">
        <f aca="false">IF(M364="","Check",IF(AND(M364&gt;=INPUTS!$C$6,M364&lt;=INPUTS!$C$7),"Yes","No"))</f>
        <v>Yes</v>
      </c>
      <c r="O364" s="48" t="str">
        <f aca="false">STACK!H364</f>
        <v>Dir.</v>
      </c>
      <c r="P364" s="1" t="str">
        <f aca="false">IF(G364&gt;0,IF(INDEX(CONFIRM!$H$5:$H$53,G364)&lt;&gt;"",INDEX(CONFIRM!$H$5:$H$53,G364),IFERROR(INDEX(MAP!$B$7:$B$156,MATCH(TRIM(O364),MAP!$A$7:$A$156,0)),"UNMAPPED")),IFERROR(INDEX(MAP!$B$7:$B$156,MATCH(TRIM(O364),MAP!$A$7:$A$156,0)),"UNMAPPED"))</f>
        <v>Director</v>
      </c>
      <c r="Q364" s="48" t="n">
        <f aca="false">STACK!I364</f>
        <v>2.5</v>
      </c>
      <c r="R364" s="60" t="n">
        <f aca="false">IF(G364&gt;0,IF(INDEX(CONFIRM!$F$5:$F$53,G364)&lt;&gt;"",INDEX(CONFIRM!$F$5:$F$53,G364),IF(ISNUMBER(Q364),Q364,IF(Q364="","",IFERROR(VALUE(TRIM(SUBSTITUTE(SUBSTITUTE(LOWER(Q364),"hrs",""),"hr",""))),"")))),IF(ISNUMBER(Q364),Q364,IF(Q364="","",IFERROR(VALUE(TRIM(SUBSTITUTE(SUBSTITUTE(LOWER(Q364),"hrs",""),"hr",""))),""))))</f>
        <v>2.5</v>
      </c>
      <c r="S364" s="57" t="n">
        <f aca="false">IFERROR(INDEX(RATES!$E$6:$E$28,MATCH(P364,RATES!$A$6:$A$28,0)),0)</f>
        <v>92.52</v>
      </c>
      <c r="T364" s="61" t="n">
        <f aca="false">IF(ISNUMBER(R364),R364,0)*S364</f>
        <v>231.3</v>
      </c>
      <c r="U364" s="61" t="n">
        <f aca="false">T364*INDEX(INPUTS!$H$10:$H$14,MATCH(B364,INPUTS!$A$10:$A$14,0))</f>
        <v>42.7905</v>
      </c>
      <c r="V364" s="61" t="n">
        <f aca="false">N(STACK!K364)</f>
        <v>80</v>
      </c>
      <c r="W364" s="61" t="n">
        <f aca="false">T364+U364+V364</f>
        <v>354.0905</v>
      </c>
      <c r="X364" s="61" t="n">
        <f aca="false">N(STACK!L364)</f>
        <v>0</v>
      </c>
      <c r="Y364" s="61" t="n">
        <f aca="false">W364-X364</f>
        <v>354.0905</v>
      </c>
      <c r="Z364" s="1" t="n">
        <f aca="false">N(STACK!J364)</f>
        <v>0</v>
      </c>
      <c r="AA364" s="1" t="str">
        <f aca="false">TRIM(IF(D364="UNMAPPED","Program not mapped. ","")&amp;IF(OR(K364="UNMAPPED",K364="UNASSIGNED"),"Category needs review. ","")&amp;IF(P364="UNMAPPED","Title not mapped. ","")&amp;IF(AND(P364&lt;&gt;"No staff time",R364=""),"Missing hours. ","")&amp;IF(M364="","Date not readable. ","")&amp;IF(N364="No","Outside fiscal year. ","")&amp;IF(AND(F364="Event",ISNUMBER(R364)),IF(R364&gt;12,"Event hours look high. ",""),"")&amp;IF(G364&gt;0,"See CONFIRM sheet.",""))</f>
        <v/>
      </c>
      <c r="AB364" s="1" t="n">
        <f aca="false">IF(N364="No",0,IF(REVIEW!O364=0,0,IF(G364&gt;0,IF(INDEX(CONFIRM!$J$5:$J$53,G364)&lt;&gt;"",INDEX(CONFIRM!$J$5:$J$53,G364),1),1)))</f>
        <v>1</v>
      </c>
      <c r="AC364" s="1" t="n">
        <f aca="false">IF(AB364=1,IF(COUNTIFS($B$5:B364,B364,$D$5:D364,D364,$AB$5:AB364,1)=1,1,0),0)</f>
        <v>0</v>
      </c>
    </row>
    <row r="365" customFormat="false" ht="15" hidden="false" customHeight="false" outlineLevel="0" collapsed="false">
      <c r="A365" s="48" t="str">
        <f aca="false">STACK!A365</f>
        <v>KVMC-0361</v>
      </c>
      <c r="B365" s="48" t="str">
        <f aca="false">STACK!B365</f>
        <v>KVMC</v>
      </c>
      <c r="C365" s="48" t="str">
        <f aca="false">STACK!E365</f>
        <v>Naloxone Training and Distribution</v>
      </c>
      <c r="D365" s="1" t="str">
        <f aca="false">IFERROR(INDEX(MAP!$J$7:$J$101,MATCH(TRIM(C365),MAP!$I$7:$I$101,0)),"UNMAPPED")</f>
        <v>Naloxone Training and Distribution</v>
      </c>
      <c r="E365" s="1" t="str">
        <f aca="false">IFERROR(INDEX(MAP!$K$7:$K$101,MATCH(TRIM(C365),MAP!$I$7:$I$101,0)),"")</f>
        <v>Behavioral health</v>
      </c>
      <c r="F365" s="1" t="str">
        <f aca="false">IFERROR(INDEX(MAP!$L$7:$L$101,MATCH(TRIM(C365),MAP!$I$7:$I$101,0)),"")</f>
        <v>Event</v>
      </c>
      <c r="G365" s="1" t="n">
        <f aca="false">IFERROR(MATCH(A365,CONFIRM!$A$5:$A$53,0),0)</f>
        <v>0</v>
      </c>
      <c r="H365" s="48" t="str">
        <f aca="false">STACK!F365</f>
        <v>Community Health Education</v>
      </c>
      <c r="I365" s="1" t="str">
        <f aca="false">IF(G365&gt;0,IF(INDEX(CONFIRM!$I$5:$I$53,G365)&lt;&gt;"",INDEX(CONFIRM!$I$5:$I$53,G365),H365),H365)</f>
        <v>Community Health Education</v>
      </c>
      <c r="J365" s="1" t="str">
        <f aca="false">IFERROR(INDEX(MAP!$F$7:$F$74,MATCH(TRIM(I365),MAP!$E$7:$E$74,0)),"UNMAPPED")</f>
        <v>Community health education</v>
      </c>
      <c r="K365" s="1" t="str">
        <f aca="false">IFERROR(INDEX(MAP!$G$7:$G$74,MATCH(TRIM(I365),MAP!$E$7:$E$74,0)),"UNMAPPED")</f>
        <v>7e</v>
      </c>
      <c r="L365" s="49" t="n">
        <f aca="false">STACK!G365</f>
        <v>46085</v>
      </c>
      <c r="M365" s="59" t="n">
        <f aca="false">IF(G365&gt;0,IF(INDEX(CONFIRM!$G$5:$G$53,G365)&lt;&gt;"",INDEX(CONFIRM!$G$5:$G$53,G365),IF(ISNUMBER(L365),L365,IFERROR(DATEVALUE(L365),""))),IF(ISNUMBER(L365),L365,IFERROR(DATEVALUE(L365),"")))</f>
        <v>46085</v>
      </c>
      <c r="N365" s="1" t="str">
        <f aca="false">IF(M365="","Check",IF(AND(M365&gt;=INPUTS!$C$6,M365&lt;=INPUTS!$C$7),"Yes","No"))</f>
        <v>Yes</v>
      </c>
      <c r="O365" s="48" t="str">
        <f aca="false">STACK!H365</f>
        <v>Health Ed</v>
      </c>
      <c r="P365" s="1" t="str">
        <f aca="false">IF(G365&gt;0,IF(INDEX(CONFIRM!$H$5:$H$53,G365)&lt;&gt;"",INDEX(CONFIRM!$H$5:$H$53,G365),IFERROR(INDEX(MAP!$B$7:$B$156,MATCH(TRIM(O365),MAP!$A$7:$A$156,0)),"UNMAPPED")),IFERROR(INDEX(MAP!$B$7:$B$156,MATCH(TRIM(O365),MAP!$A$7:$A$156,0)),"UNMAPPED"))</f>
        <v>Health Educator</v>
      </c>
      <c r="Q365" s="48" t="n">
        <f aca="false">STACK!I365</f>
        <v>2.5</v>
      </c>
      <c r="R365" s="60" t="n">
        <f aca="false">IF(G365&gt;0,IF(INDEX(CONFIRM!$F$5:$F$53,G365)&lt;&gt;"",INDEX(CONFIRM!$F$5:$F$53,G365),IF(ISNUMBER(Q365),Q365,IF(Q365="","",IFERROR(VALUE(TRIM(SUBSTITUTE(SUBSTITUTE(LOWER(Q365),"hrs",""),"hr",""))),"")))),IF(ISNUMBER(Q365),Q365,IF(Q365="","",IFERROR(VALUE(TRIM(SUBSTITUTE(SUBSTITUTE(LOWER(Q365),"hrs",""),"hr",""))),""))))</f>
        <v>2.5</v>
      </c>
      <c r="S365" s="57" t="n">
        <f aca="false">IFERROR(INDEX(RATES!$E$6:$E$28,MATCH(P365,RATES!$A$6:$A$28,0)),0)</f>
        <v>37.265</v>
      </c>
      <c r="T365" s="61" t="n">
        <f aca="false">IF(ISNUMBER(R365),R365,0)*S365</f>
        <v>93.1625</v>
      </c>
      <c r="U365" s="61" t="n">
        <f aca="false">T365*INDEX(INPUTS!$H$10:$H$14,MATCH(B365,INPUTS!$A$10:$A$14,0))</f>
        <v>17.2350625</v>
      </c>
      <c r="V365" s="61" t="n">
        <f aca="false">N(STACK!K365)</f>
        <v>0</v>
      </c>
      <c r="W365" s="61" t="n">
        <f aca="false">T365+U365+V365</f>
        <v>110.3975625</v>
      </c>
      <c r="X365" s="61" t="n">
        <f aca="false">N(STACK!L365)</f>
        <v>0</v>
      </c>
      <c r="Y365" s="61" t="n">
        <f aca="false">W365-X365</f>
        <v>110.3975625</v>
      </c>
      <c r="Z365" s="1" t="n">
        <f aca="false">N(STACK!J365)</f>
        <v>0</v>
      </c>
      <c r="AA365" s="1" t="str">
        <f aca="false">TRIM(IF(D365="UNMAPPED","Program not mapped. ","")&amp;IF(OR(K365="UNMAPPED",K365="UNASSIGNED"),"Category needs review. ","")&amp;IF(P365="UNMAPPED","Title not mapped. ","")&amp;IF(AND(P365&lt;&gt;"No staff time",R365=""),"Missing hours. ","")&amp;IF(M365="","Date not readable. ","")&amp;IF(N365="No","Outside fiscal year. ","")&amp;IF(AND(F365="Event",ISNUMBER(R365)),IF(R365&gt;12,"Event hours look high. ",""),"")&amp;IF(G365&gt;0,"See CONFIRM sheet.",""))</f>
        <v/>
      </c>
      <c r="AB365" s="1" t="n">
        <f aca="false">IF(N365="No",0,IF(REVIEW!O365=0,0,IF(G365&gt;0,IF(INDEX(CONFIRM!$J$5:$J$53,G365)&lt;&gt;"",INDEX(CONFIRM!$J$5:$J$53,G365),1),1)))</f>
        <v>1</v>
      </c>
      <c r="AC365" s="1" t="n">
        <f aca="false">IF(AB365=1,IF(COUNTIFS($B$5:B365,B365,$D$5:D365,D365,$AB$5:AB365,1)=1,1,0),0)</f>
        <v>0</v>
      </c>
    </row>
    <row r="366" customFormat="false" ht="15" hidden="false" customHeight="false" outlineLevel="0" collapsed="false">
      <c r="A366" s="48" t="str">
        <f aca="false">STACK!A366</f>
        <v>KVMC-0362</v>
      </c>
      <c r="B366" s="48" t="str">
        <f aca="false">STACK!B366</f>
        <v>KVMC</v>
      </c>
      <c r="C366" s="48" t="str">
        <f aca="false">STACK!E366</f>
        <v>Naloxone Training and Distribution</v>
      </c>
      <c r="D366" s="1" t="str">
        <f aca="false">IFERROR(INDEX(MAP!$J$7:$J$101,MATCH(TRIM(C366),MAP!$I$7:$I$101,0)),"UNMAPPED")</f>
        <v>Naloxone Training and Distribution</v>
      </c>
      <c r="E366" s="1" t="str">
        <f aca="false">IFERROR(INDEX(MAP!$K$7:$K$101,MATCH(TRIM(C366),MAP!$I$7:$I$101,0)),"")</f>
        <v>Behavioral health</v>
      </c>
      <c r="F366" s="1" t="str">
        <f aca="false">IFERROR(INDEX(MAP!$L$7:$L$101,MATCH(TRIM(C366),MAP!$I$7:$I$101,0)),"")</f>
        <v>Event</v>
      </c>
      <c r="G366" s="1" t="n">
        <f aca="false">IFERROR(MATCH(A366,CONFIRM!$A$5:$A$53,0),0)</f>
        <v>0</v>
      </c>
      <c r="H366" s="48" t="str">
        <f aca="false">STACK!F366</f>
        <v>Community Health Education</v>
      </c>
      <c r="I366" s="1" t="str">
        <f aca="false">IF(G366&gt;0,IF(INDEX(CONFIRM!$I$5:$I$53,G366)&lt;&gt;"",INDEX(CONFIRM!$I$5:$I$53,G366),H366),H366)</f>
        <v>Community Health Education</v>
      </c>
      <c r="J366" s="1" t="str">
        <f aca="false">IFERROR(INDEX(MAP!$F$7:$F$74,MATCH(TRIM(I366),MAP!$E$7:$E$74,0)),"UNMAPPED")</f>
        <v>Community health education</v>
      </c>
      <c r="K366" s="1" t="str">
        <f aca="false">IFERROR(INDEX(MAP!$G$7:$G$74,MATCH(TRIM(I366),MAP!$E$7:$E$74,0)),"UNMAPPED")</f>
        <v>7e</v>
      </c>
      <c r="L366" s="49" t="n">
        <f aca="false">STACK!G366</f>
        <v>46085</v>
      </c>
      <c r="M366" s="59" t="n">
        <f aca="false">IF(G366&gt;0,IF(INDEX(CONFIRM!$G$5:$G$53,G366)&lt;&gt;"",INDEX(CONFIRM!$G$5:$G$53,G366),IF(ISNUMBER(L366),L366,IFERROR(DATEVALUE(L366),""))),IF(ISNUMBER(L366),L366,IFERROR(DATEVALUE(L366),"")))</f>
        <v>46085</v>
      </c>
      <c r="N366" s="1" t="str">
        <f aca="false">IF(M366="","Check",IF(AND(M366&gt;=INPUTS!$C$6,M366&lt;=INPUTS!$C$7),"Yes","No"))</f>
        <v>Yes</v>
      </c>
      <c r="O366" s="48" t="str">
        <f aca="false">STACK!H366</f>
        <v>Pharm.D.</v>
      </c>
      <c r="P366" s="1" t="str">
        <f aca="false">IF(G366&gt;0,IF(INDEX(CONFIRM!$H$5:$H$53,G366)&lt;&gt;"",INDEX(CONFIRM!$H$5:$H$53,G366),IFERROR(INDEX(MAP!$B$7:$B$156,MATCH(TRIM(O366),MAP!$A$7:$A$156,0)),"UNMAPPED")),IFERROR(INDEX(MAP!$B$7:$B$156,MATCH(TRIM(O366),MAP!$A$7:$A$156,0)),"UNMAPPED"))</f>
        <v>Pharmacist</v>
      </c>
      <c r="Q366" s="48" t="n">
        <f aca="false">STACK!I366</f>
        <v>3</v>
      </c>
      <c r="R366" s="60" t="n">
        <f aca="false">IF(G366&gt;0,IF(INDEX(CONFIRM!$F$5:$F$53,G366)&lt;&gt;"",INDEX(CONFIRM!$F$5:$F$53,G366),IF(ISNUMBER(Q366),Q366,IF(Q366="","",IFERROR(VALUE(TRIM(SUBSTITUTE(SUBSTITUTE(LOWER(Q366),"hrs",""),"hr",""))),"")))),IF(ISNUMBER(Q366),Q366,IF(Q366="","",IFERROR(VALUE(TRIM(SUBSTITUTE(SUBSTITUTE(LOWER(Q366),"hrs",""),"hr",""))),""))))</f>
        <v>3</v>
      </c>
      <c r="S366" s="57" t="n">
        <f aca="false">IFERROR(INDEX(RATES!$E$6:$E$28,MATCH(P366,RATES!$A$6:$A$28,0)),0)</f>
        <v>84.81</v>
      </c>
      <c r="T366" s="61" t="n">
        <f aca="false">IF(ISNUMBER(R366),R366,0)*S366</f>
        <v>254.43</v>
      </c>
      <c r="U366" s="61" t="n">
        <f aca="false">T366*INDEX(INPUTS!$H$10:$H$14,MATCH(B366,INPUTS!$A$10:$A$14,0))</f>
        <v>47.06955</v>
      </c>
      <c r="V366" s="61" t="n">
        <f aca="false">N(STACK!K366)</f>
        <v>2500</v>
      </c>
      <c r="W366" s="61" t="n">
        <f aca="false">T366+U366+V366</f>
        <v>2801.49955</v>
      </c>
      <c r="X366" s="61" t="n">
        <f aca="false">N(STACK!L366)</f>
        <v>1670</v>
      </c>
      <c r="Y366" s="61" t="n">
        <f aca="false">W366-X366</f>
        <v>1131.49955</v>
      </c>
      <c r="Z366" s="1" t="n">
        <f aca="false">N(STACK!J366)</f>
        <v>26</v>
      </c>
      <c r="AA366" s="1" t="str">
        <f aca="false">TRIM(IF(D366="UNMAPPED","Program not mapped. ","")&amp;IF(OR(K366="UNMAPPED",K366="UNASSIGNED"),"Category needs review. ","")&amp;IF(P366="UNMAPPED","Title not mapped. ","")&amp;IF(AND(P366&lt;&gt;"No staff time",R366=""),"Missing hours. ","")&amp;IF(M366="","Date not readable. ","")&amp;IF(N366="No","Outside fiscal year. ","")&amp;IF(AND(F366="Event",ISNUMBER(R366)),IF(R366&gt;12,"Event hours look high. ",""),"")&amp;IF(G366&gt;0,"See CONFIRM sheet.",""))</f>
        <v/>
      </c>
      <c r="AB366" s="1" t="n">
        <f aca="false">IF(N366="No",0,IF(REVIEW!O366=0,0,IF(G366&gt;0,IF(INDEX(CONFIRM!$J$5:$J$53,G366)&lt;&gt;"",INDEX(CONFIRM!$J$5:$J$53,G366),1),1)))</f>
        <v>1</v>
      </c>
      <c r="AC366" s="1" t="n">
        <f aca="false">IF(AB366=1,IF(COUNTIFS($B$5:B366,B366,$D$5:D366,D366,$AB$5:AB366,1)=1,1,0),0)</f>
        <v>0</v>
      </c>
    </row>
    <row r="367" customFormat="false" ht="15" hidden="false" customHeight="false" outlineLevel="0" collapsed="false">
      <c r="A367" s="48" t="str">
        <f aca="false">STACK!A367</f>
        <v>KVMC-0363</v>
      </c>
      <c r="B367" s="48" t="str">
        <f aca="false">STACK!B367</f>
        <v>KVMC</v>
      </c>
      <c r="C367" s="48" t="str">
        <f aca="false">STACK!E367</f>
        <v>Youth Health Careers Pathway</v>
      </c>
      <c r="D367" s="1" t="str">
        <f aca="false">IFERROR(INDEX(MAP!$J$7:$J$101,MATCH(TRIM(C367),MAP!$I$7:$I$101,0)),"UNMAPPED")</f>
        <v>Youth Health Careers Pathway</v>
      </c>
      <c r="E367" s="1" t="str">
        <f aca="false">IFERROR(INDEX(MAP!$K$7:$K$101,MATCH(TRIM(C367),MAP!$I$7:$I$101,0)),"")</f>
        <v>Health workforce</v>
      </c>
      <c r="F367" s="1" t="str">
        <f aca="false">IFERROR(INDEX(MAP!$L$7:$L$101,MATCH(TRIM(C367),MAP!$I$7:$I$101,0)),"")</f>
        <v>Event</v>
      </c>
      <c r="G367" s="1" t="n">
        <f aca="false">IFERROR(MATCH(A367,CONFIRM!$A$5:$A$53,0),0)</f>
        <v>0</v>
      </c>
      <c r="H367" s="48" t="str">
        <f aca="false">STACK!F367</f>
        <v>Community Building - Workforce</v>
      </c>
      <c r="I367" s="1" t="str">
        <f aca="false">IF(G367&gt;0,IF(INDEX(CONFIRM!$I$5:$I$53,G367)&lt;&gt;"",INDEX(CONFIRM!$I$5:$I$53,G367),H367),H367)</f>
        <v>Community Building - Workforce</v>
      </c>
      <c r="J367" s="1" t="str">
        <f aca="false">IFERROR(INDEX(MAP!$F$7:$F$74,MATCH(TRIM(I367),MAP!$E$7:$E$74,0)),"UNMAPPED")</f>
        <v>Community building: workforce development</v>
      </c>
      <c r="K367" s="1" t="str">
        <f aca="false">IFERROR(INDEX(MAP!$G$7:$G$74,MATCH(TRIM(I367),MAP!$E$7:$E$74,0)),"UNMAPPED")</f>
        <v>II-8</v>
      </c>
      <c r="L367" s="49" t="n">
        <f aca="false">STACK!G367</f>
        <v>46085</v>
      </c>
      <c r="M367" s="59" t="n">
        <f aca="false">IF(G367&gt;0,IF(INDEX(CONFIRM!$G$5:$G$53,G367)&lt;&gt;"",INDEX(CONFIRM!$G$5:$G$53,G367),IF(ISNUMBER(L367),L367,IFERROR(DATEVALUE(L367),""))),IF(ISNUMBER(L367),L367,IFERROR(DATEVALUE(L367),"")))</f>
        <v>46085</v>
      </c>
      <c r="N367" s="1" t="str">
        <f aca="false">IF(M367="","Check",IF(AND(M367&gt;=INPUTS!$C$6,M367&lt;=INPUTS!$C$7),"Yes","No"))</f>
        <v>Yes</v>
      </c>
      <c r="O367" s="48" t="str">
        <f aca="false">STACK!H367</f>
        <v>Clin Educator</v>
      </c>
      <c r="P367" s="1" t="str">
        <f aca="false">IF(G367&gt;0,IF(INDEX(CONFIRM!$H$5:$H$53,G367)&lt;&gt;"",INDEX(CONFIRM!$H$5:$H$53,G367),IFERROR(INDEX(MAP!$B$7:$B$156,MATCH(TRIM(O367),MAP!$A$7:$A$156,0)),"UNMAPPED")),IFERROR(INDEX(MAP!$B$7:$B$156,MATCH(TRIM(O367),MAP!$A$7:$A$156,0)),"UNMAPPED"))</f>
        <v>Clinical Nurse Educator</v>
      </c>
      <c r="Q367" s="48" t="n">
        <f aca="false">STACK!I367</f>
        <v>4.75</v>
      </c>
      <c r="R367" s="60" t="n">
        <f aca="false">IF(G367&gt;0,IF(INDEX(CONFIRM!$F$5:$F$53,G367)&lt;&gt;"",INDEX(CONFIRM!$F$5:$F$53,G367),IF(ISNUMBER(Q367),Q367,IF(Q367="","",IFERROR(VALUE(TRIM(SUBSTITUTE(SUBSTITUTE(LOWER(Q367),"hrs",""),"hr",""))),"")))),IF(ISNUMBER(Q367),Q367,IF(Q367="","",IFERROR(VALUE(TRIM(SUBSTITUTE(SUBSTITUTE(LOWER(Q367),"hrs",""),"hr",""))),""))))</f>
        <v>4.75</v>
      </c>
      <c r="S367" s="57" t="n">
        <f aca="false">IFERROR(INDEX(RATES!$E$6:$E$28,MATCH(P367,RATES!$A$6:$A$28,0)),0)</f>
        <v>62.965</v>
      </c>
      <c r="T367" s="61" t="n">
        <f aca="false">IF(ISNUMBER(R367),R367,0)*S367</f>
        <v>299.08375</v>
      </c>
      <c r="U367" s="61" t="n">
        <f aca="false">T367*INDEX(INPUTS!$H$10:$H$14,MATCH(B367,INPUTS!$A$10:$A$14,0))</f>
        <v>55.33049375</v>
      </c>
      <c r="V367" s="61" t="n">
        <f aca="false">N(STACK!K367)</f>
        <v>0</v>
      </c>
      <c r="W367" s="61" t="n">
        <f aca="false">T367+U367+V367</f>
        <v>354.41424375</v>
      </c>
      <c r="X367" s="61" t="n">
        <f aca="false">N(STACK!L367)</f>
        <v>0</v>
      </c>
      <c r="Y367" s="61" t="n">
        <f aca="false">W367-X367</f>
        <v>354.41424375</v>
      </c>
      <c r="Z367" s="1" t="n">
        <f aca="false">N(STACK!J367)</f>
        <v>0</v>
      </c>
      <c r="AA367" s="1" t="str">
        <f aca="false">TRIM(IF(D367="UNMAPPED","Program not mapped. ","")&amp;IF(OR(K367="UNMAPPED",K367="UNASSIGNED"),"Category needs review. ","")&amp;IF(P367="UNMAPPED","Title not mapped. ","")&amp;IF(AND(P367&lt;&gt;"No staff time",R367=""),"Missing hours. ","")&amp;IF(M367="","Date not readable. ","")&amp;IF(N367="No","Outside fiscal year. ","")&amp;IF(AND(F367="Event",ISNUMBER(R367)),IF(R367&gt;12,"Event hours look high. ",""),"")&amp;IF(G367&gt;0,"See CONFIRM sheet.",""))</f>
        <v/>
      </c>
      <c r="AB367" s="1" t="n">
        <f aca="false">IF(N367="No",0,IF(REVIEW!O367=0,0,IF(G367&gt;0,IF(INDEX(CONFIRM!$J$5:$J$53,G367)&lt;&gt;"",INDEX(CONFIRM!$J$5:$J$53,G367),1),1)))</f>
        <v>1</v>
      </c>
      <c r="AC367" s="1" t="n">
        <f aca="false">IF(AB367=1,IF(COUNTIFS($B$5:B367,B367,$D$5:D367,D367,$AB$5:AB367,1)=1,1,0),0)</f>
        <v>0</v>
      </c>
    </row>
    <row r="368" customFormat="false" ht="15" hidden="false" customHeight="false" outlineLevel="0" collapsed="false">
      <c r="A368" s="48" t="str">
        <f aca="false">STACK!A368</f>
        <v>KVMC-0364</v>
      </c>
      <c r="B368" s="48" t="str">
        <f aca="false">STACK!B368</f>
        <v>KVMC</v>
      </c>
      <c r="C368" s="48" t="str">
        <f aca="false">STACK!E368</f>
        <v>Youth Health Careers Pathway</v>
      </c>
      <c r="D368" s="1" t="str">
        <f aca="false">IFERROR(INDEX(MAP!$J$7:$J$101,MATCH(TRIM(C368),MAP!$I$7:$I$101,0)),"UNMAPPED")</f>
        <v>Youth Health Careers Pathway</v>
      </c>
      <c r="E368" s="1" t="str">
        <f aca="false">IFERROR(INDEX(MAP!$K$7:$K$101,MATCH(TRIM(C368),MAP!$I$7:$I$101,0)),"")</f>
        <v>Health workforce</v>
      </c>
      <c r="F368" s="1" t="str">
        <f aca="false">IFERROR(INDEX(MAP!$L$7:$L$101,MATCH(TRIM(C368),MAP!$I$7:$I$101,0)),"")</f>
        <v>Event</v>
      </c>
      <c r="G368" s="1" t="n">
        <f aca="false">IFERROR(MATCH(A368,CONFIRM!$A$5:$A$53,0),0)</f>
        <v>0</v>
      </c>
      <c r="H368" s="48" t="str">
        <f aca="false">STACK!F368</f>
        <v>Community Building - Workforce</v>
      </c>
      <c r="I368" s="1" t="str">
        <f aca="false">IF(G368&gt;0,IF(INDEX(CONFIRM!$I$5:$I$53,G368)&lt;&gt;"",INDEX(CONFIRM!$I$5:$I$53,G368),H368),H368)</f>
        <v>Community Building - Workforce</v>
      </c>
      <c r="J368" s="1" t="str">
        <f aca="false">IFERROR(INDEX(MAP!$F$7:$F$74,MATCH(TRIM(I368),MAP!$E$7:$E$74,0)),"UNMAPPED")</f>
        <v>Community building: workforce development</v>
      </c>
      <c r="K368" s="1" t="str">
        <f aca="false">IFERROR(INDEX(MAP!$G$7:$G$74,MATCH(TRIM(I368),MAP!$E$7:$E$74,0)),"UNMAPPED")</f>
        <v>II-8</v>
      </c>
      <c r="L368" s="49" t="n">
        <f aca="false">STACK!G368</f>
        <v>46085</v>
      </c>
      <c r="M368" s="59" t="n">
        <f aca="false">IF(G368&gt;0,IF(INDEX(CONFIRM!$G$5:$G$53,G368)&lt;&gt;"",INDEX(CONFIRM!$G$5:$G$53,G368),IF(ISNUMBER(L368),L368,IFERROR(DATEVALUE(L368),""))),IF(ISNUMBER(L368),L368,IFERROR(DATEVALUE(L368),"")))</f>
        <v>46085</v>
      </c>
      <c r="N368" s="1" t="str">
        <f aca="false">IF(M368="","Check",IF(AND(M368&gt;=INPUTS!$C$6,M368&lt;=INPUTS!$C$7),"Yes","No"))</f>
        <v>Yes</v>
      </c>
      <c r="O368" s="48" t="str">
        <f aca="false">STACK!H368</f>
        <v>Outreach Coordinator</v>
      </c>
      <c r="P368" s="1" t="str">
        <f aca="false">IF(G368&gt;0,IF(INDEX(CONFIRM!$H$5:$H$53,G368)&lt;&gt;"",INDEX(CONFIRM!$H$5:$H$53,G368),IFERROR(INDEX(MAP!$B$7:$B$156,MATCH(TRIM(O368),MAP!$A$7:$A$156,0)),"UNMAPPED")),IFERROR(INDEX(MAP!$B$7:$B$156,MATCH(TRIM(O368),MAP!$A$7:$A$156,0)),"UNMAPPED"))</f>
        <v>Program Coordinator</v>
      </c>
      <c r="Q368" s="48" t="n">
        <f aca="false">STACK!I368</f>
        <v>7.25</v>
      </c>
      <c r="R368" s="60" t="n">
        <f aca="false">IF(G368&gt;0,IF(INDEX(CONFIRM!$F$5:$F$53,G368)&lt;&gt;"",INDEX(CONFIRM!$F$5:$F$53,G368),IF(ISNUMBER(Q368),Q368,IF(Q368="","",IFERROR(VALUE(TRIM(SUBSTITUTE(SUBSTITUTE(LOWER(Q368),"hrs",""),"hr",""))),"")))),IF(ISNUMBER(Q368),Q368,IF(Q368="","",IFERROR(VALUE(TRIM(SUBSTITUTE(SUBSTITUTE(LOWER(Q368),"hrs",""),"hr",""))),""))))</f>
        <v>7.25</v>
      </c>
      <c r="S368" s="57" t="n">
        <f aca="false">IFERROR(INDEX(RATES!$E$6:$E$28,MATCH(P368,RATES!$A$6:$A$28,0)),0)</f>
        <v>35.3375</v>
      </c>
      <c r="T368" s="61" t="n">
        <f aca="false">IF(ISNUMBER(R368),R368,0)*S368</f>
        <v>256.196875</v>
      </c>
      <c r="U368" s="61" t="n">
        <f aca="false">T368*INDEX(INPUTS!$H$10:$H$14,MATCH(B368,INPUTS!$A$10:$A$14,0))</f>
        <v>47.396421875</v>
      </c>
      <c r="V368" s="61" t="n">
        <f aca="false">N(STACK!K368)</f>
        <v>510</v>
      </c>
      <c r="W368" s="61" t="n">
        <f aca="false">T368+U368+V368</f>
        <v>813.593296875</v>
      </c>
      <c r="X368" s="61" t="n">
        <f aca="false">N(STACK!L368)</f>
        <v>0</v>
      </c>
      <c r="Y368" s="61" t="n">
        <f aca="false">W368-X368</f>
        <v>813.593296875</v>
      </c>
      <c r="Z368" s="1" t="n">
        <f aca="false">N(STACK!J368)</f>
        <v>31</v>
      </c>
      <c r="AA368" s="1" t="str">
        <f aca="false">TRIM(IF(D368="UNMAPPED","Program not mapped. ","")&amp;IF(OR(K368="UNMAPPED",K368="UNASSIGNED"),"Category needs review. ","")&amp;IF(P368="UNMAPPED","Title not mapped. ","")&amp;IF(AND(P368&lt;&gt;"No staff time",R368=""),"Missing hours. ","")&amp;IF(M368="","Date not readable. ","")&amp;IF(N368="No","Outside fiscal year. ","")&amp;IF(AND(F368="Event",ISNUMBER(R368)),IF(R368&gt;12,"Event hours look high. ",""),"")&amp;IF(G368&gt;0,"See CONFIRM sheet.",""))</f>
        <v/>
      </c>
      <c r="AB368" s="1" t="n">
        <f aca="false">IF(N368="No",0,IF(REVIEW!O368=0,0,IF(G368&gt;0,IF(INDEX(CONFIRM!$J$5:$J$53,G368)&lt;&gt;"",INDEX(CONFIRM!$J$5:$J$53,G368),1),1)))</f>
        <v>1</v>
      </c>
      <c r="AC368" s="1" t="n">
        <f aca="false">IF(AB368=1,IF(COUNTIFS($B$5:B368,B368,$D$5:D368,D368,$AB$5:AB368,1)=1,1,0),0)</f>
        <v>0</v>
      </c>
    </row>
    <row r="369" customFormat="false" ht="15" hidden="false" customHeight="false" outlineLevel="0" collapsed="false">
      <c r="A369" s="48" t="str">
        <f aca="false">STACK!A369</f>
        <v>KVMC-0365</v>
      </c>
      <c r="B369" s="48" t="str">
        <f aca="false">STACK!B369</f>
        <v>KVMC</v>
      </c>
      <c r="C369" s="48" t="str">
        <f aca="false">STACK!E369</f>
        <v>Childbirth and Newborn Care Classes</v>
      </c>
      <c r="D369" s="1" t="str">
        <f aca="false">IFERROR(INDEX(MAP!$J$7:$J$101,MATCH(TRIM(C369),MAP!$I$7:$I$101,0)),"UNMAPPED")</f>
        <v>Childbirth and Newborn Care Classes</v>
      </c>
      <c r="E369" s="1" t="str">
        <f aca="false">IFERROR(INDEX(MAP!$K$7:$K$101,MATCH(TRIM(C369),MAP!$I$7:$I$101,0)),"")</f>
        <v>Maternal and child health</v>
      </c>
      <c r="F369" s="1" t="str">
        <f aca="false">IFERROR(INDEX(MAP!$L$7:$L$101,MATCH(TRIM(C369),MAP!$I$7:$I$101,0)),"")</f>
        <v>Event</v>
      </c>
      <c r="G369" s="1" t="n">
        <f aca="false">IFERROR(MATCH(A369,CONFIRM!$A$5:$A$53,0),0)</f>
        <v>0</v>
      </c>
      <c r="H369" s="48" t="str">
        <f aca="false">STACK!F369</f>
        <v>Community Health Education</v>
      </c>
      <c r="I369" s="1" t="str">
        <f aca="false">IF(G369&gt;0,IF(INDEX(CONFIRM!$I$5:$I$53,G369)&lt;&gt;"",INDEX(CONFIRM!$I$5:$I$53,G369),H369),H369)</f>
        <v>Community Health Education</v>
      </c>
      <c r="J369" s="1" t="str">
        <f aca="false">IFERROR(INDEX(MAP!$F$7:$F$74,MATCH(TRIM(I369),MAP!$E$7:$E$74,0)),"UNMAPPED")</f>
        <v>Community health education</v>
      </c>
      <c r="K369" s="1" t="str">
        <f aca="false">IFERROR(INDEX(MAP!$G$7:$G$74,MATCH(TRIM(I369),MAP!$E$7:$E$74,0)),"UNMAPPED")</f>
        <v>7e</v>
      </c>
      <c r="L369" s="49" t="n">
        <f aca="false">STACK!G369</f>
        <v>46088</v>
      </c>
      <c r="M369" s="59" t="n">
        <f aca="false">IF(G369&gt;0,IF(INDEX(CONFIRM!$G$5:$G$53,G369)&lt;&gt;"",INDEX(CONFIRM!$G$5:$G$53,G369),IF(ISNUMBER(L369),L369,IFERROR(DATEVALUE(L369),""))),IF(ISNUMBER(L369),L369,IFERROR(DATEVALUE(L369),"")))</f>
        <v>46088</v>
      </c>
      <c r="N369" s="1" t="str">
        <f aca="false">IF(M369="","Check",IF(AND(M369&gt;=INPUTS!$C$6,M369&lt;=INPUTS!$C$7),"Yes","No"))</f>
        <v>Yes</v>
      </c>
      <c r="O369" s="48" t="str">
        <f aca="false">STACK!H369</f>
        <v>Preceptor RN</v>
      </c>
      <c r="P369" s="1" t="str">
        <f aca="false">IF(G369&gt;0,IF(INDEX(CONFIRM!$H$5:$H$53,G369)&lt;&gt;"",INDEX(CONFIRM!$H$5:$H$53,G369),IFERROR(INDEX(MAP!$B$7:$B$156,MATCH(TRIM(O369),MAP!$A$7:$A$156,0)),"UNMAPPED")),IFERROR(INDEX(MAP!$B$7:$B$156,MATCH(TRIM(O369),MAP!$A$7:$A$156,0)),"UNMAPPED"))</f>
        <v>Clinical Nurse Educator</v>
      </c>
      <c r="Q369" s="48" t="n">
        <f aca="false">STACK!I369</f>
        <v>3</v>
      </c>
      <c r="R369" s="60" t="n">
        <f aca="false">IF(G369&gt;0,IF(INDEX(CONFIRM!$F$5:$F$53,G369)&lt;&gt;"",INDEX(CONFIRM!$F$5:$F$53,G369),IF(ISNUMBER(Q369),Q369,IF(Q369="","",IFERROR(VALUE(TRIM(SUBSTITUTE(SUBSTITUTE(LOWER(Q369),"hrs",""),"hr",""))),"")))),IF(ISNUMBER(Q369),Q369,IF(Q369="","",IFERROR(VALUE(TRIM(SUBSTITUTE(SUBSTITUTE(LOWER(Q369),"hrs",""),"hr",""))),""))))</f>
        <v>3</v>
      </c>
      <c r="S369" s="57" t="n">
        <f aca="false">IFERROR(INDEX(RATES!$E$6:$E$28,MATCH(P369,RATES!$A$6:$A$28,0)),0)</f>
        <v>62.965</v>
      </c>
      <c r="T369" s="61" t="n">
        <f aca="false">IF(ISNUMBER(R369),R369,0)*S369</f>
        <v>188.895</v>
      </c>
      <c r="U369" s="61" t="n">
        <f aca="false">T369*INDEX(INPUTS!$H$10:$H$14,MATCH(B369,INPUTS!$A$10:$A$14,0))</f>
        <v>34.945575</v>
      </c>
      <c r="V369" s="61" t="n">
        <f aca="false">N(STACK!K369)</f>
        <v>110</v>
      </c>
      <c r="W369" s="61" t="n">
        <f aca="false">T369+U369+V369</f>
        <v>333.840575</v>
      </c>
      <c r="X369" s="61" t="n">
        <f aca="false">N(STACK!L369)</f>
        <v>400</v>
      </c>
      <c r="Y369" s="61" t="n">
        <f aca="false">W369-X369</f>
        <v>-66.1594250000001</v>
      </c>
      <c r="Z369" s="1" t="n">
        <f aca="false">N(STACK!J369)</f>
        <v>20</v>
      </c>
      <c r="AA369" s="1" t="str">
        <f aca="false">TRIM(IF(D369="UNMAPPED","Program not mapped. ","")&amp;IF(OR(K369="UNMAPPED",K369="UNASSIGNED"),"Category needs review. ","")&amp;IF(P369="UNMAPPED","Title not mapped. ","")&amp;IF(AND(P369&lt;&gt;"No staff time",R369=""),"Missing hours. ","")&amp;IF(M369="","Date not readable. ","")&amp;IF(N369="No","Outside fiscal year. ","")&amp;IF(AND(F369="Event",ISNUMBER(R369)),IF(R369&gt;12,"Event hours look high. ",""),"")&amp;IF(G369&gt;0,"See CONFIRM sheet.",""))</f>
        <v/>
      </c>
      <c r="AB369" s="1" t="n">
        <f aca="false">IF(N369="No",0,IF(REVIEW!O369=0,0,IF(G369&gt;0,IF(INDEX(CONFIRM!$J$5:$J$53,G369)&lt;&gt;"",INDEX(CONFIRM!$J$5:$J$53,G369),1),1)))</f>
        <v>1</v>
      </c>
      <c r="AC369" s="1" t="n">
        <f aca="false">IF(AB369=1,IF(COUNTIFS($B$5:B369,B369,$D$5:D369,D369,$AB$5:AB369,1)=1,1,0),0)</f>
        <v>0</v>
      </c>
    </row>
    <row r="370" customFormat="false" ht="15" hidden="false" customHeight="false" outlineLevel="0" collapsed="false">
      <c r="A370" s="48" t="str">
        <f aca="false">STACK!A370</f>
        <v>KVMC-0366</v>
      </c>
      <c r="B370" s="48" t="str">
        <f aca="false">STACK!B370</f>
        <v>KVMC</v>
      </c>
      <c r="C370" s="48" t="str">
        <f aca="false">STACK!E370</f>
        <v>Tobacco Cessation Classes</v>
      </c>
      <c r="D370" s="1" t="str">
        <f aca="false">IFERROR(INDEX(MAP!$J$7:$J$101,MATCH(TRIM(C370),MAP!$I$7:$I$101,0)),"UNMAPPED")</f>
        <v>Tobacco Cessation Classes</v>
      </c>
      <c r="E370" s="1" t="str">
        <f aca="false">IFERROR(INDEX(MAP!$K$7:$K$101,MATCH(TRIM(C370),MAP!$I$7:$I$101,0)),"")</f>
        <v>Chronic disease prevention</v>
      </c>
      <c r="F370" s="1" t="str">
        <f aca="false">IFERROR(INDEX(MAP!$L$7:$L$101,MATCH(TRIM(C370),MAP!$I$7:$I$101,0)),"")</f>
        <v>Event</v>
      </c>
      <c r="G370" s="1" t="n">
        <f aca="false">IFERROR(MATCH(A370,CONFIRM!$A$5:$A$53,0),0)</f>
        <v>0</v>
      </c>
      <c r="H370" s="48" t="str">
        <f aca="false">STACK!F370</f>
        <v>Community Health Education</v>
      </c>
      <c r="I370" s="1" t="str">
        <f aca="false">IF(G370&gt;0,IF(INDEX(CONFIRM!$I$5:$I$53,G370)&lt;&gt;"",INDEX(CONFIRM!$I$5:$I$53,G370),H370),H370)</f>
        <v>Community Health Education</v>
      </c>
      <c r="J370" s="1" t="str">
        <f aca="false">IFERROR(INDEX(MAP!$F$7:$F$74,MATCH(TRIM(I370),MAP!$E$7:$E$74,0)),"UNMAPPED")</f>
        <v>Community health education</v>
      </c>
      <c r="K370" s="1" t="str">
        <f aca="false">IFERROR(INDEX(MAP!$G$7:$G$74,MATCH(TRIM(I370),MAP!$E$7:$E$74,0)),"UNMAPPED")</f>
        <v>7e</v>
      </c>
      <c r="L370" s="49" t="n">
        <f aca="false">STACK!G370</f>
        <v>46093</v>
      </c>
      <c r="M370" s="59" t="n">
        <f aca="false">IF(G370&gt;0,IF(INDEX(CONFIRM!$G$5:$G$53,G370)&lt;&gt;"",INDEX(CONFIRM!$G$5:$G$53,G370),IF(ISNUMBER(L370),L370,IFERROR(DATEVALUE(L370),""))),IF(ISNUMBER(L370),L370,IFERROR(DATEVALUE(L370),"")))</f>
        <v>46093</v>
      </c>
      <c r="N370" s="1" t="str">
        <f aca="false">IF(M370="","Check",IF(AND(M370&gt;=INPUTS!$C$6,M370&lt;=INPUTS!$C$7),"Yes","No"))</f>
        <v>Yes</v>
      </c>
      <c r="O370" s="48" t="str">
        <f aca="false">STACK!H370</f>
        <v>Resp. Therapy</v>
      </c>
      <c r="P370" s="1" t="str">
        <f aca="false">IF(G370&gt;0,IF(INDEX(CONFIRM!$H$5:$H$53,G370)&lt;&gt;"",INDEX(CONFIRM!$H$5:$H$53,G370),IFERROR(INDEX(MAP!$B$7:$B$156,MATCH(TRIM(O370),MAP!$A$7:$A$156,0)),"UNMAPPED")),IFERROR(INDEX(MAP!$B$7:$B$156,MATCH(TRIM(O370),MAP!$A$7:$A$156,0)),"UNMAPPED"))</f>
        <v>Licensed Therapist</v>
      </c>
      <c r="Q370" s="48" t="n">
        <f aca="false">STACK!I370</f>
        <v>2</v>
      </c>
      <c r="R370" s="60" t="n">
        <f aca="false">IF(G370&gt;0,IF(INDEX(CONFIRM!$F$5:$F$53,G370)&lt;&gt;"",INDEX(CONFIRM!$F$5:$F$53,G370),IF(ISNUMBER(Q370),Q370,IF(Q370="","",IFERROR(VALUE(TRIM(SUBSTITUTE(SUBSTITUTE(LOWER(Q370),"hrs",""),"hr",""))),"")))),IF(ISNUMBER(Q370),Q370,IF(Q370="","",IFERROR(VALUE(TRIM(SUBSTITUTE(SUBSTITUTE(LOWER(Q370),"hrs",""),"hr",""))),""))))</f>
        <v>2</v>
      </c>
      <c r="S370" s="57" t="n">
        <f aca="false">IFERROR(INDEX(RATES!$E$6:$E$28,MATCH(P370,RATES!$A$6:$A$28,0)),0)</f>
        <v>53.97</v>
      </c>
      <c r="T370" s="61" t="n">
        <f aca="false">IF(ISNUMBER(R370),R370,0)*S370</f>
        <v>107.94</v>
      </c>
      <c r="U370" s="61" t="n">
        <f aca="false">T370*INDEX(INPUTS!$H$10:$H$14,MATCH(B370,INPUTS!$A$10:$A$14,0))</f>
        <v>19.9689</v>
      </c>
      <c r="V370" s="61" t="n">
        <f aca="false">N(STACK!K370)</f>
        <v>140</v>
      </c>
      <c r="W370" s="61" t="n">
        <f aca="false">T370+U370+V370</f>
        <v>267.9089</v>
      </c>
      <c r="X370" s="61" t="n">
        <f aca="false">N(STACK!L370)</f>
        <v>0</v>
      </c>
      <c r="Y370" s="61" t="n">
        <f aca="false">W370-X370</f>
        <v>267.9089</v>
      </c>
      <c r="Z370" s="1" t="n">
        <f aca="false">N(STACK!J370)</f>
        <v>8</v>
      </c>
      <c r="AA370" s="1" t="str">
        <f aca="false">TRIM(IF(D370="UNMAPPED","Program not mapped. ","")&amp;IF(OR(K370="UNMAPPED",K370="UNASSIGNED"),"Category needs review. ","")&amp;IF(P370="UNMAPPED","Title not mapped. ","")&amp;IF(AND(P370&lt;&gt;"No staff time",R370=""),"Missing hours. ","")&amp;IF(M370="","Date not readable. ","")&amp;IF(N370="No","Outside fiscal year. ","")&amp;IF(AND(F370="Event",ISNUMBER(R370)),IF(R370&gt;12,"Event hours look high. ",""),"")&amp;IF(G370&gt;0,"See CONFIRM sheet.",""))</f>
        <v/>
      </c>
      <c r="AB370" s="1" t="n">
        <f aca="false">IF(N370="No",0,IF(REVIEW!O370=0,0,IF(G370&gt;0,IF(INDEX(CONFIRM!$J$5:$J$53,G370)&lt;&gt;"",INDEX(CONFIRM!$J$5:$J$53,G370),1),1)))</f>
        <v>1</v>
      </c>
      <c r="AC370" s="1" t="n">
        <f aca="false">IF(AB370=1,IF(COUNTIFS($B$5:B370,B370,$D$5:D370,D370,$AB$5:AB370,1)=1,1,0),0)</f>
        <v>0</v>
      </c>
    </row>
    <row r="371" customFormat="false" ht="15" hidden="false" customHeight="false" outlineLevel="0" collapsed="false">
      <c r="A371" s="48" t="str">
        <f aca="false">STACK!A371</f>
        <v>KVMC-0367</v>
      </c>
      <c r="B371" s="48" t="str">
        <f aca="false">STACK!B371</f>
        <v>KVMC</v>
      </c>
      <c r="C371" s="48" t="str">
        <f aca="false">STACK!E371</f>
        <v>Grief Support Group</v>
      </c>
      <c r="D371" s="1" t="str">
        <f aca="false">IFERROR(INDEX(MAP!$J$7:$J$101,MATCH(TRIM(C371),MAP!$I$7:$I$101,0)),"UNMAPPED")</f>
        <v>Grief Support Group</v>
      </c>
      <c r="E371" s="1" t="str">
        <f aca="false">IFERROR(INDEX(MAP!$K$7:$K$101,MATCH(TRIM(C371),MAP!$I$7:$I$101,0)),"")</f>
        <v>Behavioral health</v>
      </c>
      <c r="F371" s="1" t="str">
        <f aca="false">IFERROR(INDEX(MAP!$L$7:$L$101,MATCH(TRIM(C371),MAP!$I$7:$I$101,0)),"")</f>
        <v>Event</v>
      </c>
      <c r="G371" s="1" t="n">
        <f aca="false">IFERROR(MATCH(A371,CONFIRM!$A$5:$A$53,0),0)</f>
        <v>0</v>
      </c>
      <c r="H371" s="48" t="str">
        <f aca="false">STACK!F371</f>
        <v>Health Care Support Services</v>
      </c>
      <c r="I371" s="1" t="str">
        <f aca="false">IF(G371&gt;0,IF(INDEX(CONFIRM!$I$5:$I$53,G371)&lt;&gt;"",INDEX(CONFIRM!$I$5:$I$53,G371),H371),H371)</f>
        <v>Health Care Support Services</v>
      </c>
      <c r="J371" s="1" t="str">
        <f aca="false">IFERROR(INDEX(MAP!$F$7:$F$74,MATCH(TRIM(I371),MAP!$E$7:$E$74,0)),"UNMAPPED")</f>
        <v>Health care support services</v>
      </c>
      <c r="K371" s="1" t="str">
        <f aca="false">IFERROR(INDEX(MAP!$G$7:$G$74,MATCH(TRIM(I371),MAP!$E$7:$E$74,0)),"UNMAPPED")</f>
        <v>7e</v>
      </c>
      <c r="L371" s="49" t="n">
        <f aca="false">STACK!G371</f>
        <v>46094</v>
      </c>
      <c r="M371" s="59" t="n">
        <f aca="false">IF(G371&gt;0,IF(INDEX(CONFIRM!$G$5:$G$53,G371)&lt;&gt;"",INDEX(CONFIRM!$G$5:$G$53,G371),IF(ISNUMBER(L371),L371,IFERROR(DATEVALUE(L371),""))),IF(ISNUMBER(L371),L371,IFERROR(DATEVALUE(L371),"")))</f>
        <v>46094</v>
      </c>
      <c r="N371" s="1" t="str">
        <f aca="false">IF(M371="","Check",IF(AND(M371&gt;=INPUTS!$C$6,M371&lt;=INPUTS!$C$7),"Yes","No"))</f>
        <v>Yes</v>
      </c>
      <c r="O371" s="48" t="str">
        <f aca="false">STACK!H371</f>
        <v>Chaplain</v>
      </c>
      <c r="P371" s="1" t="str">
        <f aca="false">IF(G371&gt;0,IF(INDEX(CONFIRM!$H$5:$H$53,G371)&lt;&gt;"",INDEX(CONFIRM!$H$5:$H$53,G371),IFERROR(INDEX(MAP!$B$7:$B$156,MATCH(TRIM(O371),MAP!$A$7:$A$156,0)),"UNMAPPED")),IFERROR(INDEX(MAP!$B$7:$B$156,MATCH(TRIM(O371),MAP!$A$7:$A$156,0)),"UNMAPPED"))</f>
        <v>Chaplain</v>
      </c>
      <c r="Q371" s="48" t="n">
        <f aca="false">STACK!I371</f>
        <v>2</v>
      </c>
      <c r="R371" s="60" t="n">
        <f aca="false">IF(G371&gt;0,IF(INDEX(CONFIRM!$F$5:$F$53,G371)&lt;&gt;"",INDEX(CONFIRM!$F$5:$F$53,G371),IF(ISNUMBER(Q371),Q371,IF(Q371="","",IFERROR(VALUE(TRIM(SUBSTITUTE(SUBSTITUTE(LOWER(Q371),"hrs",""),"hr",""))),"")))),IF(ISNUMBER(Q371),Q371,IF(Q371="","",IFERROR(VALUE(TRIM(SUBSTITUTE(SUBSTITUTE(LOWER(Q371),"hrs",""),"hr",""))),""))))</f>
        <v>2</v>
      </c>
      <c r="S371" s="57" t="n">
        <f aca="false">IFERROR(INDEX(RATES!$E$6:$E$28,MATCH(P371,RATES!$A$6:$A$28,0)),0)</f>
        <v>39.835</v>
      </c>
      <c r="T371" s="61" t="n">
        <f aca="false">IF(ISNUMBER(R371),R371,0)*S371</f>
        <v>79.67</v>
      </c>
      <c r="U371" s="61" t="n">
        <f aca="false">T371*INDEX(INPUTS!$H$10:$H$14,MATCH(B371,INPUTS!$A$10:$A$14,0))</f>
        <v>14.73895</v>
      </c>
      <c r="V371" s="61" t="n">
        <f aca="false">N(STACK!K371)</f>
        <v>40</v>
      </c>
      <c r="W371" s="61" t="n">
        <f aca="false">T371+U371+V371</f>
        <v>134.40895</v>
      </c>
      <c r="X371" s="61" t="n">
        <f aca="false">N(STACK!L371)</f>
        <v>0</v>
      </c>
      <c r="Y371" s="61" t="n">
        <f aca="false">W371-X371</f>
        <v>134.40895</v>
      </c>
      <c r="Z371" s="1" t="n">
        <f aca="false">N(STACK!J371)</f>
        <v>17</v>
      </c>
      <c r="AA371" s="1" t="str">
        <f aca="false">TRIM(IF(D371="UNMAPPED","Program not mapped. ","")&amp;IF(OR(K371="UNMAPPED",K371="UNASSIGNED"),"Category needs review. ","")&amp;IF(P371="UNMAPPED","Title not mapped. ","")&amp;IF(AND(P371&lt;&gt;"No staff time",R371=""),"Missing hours. ","")&amp;IF(M371="","Date not readable. ","")&amp;IF(N371="No","Outside fiscal year. ","")&amp;IF(AND(F371="Event",ISNUMBER(R371)),IF(R371&gt;12,"Event hours look high. ",""),"")&amp;IF(G371&gt;0,"See CONFIRM sheet.",""))</f>
        <v/>
      </c>
      <c r="AB371" s="1" t="n">
        <f aca="false">IF(N371="No",0,IF(REVIEW!O371=0,0,IF(G371&gt;0,IF(INDEX(CONFIRM!$J$5:$J$53,G371)&lt;&gt;"",INDEX(CONFIRM!$J$5:$J$53,G371),1),1)))</f>
        <v>1</v>
      </c>
      <c r="AC371" s="1" t="n">
        <f aca="false">IF(AB371=1,IF(COUNTIFS($B$5:B371,B371,$D$5:D371,D371,$AB$5:AB371,1)=1,1,0),0)</f>
        <v>0</v>
      </c>
    </row>
    <row r="372" customFormat="false" ht="15" hidden="false" customHeight="false" outlineLevel="0" collapsed="false">
      <c r="A372" s="48" t="str">
        <f aca="false">STACK!A372</f>
        <v>KVMC-0368</v>
      </c>
      <c r="B372" s="48" t="str">
        <f aca="false">STACK!B372</f>
        <v>KVMC</v>
      </c>
      <c r="C372" s="48" t="str">
        <f aca="false">STACK!E372</f>
        <v>Grief Support Group</v>
      </c>
      <c r="D372" s="1" t="str">
        <f aca="false">IFERROR(INDEX(MAP!$J$7:$J$101,MATCH(TRIM(C372),MAP!$I$7:$I$101,0)),"UNMAPPED")</f>
        <v>Grief Support Group</v>
      </c>
      <c r="E372" s="1" t="str">
        <f aca="false">IFERROR(INDEX(MAP!$K$7:$K$101,MATCH(TRIM(C372),MAP!$I$7:$I$101,0)),"")</f>
        <v>Behavioral health</v>
      </c>
      <c r="F372" s="1" t="str">
        <f aca="false">IFERROR(INDEX(MAP!$L$7:$L$101,MATCH(TRIM(C372),MAP!$I$7:$I$101,0)),"")</f>
        <v>Event</v>
      </c>
      <c r="G372" s="1" t="n">
        <f aca="false">IFERROR(MATCH(A372,CONFIRM!$A$5:$A$53,0),0)</f>
        <v>0</v>
      </c>
      <c r="H372" s="48" t="str">
        <f aca="false">STACK!F372</f>
        <v>Health Care Support Services</v>
      </c>
      <c r="I372" s="1" t="str">
        <f aca="false">IF(G372&gt;0,IF(INDEX(CONFIRM!$I$5:$I$53,G372)&lt;&gt;"",INDEX(CONFIRM!$I$5:$I$53,G372),H372),H372)</f>
        <v>Health Care Support Services</v>
      </c>
      <c r="J372" s="1" t="str">
        <f aca="false">IFERROR(INDEX(MAP!$F$7:$F$74,MATCH(TRIM(I372),MAP!$E$7:$E$74,0)),"UNMAPPED")</f>
        <v>Health care support services</v>
      </c>
      <c r="K372" s="1" t="str">
        <f aca="false">IFERROR(INDEX(MAP!$G$7:$G$74,MATCH(TRIM(I372),MAP!$E$7:$E$74,0)),"UNMAPPED")</f>
        <v>7e</v>
      </c>
      <c r="L372" s="49" t="n">
        <f aca="false">STACK!G372</f>
        <v>46094</v>
      </c>
      <c r="M372" s="59" t="n">
        <f aca="false">IF(G372&gt;0,IF(INDEX(CONFIRM!$G$5:$G$53,G372)&lt;&gt;"",INDEX(CONFIRM!$G$5:$G$53,G372),IF(ISNUMBER(L372),L372,IFERROR(DATEVALUE(L372),""))),IF(ISNUMBER(L372),L372,IFERROR(DATEVALUE(L372),"")))</f>
        <v>46094</v>
      </c>
      <c r="N372" s="1" t="str">
        <f aca="false">IF(M372="","Check",IF(AND(M372&gt;=INPUTS!$C$6,M372&lt;=INPUTS!$C$7),"Yes","No"))</f>
        <v>Yes</v>
      </c>
      <c r="O372" s="48" t="str">
        <f aca="false">STACK!H372</f>
        <v>Clinical Social Worker</v>
      </c>
      <c r="P372" s="1" t="str">
        <f aca="false">IF(G372&gt;0,IF(INDEX(CONFIRM!$H$5:$H$53,G372)&lt;&gt;"",INDEX(CONFIRM!$H$5:$H$53,G372),IFERROR(INDEX(MAP!$B$7:$B$156,MATCH(TRIM(O372),MAP!$A$7:$A$156,0)),"UNMAPPED")),IFERROR(INDEX(MAP!$B$7:$B$156,MATCH(TRIM(O372),MAP!$A$7:$A$156,0)),"UNMAPPED"))</f>
        <v>Social Worker</v>
      </c>
      <c r="Q372" s="48" t="n">
        <f aca="false">STACK!I372</f>
        <v>2</v>
      </c>
      <c r="R372" s="60" t="n">
        <f aca="false">IF(G372&gt;0,IF(INDEX(CONFIRM!$F$5:$F$53,G372)&lt;&gt;"",INDEX(CONFIRM!$F$5:$F$53,G372),IF(ISNUMBER(Q372),Q372,IF(Q372="","",IFERROR(VALUE(TRIM(SUBSTITUTE(SUBSTITUTE(LOWER(Q372),"hrs",""),"hr",""))),"")))),IF(ISNUMBER(Q372),Q372,IF(Q372="","",IFERROR(VALUE(TRIM(SUBSTITUTE(SUBSTITUTE(LOWER(Q372),"hrs",""),"hr",""))),""))))</f>
        <v>2</v>
      </c>
      <c r="S372" s="57" t="n">
        <f aca="false">IFERROR(INDEX(RATES!$E$6:$E$28,MATCH(P372,RATES!$A$6:$A$28,0)),0)</f>
        <v>45.6175</v>
      </c>
      <c r="T372" s="61" t="n">
        <f aca="false">IF(ISNUMBER(R372),R372,0)*S372</f>
        <v>91.235</v>
      </c>
      <c r="U372" s="61" t="n">
        <f aca="false">T372*INDEX(INPUTS!$H$10:$H$14,MATCH(B372,INPUTS!$A$10:$A$14,0))</f>
        <v>16.878475</v>
      </c>
      <c r="V372" s="61" t="n">
        <f aca="false">N(STACK!K372)</f>
        <v>0</v>
      </c>
      <c r="W372" s="61" t="n">
        <f aca="false">T372+U372+V372</f>
        <v>108.113475</v>
      </c>
      <c r="X372" s="61" t="n">
        <f aca="false">N(STACK!L372)</f>
        <v>0</v>
      </c>
      <c r="Y372" s="61" t="n">
        <f aca="false">W372-X372</f>
        <v>108.113475</v>
      </c>
      <c r="Z372" s="1" t="n">
        <f aca="false">N(STACK!J372)</f>
        <v>0</v>
      </c>
      <c r="AA372" s="1" t="str">
        <f aca="false">TRIM(IF(D372="UNMAPPED","Program not mapped. ","")&amp;IF(OR(K372="UNMAPPED",K372="UNASSIGNED"),"Category needs review. ","")&amp;IF(P372="UNMAPPED","Title not mapped. ","")&amp;IF(AND(P372&lt;&gt;"No staff time",R372=""),"Missing hours. ","")&amp;IF(M372="","Date not readable. ","")&amp;IF(N372="No","Outside fiscal year. ","")&amp;IF(AND(F372="Event",ISNUMBER(R372)),IF(R372&gt;12,"Event hours look high. ",""),"")&amp;IF(G372&gt;0,"See CONFIRM sheet.",""))</f>
        <v/>
      </c>
      <c r="AB372" s="1" t="n">
        <f aca="false">IF(N372="No",0,IF(REVIEW!O372=0,0,IF(G372&gt;0,IF(INDEX(CONFIRM!$J$5:$J$53,G372)&lt;&gt;"",INDEX(CONFIRM!$J$5:$J$53,G372),1),1)))</f>
        <v>1</v>
      </c>
      <c r="AC372" s="1" t="n">
        <f aca="false">IF(AB372=1,IF(COUNTIFS($B$5:B372,B372,$D$5:D372,D372,$AB$5:AB372,1)=1,1,0),0)</f>
        <v>0</v>
      </c>
    </row>
    <row r="373" customFormat="false" ht="15" hidden="false" customHeight="false" outlineLevel="0" collapsed="false">
      <c r="A373" s="48" t="str">
        <f aca="false">STACK!A373</f>
        <v>KVMC-0369</v>
      </c>
      <c r="B373" s="48" t="str">
        <f aca="false">STACK!B373</f>
        <v>KVMC</v>
      </c>
      <c r="C373" s="48" t="str">
        <f aca="false">STACK!E373</f>
        <v>Community Emergency Preparedness Drills</v>
      </c>
      <c r="D373" s="1" t="str">
        <f aca="false">IFERROR(INDEX(MAP!$J$7:$J$101,MATCH(TRIM(C373),MAP!$I$7:$I$101,0)),"UNMAPPED")</f>
        <v>Community Emergency Preparedness Drills</v>
      </c>
      <c r="E373" s="1" t="str">
        <f aca="false">IFERROR(INDEX(MAP!$K$7:$K$101,MATCH(TRIM(C373),MAP!$I$7:$I$101,0)),"")</f>
        <v>Community benefit infrastructure</v>
      </c>
      <c r="F373" s="1" t="str">
        <f aca="false">IFERROR(INDEX(MAP!$L$7:$L$101,MATCH(TRIM(C373),MAP!$I$7:$I$101,0)),"")</f>
        <v>Event</v>
      </c>
      <c r="G373" s="1" t="n">
        <f aca="false">IFERROR(MATCH(A373,CONFIRM!$A$5:$A$53,0),0)</f>
        <v>0</v>
      </c>
      <c r="H373" s="48" t="str">
        <f aca="false">STACK!F373</f>
        <v>Community Building - Community Support</v>
      </c>
      <c r="I373" s="1" t="str">
        <f aca="false">IF(G373&gt;0,IF(INDEX(CONFIRM!$I$5:$I$53,G373)&lt;&gt;"",INDEX(CONFIRM!$I$5:$I$53,G373),H373),H373)</f>
        <v>Community Building - Community Support</v>
      </c>
      <c r="J373" s="1" t="str">
        <f aca="false">IFERROR(INDEX(MAP!$F$7:$F$74,MATCH(TRIM(I373),MAP!$E$7:$E$74,0)),"UNMAPPED")</f>
        <v>Community building: community support</v>
      </c>
      <c r="K373" s="1" t="str">
        <f aca="false">IFERROR(INDEX(MAP!$G$7:$G$74,MATCH(TRIM(I373),MAP!$E$7:$E$74,0)),"UNMAPPED")</f>
        <v>II-3</v>
      </c>
      <c r="L373" s="49" t="n">
        <f aca="false">STACK!G373</f>
        <v>46101</v>
      </c>
      <c r="M373" s="59" t="n">
        <f aca="false">IF(G373&gt;0,IF(INDEX(CONFIRM!$G$5:$G$53,G373)&lt;&gt;"",INDEX(CONFIRM!$G$5:$G$53,G373),IF(ISNUMBER(L373),L373,IFERROR(DATEVALUE(L373),""))),IF(ISNUMBER(L373),L373,IFERROR(DATEVALUE(L373),"")))</f>
        <v>46101</v>
      </c>
      <c r="N373" s="1" t="str">
        <f aca="false">IF(M373="","Check",IF(AND(M373&gt;=INPUTS!$C$6,M373&lt;=INPUTS!$C$7),"Yes","No"))</f>
        <v>Yes</v>
      </c>
      <c r="O373" s="48" t="str">
        <f aca="false">STACK!H373</f>
        <v>EMS Paramedic</v>
      </c>
      <c r="P373" s="1" t="str">
        <f aca="false">IF(G373&gt;0,IF(INDEX(CONFIRM!$H$5:$H$53,G373)&lt;&gt;"",INDEX(CONFIRM!$H$5:$H$53,G373),IFERROR(INDEX(MAP!$B$7:$B$156,MATCH(TRIM(O373),MAP!$A$7:$A$156,0)),"UNMAPPED")),IFERROR(INDEX(MAP!$B$7:$B$156,MATCH(TRIM(O373),MAP!$A$7:$A$156,0)),"UNMAPPED"))</f>
        <v>Paramedic</v>
      </c>
      <c r="Q373" s="48" t="n">
        <f aca="false">STACK!I373</f>
        <v>6</v>
      </c>
      <c r="R373" s="60" t="n">
        <f aca="false">IF(G373&gt;0,IF(INDEX(CONFIRM!$F$5:$F$53,G373)&lt;&gt;"",INDEX(CONFIRM!$F$5:$F$53,G373),IF(ISNUMBER(Q373),Q373,IF(Q373="","",IFERROR(VALUE(TRIM(SUBSTITUTE(SUBSTITUTE(LOWER(Q373),"hrs",""),"hr",""))),"")))),IF(ISNUMBER(Q373),Q373,IF(Q373="","",IFERROR(VALUE(TRIM(SUBSTITUTE(SUBSTITUTE(LOWER(Q373),"hrs",""),"hr",""))),""))))</f>
        <v>6</v>
      </c>
      <c r="S373" s="57" t="n">
        <f aca="false">IFERROR(INDEX(RATES!$E$6:$E$28,MATCH(P373,RATES!$A$6:$A$28,0)),0)</f>
        <v>34.695</v>
      </c>
      <c r="T373" s="61" t="n">
        <f aca="false">IF(ISNUMBER(R373),R373,0)*S373</f>
        <v>208.17</v>
      </c>
      <c r="U373" s="61" t="n">
        <f aca="false">T373*INDEX(INPUTS!$H$10:$H$14,MATCH(B373,INPUTS!$A$10:$A$14,0))</f>
        <v>38.51145</v>
      </c>
      <c r="V373" s="61" t="n">
        <f aca="false">N(STACK!K373)</f>
        <v>945</v>
      </c>
      <c r="W373" s="61" t="n">
        <f aca="false">T373+U373+V373</f>
        <v>1191.68145</v>
      </c>
      <c r="X373" s="61" t="n">
        <f aca="false">N(STACK!L373)</f>
        <v>0</v>
      </c>
      <c r="Y373" s="61" t="n">
        <f aca="false">W373-X373</f>
        <v>1191.68145</v>
      </c>
      <c r="Z373" s="1" t="n">
        <f aca="false">N(STACK!J373)</f>
        <v>82</v>
      </c>
      <c r="AA373" s="1" t="str">
        <f aca="false">TRIM(IF(D373="UNMAPPED","Program not mapped. ","")&amp;IF(OR(K373="UNMAPPED",K373="UNASSIGNED"),"Category needs review. ","")&amp;IF(P373="UNMAPPED","Title not mapped. ","")&amp;IF(AND(P373&lt;&gt;"No staff time",R373=""),"Missing hours. ","")&amp;IF(M373="","Date not readable. ","")&amp;IF(N373="No","Outside fiscal year. ","")&amp;IF(AND(F373="Event",ISNUMBER(R373)),IF(R373&gt;12,"Event hours look high. ",""),"")&amp;IF(G373&gt;0,"See CONFIRM sheet.",""))</f>
        <v/>
      </c>
      <c r="AB373" s="1" t="n">
        <f aca="false">IF(N373="No",0,IF(REVIEW!O373=0,0,IF(G373&gt;0,IF(INDEX(CONFIRM!$J$5:$J$53,G373)&lt;&gt;"",INDEX(CONFIRM!$J$5:$J$53,G373),1),1)))</f>
        <v>1</v>
      </c>
      <c r="AC373" s="1" t="n">
        <f aca="false">IF(AB373=1,IF(COUNTIFS($B$5:B373,B373,$D$5:D373,D373,$AB$5:AB373,1)=1,1,0),0)</f>
        <v>0</v>
      </c>
    </row>
    <row r="374" customFormat="false" ht="15" hidden="false" customHeight="false" outlineLevel="0" collapsed="false">
      <c r="A374" s="48" t="str">
        <f aca="false">STACK!A374</f>
        <v>KVMC-0370</v>
      </c>
      <c r="B374" s="48" t="str">
        <f aca="false">STACK!B374</f>
        <v>KVMC</v>
      </c>
      <c r="C374" s="48" t="str">
        <f aca="false">STACK!E374</f>
        <v>Community Emergency Preparedness Drills</v>
      </c>
      <c r="D374" s="1" t="str">
        <f aca="false">IFERROR(INDEX(MAP!$J$7:$J$101,MATCH(TRIM(C374),MAP!$I$7:$I$101,0)),"UNMAPPED")</f>
        <v>Community Emergency Preparedness Drills</v>
      </c>
      <c r="E374" s="1" t="str">
        <f aca="false">IFERROR(INDEX(MAP!$K$7:$K$101,MATCH(TRIM(C374),MAP!$I$7:$I$101,0)),"")</f>
        <v>Community benefit infrastructure</v>
      </c>
      <c r="F374" s="1" t="str">
        <f aca="false">IFERROR(INDEX(MAP!$L$7:$L$101,MATCH(TRIM(C374),MAP!$I$7:$I$101,0)),"")</f>
        <v>Event</v>
      </c>
      <c r="G374" s="1" t="n">
        <f aca="false">IFERROR(MATCH(A374,CONFIRM!$A$5:$A$53,0),0)</f>
        <v>0</v>
      </c>
      <c r="H374" s="48" t="str">
        <f aca="false">STACK!F374</f>
        <v>Community Building - Community Support</v>
      </c>
      <c r="I374" s="1" t="str">
        <f aca="false">IF(G374&gt;0,IF(INDEX(CONFIRM!$I$5:$I$53,G374)&lt;&gt;"",INDEX(CONFIRM!$I$5:$I$53,G374),H374),H374)</f>
        <v>Community Building - Community Support</v>
      </c>
      <c r="J374" s="1" t="str">
        <f aca="false">IFERROR(INDEX(MAP!$F$7:$F$74,MATCH(TRIM(I374),MAP!$E$7:$E$74,0)),"UNMAPPED")</f>
        <v>Community building: community support</v>
      </c>
      <c r="K374" s="1" t="str">
        <f aca="false">IFERROR(INDEX(MAP!$G$7:$G$74,MATCH(TRIM(I374),MAP!$E$7:$E$74,0)),"UNMAPPED")</f>
        <v>II-3</v>
      </c>
      <c r="L374" s="49" t="n">
        <f aca="false">STACK!G374</f>
        <v>46101</v>
      </c>
      <c r="M374" s="59" t="n">
        <f aca="false">IF(G374&gt;0,IF(INDEX(CONFIRM!$G$5:$G$53,G374)&lt;&gt;"",INDEX(CONFIRM!$G$5:$G$53,G374),IF(ISNUMBER(L374),L374,IFERROR(DATEVALUE(L374),""))),IF(ISNUMBER(L374),L374,IFERROR(DATEVALUE(L374),"")))</f>
        <v>46101</v>
      </c>
      <c r="N374" s="1" t="str">
        <f aca="false">IF(M374="","Check",IF(AND(M374&gt;=INPUTS!$C$6,M374&lt;=INPUTS!$C$7),"Yes","No"))</f>
        <v>Yes</v>
      </c>
      <c r="O374" s="48" t="str">
        <f aca="false">STACK!H374</f>
        <v> Coordinator</v>
      </c>
      <c r="P374" s="1" t="str">
        <f aca="false">IF(G374&gt;0,IF(INDEX(CONFIRM!$H$5:$H$53,G374)&lt;&gt;"",INDEX(CONFIRM!$H$5:$H$53,G374),IFERROR(INDEX(MAP!$B$7:$B$156,MATCH(TRIM(O374),MAP!$A$7:$A$156,0)),"UNMAPPED")),IFERROR(INDEX(MAP!$B$7:$B$156,MATCH(TRIM(O374),MAP!$A$7:$A$156,0)),"UNMAPPED"))</f>
        <v>Program Coordinator</v>
      </c>
      <c r="Q374" s="48" t="n">
        <f aca="false">STACK!I374</f>
        <v>4.25</v>
      </c>
      <c r="R374" s="60" t="n">
        <f aca="false">IF(G374&gt;0,IF(INDEX(CONFIRM!$F$5:$F$53,G374)&lt;&gt;"",INDEX(CONFIRM!$F$5:$F$53,G374),IF(ISNUMBER(Q374),Q374,IF(Q374="","",IFERROR(VALUE(TRIM(SUBSTITUTE(SUBSTITUTE(LOWER(Q374),"hrs",""),"hr",""))),"")))),IF(ISNUMBER(Q374),Q374,IF(Q374="","",IFERROR(VALUE(TRIM(SUBSTITUTE(SUBSTITUTE(LOWER(Q374),"hrs",""),"hr",""))),""))))</f>
        <v>4.25</v>
      </c>
      <c r="S374" s="57" t="n">
        <f aca="false">IFERROR(INDEX(RATES!$E$6:$E$28,MATCH(P374,RATES!$A$6:$A$28,0)),0)</f>
        <v>35.3375</v>
      </c>
      <c r="T374" s="61" t="n">
        <f aca="false">IF(ISNUMBER(R374),R374,0)*S374</f>
        <v>150.184375</v>
      </c>
      <c r="U374" s="61" t="n">
        <f aca="false">T374*INDEX(INPUTS!$H$10:$H$14,MATCH(B374,INPUTS!$A$10:$A$14,0))</f>
        <v>27.784109375</v>
      </c>
      <c r="V374" s="61" t="n">
        <f aca="false">N(STACK!K374)</f>
        <v>0</v>
      </c>
      <c r="W374" s="61" t="n">
        <f aca="false">T374+U374+V374</f>
        <v>177.968484375</v>
      </c>
      <c r="X374" s="61" t="n">
        <f aca="false">N(STACK!L374)</f>
        <v>0</v>
      </c>
      <c r="Y374" s="61" t="n">
        <f aca="false">W374-X374</f>
        <v>177.968484375</v>
      </c>
      <c r="Z374" s="1" t="n">
        <f aca="false">N(STACK!J374)</f>
        <v>0</v>
      </c>
      <c r="AA374" s="1" t="str">
        <f aca="false">TRIM(IF(D374="UNMAPPED","Program not mapped. ","")&amp;IF(OR(K374="UNMAPPED",K374="UNASSIGNED"),"Category needs review. ","")&amp;IF(P374="UNMAPPED","Title not mapped. ","")&amp;IF(AND(P374&lt;&gt;"No staff time",R374=""),"Missing hours. ","")&amp;IF(M374="","Date not readable. ","")&amp;IF(N374="No","Outside fiscal year. ","")&amp;IF(AND(F374="Event",ISNUMBER(R374)),IF(R374&gt;12,"Event hours look high. ",""),"")&amp;IF(G374&gt;0,"See CONFIRM sheet.",""))</f>
        <v/>
      </c>
      <c r="AB374" s="1" t="n">
        <f aca="false">IF(N374="No",0,IF(REVIEW!O374=0,0,IF(G374&gt;0,IF(INDEX(CONFIRM!$J$5:$J$53,G374)&lt;&gt;"",INDEX(CONFIRM!$J$5:$J$53,G374),1),1)))</f>
        <v>1</v>
      </c>
      <c r="AC374" s="1" t="n">
        <f aca="false">IF(AB374=1,IF(COUNTIFS($B$5:B374,B374,$D$5:D374,D374,$AB$5:AB374,1)=1,1,0),0)</f>
        <v>0</v>
      </c>
    </row>
    <row r="375" customFormat="false" ht="15" hidden="false" customHeight="false" outlineLevel="0" collapsed="false">
      <c r="A375" s="48" t="str">
        <f aca="false">STACK!A375</f>
        <v>KVMC-0371</v>
      </c>
      <c r="B375" s="48" t="str">
        <f aca="false">STACK!B375</f>
        <v>KVMC</v>
      </c>
      <c r="C375" s="48" t="str">
        <f aca="false">STACK!E375</f>
        <v>Community Emergency Preparedness Drills</v>
      </c>
      <c r="D375" s="1" t="str">
        <f aca="false">IFERROR(INDEX(MAP!$J$7:$J$101,MATCH(TRIM(C375),MAP!$I$7:$I$101,0)),"UNMAPPED")</f>
        <v>Community Emergency Preparedness Drills</v>
      </c>
      <c r="E375" s="1" t="str">
        <f aca="false">IFERROR(INDEX(MAP!$K$7:$K$101,MATCH(TRIM(C375),MAP!$I$7:$I$101,0)),"")</f>
        <v>Community benefit infrastructure</v>
      </c>
      <c r="F375" s="1" t="str">
        <f aca="false">IFERROR(INDEX(MAP!$L$7:$L$101,MATCH(TRIM(C375),MAP!$I$7:$I$101,0)),"")</f>
        <v>Event</v>
      </c>
      <c r="G375" s="1" t="n">
        <f aca="false">IFERROR(MATCH(A375,CONFIRM!$A$5:$A$53,0),0)</f>
        <v>0</v>
      </c>
      <c r="H375" s="48" t="str">
        <f aca="false">STACK!F375</f>
        <v>Community Building - Community Support</v>
      </c>
      <c r="I375" s="1" t="str">
        <f aca="false">IF(G375&gt;0,IF(INDEX(CONFIRM!$I$5:$I$53,G375)&lt;&gt;"",INDEX(CONFIRM!$I$5:$I$53,G375),H375),H375)</f>
        <v>Community Building - Community Support</v>
      </c>
      <c r="J375" s="1" t="str">
        <f aca="false">IFERROR(INDEX(MAP!$F$7:$F$74,MATCH(TRIM(I375),MAP!$E$7:$E$74,0)),"UNMAPPED")</f>
        <v>Community building: community support</v>
      </c>
      <c r="K375" s="1" t="str">
        <f aca="false">IFERROR(INDEX(MAP!$G$7:$G$74,MATCH(TRIM(I375),MAP!$E$7:$E$74,0)),"UNMAPPED")</f>
        <v>II-3</v>
      </c>
      <c r="L375" s="49" t="n">
        <f aca="false">STACK!G375</f>
        <v>46101</v>
      </c>
      <c r="M375" s="59" t="n">
        <f aca="false">IF(G375&gt;0,IF(INDEX(CONFIRM!$G$5:$G$53,G375)&lt;&gt;"",INDEX(CONFIRM!$G$5:$G$53,G375),IF(ISNUMBER(L375),L375,IFERROR(DATEVALUE(L375),""))),IF(ISNUMBER(L375),L375,IFERROR(DATEVALUE(L375),"")))</f>
        <v>46101</v>
      </c>
      <c r="N375" s="1" t="str">
        <f aca="false">IF(M375="","Check",IF(AND(M375&gt;=INPUTS!$C$6,M375&lt;=INPUTS!$C$7),"Yes","No"))</f>
        <v>Yes</v>
      </c>
      <c r="O375" s="48" t="str">
        <f aca="false">STACK!H375</f>
        <v>RN - Outreach</v>
      </c>
      <c r="P375" s="1" t="str">
        <f aca="false">IF(G375&gt;0,IF(INDEX(CONFIRM!$H$5:$H$53,G375)&lt;&gt;"",INDEX(CONFIRM!$H$5:$H$53,G375),IFERROR(INDEX(MAP!$B$7:$B$156,MATCH(TRIM(O375),MAP!$A$7:$A$156,0)),"UNMAPPED")),IFERROR(INDEX(MAP!$B$7:$B$156,MATCH(TRIM(O375),MAP!$A$7:$A$156,0)),"UNMAPPED"))</f>
        <v>Registered Nurse</v>
      </c>
      <c r="Q375" s="48" t="n">
        <f aca="false">STACK!I375</f>
        <v>6</v>
      </c>
      <c r="R375" s="60" t="n">
        <f aca="false">IF(G375&gt;0,IF(INDEX(CONFIRM!$F$5:$F$53,G375)&lt;&gt;"",INDEX(CONFIRM!$F$5:$F$53,G375),IF(ISNUMBER(Q375),Q375,IF(Q375="","",IFERROR(VALUE(TRIM(SUBSTITUTE(SUBSTITUTE(LOWER(Q375),"hrs",""),"hr",""))),"")))),IF(ISNUMBER(Q375),Q375,IF(Q375="","",IFERROR(VALUE(TRIM(SUBSTITUTE(SUBSTITUTE(LOWER(Q375),"hrs",""),"hr",""))),""))))</f>
        <v>6</v>
      </c>
      <c r="S375" s="57" t="n">
        <f aca="false">IFERROR(INDEX(RATES!$E$6:$E$28,MATCH(P375,RATES!$A$6:$A$28,0)),0)</f>
        <v>55.8975</v>
      </c>
      <c r="T375" s="61" t="n">
        <f aca="false">IF(ISNUMBER(R375),R375,0)*S375</f>
        <v>335.385</v>
      </c>
      <c r="U375" s="61" t="n">
        <f aca="false">T375*INDEX(INPUTS!$H$10:$H$14,MATCH(B375,INPUTS!$A$10:$A$14,0))</f>
        <v>62.046225</v>
      </c>
      <c r="V375" s="61" t="n">
        <f aca="false">N(STACK!K375)</f>
        <v>0</v>
      </c>
      <c r="W375" s="61" t="n">
        <f aca="false">T375+U375+V375</f>
        <v>397.431225</v>
      </c>
      <c r="X375" s="61" t="n">
        <f aca="false">N(STACK!L375)</f>
        <v>0</v>
      </c>
      <c r="Y375" s="61" t="n">
        <f aca="false">W375-X375</f>
        <v>397.431225</v>
      </c>
      <c r="Z375" s="1" t="n">
        <f aca="false">N(STACK!J375)</f>
        <v>0</v>
      </c>
      <c r="AA375" s="1" t="str">
        <f aca="false">TRIM(IF(D375="UNMAPPED","Program not mapped. ","")&amp;IF(OR(K375="UNMAPPED",K375="UNASSIGNED"),"Category needs review. ","")&amp;IF(P375="UNMAPPED","Title not mapped. ","")&amp;IF(AND(P375&lt;&gt;"No staff time",R375=""),"Missing hours. ","")&amp;IF(M375="","Date not readable. ","")&amp;IF(N375="No","Outside fiscal year. ","")&amp;IF(AND(F375="Event",ISNUMBER(R375)),IF(R375&gt;12,"Event hours look high. ",""),"")&amp;IF(G375&gt;0,"See CONFIRM sheet.",""))</f>
        <v/>
      </c>
      <c r="AB375" s="1" t="n">
        <f aca="false">IF(N375="No",0,IF(REVIEW!O375=0,0,IF(G375&gt;0,IF(INDEX(CONFIRM!$J$5:$J$53,G375)&lt;&gt;"",INDEX(CONFIRM!$J$5:$J$53,G375),1),1)))</f>
        <v>1</v>
      </c>
      <c r="AC375" s="1" t="n">
        <f aca="false">IF(AB375=1,IF(COUNTIFS($B$5:B375,B375,$D$5:D375,D375,$AB$5:AB375,1)=1,1,0),0)</f>
        <v>0</v>
      </c>
    </row>
    <row r="376" customFormat="false" ht="15" hidden="false" customHeight="false" outlineLevel="0" collapsed="false">
      <c r="A376" s="48" t="str">
        <f aca="false">STACK!A376</f>
        <v>KVMC-0372</v>
      </c>
      <c r="B376" s="48" t="str">
        <f aca="false">STACK!B376</f>
        <v>KVMC</v>
      </c>
      <c r="C376" s="48" t="str">
        <f aca="false">STACK!E376</f>
        <v>Free Clinic Operating Grant</v>
      </c>
      <c r="D376" s="1" t="str">
        <f aca="false">IFERROR(INDEX(MAP!$J$7:$J$101,MATCH(TRIM(C376),MAP!$I$7:$I$101,0)),"UNMAPPED")</f>
        <v>Free Clinic Operating Grant</v>
      </c>
      <c r="E376" s="1" t="str">
        <f aca="false">IFERROR(INDEX(MAP!$K$7:$K$101,MATCH(TRIM(C376),MAP!$I$7:$I$101,0)),"")</f>
        <v>Access to care</v>
      </c>
      <c r="F376" s="1" t="str">
        <f aca="false">IFERROR(INDEX(MAP!$L$7:$L$101,MATCH(TRIM(C376),MAP!$I$7:$I$101,0)),"")</f>
        <v>Contribution</v>
      </c>
      <c r="G376" s="1" t="n">
        <f aca="false">IFERROR(MATCH(A376,CONFIRM!$A$5:$A$53,0),0)</f>
        <v>0</v>
      </c>
      <c r="H376" s="48" t="str">
        <f aca="false">STACK!F376</f>
        <v>Cash &amp; In-Kind Donations</v>
      </c>
      <c r="I376" s="1" t="str">
        <f aca="false">IF(G376&gt;0,IF(INDEX(CONFIRM!$I$5:$I$53,G376)&lt;&gt;"",INDEX(CONFIRM!$I$5:$I$53,G376),H376),H376)</f>
        <v>Cash &amp; In-Kind Donations</v>
      </c>
      <c r="J376" s="1" t="str">
        <f aca="false">IFERROR(INDEX(MAP!$F$7:$F$74,MATCH(TRIM(I376),MAP!$E$7:$E$74,0)),"UNMAPPED")</f>
        <v>Cash and in-kind contributions</v>
      </c>
      <c r="K376" s="1" t="str">
        <f aca="false">IFERROR(INDEX(MAP!$G$7:$G$74,MATCH(TRIM(I376),MAP!$E$7:$E$74,0)),"UNMAPPED")</f>
        <v>7i</v>
      </c>
      <c r="L376" s="49" t="n">
        <f aca="false">STACK!G376</f>
        <v>46105</v>
      </c>
      <c r="M376" s="59" t="n">
        <f aca="false">IF(G376&gt;0,IF(INDEX(CONFIRM!$G$5:$G$53,G376)&lt;&gt;"",INDEX(CONFIRM!$G$5:$G$53,G376),IF(ISNUMBER(L376),L376,IFERROR(DATEVALUE(L376),""))),IF(ISNUMBER(L376),L376,IFERROR(DATEVALUE(L376),"")))</f>
        <v>46105</v>
      </c>
      <c r="N376" s="1" t="str">
        <f aca="false">IF(M376="","Check",IF(AND(M376&gt;=INPUTS!$C$6,M376&lt;=INPUTS!$C$7),"Yes","No"))</f>
        <v>Yes</v>
      </c>
      <c r="O376" s="48" t="str">
        <f aca="false">STACK!H376</f>
        <v>n.a.</v>
      </c>
      <c r="P376" s="1" t="str">
        <f aca="false">IF(G376&gt;0,IF(INDEX(CONFIRM!$H$5:$H$53,G376)&lt;&gt;"",INDEX(CONFIRM!$H$5:$H$53,G376),IFERROR(INDEX(MAP!$B$7:$B$156,MATCH(TRIM(O376),MAP!$A$7:$A$156,0)),"UNMAPPED")),IFERROR(INDEX(MAP!$B$7:$B$156,MATCH(TRIM(O376),MAP!$A$7:$A$156,0)),"UNMAPPED"))</f>
        <v>No staff time</v>
      </c>
      <c r="Q376" s="48" t="n">
        <f aca="false">STACK!I376</f>
        <v>0</v>
      </c>
      <c r="R376" s="60" t="n">
        <f aca="false">IF(G376&gt;0,IF(INDEX(CONFIRM!$F$5:$F$53,G376)&lt;&gt;"",INDEX(CONFIRM!$F$5:$F$53,G376),IF(ISNUMBER(Q376),Q376,IF(Q376="","",IFERROR(VALUE(TRIM(SUBSTITUTE(SUBSTITUTE(LOWER(Q376),"hrs",""),"hr",""))),"")))),IF(ISNUMBER(Q376),Q376,IF(Q376="","",IFERROR(VALUE(TRIM(SUBSTITUTE(SUBSTITUTE(LOWER(Q376),"hrs",""),"hr",""))),""))))</f>
        <v>0</v>
      </c>
      <c r="S376" s="57" t="n">
        <f aca="false">IFERROR(INDEX(RATES!$E$6:$E$28,MATCH(P376,RATES!$A$6:$A$28,0)),0)</f>
        <v>0</v>
      </c>
      <c r="T376" s="61" t="n">
        <f aca="false">IF(ISNUMBER(R376),R376,0)*S376</f>
        <v>0</v>
      </c>
      <c r="U376" s="61" t="n">
        <f aca="false">T376*INDEX(INPUTS!$H$10:$H$14,MATCH(B376,INPUTS!$A$10:$A$14,0))</f>
        <v>0</v>
      </c>
      <c r="V376" s="61" t="n">
        <f aca="false">N(STACK!K376)</f>
        <v>102265</v>
      </c>
      <c r="W376" s="61" t="n">
        <f aca="false">T376+U376+V376</f>
        <v>102265</v>
      </c>
      <c r="X376" s="61" t="n">
        <f aca="false">N(STACK!L376)</f>
        <v>0</v>
      </c>
      <c r="Y376" s="61" t="n">
        <f aca="false">W376-X376</f>
        <v>102265</v>
      </c>
      <c r="Z376" s="1" t="n">
        <f aca="false">N(STACK!J376)</f>
        <v>0</v>
      </c>
      <c r="AA376" s="1" t="str">
        <f aca="false">TRIM(IF(D376="UNMAPPED","Program not mapped. ","")&amp;IF(OR(K376="UNMAPPED",K376="UNASSIGNED"),"Category needs review. ","")&amp;IF(P376="UNMAPPED","Title not mapped. ","")&amp;IF(AND(P376&lt;&gt;"No staff time",R376=""),"Missing hours. ","")&amp;IF(M376="","Date not readable. ","")&amp;IF(N376="No","Outside fiscal year. ","")&amp;IF(AND(F376="Event",ISNUMBER(R376)),IF(R376&gt;12,"Event hours look high. ",""),"")&amp;IF(G376&gt;0,"See CONFIRM sheet.",""))</f>
        <v/>
      </c>
      <c r="AB376" s="1" t="n">
        <f aca="false">IF(N376="No",0,IF(REVIEW!O376=0,0,IF(G376&gt;0,IF(INDEX(CONFIRM!$J$5:$J$53,G376)&lt;&gt;"",INDEX(CONFIRM!$J$5:$J$53,G376),1),1)))</f>
        <v>1</v>
      </c>
      <c r="AC376" s="1" t="n">
        <f aca="false">IF(AB376=1,IF(COUNTIFS($B$5:B376,B376,$D$5:D376,D376,$AB$5:AB376,1)=1,1,0),0)</f>
        <v>0</v>
      </c>
    </row>
    <row r="377" customFormat="false" ht="15" hidden="false" customHeight="false" outlineLevel="0" collapsed="false">
      <c r="A377" s="48" t="str">
        <f aca="false">STACK!A377</f>
        <v>KVMC-0373</v>
      </c>
      <c r="B377" s="48" t="str">
        <f aca="false">STACK!B377</f>
        <v>KVMC</v>
      </c>
      <c r="C377" s="48" t="str">
        <f aca="false">STACK!E377</f>
        <v>Mobile Health Screening Unit</v>
      </c>
      <c r="D377" s="1" t="str">
        <f aca="false">IFERROR(INDEX(MAP!$J$7:$J$101,MATCH(TRIM(C377),MAP!$I$7:$I$101,0)),"UNMAPPED")</f>
        <v>Mobile Health Screening Unit</v>
      </c>
      <c r="E377" s="1" t="str">
        <f aca="false">IFERROR(INDEX(MAP!$K$7:$K$101,MATCH(TRIM(C377),MAP!$I$7:$I$101,0)),"")</f>
        <v>Access to care</v>
      </c>
      <c r="F377" s="1" t="str">
        <f aca="false">IFERROR(INDEX(MAP!$L$7:$L$101,MATCH(TRIM(C377),MAP!$I$7:$I$101,0)),"")</f>
        <v>Monthly</v>
      </c>
      <c r="G377" s="1" t="n">
        <f aca="false">IFERROR(MATCH(A377,CONFIRM!$A$5:$A$53,0),0)</f>
        <v>0</v>
      </c>
      <c r="H377" s="48" t="str">
        <f aca="false">STACK!F377</f>
        <v>Community-Based Clinical Services</v>
      </c>
      <c r="I377" s="1" t="str">
        <f aca="false">IF(G377&gt;0,IF(INDEX(CONFIRM!$I$5:$I$53,G377)&lt;&gt;"",INDEX(CONFIRM!$I$5:$I$53,G377),H377),H377)</f>
        <v>Community-Based Clinical Services</v>
      </c>
      <c r="J377" s="1" t="str">
        <f aca="false">IFERROR(INDEX(MAP!$F$7:$F$74,MATCH(TRIM(I377),MAP!$E$7:$E$74,0)),"UNMAPPED")</f>
        <v>Community-based clinical services</v>
      </c>
      <c r="K377" s="1" t="str">
        <f aca="false">IFERROR(INDEX(MAP!$G$7:$G$74,MATCH(TRIM(I377),MAP!$E$7:$E$74,0)),"UNMAPPED")</f>
        <v>7e</v>
      </c>
      <c r="L377" s="49" t="n">
        <f aca="false">STACK!G377</f>
        <v>46112</v>
      </c>
      <c r="M377" s="59" t="n">
        <f aca="false">IF(G377&gt;0,IF(INDEX(CONFIRM!$G$5:$G$53,G377)&lt;&gt;"",INDEX(CONFIRM!$G$5:$G$53,G377),IF(ISNUMBER(L377),L377,IFERROR(DATEVALUE(L377),""))),IF(ISNUMBER(L377),L377,IFERROR(DATEVALUE(L377),"")))</f>
        <v>46112</v>
      </c>
      <c r="N377" s="1" t="str">
        <f aca="false">IF(M377="","Check",IF(AND(M377&gt;=INPUTS!$C$6,M377&lt;=INPUTS!$C$7),"Yes","No"))</f>
        <v>Yes</v>
      </c>
      <c r="O377" s="48" t="str">
        <f aca="false">STACK!H377</f>
        <v>Community Health Worker</v>
      </c>
      <c r="P377" s="1" t="str">
        <f aca="false">IF(G377&gt;0,IF(INDEX(CONFIRM!$H$5:$H$53,G377)&lt;&gt;"",INDEX(CONFIRM!$H$5:$H$53,G377),IFERROR(INDEX(MAP!$B$7:$B$156,MATCH(TRIM(O377),MAP!$A$7:$A$156,0)),"UNMAPPED")),IFERROR(INDEX(MAP!$B$7:$B$156,MATCH(TRIM(O377),MAP!$A$7:$A$156,0)),"UNMAPPED"))</f>
        <v>Community Health Worker</v>
      </c>
      <c r="Q377" s="48" t="n">
        <f aca="false">STACK!I377</f>
        <v>87.25</v>
      </c>
      <c r="R377" s="60" t="n">
        <f aca="false">IF(G377&gt;0,IF(INDEX(CONFIRM!$F$5:$F$53,G377)&lt;&gt;"",INDEX(CONFIRM!$F$5:$F$53,G377),IF(ISNUMBER(Q377),Q377,IF(Q377="","",IFERROR(VALUE(TRIM(SUBSTITUTE(SUBSTITUTE(LOWER(Q377),"hrs",""),"hr",""))),"")))),IF(ISNUMBER(Q377),Q377,IF(Q377="","",IFERROR(VALUE(TRIM(SUBSTITUTE(SUBSTITUTE(LOWER(Q377),"hrs",""),"hr",""))),""))))</f>
        <v>87.25</v>
      </c>
      <c r="S377" s="57" t="n">
        <f aca="false">IFERROR(INDEX(RATES!$E$6:$E$28,MATCH(P377,RATES!$A$6:$A$28,0)),0)</f>
        <v>27.6275</v>
      </c>
      <c r="T377" s="61" t="n">
        <f aca="false">IF(ISNUMBER(R377),R377,0)*S377</f>
        <v>2410.499375</v>
      </c>
      <c r="U377" s="61" t="n">
        <f aca="false">T377*INDEX(INPUTS!$H$10:$H$14,MATCH(B377,INPUTS!$A$10:$A$14,0))</f>
        <v>445.942384375</v>
      </c>
      <c r="V377" s="61" t="n">
        <f aca="false">N(STACK!K377)</f>
        <v>0</v>
      </c>
      <c r="W377" s="61" t="n">
        <f aca="false">T377+U377+V377</f>
        <v>2856.441759375</v>
      </c>
      <c r="X377" s="61" t="n">
        <f aca="false">N(STACK!L377)</f>
        <v>0</v>
      </c>
      <c r="Y377" s="61" t="n">
        <f aca="false">W377-X377</f>
        <v>2856.441759375</v>
      </c>
      <c r="Z377" s="1" t="n">
        <f aca="false">N(STACK!J377)</f>
        <v>0</v>
      </c>
      <c r="AA377" s="1" t="str">
        <f aca="false">TRIM(IF(D377="UNMAPPED","Program not mapped. ","")&amp;IF(OR(K377="UNMAPPED",K377="UNASSIGNED"),"Category needs review. ","")&amp;IF(P377="UNMAPPED","Title not mapped. ","")&amp;IF(AND(P377&lt;&gt;"No staff time",R377=""),"Missing hours. ","")&amp;IF(M377="","Date not readable. ","")&amp;IF(N377="No","Outside fiscal year. ","")&amp;IF(AND(F377="Event",ISNUMBER(R377)),IF(R377&gt;12,"Event hours look high. ",""),"")&amp;IF(G377&gt;0,"See CONFIRM sheet.",""))</f>
        <v/>
      </c>
      <c r="AB377" s="1" t="n">
        <f aca="false">IF(N377="No",0,IF(REVIEW!O377=0,0,IF(G377&gt;0,IF(INDEX(CONFIRM!$J$5:$J$53,G377)&lt;&gt;"",INDEX(CONFIRM!$J$5:$J$53,G377),1),1)))</f>
        <v>1</v>
      </c>
      <c r="AC377" s="1" t="n">
        <f aca="false">IF(AB377=1,IF(COUNTIFS($B$5:B377,B377,$D$5:D377,D377,$AB$5:AB377,1)=1,1,0),0)</f>
        <v>0</v>
      </c>
    </row>
    <row r="378" customFormat="false" ht="15" hidden="false" customHeight="false" outlineLevel="0" collapsed="false">
      <c r="A378" s="48" t="str">
        <f aca="false">STACK!A378</f>
        <v>KVMC-0374</v>
      </c>
      <c r="B378" s="48" t="str">
        <f aca="false">STACK!B378</f>
        <v>KVMC</v>
      </c>
      <c r="C378" s="48" t="str">
        <f aca="false">STACK!E378</f>
        <v>Mobile Health Screening Unit</v>
      </c>
      <c r="D378" s="1" t="str">
        <f aca="false">IFERROR(INDEX(MAP!$J$7:$J$101,MATCH(TRIM(C378),MAP!$I$7:$I$101,0)),"UNMAPPED")</f>
        <v>Mobile Health Screening Unit</v>
      </c>
      <c r="E378" s="1" t="str">
        <f aca="false">IFERROR(INDEX(MAP!$K$7:$K$101,MATCH(TRIM(C378),MAP!$I$7:$I$101,0)),"")</f>
        <v>Access to care</v>
      </c>
      <c r="F378" s="1" t="str">
        <f aca="false">IFERROR(INDEX(MAP!$L$7:$L$101,MATCH(TRIM(C378),MAP!$I$7:$I$101,0)),"")</f>
        <v>Monthly</v>
      </c>
      <c r="G378" s="1" t="n">
        <f aca="false">IFERROR(MATCH(A378,CONFIRM!$A$5:$A$53,0),0)</f>
        <v>0</v>
      </c>
      <c r="H378" s="48" t="str">
        <f aca="false">STACK!F378</f>
        <v>Community-Based Clinical Services</v>
      </c>
      <c r="I378" s="1" t="str">
        <f aca="false">IF(G378&gt;0,IF(INDEX(CONFIRM!$I$5:$I$53,G378)&lt;&gt;"",INDEX(CONFIRM!$I$5:$I$53,G378),H378),H378)</f>
        <v>Community-Based Clinical Services</v>
      </c>
      <c r="J378" s="1" t="str">
        <f aca="false">IFERROR(INDEX(MAP!$F$7:$F$74,MATCH(TRIM(I378),MAP!$E$7:$E$74,0)),"UNMAPPED")</f>
        <v>Community-based clinical services</v>
      </c>
      <c r="K378" s="1" t="str">
        <f aca="false">IFERROR(INDEX(MAP!$G$7:$G$74,MATCH(TRIM(I378),MAP!$E$7:$E$74,0)),"UNMAPPED")</f>
        <v>7e</v>
      </c>
      <c r="L378" s="49" t="n">
        <f aca="false">STACK!G378</f>
        <v>46112</v>
      </c>
      <c r="M378" s="59" t="n">
        <f aca="false">IF(G378&gt;0,IF(INDEX(CONFIRM!$G$5:$G$53,G378)&lt;&gt;"",INDEX(CONFIRM!$G$5:$G$53,G378),IF(ISNUMBER(L378),L378,IFERROR(DATEVALUE(L378),""))),IF(ISNUMBER(L378),L378,IFERROR(DATEVALUE(L378),"")))</f>
        <v>46112</v>
      </c>
      <c r="N378" s="1" t="str">
        <f aca="false">IF(M378="","Check",IF(AND(M378&gt;=INPUTS!$C$6,M378&lt;=INPUTS!$C$7),"Yes","No"))</f>
        <v>Yes</v>
      </c>
      <c r="O378" s="48" t="str">
        <f aca="false">STACK!H378</f>
        <v>CMA</v>
      </c>
      <c r="P378" s="1" t="str">
        <f aca="false">IF(G378&gt;0,IF(INDEX(CONFIRM!$H$5:$H$53,G378)&lt;&gt;"",INDEX(CONFIRM!$H$5:$H$53,G378),IFERROR(INDEX(MAP!$B$7:$B$156,MATCH(TRIM(O378),MAP!$A$7:$A$156,0)),"UNMAPPED")),IFERROR(INDEX(MAP!$B$7:$B$156,MATCH(TRIM(O378),MAP!$A$7:$A$156,0)),"UNMAPPED"))</f>
        <v>Medical Assistant</v>
      </c>
      <c r="Q378" s="48" t="n">
        <f aca="false">STACK!I378</f>
        <v>131</v>
      </c>
      <c r="R378" s="60" t="n">
        <f aca="false">IF(G378&gt;0,IF(INDEX(CONFIRM!$F$5:$F$53,G378)&lt;&gt;"",INDEX(CONFIRM!$F$5:$F$53,G378),IF(ISNUMBER(Q378),Q378,IF(Q378="","",IFERROR(VALUE(TRIM(SUBSTITUTE(SUBSTITUTE(LOWER(Q378),"hrs",""),"hr",""))),"")))),IF(ISNUMBER(Q378),Q378,IF(Q378="","",IFERROR(VALUE(TRIM(SUBSTITUTE(SUBSTITUTE(LOWER(Q378),"hrs",""),"hr",""))),""))))</f>
        <v>131</v>
      </c>
      <c r="S378" s="57" t="n">
        <f aca="false">IFERROR(INDEX(RATES!$E$6:$E$28,MATCH(P378,RATES!$A$6:$A$28,0)),0)</f>
        <v>25.37875</v>
      </c>
      <c r="T378" s="61" t="n">
        <f aca="false">IF(ISNUMBER(R378),R378,0)*S378</f>
        <v>3324.61625</v>
      </c>
      <c r="U378" s="61" t="n">
        <f aca="false">T378*INDEX(INPUTS!$H$10:$H$14,MATCH(B378,INPUTS!$A$10:$A$14,0))</f>
        <v>615.05400625</v>
      </c>
      <c r="V378" s="61" t="n">
        <f aca="false">N(STACK!K378)</f>
        <v>0</v>
      </c>
      <c r="W378" s="61" t="n">
        <f aca="false">T378+U378+V378</f>
        <v>3939.67025625</v>
      </c>
      <c r="X378" s="61" t="n">
        <f aca="false">N(STACK!L378)</f>
        <v>0</v>
      </c>
      <c r="Y378" s="61" t="n">
        <f aca="false">W378-X378</f>
        <v>3939.67025625</v>
      </c>
      <c r="Z378" s="1" t="n">
        <f aca="false">N(STACK!J378)</f>
        <v>0</v>
      </c>
      <c r="AA378" s="1" t="str">
        <f aca="false">TRIM(IF(D378="UNMAPPED","Program not mapped. ","")&amp;IF(OR(K378="UNMAPPED",K378="UNASSIGNED"),"Category needs review. ","")&amp;IF(P378="UNMAPPED","Title not mapped. ","")&amp;IF(AND(P378&lt;&gt;"No staff time",R378=""),"Missing hours. ","")&amp;IF(M378="","Date not readable. ","")&amp;IF(N378="No","Outside fiscal year. ","")&amp;IF(AND(F378="Event",ISNUMBER(R378)),IF(R378&gt;12,"Event hours look high. ",""),"")&amp;IF(G378&gt;0,"See CONFIRM sheet.",""))</f>
        <v/>
      </c>
      <c r="AB378" s="1" t="n">
        <f aca="false">IF(N378="No",0,IF(REVIEW!O378=0,0,IF(G378&gt;0,IF(INDEX(CONFIRM!$J$5:$J$53,G378)&lt;&gt;"",INDEX(CONFIRM!$J$5:$J$53,G378),1),1)))</f>
        <v>1</v>
      </c>
      <c r="AC378" s="1" t="n">
        <f aca="false">IF(AB378=1,IF(COUNTIFS($B$5:B378,B378,$D$5:D378,D378,$AB$5:AB378,1)=1,1,0),0)</f>
        <v>0</v>
      </c>
    </row>
    <row r="379" customFormat="false" ht="15" hidden="false" customHeight="false" outlineLevel="0" collapsed="false">
      <c r="A379" s="48" t="str">
        <f aca="false">STACK!A379</f>
        <v>KVMC-0375</v>
      </c>
      <c r="B379" s="48" t="str">
        <f aca="false">STACK!B379</f>
        <v>KVMC</v>
      </c>
      <c r="C379" s="48" t="str">
        <f aca="false">STACK!E379</f>
        <v>Mobile Health Screening Unit</v>
      </c>
      <c r="D379" s="1" t="str">
        <f aca="false">IFERROR(INDEX(MAP!$J$7:$J$101,MATCH(TRIM(C379),MAP!$I$7:$I$101,0)),"UNMAPPED")</f>
        <v>Mobile Health Screening Unit</v>
      </c>
      <c r="E379" s="1" t="str">
        <f aca="false">IFERROR(INDEX(MAP!$K$7:$K$101,MATCH(TRIM(C379),MAP!$I$7:$I$101,0)),"")</f>
        <v>Access to care</v>
      </c>
      <c r="F379" s="1" t="str">
        <f aca="false">IFERROR(INDEX(MAP!$L$7:$L$101,MATCH(TRIM(C379),MAP!$I$7:$I$101,0)),"")</f>
        <v>Monthly</v>
      </c>
      <c r="G379" s="1" t="n">
        <f aca="false">IFERROR(MATCH(A379,CONFIRM!$A$5:$A$53,0),0)</f>
        <v>0</v>
      </c>
      <c r="H379" s="48" t="str">
        <f aca="false">STACK!F379</f>
        <v>Community-Based Clinical Services</v>
      </c>
      <c r="I379" s="1" t="str">
        <f aca="false">IF(G379&gt;0,IF(INDEX(CONFIRM!$I$5:$I$53,G379)&lt;&gt;"",INDEX(CONFIRM!$I$5:$I$53,G379),H379),H379)</f>
        <v>Community-Based Clinical Services</v>
      </c>
      <c r="J379" s="1" t="str">
        <f aca="false">IFERROR(INDEX(MAP!$F$7:$F$74,MATCH(TRIM(I379),MAP!$E$7:$E$74,0)),"UNMAPPED")</f>
        <v>Community-based clinical services</v>
      </c>
      <c r="K379" s="1" t="str">
        <f aca="false">IFERROR(INDEX(MAP!$G$7:$G$74,MATCH(TRIM(I379),MAP!$E$7:$E$74,0)),"UNMAPPED")</f>
        <v>7e</v>
      </c>
      <c r="L379" s="49" t="n">
        <f aca="false">STACK!G379</f>
        <v>46112</v>
      </c>
      <c r="M379" s="59" t="n">
        <f aca="false">IF(G379&gt;0,IF(INDEX(CONFIRM!$G$5:$G$53,G379)&lt;&gt;"",INDEX(CONFIRM!$G$5:$G$53,G379),IF(ISNUMBER(L379),L379,IFERROR(DATEVALUE(L379),""))),IF(ISNUMBER(L379),L379,IFERROR(DATEVALUE(L379),"")))</f>
        <v>46112</v>
      </c>
      <c r="N379" s="1" t="str">
        <f aca="false">IF(M379="","Check",IF(AND(M379&gt;=INPUTS!$C$6,M379&lt;=INPUTS!$C$7),"Yes","No"))</f>
        <v>Yes</v>
      </c>
      <c r="O379" s="48" t="str">
        <f aca="false">STACK!H379</f>
        <v>Reg Nurse</v>
      </c>
      <c r="P379" s="1" t="str">
        <f aca="false">IF(G379&gt;0,IF(INDEX(CONFIRM!$H$5:$H$53,G379)&lt;&gt;"",INDEX(CONFIRM!$H$5:$H$53,G379),IFERROR(INDEX(MAP!$B$7:$B$156,MATCH(TRIM(O379),MAP!$A$7:$A$156,0)),"UNMAPPED")),IFERROR(INDEX(MAP!$B$7:$B$156,MATCH(TRIM(O379),MAP!$A$7:$A$156,0)),"UNMAPPED"))</f>
        <v>Registered Nurse</v>
      </c>
      <c r="Q379" s="48" t="n">
        <f aca="false">STACK!I379</f>
        <v>131.25</v>
      </c>
      <c r="R379" s="60" t="n">
        <f aca="false">IF(G379&gt;0,IF(INDEX(CONFIRM!$F$5:$F$53,G379)&lt;&gt;"",INDEX(CONFIRM!$F$5:$F$53,G379),IF(ISNUMBER(Q379),Q379,IF(Q379="","",IFERROR(VALUE(TRIM(SUBSTITUTE(SUBSTITUTE(LOWER(Q379),"hrs",""),"hr",""))),"")))),IF(ISNUMBER(Q379),Q379,IF(Q379="","",IFERROR(VALUE(TRIM(SUBSTITUTE(SUBSTITUTE(LOWER(Q379),"hrs",""),"hr",""))),""))))</f>
        <v>131.25</v>
      </c>
      <c r="S379" s="57" t="n">
        <f aca="false">IFERROR(INDEX(RATES!$E$6:$E$28,MATCH(P379,RATES!$A$6:$A$28,0)),0)</f>
        <v>55.8975</v>
      </c>
      <c r="T379" s="61" t="n">
        <f aca="false">IF(ISNUMBER(R379),R379,0)*S379</f>
        <v>7336.546875</v>
      </c>
      <c r="U379" s="61" t="n">
        <f aca="false">T379*INDEX(INPUTS!$H$10:$H$14,MATCH(B379,INPUTS!$A$10:$A$14,0))</f>
        <v>1357.261171875</v>
      </c>
      <c r="V379" s="61" t="n">
        <f aca="false">N(STACK!K379)</f>
        <v>6695</v>
      </c>
      <c r="W379" s="61" t="n">
        <f aca="false">T379+U379+V379</f>
        <v>15388.808046875</v>
      </c>
      <c r="X379" s="61" t="n">
        <f aca="false">N(STACK!L379)</f>
        <v>0</v>
      </c>
      <c r="Y379" s="61" t="n">
        <f aca="false">W379-X379</f>
        <v>15388.808046875</v>
      </c>
      <c r="Z379" s="1" t="n">
        <f aca="false">N(STACK!J379)</f>
        <v>270</v>
      </c>
      <c r="AA379" s="1" t="str">
        <f aca="false">TRIM(IF(D379="UNMAPPED","Program not mapped. ","")&amp;IF(OR(K379="UNMAPPED",K379="UNASSIGNED"),"Category needs review. ","")&amp;IF(P379="UNMAPPED","Title not mapped. ","")&amp;IF(AND(P379&lt;&gt;"No staff time",R379=""),"Missing hours. ","")&amp;IF(M379="","Date not readable. ","")&amp;IF(N379="No","Outside fiscal year. ","")&amp;IF(AND(F379="Event",ISNUMBER(R379)),IF(R379&gt;12,"Event hours look high. ",""),"")&amp;IF(G379&gt;0,"See CONFIRM sheet.",""))</f>
        <v/>
      </c>
      <c r="AB379" s="1" t="n">
        <f aca="false">IF(N379="No",0,IF(REVIEW!O379=0,0,IF(G379&gt;0,IF(INDEX(CONFIRM!$J$5:$J$53,G379)&lt;&gt;"",INDEX(CONFIRM!$J$5:$J$53,G379),1),1)))</f>
        <v>1</v>
      </c>
      <c r="AC379" s="1" t="n">
        <f aca="false">IF(AB379=1,IF(COUNTIFS($B$5:B379,B379,$D$5:D379,D379,$AB$5:AB379,1)=1,1,0),0)</f>
        <v>0</v>
      </c>
    </row>
    <row r="380" customFormat="false" ht="15" hidden="false" customHeight="false" outlineLevel="0" collapsed="false">
      <c r="A380" s="48" t="str">
        <f aca="false">STACK!A380</f>
        <v>KVMC-0376</v>
      </c>
      <c r="B380" s="48" t="str">
        <f aca="false">STACK!B380</f>
        <v>KVMC</v>
      </c>
      <c r="C380" s="48" t="str">
        <f aca="false">STACK!E380</f>
        <v>Free Clinic Provider Staffing</v>
      </c>
      <c r="D380" s="1" t="str">
        <f aca="false">IFERROR(INDEX(MAP!$J$7:$J$101,MATCH(TRIM(C380),MAP!$I$7:$I$101,0)),"UNMAPPED")</f>
        <v>Free Clinic Provider Staffing</v>
      </c>
      <c r="E380" s="1" t="str">
        <f aca="false">IFERROR(INDEX(MAP!$K$7:$K$101,MATCH(TRIM(C380),MAP!$I$7:$I$101,0)),"")</f>
        <v>Access to care</v>
      </c>
      <c r="F380" s="1" t="str">
        <f aca="false">IFERROR(INDEX(MAP!$L$7:$L$101,MATCH(TRIM(C380),MAP!$I$7:$I$101,0)),"")</f>
        <v>Monthly</v>
      </c>
      <c r="G380" s="1" t="n">
        <f aca="false">IFERROR(MATCH(A380,CONFIRM!$A$5:$A$53,0),0)</f>
        <v>0</v>
      </c>
      <c r="H380" s="48" t="str">
        <f aca="false">STACK!F380</f>
        <v>Community-Based Clinical Services</v>
      </c>
      <c r="I380" s="1" t="str">
        <f aca="false">IF(G380&gt;0,IF(INDEX(CONFIRM!$I$5:$I$53,G380)&lt;&gt;"",INDEX(CONFIRM!$I$5:$I$53,G380),H380),H380)</f>
        <v>Community-Based Clinical Services</v>
      </c>
      <c r="J380" s="1" t="str">
        <f aca="false">IFERROR(INDEX(MAP!$F$7:$F$74,MATCH(TRIM(I380),MAP!$E$7:$E$74,0)),"UNMAPPED")</f>
        <v>Community-based clinical services</v>
      </c>
      <c r="K380" s="1" t="str">
        <f aca="false">IFERROR(INDEX(MAP!$G$7:$G$74,MATCH(TRIM(I380),MAP!$E$7:$E$74,0)),"UNMAPPED")</f>
        <v>7e</v>
      </c>
      <c r="L380" s="49" t="n">
        <f aca="false">STACK!G380</f>
        <v>46112</v>
      </c>
      <c r="M380" s="59" t="n">
        <f aca="false">IF(G380&gt;0,IF(INDEX(CONFIRM!$G$5:$G$53,G380)&lt;&gt;"",INDEX(CONFIRM!$G$5:$G$53,G380),IF(ISNUMBER(L380),L380,IFERROR(DATEVALUE(L380),""))),IF(ISNUMBER(L380),L380,IFERROR(DATEVALUE(L380),"")))</f>
        <v>46112</v>
      </c>
      <c r="N380" s="1" t="str">
        <f aca="false">IF(M380="","Check",IF(AND(M380&gt;=INPUTS!$C$6,M380&lt;=INPUTS!$C$7),"Yes","No"))</f>
        <v>Yes</v>
      </c>
      <c r="O380" s="48" t="str">
        <f aca="false">STACK!H380</f>
        <v>Nurse Practitioner</v>
      </c>
      <c r="P380" s="1" t="str">
        <f aca="false">IF(G380&gt;0,IF(INDEX(CONFIRM!$H$5:$H$53,G380)&lt;&gt;"",INDEX(CONFIRM!$H$5:$H$53,G380),IFERROR(INDEX(MAP!$B$7:$B$156,MATCH(TRIM(O380),MAP!$A$7:$A$156,0)),"UNMAPPED")),IFERROR(INDEX(MAP!$B$7:$B$156,MATCH(TRIM(O380),MAP!$A$7:$A$156,0)),"UNMAPPED"))</f>
        <v>Nurse Practitioner</v>
      </c>
      <c r="Q380" s="48" t="n">
        <f aca="false">STACK!I380</f>
        <v>40</v>
      </c>
      <c r="R380" s="60" t="n">
        <f aca="false">IF(G380&gt;0,IF(INDEX(CONFIRM!$F$5:$F$53,G380)&lt;&gt;"",INDEX(CONFIRM!$F$5:$F$53,G380),IF(ISNUMBER(Q380),Q380,IF(Q380="","",IFERROR(VALUE(TRIM(SUBSTITUTE(SUBSTITUTE(LOWER(Q380),"hrs",""),"hr",""))),"")))),IF(ISNUMBER(Q380),Q380,IF(Q380="","",IFERROR(VALUE(TRIM(SUBSTITUTE(SUBSTITUTE(LOWER(Q380),"hrs",""),"hr",""))),""))))</f>
        <v>40</v>
      </c>
      <c r="S380" s="57" t="n">
        <f aca="false">IFERROR(INDEX(RATES!$E$6:$E$28,MATCH(P380,RATES!$A$6:$A$28,0)),0)</f>
        <v>79.67</v>
      </c>
      <c r="T380" s="61" t="n">
        <f aca="false">IF(ISNUMBER(R380),R380,0)*S380</f>
        <v>3186.8</v>
      </c>
      <c r="U380" s="61" t="n">
        <f aca="false">T380*INDEX(INPUTS!$H$10:$H$14,MATCH(B380,INPUTS!$A$10:$A$14,0))</f>
        <v>589.558</v>
      </c>
      <c r="V380" s="61" t="n">
        <f aca="false">N(STACK!K380)</f>
        <v>5850</v>
      </c>
      <c r="W380" s="61" t="n">
        <f aca="false">T380+U380+V380</f>
        <v>9626.358</v>
      </c>
      <c r="X380" s="61" t="n">
        <f aca="false">N(STACK!L380)</f>
        <v>0</v>
      </c>
      <c r="Y380" s="61" t="n">
        <f aca="false">W380-X380</f>
        <v>9626.358</v>
      </c>
      <c r="Z380" s="1" t="n">
        <f aca="false">N(STACK!J380)</f>
        <v>396</v>
      </c>
      <c r="AA380" s="1" t="str">
        <f aca="false">TRIM(IF(D380="UNMAPPED","Program not mapped. ","")&amp;IF(OR(K380="UNMAPPED",K380="UNASSIGNED"),"Category needs review. ","")&amp;IF(P380="UNMAPPED","Title not mapped. ","")&amp;IF(AND(P380&lt;&gt;"No staff time",R380=""),"Missing hours. ","")&amp;IF(M380="","Date not readable. ","")&amp;IF(N380="No","Outside fiscal year. ","")&amp;IF(AND(F380="Event",ISNUMBER(R380)),IF(R380&gt;12,"Event hours look high. ",""),"")&amp;IF(G380&gt;0,"See CONFIRM sheet.",""))</f>
        <v/>
      </c>
      <c r="AB380" s="1" t="n">
        <f aca="false">IF(N380="No",0,IF(REVIEW!O380=0,0,IF(G380&gt;0,IF(INDEX(CONFIRM!$J$5:$J$53,G380)&lt;&gt;"",INDEX(CONFIRM!$J$5:$J$53,G380),1),1)))</f>
        <v>1</v>
      </c>
      <c r="AC380" s="1" t="n">
        <f aca="false">IF(AB380=1,IF(COUNTIFS($B$5:B380,B380,$D$5:D380,D380,$AB$5:AB380,1)=1,1,0),0)</f>
        <v>0</v>
      </c>
    </row>
    <row r="381" customFormat="false" ht="15" hidden="false" customHeight="false" outlineLevel="0" collapsed="false">
      <c r="A381" s="48" t="str">
        <f aca="false">STACK!A381</f>
        <v>KVMC-0377</v>
      </c>
      <c r="B381" s="48" t="str">
        <f aca="false">STACK!B381</f>
        <v>KVMC</v>
      </c>
      <c r="C381" s="48" t="str">
        <f aca="false">STACK!E381</f>
        <v>Free Clinic Provider Staffing</v>
      </c>
      <c r="D381" s="1" t="str">
        <f aca="false">IFERROR(INDEX(MAP!$J$7:$J$101,MATCH(TRIM(C381),MAP!$I$7:$I$101,0)),"UNMAPPED")</f>
        <v>Free Clinic Provider Staffing</v>
      </c>
      <c r="E381" s="1" t="str">
        <f aca="false">IFERROR(INDEX(MAP!$K$7:$K$101,MATCH(TRIM(C381),MAP!$I$7:$I$101,0)),"")</f>
        <v>Access to care</v>
      </c>
      <c r="F381" s="1" t="str">
        <f aca="false">IFERROR(INDEX(MAP!$L$7:$L$101,MATCH(TRIM(C381),MAP!$I$7:$I$101,0)),"")</f>
        <v>Monthly</v>
      </c>
      <c r="G381" s="1" t="n">
        <f aca="false">IFERROR(MATCH(A381,CONFIRM!$A$5:$A$53,0),0)</f>
        <v>0</v>
      </c>
      <c r="H381" s="48" t="str">
        <f aca="false">STACK!F381</f>
        <v>Community-Based Clinical Services</v>
      </c>
      <c r="I381" s="1" t="str">
        <f aca="false">IF(G381&gt;0,IF(INDEX(CONFIRM!$I$5:$I$53,G381)&lt;&gt;"",INDEX(CONFIRM!$I$5:$I$53,G381),H381),H381)</f>
        <v>Community-Based Clinical Services</v>
      </c>
      <c r="J381" s="1" t="str">
        <f aca="false">IFERROR(INDEX(MAP!$F$7:$F$74,MATCH(TRIM(I381),MAP!$E$7:$E$74,0)),"UNMAPPED")</f>
        <v>Community-based clinical services</v>
      </c>
      <c r="K381" s="1" t="str">
        <f aca="false">IFERROR(INDEX(MAP!$G$7:$G$74,MATCH(TRIM(I381),MAP!$E$7:$E$74,0)),"UNMAPPED")</f>
        <v>7e</v>
      </c>
      <c r="L381" s="49" t="n">
        <f aca="false">STACK!G381</f>
        <v>46112</v>
      </c>
      <c r="M381" s="59" t="n">
        <f aca="false">IF(G381&gt;0,IF(INDEX(CONFIRM!$G$5:$G$53,G381)&lt;&gt;"",INDEX(CONFIRM!$G$5:$G$53,G381),IF(ISNUMBER(L381),L381,IFERROR(DATEVALUE(L381),""))),IF(ISNUMBER(L381),L381,IFERROR(DATEVALUE(L381),"")))</f>
        <v>46112</v>
      </c>
      <c r="N381" s="1" t="str">
        <f aca="false">IF(M381="","Check",IF(AND(M381&gt;=INPUTS!$C$6,M381&lt;=INPUTS!$C$7),"Yes","No"))</f>
        <v>Yes</v>
      </c>
      <c r="O381" s="48" t="str">
        <f aca="false">STACK!H381</f>
        <v>Pharmacist</v>
      </c>
      <c r="P381" s="1" t="str">
        <f aca="false">IF(G381&gt;0,IF(INDEX(CONFIRM!$H$5:$H$53,G381)&lt;&gt;"",INDEX(CONFIRM!$H$5:$H$53,G381),IFERROR(INDEX(MAP!$B$7:$B$156,MATCH(TRIM(O381),MAP!$A$7:$A$156,0)),"UNMAPPED")),IFERROR(INDEX(MAP!$B$7:$B$156,MATCH(TRIM(O381),MAP!$A$7:$A$156,0)),"UNMAPPED"))</f>
        <v>Pharmacist</v>
      </c>
      <c r="Q381" s="48" t="n">
        <f aca="false">STACK!I381</f>
        <v>22.25</v>
      </c>
      <c r="R381" s="60" t="n">
        <f aca="false">IF(G381&gt;0,IF(INDEX(CONFIRM!$F$5:$F$53,G381)&lt;&gt;"",INDEX(CONFIRM!$F$5:$F$53,G381),IF(ISNUMBER(Q381),Q381,IF(Q381="","",IFERROR(VALUE(TRIM(SUBSTITUTE(SUBSTITUTE(LOWER(Q381),"hrs",""),"hr",""))),"")))),IF(ISNUMBER(Q381),Q381,IF(Q381="","",IFERROR(VALUE(TRIM(SUBSTITUTE(SUBSTITUTE(LOWER(Q381),"hrs",""),"hr",""))),""))))</f>
        <v>22.25</v>
      </c>
      <c r="S381" s="57" t="n">
        <f aca="false">IFERROR(INDEX(RATES!$E$6:$E$28,MATCH(P381,RATES!$A$6:$A$28,0)),0)</f>
        <v>84.81</v>
      </c>
      <c r="T381" s="61" t="n">
        <f aca="false">IF(ISNUMBER(R381),R381,0)*S381</f>
        <v>1887.0225</v>
      </c>
      <c r="U381" s="61" t="n">
        <f aca="false">T381*INDEX(INPUTS!$H$10:$H$14,MATCH(B381,INPUTS!$A$10:$A$14,0))</f>
        <v>349.0991625</v>
      </c>
      <c r="V381" s="61" t="n">
        <f aca="false">N(STACK!K381)</f>
        <v>0</v>
      </c>
      <c r="W381" s="61" t="n">
        <f aca="false">T381+U381+V381</f>
        <v>2236.1216625</v>
      </c>
      <c r="X381" s="61" t="n">
        <f aca="false">N(STACK!L381)</f>
        <v>0</v>
      </c>
      <c r="Y381" s="61" t="n">
        <f aca="false">W381-X381</f>
        <v>2236.1216625</v>
      </c>
      <c r="Z381" s="1" t="n">
        <f aca="false">N(STACK!J381)</f>
        <v>0</v>
      </c>
      <c r="AA381" s="1" t="str">
        <f aca="false">TRIM(IF(D381="UNMAPPED","Program not mapped. ","")&amp;IF(OR(K381="UNMAPPED",K381="UNASSIGNED"),"Category needs review. ","")&amp;IF(P381="UNMAPPED","Title not mapped. ","")&amp;IF(AND(P381&lt;&gt;"No staff time",R381=""),"Missing hours. ","")&amp;IF(M381="","Date not readable. ","")&amp;IF(N381="No","Outside fiscal year. ","")&amp;IF(AND(F381="Event",ISNUMBER(R381)),IF(R381&gt;12,"Event hours look high. ",""),"")&amp;IF(G381&gt;0,"See CONFIRM sheet.",""))</f>
        <v/>
      </c>
      <c r="AB381" s="1" t="n">
        <f aca="false">IF(N381="No",0,IF(REVIEW!O381=0,0,IF(G381&gt;0,IF(INDEX(CONFIRM!$J$5:$J$53,G381)&lt;&gt;"",INDEX(CONFIRM!$J$5:$J$53,G381),1),1)))</f>
        <v>1</v>
      </c>
      <c r="AC381" s="1" t="n">
        <f aca="false">IF(AB381=1,IF(COUNTIFS($B$5:B381,B381,$D$5:D381,D381,$AB$5:AB381,1)=1,1,0),0)</f>
        <v>0</v>
      </c>
    </row>
    <row r="382" customFormat="false" ht="15" hidden="false" customHeight="false" outlineLevel="0" collapsed="false">
      <c r="A382" s="48" t="str">
        <f aca="false">STACK!A382</f>
        <v>KVMC-0378</v>
      </c>
      <c r="B382" s="48" t="str">
        <f aca="false">STACK!B382</f>
        <v>KVMC</v>
      </c>
      <c r="C382" s="48" t="str">
        <f aca="false">STACK!E382</f>
        <v>Free Clinic Provider Staffing</v>
      </c>
      <c r="D382" s="1" t="str">
        <f aca="false">IFERROR(INDEX(MAP!$J$7:$J$101,MATCH(TRIM(C382),MAP!$I$7:$I$101,0)),"UNMAPPED")</f>
        <v>Free Clinic Provider Staffing</v>
      </c>
      <c r="E382" s="1" t="str">
        <f aca="false">IFERROR(INDEX(MAP!$K$7:$K$101,MATCH(TRIM(C382),MAP!$I$7:$I$101,0)),"")</f>
        <v>Access to care</v>
      </c>
      <c r="F382" s="1" t="str">
        <f aca="false">IFERROR(INDEX(MAP!$L$7:$L$101,MATCH(TRIM(C382),MAP!$I$7:$I$101,0)),"")</f>
        <v>Monthly</v>
      </c>
      <c r="G382" s="1" t="n">
        <f aca="false">IFERROR(MATCH(A382,CONFIRM!$A$5:$A$53,0),0)</f>
        <v>0</v>
      </c>
      <c r="H382" s="48" t="str">
        <f aca="false">STACK!F382</f>
        <v>Community-Based Clinical Services</v>
      </c>
      <c r="I382" s="1" t="str">
        <f aca="false">IF(G382&gt;0,IF(INDEX(CONFIRM!$I$5:$I$53,G382)&lt;&gt;"",INDEX(CONFIRM!$I$5:$I$53,G382),H382),H382)</f>
        <v>Community-Based Clinical Services</v>
      </c>
      <c r="J382" s="1" t="str">
        <f aca="false">IFERROR(INDEX(MAP!$F$7:$F$74,MATCH(TRIM(I382),MAP!$E$7:$E$74,0)),"UNMAPPED")</f>
        <v>Community-based clinical services</v>
      </c>
      <c r="K382" s="1" t="str">
        <f aca="false">IFERROR(INDEX(MAP!$G$7:$G$74,MATCH(TRIM(I382),MAP!$E$7:$E$74,0)),"UNMAPPED")</f>
        <v>7e</v>
      </c>
      <c r="L382" s="49" t="n">
        <f aca="false">STACK!G382</f>
        <v>46112</v>
      </c>
      <c r="M382" s="59" t="n">
        <f aca="false">IF(G382&gt;0,IF(INDEX(CONFIRM!$G$5:$G$53,G382)&lt;&gt;"",INDEX(CONFIRM!$G$5:$G$53,G382),IF(ISNUMBER(L382),L382,IFERROR(DATEVALUE(L382),""))),IF(ISNUMBER(L382),L382,IFERROR(DATEVALUE(L382),"")))</f>
        <v>46112</v>
      </c>
      <c r="N382" s="1" t="str">
        <f aca="false">IF(M382="","Check",IF(AND(M382&gt;=INPUTS!$C$6,M382&lt;=INPUTS!$C$7),"Yes","No"))</f>
        <v>Yes</v>
      </c>
      <c r="O382" s="48" t="str">
        <f aca="false">STACK!H382</f>
        <v>R.N.</v>
      </c>
      <c r="P382" s="1" t="str">
        <f aca="false">IF(G382&gt;0,IF(INDEX(CONFIRM!$H$5:$H$53,G382)&lt;&gt;"",INDEX(CONFIRM!$H$5:$H$53,G382),IFERROR(INDEX(MAP!$B$7:$B$156,MATCH(TRIM(O382),MAP!$A$7:$A$156,0)),"UNMAPPED")),IFERROR(INDEX(MAP!$B$7:$B$156,MATCH(TRIM(O382),MAP!$A$7:$A$156,0)),"UNMAPPED"))</f>
        <v>Registered Nurse</v>
      </c>
      <c r="Q382" s="48" t="n">
        <f aca="false">STACK!I382</f>
        <v>56.25</v>
      </c>
      <c r="R382" s="60" t="n">
        <f aca="false">IF(G382&gt;0,IF(INDEX(CONFIRM!$F$5:$F$53,G382)&lt;&gt;"",INDEX(CONFIRM!$F$5:$F$53,G382),IF(ISNUMBER(Q382),Q382,IF(Q382="","",IFERROR(VALUE(TRIM(SUBSTITUTE(SUBSTITUTE(LOWER(Q382),"hrs",""),"hr",""))),"")))),IF(ISNUMBER(Q382),Q382,IF(Q382="","",IFERROR(VALUE(TRIM(SUBSTITUTE(SUBSTITUTE(LOWER(Q382),"hrs",""),"hr",""))),""))))</f>
        <v>56.25</v>
      </c>
      <c r="S382" s="57" t="n">
        <f aca="false">IFERROR(INDEX(RATES!$E$6:$E$28,MATCH(P382,RATES!$A$6:$A$28,0)),0)</f>
        <v>55.8975</v>
      </c>
      <c r="T382" s="61" t="n">
        <f aca="false">IF(ISNUMBER(R382),R382,0)*S382</f>
        <v>3144.234375</v>
      </c>
      <c r="U382" s="61" t="n">
        <f aca="false">T382*INDEX(INPUTS!$H$10:$H$14,MATCH(B382,INPUTS!$A$10:$A$14,0))</f>
        <v>581.683359375</v>
      </c>
      <c r="V382" s="61" t="n">
        <f aca="false">N(STACK!K382)</f>
        <v>0</v>
      </c>
      <c r="W382" s="61" t="n">
        <f aca="false">T382+U382+V382</f>
        <v>3725.917734375</v>
      </c>
      <c r="X382" s="61" t="n">
        <f aca="false">N(STACK!L382)</f>
        <v>0</v>
      </c>
      <c r="Y382" s="61" t="n">
        <f aca="false">W382-X382</f>
        <v>3725.917734375</v>
      </c>
      <c r="Z382" s="1" t="n">
        <f aca="false">N(STACK!J382)</f>
        <v>0</v>
      </c>
      <c r="AA382" s="1" t="str">
        <f aca="false">TRIM(IF(D382="UNMAPPED","Program not mapped. ","")&amp;IF(OR(K382="UNMAPPED",K382="UNASSIGNED"),"Category needs review. ","")&amp;IF(P382="UNMAPPED","Title not mapped. ","")&amp;IF(AND(P382&lt;&gt;"No staff time",R382=""),"Missing hours. ","")&amp;IF(M382="","Date not readable. ","")&amp;IF(N382="No","Outside fiscal year. ","")&amp;IF(AND(F382="Event",ISNUMBER(R382)),IF(R382&gt;12,"Event hours look high. ",""),"")&amp;IF(G382&gt;0,"See CONFIRM sheet.",""))</f>
        <v/>
      </c>
      <c r="AB382" s="1" t="n">
        <f aca="false">IF(N382="No",0,IF(REVIEW!O382=0,0,IF(G382&gt;0,IF(INDEX(CONFIRM!$J$5:$J$53,G382)&lt;&gt;"",INDEX(CONFIRM!$J$5:$J$53,G382),1),1)))</f>
        <v>1</v>
      </c>
      <c r="AC382" s="1" t="n">
        <f aca="false">IF(AB382=1,IF(COUNTIFS($B$5:B382,B382,$D$5:D382,D382,$AB$5:AB382,1)=1,1,0),0)</f>
        <v>0</v>
      </c>
    </row>
    <row r="383" customFormat="false" ht="15" hidden="false" customHeight="false" outlineLevel="0" collapsed="false">
      <c r="A383" s="48" t="str">
        <f aca="false">STACK!A383</f>
        <v>KVMC-0379</v>
      </c>
      <c r="B383" s="48" t="str">
        <f aca="false">STACK!B383</f>
        <v>KVMC</v>
      </c>
      <c r="C383" s="48" t="str">
        <f aca="false">STACK!E383</f>
        <v>Community Health Worker Outreach</v>
      </c>
      <c r="D383" s="1" t="str">
        <f aca="false">IFERROR(INDEX(MAP!$J$7:$J$101,MATCH(TRIM(C383),MAP!$I$7:$I$101,0)),"UNMAPPED")</f>
        <v>Community Health Worker Outreach</v>
      </c>
      <c r="E383" s="1" t="str">
        <f aca="false">IFERROR(INDEX(MAP!$K$7:$K$101,MATCH(TRIM(C383),MAP!$I$7:$I$101,0)),"")</f>
        <v>Access to care</v>
      </c>
      <c r="F383" s="1" t="str">
        <f aca="false">IFERROR(INDEX(MAP!$L$7:$L$101,MATCH(TRIM(C383),MAP!$I$7:$I$101,0)),"")</f>
        <v>Monthly</v>
      </c>
      <c r="G383" s="1" t="n">
        <f aca="false">IFERROR(MATCH(A383,CONFIRM!$A$5:$A$53,0),0)</f>
        <v>0</v>
      </c>
      <c r="H383" s="48" t="str">
        <f aca="false">STACK!F383</f>
        <v>Health Care Support Services</v>
      </c>
      <c r="I383" s="1" t="str">
        <f aca="false">IF(G383&gt;0,IF(INDEX(CONFIRM!$I$5:$I$53,G383)&lt;&gt;"",INDEX(CONFIRM!$I$5:$I$53,G383),H383),H383)</f>
        <v>Health Care Support Services</v>
      </c>
      <c r="J383" s="1" t="str">
        <f aca="false">IFERROR(INDEX(MAP!$F$7:$F$74,MATCH(TRIM(I383),MAP!$E$7:$E$74,0)),"UNMAPPED")</f>
        <v>Health care support services</v>
      </c>
      <c r="K383" s="1" t="str">
        <f aca="false">IFERROR(INDEX(MAP!$G$7:$G$74,MATCH(TRIM(I383),MAP!$E$7:$E$74,0)),"UNMAPPED")</f>
        <v>7e</v>
      </c>
      <c r="L383" s="49" t="n">
        <f aca="false">STACK!G383</f>
        <v>46112</v>
      </c>
      <c r="M383" s="59" t="n">
        <f aca="false">IF(G383&gt;0,IF(INDEX(CONFIRM!$G$5:$G$53,G383)&lt;&gt;"",INDEX(CONFIRM!$G$5:$G$53,G383),IF(ISNUMBER(L383),L383,IFERROR(DATEVALUE(L383),""))),IF(ISNUMBER(L383),L383,IFERROR(DATEVALUE(L383),"")))</f>
        <v>46112</v>
      </c>
      <c r="N383" s="1" t="str">
        <f aca="false">IF(M383="","Check",IF(AND(M383&gt;=INPUTS!$C$6,M383&lt;=INPUTS!$C$7),"Yes","No"))</f>
        <v>Yes</v>
      </c>
      <c r="O383" s="48" t="str">
        <f aca="false">STACK!H383</f>
        <v>Comm Health Worker</v>
      </c>
      <c r="P383" s="1" t="str">
        <f aca="false">IF(G383&gt;0,IF(INDEX(CONFIRM!$H$5:$H$53,G383)&lt;&gt;"",INDEX(CONFIRM!$H$5:$H$53,G383),IFERROR(INDEX(MAP!$B$7:$B$156,MATCH(TRIM(O383),MAP!$A$7:$A$156,0)),"UNMAPPED")),IFERROR(INDEX(MAP!$B$7:$B$156,MATCH(TRIM(O383),MAP!$A$7:$A$156,0)),"UNMAPPED"))</f>
        <v>Community Health Worker</v>
      </c>
      <c r="Q383" s="48" t="n">
        <f aca="false">STACK!I383</f>
        <v>377</v>
      </c>
      <c r="R383" s="60" t="n">
        <f aca="false">IF(G383&gt;0,IF(INDEX(CONFIRM!$F$5:$F$53,G383)&lt;&gt;"",INDEX(CONFIRM!$F$5:$F$53,G383),IF(ISNUMBER(Q383),Q383,IF(Q383="","",IFERROR(VALUE(TRIM(SUBSTITUTE(SUBSTITUTE(LOWER(Q383),"hrs",""),"hr",""))),"")))),IF(ISNUMBER(Q383),Q383,IF(Q383="","",IFERROR(VALUE(TRIM(SUBSTITUTE(SUBSTITUTE(LOWER(Q383),"hrs",""),"hr",""))),""))))</f>
        <v>377</v>
      </c>
      <c r="S383" s="57" t="n">
        <f aca="false">IFERROR(INDEX(RATES!$E$6:$E$28,MATCH(P383,RATES!$A$6:$A$28,0)),0)</f>
        <v>27.6275</v>
      </c>
      <c r="T383" s="61" t="n">
        <f aca="false">IF(ISNUMBER(R383),R383,0)*S383</f>
        <v>10415.5675</v>
      </c>
      <c r="U383" s="61" t="n">
        <f aca="false">T383*INDEX(INPUTS!$H$10:$H$14,MATCH(B383,INPUTS!$A$10:$A$14,0))</f>
        <v>1926.8799875</v>
      </c>
      <c r="V383" s="61" t="n">
        <f aca="false">N(STACK!K383)</f>
        <v>1495</v>
      </c>
      <c r="W383" s="61" t="n">
        <f aca="false">T383+U383+V383</f>
        <v>13837.4474875</v>
      </c>
      <c r="X383" s="61" t="n">
        <f aca="false">N(STACK!L383)</f>
        <v>0</v>
      </c>
      <c r="Y383" s="61" t="n">
        <f aca="false">W383-X383</f>
        <v>13837.4474875</v>
      </c>
      <c r="Z383" s="1" t="n">
        <f aca="false">N(STACK!J383)</f>
        <v>603</v>
      </c>
      <c r="AA383" s="1" t="str">
        <f aca="false">TRIM(IF(D383="UNMAPPED","Program not mapped. ","")&amp;IF(OR(K383="UNMAPPED",K383="UNASSIGNED"),"Category needs review. ","")&amp;IF(P383="UNMAPPED","Title not mapped. ","")&amp;IF(AND(P383&lt;&gt;"No staff time",R383=""),"Missing hours. ","")&amp;IF(M383="","Date not readable. ","")&amp;IF(N383="No","Outside fiscal year. ","")&amp;IF(AND(F383="Event",ISNUMBER(R383)),IF(R383&gt;12,"Event hours look high. ",""),"")&amp;IF(G383&gt;0,"See CONFIRM sheet.",""))</f>
        <v/>
      </c>
      <c r="AB383" s="1" t="n">
        <f aca="false">IF(N383="No",0,IF(REVIEW!O383=0,0,IF(G383&gt;0,IF(INDEX(CONFIRM!$J$5:$J$53,G383)&lt;&gt;"",INDEX(CONFIRM!$J$5:$J$53,G383),1),1)))</f>
        <v>1</v>
      </c>
      <c r="AC383" s="1" t="n">
        <f aca="false">IF(AB383=1,IF(COUNTIFS($B$5:B383,B383,$D$5:D383,D383,$AB$5:AB383,1)=1,1,0),0)</f>
        <v>0</v>
      </c>
    </row>
    <row r="384" customFormat="false" ht="15" hidden="false" customHeight="false" outlineLevel="0" collapsed="false">
      <c r="A384" s="48" t="str">
        <f aca="false">STACK!A384</f>
        <v>KVMC-0380</v>
      </c>
      <c r="B384" s="48" t="str">
        <f aca="false">STACK!B384</f>
        <v>KVMC</v>
      </c>
      <c r="C384" s="48" t="str">
        <f aca="false">STACK!E384</f>
        <v>Community Health Worker Outreach</v>
      </c>
      <c r="D384" s="1" t="str">
        <f aca="false">IFERROR(INDEX(MAP!$J$7:$J$101,MATCH(TRIM(C384),MAP!$I$7:$I$101,0)),"UNMAPPED")</f>
        <v>Community Health Worker Outreach</v>
      </c>
      <c r="E384" s="1" t="str">
        <f aca="false">IFERROR(INDEX(MAP!$K$7:$K$101,MATCH(TRIM(C384),MAP!$I$7:$I$101,0)),"")</f>
        <v>Access to care</v>
      </c>
      <c r="F384" s="1" t="str">
        <f aca="false">IFERROR(INDEX(MAP!$L$7:$L$101,MATCH(TRIM(C384),MAP!$I$7:$I$101,0)),"")</f>
        <v>Monthly</v>
      </c>
      <c r="G384" s="1" t="n">
        <f aca="false">IFERROR(MATCH(A384,CONFIRM!$A$5:$A$53,0),0)</f>
        <v>0</v>
      </c>
      <c r="H384" s="48" t="str">
        <f aca="false">STACK!F384</f>
        <v>Health Care Support Services</v>
      </c>
      <c r="I384" s="1" t="str">
        <f aca="false">IF(G384&gt;0,IF(INDEX(CONFIRM!$I$5:$I$53,G384)&lt;&gt;"",INDEX(CONFIRM!$I$5:$I$53,G384),H384),H384)</f>
        <v>Health Care Support Services</v>
      </c>
      <c r="J384" s="1" t="str">
        <f aca="false">IFERROR(INDEX(MAP!$F$7:$F$74,MATCH(TRIM(I384),MAP!$E$7:$E$74,0)),"UNMAPPED")</f>
        <v>Health care support services</v>
      </c>
      <c r="K384" s="1" t="str">
        <f aca="false">IFERROR(INDEX(MAP!$G$7:$G$74,MATCH(TRIM(I384),MAP!$E$7:$E$74,0)),"UNMAPPED")</f>
        <v>7e</v>
      </c>
      <c r="L384" s="49" t="n">
        <f aca="false">STACK!G384</f>
        <v>46112</v>
      </c>
      <c r="M384" s="59" t="n">
        <f aca="false">IF(G384&gt;0,IF(INDEX(CONFIRM!$G$5:$G$53,G384)&lt;&gt;"",INDEX(CONFIRM!$G$5:$G$53,G384),IF(ISNUMBER(L384),L384,IFERROR(DATEVALUE(L384),""))),IF(ISNUMBER(L384),L384,IFERROR(DATEVALUE(L384),"")))</f>
        <v>46112</v>
      </c>
      <c r="N384" s="1" t="str">
        <f aca="false">IF(M384="","Check",IF(AND(M384&gt;=INPUTS!$C$6,M384&lt;=INPUTS!$C$7),"Yes","No"))</f>
        <v>Yes</v>
      </c>
      <c r="O384" s="48" t="str">
        <f aca="false">STACK!H384</f>
        <v>Financial Navigator</v>
      </c>
      <c r="P384" s="1" t="str">
        <f aca="false">IF(G384&gt;0,IF(INDEX(CONFIRM!$H$5:$H$53,G384)&lt;&gt;"",INDEX(CONFIRM!$H$5:$H$53,G384),IFERROR(INDEX(MAP!$B$7:$B$156,MATCH(TRIM(O384),MAP!$A$7:$A$156,0)),"UNMAPPED")),IFERROR(INDEX(MAP!$B$7:$B$156,MATCH(TRIM(O384),MAP!$A$7:$A$156,0)),"UNMAPPED"))</f>
        <v>Patient Navigator</v>
      </c>
      <c r="Q384" s="48" t="n">
        <f aca="false">STACK!I384</f>
        <v>170.5</v>
      </c>
      <c r="R384" s="60" t="n">
        <f aca="false">IF(G384&gt;0,IF(INDEX(CONFIRM!$F$5:$F$53,G384)&lt;&gt;"",INDEX(CONFIRM!$F$5:$F$53,G384),IF(ISNUMBER(Q384),Q384,IF(Q384="","",IFERROR(VALUE(TRIM(SUBSTITUTE(SUBSTITUTE(LOWER(Q384),"hrs",""),"hr",""))),"")))),IF(ISNUMBER(Q384),Q384,IF(Q384="","",IFERROR(VALUE(TRIM(SUBSTITUTE(SUBSTITUTE(LOWER(Q384),"hrs",""),"hr",""))),""))))</f>
        <v>170.5</v>
      </c>
      <c r="S384" s="57" t="n">
        <f aca="false">IFERROR(INDEX(RATES!$E$6:$E$28,MATCH(P384,RATES!$A$6:$A$28,0)),0)</f>
        <v>30.84</v>
      </c>
      <c r="T384" s="61" t="n">
        <f aca="false">IF(ISNUMBER(R384),R384,0)*S384</f>
        <v>5258.22</v>
      </c>
      <c r="U384" s="61" t="n">
        <f aca="false">T384*INDEX(INPUTS!$H$10:$H$14,MATCH(B384,INPUTS!$A$10:$A$14,0))</f>
        <v>972.7707</v>
      </c>
      <c r="V384" s="61" t="n">
        <f aca="false">N(STACK!K384)</f>
        <v>0</v>
      </c>
      <c r="W384" s="61" t="n">
        <f aca="false">T384+U384+V384</f>
        <v>6230.9907</v>
      </c>
      <c r="X384" s="61" t="n">
        <f aca="false">N(STACK!L384)</f>
        <v>0</v>
      </c>
      <c r="Y384" s="61" t="n">
        <f aca="false">W384-X384</f>
        <v>6230.9907</v>
      </c>
      <c r="Z384" s="1" t="n">
        <f aca="false">N(STACK!J384)</f>
        <v>0</v>
      </c>
      <c r="AA384" s="1" t="str">
        <f aca="false">TRIM(IF(D384="UNMAPPED","Program not mapped. ","")&amp;IF(OR(K384="UNMAPPED",K384="UNASSIGNED"),"Category needs review. ","")&amp;IF(P384="UNMAPPED","Title not mapped. ","")&amp;IF(AND(P384&lt;&gt;"No staff time",R384=""),"Missing hours. ","")&amp;IF(M384="","Date not readable. ","")&amp;IF(N384="No","Outside fiscal year. ","")&amp;IF(AND(F384="Event",ISNUMBER(R384)),IF(R384&gt;12,"Event hours look high. ",""),"")&amp;IF(G384&gt;0,"See CONFIRM sheet.",""))</f>
        <v/>
      </c>
      <c r="AB384" s="1" t="n">
        <f aca="false">IF(N384="No",0,IF(REVIEW!O384=0,0,IF(G384&gt;0,IF(INDEX(CONFIRM!$J$5:$J$53,G384)&lt;&gt;"",INDEX(CONFIRM!$J$5:$J$53,G384),1),1)))</f>
        <v>1</v>
      </c>
      <c r="AC384" s="1" t="n">
        <f aca="false">IF(AB384=1,IF(COUNTIFS($B$5:B384,B384,$D$5:D384,D384,$AB$5:AB384,1)=1,1,0),0)</f>
        <v>0</v>
      </c>
    </row>
    <row r="385" customFormat="false" ht="15" hidden="false" customHeight="false" outlineLevel="0" collapsed="false">
      <c r="A385" s="48" t="str">
        <f aca="false">STACK!A385</f>
        <v>KVMC-0381</v>
      </c>
      <c r="B385" s="48" t="str">
        <f aca="false">STACK!B385</f>
        <v>KVMC</v>
      </c>
      <c r="C385" s="48" t="str">
        <f aca="false">STACK!E385</f>
        <v>Medication Assistance Program</v>
      </c>
      <c r="D385" s="1" t="str">
        <f aca="false">IFERROR(INDEX(MAP!$J$7:$J$101,MATCH(TRIM(C385),MAP!$I$7:$I$101,0)),"UNMAPPED")</f>
        <v>Medication Assistance Program</v>
      </c>
      <c r="E385" s="1" t="str">
        <f aca="false">IFERROR(INDEX(MAP!$K$7:$K$101,MATCH(TRIM(C385),MAP!$I$7:$I$101,0)),"")</f>
        <v>Access to care</v>
      </c>
      <c r="F385" s="1" t="str">
        <f aca="false">IFERROR(INDEX(MAP!$L$7:$L$101,MATCH(TRIM(C385),MAP!$I$7:$I$101,0)),"")</f>
        <v>Monthly</v>
      </c>
      <c r="G385" s="1" t="n">
        <f aca="false">IFERROR(MATCH(A385,CONFIRM!$A$5:$A$53,0),0)</f>
        <v>0</v>
      </c>
      <c r="H385" s="48" t="str">
        <f aca="false">STACK!F385</f>
        <v>Health Care Support Services</v>
      </c>
      <c r="I385" s="1" t="str">
        <f aca="false">IF(G385&gt;0,IF(INDEX(CONFIRM!$I$5:$I$53,G385)&lt;&gt;"",INDEX(CONFIRM!$I$5:$I$53,G385),H385),H385)</f>
        <v>Health Care Support Services</v>
      </c>
      <c r="J385" s="1" t="str">
        <f aca="false">IFERROR(INDEX(MAP!$F$7:$F$74,MATCH(TRIM(I385),MAP!$E$7:$E$74,0)),"UNMAPPED")</f>
        <v>Health care support services</v>
      </c>
      <c r="K385" s="1" t="str">
        <f aca="false">IFERROR(INDEX(MAP!$G$7:$G$74,MATCH(TRIM(I385),MAP!$E$7:$E$74,0)),"UNMAPPED")</f>
        <v>7e</v>
      </c>
      <c r="L385" s="49" t="n">
        <f aca="false">STACK!G385</f>
        <v>46112</v>
      </c>
      <c r="M385" s="59" t="n">
        <f aca="false">IF(G385&gt;0,IF(INDEX(CONFIRM!$G$5:$G$53,G385)&lt;&gt;"",INDEX(CONFIRM!$G$5:$G$53,G385),IF(ISNUMBER(L385),L385,IFERROR(DATEVALUE(L385),""))),IF(ISNUMBER(L385),L385,IFERROR(DATEVALUE(L385),"")))</f>
        <v>46112</v>
      </c>
      <c r="N385" s="1" t="str">
        <f aca="false">IF(M385="","Check",IF(AND(M385&gt;=INPUTS!$C$6,M385&lt;=INPUTS!$C$7),"Yes","No"))</f>
        <v>Yes</v>
      </c>
      <c r="O385" s="48" t="str">
        <f aca="false">STACK!H385</f>
        <v>Nurse Navigator</v>
      </c>
      <c r="P385" s="1" t="str">
        <f aca="false">IF(G385&gt;0,IF(INDEX(CONFIRM!$H$5:$H$53,G385)&lt;&gt;"",INDEX(CONFIRM!$H$5:$H$53,G385),IFERROR(INDEX(MAP!$B$7:$B$156,MATCH(TRIM(O385),MAP!$A$7:$A$156,0)),"UNMAPPED")),IFERROR(INDEX(MAP!$B$7:$B$156,MATCH(TRIM(O385),MAP!$A$7:$A$156,0)),"UNMAPPED"))</f>
        <v>Patient Navigator</v>
      </c>
      <c r="Q385" s="48" t="n">
        <f aca="false">STACK!I385</f>
        <v>83</v>
      </c>
      <c r="R385" s="60" t="n">
        <f aca="false">IF(G385&gt;0,IF(INDEX(CONFIRM!$F$5:$F$53,G385)&lt;&gt;"",INDEX(CONFIRM!$F$5:$F$53,G385),IF(ISNUMBER(Q385),Q385,IF(Q385="","",IFERROR(VALUE(TRIM(SUBSTITUTE(SUBSTITUTE(LOWER(Q385),"hrs",""),"hr",""))),"")))),IF(ISNUMBER(Q385),Q385,IF(Q385="","",IFERROR(VALUE(TRIM(SUBSTITUTE(SUBSTITUTE(LOWER(Q385),"hrs",""),"hr",""))),""))))</f>
        <v>83</v>
      </c>
      <c r="S385" s="57" t="n">
        <f aca="false">IFERROR(INDEX(RATES!$E$6:$E$28,MATCH(P385,RATES!$A$6:$A$28,0)),0)</f>
        <v>30.84</v>
      </c>
      <c r="T385" s="61" t="n">
        <f aca="false">IF(ISNUMBER(R385),R385,0)*S385</f>
        <v>2559.72</v>
      </c>
      <c r="U385" s="61" t="n">
        <f aca="false">T385*INDEX(INPUTS!$H$10:$H$14,MATCH(B385,INPUTS!$A$10:$A$14,0))</f>
        <v>473.5482</v>
      </c>
      <c r="V385" s="61" t="n">
        <f aca="false">N(STACK!K385)</f>
        <v>0</v>
      </c>
      <c r="W385" s="61" t="n">
        <f aca="false">T385+U385+V385</f>
        <v>3033.2682</v>
      </c>
      <c r="X385" s="61" t="n">
        <f aca="false">N(STACK!L385)</f>
        <v>0</v>
      </c>
      <c r="Y385" s="61" t="n">
        <f aca="false">W385-X385</f>
        <v>3033.2682</v>
      </c>
      <c r="Z385" s="1" t="n">
        <f aca="false">N(STACK!J385)</f>
        <v>0</v>
      </c>
      <c r="AA385" s="1" t="str">
        <f aca="false">TRIM(IF(D385="UNMAPPED","Program not mapped. ","")&amp;IF(OR(K385="UNMAPPED",K385="UNASSIGNED"),"Category needs review. ","")&amp;IF(P385="UNMAPPED","Title not mapped. ","")&amp;IF(AND(P385&lt;&gt;"No staff time",R385=""),"Missing hours. ","")&amp;IF(M385="","Date not readable. ","")&amp;IF(N385="No","Outside fiscal year. ","")&amp;IF(AND(F385="Event",ISNUMBER(R385)),IF(R385&gt;12,"Event hours look high. ",""),"")&amp;IF(G385&gt;0,"See CONFIRM sheet.",""))</f>
        <v/>
      </c>
      <c r="AB385" s="1" t="n">
        <f aca="false">IF(N385="No",0,IF(REVIEW!O385=0,0,IF(G385&gt;0,IF(INDEX(CONFIRM!$J$5:$J$53,G385)&lt;&gt;"",INDEX(CONFIRM!$J$5:$J$53,G385),1),1)))</f>
        <v>1</v>
      </c>
      <c r="AC385" s="1" t="n">
        <f aca="false">IF(AB385=1,IF(COUNTIFS($B$5:B385,B385,$D$5:D385,D385,$AB$5:AB385,1)=1,1,0),0)</f>
        <v>0</v>
      </c>
    </row>
    <row r="386" customFormat="false" ht="15" hidden="false" customHeight="false" outlineLevel="0" collapsed="false">
      <c r="A386" s="48" t="str">
        <f aca="false">STACK!A386</f>
        <v>KVMC-0382</v>
      </c>
      <c r="B386" s="48" t="str">
        <f aca="false">STACK!B386</f>
        <v>KVMC</v>
      </c>
      <c r="C386" s="48" t="str">
        <f aca="false">STACK!E386</f>
        <v>Medication Assistance Program</v>
      </c>
      <c r="D386" s="1" t="str">
        <f aca="false">IFERROR(INDEX(MAP!$J$7:$J$101,MATCH(TRIM(C386),MAP!$I$7:$I$101,0)),"UNMAPPED")</f>
        <v>Medication Assistance Program</v>
      </c>
      <c r="E386" s="1" t="str">
        <f aca="false">IFERROR(INDEX(MAP!$K$7:$K$101,MATCH(TRIM(C386),MAP!$I$7:$I$101,0)),"")</f>
        <v>Access to care</v>
      </c>
      <c r="F386" s="1" t="str">
        <f aca="false">IFERROR(INDEX(MAP!$L$7:$L$101,MATCH(TRIM(C386),MAP!$I$7:$I$101,0)),"")</f>
        <v>Monthly</v>
      </c>
      <c r="G386" s="1" t="n">
        <f aca="false">IFERROR(MATCH(A386,CONFIRM!$A$5:$A$53,0),0)</f>
        <v>0</v>
      </c>
      <c r="H386" s="48" t="str">
        <f aca="false">STACK!F386</f>
        <v>Health Care Support Services</v>
      </c>
      <c r="I386" s="1" t="str">
        <f aca="false">IF(G386&gt;0,IF(INDEX(CONFIRM!$I$5:$I$53,G386)&lt;&gt;"",INDEX(CONFIRM!$I$5:$I$53,G386),H386),H386)</f>
        <v>Health Care Support Services</v>
      </c>
      <c r="J386" s="1" t="str">
        <f aca="false">IFERROR(INDEX(MAP!$F$7:$F$74,MATCH(TRIM(I386),MAP!$E$7:$E$74,0)),"UNMAPPED")</f>
        <v>Health care support services</v>
      </c>
      <c r="K386" s="1" t="str">
        <f aca="false">IFERROR(INDEX(MAP!$G$7:$G$74,MATCH(TRIM(I386),MAP!$E$7:$E$74,0)),"UNMAPPED")</f>
        <v>7e</v>
      </c>
      <c r="L386" s="49" t="n">
        <f aca="false">STACK!G386</f>
        <v>46112</v>
      </c>
      <c r="M386" s="59" t="n">
        <f aca="false">IF(G386&gt;0,IF(INDEX(CONFIRM!$G$5:$G$53,G386)&lt;&gt;"",INDEX(CONFIRM!$G$5:$G$53,G386),IF(ISNUMBER(L386),L386,IFERROR(DATEVALUE(L386),""))),IF(ISNUMBER(L386),L386,IFERROR(DATEVALUE(L386),"")))</f>
        <v>46112</v>
      </c>
      <c r="N386" s="1" t="str">
        <f aca="false">IF(M386="","Check",IF(AND(M386&gt;=INPUTS!$C$6,M386&lt;=INPUTS!$C$7),"Yes","No"))</f>
        <v>Yes</v>
      </c>
      <c r="O386" s="48" t="str">
        <f aca="false">STACK!H386</f>
        <v>RPh</v>
      </c>
      <c r="P386" s="1" t="str">
        <f aca="false">IF(G386&gt;0,IF(INDEX(CONFIRM!$H$5:$H$53,G386)&lt;&gt;"",INDEX(CONFIRM!$H$5:$H$53,G386),IFERROR(INDEX(MAP!$B$7:$B$156,MATCH(TRIM(O386),MAP!$A$7:$A$156,0)),"UNMAPPED")),IFERROR(INDEX(MAP!$B$7:$B$156,MATCH(TRIM(O386),MAP!$A$7:$A$156,0)),"UNMAPPED"))</f>
        <v>Pharmacist</v>
      </c>
      <c r="Q386" s="48" t="n">
        <f aca="false">STACK!I386</f>
        <v>27.25</v>
      </c>
      <c r="R386" s="60" t="n">
        <f aca="false">IF(G386&gt;0,IF(INDEX(CONFIRM!$F$5:$F$53,G386)&lt;&gt;"",INDEX(CONFIRM!$F$5:$F$53,G386),IF(ISNUMBER(Q386),Q386,IF(Q386="","",IFERROR(VALUE(TRIM(SUBSTITUTE(SUBSTITUTE(LOWER(Q386),"hrs",""),"hr",""))),"")))),IF(ISNUMBER(Q386),Q386,IF(Q386="","",IFERROR(VALUE(TRIM(SUBSTITUTE(SUBSTITUTE(LOWER(Q386),"hrs",""),"hr",""))),""))))</f>
        <v>27.25</v>
      </c>
      <c r="S386" s="57" t="n">
        <f aca="false">IFERROR(INDEX(RATES!$E$6:$E$28,MATCH(P386,RATES!$A$6:$A$28,0)),0)</f>
        <v>84.81</v>
      </c>
      <c r="T386" s="61" t="n">
        <f aca="false">IF(ISNUMBER(R386),R386,0)*S386</f>
        <v>2311.0725</v>
      </c>
      <c r="U386" s="61" t="n">
        <f aca="false">T386*INDEX(INPUTS!$H$10:$H$14,MATCH(B386,INPUTS!$A$10:$A$14,0))</f>
        <v>427.5484125</v>
      </c>
      <c r="V386" s="61" t="n">
        <f aca="false">N(STACK!K386)</f>
        <v>22280</v>
      </c>
      <c r="W386" s="61" t="n">
        <f aca="false">T386+U386+V386</f>
        <v>25018.6209125</v>
      </c>
      <c r="X386" s="61" t="n">
        <f aca="false">N(STACK!L386)</f>
        <v>0</v>
      </c>
      <c r="Y386" s="61" t="n">
        <f aca="false">W386-X386</f>
        <v>25018.6209125</v>
      </c>
      <c r="Z386" s="1" t="n">
        <f aca="false">N(STACK!J386)</f>
        <v>159</v>
      </c>
      <c r="AA386" s="1" t="str">
        <f aca="false">TRIM(IF(D386="UNMAPPED","Program not mapped. ","")&amp;IF(OR(K386="UNMAPPED",K386="UNASSIGNED"),"Category needs review. ","")&amp;IF(P386="UNMAPPED","Title not mapped. ","")&amp;IF(AND(P386&lt;&gt;"No staff time",R386=""),"Missing hours. ","")&amp;IF(M386="","Date not readable. ","")&amp;IF(N386="No","Outside fiscal year. ","")&amp;IF(AND(F386="Event",ISNUMBER(R386)),IF(R386&gt;12,"Event hours look high. ",""),"")&amp;IF(G386&gt;0,"See CONFIRM sheet.",""))</f>
        <v/>
      </c>
      <c r="AB386" s="1" t="n">
        <f aca="false">IF(N386="No",0,IF(REVIEW!O386=0,0,IF(G386&gt;0,IF(INDEX(CONFIRM!$J$5:$J$53,G386)&lt;&gt;"",INDEX(CONFIRM!$J$5:$J$53,G386),1),1)))</f>
        <v>1</v>
      </c>
      <c r="AC386" s="1" t="n">
        <f aca="false">IF(AB386=1,IF(COUNTIFS($B$5:B386,B386,$D$5:D386,D386,$AB$5:AB386,1)=1,1,0),0)</f>
        <v>0</v>
      </c>
    </row>
    <row r="387" customFormat="false" ht="15" hidden="false" customHeight="false" outlineLevel="0" collapsed="false">
      <c r="A387" s="48" t="str">
        <f aca="false">STACK!A387</f>
        <v>KVMC-0383</v>
      </c>
      <c r="B387" s="48" t="str">
        <f aca="false">STACK!B387</f>
        <v>KVMC</v>
      </c>
      <c r="C387" s="48" t="str">
        <f aca="false">STACK!E387</f>
        <v>Community Health Needs Assessment</v>
      </c>
      <c r="D387" s="1" t="str">
        <f aca="false">IFERROR(INDEX(MAP!$J$7:$J$101,MATCH(TRIM(C387),MAP!$I$7:$I$101,0)),"UNMAPPED")</f>
        <v>Community Health Needs Assessment</v>
      </c>
      <c r="E387" s="1" t="str">
        <f aca="false">IFERROR(INDEX(MAP!$K$7:$K$101,MATCH(TRIM(C387),MAP!$I$7:$I$101,0)),"")</f>
        <v>Community benefit infrastructure</v>
      </c>
      <c r="F387" s="1" t="str">
        <f aca="false">IFERROR(INDEX(MAP!$L$7:$L$101,MATCH(TRIM(C387),MAP!$I$7:$I$101,0)),"")</f>
        <v>Monthly</v>
      </c>
      <c r="G387" s="1" t="n">
        <f aca="false">IFERROR(MATCH(A387,CONFIRM!$A$5:$A$53,0),0)</f>
        <v>0</v>
      </c>
      <c r="H387" s="48" t="str">
        <f aca="false">STACK!F387</f>
        <v>CB Operations</v>
      </c>
      <c r="I387" s="1" t="str">
        <f aca="false">IF(G387&gt;0,IF(INDEX(CONFIRM!$I$5:$I$53,G387)&lt;&gt;"",INDEX(CONFIRM!$I$5:$I$53,G387),H387),H387)</f>
        <v>CB Operations</v>
      </c>
      <c r="J387" s="1" t="str">
        <f aca="false">IFERROR(INDEX(MAP!$F$7:$F$74,MATCH(TRIM(I387),MAP!$E$7:$E$74,0)),"UNMAPPED")</f>
        <v>Community benefit operations</v>
      </c>
      <c r="K387" s="1" t="str">
        <f aca="false">IFERROR(INDEX(MAP!$G$7:$G$74,MATCH(TRIM(I387),MAP!$E$7:$E$74,0)),"UNMAPPED")</f>
        <v>7e</v>
      </c>
      <c r="L387" s="49" t="n">
        <f aca="false">STACK!G387</f>
        <v>46112</v>
      </c>
      <c r="M387" s="59" t="n">
        <f aca="false">IF(G387&gt;0,IF(INDEX(CONFIRM!$G$5:$G$53,G387)&lt;&gt;"",INDEX(CONFIRM!$G$5:$G$53,G387),IF(ISNUMBER(L387),L387,IFERROR(DATEVALUE(L387),""))),IF(ISNUMBER(L387),L387,IFERROR(DATEVALUE(L387),"")))</f>
        <v>46112</v>
      </c>
      <c r="N387" s="1" t="str">
        <f aca="false">IF(M387="","Check",IF(AND(M387&gt;=INPUTS!$C$6,M387&lt;=INPUTS!$C$7),"Yes","No"))</f>
        <v>Yes</v>
      </c>
      <c r="O387" s="48" t="str">
        <f aca="false">STACK!H387</f>
        <v>COMMUNITY BENEFIT MANAGER</v>
      </c>
      <c r="P387" s="1" t="str">
        <f aca="false">IF(G387&gt;0,IF(INDEX(CONFIRM!$H$5:$H$53,G387)&lt;&gt;"",INDEX(CONFIRM!$H$5:$H$53,G387),IFERROR(INDEX(MAP!$B$7:$B$156,MATCH(TRIM(O387),MAP!$A$7:$A$156,0)),"UNMAPPED")),IFERROR(INDEX(MAP!$B$7:$B$156,MATCH(TRIM(O387),MAP!$A$7:$A$156,0)),"UNMAPPED"))</f>
        <v>Community Benefit Manager</v>
      </c>
      <c r="Q387" s="48" t="n">
        <f aca="false">STACK!I387</f>
        <v>90.75</v>
      </c>
      <c r="R387" s="60" t="n">
        <f aca="false">IF(G387&gt;0,IF(INDEX(CONFIRM!$F$5:$F$53,G387)&lt;&gt;"",INDEX(CONFIRM!$F$5:$F$53,G387),IF(ISNUMBER(Q387),Q387,IF(Q387="","",IFERROR(VALUE(TRIM(SUBSTITUTE(SUBSTITUTE(LOWER(Q387),"hrs",""),"hr",""))),"")))),IF(ISNUMBER(Q387),Q387,IF(Q387="","",IFERROR(VALUE(TRIM(SUBSTITUTE(SUBSTITUTE(LOWER(Q387),"hrs",""),"hr",""))),""))))</f>
        <v>90.75</v>
      </c>
      <c r="S387" s="57" t="n">
        <f aca="false">IFERROR(INDEX(RATES!$E$6:$E$28,MATCH(P387,RATES!$A$6:$A$28,0)),0)</f>
        <v>59.11</v>
      </c>
      <c r="T387" s="61" t="n">
        <f aca="false">IF(ISNUMBER(R387),R387,0)*S387</f>
        <v>5364.2325</v>
      </c>
      <c r="U387" s="61" t="n">
        <f aca="false">T387*INDEX(INPUTS!$H$10:$H$14,MATCH(B387,INPUTS!$A$10:$A$14,0))</f>
        <v>992.3830125</v>
      </c>
      <c r="V387" s="61" t="n">
        <f aca="false">N(STACK!K387)</f>
        <v>10320</v>
      </c>
      <c r="W387" s="61" t="n">
        <f aca="false">T387+U387+V387</f>
        <v>16676.6155125</v>
      </c>
      <c r="X387" s="61" t="n">
        <f aca="false">N(STACK!L387)</f>
        <v>0</v>
      </c>
      <c r="Y387" s="61" t="n">
        <f aca="false">W387-X387</f>
        <v>16676.6155125</v>
      </c>
      <c r="Z387" s="1" t="n">
        <f aca="false">N(STACK!J387)</f>
        <v>0</v>
      </c>
      <c r="AA387" s="1" t="str">
        <f aca="false">TRIM(IF(D387="UNMAPPED","Program not mapped. ","")&amp;IF(OR(K387="UNMAPPED",K387="UNASSIGNED"),"Category needs review. ","")&amp;IF(P387="UNMAPPED","Title not mapped. ","")&amp;IF(AND(P387&lt;&gt;"No staff time",R387=""),"Missing hours. ","")&amp;IF(M387="","Date not readable. ","")&amp;IF(N387="No","Outside fiscal year. ","")&amp;IF(AND(F387="Event",ISNUMBER(R387)),IF(R387&gt;12,"Event hours look high. ",""),"")&amp;IF(G387&gt;0,"See CONFIRM sheet.",""))</f>
        <v/>
      </c>
      <c r="AB387" s="1" t="n">
        <f aca="false">IF(N387="No",0,IF(REVIEW!O387=0,0,IF(G387&gt;0,IF(INDEX(CONFIRM!$J$5:$J$53,G387)&lt;&gt;"",INDEX(CONFIRM!$J$5:$J$53,G387),1),1)))</f>
        <v>1</v>
      </c>
      <c r="AC387" s="1" t="n">
        <f aca="false">IF(AB387=1,IF(COUNTIFS($B$5:B387,B387,$D$5:D387,D387,$AB$5:AB387,1)=1,1,0),0)</f>
        <v>0</v>
      </c>
    </row>
    <row r="388" customFormat="false" ht="15" hidden="false" customHeight="false" outlineLevel="0" collapsed="false">
      <c r="A388" s="48" t="str">
        <f aca="false">STACK!A388</f>
        <v>KVMC-0384</v>
      </c>
      <c r="B388" s="48" t="str">
        <f aca="false">STACK!B388</f>
        <v>KVMC</v>
      </c>
      <c r="C388" s="48" t="str">
        <f aca="false">STACK!E388</f>
        <v>Community Health Needs Assessment</v>
      </c>
      <c r="D388" s="1" t="str">
        <f aca="false">IFERROR(INDEX(MAP!$J$7:$J$101,MATCH(TRIM(C388),MAP!$I$7:$I$101,0)),"UNMAPPED")</f>
        <v>Community Health Needs Assessment</v>
      </c>
      <c r="E388" s="1" t="str">
        <f aca="false">IFERROR(INDEX(MAP!$K$7:$K$101,MATCH(TRIM(C388),MAP!$I$7:$I$101,0)),"")</f>
        <v>Community benefit infrastructure</v>
      </c>
      <c r="F388" s="1" t="str">
        <f aca="false">IFERROR(INDEX(MAP!$L$7:$L$101,MATCH(TRIM(C388),MAP!$I$7:$I$101,0)),"")</f>
        <v>Monthly</v>
      </c>
      <c r="G388" s="1" t="n">
        <f aca="false">IFERROR(MATCH(A388,CONFIRM!$A$5:$A$53,0),0)</f>
        <v>0</v>
      </c>
      <c r="H388" s="48" t="str">
        <f aca="false">STACK!F388</f>
        <v>CB Operations</v>
      </c>
      <c r="I388" s="1" t="str">
        <f aca="false">IF(G388&gt;0,IF(INDEX(CONFIRM!$I$5:$I$53,G388)&lt;&gt;"",INDEX(CONFIRM!$I$5:$I$53,G388),H388),H388)</f>
        <v>CB Operations</v>
      </c>
      <c r="J388" s="1" t="str">
        <f aca="false">IFERROR(INDEX(MAP!$F$7:$F$74,MATCH(TRIM(I388),MAP!$E$7:$E$74,0)),"UNMAPPED")</f>
        <v>Community benefit operations</v>
      </c>
      <c r="K388" s="1" t="str">
        <f aca="false">IFERROR(INDEX(MAP!$G$7:$G$74,MATCH(TRIM(I388),MAP!$E$7:$E$74,0)),"UNMAPPED")</f>
        <v>7e</v>
      </c>
      <c r="L388" s="49" t="n">
        <f aca="false">STACK!G388</f>
        <v>46112</v>
      </c>
      <c r="M388" s="59" t="n">
        <f aca="false">IF(G388&gt;0,IF(INDEX(CONFIRM!$G$5:$G$53,G388)&lt;&gt;"",INDEX(CONFIRM!$G$5:$G$53,G388),IF(ISNUMBER(L388),L388,IFERROR(DATEVALUE(L388),""))),IF(ISNUMBER(L388),L388,IFERROR(DATEVALUE(L388),"")))</f>
        <v>46112</v>
      </c>
      <c r="N388" s="1" t="str">
        <f aca="false">IF(M388="","Check",IF(AND(M388&gt;=INPUTS!$C$6,M388&lt;=INPUTS!$C$7),"Yes","No"))</f>
        <v>Yes</v>
      </c>
      <c r="O388" s="48" t="str">
        <f aca="false">STACK!H388</f>
        <v>Data Analyst</v>
      </c>
      <c r="P388" s="1" t="str">
        <f aca="false">IF(G388&gt;0,IF(INDEX(CONFIRM!$H$5:$H$53,G388)&lt;&gt;"",INDEX(CONFIRM!$H$5:$H$53,G388),IFERROR(INDEX(MAP!$B$7:$B$156,MATCH(TRIM(O388),MAP!$A$7:$A$156,0)),"UNMAPPED")),IFERROR(INDEX(MAP!$B$7:$B$156,MATCH(TRIM(O388),MAP!$A$7:$A$156,0)),"UNMAPPED"))</f>
        <v>Data Analyst</v>
      </c>
      <c r="Q388" s="48" t="n">
        <f aca="false">STACK!I388</f>
        <v>99.25</v>
      </c>
      <c r="R388" s="60" t="n">
        <f aca="false">IF(G388&gt;0,IF(INDEX(CONFIRM!$F$5:$F$53,G388)&lt;&gt;"",INDEX(CONFIRM!$F$5:$F$53,G388),IF(ISNUMBER(Q388),Q388,IF(Q388="","",IFERROR(VALUE(TRIM(SUBSTITUTE(SUBSTITUTE(LOWER(Q388),"hrs",""),"hr",""))),"")))),IF(ISNUMBER(Q388),Q388,IF(Q388="","",IFERROR(VALUE(TRIM(SUBSTITUTE(SUBSTITUTE(LOWER(Q388),"hrs",""),"hr",""))),""))))</f>
        <v>99.25</v>
      </c>
      <c r="S388" s="57" t="n">
        <f aca="false">IFERROR(INDEX(RATES!$E$6:$E$28,MATCH(P388,RATES!$A$6:$A$28,0)),0)</f>
        <v>48.83</v>
      </c>
      <c r="T388" s="61" t="n">
        <f aca="false">IF(ISNUMBER(R388),R388,0)*S388</f>
        <v>4846.3775</v>
      </c>
      <c r="U388" s="61" t="n">
        <f aca="false">T388*INDEX(INPUTS!$H$10:$H$14,MATCH(B388,INPUTS!$A$10:$A$14,0))</f>
        <v>896.5798375</v>
      </c>
      <c r="V388" s="61" t="n">
        <f aca="false">N(STACK!K388)</f>
        <v>0</v>
      </c>
      <c r="W388" s="61" t="n">
        <f aca="false">T388+U388+V388</f>
        <v>5742.9573375</v>
      </c>
      <c r="X388" s="61" t="n">
        <f aca="false">N(STACK!L388)</f>
        <v>0</v>
      </c>
      <c r="Y388" s="61" t="n">
        <f aca="false">W388-X388</f>
        <v>5742.9573375</v>
      </c>
      <c r="Z388" s="1" t="n">
        <f aca="false">N(STACK!J388)</f>
        <v>0</v>
      </c>
      <c r="AA388" s="1" t="str">
        <f aca="false">TRIM(IF(D388="UNMAPPED","Program not mapped. ","")&amp;IF(OR(K388="UNMAPPED",K388="UNASSIGNED"),"Category needs review. ","")&amp;IF(P388="UNMAPPED","Title not mapped. ","")&amp;IF(AND(P388&lt;&gt;"No staff time",R388=""),"Missing hours. ","")&amp;IF(M388="","Date not readable. ","")&amp;IF(N388="No","Outside fiscal year. ","")&amp;IF(AND(F388="Event",ISNUMBER(R388)),IF(R388&gt;12,"Event hours look high. ",""),"")&amp;IF(G388&gt;0,"See CONFIRM sheet.",""))</f>
        <v/>
      </c>
      <c r="AB388" s="1" t="n">
        <f aca="false">IF(N388="No",0,IF(REVIEW!O388=0,0,IF(G388&gt;0,IF(INDEX(CONFIRM!$J$5:$J$53,G388)&lt;&gt;"",INDEX(CONFIRM!$J$5:$J$53,G388),1),1)))</f>
        <v>1</v>
      </c>
      <c r="AC388" s="1" t="n">
        <f aca="false">IF(AB388=1,IF(COUNTIFS($B$5:B388,B388,$D$5:D388,D388,$AB$5:AB388,1)=1,1,0),0)</f>
        <v>0</v>
      </c>
    </row>
    <row r="389" customFormat="false" ht="15" hidden="false" customHeight="false" outlineLevel="0" collapsed="false">
      <c r="A389" s="48" t="str">
        <f aca="false">STACK!A389</f>
        <v>KVMC-0385</v>
      </c>
      <c r="B389" s="48" t="str">
        <f aca="false">STACK!B389</f>
        <v>KVMC</v>
      </c>
      <c r="C389" s="48" t="str">
        <f aca="false">STACK!E389</f>
        <v>Community Benefit Program Administration</v>
      </c>
      <c r="D389" s="1" t="str">
        <f aca="false">IFERROR(INDEX(MAP!$J$7:$J$101,MATCH(TRIM(C389),MAP!$I$7:$I$101,0)),"UNMAPPED")</f>
        <v>Community Benefit Program Administration</v>
      </c>
      <c r="E389" s="1" t="str">
        <f aca="false">IFERROR(INDEX(MAP!$K$7:$K$101,MATCH(TRIM(C389),MAP!$I$7:$I$101,0)),"")</f>
        <v>Community benefit infrastructure</v>
      </c>
      <c r="F389" s="1" t="str">
        <f aca="false">IFERROR(INDEX(MAP!$L$7:$L$101,MATCH(TRIM(C389),MAP!$I$7:$I$101,0)),"")</f>
        <v>Monthly</v>
      </c>
      <c r="G389" s="1" t="n">
        <f aca="false">IFERROR(MATCH(A389,CONFIRM!$A$5:$A$53,0),0)</f>
        <v>0</v>
      </c>
      <c r="H389" s="48" t="str">
        <f aca="false">STACK!F389</f>
        <v>CB Operations</v>
      </c>
      <c r="I389" s="1" t="str">
        <f aca="false">IF(G389&gt;0,IF(INDEX(CONFIRM!$I$5:$I$53,G389)&lt;&gt;"",INDEX(CONFIRM!$I$5:$I$53,G389),H389),H389)</f>
        <v>CB Operations</v>
      </c>
      <c r="J389" s="1" t="str">
        <f aca="false">IFERROR(INDEX(MAP!$F$7:$F$74,MATCH(TRIM(I389),MAP!$E$7:$E$74,0)),"UNMAPPED")</f>
        <v>Community benefit operations</v>
      </c>
      <c r="K389" s="1" t="str">
        <f aca="false">IFERROR(INDEX(MAP!$G$7:$G$74,MATCH(TRIM(I389),MAP!$E$7:$E$74,0)),"UNMAPPED")</f>
        <v>7e</v>
      </c>
      <c r="L389" s="49" t="n">
        <f aca="false">STACK!G389</f>
        <v>46112</v>
      </c>
      <c r="M389" s="59" t="n">
        <f aca="false">IF(G389&gt;0,IF(INDEX(CONFIRM!$G$5:$G$53,G389)&lt;&gt;"",INDEX(CONFIRM!$G$5:$G$53,G389),IF(ISNUMBER(L389),L389,IFERROR(DATEVALUE(L389),""))),IF(ISNUMBER(L389),L389,IFERROR(DATEVALUE(L389),"")))</f>
        <v>46112</v>
      </c>
      <c r="N389" s="1" t="str">
        <f aca="false">IF(M389="","Check",IF(AND(M389&gt;=INPUTS!$C$6,M389&lt;=INPUTS!$C$7),"Yes","No"))</f>
        <v>Yes</v>
      </c>
      <c r="O389" s="48" t="str">
        <f aca="false">STACK!H389</f>
        <v>Admin Asst</v>
      </c>
      <c r="P389" s="1" t="str">
        <f aca="false">IF(G389&gt;0,IF(INDEX(CONFIRM!$H$5:$H$53,G389)&lt;&gt;"",INDEX(CONFIRM!$H$5:$H$53,G389),IFERROR(INDEX(MAP!$B$7:$B$156,MATCH(TRIM(O389),MAP!$A$7:$A$156,0)),"UNMAPPED")),IFERROR(INDEX(MAP!$B$7:$B$156,MATCH(TRIM(O389),MAP!$A$7:$A$156,0)),"UNMAPPED"))</f>
        <v>Administrative Assistant</v>
      </c>
      <c r="Q389" s="48" t="n">
        <f aca="false">STACK!I389</f>
        <v>68.25</v>
      </c>
      <c r="R389" s="60" t="n">
        <f aca="false">IF(G389&gt;0,IF(INDEX(CONFIRM!$F$5:$F$53,G389)&lt;&gt;"",INDEX(CONFIRM!$F$5:$F$53,G389),IF(ISNUMBER(Q389),Q389,IF(Q389="","",IFERROR(VALUE(TRIM(SUBSTITUTE(SUBSTITUTE(LOWER(Q389),"hrs",""),"hr",""))),"")))),IF(ISNUMBER(Q389),Q389,IF(Q389="","",IFERROR(VALUE(TRIM(SUBSTITUTE(SUBSTITUTE(LOWER(Q389),"hrs",""),"hr",""))),""))))</f>
        <v>68.25</v>
      </c>
      <c r="S389" s="57" t="n">
        <f aca="false">IFERROR(INDEX(RATES!$E$6:$E$28,MATCH(P389,RATES!$A$6:$A$28,0)),0)</f>
        <v>26.985</v>
      </c>
      <c r="T389" s="61" t="n">
        <f aca="false">IF(ISNUMBER(R389),R389,0)*S389</f>
        <v>1841.72625</v>
      </c>
      <c r="U389" s="61" t="n">
        <f aca="false">T389*INDEX(INPUTS!$H$10:$H$14,MATCH(B389,INPUTS!$A$10:$A$14,0))</f>
        <v>340.71935625</v>
      </c>
      <c r="V389" s="61" t="n">
        <f aca="false">N(STACK!K389)</f>
        <v>0</v>
      </c>
      <c r="W389" s="61" t="n">
        <f aca="false">T389+U389+V389</f>
        <v>2182.44560625</v>
      </c>
      <c r="X389" s="61" t="n">
        <f aca="false">N(STACK!L389)</f>
        <v>0</v>
      </c>
      <c r="Y389" s="61" t="n">
        <f aca="false">W389-X389</f>
        <v>2182.44560625</v>
      </c>
      <c r="Z389" s="1" t="n">
        <f aca="false">N(STACK!J389)</f>
        <v>0</v>
      </c>
      <c r="AA389" s="1" t="str">
        <f aca="false">TRIM(IF(D389="UNMAPPED","Program not mapped. ","")&amp;IF(OR(K389="UNMAPPED",K389="UNASSIGNED"),"Category needs review. ","")&amp;IF(P389="UNMAPPED","Title not mapped. ","")&amp;IF(AND(P389&lt;&gt;"No staff time",R389=""),"Missing hours. ","")&amp;IF(M389="","Date not readable. ","")&amp;IF(N389="No","Outside fiscal year. ","")&amp;IF(AND(F389="Event",ISNUMBER(R389)),IF(R389&gt;12,"Event hours look high. ",""),"")&amp;IF(G389&gt;0,"See CONFIRM sheet.",""))</f>
        <v/>
      </c>
      <c r="AB389" s="1" t="n">
        <f aca="false">IF(N389="No",0,IF(REVIEW!O389=0,0,IF(G389&gt;0,IF(INDEX(CONFIRM!$J$5:$J$53,G389)&lt;&gt;"",INDEX(CONFIRM!$J$5:$J$53,G389),1),1)))</f>
        <v>1</v>
      </c>
      <c r="AC389" s="1" t="n">
        <f aca="false">IF(AB389=1,IF(COUNTIFS($B$5:B389,B389,$D$5:D389,D389,$AB$5:AB389,1)=1,1,0),0)</f>
        <v>0</v>
      </c>
    </row>
    <row r="390" customFormat="false" ht="15" hidden="false" customHeight="false" outlineLevel="0" collapsed="false">
      <c r="A390" s="48" t="str">
        <f aca="false">STACK!A390</f>
        <v>KVMC-0386</v>
      </c>
      <c r="B390" s="48" t="str">
        <f aca="false">STACK!B390</f>
        <v>KVMC</v>
      </c>
      <c r="C390" s="48" t="str">
        <f aca="false">STACK!E390</f>
        <v>Community Benefit Program Administration</v>
      </c>
      <c r="D390" s="1" t="str">
        <f aca="false">IFERROR(INDEX(MAP!$J$7:$J$101,MATCH(TRIM(C390),MAP!$I$7:$I$101,0)),"UNMAPPED")</f>
        <v>Community Benefit Program Administration</v>
      </c>
      <c r="E390" s="1" t="str">
        <f aca="false">IFERROR(INDEX(MAP!$K$7:$K$101,MATCH(TRIM(C390),MAP!$I$7:$I$101,0)),"")</f>
        <v>Community benefit infrastructure</v>
      </c>
      <c r="F390" s="1" t="str">
        <f aca="false">IFERROR(INDEX(MAP!$L$7:$L$101,MATCH(TRIM(C390),MAP!$I$7:$I$101,0)),"")</f>
        <v>Monthly</v>
      </c>
      <c r="G390" s="1" t="n">
        <f aca="false">IFERROR(MATCH(A390,CONFIRM!$A$5:$A$53,0),0)</f>
        <v>0</v>
      </c>
      <c r="H390" s="48" t="str">
        <f aca="false">STACK!F390</f>
        <v>CB Operations</v>
      </c>
      <c r="I390" s="1" t="str">
        <f aca="false">IF(G390&gt;0,IF(INDEX(CONFIRM!$I$5:$I$53,G390)&lt;&gt;"",INDEX(CONFIRM!$I$5:$I$53,G390),H390),H390)</f>
        <v>CB Operations</v>
      </c>
      <c r="J390" s="1" t="str">
        <f aca="false">IFERROR(INDEX(MAP!$F$7:$F$74,MATCH(TRIM(I390),MAP!$E$7:$E$74,0)),"UNMAPPED")</f>
        <v>Community benefit operations</v>
      </c>
      <c r="K390" s="1" t="str">
        <f aca="false">IFERROR(INDEX(MAP!$G$7:$G$74,MATCH(TRIM(I390),MAP!$E$7:$E$74,0)),"UNMAPPED")</f>
        <v>7e</v>
      </c>
      <c r="L390" s="49" t="n">
        <f aca="false">STACK!G390</f>
        <v>46112</v>
      </c>
      <c r="M390" s="59" t="n">
        <f aca="false">IF(G390&gt;0,IF(INDEX(CONFIRM!$G$5:$G$53,G390)&lt;&gt;"",INDEX(CONFIRM!$G$5:$G$53,G390),IF(ISNUMBER(L390),L390,IFERROR(DATEVALUE(L390),""))),IF(ISNUMBER(L390),L390,IFERROR(DATEVALUE(L390),"")))</f>
        <v>46112</v>
      </c>
      <c r="N390" s="1" t="str">
        <f aca="false">IF(M390="","Check",IF(AND(M390&gt;=INPUTS!$C$6,M390&lt;=INPUTS!$C$7),"Yes","No"))</f>
        <v>Yes</v>
      </c>
      <c r="O390" s="48" t="str">
        <f aca="false">STACK!H390</f>
        <v>Community Benefit Mgr</v>
      </c>
      <c r="P390" s="1" t="str">
        <f aca="false">IF(G390&gt;0,IF(INDEX(CONFIRM!$H$5:$H$53,G390)&lt;&gt;"",INDEX(CONFIRM!$H$5:$H$53,G390),IFERROR(INDEX(MAP!$B$7:$B$156,MATCH(TRIM(O390),MAP!$A$7:$A$156,0)),"UNMAPPED")),IFERROR(INDEX(MAP!$B$7:$B$156,MATCH(TRIM(O390),MAP!$A$7:$A$156,0)),"UNMAPPED"))</f>
        <v>Community Benefit Manager</v>
      </c>
      <c r="Q390" s="48" t="n">
        <f aca="false">STACK!I390</f>
        <v>80.25</v>
      </c>
      <c r="R390" s="60" t="n">
        <f aca="false">IF(G390&gt;0,IF(INDEX(CONFIRM!$F$5:$F$53,G390)&lt;&gt;"",INDEX(CONFIRM!$F$5:$F$53,G390),IF(ISNUMBER(Q390),Q390,IF(Q390="","",IFERROR(VALUE(TRIM(SUBSTITUTE(SUBSTITUTE(LOWER(Q390),"hrs",""),"hr",""))),"")))),IF(ISNUMBER(Q390),Q390,IF(Q390="","",IFERROR(VALUE(TRIM(SUBSTITUTE(SUBSTITUTE(LOWER(Q390),"hrs",""),"hr",""))),""))))</f>
        <v>80.25</v>
      </c>
      <c r="S390" s="57" t="n">
        <f aca="false">IFERROR(INDEX(RATES!$E$6:$E$28,MATCH(P390,RATES!$A$6:$A$28,0)),0)</f>
        <v>59.11</v>
      </c>
      <c r="T390" s="61" t="n">
        <f aca="false">IF(ISNUMBER(R390),R390,0)*S390</f>
        <v>4743.5775</v>
      </c>
      <c r="U390" s="61" t="n">
        <f aca="false">T390*INDEX(INPUTS!$H$10:$H$14,MATCH(B390,INPUTS!$A$10:$A$14,0))</f>
        <v>877.5618375</v>
      </c>
      <c r="V390" s="61" t="n">
        <f aca="false">N(STACK!K390)</f>
        <v>435</v>
      </c>
      <c r="W390" s="61" t="n">
        <f aca="false">T390+U390+V390</f>
        <v>6056.1393375</v>
      </c>
      <c r="X390" s="61" t="n">
        <f aca="false">N(STACK!L390)</f>
        <v>0</v>
      </c>
      <c r="Y390" s="61" t="n">
        <f aca="false">W390-X390</f>
        <v>6056.1393375</v>
      </c>
      <c r="Z390" s="1" t="n">
        <f aca="false">N(STACK!J390)</f>
        <v>0</v>
      </c>
      <c r="AA390" s="1" t="str">
        <f aca="false">TRIM(IF(D390="UNMAPPED","Program not mapped. ","")&amp;IF(OR(K390="UNMAPPED",K390="UNASSIGNED"),"Category needs review. ","")&amp;IF(P390="UNMAPPED","Title not mapped. ","")&amp;IF(AND(P390&lt;&gt;"No staff time",R390=""),"Missing hours. ","")&amp;IF(M390="","Date not readable. ","")&amp;IF(N390="No","Outside fiscal year. ","")&amp;IF(AND(F390="Event",ISNUMBER(R390)),IF(R390&gt;12,"Event hours look high. ",""),"")&amp;IF(G390&gt;0,"See CONFIRM sheet.",""))</f>
        <v/>
      </c>
      <c r="AB390" s="1" t="n">
        <f aca="false">IF(N390="No",0,IF(REVIEW!O390=0,0,IF(G390&gt;0,IF(INDEX(CONFIRM!$J$5:$J$53,G390)&lt;&gt;"",INDEX(CONFIRM!$J$5:$J$53,G390),1),1)))</f>
        <v>1</v>
      </c>
      <c r="AC390" s="1" t="n">
        <f aca="false">IF(AB390=1,IF(COUNTIFS($B$5:B390,B390,$D$5:D390,D390,$AB$5:AB390,1)=1,1,0),0)</f>
        <v>0</v>
      </c>
    </row>
    <row r="391" customFormat="false" ht="15" hidden="false" customHeight="false" outlineLevel="0" collapsed="false">
      <c r="A391" s="48" t="str">
        <f aca="false">STACK!A391</f>
        <v>KVMC-0387</v>
      </c>
      <c r="B391" s="48" t="str">
        <f aca="false">STACK!B391</f>
        <v>KVMC</v>
      </c>
      <c r="C391" s="48" t="str">
        <f aca="false">STACK!E391</f>
        <v>Interpreter Services for Community Clinics</v>
      </c>
      <c r="D391" s="1" t="str">
        <f aca="false">IFERROR(INDEX(MAP!$J$7:$J$101,MATCH(TRIM(C391),MAP!$I$7:$I$101,0)),"UNMAPPED")</f>
        <v>Interpreter Services for Community Clinics</v>
      </c>
      <c r="E391" s="1" t="str">
        <f aca="false">IFERROR(INDEX(MAP!$K$7:$K$101,MATCH(TRIM(C391),MAP!$I$7:$I$101,0)),"")</f>
        <v>Access to care</v>
      </c>
      <c r="F391" s="1" t="str">
        <f aca="false">IFERROR(INDEX(MAP!$L$7:$L$101,MATCH(TRIM(C391),MAP!$I$7:$I$101,0)),"")</f>
        <v>Monthly</v>
      </c>
      <c r="G391" s="1" t="n">
        <f aca="false">IFERROR(MATCH(A391,CONFIRM!$A$5:$A$53,0),0)</f>
        <v>0</v>
      </c>
      <c r="H391" s="48" t="str">
        <f aca="false">STACK!F391</f>
        <v>Health Care Support Services</v>
      </c>
      <c r="I391" s="1" t="str">
        <f aca="false">IF(G391&gt;0,IF(INDEX(CONFIRM!$I$5:$I$53,G391)&lt;&gt;"",INDEX(CONFIRM!$I$5:$I$53,G391),H391),H391)</f>
        <v>Health Care Support Services</v>
      </c>
      <c r="J391" s="1" t="str">
        <f aca="false">IFERROR(INDEX(MAP!$F$7:$F$74,MATCH(TRIM(I391),MAP!$E$7:$E$74,0)),"UNMAPPED")</f>
        <v>Health care support services</v>
      </c>
      <c r="K391" s="1" t="str">
        <f aca="false">IFERROR(INDEX(MAP!$G$7:$G$74,MATCH(TRIM(I391),MAP!$E$7:$E$74,0)),"UNMAPPED")</f>
        <v>7e</v>
      </c>
      <c r="L391" s="49" t="n">
        <f aca="false">STACK!G391</f>
        <v>46112</v>
      </c>
      <c r="M391" s="59" t="n">
        <f aca="false">IF(G391&gt;0,IF(INDEX(CONFIRM!$G$5:$G$53,G391)&lt;&gt;"",INDEX(CONFIRM!$G$5:$G$53,G391),IF(ISNUMBER(L391),L391,IFERROR(DATEVALUE(L391),""))),IF(ISNUMBER(L391),L391,IFERROR(DATEVALUE(L391),"")))</f>
        <v>46112</v>
      </c>
      <c r="N391" s="1" t="str">
        <f aca="false">IF(M391="","Check",IF(AND(M391&gt;=INPUTS!$C$6,M391&lt;=INPUTS!$C$7),"Yes","No"))</f>
        <v>Yes</v>
      </c>
      <c r="O391" s="48" t="str">
        <f aca="false">STACK!H391</f>
        <v> Language Services</v>
      </c>
      <c r="P391" s="1" t="str">
        <f aca="false">IF(G391&gt;0,IF(INDEX(CONFIRM!$H$5:$H$53,G391)&lt;&gt;"",INDEX(CONFIRM!$H$5:$H$53,G391),IFERROR(INDEX(MAP!$B$7:$B$156,MATCH(TRIM(O391),MAP!$A$7:$A$156,0)),"UNMAPPED")),IFERROR(INDEX(MAP!$B$7:$B$156,MATCH(TRIM(O391),MAP!$A$7:$A$156,0)),"UNMAPPED"))</f>
        <v>Interpreter</v>
      </c>
      <c r="Q391" s="48" t="n">
        <f aca="false">STACK!I391</f>
        <v>55.5</v>
      </c>
      <c r="R391" s="60" t="n">
        <f aca="false">IF(G391&gt;0,IF(INDEX(CONFIRM!$F$5:$F$53,G391)&lt;&gt;"",INDEX(CONFIRM!$F$5:$F$53,G391),IF(ISNUMBER(Q391),Q391,IF(Q391="","",IFERROR(VALUE(TRIM(SUBSTITUTE(SUBSTITUTE(LOWER(Q391),"hrs",""),"hr",""))),"")))),IF(ISNUMBER(Q391),Q391,IF(Q391="","",IFERROR(VALUE(TRIM(SUBSTITUTE(SUBSTITUTE(LOWER(Q391),"hrs",""),"hr",""))),""))))</f>
        <v>55.5</v>
      </c>
      <c r="S391" s="57" t="n">
        <f aca="false">IFERROR(INDEX(RATES!$E$6:$E$28,MATCH(P391,RATES!$A$6:$A$28,0)),0)</f>
        <v>32.7675</v>
      </c>
      <c r="T391" s="61" t="n">
        <f aca="false">IF(ISNUMBER(R391),R391,0)*S391</f>
        <v>1818.59625</v>
      </c>
      <c r="U391" s="61" t="n">
        <f aca="false">T391*INDEX(INPUTS!$H$10:$H$14,MATCH(B391,INPUTS!$A$10:$A$14,0))</f>
        <v>336.44030625</v>
      </c>
      <c r="V391" s="61" t="n">
        <f aca="false">N(STACK!K391)</f>
        <v>0</v>
      </c>
      <c r="W391" s="61" t="n">
        <f aca="false">T391+U391+V391</f>
        <v>2155.03655625</v>
      </c>
      <c r="X391" s="61" t="n">
        <f aca="false">N(STACK!L391)</f>
        <v>0</v>
      </c>
      <c r="Y391" s="61" t="n">
        <f aca="false">W391-X391</f>
        <v>2155.03655625</v>
      </c>
      <c r="Z391" s="1" t="n">
        <f aca="false">N(STACK!J391)</f>
        <v>133</v>
      </c>
      <c r="AA391" s="1" t="str">
        <f aca="false">TRIM(IF(D391="UNMAPPED","Program not mapped. ","")&amp;IF(OR(K391="UNMAPPED",K391="UNASSIGNED"),"Category needs review. ","")&amp;IF(P391="UNMAPPED","Title not mapped. ","")&amp;IF(AND(P391&lt;&gt;"No staff time",R391=""),"Missing hours. ","")&amp;IF(M391="","Date not readable. ","")&amp;IF(N391="No","Outside fiscal year. ","")&amp;IF(AND(F391="Event",ISNUMBER(R391)),IF(R391&gt;12,"Event hours look high. ",""),"")&amp;IF(G391&gt;0,"See CONFIRM sheet.",""))</f>
        <v/>
      </c>
      <c r="AB391" s="1" t="n">
        <f aca="false">IF(N391="No",0,IF(REVIEW!O391=0,0,IF(G391&gt;0,IF(INDEX(CONFIRM!$J$5:$J$53,G391)&lt;&gt;"",INDEX(CONFIRM!$J$5:$J$53,G391),1),1)))</f>
        <v>1</v>
      </c>
      <c r="AC391" s="1" t="n">
        <f aca="false">IF(AB391=1,IF(COUNTIFS($B$5:B391,B391,$D$5:D391,D391,$AB$5:AB391,1)=1,1,0),0)</f>
        <v>0</v>
      </c>
    </row>
    <row r="392" customFormat="false" ht="15" hidden="false" customHeight="false" outlineLevel="0" collapsed="false">
      <c r="A392" s="48" t="str">
        <f aca="false">STACK!A392</f>
        <v>KVMC-0388</v>
      </c>
      <c r="B392" s="48" t="str">
        <f aca="false">STACK!B392</f>
        <v>KVMC</v>
      </c>
      <c r="C392" s="48" t="str">
        <f aca="false">STACK!E392</f>
        <v>Nursing Student Clinical Rotations</v>
      </c>
      <c r="D392" s="1" t="str">
        <f aca="false">IFERROR(INDEX(MAP!$J$7:$J$101,MATCH(TRIM(C392),MAP!$I$7:$I$101,0)),"UNMAPPED")</f>
        <v>Nursing Student Clinical Rotations</v>
      </c>
      <c r="E392" s="1" t="str">
        <f aca="false">IFERROR(INDEX(MAP!$K$7:$K$101,MATCH(TRIM(C392),MAP!$I$7:$I$101,0)),"")</f>
        <v>Health workforce</v>
      </c>
      <c r="F392" s="1" t="str">
        <f aca="false">IFERROR(INDEX(MAP!$L$7:$L$101,MATCH(TRIM(C392),MAP!$I$7:$I$101,0)),"")</f>
        <v>Monthly</v>
      </c>
      <c r="G392" s="1" t="n">
        <f aca="false">IFERROR(MATCH(A392,CONFIRM!$A$5:$A$53,0),0)</f>
        <v>0</v>
      </c>
      <c r="H392" s="48" t="str">
        <f aca="false">STACK!F392</f>
        <v>Health Professions Education</v>
      </c>
      <c r="I392" s="1" t="str">
        <f aca="false">IF(G392&gt;0,IF(INDEX(CONFIRM!$I$5:$I$53,G392)&lt;&gt;"",INDEX(CONFIRM!$I$5:$I$53,G392),H392),H392)</f>
        <v>Health Professions Education</v>
      </c>
      <c r="J392" s="1" t="str">
        <f aca="false">IFERROR(INDEX(MAP!$F$7:$F$74,MATCH(TRIM(I392),MAP!$E$7:$E$74,0)),"UNMAPPED")</f>
        <v>Health professions education</v>
      </c>
      <c r="K392" s="1" t="str">
        <f aca="false">IFERROR(INDEX(MAP!$G$7:$G$74,MATCH(TRIM(I392),MAP!$E$7:$E$74,0)),"UNMAPPED")</f>
        <v>7f</v>
      </c>
      <c r="L392" s="49" t="n">
        <f aca="false">STACK!G392</f>
        <v>46112</v>
      </c>
      <c r="M392" s="59" t="n">
        <f aca="false">IF(G392&gt;0,IF(INDEX(CONFIRM!$G$5:$G$53,G392)&lt;&gt;"",INDEX(CONFIRM!$G$5:$G$53,G392),IF(ISNUMBER(L392),L392,IFERROR(DATEVALUE(L392),""))),IF(ISNUMBER(L392),L392,IFERROR(DATEVALUE(L392),"")))</f>
        <v>46112</v>
      </c>
      <c r="N392" s="1" t="str">
        <f aca="false">IF(M392="","Check",IF(AND(M392&gt;=INPUTS!$C$6,M392&lt;=INPUTS!$C$7),"Yes","No"))</f>
        <v>Yes</v>
      </c>
      <c r="O392" s="48" t="str">
        <f aca="false">STACK!H392</f>
        <v>Clinical Nurse Educator</v>
      </c>
      <c r="P392" s="1" t="str">
        <f aca="false">IF(G392&gt;0,IF(INDEX(CONFIRM!$H$5:$H$53,G392)&lt;&gt;"",INDEX(CONFIRM!$H$5:$H$53,G392),IFERROR(INDEX(MAP!$B$7:$B$156,MATCH(TRIM(O392),MAP!$A$7:$A$156,0)),"UNMAPPED")),IFERROR(INDEX(MAP!$B$7:$B$156,MATCH(TRIM(O392),MAP!$A$7:$A$156,0)),"UNMAPPED"))</f>
        <v>Clinical Nurse Educator</v>
      </c>
      <c r="Q392" s="48" t="n">
        <f aca="false">STACK!I392</f>
        <v>115.25</v>
      </c>
      <c r="R392" s="60" t="n">
        <f aca="false">IF(G392&gt;0,IF(INDEX(CONFIRM!$F$5:$F$53,G392)&lt;&gt;"",INDEX(CONFIRM!$F$5:$F$53,G392),IF(ISNUMBER(Q392),Q392,IF(Q392="","",IFERROR(VALUE(TRIM(SUBSTITUTE(SUBSTITUTE(LOWER(Q392),"hrs",""),"hr",""))),"")))),IF(ISNUMBER(Q392),Q392,IF(Q392="","",IFERROR(VALUE(TRIM(SUBSTITUTE(SUBSTITUTE(LOWER(Q392),"hrs",""),"hr",""))),""))))</f>
        <v>115.25</v>
      </c>
      <c r="S392" s="57" t="n">
        <f aca="false">IFERROR(INDEX(RATES!$E$6:$E$28,MATCH(P392,RATES!$A$6:$A$28,0)),0)</f>
        <v>62.965</v>
      </c>
      <c r="T392" s="61" t="n">
        <f aca="false">IF(ISNUMBER(R392),R392,0)*S392</f>
        <v>7256.71625</v>
      </c>
      <c r="U392" s="61" t="n">
        <f aca="false">T392*INDEX(INPUTS!$H$10:$H$14,MATCH(B392,INPUTS!$A$10:$A$14,0))</f>
        <v>1342.49250625</v>
      </c>
      <c r="V392" s="61" t="n">
        <f aca="false">N(STACK!K392)</f>
        <v>1325</v>
      </c>
      <c r="W392" s="61" t="n">
        <f aca="false">T392+U392+V392</f>
        <v>9924.20875625</v>
      </c>
      <c r="X392" s="61" t="n">
        <f aca="false">N(STACK!L392)</f>
        <v>0</v>
      </c>
      <c r="Y392" s="61" t="n">
        <f aca="false">W392-X392</f>
        <v>9924.20875625</v>
      </c>
      <c r="Z392" s="1" t="n">
        <f aca="false">N(STACK!J392)</f>
        <v>45</v>
      </c>
      <c r="AA392" s="1" t="str">
        <f aca="false">TRIM(IF(D392="UNMAPPED","Program not mapped. ","")&amp;IF(OR(K392="UNMAPPED",K392="UNASSIGNED"),"Category needs review. ","")&amp;IF(P392="UNMAPPED","Title not mapped. ","")&amp;IF(AND(P392&lt;&gt;"No staff time",R392=""),"Missing hours. ","")&amp;IF(M392="","Date not readable. ","")&amp;IF(N392="No","Outside fiscal year. ","")&amp;IF(AND(F392="Event",ISNUMBER(R392)),IF(R392&gt;12,"Event hours look high. ",""),"")&amp;IF(G392&gt;0,"See CONFIRM sheet.",""))</f>
        <v/>
      </c>
      <c r="AB392" s="1" t="n">
        <f aca="false">IF(N392="No",0,IF(REVIEW!O392=0,0,IF(G392&gt;0,IF(INDEX(CONFIRM!$J$5:$J$53,G392)&lt;&gt;"",INDEX(CONFIRM!$J$5:$J$53,G392),1),1)))</f>
        <v>1</v>
      </c>
      <c r="AC392" s="1" t="n">
        <f aca="false">IF(AB392=1,IF(COUNTIFS($B$5:B392,B392,$D$5:D392,D392,$AB$5:AB392,1)=1,1,0),0)</f>
        <v>0</v>
      </c>
    </row>
    <row r="393" customFormat="false" ht="15" hidden="false" customHeight="false" outlineLevel="0" collapsed="false">
      <c r="A393" s="48" t="str">
        <f aca="false">STACK!A393</f>
        <v>KVMC-0389</v>
      </c>
      <c r="B393" s="48" t="str">
        <f aca="false">STACK!B393</f>
        <v>KVMC</v>
      </c>
      <c r="C393" s="48" t="str">
        <f aca="false">STACK!E393</f>
        <v>Nursing Student Clinical Rotations</v>
      </c>
      <c r="D393" s="1" t="str">
        <f aca="false">IFERROR(INDEX(MAP!$J$7:$J$101,MATCH(TRIM(C393),MAP!$I$7:$I$101,0)),"UNMAPPED")</f>
        <v>Nursing Student Clinical Rotations</v>
      </c>
      <c r="E393" s="1" t="str">
        <f aca="false">IFERROR(INDEX(MAP!$K$7:$K$101,MATCH(TRIM(C393),MAP!$I$7:$I$101,0)),"")</f>
        <v>Health workforce</v>
      </c>
      <c r="F393" s="1" t="str">
        <f aca="false">IFERROR(INDEX(MAP!$L$7:$L$101,MATCH(TRIM(C393),MAP!$I$7:$I$101,0)),"")</f>
        <v>Monthly</v>
      </c>
      <c r="G393" s="1" t="n">
        <f aca="false">IFERROR(MATCH(A393,CONFIRM!$A$5:$A$53,0),0)</f>
        <v>0</v>
      </c>
      <c r="H393" s="48" t="str">
        <f aca="false">STACK!F393</f>
        <v>Health Professions Education</v>
      </c>
      <c r="I393" s="1" t="str">
        <f aca="false">IF(G393&gt;0,IF(INDEX(CONFIRM!$I$5:$I$53,G393)&lt;&gt;"",INDEX(CONFIRM!$I$5:$I$53,G393),H393),H393)</f>
        <v>Health Professions Education</v>
      </c>
      <c r="J393" s="1" t="str">
        <f aca="false">IFERROR(INDEX(MAP!$F$7:$F$74,MATCH(TRIM(I393),MAP!$E$7:$E$74,0)),"UNMAPPED")</f>
        <v>Health professions education</v>
      </c>
      <c r="K393" s="1" t="str">
        <f aca="false">IFERROR(INDEX(MAP!$G$7:$G$74,MATCH(TRIM(I393),MAP!$E$7:$E$74,0)),"UNMAPPED")</f>
        <v>7f</v>
      </c>
      <c r="L393" s="49" t="n">
        <f aca="false">STACK!G393</f>
        <v>46112</v>
      </c>
      <c r="M393" s="59" t="n">
        <f aca="false">IF(G393&gt;0,IF(INDEX(CONFIRM!$G$5:$G$53,G393)&lt;&gt;"",INDEX(CONFIRM!$G$5:$G$53,G393),IF(ISNUMBER(L393),L393,IFERROR(DATEVALUE(L393),""))),IF(ISNUMBER(L393),L393,IFERROR(DATEVALUE(L393),"")))</f>
        <v>46112</v>
      </c>
      <c r="N393" s="1" t="str">
        <f aca="false">IF(M393="","Check",IF(AND(M393&gt;=INPUTS!$C$6,M393&lt;=INPUTS!$C$7),"Yes","No"))</f>
        <v>Yes</v>
      </c>
      <c r="O393" s="48" t="str">
        <f aca="false">STACK!H393</f>
        <v>RN III</v>
      </c>
      <c r="P393" s="1" t="str">
        <f aca="false">IF(G393&gt;0,IF(INDEX(CONFIRM!$H$5:$H$53,G393)&lt;&gt;"",INDEX(CONFIRM!$H$5:$H$53,G393),IFERROR(INDEX(MAP!$B$7:$B$156,MATCH(TRIM(O393),MAP!$A$7:$A$156,0)),"UNMAPPED")),IFERROR(INDEX(MAP!$B$7:$B$156,MATCH(TRIM(O393),MAP!$A$7:$A$156,0)),"UNMAPPED"))</f>
        <v>Registered Nurse</v>
      </c>
      <c r="Q393" s="48" t="n">
        <f aca="false">STACK!I393</f>
        <v>311.25</v>
      </c>
      <c r="R393" s="60" t="n">
        <f aca="false">IF(G393&gt;0,IF(INDEX(CONFIRM!$F$5:$F$53,G393)&lt;&gt;"",INDEX(CONFIRM!$F$5:$F$53,G393),IF(ISNUMBER(Q393),Q393,IF(Q393="","",IFERROR(VALUE(TRIM(SUBSTITUTE(SUBSTITUTE(LOWER(Q393),"hrs",""),"hr",""))),"")))),IF(ISNUMBER(Q393),Q393,IF(Q393="","",IFERROR(VALUE(TRIM(SUBSTITUTE(SUBSTITUTE(LOWER(Q393),"hrs",""),"hr",""))),""))))</f>
        <v>311.25</v>
      </c>
      <c r="S393" s="57" t="n">
        <f aca="false">IFERROR(INDEX(RATES!$E$6:$E$28,MATCH(P393,RATES!$A$6:$A$28,0)),0)</f>
        <v>55.8975</v>
      </c>
      <c r="T393" s="61" t="n">
        <f aca="false">IF(ISNUMBER(R393),R393,0)*S393</f>
        <v>17398.096875</v>
      </c>
      <c r="U393" s="61" t="n">
        <f aca="false">T393*INDEX(INPUTS!$H$10:$H$14,MATCH(B393,INPUTS!$A$10:$A$14,0))</f>
        <v>3218.647921875</v>
      </c>
      <c r="V393" s="61" t="n">
        <f aca="false">N(STACK!K393)</f>
        <v>0</v>
      </c>
      <c r="W393" s="61" t="n">
        <f aca="false">T393+U393+V393</f>
        <v>20616.744796875</v>
      </c>
      <c r="X393" s="61" t="n">
        <f aca="false">N(STACK!L393)</f>
        <v>0</v>
      </c>
      <c r="Y393" s="61" t="n">
        <f aca="false">W393-X393</f>
        <v>20616.744796875</v>
      </c>
      <c r="Z393" s="1" t="n">
        <f aca="false">N(STACK!J393)</f>
        <v>0</v>
      </c>
      <c r="AA393" s="1" t="str">
        <f aca="false">TRIM(IF(D393="UNMAPPED","Program not mapped. ","")&amp;IF(OR(K393="UNMAPPED",K393="UNASSIGNED"),"Category needs review. ","")&amp;IF(P393="UNMAPPED","Title not mapped. ","")&amp;IF(AND(P393&lt;&gt;"No staff time",R393=""),"Missing hours. ","")&amp;IF(M393="","Date not readable. ","")&amp;IF(N393="No","Outside fiscal year. ","")&amp;IF(AND(F393="Event",ISNUMBER(R393)),IF(R393&gt;12,"Event hours look high. ",""),"")&amp;IF(G393&gt;0,"See CONFIRM sheet.",""))</f>
        <v/>
      </c>
      <c r="AB393" s="1" t="n">
        <f aca="false">IF(N393="No",0,IF(REVIEW!O393=0,0,IF(G393&gt;0,IF(INDEX(CONFIRM!$J$5:$J$53,G393)&lt;&gt;"",INDEX(CONFIRM!$J$5:$J$53,G393),1),1)))</f>
        <v>1</v>
      </c>
      <c r="AC393" s="1" t="n">
        <f aca="false">IF(AB393=1,IF(COUNTIFS($B$5:B393,B393,$D$5:D393,D393,$AB$5:AB393,1)=1,1,0),0)</f>
        <v>0</v>
      </c>
    </row>
    <row r="394" customFormat="false" ht="15" hidden="false" customHeight="false" outlineLevel="0" collapsed="false">
      <c r="A394" s="48" t="str">
        <f aca="false">STACK!A394</f>
        <v>KVMC-0390</v>
      </c>
      <c r="B394" s="48" t="str">
        <f aca="false">STACK!B394</f>
        <v>KVMC</v>
      </c>
      <c r="C394" s="48" t="str">
        <f aca="false">STACK!E394</f>
        <v>Family Medicine Residency Program</v>
      </c>
      <c r="D394" s="1" t="str">
        <f aca="false">IFERROR(INDEX(MAP!$J$7:$J$101,MATCH(TRIM(C394),MAP!$I$7:$I$101,0)),"UNMAPPED")</f>
        <v>Family Medicine Residency Program</v>
      </c>
      <c r="E394" s="1" t="str">
        <f aca="false">IFERROR(INDEX(MAP!$K$7:$K$101,MATCH(TRIM(C394),MAP!$I$7:$I$101,0)),"")</f>
        <v>Health workforce</v>
      </c>
      <c r="F394" s="1" t="str">
        <f aca="false">IFERROR(INDEX(MAP!$L$7:$L$101,MATCH(TRIM(C394),MAP!$I$7:$I$101,0)),"")</f>
        <v>Monthly</v>
      </c>
      <c r="G394" s="1" t="n">
        <f aca="false">IFERROR(MATCH(A394,CONFIRM!$A$5:$A$53,0),0)</f>
        <v>0</v>
      </c>
      <c r="H394" s="48" t="str">
        <f aca="false">STACK!F394</f>
        <v>Health Professions Education</v>
      </c>
      <c r="I394" s="1" t="str">
        <f aca="false">IF(G394&gt;0,IF(INDEX(CONFIRM!$I$5:$I$53,G394)&lt;&gt;"",INDEX(CONFIRM!$I$5:$I$53,G394),H394),H394)</f>
        <v>Health Professions Education</v>
      </c>
      <c r="J394" s="1" t="str">
        <f aca="false">IFERROR(INDEX(MAP!$F$7:$F$74,MATCH(TRIM(I394),MAP!$E$7:$E$74,0)),"UNMAPPED")</f>
        <v>Health professions education</v>
      </c>
      <c r="K394" s="1" t="str">
        <f aca="false">IFERROR(INDEX(MAP!$G$7:$G$74,MATCH(TRIM(I394),MAP!$E$7:$E$74,0)),"UNMAPPED")</f>
        <v>7f</v>
      </c>
      <c r="L394" s="49" t="n">
        <f aca="false">STACK!G394</f>
        <v>46112</v>
      </c>
      <c r="M394" s="59" t="n">
        <f aca="false">IF(G394&gt;0,IF(INDEX(CONFIRM!$G$5:$G$53,G394)&lt;&gt;"",INDEX(CONFIRM!$G$5:$G$53,G394),IF(ISNUMBER(L394),L394,IFERROR(DATEVALUE(L394),""))),IF(ISNUMBER(L394),L394,IFERROR(DATEVALUE(L394),"")))</f>
        <v>46112</v>
      </c>
      <c r="N394" s="1" t="str">
        <f aca="false">IF(M394="","Check",IF(AND(M394&gt;=INPUTS!$C$6,M394&lt;=INPUTS!$C$7),"Yes","No"))</f>
        <v>Yes</v>
      </c>
      <c r="O394" s="48" t="str">
        <f aca="false">STACK!H394</f>
        <v>Dr.</v>
      </c>
      <c r="P394" s="1" t="str">
        <f aca="false">IF(G394&gt;0,IF(INDEX(CONFIRM!$H$5:$H$53,G394)&lt;&gt;"",INDEX(CONFIRM!$H$5:$H$53,G394),IFERROR(INDEX(MAP!$B$7:$B$156,MATCH(TRIM(O394),MAP!$A$7:$A$156,0)),"UNMAPPED")),IFERROR(INDEX(MAP!$B$7:$B$156,MATCH(TRIM(O394),MAP!$A$7:$A$156,0)),"UNMAPPED"))</f>
        <v>Physician</v>
      </c>
      <c r="Q394" s="48" t="n">
        <f aca="false">STACK!I394</f>
        <v>384.75</v>
      </c>
      <c r="R394" s="60" t="n">
        <f aca="false">IF(G394&gt;0,IF(INDEX(CONFIRM!$F$5:$F$53,G394)&lt;&gt;"",INDEX(CONFIRM!$F$5:$F$53,G394),IF(ISNUMBER(Q394),Q394,IF(Q394="","",IFERROR(VALUE(TRIM(SUBSTITUTE(SUBSTITUTE(LOWER(Q394),"hrs",""),"hr",""))),"")))),IF(ISNUMBER(Q394),Q394,IF(Q394="","",IFERROR(VALUE(TRIM(SUBSTITUTE(SUBSTITUTE(LOWER(Q394),"hrs",""),"hr",""))),""))))</f>
        <v>384.75</v>
      </c>
      <c r="S394" s="57" t="n">
        <f aca="false">IFERROR(INDEX(RATES!$E$6:$E$28,MATCH(P394,RATES!$A$6:$A$28,0)),0)</f>
        <v>151.63</v>
      </c>
      <c r="T394" s="61" t="n">
        <f aca="false">IF(ISNUMBER(R394),R394,0)*S394</f>
        <v>58339.6425</v>
      </c>
      <c r="U394" s="61" t="n">
        <f aca="false">T394*INDEX(INPUTS!$H$10:$H$14,MATCH(B394,INPUTS!$A$10:$A$14,0))</f>
        <v>10792.8338625</v>
      </c>
      <c r="V394" s="61" t="n">
        <f aca="false">N(STACK!K394)</f>
        <v>43920</v>
      </c>
      <c r="W394" s="61" t="n">
        <f aca="false">T394+U394+V394</f>
        <v>113052.4763625</v>
      </c>
      <c r="X394" s="61" t="n">
        <f aca="false">N(STACK!L394)</f>
        <v>165325</v>
      </c>
      <c r="Y394" s="61" t="n">
        <f aca="false">W394-X394</f>
        <v>-52272.5236375</v>
      </c>
      <c r="Z394" s="1" t="n">
        <f aca="false">N(STACK!J394)</f>
        <v>0</v>
      </c>
      <c r="AA394" s="1" t="str">
        <f aca="false">TRIM(IF(D394="UNMAPPED","Program not mapped. ","")&amp;IF(OR(K394="UNMAPPED",K394="UNASSIGNED"),"Category needs review. ","")&amp;IF(P394="UNMAPPED","Title not mapped. ","")&amp;IF(AND(P394&lt;&gt;"No staff time",R394=""),"Missing hours. ","")&amp;IF(M394="","Date not readable. ","")&amp;IF(N394="No","Outside fiscal year. ","")&amp;IF(AND(F394="Event",ISNUMBER(R394)),IF(R394&gt;12,"Event hours look high. ",""),"")&amp;IF(G394&gt;0,"See CONFIRM sheet.",""))</f>
        <v/>
      </c>
      <c r="AB394" s="1" t="n">
        <f aca="false">IF(N394="No",0,IF(REVIEW!O394=0,0,IF(G394&gt;0,IF(INDEX(CONFIRM!$J$5:$J$53,G394)&lt;&gt;"",INDEX(CONFIRM!$J$5:$J$53,G394),1),1)))</f>
        <v>1</v>
      </c>
      <c r="AC394" s="1" t="n">
        <f aca="false">IF(AB394=1,IF(COUNTIFS($B$5:B394,B394,$D$5:D394,D394,$AB$5:AB394,1)=1,1,0),0)</f>
        <v>0</v>
      </c>
    </row>
    <row r="395" customFormat="false" ht="15" hidden="false" customHeight="false" outlineLevel="0" collapsed="false">
      <c r="A395" s="48" t="str">
        <f aca="false">STACK!A395</f>
        <v>KVMC-0391</v>
      </c>
      <c r="B395" s="48" t="str">
        <f aca="false">STACK!B395</f>
        <v>KVMC</v>
      </c>
      <c r="C395" s="48" t="str">
        <f aca="false">STACK!E395</f>
        <v>Family Medicine Residency Program</v>
      </c>
      <c r="D395" s="1" t="str">
        <f aca="false">IFERROR(INDEX(MAP!$J$7:$J$101,MATCH(TRIM(C395),MAP!$I$7:$I$101,0)),"UNMAPPED")</f>
        <v>Family Medicine Residency Program</v>
      </c>
      <c r="E395" s="1" t="str">
        <f aca="false">IFERROR(INDEX(MAP!$K$7:$K$101,MATCH(TRIM(C395),MAP!$I$7:$I$101,0)),"")</f>
        <v>Health workforce</v>
      </c>
      <c r="F395" s="1" t="str">
        <f aca="false">IFERROR(INDEX(MAP!$L$7:$L$101,MATCH(TRIM(C395),MAP!$I$7:$I$101,0)),"")</f>
        <v>Monthly</v>
      </c>
      <c r="G395" s="1" t="n">
        <f aca="false">IFERROR(MATCH(A395,CONFIRM!$A$5:$A$53,0),0)</f>
        <v>0</v>
      </c>
      <c r="H395" s="48" t="str">
        <f aca="false">STACK!F395</f>
        <v>Health Professions Education</v>
      </c>
      <c r="I395" s="1" t="str">
        <f aca="false">IF(G395&gt;0,IF(INDEX(CONFIRM!$I$5:$I$53,G395)&lt;&gt;"",INDEX(CONFIRM!$I$5:$I$53,G395),H395),H395)</f>
        <v>Health Professions Education</v>
      </c>
      <c r="J395" s="1" t="str">
        <f aca="false">IFERROR(INDEX(MAP!$F$7:$F$74,MATCH(TRIM(I395),MAP!$E$7:$E$74,0)),"UNMAPPED")</f>
        <v>Health professions education</v>
      </c>
      <c r="K395" s="1" t="str">
        <f aca="false">IFERROR(INDEX(MAP!$G$7:$G$74,MATCH(TRIM(I395),MAP!$E$7:$E$74,0)),"UNMAPPED")</f>
        <v>7f</v>
      </c>
      <c r="L395" s="49" t="n">
        <f aca="false">STACK!G395</f>
        <v>46112</v>
      </c>
      <c r="M395" s="59" t="n">
        <f aca="false">IF(G395&gt;0,IF(INDEX(CONFIRM!$G$5:$G$53,G395)&lt;&gt;"",INDEX(CONFIRM!$G$5:$G$53,G395),IF(ISNUMBER(L395),L395,IFERROR(DATEVALUE(L395),""))),IF(ISNUMBER(L395),L395,IFERROR(DATEVALUE(L395),"")))</f>
        <v>46112</v>
      </c>
      <c r="N395" s="1" t="str">
        <f aca="false">IF(M395="","Check",IF(AND(M395&gt;=INPUTS!$C$6,M395&lt;=INPUTS!$C$7),"Yes","No"))</f>
        <v>Yes</v>
      </c>
      <c r="O395" s="48" t="str">
        <f aca="false">STACK!H395</f>
        <v>Outreach Coordinator</v>
      </c>
      <c r="P395" s="1" t="str">
        <f aca="false">IF(G395&gt;0,IF(INDEX(CONFIRM!$H$5:$H$53,G395)&lt;&gt;"",INDEX(CONFIRM!$H$5:$H$53,G395),IFERROR(INDEX(MAP!$B$7:$B$156,MATCH(TRIM(O395),MAP!$A$7:$A$156,0)),"UNMAPPED")),IFERROR(INDEX(MAP!$B$7:$B$156,MATCH(TRIM(O395),MAP!$A$7:$A$156,0)),"UNMAPPED"))</f>
        <v>Program Coordinator</v>
      </c>
      <c r="Q395" s="48" t="n">
        <f aca="false">STACK!I395</f>
        <v>174.25</v>
      </c>
      <c r="R395" s="60" t="n">
        <f aca="false">IF(G395&gt;0,IF(INDEX(CONFIRM!$F$5:$F$53,G395)&lt;&gt;"",INDEX(CONFIRM!$F$5:$F$53,G395),IF(ISNUMBER(Q395),Q395,IF(Q395="","",IFERROR(VALUE(TRIM(SUBSTITUTE(SUBSTITUTE(LOWER(Q395),"hrs",""),"hr",""))),"")))),IF(ISNUMBER(Q395),Q395,IF(Q395="","",IFERROR(VALUE(TRIM(SUBSTITUTE(SUBSTITUTE(LOWER(Q395),"hrs",""),"hr",""))),""))))</f>
        <v>174.25</v>
      </c>
      <c r="S395" s="57" t="n">
        <f aca="false">IFERROR(INDEX(RATES!$E$6:$E$28,MATCH(P395,RATES!$A$6:$A$28,0)),0)</f>
        <v>35.3375</v>
      </c>
      <c r="T395" s="61" t="n">
        <f aca="false">IF(ISNUMBER(R395),R395,0)*S395</f>
        <v>6157.559375</v>
      </c>
      <c r="U395" s="61" t="n">
        <f aca="false">T395*INDEX(INPUTS!$H$10:$H$14,MATCH(B395,INPUTS!$A$10:$A$14,0))</f>
        <v>1139.148484375</v>
      </c>
      <c r="V395" s="61" t="n">
        <f aca="false">N(STACK!K395)</f>
        <v>0</v>
      </c>
      <c r="W395" s="61" t="n">
        <f aca="false">T395+U395+V395</f>
        <v>7296.707859375</v>
      </c>
      <c r="X395" s="61" t="n">
        <f aca="false">N(STACK!L395)</f>
        <v>0</v>
      </c>
      <c r="Y395" s="61" t="n">
        <f aca="false">W395-X395</f>
        <v>7296.707859375</v>
      </c>
      <c r="Z395" s="1" t="n">
        <f aca="false">N(STACK!J395)</f>
        <v>0</v>
      </c>
      <c r="AA395" s="1" t="str">
        <f aca="false">TRIM(IF(D395="UNMAPPED","Program not mapped. ","")&amp;IF(OR(K395="UNMAPPED",K395="UNASSIGNED"),"Category needs review. ","")&amp;IF(P395="UNMAPPED","Title not mapped. ","")&amp;IF(AND(P395&lt;&gt;"No staff time",R395=""),"Missing hours. ","")&amp;IF(M395="","Date not readable. ","")&amp;IF(N395="No","Outside fiscal year. ","")&amp;IF(AND(F395="Event",ISNUMBER(R395)),IF(R395&gt;12,"Event hours look high. ",""),"")&amp;IF(G395&gt;0,"See CONFIRM sheet.",""))</f>
        <v/>
      </c>
      <c r="AB395" s="1" t="n">
        <f aca="false">IF(N395="No",0,IF(REVIEW!O395=0,0,IF(G395&gt;0,IF(INDEX(CONFIRM!$J$5:$J$53,G395)&lt;&gt;"",INDEX(CONFIRM!$J$5:$J$53,G395),1),1)))</f>
        <v>1</v>
      </c>
      <c r="AC395" s="1" t="n">
        <f aca="false">IF(AB395=1,IF(COUNTIFS($B$5:B395,B395,$D$5:D395,D395,$AB$5:AB395,1)=1,1,0),0)</f>
        <v>0</v>
      </c>
    </row>
    <row r="396" customFormat="false" ht="15" hidden="false" customHeight="false" outlineLevel="0" collapsed="false">
      <c r="A396" s="48" t="str">
        <f aca="false">STACK!A396</f>
        <v>KVMC-0392</v>
      </c>
      <c r="B396" s="48" t="str">
        <f aca="false">STACK!B396</f>
        <v>KVMC</v>
      </c>
      <c r="C396" s="48" t="str">
        <f aca="false">STACK!E396</f>
        <v>Family Medicine Residency Program</v>
      </c>
      <c r="D396" s="1" t="str">
        <f aca="false">IFERROR(INDEX(MAP!$J$7:$J$101,MATCH(TRIM(C396),MAP!$I$7:$I$101,0)),"UNMAPPED")</f>
        <v>Family Medicine Residency Program</v>
      </c>
      <c r="E396" s="1" t="str">
        <f aca="false">IFERROR(INDEX(MAP!$K$7:$K$101,MATCH(TRIM(C396),MAP!$I$7:$I$101,0)),"")</f>
        <v>Health workforce</v>
      </c>
      <c r="F396" s="1" t="str">
        <f aca="false">IFERROR(INDEX(MAP!$L$7:$L$101,MATCH(TRIM(C396),MAP!$I$7:$I$101,0)),"")</f>
        <v>Monthly</v>
      </c>
      <c r="G396" s="1" t="n">
        <f aca="false">IFERROR(MATCH(A396,CONFIRM!$A$5:$A$53,0),0)</f>
        <v>0</v>
      </c>
      <c r="H396" s="48" t="str">
        <f aca="false">STACK!F396</f>
        <v>Health Professions Education</v>
      </c>
      <c r="I396" s="1" t="str">
        <f aca="false">IF(G396&gt;0,IF(INDEX(CONFIRM!$I$5:$I$53,G396)&lt;&gt;"",INDEX(CONFIRM!$I$5:$I$53,G396),H396),H396)</f>
        <v>Health Professions Education</v>
      </c>
      <c r="J396" s="1" t="str">
        <f aca="false">IFERROR(INDEX(MAP!$F$7:$F$74,MATCH(TRIM(I396),MAP!$E$7:$E$74,0)),"UNMAPPED")</f>
        <v>Health professions education</v>
      </c>
      <c r="K396" s="1" t="str">
        <f aca="false">IFERROR(INDEX(MAP!$G$7:$G$74,MATCH(TRIM(I396),MAP!$E$7:$E$74,0)),"UNMAPPED")</f>
        <v>7f</v>
      </c>
      <c r="L396" s="49" t="n">
        <f aca="false">STACK!G396</f>
        <v>46112</v>
      </c>
      <c r="M396" s="59" t="n">
        <f aca="false">IF(G396&gt;0,IF(INDEX(CONFIRM!$G$5:$G$53,G396)&lt;&gt;"",INDEX(CONFIRM!$G$5:$G$53,G396),IF(ISNUMBER(L396),L396,IFERROR(DATEVALUE(L396),""))),IF(ISNUMBER(L396),L396,IFERROR(DATEVALUE(L396),"")))</f>
        <v>46112</v>
      </c>
      <c r="N396" s="1" t="str">
        <f aca="false">IF(M396="","Check",IF(AND(M396&gt;=INPUTS!$C$6,M396&lt;=INPUTS!$C$7),"Yes","No"))</f>
        <v>Yes</v>
      </c>
      <c r="O396" s="48" t="str">
        <f aca="false">STACK!H396</f>
        <v>PGY-1</v>
      </c>
      <c r="P396" s="1" t="str">
        <f aca="false">IF(G396&gt;0,IF(INDEX(CONFIRM!$H$5:$H$53,G396)&lt;&gt;"",INDEX(CONFIRM!$H$5:$H$53,G396),IFERROR(INDEX(MAP!$B$7:$B$156,MATCH(TRIM(O396),MAP!$A$7:$A$156,0)),"UNMAPPED")),IFERROR(INDEX(MAP!$B$7:$B$156,MATCH(TRIM(O396),MAP!$A$7:$A$156,0)),"UNMAPPED"))</f>
        <v>Resident Physician</v>
      </c>
      <c r="Q396" s="48" t="n">
        <f aca="false">STACK!I396</f>
        <v>4146.75</v>
      </c>
      <c r="R396" s="60" t="n">
        <f aca="false">IF(G396&gt;0,IF(INDEX(CONFIRM!$F$5:$F$53,G396)&lt;&gt;"",INDEX(CONFIRM!$F$5:$F$53,G396),IF(ISNUMBER(Q396),Q396,IF(Q396="","",IFERROR(VALUE(TRIM(SUBSTITUTE(SUBSTITUTE(LOWER(Q396),"hrs",""),"hr",""))),"")))),IF(ISNUMBER(Q396),Q396,IF(Q396="","",IFERROR(VALUE(TRIM(SUBSTITUTE(SUBSTITUTE(LOWER(Q396),"hrs",""),"hr",""))),""))))</f>
        <v>4146.75</v>
      </c>
      <c r="S396" s="57" t="n">
        <f aca="false">IFERROR(INDEX(RATES!$E$6:$E$28,MATCH(P396,RATES!$A$6:$A$28,0)),0)</f>
        <v>38.43</v>
      </c>
      <c r="T396" s="61" t="n">
        <f aca="false">IF(ISNUMBER(R396),R396,0)*S396</f>
        <v>159359.6025</v>
      </c>
      <c r="U396" s="61" t="n">
        <f aca="false">T396*INDEX(INPUTS!$H$10:$H$14,MATCH(B396,INPUTS!$A$10:$A$14,0))</f>
        <v>29481.5264625</v>
      </c>
      <c r="V396" s="61" t="n">
        <f aca="false">N(STACK!K396)</f>
        <v>0</v>
      </c>
      <c r="W396" s="61" t="n">
        <f aca="false">T396+U396+V396</f>
        <v>188841.1289625</v>
      </c>
      <c r="X396" s="61" t="n">
        <f aca="false">N(STACK!L396)</f>
        <v>0</v>
      </c>
      <c r="Y396" s="61" t="n">
        <f aca="false">W396-X396</f>
        <v>188841.1289625</v>
      </c>
      <c r="Z396" s="1" t="n">
        <f aca="false">N(STACK!J396)</f>
        <v>0</v>
      </c>
      <c r="AA396" s="1" t="str">
        <f aca="false">TRIM(IF(D396="UNMAPPED","Program not mapped. ","")&amp;IF(OR(K396="UNMAPPED",K396="UNASSIGNED"),"Category needs review. ","")&amp;IF(P396="UNMAPPED","Title not mapped. ","")&amp;IF(AND(P396&lt;&gt;"No staff time",R396=""),"Missing hours. ","")&amp;IF(M396="","Date not readable. ","")&amp;IF(N396="No","Outside fiscal year. ","")&amp;IF(AND(F396="Event",ISNUMBER(R396)),IF(R396&gt;12,"Event hours look high. ",""),"")&amp;IF(G396&gt;0,"See CONFIRM sheet.",""))</f>
        <v/>
      </c>
      <c r="AB396" s="1" t="n">
        <f aca="false">IF(N396="No",0,IF(REVIEW!O396=0,0,IF(G396&gt;0,IF(INDEX(CONFIRM!$J$5:$J$53,G396)&lt;&gt;"",INDEX(CONFIRM!$J$5:$J$53,G396),1),1)))</f>
        <v>1</v>
      </c>
      <c r="AC396" s="1" t="n">
        <f aca="false">IF(AB396=1,IF(COUNTIFS($B$5:B396,B396,$D$5:D396,D396,$AB$5:AB396,1)=1,1,0),0)</f>
        <v>0</v>
      </c>
    </row>
    <row r="397" customFormat="false" ht="15" hidden="false" customHeight="false" outlineLevel="0" collapsed="false">
      <c r="A397" s="48" t="str">
        <f aca="false">STACK!A397</f>
        <v>KVMC-0393</v>
      </c>
      <c r="B397" s="48" t="str">
        <f aca="false">STACK!B397</f>
        <v>KVMC</v>
      </c>
      <c r="C397" s="48" t="str">
        <f aca="false">STACK!E397</f>
        <v>Pharmacy Student Rotations</v>
      </c>
      <c r="D397" s="1" t="str">
        <f aca="false">IFERROR(INDEX(MAP!$J$7:$J$101,MATCH(TRIM(C397),MAP!$I$7:$I$101,0)),"UNMAPPED")</f>
        <v>Pharmacy Student Rotations</v>
      </c>
      <c r="E397" s="1" t="str">
        <f aca="false">IFERROR(INDEX(MAP!$K$7:$K$101,MATCH(TRIM(C397),MAP!$I$7:$I$101,0)),"")</f>
        <v>Health workforce</v>
      </c>
      <c r="F397" s="1" t="str">
        <f aca="false">IFERROR(INDEX(MAP!$L$7:$L$101,MATCH(TRIM(C397),MAP!$I$7:$I$101,0)),"")</f>
        <v>Monthly</v>
      </c>
      <c r="G397" s="1" t="n">
        <f aca="false">IFERROR(MATCH(A397,CONFIRM!$A$5:$A$53,0),0)</f>
        <v>0</v>
      </c>
      <c r="H397" s="48" t="str">
        <f aca="false">STACK!F397</f>
        <v>Health Professions Education</v>
      </c>
      <c r="I397" s="1" t="str">
        <f aca="false">IF(G397&gt;0,IF(INDEX(CONFIRM!$I$5:$I$53,G397)&lt;&gt;"",INDEX(CONFIRM!$I$5:$I$53,G397),H397),H397)</f>
        <v>Health Professions Education</v>
      </c>
      <c r="J397" s="1" t="str">
        <f aca="false">IFERROR(INDEX(MAP!$F$7:$F$74,MATCH(TRIM(I397),MAP!$E$7:$E$74,0)),"UNMAPPED")</f>
        <v>Health professions education</v>
      </c>
      <c r="K397" s="1" t="str">
        <f aca="false">IFERROR(INDEX(MAP!$G$7:$G$74,MATCH(TRIM(I397),MAP!$E$7:$E$74,0)),"UNMAPPED")</f>
        <v>7f</v>
      </c>
      <c r="L397" s="49" t="n">
        <f aca="false">STACK!G397</f>
        <v>46112</v>
      </c>
      <c r="M397" s="59" t="n">
        <f aca="false">IF(G397&gt;0,IF(INDEX(CONFIRM!$G$5:$G$53,G397)&lt;&gt;"",INDEX(CONFIRM!$G$5:$G$53,G397),IF(ISNUMBER(L397),L397,IFERROR(DATEVALUE(L397),""))),IF(ISNUMBER(L397),L397,IFERROR(DATEVALUE(L397),"")))</f>
        <v>46112</v>
      </c>
      <c r="N397" s="1" t="str">
        <f aca="false">IF(M397="","Check",IF(AND(M397&gt;=INPUTS!$C$6,M397&lt;=INPUTS!$C$7),"Yes","No"))</f>
        <v>Yes</v>
      </c>
      <c r="O397" s="48" t="str">
        <f aca="false">STACK!H397</f>
        <v>RPh</v>
      </c>
      <c r="P397" s="1" t="str">
        <f aca="false">IF(G397&gt;0,IF(INDEX(CONFIRM!$H$5:$H$53,G397)&lt;&gt;"",INDEX(CONFIRM!$H$5:$H$53,G397),IFERROR(INDEX(MAP!$B$7:$B$156,MATCH(TRIM(O397),MAP!$A$7:$A$156,0)),"UNMAPPED")),IFERROR(INDEX(MAP!$B$7:$B$156,MATCH(TRIM(O397),MAP!$A$7:$A$156,0)),"UNMAPPED"))</f>
        <v>Pharmacist</v>
      </c>
      <c r="Q397" s="48" t="n">
        <f aca="false">STACK!I397</f>
        <v>63.75</v>
      </c>
      <c r="R397" s="60" t="n">
        <f aca="false">IF(G397&gt;0,IF(INDEX(CONFIRM!$F$5:$F$53,G397)&lt;&gt;"",INDEX(CONFIRM!$F$5:$F$53,G397),IF(ISNUMBER(Q397),Q397,IF(Q397="","",IFERROR(VALUE(TRIM(SUBSTITUTE(SUBSTITUTE(LOWER(Q397),"hrs",""),"hr",""))),"")))),IF(ISNUMBER(Q397),Q397,IF(Q397="","",IFERROR(VALUE(TRIM(SUBSTITUTE(SUBSTITUTE(LOWER(Q397),"hrs",""),"hr",""))),""))))</f>
        <v>63.75</v>
      </c>
      <c r="S397" s="57" t="n">
        <f aca="false">IFERROR(INDEX(RATES!$E$6:$E$28,MATCH(P397,RATES!$A$6:$A$28,0)),0)</f>
        <v>84.81</v>
      </c>
      <c r="T397" s="61" t="n">
        <f aca="false">IF(ISNUMBER(R397),R397,0)*S397</f>
        <v>5406.6375</v>
      </c>
      <c r="U397" s="61" t="n">
        <f aca="false">T397*INDEX(INPUTS!$H$10:$H$14,MATCH(B397,INPUTS!$A$10:$A$14,0))</f>
        <v>1000.2279375</v>
      </c>
      <c r="V397" s="61" t="n">
        <f aca="false">N(STACK!K397)</f>
        <v>145</v>
      </c>
      <c r="W397" s="61" t="n">
        <f aca="false">T397+U397+V397</f>
        <v>6551.8654375</v>
      </c>
      <c r="X397" s="61" t="n">
        <f aca="false">N(STACK!L397)</f>
        <v>0</v>
      </c>
      <c r="Y397" s="61" t="n">
        <f aca="false">W397-X397</f>
        <v>6551.8654375</v>
      </c>
      <c r="Z397" s="1" t="n">
        <f aca="false">N(STACK!J397)</f>
        <v>5</v>
      </c>
      <c r="AA397" s="1" t="str">
        <f aca="false">TRIM(IF(D397="UNMAPPED","Program not mapped. ","")&amp;IF(OR(K397="UNMAPPED",K397="UNASSIGNED"),"Category needs review. ","")&amp;IF(P397="UNMAPPED","Title not mapped. ","")&amp;IF(AND(P397&lt;&gt;"No staff time",R397=""),"Missing hours. ","")&amp;IF(M397="","Date not readable. ","")&amp;IF(N397="No","Outside fiscal year. ","")&amp;IF(AND(F397="Event",ISNUMBER(R397)),IF(R397&gt;12,"Event hours look high. ",""),"")&amp;IF(G397&gt;0,"See CONFIRM sheet.",""))</f>
        <v/>
      </c>
      <c r="AB397" s="1" t="n">
        <f aca="false">IF(N397="No",0,IF(REVIEW!O397=0,0,IF(G397&gt;0,IF(INDEX(CONFIRM!$J$5:$J$53,G397)&lt;&gt;"",INDEX(CONFIRM!$J$5:$J$53,G397),1),1)))</f>
        <v>1</v>
      </c>
      <c r="AC397" s="1" t="n">
        <f aca="false">IF(AB397=1,IF(COUNTIFS($B$5:B397,B397,$D$5:D397,D397,$AB$5:AB397,1)=1,1,0),0)</f>
        <v>0</v>
      </c>
    </row>
    <row r="398" customFormat="false" ht="15" hidden="false" customHeight="false" outlineLevel="0" collapsed="false">
      <c r="A398" s="48" t="str">
        <f aca="false">STACK!A398</f>
        <v>KVMC-0394</v>
      </c>
      <c r="B398" s="48" t="str">
        <f aca="false">STACK!B398</f>
        <v>KVMC</v>
      </c>
      <c r="C398" s="48" t="str">
        <f aca="false">STACK!E398</f>
        <v>Community Hypertension Control Study</v>
      </c>
      <c r="D398" s="1" t="str">
        <f aca="false">IFERROR(INDEX(MAP!$J$7:$J$101,MATCH(TRIM(C398),MAP!$I$7:$I$101,0)),"UNMAPPED")</f>
        <v>Community Hypertension Control Study</v>
      </c>
      <c r="E398" s="1" t="str">
        <f aca="false">IFERROR(INDEX(MAP!$K$7:$K$101,MATCH(TRIM(C398),MAP!$I$7:$I$101,0)),"")</f>
        <v>Chronic disease prevention</v>
      </c>
      <c r="F398" s="1" t="str">
        <f aca="false">IFERROR(INDEX(MAP!$L$7:$L$101,MATCH(TRIM(C398),MAP!$I$7:$I$101,0)),"")</f>
        <v>Monthly</v>
      </c>
      <c r="G398" s="1" t="n">
        <f aca="false">IFERROR(MATCH(A398,CONFIRM!$A$5:$A$53,0),0)</f>
        <v>0</v>
      </c>
      <c r="H398" s="48" t="str">
        <f aca="false">STACK!F398</f>
        <v>Research</v>
      </c>
      <c r="I398" s="1" t="str">
        <f aca="false">IF(G398&gt;0,IF(INDEX(CONFIRM!$I$5:$I$53,G398)&lt;&gt;"",INDEX(CONFIRM!$I$5:$I$53,G398),H398),H398)</f>
        <v>Research</v>
      </c>
      <c r="J398" s="1" t="str">
        <f aca="false">IFERROR(INDEX(MAP!$F$7:$F$74,MATCH(TRIM(I398),MAP!$E$7:$E$74,0)),"UNMAPPED")</f>
        <v>Research</v>
      </c>
      <c r="K398" s="1" t="str">
        <f aca="false">IFERROR(INDEX(MAP!$G$7:$G$74,MATCH(TRIM(I398),MAP!$E$7:$E$74,0)),"UNMAPPED")</f>
        <v>7h</v>
      </c>
      <c r="L398" s="49" t="n">
        <f aca="false">STACK!G398</f>
        <v>46112</v>
      </c>
      <c r="M398" s="59" t="n">
        <f aca="false">IF(G398&gt;0,IF(INDEX(CONFIRM!$G$5:$G$53,G398)&lt;&gt;"",INDEX(CONFIRM!$G$5:$G$53,G398),IF(ISNUMBER(L398),L398,IFERROR(DATEVALUE(L398),""))),IF(ISNUMBER(L398),L398,IFERROR(DATEVALUE(L398),"")))</f>
        <v>46112</v>
      </c>
      <c r="N398" s="1" t="str">
        <f aca="false">IF(M398="","Check",IF(AND(M398&gt;=INPUTS!$C$6,M398&lt;=INPUTS!$C$7),"Yes","No"))</f>
        <v>Yes</v>
      </c>
      <c r="O398" s="48" t="str">
        <f aca="false">STACK!H398</f>
        <v>Sr Data Analyst</v>
      </c>
      <c r="P398" s="1" t="str">
        <f aca="false">IF(G398&gt;0,IF(INDEX(CONFIRM!$H$5:$H$53,G398)&lt;&gt;"",INDEX(CONFIRM!$H$5:$H$53,G398),IFERROR(INDEX(MAP!$B$7:$B$156,MATCH(TRIM(O398),MAP!$A$7:$A$156,0)),"UNMAPPED")),IFERROR(INDEX(MAP!$B$7:$B$156,MATCH(TRIM(O398),MAP!$A$7:$A$156,0)),"UNMAPPED"))</f>
        <v>Data Analyst</v>
      </c>
      <c r="Q398" s="48" t="n">
        <f aca="false">STACK!I398</f>
        <v>41.75</v>
      </c>
      <c r="R398" s="60" t="n">
        <f aca="false">IF(G398&gt;0,IF(INDEX(CONFIRM!$F$5:$F$53,G398)&lt;&gt;"",INDEX(CONFIRM!$F$5:$F$53,G398),IF(ISNUMBER(Q398),Q398,IF(Q398="","",IFERROR(VALUE(TRIM(SUBSTITUTE(SUBSTITUTE(LOWER(Q398),"hrs",""),"hr",""))),"")))),IF(ISNUMBER(Q398),Q398,IF(Q398="","",IFERROR(VALUE(TRIM(SUBSTITUTE(SUBSTITUTE(LOWER(Q398),"hrs",""),"hr",""))),""))))</f>
        <v>41.75</v>
      </c>
      <c r="S398" s="57" t="n">
        <f aca="false">IFERROR(INDEX(RATES!$E$6:$E$28,MATCH(P398,RATES!$A$6:$A$28,0)),0)</f>
        <v>48.83</v>
      </c>
      <c r="T398" s="61" t="n">
        <f aca="false">IF(ISNUMBER(R398),R398,0)*S398</f>
        <v>2038.6525</v>
      </c>
      <c r="U398" s="61" t="n">
        <f aca="false">T398*INDEX(INPUTS!$H$10:$H$14,MATCH(B398,INPUTS!$A$10:$A$14,0))</f>
        <v>377.1507125</v>
      </c>
      <c r="V398" s="61" t="n">
        <f aca="false">N(STACK!K398)</f>
        <v>0</v>
      </c>
      <c r="W398" s="61" t="n">
        <f aca="false">T398+U398+V398</f>
        <v>2415.8032125</v>
      </c>
      <c r="X398" s="61" t="n">
        <f aca="false">N(STACK!L398)</f>
        <v>0</v>
      </c>
      <c r="Y398" s="61" t="n">
        <f aca="false">W398-X398</f>
        <v>2415.8032125</v>
      </c>
      <c r="Z398" s="1" t="n">
        <f aca="false">N(STACK!J398)</f>
        <v>0</v>
      </c>
      <c r="AA398" s="1" t="str">
        <f aca="false">TRIM(IF(D398="UNMAPPED","Program not mapped. ","")&amp;IF(OR(K398="UNMAPPED",K398="UNASSIGNED"),"Category needs review. ","")&amp;IF(P398="UNMAPPED","Title not mapped. ","")&amp;IF(AND(P398&lt;&gt;"No staff time",R398=""),"Missing hours. ","")&amp;IF(M398="","Date not readable. ","")&amp;IF(N398="No","Outside fiscal year. ","")&amp;IF(AND(F398="Event",ISNUMBER(R398)),IF(R398&gt;12,"Event hours look high. ",""),"")&amp;IF(G398&gt;0,"See CONFIRM sheet.",""))</f>
        <v/>
      </c>
      <c r="AB398" s="1" t="n">
        <f aca="false">IF(N398="No",0,IF(REVIEW!O398=0,0,IF(G398&gt;0,IF(INDEX(CONFIRM!$J$5:$J$53,G398)&lt;&gt;"",INDEX(CONFIRM!$J$5:$J$53,G398),1),1)))</f>
        <v>1</v>
      </c>
      <c r="AC398" s="1" t="n">
        <f aca="false">IF(AB398=1,IF(COUNTIFS($B$5:B398,B398,$D$5:D398,D398,$AB$5:AB398,1)=1,1,0),0)</f>
        <v>0</v>
      </c>
    </row>
    <row r="399" customFormat="false" ht="15" hidden="false" customHeight="false" outlineLevel="0" collapsed="false">
      <c r="A399" s="48" t="str">
        <f aca="false">STACK!A399</f>
        <v>KVMC-0395</v>
      </c>
      <c r="B399" s="48" t="str">
        <f aca="false">STACK!B399</f>
        <v>KVMC</v>
      </c>
      <c r="C399" s="48" t="str">
        <f aca="false">STACK!E399</f>
        <v>Community Hypertension Control Study</v>
      </c>
      <c r="D399" s="1" t="str">
        <f aca="false">IFERROR(INDEX(MAP!$J$7:$J$101,MATCH(TRIM(C399),MAP!$I$7:$I$101,0)),"UNMAPPED")</f>
        <v>Community Hypertension Control Study</v>
      </c>
      <c r="E399" s="1" t="str">
        <f aca="false">IFERROR(INDEX(MAP!$K$7:$K$101,MATCH(TRIM(C399),MAP!$I$7:$I$101,0)),"")</f>
        <v>Chronic disease prevention</v>
      </c>
      <c r="F399" s="1" t="str">
        <f aca="false">IFERROR(INDEX(MAP!$L$7:$L$101,MATCH(TRIM(C399),MAP!$I$7:$I$101,0)),"")</f>
        <v>Monthly</v>
      </c>
      <c r="G399" s="1" t="n">
        <f aca="false">IFERROR(MATCH(A399,CONFIRM!$A$5:$A$53,0),0)</f>
        <v>0</v>
      </c>
      <c r="H399" s="48" t="str">
        <f aca="false">STACK!F399</f>
        <v>Research</v>
      </c>
      <c r="I399" s="1" t="str">
        <f aca="false">IF(G399&gt;0,IF(INDEX(CONFIRM!$I$5:$I$53,G399)&lt;&gt;"",INDEX(CONFIRM!$I$5:$I$53,G399),H399),H399)</f>
        <v>Research</v>
      </c>
      <c r="J399" s="1" t="str">
        <f aca="false">IFERROR(INDEX(MAP!$F$7:$F$74,MATCH(TRIM(I399),MAP!$E$7:$E$74,0)),"UNMAPPED")</f>
        <v>Research</v>
      </c>
      <c r="K399" s="1" t="str">
        <f aca="false">IFERROR(INDEX(MAP!$G$7:$G$74,MATCH(TRIM(I399),MAP!$E$7:$E$74,0)),"UNMAPPED")</f>
        <v>7h</v>
      </c>
      <c r="L399" s="49" t="n">
        <f aca="false">STACK!G399</f>
        <v>46112</v>
      </c>
      <c r="M399" s="59" t="n">
        <f aca="false">IF(G399&gt;0,IF(INDEX(CONFIRM!$G$5:$G$53,G399)&lt;&gt;"",INDEX(CONFIRM!$G$5:$G$53,G399),IF(ISNUMBER(L399),L399,IFERROR(DATEVALUE(L399),""))),IF(ISNUMBER(L399),L399,IFERROR(DATEVALUE(L399),"")))</f>
        <v>46112</v>
      </c>
      <c r="N399" s="1" t="str">
        <f aca="false">IF(M399="","Check",IF(AND(M399&gt;=INPUTS!$C$6,M399&lt;=INPUTS!$C$7),"Yes","No"))</f>
        <v>Yes</v>
      </c>
      <c r="O399" s="48" t="str">
        <f aca="false">STACK!H399</f>
        <v>Dr.</v>
      </c>
      <c r="P399" s="1" t="str">
        <f aca="false">IF(G399&gt;0,IF(INDEX(CONFIRM!$H$5:$H$53,G399)&lt;&gt;"",INDEX(CONFIRM!$H$5:$H$53,G399),IFERROR(INDEX(MAP!$B$7:$B$156,MATCH(TRIM(O399),MAP!$A$7:$A$156,0)),"UNMAPPED")),IFERROR(INDEX(MAP!$B$7:$B$156,MATCH(TRIM(O399),MAP!$A$7:$A$156,0)),"UNMAPPED"))</f>
        <v>Physician</v>
      </c>
      <c r="Q399" s="48" t="n">
        <f aca="false">STACK!I399</f>
        <v>21</v>
      </c>
      <c r="R399" s="60" t="n">
        <f aca="false">IF(G399&gt;0,IF(INDEX(CONFIRM!$F$5:$F$53,G399)&lt;&gt;"",INDEX(CONFIRM!$F$5:$F$53,G399),IF(ISNUMBER(Q399),Q399,IF(Q399="","",IFERROR(VALUE(TRIM(SUBSTITUTE(SUBSTITUTE(LOWER(Q399),"hrs",""),"hr",""))),"")))),IF(ISNUMBER(Q399),Q399,IF(Q399="","",IFERROR(VALUE(TRIM(SUBSTITUTE(SUBSTITUTE(LOWER(Q399),"hrs",""),"hr",""))),""))))</f>
        <v>21</v>
      </c>
      <c r="S399" s="57" t="n">
        <f aca="false">IFERROR(INDEX(RATES!$E$6:$E$28,MATCH(P399,RATES!$A$6:$A$28,0)),0)</f>
        <v>151.63</v>
      </c>
      <c r="T399" s="61" t="n">
        <f aca="false">IF(ISNUMBER(R399),R399,0)*S399</f>
        <v>3184.23</v>
      </c>
      <c r="U399" s="61" t="n">
        <f aca="false">T399*INDEX(INPUTS!$H$10:$H$14,MATCH(B399,INPUTS!$A$10:$A$14,0))</f>
        <v>589.08255</v>
      </c>
      <c r="V399" s="61" t="n">
        <f aca="false">N(STACK!K399)</f>
        <v>0</v>
      </c>
      <c r="W399" s="61" t="n">
        <f aca="false">T399+U399+V399</f>
        <v>3773.31255</v>
      </c>
      <c r="X399" s="61" t="n">
        <f aca="false">N(STACK!L399)</f>
        <v>0</v>
      </c>
      <c r="Y399" s="61" t="n">
        <f aca="false">W399-X399</f>
        <v>3773.31255</v>
      </c>
      <c r="Z399" s="1" t="n">
        <f aca="false">N(STACK!J399)</f>
        <v>0</v>
      </c>
      <c r="AA399" s="1" t="str">
        <f aca="false">TRIM(IF(D399="UNMAPPED","Program not mapped. ","")&amp;IF(OR(K399="UNMAPPED",K399="UNASSIGNED"),"Category needs review. ","")&amp;IF(P399="UNMAPPED","Title not mapped. ","")&amp;IF(AND(P399&lt;&gt;"No staff time",R399=""),"Missing hours. ","")&amp;IF(M399="","Date not readable. ","")&amp;IF(N399="No","Outside fiscal year. ","")&amp;IF(AND(F399="Event",ISNUMBER(R399)),IF(R399&gt;12,"Event hours look high. ",""),"")&amp;IF(G399&gt;0,"See CONFIRM sheet.",""))</f>
        <v/>
      </c>
      <c r="AB399" s="1" t="n">
        <f aca="false">IF(N399="No",0,IF(REVIEW!O399=0,0,IF(G399&gt;0,IF(INDEX(CONFIRM!$J$5:$J$53,G399)&lt;&gt;"",INDEX(CONFIRM!$J$5:$J$53,G399),1),1)))</f>
        <v>1</v>
      </c>
      <c r="AC399" s="1" t="n">
        <f aca="false">IF(AB399=1,IF(COUNTIFS($B$5:B399,B399,$D$5:D399,D399,$AB$5:AB399,1)=1,1,0),0)</f>
        <v>0</v>
      </c>
    </row>
    <row r="400" customFormat="false" ht="15" hidden="false" customHeight="false" outlineLevel="0" collapsed="false">
      <c r="A400" s="48" t="str">
        <f aca="false">STACK!A400</f>
        <v>KVMC-0396</v>
      </c>
      <c r="B400" s="48" t="str">
        <f aca="false">STACK!B400</f>
        <v>KVMC</v>
      </c>
      <c r="C400" s="48" t="str">
        <f aca="false">STACK!E400</f>
        <v>Community Hypertension Control Study</v>
      </c>
      <c r="D400" s="1" t="str">
        <f aca="false">IFERROR(INDEX(MAP!$J$7:$J$101,MATCH(TRIM(C400),MAP!$I$7:$I$101,0)),"UNMAPPED")</f>
        <v>Community Hypertension Control Study</v>
      </c>
      <c r="E400" s="1" t="str">
        <f aca="false">IFERROR(INDEX(MAP!$K$7:$K$101,MATCH(TRIM(C400),MAP!$I$7:$I$101,0)),"")</f>
        <v>Chronic disease prevention</v>
      </c>
      <c r="F400" s="1" t="str">
        <f aca="false">IFERROR(INDEX(MAP!$L$7:$L$101,MATCH(TRIM(C400),MAP!$I$7:$I$101,0)),"")</f>
        <v>Monthly</v>
      </c>
      <c r="G400" s="1" t="n">
        <f aca="false">IFERROR(MATCH(A400,CONFIRM!$A$5:$A$53,0),0)</f>
        <v>0</v>
      </c>
      <c r="H400" s="48" t="str">
        <f aca="false">STACK!F400</f>
        <v>Research</v>
      </c>
      <c r="I400" s="1" t="str">
        <f aca="false">IF(G400&gt;0,IF(INDEX(CONFIRM!$I$5:$I$53,G400)&lt;&gt;"",INDEX(CONFIRM!$I$5:$I$53,G400),H400),H400)</f>
        <v>Research</v>
      </c>
      <c r="J400" s="1" t="str">
        <f aca="false">IFERROR(INDEX(MAP!$F$7:$F$74,MATCH(TRIM(I400),MAP!$E$7:$E$74,0)),"UNMAPPED")</f>
        <v>Research</v>
      </c>
      <c r="K400" s="1" t="str">
        <f aca="false">IFERROR(INDEX(MAP!$G$7:$G$74,MATCH(TRIM(I400),MAP!$E$7:$E$74,0)),"UNMAPPED")</f>
        <v>7h</v>
      </c>
      <c r="L400" s="49" t="n">
        <f aca="false">STACK!G400</f>
        <v>46112</v>
      </c>
      <c r="M400" s="59" t="n">
        <f aca="false">IF(G400&gt;0,IF(INDEX(CONFIRM!$G$5:$G$53,G400)&lt;&gt;"",INDEX(CONFIRM!$G$5:$G$53,G400),IF(ISNUMBER(L400),L400,IFERROR(DATEVALUE(L400),""))),IF(ISNUMBER(L400),L400,IFERROR(DATEVALUE(L400),"")))</f>
        <v>46112</v>
      </c>
      <c r="N400" s="1" t="str">
        <f aca="false">IF(M400="","Check",IF(AND(M400&gt;=INPUTS!$C$6,M400&lt;=INPUTS!$C$7),"Yes","No"))</f>
        <v>Yes</v>
      </c>
      <c r="O400" s="48" t="str">
        <f aca="false">STACK!H400</f>
        <v>Research Coordinator</v>
      </c>
      <c r="P400" s="1" t="str">
        <f aca="false">IF(G400&gt;0,IF(INDEX(CONFIRM!$H$5:$H$53,G400)&lt;&gt;"",INDEX(CONFIRM!$H$5:$H$53,G400),IFERROR(INDEX(MAP!$B$7:$B$156,MATCH(TRIM(O400),MAP!$A$7:$A$156,0)),"UNMAPPED")),IFERROR(INDEX(MAP!$B$7:$B$156,MATCH(TRIM(O400),MAP!$A$7:$A$156,0)),"UNMAPPED"))</f>
        <v>Research Coordinator</v>
      </c>
      <c r="Q400" s="48" t="n">
        <f aca="false">STACK!I400</f>
        <v>159.5</v>
      </c>
      <c r="R400" s="60" t="n">
        <f aca="false">IF(G400&gt;0,IF(INDEX(CONFIRM!$F$5:$F$53,G400)&lt;&gt;"",INDEX(CONFIRM!$F$5:$F$53,G400),IF(ISNUMBER(Q400),Q400,IF(Q400="","",IFERROR(VALUE(TRIM(SUBSTITUTE(SUBSTITUTE(LOWER(Q400),"hrs",""),"hr",""))),"")))),IF(ISNUMBER(Q400),Q400,IF(Q400="","",IFERROR(VALUE(TRIM(SUBSTITUTE(SUBSTITUTE(LOWER(Q400),"hrs",""),"hr",""))),""))))</f>
        <v>159.5</v>
      </c>
      <c r="S400" s="57" t="n">
        <f aca="false">IFERROR(INDEX(RATES!$E$6:$E$28,MATCH(P400,RATES!$A$6:$A$28,0)),0)</f>
        <v>42.405</v>
      </c>
      <c r="T400" s="61" t="n">
        <f aca="false">IF(ISNUMBER(R400),R400,0)*S400</f>
        <v>6763.5975</v>
      </c>
      <c r="U400" s="61" t="n">
        <f aca="false">T400*INDEX(INPUTS!$H$10:$H$14,MATCH(B400,INPUTS!$A$10:$A$14,0))</f>
        <v>1251.2655375</v>
      </c>
      <c r="V400" s="61" t="n">
        <f aca="false">N(STACK!K400)</f>
        <v>7990</v>
      </c>
      <c r="W400" s="61" t="n">
        <f aca="false">T400+U400+V400</f>
        <v>16004.8630375</v>
      </c>
      <c r="X400" s="61" t="n">
        <f aca="false">N(STACK!L400)</f>
        <v>12195</v>
      </c>
      <c r="Y400" s="61" t="n">
        <f aca="false">W400-X400</f>
        <v>3809.8630375</v>
      </c>
      <c r="Z400" s="1" t="n">
        <f aca="false">N(STACK!J400)</f>
        <v>68</v>
      </c>
      <c r="AA400" s="1" t="str">
        <f aca="false">TRIM(IF(D400="UNMAPPED","Program not mapped. ","")&amp;IF(OR(K400="UNMAPPED",K400="UNASSIGNED"),"Category needs review. ","")&amp;IF(P400="UNMAPPED","Title not mapped. ","")&amp;IF(AND(P400&lt;&gt;"No staff time",R400=""),"Missing hours. ","")&amp;IF(M400="","Date not readable. ","")&amp;IF(N400="No","Outside fiscal year. ","")&amp;IF(AND(F400="Event",ISNUMBER(R400)),IF(R400&gt;12,"Event hours look high. ",""),"")&amp;IF(G400&gt;0,"See CONFIRM sheet.",""))</f>
        <v/>
      </c>
      <c r="AB400" s="1" t="n">
        <f aca="false">IF(N400="No",0,IF(REVIEW!O400=0,0,IF(G400&gt;0,IF(INDEX(CONFIRM!$J$5:$J$53,G400)&lt;&gt;"",INDEX(CONFIRM!$J$5:$J$53,G400),1),1)))</f>
        <v>1</v>
      </c>
      <c r="AC400" s="1" t="n">
        <f aca="false">IF(AB400=1,IF(COUNTIFS($B$5:B400,B400,$D$5:D400,D400,$AB$5:AB400,1)=1,1,0),0)</f>
        <v>0</v>
      </c>
    </row>
    <row r="401" customFormat="false" ht="15" hidden="false" customHeight="false" outlineLevel="0" collapsed="false">
      <c r="A401" s="48" t="str">
        <f aca="false">STACK!A401</f>
        <v>KVMC-0397</v>
      </c>
      <c r="B401" s="48" t="str">
        <f aca="false">STACK!B401</f>
        <v>KVMC</v>
      </c>
      <c r="C401" s="48" t="str">
        <f aca="false">STACK!E401</f>
        <v>Small Business Health Partnership</v>
      </c>
      <c r="D401" s="1" t="str">
        <f aca="false">IFERROR(INDEX(MAP!$J$7:$J$101,MATCH(TRIM(C401),MAP!$I$7:$I$101,0)),"UNMAPPED")</f>
        <v>Small Business Health Partnership</v>
      </c>
      <c r="E401" s="1" t="str">
        <f aca="false">IFERROR(INDEX(MAP!$K$7:$K$101,MATCH(TRIM(C401),MAP!$I$7:$I$101,0)),"")</f>
        <v>Access to care</v>
      </c>
      <c r="F401" s="1" t="str">
        <f aca="false">IFERROR(INDEX(MAP!$L$7:$L$101,MATCH(TRIM(C401),MAP!$I$7:$I$101,0)),"")</f>
        <v>Event</v>
      </c>
      <c r="G401" s="1" t="n">
        <f aca="false">IFERROR(MATCH(A401,CONFIRM!$A$5:$A$53,0),0)</f>
        <v>0</v>
      </c>
      <c r="H401" s="48" t="str">
        <f aca="false">STACK!F401</f>
        <v>Community Building - Economic Dev</v>
      </c>
      <c r="I401" s="1" t="str">
        <f aca="false">IF(G401&gt;0,IF(INDEX(CONFIRM!$I$5:$I$53,G401)&lt;&gt;"",INDEX(CONFIRM!$I$5:$I$53,G401),H401),H401)</f>
        <v>Community Building - Economic Dev</v>
      </c>
      <c r="J401" s="1" t="str">
        <f aca="false">IFERROR(INDEX(MAP!$F$7:$F$74,MATCH(TRIM(I401),MAP!$E$7:$E$74,0)),"UNMAPPED")</f>
        <v>Community building: economic development</v>
      </c>
      <c r="K401" s="1" t="str">
        <f aca="false">IFERROR(INDEX(MAP!$G$7:$G$74,MATCH(TRIM(I401),MAP!$E$7:$E$74,0)),"UNMAPPED")</f>
        <v>II-2</v>
      </c>
      <c r="L401" s="49" t="n">
        <f aca="false">STACK!G401</f>
        <v>46113</v>
      </c>
      <c r="M401" s="59" t="n">
        <f aca="false">IF(G401&gt;0,IF(INDEX(CONFIRM!$G$5:$G$53,G401)&lt;&gt;"",INDEX(CONFIRM!$G$5:$G$53,G401),IF(ISNUMBER(L401),L401,IFERROR(DATEVALUE(L401),""))),IF(ISNUMBER(L401),L401,IFERROR(DATEVALUE(L401),"")))</f>
        <v>46113</v>
      </c>
      <c r="N401" s="1" t="str">
        <f aca="false">IF(M401="","Check",IF(AND(M401&gt;=INPUTS!$C$6,M401&lt;=INPUTS!$C$7),"Yes","No"))</f>
        <v>Yes</v>
      </c>
      <c r="O401" s="48" t="str">
        <f aca="false">STACK!H401</f>
        <v>Director</v>
      </c>
      <c r="P401" s="1" t="str">
        <f aca="false">IF(G401&gt;0,IF(INDEX(CONFIRM!$H$5:$H$53,G401)&lt;&gt;"",INDEX(CONFIRM!$H$5:$H$53,G401),IFERROR(INDEX(MAP!$B$7:$B$156,MATCH(TRIM(O401),MAP!$A$7:$A$156,0)),"UNMAPPED")),IFERROR(INDEX(MAP!$B$7:$B$156,MATCH(TRIM(O401),MAP!$A$7:$A$156,0)),"UNMAPPED"))</f>
        <v>Director</v>
      </c>
      <c r="Q401" s="48" t="n">
        <f aca="false">STACK!I401</f>
        <v>4</v>
      </c>
      <c r="R401" s="60" t="n">
        <f aca="false">IF(G401&gt;0,IF(INDEX(CONFIRM!$F$5:$F$53,G401)&lt;&gt;"",INDEX(CONFIRM!$F$5:$F$53,G401),IF(ISNUMBER(Q401),Q401,IF(Q401="","",IFERROR(VALUE(TRIM(SUBSTITUTE(SUBSTITUTE(LOWER(Q401),"hrs",""),"hr",""))),"")))),IF(ISNUMBER(Q401),Q401,IF(Q401="","",IFERROR(VALUE(TRIM(SUBSTITUTE(SUBSTITUTE(LOWER(Q401),"hrs",""),"hr",""))),""))))</f>
        <v>4</v>
      </c>
      <c r="S401" s="57" t="n">
        <f aca="false">IFERROR(INDEX(RATES!$E$6:$E$28,MATCH(P401,RATES!$A$6:$A$28,0)),0)</f>
        <v>92.52</v>
      </c>
      <c r="T401" s="61" t="n">
        <f aca="false">IF(ISNUMBER(R401),R401,0)*S401</f>
        <v>370.08</v>
      </c>
      <c r="U401" s="61" t="n">
        <f aca="false">T401*INDEX(INPUTS!$H$10:$H$14,MATCH(B401,INPUTS!$A$10:$A$14,0))</f>
        <v>68.4648</v>
      </c>
      <c r="V401" s="61" t="n">
        <f aca="false">N(STACK!K401)</f>
        <v>1725</v>
      </c>
      <c r="W401" s="61" t="n">
        <f aca="false">T401+U401+V401</f>
        <v>2163.5448</v>
      </c>
      <c r="X401" s="61" t="n">
        <f aca="false">N(STACK!L401)</f>
        <v>0</v>
      </c>
      <c r="Y401" s="61" t="n">
        <f aca="false">W401-X401</f>
        <v>2163.5448</v>
      </c>
      <c r="Z401" s="1" t="n">
        <f aca="false">N(STACK!J401)</f>
        <v>0</v>
      </c>
      <c r="AA401" s="1" t="str">
        <f aca="false">TRIM(IF(D401="UNMAPPED","Program not mapped. ","")&amp;IF(OR(K401="UNMAPPED",K401="UNASSIGNED"),"Category needs review. ","")&amp;IF(P401="UNMAPPED","Title not mapped. ","")&amp;IF(AND(P401&lt;&gt;"No staff time",R401=""),"Missing hours. ","")&amp;IF(M401="","Date not readable. ","")&amp;IF(N401="No","Outside fiscal year. ","")&amp;IF(AND(F401="Event",ISNUMBER(R401)),IF(R401&gt;12,"Event hours look high. ",""),"")&amp;IF(G401&gt;0,"See CONFIRM sheet.",""))</f>
        <v/>
      </c>
      <c r="AB401" s="1" t="n">
        <f aca="false">IF(N401="No",0,IF(REVIEW!O401=0,0,IF(G401&gt;0,IF(INDEX(CONFIRM!$J$5:$J$53,G401)&lt;&gt;"",INDEX(CONFIRM!$J$5:$J$53,G401),1),1)))</f>
        <v>1</v>
      </c>
      <c r="AC401" s="1" t="n">
        <f aca="false">IF(AB401=1,IF(COUNTIFS($B$5:B401,B401,$D$5:D401,D401,$AB$5:AB401,1)=1,1,0),0)</f>
        <v>0</v>
      </c>
    </row>
    <row r="402" customFormat="false" ht="15" hidden="false" customHeight="false" outlineLevel="0" collapsed="false">
      <c r="A402" s="48" t="str">
        <f aca="false">STACK!A402</f>
        <v>KVMC-0398</v>
      </c>
      <c r="B402" s="48" t="str">
        <f aca="false">STACK!B402</f>
        <v>KVMC</v>
      </c>
      <c r="C402" s="48" t="str">
        <f aca="false">STACK!E402</f>
        <v>Small Business Health Partnership</v>
      </c>
      <c r="D402" s="1" t="str">
        <f aca="false">IFERROR(INDEX(MAP!$J$7:$J$101,MATCH(TRIM(C402),MAP!$I$7:$I$101,0)),"UNMAPPED")</f>
        <v>Small Business Health Partnership</v>
      </c>
      <c r="E402" s="1" t="str">
        <f aca="false">IFERROR(INDEX(MAP!$K$7:$K$101,MATCH(TRIM(C402),MAP!$I$7:$I$101,0)),"")</f>
        <v>Access to care</v>
      </c>
      <c r="F402" s="1" t="str">
        <f aca="false">IFERROR(INDEX(MAP!$L$7:$L$101,MATCH(TRIM(C402),MAP!$I$7:$I$101,0)),"")</f>
        <v>Event</v>
      </c>
      <c r="G402" s="1" t="n">
        <f aca="false">IFERROR(MATCH(A402,CONFIRM!$A$5:$A$53,0),0)</f>
        <v>0</v>
      </c>
      <c r="H402" s="48" t="str">
        <f aca="false">STACK!F402</f>
        <v>Community Building - Economic Dev</v>
      </c>
      <c r="I402" s="1" t="str">
        <f aca="false">IF(G402&gt;0,IF(INDEX(CONFIRM!$I$5:$I$53,G402)&lt;&gt;"",INDEX(CONFIRM!$I$5:$I$53,G402),H402),H402)</f>
        <v>Community Building - Economic Dev</v>
      </c>
      <c r="J402" s="1" t="str">
        <f aca="false">IFERROR(INDEX(MAP!$F$7:$F$74,MATCH(TRIM(I402),MAP!$E$7:$E$74,0)),"UNMAPPED")</f>
        <v>Community building: economic development</v>
      </c>
      <c r="K402" s="1" t="str">
        <f aca="false">IFERROR(INDEX(MAP!$G$7:$G$74,MATCH(TRIM(I402),MAP!$E$7:$E$74,0)),"UNMAPPED")</f>
        <v>II-2</v>
      </c>
      <c r="L402" s="49" t="n">
        <f aca="false">STACK!G402</f>
        <v>46113</v>
      </c>
      <c r="M402" s="59" t="n">
        <f aca="false">IF(G402&gt;0,IF(INDEX(CONFIRM!$G$5:$G$53,G402)&lt;&gt;"",INDEX(CONFIRM!$G$5:$G$53,G402),IF(ISNUMBER(L402),L402,IFERROR(DATEVALUE(L402),""))),IF(ISNUMBER(L402),L402,IFERROR(DATEVALUE(L402),"")))</f>
        <v>46113</v>
      </c>
      <c r="N402" s="1" t="str">
        <f aca="false">IF(M402="","Check",IF(AND(M402&gt;=INPUTS!$C$6,M402&lt;=INPUTS!$C$7),"Yes","No"))</f>
        <v>Yes</v>
      </c>
      <c r="O402" s="48" t="str">
        <f aca="false">STACK!H402</f>
        <v>Event Coordinator</v>
      </c>
      <c r="P402" s="1" t="str">
        <f aca="false">IF(G402&gt;0,IF(INDEX(CONFIRM!$H$5:$H$53,G402)&lt;&gt;"",INDEX(CONFIRM!$H$5:$H$53,G402),IFERROR(INDEX(MAP!$B$7:$B$156,MATCH(TRIM(O402),MAP!$A$7:$A$156,0)),"UNMAPPED")),IFERROR(INDEX(MAP!$B$7:$B$156,MATCH(TRIM(O402),MAP!$A$7:$A$156,0)),"UNMAPPED"))</f>
        <v>Program Coordinator</v>
      </c>
      <c r="Q402" s="48" t="n">
        <f aca="false">STACK!I402</f>
        <v>4.5</v>
      </c>
      <c r="R402" s="60" t="n">
        <f aca="false">IF(G402&gt;0,IF(INDEX(CONFIRM!$F$5:$F$53,G402)&lt;&gt;"",INDEX(CONFIRM!$F$5:$F$53,G402),IF(ISNUMBER(Q402),Q402,IF(Q402="","",IFERROR(VALUE(TRIM(SUBSTITUTE(SUBSTITUTE(LOWER(Q402),"hrs",""),"hr",""))),"")))),IF(ISNUMBER(Q402),Q402,IF(Q402="","",IFERROR(VALUE(TRIM(SUBSTITUTE(SUBSTITUTE(LOWER(Q402),"hrs",""),"hr",""))),""))))</f>
        <v>4.5</v>
      </c>
      <c r="S402" s="57" t="n">
        <f aca="false">IFERROR(INDEX(RATES!$E$6:$E$28,MATCH(P402,RATES!$A$6:$A$28,0)),0)</f>
        <v>35.3375</v>
      </c>
      <c r="T402" s="61" t="n">
        <f aca="false">IF(ISNUMBER(R402),R402,0)*S402</f>
        <v>159.01875</v>
      </c>
      <c r="U402" s="61" t="n">
        <f aca="false">T402*INDEX(INPUTS!$H$10:$H$14,MATCH(B402,INPUTS!$A$10:$A$14,0))</f>
        <v>29.41846875</v>
      </c>
      <c r="V402" s="61" t="n">
        <f aca="false">N(STACK!K402)</f>
        <v>0</v>
      </c>
      <c r="W402" s="61" t="n">
        <f aca="false">T402+U402+V402</f>
        <v>188.43721875</v>
      </c>
      <c r="X402" s="61" t="n">
        <f aca="false">N(STACK!L402)</f>
        <v>0</v>
      </c>
      <c r="Y402" s="61" t="n">
        <f aca="false">W402-X402</f>
        <v>188.43721875</v>
      </c>
      <c r="Z402" s="1" t="n">
        <f aca="false">N(STACK!J402)</f>
        <v>0</v>
      </c>
      <c r="AA402" s="1" t="str">
        <f aca="false">TRIM(IF(D402="UNMAPPED","Program not mapped. ","")&amp;IF(OR(K402="UNMAPPED",K402="UNASSIGNED"),"Category needs review. ","")&amp;IF(P402="UNMAPPED","Title not mapped. ","")&amp;IF(AND(P402&lt;&gt;"No staff time",R402=""),"Missing hours. ","")&amp;IF(M402="","Date not readable. ","")&amp;IF(N402="No","Outside fiscal year. ","")&amp;IF(AND(F402="Event",ISNUMBER(R402)),IF(R402&gt;12,"Event hours look high. ",""),"")&amp;IF(G402&gt;0,"See CONFIRM sheet.",""))</f>
        <v/>
      </c>
      <c r="AB402" s="1" t="n">
        <f aca="false">IF(N402="No",0,IF(REVIEW!O402=0,0,IF(G402&gt;0,IF(INDEX(CONFIRM!$J$5:$J$53,G402)&lt;&gt;"",INDEX(CONFIRM!$J$5:$J$53,G402),1),1)))</f>
        <v>1</v>
      </c>
      <c r="AC402" s="1" t="n">
        <f aca="false">IF(AB402=1,IF(COUNTIFS($B$5:B402,B402,$D$5:D402,D402,$AB$5:AB402,1)=1,1,0),0)</f>
        <v>0</v>
      </c>
    </row>
    <row r="403" customFormat="false" ht="15" hidden="false" customHeight="false" outlineLevel="0" collapsed="false">
      <c r="A403" s="48" t="str">
        <f aca="false">STACK!A403</f>
        <v>KVMC-0399</v>
      </c>
      <c r="B403" s="48" t="str">
        <f aca="false">STACK!B403</f>
        <v>KVMC</v>
      </c>
      <c r="C403" s="48" t="str">
        <f aca="false">STACK!E403</f>
        <v>Tobacco Cessation Classes</v>
      </c>
      <c r="D403" s="1" t="str">
        <f aca="false">IFERROR(INDEX(MAP!$J$7:$J$101,MATCH(TRIM(C403),MAP!$I$7:$I$101,0)),"UNMAPPED")</f>
        <v>Tobacco Cessation Classes</v>
      </c>
      <c r="E403" s="1" t="str">
        <f aca="false">IFERROR(INDEX(MAP!$K$7:$K$101,MATCH(TRIM(C403),MAP!$I$7:$I$101,0)),"")</f>
        <v>Chronic disease prevention</v>
      </c>
      <c r="F403" s="1" t="str">
        <f aca="false">IFERROR(INDEX(MAP!$L$7:$L$101,MATCH(TRIM(C403),MAP!$I$7:$I$101,0)),"")</f>
        <v>Event</v>
      </c>
      <c r="G403" s="1" t="n">
        <f aca="false">IFERROR(MATCH(A403,CONFIRM!$A$5:$A$53,0),0)</f>
        <v>0</v>
      </c>
      <c r="H403" s="48" t="str">
        <f aca="false">STACK!F403</f>
        <v>Community Health Education</v>
      </c>
      <c r="I403" s="1" t="str">
        <f aca="false">IF(G403&gt;0,IF(INDEX(CONFIRM!$I$5:$I$53,G403)&lt;&gt;"",INDEX(CONFIRM!$I$5:$I$53,G403),H403),H403)</f>
        <v>Community Health Education</v>
      </c>
      <c r="J403" s="1" t="str">
        <f aca="false">IFERROR(INDEX(MAP!$F$7:$F$74,MATCH(TRIM(I403),MAP!$E$7:$E$74,0)),"UNMAPPED")</f>
        <v>Community health education</v>
      </c>
      <c r="K403" s="1" t="str">
        <f aca="false">IFERROR(INDEX(MAP!$G$7:$G$74,MATCH(TRIM(I403),MAP!$E$7:$E$74,0)),"UNMAPPED")</f>
        <v>7e</v>
      </c>
      <c r="L403" s="49" t="n">
        <f aca="false">STACK!G403</f>
        <v>46114</v>
      </c>
      <c r="M403" s="59" t="n">
        <f aca="false">IF(G403&gt;0,IF(INDEX(CONFIRM!$G$5:$G$53,G403)&lt;&gt;"",INDEX(CONFIRM!$G$5:$G$53,G403),IF(ISNUMBER(L403),L403,IFERROR(DATEVALUE(L403),""))),IF(ISNUMBER(L403),L403,IFERROR(DATEVALUE(L403),"")))</f>
        <v>46114</v>
      </c>
      <c r="N403" s="1" t="str">
        <f aca="false">IF(M403="","Check",IF(AND(M403&gt;=INPUTS!$C$6,M403&lt;=INPUTS!$C$7),"Yes","No"))</f>
        <v>Yes</v>
      </c>
      <c r="O403" s="48" t="str">
        <f aca="false">STACK!H403</f>
        <v>Respiratory Therapist</v>
      </c>
      <c r="P403" s="1" t="str">
        <f aca="false">IF(G403&gt;0,IF(INDEX(CONFIRM!$H$5:$H$53,G403)&lt;&gt;"",INDEX(CONFIRM!$H$5:$H$53,G403),IFERROR(INDEX(MAP!$B$7:$B$156,MATCH(TRIM(O403),MAP!$A$7:$A$156,0)),"UNMAPPED")),IFERROR(INDEX(MAP!$B$7:$B$156,MATCH(TRIM(O403),MAP!$A$7:$A$156,0)),"UNMAPPED"))</f>
        <v>Licensed Therapist</v>
      </c>
      <c r="Q403" s="48" t="n">
        <f aca="false">STACK!I403</f>
        <v>2</v>
      </c>
      <c r="R403" s="60" t="n">
        <f aca="false">IF(G403&gt;0,IF(INDEX(CONFIRM!$F$5:$F$53,G403)&lt;&gt;"",INDEX(CONFIRM!$F$5:$F$53,G403),IF(ISNUMBER(Q403),Q403,IF(Q403="","",IFERROR(VALUE(TRIM(SUBSTITUTE(SUBSTITUTE(LOWER(Q403),"hrs",""),"hr",""))),"")))),IF(ISNUMBER(Q403),Q403,IF(Q403="","",IFERROR(VALUE(TRIM(SUBSTITUTE(SUBSTITUTE(LOWER(Q403),"hrs",""),"hr",""))),""))))</f>
        <v>2</v>
      </c>
      <c r="S403" s="57" t="n">
        <f aca="false">IFERROR(INDEX(RATES!$E$6:$E$28,MATCH(P403,RATES!$A$6:$A$28,0)),0)</f>
        <v>53.97</v>
      </c>
      <c r="T403" s="61" t="n">
        <f aca="false">IF(ISNUMBER(R403),R403,0)*S403</f>
        <v>107.94</v>
      </c>
      <c r="U403" s="61" t="n">
        <f aca="false">T403*INDEX(INPUTS!$H$10:$H$14,MATCH(B403,INPUTS!$A$10:$A$14,0))</f>
        <v>19.9689</v>
      </c>
      <c r="V403" s="61" t="n">
        <f aca="false">N(STACK!K403)</f>
        <v>235</v>
      </c>
      <c r="W403" s="61" t="n">
        <f aca="false">T403+U403+V403</f>
        <v>362.9089</v>
      </c>
      <c r="X403" s="61" t="n">
        <f aca="false">N(STACK!L403)</f>
        <v>0</v>
      </c>
      <c r="Y403" s="61" t="n">
        <f aca="false">W403-X403</f>
        <v>362.9089</v>
      </c>
      <c r="Z403" s="1" t="n">
        <f aca="false">N(STACK!J403)</f>
        <v>9</v>
      </c>
      <c r="AA403" s="1" t="str">
        <f aca="false">TRIM(IF(D403="UNMAPPED","Program not mapped. ","")&amp;IF(OR(K403="UNMAPPED",K403="UNASSIGNED"),"Category needs review. ","")&amp;IF(P403="UNMAPPED","Title not mapped. ","")&amp;IF(AND(P403&lt;&gt;"No staff time",R403=""),"Missing hours. ","")&amp;IF(M403="","Date not readable. ","")&amp;IF(N403="No","Outside fiscal year. ","")&amp;IF(AND(F403="Event",ISNUMBER(R403)),IF(R403&gt;12,"Event hours look high. ",""),"")&amp;IF(G403&gt;0,"See CONFIRM sheet.",""))</f>
        <v/>
      </c>
      <c r="AB403" s="1" t="n">
        <f aca="false">IF(N403="No",0,IF(REVIEW!O403=0,0,IF(G403&gt;0,IF(INDEX(CONFIRM!$J$5:$J$53,G403)&lt;&gt;"",INDEX(CONFIRM!$J$5:$J$53,G403),1),1)))</f>
        <v>1</v>
      </c>
      <c r="AC403" s="1" t="n">
        <f aca="false">IF(AB403=1,IF(COUNTIFS($B$5:B403,B403,$D$5:D403,D403,$AB$5:AB403,1)=1,1,0),0)</f>
        <v>0</v>
      </c>
    </row>
    <row r="404" customFormat="false" ht="15" hidden="false" customHeight="false" outlineLevel="0" collapsed="false">
      <c r="A404" s="48" t="str">
        <f aca="false">STACK!A404</f>
        <v>KVMC-0400</v>
      </c>
      <c r="B404" s="48" t="str">
        <f aca="false">STACK!B404</f>
        <v>KVMC</v>
      </c>
      <c r="C404" s="48" t="str">
        <f aca="false">STACK!E404</f>
        <v>Naloxone Training and Distribution</v>
      </c>
      <c r="D404" s="1" t="str">
        <f aca="false">IFERROR(INDEX(MAP!$J$7:$J$101,MATCH(TRIM(C404),MAP!$I$7:$I$101,0)),"UNMAPPED")</f>
        <v>Naloxone Training and Distribution</v>
      </c>
      <c r="E404" s="1" t="str">
        <f aca="false">IFERROR(INDEX(MAP!$K$7:$K$101,MATCH(TRIM(C404),MAP!$I$7:$I$101,0)),"")</f>
        <v>Behavioral health</v>
      </c>
      <c r="F404" s="1" t="str">
        <f aca="false">IFERROR(INDEX(MAP!$L$7:$L$101,MATCH(TRIM(C404),MAP!$I$7:$I$101,0)),"")</f>
        <v>Event</v>
      </c>
      <c r="G404" s="1" t="n">
        <f aca="false">IFERROR(MATCH(A404,CONFIRM!$A$5:$A$53,0),0)</f>
        <v>0</v>
      </c>
      <c r="H404" s="48" t="str">
        <f aca="false">STACK!F404</f>
        <v>Community Health Education</v>
      </c>
      <c r="I404" s="1" t="str">
        <f aca="false">IF(G404&gt;0,IF(INDEX(CONFIRM!$I$5:$I$53,G404)&lt;&gt;"",INDEX(CONFIRM!$I$5:$I$53,G404),H404),H404)</f>
        <v>Community Health Education</v>
      </c>
      <c r="J404" s="1" t="str">
        <f aca="false">IFERROR(INDEX(MAP!$F$7:$F$74,MATCH(TRIM(I404),MAP!$E$7:$E$74,0)),"UNMAPPED")</f>
        <v>Community health education</v>
      </c>
      <c r="K404" s="1" t="str">
        <f aca="false">IFERROR(INDEX(MAP!$G$7:$G$74,MATCH(TRIM(I404),MAP!$E$7:$E$74,0)),"UNMAPPED")</f>
        <v>7e</v>
      </c>
      <c r="L404" s="49" t="n">
        <f aca="false">STACK!G404</f>
        <v>46116</v>
      </c>
      <c r="M404" s="59" t="n">
        <f aca="false">IF(G404&gt;0,IF(INDEX(CONFIRM!$G$5:$G$53,G404)&lt;&gt;"",INDEX(CONFIRM!$G$5:$G$53,G404),IF(ISNUMBER(L404),L404,IFERROR(DATEVALUE(L404),""))),IF(ISNUMBER(L404),L404,IFERROR(DATEVALUE(L404),"")))</f>
        <v>46116</v>
      </c>
      <c r="N404" s="1" t="str">
        <f aca="false">IF(M404="","Check",IF(AND(M404&gt;=INPUTS!$C$6,M404&lt;=INPUTS!$C$7),"Yes","No"))</f>
        <v>Yes</v>
      </c>
      <c r="O404" s="48" t="str">
        <f aca="false">STACK!H404</f>
        <v>Health Ed</v>
      </c>
      <c r="P404" s="1" t="str">
        <f aca="false">IF(G404&gt;0,IF(INDEX(CONFIRM!$H$5:$H$53,G404)&lt;&gt;"",INDEX(CONFIRM!$H$5:$H$53,G404),IFERROR(INDEX(MAP!$B$7:$B$156,MATCH(TRIM(O404),MAP!$A$7:$A$156,0)),"UNMAPPED")),IFERROR(INDEX(MAP!$B$7:$B$156,MATCH(TRIM(O404),MAP!$A$7:$A$156,0)),"UNMAPPED"))</f>
        <v>Health Educator</v>
      </c>
      <c r="Q404" s="48" t="n">
        <f aca="false">STACK!I404</f>
        <v>2.5</v>
      </c>
      <c r="R404" s="60" t="n">
        <f aca="false">IF(G404&gt;0,IF(INDEX(CONFIRM!$F$5:$F$53,G404)&lt;&gt;"",INDEX(CONFIRM!$F$5:$F$53,G404),IF(ISNUMBER(Q404),Q404,IF(Q404="","",IFERROR(VALUE(TRIM(SUBSTITUTE(SUBSTITUTE(LOWER(Q404),"hrs",""),"hr",""))),"")))),IF(ISNUMBER(Q404),Q404,IF(Q404="","",IFERROR(VALUE(TRIM(SUBSTITUTE(SUBSTITUTE(LOWER(Q404),"hrs",""),"hr",""))),""))))</f>
        <v>2.5</v>
      </c>
      <c r="S404" s="57" t="n">
        <f aca="false">IFERROR(INDEX(RATES!$E$6:$E$28,MATCH(P404,RATES!$A$6:$A$28,0)),0)</f>
        <v>37.265</v>
      </c>
      <c r="T404" s="61" t="n">
        <f aca="false">IF(ISNUMBER(R404),R404,0)*S404</f>
        <v>93.1625</v>
      </c>
      <c r="U404" s="61" t="n">
        <f aca="false">T404*INDEX(INPUTS!$H$10:$H$14,MATCH(B404,INPUTS!$A$10:$A$14,0))</f>
        <v>17.2350625</v>
      </c>
      <c r="V404" s="61" t="n">
        <f aca="false">N(STACK!K404)</f>
        <v>0</v>
      </c>
      <c r="W404" s="61" t="n">
        <f aca="false">T404+U404+V404</f>
        <v>110.3975625</v>
      </c>
      <c r="X404" s="61" t="n">
        <f aca="false">N(STACK!L404)</f>
        <v>0</v>
      </c>
      <c r="Y404" s="61" t="n">
        <f aca="false">W404-X404</f>
        <v>110.3975625</v>
      </c>
      <c r="Z404" s="1" t="n">
        <f aca="false">N(STACK!J404)</f>
        <v>0</v>
      </c>
      <c r="AA404" s="1" t="str">
        <f aca="false">TRIM(IF(D404="UNMAPPED","Program not mapped. ","")&amp;IF(OR(K404="UNMAPPED",K404="UNASSIGNED"),"Category needs review. ","")&amp;IF(P404="UNMAPPED","Title not mapped. ","")&amp;IF(AND(P404&lt;&gt;"No staff time",R404=""),"Missing hours. ","")&amp;IF(M404="","Date not readable. ","")&amp;IF(N404="No","Outside fiscal year. ","")&amp;IF(AND(F404="Event",ISNUMBER(R404)),IF(R404&gt;12,"Event hours look high. ",""),"")&amp;IF(G404&gt;0,"See CONFIRM sheet.",""))</f>
        <v/>
      </c>
      <c r="AB404" s="1" t="n">
        <f aca="false">IF(N404="No",0,IF(REVIEW!O404=0,0,IF(G404&gt;0,IF(INDEX(CONFIRM!$J$5:$J$53,G404)&lt;&gt;"",INDEX(CONFIRM!$J$5:$J$53,G404),1),1)))</f>
        <v>1</v>
      </c>
      <c r="AC404" s="1" t="n">
        <f aca="false">IF(AB404=1,IF(COUNTIFS($B$5:B404,B404,$D$5:D404,D404,$AB$5:AB404,1)=1,1,0),0)</f>
        <v>0</v>
      </c>
    </row>
    <row r="405" customFormat="false" ht="15" hidden="false" customHeight="false" outlineLevel="0" collapsed="false">
      <c r="A405" s="48" t="str">
        <f aca="false">STACK!A405</f>
        <v>KVMC-0401</v>
      </c>
      <c r="B405" s="48" t="str">
        <f aca="false">STACK!B405</f>
        <v>KVMC</v>
      </c>
      <c r="C405" s="48" t="str">
        <f aca="false">STACK!E405</f>
        <v>Naloxone Training and Distribution</v>
      </c>
      <c r="D405" s="1" t="str">
        <f aca="false">IFERROR(INDEX(MAP!$J$7:$J$101,MATCH(TRIM(C405),MAP!$I$7:$I$101,0)),"UNMAPPED")</f>
        <v>Naloxone Training and Distribution</v>
      </c>
      <c r="E405" s="1" t="str">
        <f aca="false">IFERROR(INDEX(MAP!$K$7:$K$101,MATCH(TRIM(C405),MAP!$I$7:$I$101,0)),"")</f>
        <v>Behavioral health</v>
      </c>
      <c r="F405" s="1" t="str">
        <f aca="false">IFERROR(INDEX(MAP!$L$7:$L$101,MATCH(TRIM(C405),MAP!$I$7:$I$101,0)),"")</f>
        <v>Event</v>
      </c>
      <c r="G405" s="1" t="n">
        <f aca="false">IFERROR(MATCH(A405,CONFIRM!$A$5:$A$53,0),0)</f>
        <v>0</v>
      </c>
      <c r="H405" s="48" t="str">
        <f aca="false">STACK!F405</f>
        <v>Community Health Education</v>
      </c>
      <c r="I405" s="1" t="str">
        <f aca="false">IF(G405&gt;0,IF(INDEX(CONFIRM!$I$5:$I$53,G405)&lt;&gt;"",INDEX(CONFIRM!$I$5:$I$53,G405),H405),H405)</f>
        <v>Community Health Education</v>
      </c>
      <c r="J405" s="1" t="str">
        <f aca="false">IFERROR(INDEX(MAP!$F$7:$F$74,MATCH(TRIM(I405),MAP!$E$7:$E$74,0)),"UNMAPPED")</f>
        <v>Community health education</v>
      </c>
      <c r="K405" s="1" t="str">
        <f aca="false">IFERROR(INDEX(MAP!$G$7:$G$74,MATCH(TRIM(I405),MAP!$E$7:$E$74,0)),"UNMAPPED")</f>
        <v>7e</v>
      </c>
      <c r="L405" s="49" t="n">
        <f aca="false">STACK!G405</f>
        <v>46116</v>
      </c>
      <c r="M405" s="59" t="n">
        <f aca="false">IF(G405&gt;0,IF(INDEX(CONFIRM!$G$5:$G$53,G405)&lt;&gt;"",INDEX(CONFIRM!$G$5:$G$53,G405),IF(ISNUMBER(L405),L405,IFERROR(DATEVALUE(L405),""))),IF(ISNUMBER(L405),L405,IFERROR(DATEVALUE(L405),"")))</f>
        <v>46116</v>
      </c>
      <c r="N405" s="1" t="str">
        <f aca="false">IF(M405="","Check",IF(AND(M405&gt;=INPUTS!$C$6,M405&lt;=INPUTS!$C$7),"Yes","No"))</f>
        <v>Yes</v>
      </c>
      <c r="O405" s="48" t="str">
        <f aca="false">STACK!H405</f>
        <v>Pharm.D.</v>
      </c>
      <c r="P405" s="1" t="str">
        <f aca="false">IF(G405&gt;0,IF(INDEX(CONFIRM!$H$5:$H$53,G405)&lt;&gt;"",INDEX(CONFIRM!$H$5:$H$53,G405),IFERROR(INDEX(MAP!$B$7:$B$156,MATCH(TRIM(O405),MAP!$A$7:$A$156,0)),"UNMAPPED")),IFERROR(INDEX(MAP!$B$7:$B$156,MATCH(TRIM(O405),MAP!$A$7:$A$156,0)),"UNMAPPED"))</f>
        <v>Pharmacist</v>
      </c>
      <c r="Q405" s="48" t="n">
        <f aca="false">STACK!I405</f>
        <v>2.25</v>
      </c>
      <c r="R405" s="60" t="n">
        <f aca="false">IF(G405&gt;0,IF(INDEX(CONFIRM!$F$5:$F$53,G405)&lt;&gt;"",INDEX(CONFIRM!$F$5:$F$53,G405),IF(ISNUMBER(Q405),Q405,IF(Q405="","",IFERROR(VALUE(TRIM(SUBSTITUTE(SUBSTITUTE(LOWER(Q405),"hrs",""),"hr",""))),"")))),IF(ISNUMBER(Q405),Q405,IF(Q405="","",IFERROR(VALUE(TRIM(SUBSTITUTE(SUBSTITUTE(LOWER(Q405),"hrs",""),"hr",""))),""))))</f>
        <v>2.25</v>
      </c>
      <c r="S405" s="57" t="n">
        <f aca="false">IFERROR(INDEX(RATES!$E$6:$E$28,MATCH(P405,RATES!$A$6:$A$28,0)),0)</f>
        <v>84.81</v>
      </c>
      <c r="T405" s="61" t="n">
        <f aca="false">IF(ISNUMBER(R405),R405,0)*S405</f>
        <v>190.8225</v>
      </c>
      <c r="U405" s="61" t="n">
        <f aca="false">T405*INDEX(INPUTS!$H$10:$H$14,MATCH(B405,INPUTS!$A$10:$A$14,0))</f>
        <v>35.3021625</v>
      </c>
      <c r="V405" s="61" t="n">
        <f aca="false">N(STACK!K405)</f>
        <v>1325</v>
      </c>
      <c r="W405" s="61" t="n">
        <f aca="false">T405+U405+V405</f>
        <v>1551.1246625</v>
      </c>
      <c r="X405" s="61" t="n">
        <f aca="false">N(STACK!L405)</f>
        <v>995</v>
      </c>
      <c r="Y405" s="61" t="n">
        <f aca="false">W405-X405</f>
        <v>556.1246625</v>
      </c>
      <c r="Z405" s="1" t="n">
        <f aca="false">N(STACK!J405)</f>
        <v>35</v>
      </c>
      <c r="AA405" s="1" t="str">
        <f aca="false">TRIM(IF(D405="UNMAPPED","Program not mapped. ","")&amp;IF(OR(K405="UNMAPPED",K405="UNASSIGNED"),"Category needs review. ","")&amp;IF(P405="UNMAPPED","Title not mapped. ","")&amp;IF(AND(P405&lt;&gt;"No staff time",R405=""),"Missing hours. ","")&amp;IF(M405="","Date not readable. ","")&amp;IF(N405="No","Outside fiscal year. ","")&amp;IF(AND(F405="Event",ISNUMBER(R405)),IF(R405&gt;12,"Event hours look high. ",""),"")&amp;IF(G405&gt;0,"See CONFIRM sheet.",""))</f>
        <v/>
      </c>
      <c r="AB405" s="1" t="n">
        <f aca="false">IF(N405="No",0,IF(REVIEW!O405=0,0,IF(G405&gt;0,IF(INDEX(CONFIRM!$J$5:$J$53,G405)&lt;&gt;"",INDEX(CONFIRM!$J$5:$J$53,G405),1),1)))</f>
        <v>1</v>
      </c>
      <c r="AC405" s="1" t="n">
        <f aca="false">IF(AB405=1,IF(COUNTIFS($B$5:B405,B405,$D$5:D405,D405,$AB$5:AB405,1)=1,1,0),0)</f>
        <v>0</v>
      </c>
    </row>
    <row r="406" customFormat="false" ht="15" hidden="false" customHeight="false" outlineLevel="0" collapsed="false">
      <c r="A406" s="48" t="str">
        <f aca="false">STACK!A406</f>
        <v>KVMC-0402</v>
      </c>
      <c r="B406" s="48" t="str">
        <f aca="false">STACK!B406</f>
        <v>KVMC</v>
      </c>
      <c r="C406" s="48" t="str">
        <f aca="false">STACK!E406</f>
        <v>School-Based Health Center Support Grant</v>
      </c>
      <c r="D406" s="1" t="str">
        <f aca="false">IFERROR(INDEX(MAP!$J$7:$J$101,MATCH(TRIM(C406),MAP!$I$7:$I$101,0)),"UNMAPPED")</f>
        <v>School-Based Health Center Support Grant</v>
      </c>
      <c r="E406" s="1" t="str">
        <f aca="false">IFERROR(INDEX(MAP!$K$7:$K$101,MATCH(TRIM(C406),MAP!$I$7:$I$101,0)),"")</f>
        <v>Maternal and child health</v>
      </c>
      <c r="F406" s="1" t="str">
        <f aca="false">IFERROR(INDEX(MAP!$L$7:$L$101,MATCH(TRIM(C406),MAP!$I$7:$I$101,0)),"")</f>
        <v>Contribution</v>
      </c>
      <c r="G406" s="1" t="n">
        <f aca="false">IFERROR(MATCH(A406,CONFIRM!$A$5:$A$53,0),0)</f>
        <v>0</v>
      </c>
      <c r="H406" s="48" t="str">
        <f aca="false">STACK!F406</f>
        <v>Cash &amp; In-Kind Donations</v>
      </c>
      <c r="I406" s="1" t="str">
        <f aca="false">IF(G406&gt;0,IF(INDEX(CONFIRM!$I$5:$I$53,G406)&lt;&gt;"",INDEX(CONFIRM!$I$5:$I$53,G406),H406),H406)</f>
        <v>Cash &amp; In-Kind Donations</v>
      </c>
      <c r="J406" s="1" t="str">
        <f aca="false">IFERROR(INDEX(MAP!$F$7:$F$74,MATCH(TRIM(I406),MAP!$E$7:$E$74,0)),"UNMAPPED")</f>
        <v>Cash and in-kind contributions</v>
      </c>
      <c r="K406" s="1" t="str">
        <f aca="false">IFERROR(INDEX(MAP!$G$7:$G$74,MATCH(TRIM(I406),MAP!$E$7:$E$74,0)),"UNMAPPED")</f>
        <v>7i</v>
      </c>
      <c r="L406" s="49" t="n">
        <f aca="false">STACK!G406</f>
        <v>46117</v>
      </c>
      <c r="M406" s="59" t="n">
        <f aca="false">IF(G406&gt;0,IF(INDEX(CONFIRM!$G$5:$G$53,G406)&lt;&gt;"",INDEX(CONFIRM!$G$5:$G$53,G406),IF(ISNUMBER(L406),L406,IFERROR(DATEVALUE(L406),""))),IF(ISNUMBER(L406),L406,IFERROR(DATEVALUE(L406),"")))</f>
        <v>46117</v>
      </c>
      <c r="N406" s="1" t="str">
        <f aca="false">IF(M406="","Check",IF(AND(M406&gt;=INPUTS!$C$6,M406&lt;=INPUTS!$C$7),"Yes","No"))</f>
        <v>Yes</v>
      </c>
      <c r="O406" s="48" t="str">
        <f aca="false">STACK!H406</f>
        <v>N/A</v>
      </c>
      <c r="P406" s="1" t="str">
        <f aca="false">IF(G406&gt;0,IF(INDEX(CONFIRM!$H$5:$H$53,G406)&lt;&gt;"",INDEX(CONFIRM!$H$5:$H$53,G406),IFERROR(INDEX(MAP!$B$7:$B$156,MATCH(TRIM(O406),MAP!$A$7:$A$156,0)),"UNMAPPED")),IFERROR(INDEX(MAP!$B$7:$B$156,MATCH(TRIM(O406),MAP!$A$7:$A$156,0)),"UNMAPPED"))</f>
        <v>No staff time</v>
      </c>
      <c r="Q406" s="48" t="n">
        <f aca="false">STACK!I406</f>
        <v>0</v>
      </c>
      <c r="R406" s="60" t="n">
        <f aca="false">IF(G406&gt;0,IF(INDEX(CONFIRM!$F$5:$F$53,G406)&lt;&gt;"",INDEX(CONFIRM!$F$5:$F$53,G406),IF(ISNUMBER(Q406),Q406,IF(Q406="","",IFERROR(VALUE(TRIM(SUBSTITUTE(SUBSTITUTE(LOWER(Q406),"hrs",""),"hr",""))),"")))),IF(ISNUMBER(Q406),Q406,IF(Q406="","",IFERROR(VALUE(TRIM(SUBSTITUTE(SUBSTITUTE(LOWER(Q406),"hrs",""),"hr",""))),""))))</f>
        <v>0</v>
      </c>
      <c r="S406" s="57" t="n">
        <f aca="false">IFERROR(INDEX(RATES!$E$6:$E$28,MATCH(P406,RATES!$A$6:$A$28,0)),0)</f>
        <v>0</v>
      </c>
      <c r="T406" s="61" t="n">
        <f aca="false">IF(ISNUMBER(R406),R406,0)*S406</f>
        <v>0</v>
      </c>
      <c r="U406" s="61" t="n">
        <f aca="false">T406*INDEX(INPUTS!$H$10:$H$14,MATCH(B406,INPUTS!$A$10:$A$14,0))</f>
        <v>0</v>
      </c>
      <c r="V406" s="61" t="n">
        <f aca="false">N(STACK!K406)</f>
        <v>67520</v>
      </c>
      <c r="W406" s="61" t="n">
        <f aca="false">T406+U406+V406</f>
        <v>67520</v>
      </c>
      <c r="X406" s="61" t="n">
        <f aca="false">N(STACK!L406)</f>
        <v>0</v>
      </c>
      <c r="Y406" s="61" t="n">
        <f aca="false">W406-X406</f>
        <v>67520</v>
      </c>
      <c r="Z406" s="1" t="n">
        <f aca="false">N(STACK!J406)</f>
        <v>0</v>
      </c>
      <c r="AA406" s="1" t="str">
        <f aca="false">TRIM(IF(D406="UNMAPPED","Program not mapped. ","")&amp;IF(OR(K406="UNMAPPED",K406="UNASSIGNED"),"Category needs review. ","")&amp;IF(P406="UNMAPPED","Title not mapped. ","")&amp;IF(AND(P406&lt;&gt;"No staff time",R406=""),"Missing hours. ","")&amp;IF(M406="","Date not readable. ","")&amp;IF(N406="No","Outside fiscal year. ","")&amp;IF(AND(F406="Event",ISNUMBER(R406)),IF(R406&gt;12,"Event hours look high. ",""),"")&amp;IF(G406&gt;0,"See CONFIRM sheet.",""))</f>
        <v/>
      </c>
      <c r="AB406" s="1" t="n">
        <f aca="false">IF(N406="No",0,IF(REVIEW!O406=0,0,IF(G406&gt;0,IF(INDEX(CONFIRM!$J$5:$J$53,G406)&lt;&gt;"",INDEX(CONFIRM!$J$5:$J$53,G406),1),1)))</f>
        <v>1</v>
      </c>
      <c r="AC406" s="1" t="n">
        <f aca="false">IF(AB406=1,IF(COUNTIFS($B$5:B406,B406,$D$5:D406,D406,$AB$5:AB406,1)=1,1,0),0)</f>
        <v>0</v>
      </c>
    </row>
    <row r="407" customFormat="false" ht="15" hidden="false" customHeight="false" outlineLevel="0" collapsed="false">
      <c r="A407" s="48" t="str">
        <f aca="false">STACK!A407</f>
        <v>KVMC-0403</v>
      </c>
      <c r="B407" s="48" t="str">
        <f aca="false">STACK!B407</f>
        <v>KVMC</v>
      </c>
      <c r="C407" s="48" t="str">
        <f aca="false">STACK!E407</f>
        <v>Mental Health First Aid Training</v>
      </c>
      <c r="D407" s="1" t="str">
        <f aca="false">IFERROR(INDEX(MAP!$J$7:$J$101,MATCH(TRIM(C407),MAP!$I$7:$I$101,0)),"UNMAPPED")</f>
        <v>Mental Health First Aid Training</v>
      </c>
      <c r="E407" s="1" t="str">
        <f aca="false">IFERROR(INDEX(MAP!$K$7:$K$101,MATCH(TRIM(C407),MAP!$I$7:$I$101,0)),"")</f>
        <v>Behavioral health</v>
      </c>
      <c r="F407" s="1" t="str">
        <f aca="false">IFERROR(INDEX(MAP!$L$7:$L$101,MATCH(TRIM(C407),MAP!$I$7:$I$101,0)),"")</f>
        <v>Event</v>
      </c>
      <c r="G407" s="1" t="n">
        <f aca="false">IFERROR(MATCH(A407,CONFIRM!$A$5:$A$53,0),0)</f>
        <v>0</v>
      </c>
      <c r="H407" s="48" t="str">
        <f aca="false">STACK!F407</f>
        <v>Community Health Education</v>
      </c>
      <c r="I407" s="1" t="str">
        <f aca="false">IF(G407&gt;0,IF(INDEX(CONFIRM!$I$5:$I$53,G407)&lt;&gt;"",INDEX(CONFIRM!$I$5:$I$53,G407),H407),H407)</f>
        <v>Community Health Education</v>
      </c>
      <c r="J407" s="1" t="str">
        <f aca="false">IFERROR(INDEX(MAP!$F$7:$F$74,MATCH(TRIM(I407),MAP!$E$7:$E$74,0)),"UNMAPPED")</f>
        <v>Community health education</v>
      </c>
      <c r="K407" s="1" t="str">
        <f aca="false">IFERROR(INDEX(MAP!$G$7:$G$74,MATCH(TRIM(I407),MAP!$E$7:$E$74,0)),"UNMAPPED")</f>
        <v>7e</v>
      </c>
      <c r="L407" s="49" t="n">
        <f aca="false">STACK!G407</f>
        <v>46126</v>
      </c>
      <c r="M407" s="59" t="n">
        <f aca="false">IF(G407&gt;0,IF(INDEX(CONFIRM!$G$5:$G$53,G407)&lt;&gt;"",INDEX(CONFIRM!$G$5:$G$53,G407),IF(ISNUMBER(L407),L407,IFERROR(DATEVALUE(L407),""))),IF(ISNUMBER(L407),L407,IFERROR(DATEVALUE(L407),"")))</f>
        <v>46126</v>
      </c>
      <c r="N407" s="1" t="str">
        <f aca="false">IF(M407="","Check",IF(AND(M407&gt;=INPUTS!$C$6,M407&lt;=INPUTS!$C$7),"Yes","No"))</f>
        <v>Yes</v>
      </c>
      <c r="O407" s="48" t="str">
        <f aca="false">STACK!H407</f>
        <v>CHES</v>
      </c>
      <c r="P407" s="1" t="str">
        <f aca="false">IF(G407&gt;0,IF(INDEX(CONFIRM!$H$5:$H$53,G407)&lt;&gt;"",INDEX(CONFIRM!$H$5:$H$53,G407),IFERROR(INDEX(MAP!$B$7:$B$156,MATCH(TRIM(O407),MAP!$A$7:$A$156,0)),"UNMAPPED")),IFERROR(INDEX(MAP!$B$7:$B$156,MATCH(TRIM(O407),MAP!$A$7:$A$156,0)),"UNMAPPED"))</f>
        <v>Health Educator</v>
      </c>
      <c r="Q407" s="48" t="n">
        <f aca="false">STACK!I407</f>
        <v>8</v>
      </c>
      <c r="R407" s="60" t="n">
        <f aca="false">IF(G407&gt;0,IF(INDEX(CONFIRM!$F$5:$F$53,G407)&lt;&gt;"",INDEX(CONFIRM!$F$5:$F$53,G407),IF(ISNUMBER(Q407),Q407,IF(Q407="","",IFERROR(VALUE(TRIM(SUBSTITUTE(SUBSTITUTE(LOWER(Q407),"hrs",""),"hr",""))),"")))),IF(ISNUMBER(Q407),Q407,IF(Q407="","",IFERROR(VALUE(TRIM(SUBSTITUTE(SUBSTITUTE(LOWER(Q407),"hrs",""),"hr",""))),""))))</f>
        <v>8</v>
      </c>
      <c r="S407" s="57" t="n">
        <f aca="false">IFERROR(INDEX(RATES!$E$6:$E$28,MATCH(P407,RATES!$A$6:$A$28,0)),0)</f>
        <v>37.265</v>
      </c>
      <c r="T407" s="61" t="n">
        <f aca="false">IF(ISNUMBER(R407),R407,0)*S407</f>
        <v>298.12</v>
      </c>
      <c r="U407" s="61" t="n">
        <f aca="false">T407*INDEX(INPUTS!$H$10:$H$14,MATCH(B407,INPUTS!$A$10:$A$14,0))</f>
        <v>55.1522</v>
      </c>
      <c r="V407" s="61" t="n">
        <f aca="false">N(STACK!K407)</f>
        <v>0</v>
      </c>
      <c r="W407" s="61" t="n">
        <f aca="false">T407+U407+V407</f>
        <v>353.2722</v>
      </c>
      <c r="X407" s="61" t="n">
        <f aca="false">N(STACK!L407)</f>
        <v>0</v>
      </c>
      <c r="Y407" s="61" t="n">
        <f aca="false">W407-X407</f>
        <v>353.2722</v>
      </c>
      <c r="Z407" s="1" t="n">
        <f aca="false">N(STACK!J407)</f>
        <v>0</v>
      </c>
      <c r="AA407" s="1" t="str">
        <f aca="false">TRIM(IF(D407="UNMAPPED","Program not mapped. ","")&amp;IF(OR(K407="UNMAPPED",K407="UNASSIGNED"),"Category needs review. ","")&amp;IF(P407="UNMAPPED","Title not mapped. ","")&amp;IF(AND(P407&lt;&gt;"No staff time",R407=""),"Missing hours. ","")&amp;IF(M407="","Date not readable. ","")&amp;IF(N407="No","Outside fiscal year. ","")&amp;IF(AND(F407="Event",ISNUMBER(R407)),IF(R407&gt;12,"Event hours look high. ",""),"")&amp;IF(G407&gt;0,"See CONFIRM sheet.",""))</f>
        <v/>
      </c>
      <c r="AB407" s="1" t="n">
        <f aca="false">IF(N407="No",0,IF(REVIEW!O407=0,0,IF(G407&gt;0,IF(INDEX(CONFIRM!$J$5:$J$53,G407)&lt;&gt;"",INDEX(CONFIRM!$J$5:$J$53,G407),1),1)))</f>
        <v>1</v>
      </c>
      <c r="AC407" s="1" t="n">
        <f aca="false">IF(AB407=1,IF(COUNTIFS($B$5:B407,B407,$D$5:D407,D407,$AB$5:AB407,1)=1,1,0),0)</f>
        <v>0</v>
      </c>
    </row>
    <row r="408" customFormat="false" ht="15" hidden="false" customHeight="false" outlineLevel="0" collapsed="false">
      <c r="A408" s="48" t="str">
        <f aca="false">STACK!A408</f>
        <v>KVMC-0404</v>
      </c>
      <c r="B408" s="48" t="str">
        <f aca="false">STACK!B408</f>
        <v>KVMC</v>
      </c>
      <c r="C408" s="48" t="str">
        <f aca="false">STACK!E408</f>
        <v>Mental Health First Aid Training</v>
      </c>
      <c r="D408" s="1" t="str">
        <f aca="false">IFERROR(INDEX(MAP!$J$7:$J$101,MATCH(TRIM(C408),MAP!$I$7:$I$101,0)),"UNMAPPED")</f>
        <v>Mental Health First Aid Training</v>
      </c>
      <c r="E408" s="1" t="str">
        <f aca="false">IFERROR(INDEX(MAP!$K$7:$K$101,MATCH(TRIM(C408),MAP!$I$7:$I$101,0)),"")</f>
        <v>Behavioral health</v>
      </c>
      <c r="F408" s="1" t="str">
        <f aca="false">IFERROR(INDEX(MAP!$L$7:$L$101,MATCH(TRIM(C408),MAP!$I$7:$I$101,0)),"")</f>
        <v>Event</v>
      </c>
      <c r="G408" s="1" t="n">
        <f aca="false">IFERROR(MATCH(A408,CONFIRM!$A$5:$A$53,0),0)</f>
        <v>0</v>
      </c>
      <c r="H408" s="48" t="str">
        <f aca="false">STACK!F408</f>
        <v>Community Health Education</v>
      </c>
      <c r="I408" s="1" t="str">
        <f aca="false">IF(G408&gt;0,IF(INDEX(CONFIRM!$I$5:$I$53,G408)&lt;&gt;"",INDEX(CONFIRM!$I$5:$I$53,G408),H408),H408)</f>
        <v>Community Health Education</v>
      </c>
      <c r="J408" s="1" t="str">
        <f aca="false">IFERROR(INDEX(MAP!$F$7:$F$74,MATCH(TRIM(I408),MAP!$E$7:$E$74,0)),"UNMAPPED")</f>
        <v>Community health education</v>
      </c>
      <c r="K408" s="1" t="str">
        <f aca="false">IFERROR(INDEX(MAP!$G$7:$G$74,MATCH(TRIM(I408),MAP!$E$7:$E$74,0)),"UNMAPPED")</f>
        <v>7e</v>
      </c>
      <c r="L408" s="49" t="n">
        <f aca="false">STACK!G408</f>
        <v>46126</v>
      </c>
      <c r="M408" s="59" t="n">
        <f aca="false">IF(G408&gt;0,IF(INDEX(CONFIRM!$G$5:$G$53,G408)&lt;&gt;"",INDEX(CONFIRM!$G$5:$G$53,G408),IF(ISNUMBER(L408),L408,IFERROR(DATEVALUE(L408),""))),IF(ISNUMBER(L408),L408,IFERROR(DATEVALUE(L408),"")))</f>
        <v>46126</v>
      </c>
      <c r="N408" s="1" t="str">
        <f aca="false">IF(M408="","Check",IF(AND(M408&gt;=INPUTS!$C$6,M408&lt;=INPUTS!$C$7),"Yes","No"))</f>
        <v>Yes</v>
      </c>
      <c r="O408" s="48" t="str">
        <f aca="false">STACK!H408</f>
        <v>LMSW</v>
      </c>
      <c r="P408" s="1" t="str">
        <f aca="false">IF(G408&gt;0,IF(INDEX(CONFIRM!$H$5:$H$53,G408)&lt;&gt;"",INDEX(CONFIRM!$H$5:$H$53,G408),IFERROR(INDEX(MAP!$B$7:$B$156,MATCH(TRIM(O408),MAP!$A$7:$A$156,0)),"UNMAPPED")),IFERROR(INDEX(MAP!$B$7:$B$156,MATCH(TRIM(O408),MAP!$A$7:$A$156,0)),"UNMAPPED"))</f>
        <v>Social Worker</v>
      </c>
      <c r="Q408" s="48" t="n">
        <f aca="false">STACK!I408</f>
        <v>8</v>
      </c>
      <c r="R408" s="60" t="n">
        <f aca="false">IF(G408&gt;0,IF(INDEX(CONFIRM!$F$5:$F$53,G408)&lt;&gt;"",INDEX(CONFIRM!$F$5:$F$53,G408),IF(ISNUMBER(Q408),Q408,IF(Q408="","",IFERROR(VALUE(TRIM(SUBSTITUTE(SUBSTITUTE(LOWER(Q408),"hrs",""),"hr",""))),"")))),IF(ISNUMBER(Q408),Q408,IF(Q408="","",IFERROR(VALUE(TRIM(SUBSTITUTE(SUBSTITUTE(LOWER(Q408),"hrs",""),"hr",""))),""))))</f>
        <v>8</v>
      </c>
      <c r="S408" s="57" t="n">
        <f aca="false">IFERROR(INDEX(RATES!$E$6:$E$28,MATCH(P408,RATES!$A$6:$A$28,0)),0)</f>
        <v>45.6175</v>
      </c>
      <c r="T408" s="61" t="n">
        <f aca="false">IF(ISNUMBER(R408),R408,0)*S408</f>
        <v>364.94</v>
      </c>
      <c r="U408" s="61" t="n">
        <f aca="false">T408*INDEX(INPUTS!$H$10:$H$14,MATCH(B408,INPUTS!$A$10:$A$14,0))</f>
        <v>67.5139</v>
      </c>
      <c r="V408" s="61" t="n">
        <f aca="false">N(STACK!K408)</f>
        <v>325</v>
      </c>
      <c r="W408" s="61" t="n">
        <f aca="false">T408+U408+V408</f>
        <v>757.4539</v>
      </c>
      <c r="X408" s="61" t="n">
        <f aca="false">N(STACK!L408)</f>
        <v>0</v>
      </c>
      <c r="Y408" s="61" t="n">
        <f aca="false">W408-X408</f>
        <v>757.4539</v>
      </c>
      <c r="Z408" s="1" t="n">
        <f aca="false">N(STACK!J408)</f>
        <v>27</v>
      </c>
      <c r="AA408" s="1" t="str">
        <f aca="false">TRIM(IF(D408="UNMAPPED","Program not mapped. ","")&amp;IF(OR(K408="UNMAPPED",K408="UNASSIGNED"),"Category needs review. ","")&amp;IF(P408="UNMAPPED","Title not mapped. ","")&amp;IF(AND(P408&lt;&gt;"No staff time",R408=""),"Missing hours. ","")&amp;IF(M408="","Date not readable. ","")&amp;IF(N408="No","Outside fiscal year. ","")&amp;IF(AND(F408="Event",ISNUMBER(R408)),IF(R408&gt;12,"Event hours look high. ",""),"")&amp;IF(G408&gt;0,"See CONFIRM sheet.",""))</f>
        <v/>
      </c>
      <c r="AB408" s="1" t="n">
        <f aca="false">IF(N408="No",0,IF(REVIEW!O408=0,0,IF(G408&gt;0,IF(INDEX(CONFIRM!$J$5:$J$53,G408)&lt;&gt;"",INDEX(CONFIRM!$J$5:$J$53,G408),1),1)))</f>
        <v>1</v>
      </c>
      <c r="AC408" s="1" t="n">
        <f aca="false">IF(AB408=1,IF(COUNTIFS($B$5:B408,B408,$D$5:D408,D408,$AB$5:AB408,1)=1,1,0),0)</f>
        <v>0</v>
      </c>
    </row>
    <row r="409" customFormat="false" ht="15" hidden="false" customHeight="false" outlineLevel="0" collapsed="false">
      <c r="A409" s="48" t="str">
        <f aca="false">STACK!A409</f>
        <v>KVMC-0405</v>
      </c>
      <c r="B409" s="48" t="str">
        <f aca="false">STACK!B409</f>
        <v>KVMC</v>
      </c>
      <c r="C409" s="48" t="str">
        <f aca="false">STACK!E409</f>
        <v>Grief Support Group</v>
      </c>
      <c r="D409" s="1" t="str">
        <f aca="false">IFERROR(INDEX(MAP!$J$7:$J$101,MATCH(TRIM(C409),MAP!$I$7:$I$101,0)),"UNMAPPED")</f>
        <v>Grief Support Group</v>
      </c>
      <c r="E409" s="1" t="str">
        <f aca="false">IFERROR(INDEX(MAP!$K$7:$K$101,MATCH(TRIM(C409),MAP!$I$7:$I$101,0)),"")</f>
        <v>Behavioral health</v>
      </c>
      <c r="F409" s="1" t="str">
        <f aca="false">IFERROR(INDEX(MAP!$L$7:$L$101,MATCH(TRIM(C409),MAP!$I$7:$I$101,0)),"")</f>
        <v>Event</v>
      </c>
      <c r="G409" s="1" t="n">
        <f aca="false">IFERROR(MATCH(A409,CONFIRM!$A$5:$A$53,0),0)</f>
        <v>0</v>
      </c>
      <c r="H409" s="48" t="str">
        <f aca="false">STACK!F409</f>
        <v>Health Care Support Services</v>
      </c>
      <c r="I409" s="1" t="str">
        <f aca="false">IF(G409&gt;0,IF(INDEX(CONFIRM!$I$5:$I$53,G409)&lt;&gt;"",INDEX(CONFIRM!$I$5:$I$53,G409),H409),H409)</f>
        <v>Health Care Support Services</v>
      </c>
      <c r="J409" s="1" t="str">
        <f aca="false">IFERROR(INDEX(MAP!$F$7:$F$74,MATCH(TRIM(I409),MAP!$E$7:$E$74,0)),"UNMAPPED")</f>
        <v>Health care support services</v>
      </c>
      <c r="K409" s="1" t="str">
        <f aca="false">IFERROR(INDEX(MAP!$G$7:$G$74,MATCH(TRIM(I409),MAP!$E$7:$E$74,0)),"UNMAPPED")</f>
        <v>7e</v>
      </c>
      <c r="L409" s="49" t="n">
        <f aca="false">STACK!G409</f>
        <v>46127</v>
      </c>
      <c r="M409" s="59" t="n">
        <f aca="false">IF(G409&gt;0,IF(INDEX(CONFIRM!$G$5:$G$53,G409)&lt;&gt;"",INDEX(CONFIRM!$G$5:$G$53,G409),IF(ISNUMBER(L409),L409,IFERROR(DATEVALUE(L409),""))),IF(ISNUMBER(L409),L409,IFERROR(DATEVALUE(L409),"")))</f>
        <v>46127</v>
      </c>
      <c r="N409" s="1" t="str">
        <f aca="false">IF(M409="","Check",IF(AND(M409&gt;=INPUTS!$C$6,M409&lt;=INPUTS!$C$7),"Yes","No"))</f>
        <v>Yes</v>
      </c>
      <c r="O409" s="48" t="str">
        <f aca="false">STACK!H409</f>
        <v> Spiritual Care</v>
      </c>
      <c r="P409" s="1" t="str">
        <f aca="false">IF(G409&gt;0,IF(INDEX(CONFIRM!$H$5:$H$53,G409)&lt;&gt;"",INDEX(CONFIRM!$H$5:$H$53,G409),IFERROR(INDEX(MAP!$B$7:$B$156,MATCH(TRIM(O409),MAP!$A$7:$A$156,0)),"UNMAPPED")),IFERROR(INDEX(MAP!$B$7:$B$156,MATCH(TRIM(O409),MAP!$A$7:$A$156,0)),"UNMAPPED"))</f>
        <v>Chaplain</v>
      </c>
      <c r="Q409" s="48" t="n">
        <f aca="false">STACK!I409</f>
        <v>2.25</v>
      </c>
      <c r="R409" s="60" t="n">
        <f aca="false">IF(G409&gt;0,IF(INDEX(CONFIRM!$F$5:$F$53,G409)&lt;&gt;"",INDEX(CONFIRM!$F$5:$F$53,G409),IF(ISNUMBER(Q409),Q409,IF(Q409="","",IFERROR(VALUE(TRIM(SUBSTITUTE(SUBSTITUTE(LOWER(Q409),"hrs",""),"hr",""))),"")))),IF(ISNUMBER(Q409),Q409,IF(Q409="","",IFERROR(VALUE(TRIM(SUBSTITUTE(SUBSTITUTE(LOWER(Q409),"hrs",""),"hr",""))),""))))</f>
        <v>2.25</v>
      </c>
      <c r="S409" s="57" t="n">
        <f aca="false">IFERROR(INDEX(RATES!$E$6:$E$28,MATCH(P409,RATES!$A$6:$A$28,0)),0)</f>
        <v>39.835</v>
      </c>
      <c r="T409" s="61" t="n">
        <f aca="false">IF(ISNUMBER(R409),R409,0)*S409</f>
        <v>89.62875</v>
      </c>
      <c r="U409" s="61" t="n">
        <f aca="false">T409*INDEX(INPUTS!$H$10:$H$14,MATCH(B409,INPUTS!$A$10:$A$14,0))</f>
        <v>16.58131875</v>
      </c>
      <c r="V409" s="61" t="n">
        <f aca="false">N(STACK!K409)</f>
        <v>20</v>
      </c>
      <c r="W409" s="61" t="n">
        <f aca="false">T409+U409+V409</f>
        <v>126.21006875</v>
      </c>
      <c r="X409" s="61" t="n">
        <f aca="false">N(STACK!L409)</f>
        <v>0</v>
      </c>
      <c r="Y409" s="61" t="n">
        <f aca="false">W409-X409</f>
        <v>126.21006875</v>
      </c>
      <c r="Z409" s="1" t="n">
        <f aca="false">N(STACK!J409)</f>
        <v>11</v>
      </c>
      <c r="AA409" s="1" t="str">
        <f aca="false">TRIM(IF(D409="UNMAPPED","Program not mapped. ","")&amp;IF(OR(K409="UNMAPPED",K409="UNASSIGNED"),"Category needs review. ","")&amp;IF(P409="UNMAPPED","Title not mapped. ","")&amp;IF(AND(P409&lt;&gt;"No staff time",R409=""),"Missing hours. ","")&amp;IF(M409="","Date not readable. ","")&amp;IF(N409="No","Outside fiscal year. ","")&amp;IF(AND(F409="Event",ISNUMBER(R409)),IF(R409&gt;12,"Event hours look high. ",""),"")&amp;IF(G409&gt;0,"See CONFIRM sheet.",""))</f>
        <v/>
      </c>
      <c r="AB409" s="1" t="n">
        <f aca="false">IF(N409="No",0,IF(REVIEW!O409=0,0,IF(G409&gt;0,IF(INDEX(CONFIRM!$J$5:$J$53,G409)&lt;&gt;"",INDEX(CONFIRM!$J$5:$J$53,G409),1),1)))</f>
        <v>1</v>
      </c>
      <c r="AC409" s="1" t="n">
        <f aca="false">IF(AB409=1,IF(COUNTIFS($B$5:B409,B409,$D$5:D409,D409,$AB$5:AB409,1)=1,1,0),0)</f>
        <v>0</v>
      </c>
    </row>
    <row r="410" customFormat="false" ht="15" hidden="false" customHeight="false" outlineLevel="0" collapsed="false">
      <c r="A410" s="48" t="str">
        <f aca="false">STACK!A410</f>
        <v>KVMC-0406</v>
      </c>
      <c r="B410" s="48" t="str">
        <f aca="false">STACK!B410</f>
        <v>KVMC</v>
      </c>
      <c r="C410" s="48" t="str">
        <f aca="false">STACK!E410</f>
        <v>Grief Support Group</v>
      </c>
      <c r="D410" s="1" t="str">
        <f aca="false">IFERROR(INDEX(MAP!$J$7:$J$101,MATCH(TRIM(C410),MAP!$I$7:$I$101,0)),"UNMAPPED")</f>
        <v>Grief Support Group</v>
      </c>
      <c r="E410" s="1" t="str">
        <f aca="false">IFERROR(INDEX(MAP!$K$7:$K$101,MATCH(TRIM(C410),MAP!$I$7:$I$101,0)),"")</f>
        <v>Behavioral health</v>
      </c>
      <c r="F410" s="1" t="str">
        <f aca="false">IFERROR(INDEX(MAP!$L$7:$L$101,MATCH(TRIM(C410),MAP!$I$7:$I$101,0)),"")</f>
        <v>Event</v>
      </c>
      <c r="G410" s="1" t="n">
        <f aca="false">IFERROR(MATCH(A410,CONFIRM!$A$5:$A$53,0),0)</f>
        <v>0</v>
      </c>
      <c r="H410" s="48" t="str">
        <f aca="false">STACK!F410</f>
        <v>Health Care Support Services</v>
      </c>
      <c r="I410" s="1" t="str">
        <f aca="false">IF(G410&gt;0,IF(INDEX(CONFIRM!$I$5:$I$53,G410)&lt;&gt;"",INDEX(CONFIRM!$I$5:$I$53,G410),H410),H410)</f>
        <v>Health Care Support Services</v>
      </c>
      <c r="J410" s="1" t="str">
        <f aca="false">IFERROR(INDEX(MAP!$F$7:$F$74,MATCH(TRIM(I410),MAP!$E$7:$E$74,0)),"UNMAPPED")</f>
        <v>Health care support services</v>
      </c>
      <c r="K410" s="1" t="str">
        <f aca="false">IFERROR(INDEX(MAP!$G$7:$G$74,MATCH(TRIM(I410),MAP!$E$7:$E$74,0)),"UNMAPPED")</f>
        <v>7e</v>
      </c>
      <c r="L410" s="49" t="n">
        <f aca="false">STACK!G410</f>
        <v>46127</v>
      </c>
      <c r="M410" s="59" t="n">
        <f aca="false">IF(G410&gt;0,IF(INDEX(CONFIRM!$G$5:$G$53,G410)&lt;&gt;"",INDEX(CONFIRM!$G$5:$G$53,G410),IF(ISNUMBER(L410),L410,IFERROR(DATEVALUE(L410),""))),IF(ISNUMBER(L410),L410,IFERROR(DATEVALUE(L410),"")))</f>
        <v>46127</v>
      </c>
      <c r="N410" s="1" t="str">
        <f aca="false">IF(M410="","Check",IF(AND(M410&gt;=INPUTS!$C$6,M410&lt;=INPUTS!$C$7),"Yes","No"))</f>
        <v>Yes</v>
      </c>
      <c r="O410" s="48" t="str">
        <f aca="false">STACK!H410</f>
        <v>LMSW</v>
      </c>
      <c r="P410" s="1" t="str">
        <f aca="false">IF(G410&gt;0,IF(INDEX(CONFIRM!$H$5:$H$53,G410)&lt;&gt;"",INDEX(CONFIRM!$H$5:$H$53,G410),IFERROR(INDEX(MAP!$B$7:$B$156,MATCH(TRIM(O410),MAP!$A$7:$A$156,0)),"UNMAPPED")),IFERROR(INDEX(MAP!$B$7:$B$156,MATCH(TRIM(O410),MAP!$A$7:$A$156,0)),"UNMAPPED"))</f>
        <v>Social Worker</v>
      </c>
      <c r="Q410" s="48" t="n">
        <f aca="false">STACK!I410</f>
        <v>1.75</v>
      </c>
      <c r="R410" s="60" t="n">
        <f aca="false">IF(G410&gt;0,IF(INDEX(CONFIRM!$F$5:$F$53,G410)&lt;&gt;"",INDEX(CONFIRM!$F$5:$F$53,G410),IF(ISNUMBER(Q410),Q410,IF(Q410="","",IFERROR(VALUE(TRIM(SUBSTITUTE(SUBSTITUTE(LOWER(Q410),"hrs",""),"hr",""))),"")))),IF(ISNUMBER(Q410),Q410,IF(Q410="","",IFERROR(VALUE(TRIM(SUBSTITUTE(SUBSTITUTE(LOWER(Q410),"hrs",""),"hr",""))),""))))</f>
        <v>1.75</v>
      </c>
      <c r="S410" s="57" t="n">
        <f aca="false">IFERROR(INDEX(RATES!$E$6:$E$28,MATCH(P410,RATES!$A$6:$A$28,0)),0)</f>
        <v>45.6175</v>
      </c>
      <c r="T410" s="61" t="n">
        <f aca="false">IF(ISNUMBER(R410),R410,0)*S410</f>
        <v>79.830625</v>
      </c>
      <c r="U410" s="61" t="n">
        <f aca="false">T410*INDEX(INPUTS!$H$10:$H$14,MATCH(B410,INPUTS!$A$10:$A$14,0))</f>
        <v>14.768665625</v>
      </c>
      <c r="V410" s="61" t="n">
        <f aca="false">N(STACK!K410)</f>
        <v>0</v>
      </c>
      <c r="W410" s="61" t="n">
        <f aca="false">T410+U410+V410</f>
        <v>94.599290625</v>
      </c>
      <c r="X410" s="61" t="n">
        <f aca="false">N(STACK!L410)</f>
        <v>0</v>
      </c>
      <c r="Y410" s="61" t="n">
        <f aca="false">W410-X410</f>
        <v>94.599290625</v>
      </c>
      <c r="Z410" s="1" t="n">
        <f aca="false">N(STACK!J410)</f>
        <v>0</v>
      </c>
      <c r="AA410" s="1" t="str">
        <f aca="false">TRIM(IF(D410="UNMAPPED","Program not mapped. ","")&amp;IF(OR(K410="UNMAPPED",K410="UNASSIGNED"),"Category needs review. ","")&amp;IF(P410="UNMAPPED","Title not mapped. ","")&amp;IF(AND(P410&lt;&gt;"No staff time",R410=""),"Missing hours. ","")&amp;IF(M410="","Date not readable. ","")&amp;IF(N410="No","Outside fiscal year. ","")&amp;IF(AND(F410="Event",ISNUMBER(R410)),IF(R410&gt;12,"Event hours look high. ",""),"")&amp;IF(G410&gt;0,"See CONFIRM sheet.",""))</f>
        <v/>
      </c>
      <c r="AB410" s="1" t="n">
        <f aca="false">IF(N410="No",0,IF(REVIEW!O410=0,0,IF(G410&gt;0,IF(INDEX(CONFIRM!$J$5:$J$53,G410)&lt;&gt;"",INDEX(CONFIRM!$J$5:$J$53,G410),1),1)))</f>
        <v>1</v>
      </c>
      <c r="AC410" s="1" t="n">
        <f aca="false">IF(AB410=1,IF(COUNTIFS($B$5:B410,B410,$D$5:D410,D410,$AB$5:AB410,1)=1,1,0),0)</f>
        <v>0</v>
      </c>
    </row>
    <row r="411" customFormat="false" ht="15" hidden="false" customHeight="false" outlineLevel="0" collapsed="false">
      <c r="A411" s="48" t="str">
        <f aca="false">STACK!A411</f>
        <v>KVMC-0407</v>
      </c>
      <c r="B411" s="48" t="str">
        <f aca="false">STACK!B411</f>
        <v>KVMC</v>
      </c>
      <c r="C411" s="48" t="str">
        <f aca="false">STACK!E411</f>
        <v>Community Blood Pressure Checks</v>
      </c>
      <c r="D411" s="1" t="str">
        <f aca="false">IFERROR(INDEX(MAP!$J$7:$J$101,MATCH(TRIM(C411),MAP!$I$7:$I$101,0)),"UNMAPPED")</f>
        <v>Community Blood Pressure Checks</v>
      </c>
      <c r="E411" s="1" t="str">
        <f aca="false">IFERROR(INDEX(MAP!$K$7:$K$101,MATCH(TRIM(C411),MAP!$I$7:$I$101,0)),"")</f>
        <v>Chronic disease prevention</v>
      </c>
      <c r="F411" s="1" t="str">
        <f aca="false">IFERROR(INDEX(MAP!$L$7:$L$101,MATCH(TRIM(C411),MAP!$I$7:$I$101,0)),"")</f>
        <v>Event</v>
      </c>
      <c r="G411" s="1" t="n">
        <f aca="false">IFERROR(MATCH(A411,CONFIRM!$A$5:$A$53,0),0)</f>
        <v>0</v>
      </c>
      <c r="H411" s="48" t="str">
        <f aca="false">STACK!F411</f>
        <v>Community-Based Clinical Services</v>
      </c>
      <c r="I411" s="1" t="str">
        <f aca="false">IF(G411&gt;0,IF(INDEX(CONFIRM!$I$5:$I$53,G411)&lt;&gt;"",INDEX(CONFIRM!$I$5:$I$53,G411),H411),H411)</f>
        <v>Community-Based Clinical Services</v>
      </c>
      <c r="J411" s="1" t="str">
        <f aca="false">IFERROR(INDEX(MAP!$F$7:$F$74,MATCH(TRIM(I411),MAP!$E$7:$E$74,0)),"UNMAPPED")</f>
        <v>Community-based clinical services</v>
      </c>
      <c r="K411" s="1" t="str">
        <f aca="false">IFERROR(INDEX(MAP!$G$7:$G$74,MATCH(TRIM(I411),MAP!$E$7:$E$74,0)),"UNMAPPED")</f>
        <v>7e</v>
      </c>
      <c r="L411" s="49" t="n">
        <f aca="false">STACK!G411</f>
        <v>46130</v>
      </c>
      <c r="M411" s="59" t="n">
        <f aca="false">IF(G411&gt;0,IF(INDEX(CONFIRM!$G$5:$G$53,G411)&lt;&gt;"",INDEX(CONFIRM!$G$5:$G$53,G411),IF(ISNUMBER(L411),L411,IFERROR(DATEVALUE(L411),""))),IF(ISNUMBER(L411),L411,IFERROR(DATEVALUE(L411),"")))</f>
        <v>46130</v>
      </c>
      <c r="N411" s="1" t="str">
        <f aca="false">IF(M411="","Check",IF(AND(M411&gt;=INPUTS!$C$6,M411&lt;=INPUTS!$C$7),"Yes","No"))</f>
        <v>Yes</v>
      </c>
      <c r="O411" s="48" t="str">
        <f aca="false">STACK!H411</f>
        <v>RN - Outreach</v>
      </c>
      <c r="P411" s="1" t="str">
        <f aca="false">IF(G411&gt;0,IF(INDEX(CONFIRM!$H$5:$H$53,G411)&lt;&gt;"",INDEX(CONFIRM!$H$5:$H$53,G411),IFERROR(INDEX(MAP!$B$7:$B$156,MATCH(TRIM(O411),MAP!$A$7:$A$156,0)),"UNMAPPED")),IFERROR(INDEX(MAP!$B$7:$B$156,MATCH(TRIM(O411),MAP!$A$7:$A$156,0)),"UNMAPPED"))</f>
        <v>Registered Nurse</v>
      </c>
      <c r="Q411" s="48" t="n">
        <f aca="false">STACK!I411</f>
        <v>3.75</v>
      </c>
      <c r="R411" s="60" t="n">
        <f aca="false">IF(G411&gt;0,IF(INDEX(CONFIRM!$F$5:$F$53,G411)&lt;&gt;"",INDEX(CONFIRM!$F$5:$F$53,G411),IF(ISNUMBER(Q411),Q411,IF(Q411="","",IFERROR(VALUE(TRIM(SUBSTITUTE(SUBSTITUTE(LOWER(Q411),"hrs",""),"hr",""))),"")))),IF(ISNUMBER(Q411),Q411,IF(Q411="","",IFERROR(VALUE(TRIM(SUBSTITUTE(SUBSTITUTE(LOWER(Q411),"hrs",""),"hr",""))),""))))</f>
        <v>3.75</v>
      </c>
      <c r="S411" s="57" t="n">
        <f aca="false">IFERROR(INDEX(RATES!$E$6:$E$28,MATCH(P411,RATES!$A$6:$A$28,0)),0)</f>
        <v>55.8975</v>
      </c>
      <c r="T411" s="61" t="n">
        <f aca="false">IF(ISNUMBER(R411),R411,0)*S411</f>
        <v>209.615625</v>
      </c>
      <c r="U411" s="61" t="n">
        <f aca="false">T411*INDEX(INPUTS!$H$10:$H$14,MATCH(B411,INPUTS!$A$10:$A$14,0))</f>
        <v>38.778890625</v>
      </c>
      <c r="V411" s="61" t="n">
        <f aca="false">N(STACK!K411)</f>
        <v>50</v>
      </c>
      <c r="W411" s="61" t="n">
        <f aca="false">T411+U411+V411</f>
        <v>298.394515625</v>
      </c>
      <c r="X411" s="61" t="n">
        <f aca="false">N(STACK!L411)</f>
        <v>0</v>
      </c>
      <c r="Y411" s="61" t="n">
        <f aca="false">W411-X411</f>
        <v>298.394515625</v>
      </c>
      <c r="Z411" s="1" t="n">
        <f aca="false">N(STACK!J411)</f>
        <v>47</v>
      </c>
      <c r="AA411" s="1" t="str">
        <f aca="false">TRIM(IF(D411="UNMAPPED","Program not mapped. ","")&amp;IF(OR(K411="UNMAPPED",K411="UNASSIGNED"),"Category needs review. ","")&amp;IF(P411="UNMAPPED","Title not mapped. ","")&amp;IF(AND(P411&lt;&gt;"No staff time",R411=""),"Missing hours. ","")&amp;IF(M411="","Date not readable. ","")&amp;IF(N411="No","Outside fiscal year. ","")&amp;IF(AND(F411="Event",ISNUMBER(R411)),IF(R411&gt;12,"Event hours look high. ",""),"")&amp;IF(G411&gt;0,"See CONFIRM sheet.",""))</f>
        <v/>
      </c>
      <c r="AB411" s="1" t="n">
        <f aca="false">IF(N411="No",0,IF(REVIEW!O411=0,0,IF(G411&gt;0,IF(INDEX(CONFIRM!$J$5:$J$53,G411)&lt;&gt;"",INDEX(CONFIRM!$J$5:$J$53,G411),1),1)))</f>
        <v>1</v>
      </c>
      <c r="AC411" s="1" t="n">
        <f aca="false">IF(AB411=1,IF(COUNTIFS($B$5:B411,B411,$D$5:D411,D411,$AB$5:AB411,1)=1,1,0),0)</f>
        <v>0</v>
      </c>
    </row>
    <row r="412" customFormat="false" ht="15" hidden="false" customHeight="false" outlineLevel="0" collapsed="false">
      <c r="A412" s="48" t="str">
        <f aca="false">STACK!A412</f>
        <v>KVMC-0408</v>
      </c>
      <c r="B412" s="48" t="str">
        <f aca="false">STACK!B412</f>
        <v>KVMC</v>
      </c>
      <c r="C412" s="48" t="str">
        <f aca="false">STACK!E412</f>
        <v>Regional Health Coalition</v>
      </c>
      <c r="D412" s="1" t="str">
        <f aca="false">IFERROR(INDEX(MAP!$J$7:$J$101,MATCH(TRIM(C412),MAP!$I$7:$I$101,0)),"UNMAPPED")</f>
        <v>Regional Health Coalition</v>
      </c>
      <c r="E412" s="1" t="str">
        <f aca="false">IFERROR(INDEX(MAP!$K$7:$K$101,MATCH(TRIM(C412),MAP!$I$7:$I$101,0)),"")</f>
        <v>Community benefit infrastructure</v>
      </c>
      <c r="F412" s="1" t="str">
        <f aca="false">IFERROR(INDEX(MAP!$L$7:$L$101,MATCH(TRIM(C412),MAP!$I$7:$I$101,0)),"")</f>
        <v>Event</v>
      </c>
      <c r="G412" s="1" t="n">
        <f aca="false">IFERROR(MATCH(A412,CONFIRM!$A$5:$A$53,0),0)</f>
        <v>0</v>
      </c>
      <c r="H412" s="48" t="str">
        <f aca="false">STACK!F412</f>
        <v>Community Building - Coalition</v>
      </c>
      <c r="I412" s="1" t="str">
        <f aca="false">IF(G412&gt;0,IF(INDEX(CONFIRM!$I$5:$I$53,G412)&lt;&gt;"",INDEX(CONFIRM!$I$5:$I$53,G412),H412),H412)</f>
        <v>Community Building - Coalition</v>
      </c>
      <c r="J412" s="1" t="str">
        <f aca="false">IFERROR(INDEX(MAP!$F$7:$F$74,MATCH(TRIM(I412),MAP!$E$7:$E$74,0)),"UNMAPPED")</f>
        <v>Community building: coalition building</v>
      </c>
      <c r="K412" s="1" t="str">
        <f aca="false">IFERROR(INDEX(MAP!$G$7:$G$74,MATCH(TRIM(I412),MAP!$E$7:$E$74,0)),"UNMAPPED")</f>
        <v>II-6</v>
      </c>
      <c r="L412" s="49" t="n">
        <f aca="false">STACK!G412</f>
        <v>46130</v>
      </c>
      <c r="M412" s="59" t="n">
        <f aca="false">IF(G412&gt;0,IF(INDEX(CONFIRM!$G$5:$G$53,G412)&lt;&gt;"",INDEX(CONFIRM!$G$5:$G$53,G412),IF(ISNUMBER(L412),L412,IFERROR(DATEVALUE(L412),""))),IF(ISNUMBER(L412),L412,IFERROR(DATEVALUE(L412),"")))</f>
        <v>46130</v>
      </c>
      <c r="N412" s="1" t="str">
        <f aca="false">IF(M412="","Check",IF(AND(M412&gt;=INPUTS!$C$6,M412&lt;=INPUTS!$C$7),"Yes","No"))</f>
        <v>Yes</v>
      </c>
      <c r="O412" s="48" t="str">
        <f aca="false">STACK!H412</f>
        <v>Community Benefit Manager</v>
      </c>
      <c r="P412" s="1" t="str">
        <f aca="false">IF(G412&gt;0,IF(INDEX(CONFIRM!$H$5:$H$53,G412)&lt;&gt;"",INDEX(CONFIRM!$H$5:$H$53,G412),IFERROR(INDEX(MAP!$B$7:$B$156,MATCH(TRIM(O412),MAP!$A$7:$A$156,0)),"UNMAPPED")),IFERROR(INDEX(MAP!$B$7:$B$156,MATCH(TRIM(O412),MAP!$A$7:$A$156,0)),"UNMAPPED"))</f>
        <v>Community Benefit Manager</v>
      </c>
      <c r="Q412" s="48" t="n">
        <f aca="false">STACK!I412</f>
        <v>2.5</v>
      </c>
      <c r="R412" s="60" t="n">
        <f aca="false">IF(G412&gt;0,IF(INDEX(CONFIRM!$F$5:$F$53,G412)&lt;&gt;"",INDEX(CONFIRM!$F$5:$F$53,G412),IF(ISNUMBER(Q412),Q412,IF(Q412="","",IFERROR(VALUE(TRIM(SUBSTITUTE(SUBSTITUTE(LOWER(Q412),"hrs",""),"hr",""))),"")))),IF(ISNUMBER(Q412),Q412,IF(Q412="","",IFERROR(VALUE(TRIM(SUBSTITUTE(SUBSTITUTE(LOWER(Q412),"hrs",""),"hr",""))),""))))</f>
        <v>2.5</v>
      </c>
      <c r="S412" s="57" t="n">
        <f aca="false">IFERROR(INDEX(RATES!$E$6:$E$28,MATCH(P412,RATES!$A$6:$A$28,0)),0)</f>
        <v>59.11</v>
      </c>
      <c r="T412" s="61" t="n">
        <f aca="false">IF(ISNUMBER(R412),R412,0)*S412</f>
        <v>147.775</v>
      </c>
      <c r="U412" s="61" t="n">
        <f aca="false">T412*INDEX(INPUTS!$H$10:$H$14,MATCH(B412,INPUTS!$A$10:$A$14,0))</f>
        <v>27.338375</v>
      </c>
      <c r="V412" s="61" t="n">
        <f aca="false">N(STACK!K412)</f>
        <v>0</v>
      </c>
      <c r="W412" s="61" t="n">
        <f aca="false">T412+U412+V412</f>
        <v>175.113375</v>
      </c>
      <c r="X412" s="61" t="n">
        <f aca="false">N(STACK!L412)</f>
        <v>0</v>
      </c>
      <c r="Y412" s="61" t="n">
        <f aca="false">W412-X412</f>
        <v>175.113375</v>
      </c>
      <c r="Z412" s="1" t="n">
        <f aca="false">N(STACK!J412)</f>
        <v>0</v>
      </c>
      <c r="AA412" s="1" t="str">
        <f aca="false">TRIM(IF(D412="UNMAPPED","Program not mapped. ","")&amp;IF(OR(K412="UNMAPPED",K412="UNASSIGNED"),"Category needs review. ","")&amp;IF(P412="UNMAPPED","Title not mapped. ","")&amp;IF(AND(P412&lt;&gt;"No staff time",R412=""),"Missing hours. ","")&amp;IF(M412="","Date not readable. ","")&amp;IF(N412="No","Outside fiscal year. ","")&amp;IF(AND(F412="Event",ISNUMBER(R412)),IF(R412&gt;12,"Event hours look high. ",""),"")&amp;IF(G412&gt;0,"See CONFIRM sheet.",""))</f>
        <v/>
      </c>
      <c r="AB412" s="1" t="n">
        <f aca="false">IF(N412="No",0,IF(REVIEW!O412=0,0,IF(G412&gt;0,IF(INDEX(CONFIRM!$J$5:$J$53,G412)&lt;&gt;"",INDEX(CONFIRM!$J$5:$J$53,G412),1),1)))</f>
        <v>1</v>
      </c>
      <c r="AC412" s="1" t="n">
        <f aca="false">IF(AB412=1,IF(COUNTIFS($B$5:B412,B412,$D$5:D412,D412,$AB$5:AB412,1)=1,1,0),0)</f>
        <v>0</v>
      </c>
    </row>
    <row r="413" customFormat="false" ht="15" hidden="false" customHeight="false" outlineLevel="0" collapsed="false">
      <c r="A413" s="48" t="str">
        <f aca="false">STACK!A413</f>
        <v>KVMC-0409</v>
      </c>
      <c r="B413" s="48" t="str">
        <f aca="false">STACK!B413</f>
        <v>KVMC</v>
      </c>
      <c r="C413" s="48" t="str">
        <f aca="false">STACK!E413</f>
        <v>Regional Health Coalition</v>
      </c>
      <c r="D413" s="1" t="str">
        <f aca="false">IFERROR(INDEX(MAP!$J$7:$J$101,MATCH(TRIM(C413),MAP!$I$7:$I$101,0)),"UNMAPPED")</f>
        <v>Regional Health Coalition</v>
      </c>
      <c r="E413" s="1" t="str">
        <f aca="false">IFERROR(INDEX(MAP!$K$7:$K$101,MATCH(TRIM(C413),MAP!$I$7:$I$101,0)),"")</f>
        <v>Community benefit infrastructure</v>
      </c>
      <c r="F413" s="1" t="str">
        <f aca="false">IFERROR(INDEX(MAP!$L$7:$L$101,MATCH(TRIM(C413),MAP!$I$7:$I$101,0)),"")</f>
        <v>Event</v>
      </c>
      <c r="G413" s="1" t="n">
        <f aca="false">IFERROR(MATCH(A413,CONFIRM!$A$5:$A$53,0),0)</f>
        <v>0</v>
      </c>
      <c r="H413" s="48" t="str">
        <f aca="false">STACK!F413</f>
        <v>Community Building - Coalition</v>
      </c>
      <c r="I413" s="1" t="str">
        <f aca="false">IF(G413&gt;0,IF(INDEX(CONFIRM!$I$5:$I$53,G413)&lt;&gt;"",INDEX(CONFIRM!$I$5:$I$53,G413),H413),H413)</f>
        <v>Community Building - Coalition</v>
      </c>
      <c r="J413" s="1" t="str">
        <f aca="false">IFERROR(INDEX(MAP!$F$7:$F$74,MATCH(TRIM(I413),MAP!$E$7:$E$74,0)),"UNMAPPED")</f>
        <v>Community building: coalition building</v>
      </c>
      <c r="K413" s="1" t="str">
        <f aca="false">IFERROR(INDEX(MAP!$G$7:$G$74,MATCH(TRIM(I413),MAP!$E$7:$E$74,0)),"UNMAPPED")</f>
        <v>II-6</v>
      </c>
      <c r="L413" s="49" t="n">
        <f aca="false">STACK!G413</f>
        <v>46130</v>
      </c>
      <c r="M413" s="59" t="n">
        <f aca="false">IF(G413&gt;0,IF(INDEX(CONFIRM!$G$5:$G$53,G413)&lt;&gt;"",INDEX(CONFIRM!$G$5:$G$53,G413),IF(ISNUMBER(L413),L413,IFERROR(DATEVALUE(L413),""))),IF(ISNUMBER(L413),L413,IFERROR(DATEVALUE(L413),"")))</f>
        <v>46130</v>
      </c>
      <c r="N413" s="1" t="str">
        <f aca="false">IF(M413="","Check",IF(AND(M413&gt;=INPUTS!$C$6,M413&lt;=INPUTS!$C$7),"Yes","No"))</f>
        <v>Yes</v>
      </c>
      <c r="O413" s="48" t="str">
        <f aca="false">STACK!H413</f>
        <v>Director, Mission</v>
      </c>
      <c r="P413" s="1" t="str">
        <f aca="false">IF(G413&gt;0,IF(INDEX(CONFIRM!$H$5:$H$53,G413)&lt;&gt;"",INDEX(CONFIRM!$H$5:$H$53,G413),IFERROR(INDEX(MAP!$B$7:$B$156,MATCH(TRIM(O413),MAP!$A$7:$A$156,0)),"UNMAPPED")),IFERROR(INDEX(MAP!$B$7:$B$156,MATCH(TRIM(O413),MAP!$A$7:$A$156,0)),"UNMAPPED"))</f>
        <v>Director</v>
      </c>
      <c r="Q413" s="48" t="n">
        <f aca="false">STACK!I413</f>
        <v>2.75</v>
      </c>
      <c r="R413" s="60" t="n">
        <f aca="false">IF(G413&gt;0,IF(INDEX(CONFIRM!$F$5:$F$53,G413)&lt;&gt;"",INDEX(CONFIRM!$F$5:$F$53,G413),IF(ISNUMBER(Q413),Q413,IF(Q413="","",IFERROR(VALUE(TRIM(SUBSTITUTE(SUBSTITUTE(LOWER(Q413),"hrs",""),"hr",""))),"")))),IF(ISNUMBER(Q413),Q413,IF(Q413="","",IFERROR(VALUE(TRIM(SUBSTITUTE(SUBSTITUTE(LOWER(Q413),"hrs",""),"hr",""))),""))))</f>
        <v>2.75</v>
      </c>
      <c r="S413" s="57" t="n">
        <f aca="false">IFERROR(INDEX(RATES!$E$6:$E$28,MATCH(P413,RATES!$A$6:$A$28,0)),0)</f>
        <v>92.52</v>
      </c>
      <c r="T413" s="61" t="n">
        <f aca="false">IF(ISNUMBER(R413),R413,0)*S413</f>
        <v>254.43</v>
      </c>
      <c r="U413" s="61" t="n">
        <f aca="false">T413*INDEX(INPUTS!$H$10:$H$14,MATCH(B413,INPUTS!$A$10:$A$14,0))</f>
        <v>47.06955</v>
      </c>
      <c r="V413" s="61" t="n">
        <f aca="false">N(STACK!K413)</f>
        <v>55</v>
      </c>
      <c r="W413" s="61" t="n">
        <f aca="false">T413+U413+V413</f>
        <v>356.49955</v>
      </c>
      <c r="X413" s="61" t="n">
        <f aca="false">N(STACK!L413)</f>
        <v>0</v>
      </c>
      <c r="Y413" s="61" t="n">
        <f aca="false">W413-X413</f>
        <v>356.49955</v>
      </c>
      <c r="Z413" s="1" t="n">
        <f aca="false">N(STACK!J413)</f>
        <v>0</v>
      </c>
      <c r="AA413" s="1" t="str">
        <f aca="false">TRIM(IF(D413="UNMAPPED","Program not mapped. ","")&amp;IF(OR(K413="UNMAPPED",K413="UNASSIGNED"),"Category needs review. ","")&amp;IF(P413="UNMAPPED","Title not mapped. ","")&amp;IF(AND(P413&lt;&gt;"No staff time",R413=""),"Missing hours. ","")&amp;IF(M413="","Date not readable. ","")&amp;IF(N413="No","Outside fiscal year. ","")&amp;IF(AND(F413="Event",ISNUMBER(R413)),IF(R413&gt;12,"Event hours look high. ",""),"")&amp;IF(G413&gt;0,"See CONFIRM sheet.",""))</f>
        <v/>
      </c>
      <c r="AB413" s="1" t="n">
        <f aca="false">IF(N413="No",0,IF(REVIEW!O413=0,0,IF(G413&gt;0,IF(INDEX(CONFIRM!$J$5:$J$53,G413)&lt;&gt;"",INDEX(CONFIRM!$J$5:$J$53,G413),1),1)))</f>
        <v>1</v>
      </c>
      <c r="AC413" s="1" t="n">
        <f aca="false">IF(AB413=1,IF(COUNTIFS($B$5:B413,B413,$D$5:D413,D413,$AB$5:AB413,1)=1,1,0),0)</f>
        <v>0</v>
      </c>
    </row>
    <row r="414" customFormat="false" ht="15" hidden="false" customHeight="false" outlineLevel="0" collapsed="false">
      <c r="A414" s="48" t="str">
        <f aca="false">STACK!A414</f>
        <v>KVMC-0410</v>
      </c>
      <c r="B414" s="48" t="str">
        <f aca="false">STACK!B414</f>
        <v>KVMC</v>
      </c>
      <c r="C414" s="48" t="str">
        <f aca="false">STACK!E414</f>
        <v>Childbirth and Newborn Care Classes</v>
      </c>
      <c r="D414" s="1" t="str">
        <f aca="false">IFERROR(INDEX(MAP!$J$7:$J$101,MATCH(TRIM(C414),MAP!$I$7:$I$101,0)),"UNMAPPED")</f>
        <v>Childbirth and Newborn Care Classes</v>
      </c>
      <c r="E414" s="1" t="str">
        <f aca="false">IFERROR(INDEX(MAP!$K$7:$K$101,MATCH(TRIM(C414),MAP!$I$7:$I$101,0)),"")</f>
        <v>Maternal and child health</v>
      </c>
      <c r="F414" s="1" t="str">
        <f aca="false">IFERROR(INDEX(MAP!$L$7:$L$101,MATCH(TRIM(C414),MAP!$I$7:$I$101,0)),"")</f>
        <v>Event</v>
      </c>
      <c r="G414" s="1" t="n">
        <f aca="false">IFERROR(MATCH(A414,CONFIRM!$A$5:$A$53,0),0)</f>
        <v>0</v>
      </c>
      <c r="H414" s="48" t="str">
        <f aca="false">STACK!F414</f>
        <v>Community Health Education</v>
      </c>
      <c r="I414" s="1" t="str">
        <f aca="false">IF(G414&gt;0,IF(INDEX(CONFIRM!$I$5:$I$53,G414)&lt;&gt;"",INDEX(CONFIRM!$I$5:$I$53,G414),H414),H414)</f>
        <v>Community Health Education</v>
      </c>
      <c r="J414" s="1" t="str">
        <f aca="false">IFERROR(INDEX(MAP!$F$7:$F$74,MATCH(TRIM(I414),MAP!$E$7:$E$74,0)),"UNMAPPED")</f>
        <v>Community health education</v>
      </c>
      <c r="K414" s="1" t="str">
        <f aca="false">IFERROR(INDEX(MAP!$G$7:$G$74,MATCH(TRIM(I414),MAP!$E$7:$E$74,0)),"UNMAPPED")</f>
        <v>7e</v>
      </c>
      <c r="L414" s="49" t="n">
        <f aca="false">STACK!G414</f>
        <v>46132</v>
      </c>
      <c r="M414" s="59" t="n">
        <f aca="false">IF(G414&gt;0,IF(INDEX(CONFIRM!$G$5:$G$53,G414)&lt;&gt;"",INDEX(CONFIRM!$G$5:$G$53,G414),IF(ISNUMBER(L414),L414,IFERROR(DATEVALUE(L414),""))),IF(ISNUMBER(L414),L414,IFERROR(DATEVALUE(L414),"")))</f>
        <v>46132</v>
      </c>
      <c r="N414" s="1" t="str">
        <f aca="false">IF(M414="","Check",IF(AND(M414&gt;=INPUTS!$C$6,M414&lt;=INPUTS!$C$7),"Yes","No"))</f>
        <v>Yes</v>
      </c>
      <c r="O414" s="48" t="str">
        <f aca="false">STACK!H414</f>
        <v> Clinical Nurse Educator</v>
      </c>
      <c r="P414" s="1" t="str">
        <f aca="false">IF(G414&gt;0,IF(INDEX(CONFIRM!$H$5:$H$53,G414)&lt;&gt;"",INDEX(CONFIRM!$H$5:$H$53,G414),IFERROR(INDEX(MAP!$B$7:$B$156,MATCH(TRIM(O414),MAP!$A$7:$A$156,0)),"UNMAPPED")),IFERROR(INDEX(MAP!$B$7:$B$156,MATCH(TRIM(O414),MAP!$A$7:$A$156,0)),"UNMAPPED"))</f>
        <v>Clinical Nurse Educator</v>
      </c>
      <c r="Q414" s="48" t="n">
        <f aca="false">STACK!I414</f>
        <v>3</v>
      </c>
      <c r="R414" s="60" t="n">
        <f aca="false">IF(G414&gt;0,IF(INDEX(CONFIRM!$F$5:$F$53,G414)&lt;&gt;"",INDEX(CONFIRM!$F$5:$F$53,G414),IF(ISNUMBER(Q414),Q414,IF(Q414="","",IFERROR(VALUE(TRIM(SUBSTITUTE(SUBSTITUTE(LOWER(Q414),"hrs",""),"hr",""))),"")))),IF(ISNUMBER(Q414),Q414,IF(Q414="","",IFERROR(VALUE(TRIM(SUBSTITUTE(SUBSTITUTE(LOWER(Q414),"hrs",""),"hr",""))),""))))</f>
        <v>3</v>
      </c>
      <c r="S414" s="57" t="n">
        <f aca="false">IFERROR(INDEX(RATES!$E$6:$E$28,MATCH(P414,RATES!$A$6:$A$28,0)),0)</f>
        <v>62.965</v>
      </c>
      <c r="T414" s="61" t="n">
        <f aca="false">IF(ISNUMBER(R414),R414,0)*S414</f>
        <v>188.895</v>
      </c>
      <c r="U414" s="61" t="n">
        <f aca="false">T414*INDEX(INPUTS!$H$10:$H$14,MATCH(B414,INPUTS!$A$10:$A$14,0))</f>
        <v>34.945575</v>
      </c>
      <c r="V414" s="61" t="n">
        <f aca="false">N(STACK!K414)</f>
        <v>160</v>
      </c>
      <c r="W414" s="61" t="n">
        <f aca="false">T414+U414+V414</f>
        <v>383.840575</v>
      </c>
      <c r="X414" s="61" t="n">
        <f aca="false">N(STACK!L414)</f>
        <v>0</v>
      </c>
      <c r="Y414" s="61" t="n">
        <f aca="false">W414-X414</f>
        <v>383.840575</v>
      </c>
      <c r="Z414" s="1" t="n">
        <f aca="false">N(STACK!J414)</f>
        <v>15</v>
      </c>
      <c r="AA414" s="1" t="str">
        <f aca="false">TRIM(IF(D414="UNMAPPED","Program not mapped. ","")&amp;IF(OR(K414="UNMAPPED",K414="UNASSIGNED"),"Category needs review. ","")&amp;IF(P414="UNMAPPED","Title not mapped. ","")&amp;IF(AND(P414&lt;&gt;"No staff time",R414=""),"Missing hours. ","")&amp;IF(M414="","Date not readable. ","")&amp;IF(N414="No","Outside fiscal year. ","")&amp;IF(AND(F414="Event",ISNUMBER(R414)),IF(R414&gt;12,"Event hours look high. ",""),"")&amp;IF(G414&gt;0,"See CONFIRM sheet.",""))</f>
        <v/>
      </c>
      <c r="AB414" s="1" t="n">
        <f aca="false">IF(N414="No",0,IF(REVIEW!O414=0,0,IF(G414&gt;0,IF(INDEX(CONFIRM!$J$5:$J$53,G414)&lt;&gt;"",INDEX(CONFIRM!$J$5:$J$53,G414),1),1)))</f>
        <v>1</v>
      </c>
      <c r="AC414" s="1" t="n">
        <f aca="false">IF(AB414=1,IF(COUNTIFS($B$5:B414,B414,$D$5:D414,D414,$AB$5:AB414,1)=1,1,0),0)</f>
        <v>0</v>
      </c>
    </row>
    <row r="415" customFormat="false" ht="15" hidden="false" customHeight="false" outlineLevel="0" collapsed="false">
      <c r="A415" s="48" t="str">
        <f aca="false">STACK!A415</f>
        <v>KVMC-0411</v>
      </c>
      <c r="B415" s="48" t="str">
        <f aca="false">STACK!B415</f>
        <v>KVMC</v>
      </c>
      <c r="C415" s="48" t="str">
        <f aca="false">STACK!E415</f>
        <v>Mental Health First Aid Training</v>
      </c>
      <c r="D415" s="1" t="str">
        <f aca="false">IFERROR(INDEX(MAP!$J$7:$J$101,MATCH(TRIM(C415),MAP!$I$7:$I$101,0)),"UNMAPPED")</f>
        <v>Mental Health First Aid Training</v>
      </c>
      <c r="E415" s="1" t="str">
        <f aca="false">IFERROR(INDEX(MAP!$K$7:$K$101,MATCH(TRIM(C415),MAP!$I$7:$I$101,0)),"")</f>
        <v>Behavioral health</v>
      </c>
      <c r="F415" s="1" t="str">
        <f aca="false">IFERROR(INDEX(MAP!$L$7:$L$101,MATCH(TRIM(C415),MAP!$I$7:$I$101,0)),"")</f>
        <v>Event</v>
      </c>
      <c r="G415" s="1" t="n">
        <f aca="false">IFERROR(MATCH(A415,CONFIRM!$A$5:$A$53,0),0)</f>
        <v>0</v>
      </c>
      <c r="H415" s="48" t="str">
        <f aca="false">STACK!F415</f>
        <v>Community Health Education</v>
      </c>
      <c r="I415" s="1" t="str">
        <f aca="false">IF(G415&gt;0,IF(INDEX(CONFIRM!$I$5:$I$53,G415)&lt;&gt;"",INDEX(CONFIRM!$I$5:$I$53,G415),H415),H415)</f>
        <v>Community Health Education</v>
      </c>
      <c r="J415" s="1" t="str">
        <f aca="false">IFERROR(INDEX(MAP!$F$7:$F$74,MATCH(TRIM(I415),MAP!$E$7:$E$74,0)),"UNMAPPED")</f>
        <v>Community health education</v>
      </c>
      <c r="K415" s="1" t="str">
        <f aca="false">IFERROR(INDEX(MAP!$G$7:$G$74,MATCH(TRIM(I415),MAP!$E$7:$E$74,0)),"UNMAPPED")</f>
        <v>7e</v>
      </c>
      <c r="L415" s="49" t="n">
        <f aca="false">STACK!G415</f>
        <v>46136</v>
      </c>
      <c r="M415" s="59" t="n">
        <f aca="false">IF(G415&gt;0,IF(INDEX(CONFIRM!$G$5:$G$53,G415)&lt;&gt;"",INDEX(CONFIRM!$G$5:$G$53,G415),IF(ISNUMBER(L415),L415,IFERROR(DATEVALUE(L415),""))),IF(ISNUMBER(L415),L415,IFERROR(DATEVALUE(L415),"")))</f>
        <v>46136</v>
      </c>
      <c r="N415" s="1" t="str">
        <f aca="false">IF(M415="","Check",IF(AND(M415&gt;=INPUTS!$C$6,M415&lt;=INPUTS!$C$7),"Yes","No"))</f>
        <v>Yes</v>
      </c>
      <c r="O415" s="48" t="str">
        <f aca="false">STACK!H415</f>
        <v>Hlth Educator</v>
      </c>
      <c r="P415" s="1" t="str">
        <f aca="false">IF(G415&gt;0,IF(INDEX(CONFIRM!$H$5:$H$53,G415)&lt;&gt;"",INDEX(CONFIRM!$H$5:$H$53,G415),IFERROR(INDEX(MAP!$B$7:$B$156,MATCH(TRIM(O415),MAP!$A$7:$A$156,0)),"UNMAPPED")),IFERROR(INDEX(MAP!$B$7:$B$156,MATCH(TRIM(O415),MAP!$A$7:$A$156,0)),"UNMAPPED"))</f>
        <v>Health Educator</v>
      </c>
      <c r="Q415" s="48" t="n">
        <f aca="false">STACK!I415</f>
        <v>8</v>
      </c>
      <c r="R415" s="60" t="n">
        <f aca="false">IF(G415&gt;0,IF(INDEX(CONFIRM!$F$5:$F$53,G415)&lt;&gt;"",INDEX(CONFIRM!$F$5:$F$53,G415),IF(ISNUMBER(Q415),Q415,IF(Q415="","",IFERROR(VALUE(TRIM(SUBSTITUTE(SUBSTITUTE(LOWER(Q415),"hrs",""),"hr",""))),"")))),IF(ISNUMBER(Q415),Q415,IF(Q415="","",IFERROR(VALUE(TRIM(SUBSTITUTE(SUBSTITUTE(LOWER(Q415),"hrs",""),"hr",""))),""))))</f>
        <v>8</v>
      </c>
      <c r="S415" s="57" t="n">
        <f aca="false">IFERROR(INDEX(RATES!$E$6:$E$28,MATCH(P415,RATES!$A$6:$A$28,0)),0)</f>
        <v>37.265</v>
      </c>
      <c r="T415" s="61" t="n">
        <f aca="false">IF(ISNUMBER(R415),R415,0)*S415</f>
        <v>298.12</v>
      </c>
      <c r="U415" s="61" t="n">
        <f aca="false">T415*INDEX(INPUTS!$H$10:$H$14,MATCH(B415,INPUTS!$A$10:$A$14,0))</f>
        <v>55.1522</v>
      </c>
      <c r="V415" s="61" t="n">
        <f aca="false">N(STACK!K415)</f>
        <v>0</v>
      </c>
      <c r="W415" s="61" t="n">
        <f aca="false">T415+U415+V415</f>
        <v>353.2722</v>
      </c>
      <c r="X415" s="61" t="n">
        <f aca="false">N(STACK!L415)</f>
        <v>0</v>
      </c>
      <c r="Y415" s="61" t="n">
        <f aca="false">W415-X415</f>
        <v>353.2722</v>
      </c>
      <c r="Z415" s="1" t="n">
        <f aca="false">N(STACK!J415)</f>
        <v>0</v>
      </c>
      <c r="AA415" s="1" t="str">
        <f aca="false">TRIM(IF(D415="UNMAPPED","Program not mapped. ","")&amp;IF(OR(K415="UNMAPPED",K415="UNASSIGNED"),"Category needs review. ","")&amp;IF(P415="UNMAPPED","Title not mapped. ","")&amp;IF(AND(P415&lt;&gt;"No staff time",R415=""),"Missing hours. ","")&amp;IF(M415="","Date not readable. ","")&amp;IF(N415="No","Outside fiscal year. ","")&amp;IF(AND(F415="Event",ISNUMBER(R415)),IF(R415&gt;12,"Event hours look high. ",""),"")&amp;IF(G415&gt;0,"See CONFIRM sheet.",""))</f>
        <v/>
      </c>
      <c r="AB415" s="1" t="n">
        <f aca="false">IF(N415="No",0,IF(REVIEW!O415=0,0,IF(G415&gt;0,IF(INDEX(CONFIRM!$J$5:$J$53,G415)&lt;&gt;"",INDEX(CONFIRM!$J$5:$J$53,G415),1),1)))</f>
        <v>1</v>
      </c>
      <c r="AC415" s="1" t="n">
        <f aca="false">IF(AB415=1,IF(COUNTIFS($B$5:B415,B415,$D$5:D415,D415,$AB$5:AB415,1)=1,1,0),0)</f>
        <v>0</v>
      </c>
    </row>
    <row r="416" customFormat="false" ht="15" hidden="false" customHeight="false" outlineLevel="0" collapsed="false">
      <c r="A416" s="48" t="str">
        <f aca="false">STACK!A416</f>
        <v>KVMC-0412</v>
      </c>
      <c r="B416" s="48" t="str">
        <f aca="false">STACK!B416</f>
        <v>KVMC</v>
      </c>
      <c r="C416" s="48" t="str">
        <f aca="false">STACK!E416</f>
        <v>Mental Health First Aid Training</v>
      </c>
      <c r="D416" s="1" t="str">
        <f aca="false">IFERROR(INDEX(MAP!$J$7:$J$101,MATCH(TRIM(C416),MAP!$I$7:$I$101,0)),"UNMAPPED")</f>
        <v>Mental Health First Aid Training</v>
      </c>
      <c r="E416" s="1" t="str">
        <f aca="false">IFERROR(INDEX(MAP!$K$7:$K$101,MATCH(TRIM(C416),MAP!$I$7:$I$101,0)),"")</f>
        <v>Behavioral health</v>
      </c>
      <c r="F416" s="1" t="str">
        <f aca="false">IFERROR(INDEX(MAP!$L$7:$L$101,MATCH(TRIM(C416),MAP!$I$7:$I$101,0)),"")</f>
        <v>Event</v>
      </c>
      <c r="G416" s="1" t="n">
        <f aca="false">IFERROR(MATCH(A416,CONFIRM!$A$5:$A$53,0),0)</f>
        <v>0</v>
      </c>
      <c r="H416" s="48" t="str">
        <f aca="false">STACK!F416</f>
        <v>Community Health Education</v>
      </c>
      <c r="I416" s="1" t="str">
        <f aca="false">IF(G416&gt;0,IF(INDEX(CONFIRM!$I$5:$I$53,G416)&lt;&gt;"",INDEX(CONFIRM!$I$5:$I$53,G416),H416),H416)</f>
        <v>Community Health Education</v>
      </c>
      <c r="J416" s="1" t="str">
        <f aca="false">IFERROR(INDEX(MAP!$F$7:$F$74,MATCH(TRIM(I416),MAP!$E$7:$E$74,0)),"UNMAPPED")</f>
        <v>Community health education</v>
      </c>
      <c r="K416" s="1" t="str">
        <f aca="false">IFERROR(INDEX(MAP!$G$7:$G$74,MATCH(TRIM(I416),MAP!$E$7:$E$74,0)),"UNMAPPED")</f>
        <v>7e</v>
      </c>
      <c r="L416" s="49" t="n">
        <f aca="false">STACK!G416</f>
        <v>46136</v>
      </c>
      <c r="M416" s="59" t="n">
        <f aca="false">IF(G416&gt;0,IF(INDEX(CONFIRM!$G$5:$G$53,G416)&lt;&gt;"",INDEX(CONFIRM!$G$5:$G$53,G416),IF(ISNUMBER(L416),L416,IFERROR(DATEVALUE(L416),""))),IF(ISNUMBER(L416),L416,IFERROR(DATEVALUE(L416),"")))</f>
        <v>46136</v>
      </c>
      <c r="N416" s="1" t="str">
        <f aca="false">IF(M416="","Check",IF(AND(M416&gt;=INPUTS!$C$6,M416&lt;=INPUTS!$C$7),"Yes","No"))</f>
        <v>Yes</v>
      </c>
      <c r="O416" s="48" t="str">
        <f aca="false">STACK!H416</f>
        <v>LMSW</v>
      </c>
      <c r="P416" s="1" t="str">
        <f aca="false">IF(G416&gt;0,IF(INDEX(CONFIRM!$H$5:$H$53,G416)&lt;&gt;"",INDEX(CONFIRM!$H$5:$H$53,G416),IFERROR(INDEX(MAP!$B$7:$B$156,MATCH(TRIM(O416),MAP!$A$7:$A$156,0)),"UNMAPPED")),IFERROR(INDEX(MAP!$B$7:$B$156,MATCH(TRIM(O416),MAP!$A$7:$A$156,0)),"UNMAPPED"))</f>
        <v>Social Worker</v>
      </c>
      <c r="Q416" s="48" t="n">
        <f aca="false">STACK!I416</f>
        <v>8</v>
      </c>
      <c r="R416" s="60" t="n">
        <f aca="false">IF(G416&gt;0,IF(INDEX(CONFIRM!$F$5:$F$53,G416)&lt;&gt;"",INDEX(CONFIRM!$F$5:$F$53,G416),IF(ISNUMBER(Q416),Q416,IF(Q416="","",IFERROR(VALUE(TRIM(SUBSTITUTE(SUBSTITUTE(LOWER(Q416),"hrs",""),"hr",""))),"")))),IF(ISNUMBER(Q416),Q416,IF(Q416="","",IFERROR(VALUE(TRIM(SUBSTITUTE(SUBSTITUTE(LOWER(Q416),"hrs",""),"hr",""))),""))))</f>
        <v>8</v>
      </c>
      <c r="S416" s="57" t="n">
        <f aca="false">IFERROR(INDEX(RATES!$E$6:$E$28,MATCH(P416,RATES!$A$6:$A$28,0)),0)</f>
        <v>45.6175</v>
      </c>
      <c r="T416" s="61" t="n">
        <f aca="false">IF(ISNUMBER(R416),R416,0)*S416</f>
        <v>364.94</v>
      </c>
      <c r="U416" s="61" t="n">
        <f aca="false">T416*INDEX(INPUTS!$H$10:$H$14,MATCH(B416,INPUTS!$A$10:$A$14,0))</f>
        <v>67.5139</v>
      </c>
      <c r="V416" s="61" t="n">
        <f aca="false">N(STACK!K416)</f>
        <v>370</v>
      </c>
      <c r="W416" s="61" t="n">
        <f aca="false">T416+U416+V416</f>
        <v>802.4539</v>
      </c>
      <c r="X416" s="61" t="n">
        <f aca="false">N(STACK!L416)</f>
        <v>0</v>
      </c>
      <c r="Y416" s="61" t="n">
        <f aca="false">W416-X416</f>
        <v>802.4539</v>
      </c>
      <c r="Z416" s="1" t="n">
        <f aca="false">N(STACK!J416)</f>
        <v>24</v>
      </c>
      <c r="AA416" s="1" t="str">
        <f aca="false">TRIM(IF(D416="UNMAPPED","Program not mapped. ","")&amp;IF(OR(K416="UNMAPPED",K416="UNASSIGNED"),"Category needs review. ","")&amp;IF(P416="UNMAPPED","Title not mapped. ","")&amp;IF(AND(P416&lt;&gt;"No staff time",R416=""),"Missing hours. ","")&amp;IF(M416="","Date not readable. ","")&amp;IF(N416="No","Outside fiscal year. ","")&amp;IF(AND(F416="Event",ISNUMBER(R416)),IF(R416&gt;12,"Event hours look high. ",""),"")&amp;IF(G416&gt;0,"See CONFIRM sheet.",""))</f>
        <v/>
      </c>
      <c r="AB416" s="1" t="n">
        <f aca="false">IF(N416="No",0,IF(REVIEW!O416=0,0,IF(G416&gt;0,IF(INDEX(CONFIRM!$J$5:$J$53,G416)&lt;&gt;"",INDEX(CONFIRM!$J$5:$J$53,G416),1),1)))</f>
        <v>1</v>
      </c>
      <c r="AC416" s="1" t="n">
        <f aca="false">IF(AB416=1,IF(COUNTIFS($B$5:B416,B416,$D$5:D416,D416,$AB$5:AB416,1)=1,1,0),0)</f>
        <v>0</v>
      </c>
    </row>
    <row r="417" customFormat="false" ht="15" hidden="false" customHeight="false" outlineLevel="0" collapsed="false">
      <c r="A417" s="48" t="str">
        <f aca="false">STACK!A417</f>
        <v>KVMC-0413</v>
      </c>
      <c r="B417" s="48" t="str">
        <f aca="false">STACK!B417</f>
        <v>KVMC</v>
      </c>
      <c r="C417" s="48" t="str">
        <f aca="false">STACK!E417</f>
        <v>Mobile Health Screening Unit</v>
      </c>
      <c r="D417" s="1" t="str">
        <f aca="false">IFERROR(INDEX(MAP!$J$7:$J$101,MATCH(TRIM(C417),MAP!$I$7:$I$101,0)),"UNMAPPED")</f>
        <v>Mobile Health Screening Unit</v>
      </c>
      <c r="E417" s="1" t="str">
        <f aca="false">IFERROR(INDEX(MAP!$K$7:$K$101,MATCH(TRIM(C417),MAP!$I$7:$I$101,0)),"")</f>
        <v>Access to care</v>
      </c>
      <c r="F417" s="1" t="str">
        <f aca="false">IFERROR(INDEX(MAP!$L$7:$L$101,MATCH(TRIM(C417),MAP!$I$7:$I$101,0)),"")</f>
        <v>Monthly</v>
      </c>
      <c r="G417" s="1" t="n">
        <f aca="false">IFERROR(MATCH(A417,CONFIRM!$A$5:$A$53,0),0)</f>
        <v>0</v>
      </c>
      <c r="H417" s="48" t="str">
        <f aca="false">STACK!F417</f>
        <v>Community-Based Clinical Services</v>
      </c>
      <c r="I417" s="1" t="str">
        <f aca="false">IF(G417&gt;0,IF(INDEX(CONFIRM!$I$5:$I$53,G417)&lt;&gt;"",INDEX(CONFIRM!$I$5:$I$53,G417),H417),H417)</f>
        <v>Community-Based Clinical Services</v>
      </c>
      <c r="J417" s="1" t="str">
        <f aca="false">IFERROR(INDEX(MAP!$F$7:$F$74,MATCH(TRIM(I417),MAP!$E$7:$E$74,0)),"UNMAPPED")</f>
        <v>Community-based clinical services</v>
      </c>
      <c r="K417" s="1" t="str">
        <f aca="false">IFERROR(INDEX(MAP!$G$7:$G$74,MATCH(TRIM(I417),MAP!$E$7:$E$74,0)),"UNMAPPED")</f>
        <v>7e</v>
      </c>
      <c r="L417" s="49" t="n">
        <f aca="false">STACK!G417</f>
        <v>46142</v>
      </c>
      <c r="M417" s="59" t="n">
        <f aca="false">IF(G417&gt;0,IF(INDEX(CONFIRM!$G$5:$G$53,G417)&lt;&gt;"",INDEX(CONFIRM!$G$5:$G$53,G417),IF(ISNUMBER(L417),L417,IFERROR(DATEVALUE(L417),""))),IF(ISNUMBER(L417),L417,IFERROR(DATEVALUE(L417),"")))</f>
        <v>46142</v>
      </c>
      <c r="N417" s="1" t="str">
        <f aca="false">IF(M417="","Check",IF(AND(M417&gt;=INPUTS!$C$6,M417&lt;=INPUTS!$C$7),"Yes","No"))</f>
        <v>Yes</v>
      </c>
      <c r="O417" s="48" t="str">
        <f aca="false">STACK!H417</f>
        <v>Comm. Health Worker</v>
      </c>
      <c r="P417" s="1" t="str">
        <f aca="false">IF(G417&gt;0,IF(INDEX(CONFIRM!$H$5:$H$53,G417)&lt;&gt;"",INDEX(CONFIRM!$H$5:$H$53,G417),IFERROR(INDEX(MAP!$B$7:$B$156,MATCH(TRIM(O417),MAP!$A$7:$A$156,0)),"UNMAPPED")),IFERROR(INDEX(MAP!$B$7:$B$156,MATCH(TRIM(O417),MAP!$A$7:$A$156,0)),"UNMAPPED"))</f>
        <v>Community Health Worker</v>
      </c>
      <c r="Q417" s="48" t="n">
        <f aca="false">STACK!I417</f>
        <v>65.75</v>
      </c>
      <c r="R417" s="60" t="n">
        <f aca="false">IF(G417&gt;0,IF(INDEX(CONFIRM!$F$5:$F$53,G417)&lt;&gt;"",INDEX(CONFIRM!$F$5:$F$53,G417),IF(ISNUMBER(Q417),Q417,IF(Q417="","",IFERROR(VALUE(TRIM(SUBSTITUTE(SUBSTITUTE(LOWER(Q417),"hrs",""),"hr",""))),"")))),IF(ISNUMBER(Q417),Q417,IF(Q417="","",IFERROR(VALUE(TRIM(SUBSTITUTE(SUBSTITUTE(LOWER(Q417),"hrs",""),"hr",""))),""))))</f>
        <v>65.75</v>
      </c>
      <c r="S417" s="57" t="n">
        <f aca="false">IFERROR(INDEX(RATES!$E$6:$E$28,MATCH(P417,RATES!$A$6:$A$28,0)),0)</f>
        <v>27.6275</v>
      </c>
      <c r="T417" s="61" t="n">
        <f aca="false">IF(ISNUMBER(R417),R417,0)*S417</f>
        <v>1816.508125</v>
      </c>
      <c r="U417" s="61" t="n">
        <f aca="false">T417*INDEX(INPUTS!$H$10:$H$14,MATCH(B417,INPUTS!$A$10:$A$14,0))</f>
        <v>336.054003125</v>
      </c>
      <c r="V417" s="61" t="n">
        <f aca="false">N(STACK!K417)</f>
        <v>0</v>
      </c>
      <c r="W417" s="61" t="n">
        <f aca="false">T417+U417+V417</f>
        <v>2152.562128125</v>
      </c>
      <c r="X417" s="61" t="n">
        <f aca="false">N(STACK!L417)</f>
        <v>0</v>
      </c>
      <c r="Y417" s="61" t="n">
        <f aca="false">W417-X417</f>
        <v>2152.562128125</v>
      </c>
      <c r="Z417" s="1" t="n">
        <f aca="false">N(STACK!J417)</f>
        <v>0</v>
      </c>
      <c r="AA417" s="1" t="str">
        <f aca="false">TRIM(IF(D417="UNMAPPED","Program not mapped. ","")&amp;IF(OR(K417="UNMAPPED",K417="UNASSIGNED"),"Category needs review. ","")&amp;IF(P417="UNMAPPED","Title not mapped. ","")&amp;IF(AND(P417&lt;&gt;"No staff time",R417=""),"Missing hours. ","")&amp;IF(M417="","Date not readable. ","")&amp;IF(N417="No","Outside fiscal year. ","")&amp;IF(AND(F417="Event",ISNUMBER(R417)),IF(R417&gt;12,"Event hours look high. ",""),"")&amp;IF(G417&gt;0,"See CONFIRM sheet.",""))</f>
        <v/>
      </c>
      <c r="AB417" s="1" t="n">
        <f aca="false">IF(N417="No",0,IF(REVIEW!O417=0,0,IF(G417&gt;0,IF(INDEX(CONFIRM!$J$5:$J$53,G417)&lt;&gt;"",INDEX(CONFIRM!$J$5:$J$53,G417),1),1)))</f>
        <v>1</v>
      </c>
      <c r="AC417" s="1" t="n">
        <f aca="false">IF(AB417=1,IF(COUNTIFS($B$5:B417,B417,$D$5:D417,D417,$AB$5:AB417,1)=1,1,0),0)</f>
        <v>0</v>
      </c>
    </row>
    <row r="418" customFormat="false" ht="15" hidden="false" customHeight="false" outlineLevel="0" collapsed="false">
      <c r="A418" s="48" t="str">
        <f aca="false">STACK!A418</f>
        <v>KVMC-0414</v>
      </c>
      <c r="B418" s="48" t="str">
        <f aca="false">STACK!B418</f>
        <v>KVMC</v>
      </c>
      <c r="C418" s="48" t="str">
        <f aca="false">STACK!E418</f>
        <v>Mobile Health Screening Unit</v>
      </c>
      <c r="D418" s="1" t="str">
        <f aca="false">IFERROR(INDEX(MAP!$J$7:$J$101,MATCH(TRIM(C418),MAP!$I$7:$I$101,0)),"UNMAPPED")</f>
        <v>Mobile Health Screening Unit</v>
      </c>
      <c r="E418" s="1" t="str">
        <f aca="false">IFERROR(INDEX(MAP!$K$7:$K$101,MATCH(TRIM(C418),MAP!$I$7:$I$101,0)),"")</f>
        <v>Access to care</v>
      </c>
      <c r="F418" s="1" t="str">
        <f aca="false">IFERROR(INDEX(MAP!$L$7:$L$101,MATCH(TRIM(C418),MAP!$I$7:$I$101,0)),"")</f>
        <v>Monthly</v>
      </c>
      <c r="G418" s="1" t="n">
        <f aca="false">IFERROR(MATCH(A418,CONFIRM!$A$5:$A$53,0),0)</f>
        <v>0</v>
      </c>
      <c r="H418" s="48" t="str">
        <f aca="false">STACK!F418</f>
        <v>Community-Based Clinical Services</v>
      </c>
      <c r="I418" s="1" t="str">
        <f aca="false">IF(G418&gt;0,IF(INDEX(CONFIRM!$I$5:$I$53,G418)&lt;&gt;"",INDEX(CONFIRM!$I$5:$I$53,G418),H418),H418)</f>
        <v>Community-Based Clinical Services</v>
      </c>
      <c r="J418" s="1" t="str">
        <f aca="false">IFERROR(INDEX(MAP!$F$7:$F$74,MATCH(TRIM(I418),MAP!$E$7:$E$74,0)),"UNMAPPED")</f>
        <v>Community-based clinical services</v>
      </c>
      <c r="K418" s="1" t="str">
        <f aca="false">IFERROR(INDEX(MAP!$G$7:$G$74,MATCH(TRIM(I418),MAP!$E$7:$E$74,0)),"UNMAPPED")</f>
        <v>7e</v>
      </c>
      <c r="L418" s="49" t="n">
        <f aca="false">STACK!G418</f>
        <v>46142</v>
      </c>
      <c r="M418" s="59" t="n">
        <f aca="false">IF(G418&gt;0,IF(INDEX(CONFIRM!$G$5:$G$53,G418)&lt;&gt;"",INDEX(CONFIRM!$G$5:$G$53,G418),IF(ISNUMBER(L418),L418,IFERROR(DATEVALUE(L418),""))),IF(ISNUMBER(L418),L418,IFERROR(DATEVALUE(L418),"")))</f>
        <v>46142</v>
      </c>
      <c r="N418" s="1" t="str">
        <f aca="false">IF(M418="","Check",IF(AND(M418&gt;=INPUTS!$C$6,M418&lt;=INPUTS!$C$7),"Yes","No"))</f>
        <v>Yes</v>
      </c>
      <c r="O418" s="48" t="str">
        <f aca="false">STACK!H418</f>
        <v>Med Asst </v>
      </c>
      <c r="P418" s="1" t="str">
        <f aca="false">IF(G418&gt;0,IF(INDEX(CONFIRM!$H$5:$H$53,G418)&lt;&gt;"",INDEX(CONFIRM!$H$5:$H$53,G418),IFERROR(INDEX(MAP!$B$7:$B$156,MATCH(TRIM(O418),MAP!$A$7:$A$156,0)),"UNMAPPED")),IFERROR(INDEX(MAP!$B$7:$B$156,MATCH(TRIM(O418),MAP!$A$7:$A$156,0)),"UNMAPPED"))</f>
        <v>Medical Assistant</v>
      </c>
      <c r="Q418" s="48" t="n">
        <f aca="false">STACK!I418</f>
        <v>127.75</v>
      </c>
      <c r="R418" s="60" t="n">
        <f aca="false">IF(G418&gt;0,IF(INDEX(CONFIRM!$F$5:$F$53,G418)&lt;&gt;"",INDEX(CONFIRM!$F$5:$F$53,G418),IF(ISNUMBER(Q418),Q418,IF(Q418="","",IFERROR(VALUE(TRIM(SUBSTITUTE(SUBSTITUTE(LOWER(Q418),"hrs",""),"hr",""))),"")))),IF(ISNUMBER(Q418),Q418,IF(Q418="","",IFERROR(VALUE(TRIM(SUBSTITUTE(SUBSTITUTE(LOWER(Q418),"hrs",""),"hr",""))),""))))</f>
        <v>127.75</v>
      </c>
      <c r="S418" s="57" t="n">
        <f aca="false">IFERROR(INDEX(RATES!$E$6:$E$28,MATCH(P418,RATES!$A$6:$A$28,0)),0)</f>
        <v>25.37875</v>
      </c>
      <c r="T418" s="61" t="n">
        <f aca="false">IF(ISNUMBER(R418),R418,0)*S418</f>
        <v>3242.1353125</v>
      </c>
      <c r="U418" s="61" t="n">
        <f aca="false">T418*INDEX(INPUTS!$H$10:$H$14,MATCH(B418,INPUTS!$A$10:$A$14,0))</f>
        <v>599.7950328125</v>
      </c>
      <c r="V418" s="61" t="n">
        <f aca="false">N(STACK!K418)</f>
        <v>0</v>
      </c>
      <c r="W418" s="61" t="n">
        <f aca="false">T418+U418+V418</f>
        <v>3841.9303453125</v>
      </c>
      <c r="X418" s="61" t="n">
        <f aca="false">N(STACK!L418)</f>
        <v>0</v>
      </c>
      <c r="Y418" s="61" t="n">
        <f aca="false">W418-X418</f>
        <v>3841.9303453125</v>
      </c>
      <c r="Z418" s="1" t="n">
        <f aca="false">N(STACK!J418)</f>
        <v>0</v>
      </c>
      <c r="AA418" s="1" t="str">
        <f aca="false">TRIM(IF(D418="UNMAPPED","Program not mapped. ","")&amp;IF(OR(K418="UNMAPPED",K418="UNASSIGNED"),"Category needs review. ","")&amp;IF(P418="UNMAPPED","Title not mapped. ","")&amp;IF(AND(P418&lt;&gt;"No staff time",R418=""),"Missing hours. ","")&amp;IF(M418="","Date not readable. ","")&amp;IF(N418="No","Outside fiscal year. ","")&amp;IF(AND(F418="Event",ISNUMBER(R418)),IF(R418&gt;12,"Event hours look high. ",""),"")&amp;IF(G418&gt;0,"See CONFIRM sheet.",""))</f>
        <v/>
      </c>
      <c r="AB418" s="1" t="n">
        <f aca="false">IF(N418="No",0,IF(REVIEW!O418=0,0,IF(G418&gt;0,IF(INDEX(CONFIRM!$J$5:$J$53,G418)&lt;&gt;"",INDEX(CONFIRM!$J$5:$J$53,G418),1),1)))</f>
        <v>1</v>
      </c>
      <c r="AC418" s="1" t="n">
        <f aca="false">IF(AB418=1,IF(COUNTIFS($B$5:B418,B418,$D$5:D418,D418,$AB$5:AB418,1)=1,1,0),0)</f>
        <v>0</v>
      </c>
    </row>
    <row r="419" customFormat="false" ht="15" hidden="false" customHeight="false" outlineLevel="0" collapsed="false">
      <c r="A419" s="48" t="str">
        <f aca="false">STACK!A419</f>
        <v>KVMC-0415</v>
      </c>
      <c r="B419" s="48" t="str">
        <f aca="false">STACK!B419</f>
        <v>KVMC</v>
      </c>
      <c r="C419" s="48" t="str">
        <f aca="false">STACK!E419</f>
        <v>Mobile Health Screening Unit</v>
      </c>
      <c r="D419" s="1" t="str">
        <f aca="false">IFERROR(INDEX(MAP!$J$7:$J$101,MATCH(TRIM(C419),MAP!$I$7:$I$101,0)),"UNMAPPED")</f>
        <v>Mobile Health Screening Unit</v>
      </c>
      <c r="E419" s="1" t="str">
        <f aca="false">IFERROR(INDEX(MAP!$K$7:$K$101,MATCH(TRIM(C419),MAP!$I$7:$I$101,0)),"")</f>
        <v>Access to care</v>
      </c>
      <c r="F419" s="1" t="str">
        <f aca="false">IFERROR(INDEX(MAP!$L$7:$L$101,MATCH(TRIM(C419),MAP!$I$7:$I$101,0)),"")</f>
        <v>Monthly</v>
      </c>
      <c r="G419" s="1" t="n">
        <f aca="false">IFERROR(MATCH(A419,CONFIRM!$A$5:$A$53,0),0)</f>
        <v>0</v>
      </c>
      <c r="H419" s="48" t="str">
        <f aca="false">STACK!F419</f>
        <v>Community-Based Clinical Services</v>
      </c>
      <c r="I419" s="1" t="str">
        <f aca="false">IF(G419&gt;0,IF(INDEX(CONFIRM!$I$5:$I$53,G419)&lt;&gt;"",INDEX(CONFIRM!$I$5:$I$53,G419),H419),H419)</f>
        <v>Community-Based Clinical Services</v>
      </c>
      <c r="J419" s="1" t="str">
        <f aca="false">IFERROR(INDEX(MAP!$F$7:$F$74,MATCH(TRIM(I419),MAP!$E$7:$E$74,0)),"UNMAPPED")</f>
        <v>Community-based clinical services</v>
      </c>
      <c r="K419" s="1" t="str">
        <f aca="false">IFERROR(INDEX(MAP!$G$7:$G$74,MATCH(TRIM(I419),MAP!$E$7:$E$74,0)),"UNMAPPED")</f>
        <v>7e</v>
      </c>
      <c r="L419" s="49" t="n">
        <f aca="false">STACK!G419</f>
        <v>46142</v>
      </c>
      <c r="M419" s="59" t="n">
        <f aca="false">IF(G419&gt;0,IF(INDEX(CONFIRM!$G$5:$G$53,G419)&lt;&gt;"",INDEX(CONFIRM!$G$5:$G$53,G419),IF(ISNUMBER(L419),L419,IFERROR(DATEVALUE(L419),""))),IF(ISNUMBER(L419),L419,IFERROR(DATEVALUE(L419),"")))</f>
        <v>46142</v>
      </c>
      <c r="N419" s="1" t="str">
        <f aca="false">IF(M419="","Check",IF(AND(M419&gt;=INPUTS!$C$6,M419&lt;=INPUTS!$C$7),"Yes","No"))</f>
        <v>Yes</v>
      </c>
      <c r="O419" s="48" t="str">
        <f aca="false">STACK!H419</f>
        <v>Registered Nurse</v>
      </c>
      <c r="P419" s="1" t="str">
        <f aca="false">IF(G419&gt;0,IF(INDEX(CONFIRM!$H$5:$H$53,G419)&lt;&gt;"",INDEX(CONFIRM!$H$5:$H$53,G419),IFERROR(INDEX(MAP!$B$7:$B$156,MATCH(TRIM(O419),MAP!$A$7:$A$156,0)),"UNMAPPED")),IFERROR(INDEX(MAP!$B$7:$B$156,MATCH(TRIM(O419),MAP!$A$7:$A$156,0)),"UNMAPPED"))</f>
        <v>Registered Nurse</v>
      </c>
      <c r="Q419" s="48" t="n">
        <f aca="false">STACK!I419</f>
        <v>111.5</v>
      </c>
      <c r="R419" s="60" t="n">
        <f aca="false">IF(G419&gt;0,IF(INDEX(CONFIRM!$F$5:$F$53,G419)&lt;&gt;"",INDEX(CONFIRM!$F$5:$F$53,G419),IF(ISNUMBER(Q419),Q419,IF(Q419="","",IFERROR(VALUE(TRIM(SUBSTITUTE(SUBSTITUTE(LOWER(Q419),"hrs",""),"hr",""))),"")))),IF(ISNUMBER(Q419),Q419,IF(Q419="","",IFERROR(VALUE(TRIM(SUBSTITUTE(SUBSTITUTE(LOWER(Q419),"hrs",""),"hr",""))),""))))</f>
        <v>111.5</v>
      </c>
      <c r="S419" s="57" t="n">
        <f aca="false">IFERROR(INDEX(RATES!$E$6:$E$28,MATCH(P419,RATES!$A$6:$A$28,0)),0)</f>
        <v>55.8975</v>
      </c>
      <c r="T419" s="61" t="n">
        <f aca="false">IF(ISNUMBER(R419),R419,0)*S419</f>
        <v>6232.57125</v>
      </c>
      <c r="U419" s="61" t="n">
        <f aca="false">T419*INDEX(INPUTS!$H$10:$H$14,MATCH(B419,INPUTS!$A$10:$A$14,0))</f>
        <v>1153.02568125</v>
      </c>
      <c r="V419" s="61" t="n">
        <f aca="false">N(STACK!K419)</f>
        <v>11015</v>
      </c>
      <c r="W419" s="61" t="n">
        <f aca="false">T419+U419+V419</f>
        <v>18400.59693125</v>
      </c>
      <c r="X419" s="61" t="n">
        <f aca="false">N(STACK!L419)</f>
        <v>0</v>
      </c>
      <c r="Y419" s="61" t="n">
        <f aca="false">W419-X419</f>
        <v>18400.59693125</v>
      </c>
      <c r="Z419" s="1" t="n">
        <f aca="false">N(STACK!J419)</f>
        <v>374</v>
      </c>
      <c r="AA419" s="1" t="str">
        <f aca="false">TRIM(IF(D419="UNMAPPED","Program not mapped. ","")&amp;IF(OR(K419="UNMAPPED",K419="UNASSIGNED"),"Category needs review. ","")&amp;IF(P419="UNMAPPED","Title not mapped. ","")&amp;IF(AND(P419&lt;&gt;"No staff time",R419=""),"Missing hours. ","")&amp;IF(M419="","Date not readable. ","")&amp;IF(N419="No","Outside fiscal year. ","")&amp;IF(AND(F419="Event",ISNUMBER(R419)),IF(R419&gt;12,"Event hours look high. ",""),"")&amp;IF(G419&gt;0,"See CONFIRM sheet.",""))</f>
        <v/>
      </c>
      <c r="AB419" s="1" t="n">
        <f aca="false">IF(N419="No",0,IF(REVIEW!O419=0,0,IF(G419&gt;0,IF(INDEX(CONFIRM!$J$5:$J$53,G419)&lt;&gt;"",INDEX(CONFIRM!$J$5:$J$53,G419),1),1)))</f>
        <v>1</v>
      </c>
      <c r="AC419" s="1" t="n">
        <f aca="false">IF(AB419=1,IF(COUNTIFS($B$5:B419,B419,$D$5:D419,D419,$AB$5:AB419,1)=1,1,0),0)</f>
        <v>0</v>
      </c>
    </row>
    <row r="420" customFormat="false" ht="15" hidden="false" customHeight="false" outlineLevel="0" collapsed="false">
      <c r="A420" s="48" t="str">
        <f aca="false">STACK!A420</f>
        <v>KVMC-0416</v>
      </c>
      <c r="B420" s="48" t="str">
        <f aca="false">STACK!B420</f>
        <v>KVMC</v>
      </c>
      <c r="C420" s="48" t="str">
        <f aca="false">STACK!E420</f>
        <v>Tobacco Cessation Classes</v>
      </c>
      <c r="D420" s="1" t="str">
        <f aca="false">IFERROR(INDEX(MAP!$J$7:$J$101,MATCH(TRIM(C420),MAP!$I$7:$I$101,0)),"UNMAPPED")</f>
        <v>Tobacco Cessation Classes</v>
      </c>
      <c r="E420" s="1" t="str">
        <f aca="false">IFERROR(INDEX(MAP!$K$7:$K$101,MATCH(TRIM(C420),MAP!$I$7:$I$101,0)),"")</f>
        <v>Chronic disease prevention</v>
      </c>
      <c r="F420" s="1" t="str">
        <f aca="false">IFERROR(INDEX(MAP!$L$7:$L$101,MATCH(TRIM(C420),MAP!$I$7:$I$101,0)),"")</f>
        <v>Event</v>
      </c>
      <c r="G420" s="1" t="n">
        <f aca="false">IFERROR(MATCH(A420,CONFIRM!$A$5:$A$53,0),0)</f>
        <v>0</v>
      </c>
      <c r="H420" s="48" t="str">
        <f aca="false">STACK!F420</f>
        <v>Community Health Education</v>
      </c>
      <c r="I420" s="1" t="str">
        <f aca="false">IF(G420&gt;0,IF(INDEX(CONFIRM!$I$5:$I$53,G420)&lt;&gt;"",INDEX(CONFIRM!$I$5:$I$53,G420),H420),H420)</f>
        <v>Community Health Education</v>
      </c>
      <c r="J420" s="1" t="str">
        <f aca="false">IFERROR(INDEX(MAP!$F$7:$F$74,MATCH(TRIM(I420),MAP!$E$7:$E$74,0)),"UNMAPPED")</f>
        <v>Community health education</v>
      </c>
      <c r="K420" s="1" t="str">
        <f aca="false">IFERROR(INDEX(MAP!$G$7:$G$74,MATCH(TRIM(I420),MAP!$E$7:$E$74,0)),"UNMAPPED")</f>
        <v>7e</v>
      </c>
      <c r="L420" s="49" t="n">
        <f aca="false">STACK!G420</f>
        <v>46142</v>
      </c>
      <c r="M420" s="59" t="n">
        <f aca="false">IF(G420&gt;0,IF(INDEX(CONFIRM!$G$5:$G$53,G420)&lt;&gt;"",INDEX(CONFIRM!$G$5:$G$53,G420),IF(ISNUMBER(L420),L420,IFERROR(DATEVALUE(L420),""))),IF(ISNUMBER(L420),L420,IFERROR(DATEVALUE(L420),"")))</f>
        <v>46142</v>
      </c>
      <c r="N420" s="1" t="str">
        <f aca="false">IF(M420="","Check",IF(AND(M420&gt;=INPUTS!$C$6,M420&lt;=INPUTS!$C$7),"Yes","No"))</f>
        <v>Yes</v>
      </c>
      <c r="O420" s="48" t="str">
        <f aca="false">STACK!H420</f>
        <v>RRT</v>
      </c>
      <c r="P420" s="1" t="str">
        <f aca="false">IF(G420&gt;0,IF(INDEX(CONFIRM!$H$5:$H$53,G420)&lt;&gt;"",INDEX(CONFIRM!$H$5:$H$53,G420),IFERROR(INDEX(MAP!$B$7:$B$156,MATCH(TRIM(O420),MAP!$A$7:$A$156,0)),"UNMAPPED")),IFERROR(INDEX(MAP!$B$7:$B$156,MATCH(TRIM(O420),MAP!$A$7:$A$156,0)),"UNMAPPED"))</f>
        <v>Licensed Therapist</v>
      </c>
      <c r="Q420" s="48" t="n">
        <f aca="false">STACK!I420</f>
        <v>2</v>
      </c>
      <c r="R420" s="60" t="n">
        <f aca="false">IF(G420&gt;0,IF(INDEX(CONFIRM!$F$5:$F$53,G420)&lt;&gt;"",INDEX(CONFIRM!$F$5:$F$53,G420),IF(ISNUMBER(Q420),Q420,IF(Q420="","",IFERROR(VALUE(TRIM(SUBSTITUTE(SUBSTITUTE(LOWER(Q420),"hrs",""),"hr",""))),"")))),IF(ISNUMBER(Q420),Q420,IF(Q420="","",IFERROR(VALUE(TRIM(SUBSTITUTE(SUBSTITUTE(LOWER(Q420),"hrs",""),"hr",""))),""))))</f>
        <v>2</v>
      </c>
      <c r="S420" s="57" t="n">
        <f aca="false">IFERROR(INDEX(RATES!$E$6:$E$28,MATCH(P420,RATES!$A$6:$A$28,0)),0)</f>
        <v>53.97</v>
      </c>
      <c r="T420" s="61" t="n">
        <f aca="false">IF(ISNUMBER(R420),R420,0)*S420</f>
        <v>107.94</v>
      </c>
      <c r="U420" s="61" t="n">
        <f aca="false">T420*INDEX(INPUTS!$H$10:$H$14,MATCH(B420,INPUTS!$A$10:$A$14,0))</f>
        <v>19.9689</v>
      </c>
      <c r="V420" s="61" t="n">
        <f aca="false">N(STACK!K420)</f>
        <v>145</v>
      </c>
      <c r="W420" s="61" t="n">
        <f aca="false">T420+U420+V420</f>
        <v>272.9089</v>
      </c>
      <c r="X420" s="61" t="n">
        <f aca="false">N(STACK!L420)</f>
        <v>0</v>
      </c>
      <c r="Y420" s="61" t="n">
        <f aca="false">W420-X420</f>
        <v>272.9089</v>
      </c>
      <c r="Z420" s="1" t="n">
        <f aca="false">N(STACK!J420)</f>
        <v>13</v>
      </c>
      <c r="AA420" s="1" t="str">
        <f aca="false">TRIM(IF(D420="UNMAPPED","Program not mapped. ","")&amp;IF(OR(K420="UNMAPPED",K420="UNASSIGNED"),"Category needs review. ","")&amp;IF(P420="UNMAPPED","Title not mapped. ","")&amp;IF(AND(P420&lt;&gt;"No staff time",R420=""),"Missing hours. ","")&amp;IF(M420="","Date not readable. ","")&amp;IF(N420="No","Outside fiscal year. ","")&amp;IF(AND(F420="Event",ISNUMBER(R420)),IF(R420&gt;12,"Event hours look high. ",""),"")&amp;IF(G420&gt;0,"See CONFIRM sheet.",""))</f>
        <v/>
      </c>
      <c r="AB420" s="1" t="n">
        <f aca="false">IF(N420="No",0,IF(REVIEW!O420=0,0,IF(G420&gt;0,IF(INDEX(CONFIRM!$J$5:$J$53,G420)&lt;&gt;"",INDEX(CONFIRM!$J$5:$J$53,G420),1),1)))</f>
        <v>1</v>
      </c>
      <c r="AC420" s="1" t="n">
        <f aca="false">IF(AB420=1,IF(COUNTIFS($B$5:B420,B420,$D$5:D420,D420,$AB$5:AB420,1)=1,1,0),0)</f>
        <v>0</v>
      </c>
    </row>
    <row r="421" customFormat="false" ht="15" hidden="false" customHeight="false" outlineLevel="0" collapsed="false">
      <c r="A421" s="48" t="str">
        <f aca="false">STACK!A421</f>
        <v>KVMC-0417</v>
      </c>
      <c r="B421" s="48" t="str">
        <f aca="false">STACK!B421</f>
        <v>KVMC</v>
      </c>
      <c r="C421" s="48" t="str">
        <f aca="false">STACK!E421</f>
        <v>Free Clinic Provider Staffing</v>
      </c>
      <c r="D421" s="1" t="str">
        <f aca="false">IFERROR(INDEX(MAP!$J$7:$J$101,MATCH(TRIM(C421),MAP!$I$7:$I$101,0)),"UNMAPPED")</f>
        <v>Free Clinic Provider Staffing</v>
      </c>
      <c r="E421" s="1" t="str">
        <f aca="false">IFERROR(INDEX(MAP!$K$7:$K$101,MATCH(TRIM(C421),MAP!$I$7:$I$101,0)),"")</f>
        <v>Access to care</v>
      </c>
      <c r="F421" s="1" t="str">
        <f aca="false">IFERROR(INDEX(MAP!$L$7:$L$101,MATCH(TRIM(C421),MAP!$I$7:$I$101,0)),"")</f>
        <v>Monthly</v>
      </c>
      <c r="G421" s="1" t="n">
        <f aca="false">IFERROR(MATCH(A421,CONFIRM!$A$5:$A$53,0),0)</f>
        <v>0</v>
      </c>
      <c r="H421" s="48" t="str">
        <f aca="false">STACK!F421</f>
        <v>Community-Based Clinical Services</v>
      </c>
      <c r="I421" s="1" t="str">
        <f aca="false">IF(G421&gt;0,IF(INDEX(CONFIRM!$I$5:$I$53,G421)&lt;&gt;"",INDEX(CONFIRM!$I$5:$I$53,G421),H421),H421)</f>
        <v>Community-Based Clinical Services</v>
      </c>
      <c r="J421" s="1" t="str">
        <f aca="false">IFERROR(INDEX(MAP!$F$7:$F$74,MATCH(TRIM(I421),MAP!$E$7:$E$74,0)),"UNMAPPED")</f>
        <v>Community-based clinical services</v>
      </c>
      <c r="K421" s="1" t="str">
        <f aca="false">IFERROR(INDEX(MAP!$G$7:$G$74,MATCH(TRIM(I421),MAP!$E$7:$E$74,0)),"UNMAPPED")</f>
        <v>7e</v>
      </c>
      <c r="L421" s="49" t="n">
        <f aca="false">STACK!G421</f>
        <v>46142</v>
      </c>
      <c r="M421" s="59" t="n">
        <f aca="false">IF(G421&gt;0,IF(INDEX(CONFIRM!$G$5:$G$53,G421)&lt;&gt;"",INDEX(CONFIRM!$G$5:$G$53,G421),IF(ISNUMBER(L421),L421,IFERROR(DATEVALUE(L421),""))),IF(ISNUMBER(L421),L421,IFERROR(DATEVALUE(L421),"")))</f>
        <v>46142</v>
      </c>
      <c r="N421" s="1" t="str">
        <f aca="false">IF(M421="","Check",IF(AND(M421&gt;=INPUTS!$C$6,M421&lt;=INPUTS!$C$7),"Yes","No"))</f>
        <v>Yes</v>
      </c>
      <c r="O421" s="48" t="str">
        <f aca="false">STACK!H421</f>
        <v>FNP</v>
      </c>
      <c r="P421" s="1" t="str">
        <f aca="false">IF(G421&gt;0,IF(INDEX(CONFIRM!$H$5:$H$53,G421)&lt;&gt;"",INDEX(CONFIRM!$H$5:$H$53,G421),IFERROR(INDEX(MAP!$B$7:$B$156,MATCH(TRIM(O421),MAP!$A$7:$A$156,0)),"UNMAPPED")),IFERROR(INDEX(MAP!$B$7:$B$156,MATCH(TRIM(O421),MAP!$A$7:$A$156,0)),"UNMAPPED"))</f>
        <v>Nurse Practitioner</v>
      </c>
      <c r="Q421" s="48" t="n">
        <f aca="false">STACK!I421</f>
        <v>46.5</v>
      </c>
      <c r="R421" s="60" t="n">
        <f aca="false">IF(G421&gt;0,IF(INDEX(CONFIRM!$F$5:$F$53,G421)&lt;&gt;"",INDEX(CONFIRM!$F$5:$F$53,G421),IF(ISNUMBER(Q421),Q421,IF(Q421="","",IFERROR(VALUE(TRIM(SUBSTITUTE(SUBSTITUTE(LOWER(Q421),"hrs",""),"hr",""))),"")))),IF(ISNUMBER(Q421),Q421,IF(Q421="","",IFERROR(VALUE(TRIM(SUBSTITUTE(SUBSTITUTE(LOWER(Q421),"hrs",""),"hr",""))),""))))</f>
        <v>46.5</v>
      </c>
      <c r="S421" s="57" t="n">
        <f aca="false">IFERROR(INDEX(RATES!$E$6:$E$28,MATCH(P421,RATES!$A$6:$A$28,0)),0)</f>
        <v>79.67</v>
      </c>
      <c r="T421" s="61" t="n">
        <f aca="false">IF(ISNUMBER(R421),R421,0)*S421</f>
        <v>3704.655</v>
      </c>
      <c r="U421" s="61" t="n">
        <f aca="false">T421*INDEX(INPUTS!$H$10:$H$14,MATCH(B421,INPUTS!$A$10:$A$14,0))</f>
        <v>685.361175</v>
      </c>
      <c r="V421" s="61" t="n">
        <f aca="false">N(STACK!K421)</f>
        <v>5295</v>
      </c>
      <c r="W421" s="61" t="n">
        <f aca="false">T421+U421+V421</f>
        <v>9685.016175</v>
      </c>
      <c r="X421" s="61" t="n">
        <f aca="false">N(STACK!L421)</f>
        <v>0</v>
      </c>
      <c r="Y421" s="61" t="n">
        <f aca="false">W421-X421</f>
        <v>9685.016175</v>
      </c>
      <c r="Z421" s="1" t="n">
        <f aca="false">N(STACK!J421)</f>
        <v>275</v>
      </c>
      <c r="AA421" s="1" t="str">
        <f aca="false">TRIM(IF(D421="UNMAPPED","Program not mapped. ","")&amp;IF(OR(K421="UNMAPPED",K421="UNASSIGNED"),"Category needs review. ","")&amp;IF(P421="UNMAPPED","Title not mapped. ","")&amp;IF(AND(P421&lt;&gt;"No staff time",R421=""),"Missing hours. ","")&amp;IF(M421="","Date not readable. ","")&amp;IF(N421="No","Outside fiscal year. ","")&amp;IF(AND(F421="Event",ISNUMBER(R421)),IF(R421&gt;12,"Event hours look high. ",""),"")&amp;IF(G421&gt;0,"See CONFIRM sheet.",""))</f>
        <v/>
      </c>
      <c r="AB421" s="1" t="n">
        <f aca="false">IF(N421="No",0,IF(REVIEW!O421=0,0,IF(G421&gt;0,IF(INDEX(CONFIRM!$J$5:$J$53,G421)&lt;&gt;"",INDEX(CONFIRM!$J$5:$J$53,G421),1),1)))</f>
        <v>1</v>
      </c>
      <c r="AC421" s="1" t="n">
        <f aca="false">IF(AB421=1,IF(COUNTIFS($B$5:B421,B421,$D$5:D421,D421,$AB$5:AB421,1)=1,1,0),0)</f>
        <v>0</v>
      </c>
    </row>
    <row r="422" customFormat="false" ht="15" hidden="false" customHeight="false" outlineLevel="0" collapsed="false">
      <c r="A422" s="48" t="str">
        <f aca="false">STACK!A422</f>
        <v>KVMC-0418</v>
      </c>
      <c r="B422" s="48" t="str">
        <f aca="false">STACK!B422</f>
        <v>KVMC</v>
      </c>
      <c r="C422" s="48" t="str">
        <f aca="false">STACK!E422</f>
        <v>Free Clinic Provider Staffing</v>
      </c>
      <c r="D422" s="1" t="str">
        <f aca="false">IFERROR(INDEX(MAP!$J$7:$J$101,MATCH(TRIM(C422),MAP!$I$7:$I$101,0)),"UNMAPPED")</f>
        <v>Free Clinic Provider Staffing</v>
      </c>
      <c r="E422" s="1" t="str">
        <f aca="false">IFERROR(INDEX(MAP!$K$7:$K$101,MATCH(TRIM(C422),MAP!$I$7:$I$101,0)),"")</f>
        <v>Access to care</v>
      </c>
      <c r="F422" s="1" t="str">
        <f aca="false">IFERROR(INDEX(MAP!$L$7:$L$101,MATCH(TRIM(C422),MAP!$I$7:$I$101,0)),"")</f>
        <v>Monthly</v>
      </c>
      <c r="G422" s="1" t="n">
        <f aca="false">IFERROR(MATCH(A422,CONFIRM!$A$5:$A$53,0),0)</f>
        <v>0</v>
      </c>
      <c r="H422" s="48" t="str">
        <f aca="false">STACK!F422</f>
        <v>Community-Based Clinical Services</v>
      </c>
      <c r="I422" s="1" t="str">
        <f aca="false">IF(G422&gt;0,IF(INDEX(CONFIRM!$I$5:$I$53,G422)&lt;&gt;"",INDEX(CONFIRM!$I$5:$I$53,G422),H422),H422)</f>
        <v>Community-Based Clinical Services</v>
      </c>
      <c r="J422" s="1" t="str">
        <f aca="false">IFERROR(INDEX(MAP!$F$7:$F$74,MATCH(TRIM(I422),MAP!$E$7:$E$74,0)),"UNMAPPED")</f>
        <v>Community-based clinical services</v>
      </c>
      <c r="K422" s="1" t="str">
        <f aca="false">IFERROR(INDEX(MAP!$G$7:$G$74,MATCH(TRIM(I422),MAP!$E$7:$E$74,0)),"UNMAPPED")</f>
        <v>7e</v>
      </c>
      <c r="L422" s="49" t="n">
        <f aca="false">STACK!G422</f>
        <v>46142</v>
      </c>
      <c r="M422" s="59" t="n">
        <f aca="false">IF(G422&gt;0,IF(INDEX(CONFIRM!$G$5:$G$53,G422)&lt;&gt;"",INDEX(CONFIRM!$G$5:$G$53,G422),IF(ISNUMBER(L422),L422,IFERROR(DATEVALUE(L422),""))),IF(ISNUMBER(L422),L422,IFERROR(DATEVALUE(L422),"")))</f>
        <v>46142</v>
      </c>
      <c r="N422" s="1" t="str">
        <f aca="false">IF(M422="","Check",IF(AND(M422&gt;=INPUTS!$C$6,M422&lt;=INPUTS!$C$7),"Yes","No"))</f>
        <v>Yes</v>
      </c>
      <c r="O422" s="48" t="str">
        <f aca="false">STACK!H422</f>
        <v>Pharm.D.</v>
      </c>
      <c r="P422" s="1" t="str">
        <f aca="false">IF(G422&gt;0,IF(INDEX(CONFIRM!$H$5:$H$53,G422)&lt;&gt;"",INDEX(CONFIRM!$H$5:$H$53,G422),IFERROR(INDEX(MAP!$B$7:$B$156,MATCH(TRIM(O422),MAP!$A$7:$A$156,0)),"UNMAPPED")),IFERROR(INDEX(MAP!$B$7:$B$156,MATCH(TRIM(O422),MAP!$A$7:$A$156,0)),"UNMAPPED"))</f>
        <v>Pharmacist</v>
      </c>
      <c r="Q422" s="48" t="n">
        <f aca="false">STACK!I422</f>
        <v>20</v>
      </c>
      <c r="R422" s="60" t="n">
        <f aca="false">IF(G422&gt;0,IF(INDEX(CONFIRM!$F$5:$F$53,G422)&lt;&gt;"",INDEX(CONFIRM!$F$5:$F$53,G422),IF(ISNUMBER(Q422),Q422,IF(Q422="","",IFERROR(VALUE(TRIM(SUBSTITUTE(SUBSTITUTE(LOWER(Q422),"hrs",""),"hr",""))),"")))),IF(ISNUMBER(Q422),Q422,IF(Q422="","",IFERROR(VALUE(TRIM(SUBSTITUTE(SUBSTITUTE(LOWER(Q422),"hrs",""),"hr",""))),""))))</f>
        <v>20</v>
      </c>
      <c r="S422" s="57" t="n">
        <f aca="false">IFERROR(INDEX(RATES!$E$6:$E$28,MATCH(P422,RATES!$A$6:$A$28,0)),0)</f>
        <v>84.81</v>
      </c>
      <c r="T422" s="61" t="n">
        <f aca="false">IF(ISNUMBER(R422),R422,0)*S422</f>
        <v>1696.2</v>
      </c>
      <c r="U422" s="61" t="n">
        <f aca="false">T422*INDEX(INPUTS!$H$10:$H$14,MATCH(B422,INPUTS!$A$10:$A$14,0))</f>
        <v>313.797</v>
      </c>
      <c r="V422" s="61" t="n">
        <f aca="false">N(STACK!K422)</f>
        <v>0</v>
      </c>
      <c r="W422" s="61" t="n">
        <f aca="false">T422+U422+V422</f>
        <v>2009.997</v>
      </c>
      <c r="X422" s="61" t="n">
        <f aca="false">N(STACK!L422)</f>
        <v>0</v>
      </c>
      <c r="Y422" s="61" t="n">
        <f aca="false">W422-X422</f>
        <v>2009.997</v>
      </c>
      <c r="Z422" s="1" t="n">
        <f aca="false">N(STACK!J422)</f>
        <v>0</v>
      </c>
      <c r="AA422" s="1" t="str">
        <f aca="false">TRIM(IF(D422="UNMAPPED","Program not mapped. ","")&amp;IF(OR(K422="UNMAPPED",K422="UNASSIGNED"),"Category needs review. ","")&amp;IF(P422="UNMAPPED","Title not mapped. ","")&amp;IF(AND(P422&lt;&gt;"No staff time",R422=""),"Missing hours. ","")&amp;IF(M422="","Date not readable. ","")&amp;IF(N422="No","Outside fiscal year. ","")&amp;IF(AND(F422="Event",ISNUMBER(R422)),IF(R422&gt;12,"Event hours look high. ",""),"")&amp;IF(G422&gt;0,"See CONFIRM sheet.",""))</f>
        <v/>
      </c>
      <c r="AB422" s="1" t="n">
        <f aca="false">IF(N422="No",0,IF(REVIEW!O422=0,0,IF(G422&gt;0,IF(INDEX(CONFIRM!$J$5:$J$53,G422)&lt;&gt;"",INDEX(CONFIRM!$J$5:$J$53,G422),1),1)))</f>
        <v>1</v>
      </c>
      <c r="AC422" s="1" t="n">
        <f aca="false">IF(AB422=1,IF(COUNTIFS($B$5:B422,B422,$D$5:D422,D422,$AB$5:AB422,1)=1,1,0),0)</f>
        <v>0</v>
      </c>
    </row>
    <row r="423" customFormat="false" ht="15" hidden="false" customHeight="false" outlineLevel="0" collapsed="false">
      <c r="A423" s="48" t="str">
        <f aca="false">STACK!A423</f>
        <v>KVMC-0419</v>
      </c>
      <c r="B423" s="48" t="str">
        <f aca="false">STACK!B423</f>
        <v>KVMC</v>
      </c>
      <c r="C423" s="48" t="str">
        <f aca="false">STACK!E423</f>
        <v>Free Clinic Provider Staffing</v>
      </c>
      <c r="D423" s="1" t="str">
        <f aca="false">IFERROR(INDEX(MAP!$J$7:$J$101,MATCH(TRIM(C423),MAP!$I$7:$I$101,0)),"UNMAPPED")</f>
        <v>Free Clinic Provider Staffing</v>
      </c>
      <c r="E423" s="1" t="str">
        <f aca="false">IFERROR(INDEX(MAP!$K$7:$K$101,MATCH(TRIM(C423),MAP!$I$7:$I$101,0)),"")</f>
        <v>Access to care</v>
      </c>
      <c r="F423" s="1" t="str">
        <f aca="false">IFERROR(INDEX(MAP!$L$7:$L$101,MATCH(TRIM(C423),MAP!$I$7:$I$101,0)),"")</f>
        <v>Monthly</v>
      </c>
      <c r="G423" s="1" t="n">
        <f aca="false">IFERROR(MATCH(A423,CONFIRM!$A$5:$A$53,0),0)</f>
        <v>0</v>
      </c>
      <c r="H423" s="48" t="str">
        <f aca="false">STACK!F423</f>
        <v>Community-Based Clinical Services</v>
      </c>
      <c r="I423" s="1" t="str">
        <f aca="false">IF(G423&gt;0,IF(INDEX(CONFIRM!$I$5:$I$53,G423)&lt;&gt;"",INDEX(CONFIRM!$I$5:$I$53,G423),H423),H423)</f>
        <v>Community-Based Clinical Services</v>
      </c>
      <c r="J423" s="1" t="str">
        <f aca="false">IFERROR(INDEX(MAP!$F$7:$F$74,MATCH(TRIM(I423),MAP!$E$7:$E$74,0)),"UNMAPPED")</f>
        <v>Community-based clinical services</v>
      </c>
      <c r="K423" s="1" t="str">
        <f aca="false">IFERROR(INDEX(MAP!$G$7:$G$74,MATCH(TRIM(I423),MAP!$E$7:$E$74,0)),"UNMAPPED")</f>
        <v>7e</v>
      </c>
      <c r="L423" s="49" t="n">
        <f aca="false">STACK!G423</f>
        <v>46142</v>
      </c>
      <c r="M423" s="59" t="n">
        <f aca="false">IF(G423&gt;0,IF(INDEX(CONFIRM!$G$5:$G$53,G423)&lt;&gt;"",INDEX(CONFIRM!$G$5:$G$53,G423),IF(ISNUMBER(L423),L423,IFERROR(DATEVALUE(L423),""))),IF(ISNUMBER(L423),L423,IFERROR(DATEVALUE(L423),"")))</f>
        <v>46142</v>
      </c>
      <c r="N423" s="1" t="str">
        <f aca="false">IF(M423="","Check",IF(AND(M423&gt;=INPUTS!$C$6,M423&lt;=INPUTS!$C$7),"Yes","No"))</f>
        <v>Yes</v>
      </c>
      <c r="O423" s="48" t="str">
        <f aca="false">STACK!H423</f>
        <v>Registered Nurse</v>
      </c>
      <c r="P423" s="1" t="str">
        <f aca="false">IF(G423&gt;0,IF(INDEX(CONFIRM!$H$5:$H$53,G423)&lt;&gt;"",INDEX(CONFIRM!$H$5:$H$53,G423),IFERROR(INDEX(MAP!$B$7:$B$156,MATCH(TRIM(O423),MAP!$A$7:$A$156,0)),"UNMAPPED")),IFERROR(INDEX(MAP!$B$7:$B$156,MATCH(TRIM(O423),MAP!$A$7:$A$156,0)),"UNMAPPED"))</f>
        <v>Registered Nurse</v>
      </c>
      <c r="Q423" s="48" t="n">
        <f aca="false">STACK!I423</f>
        <v>48</v>
      </c>
      <c r="R423" s="60" t="n">
        <f aca="false">IF(G423&gt;0,IF(INDEX(CONFIRM!$F$5:$F$53,G423)&lt;&gt;"",INDEX(CONFIRM!$F$5:$F$53,G423),IF(ISNUMBER(Q423),Q423,IF(Q423="","",IFERROR(VALUE(TRIM(SUBSTITUTE(SUBSTITUTE(LOWER(Q423),"hrs",""),"hr",""))),"")))),IF(ISNUMBER(Q423),Q423,IF(Q423="","",IFERROR(VALUE(TRIM(SUBSTITUTE(SUBSTITUTE(LOWER(Q423),"hrs",""),"hr",""))),""))))</f>
        <v>48</v>
      </c>
      <c r="S423" s="57" t="n">
        <f aca="false">IFERROR(INDEX(RATES!$E$6:$E$28,MATCH(P423,RATES!$A$6:$A$28,0)),0)</f>
        <v>55.8975</v>
      </c>
      <c r="T423" s="61" t="n">
        <f aca="false">IF(ISNUMBER(R423),R423,0)*S423</f>
        <v>2683.08</v>
      </c>
      <c r="U423" s="61" t="n">
        <f aca="false">T423*INDEX(INPUTS!$H$10:$H$14,MATCH(B423,INPUTS!$A$10:$A$14,0))</f>
        <v>496.3698</v>
      </c>
      <c r="V423" s="61" t="n">
        <f aca="false">N(STACK!K423)</f>
        <v>0</v>
      </c>
      <c r="W423" s="61" t="n">
        <f aca="false">T423+U423+V423</f>
        <v>3179.4498</v>
      </c>
      <c r="X423" s="61" t="n">
        <f aca="false">N(STACK!L423)</f>
        <v>0</v>
      </c>
      <c r="Y423" s="61" t="n">
        <f aca="false">W423-X423</f>
        <v>3179.4498</v>
      </c>
      <c r="Z423" s="1" t="n">
        <f aca="false">N(STACK!J423)</f>
        <v>0</v>
      </c>
      <c r="AA423" s="1" t="str">
        <f aca="false">TRIM(IF(D423="UNMAPPED","Program not mapped. ","")&amp;IF(OR(K423="UNMAPPED",K423="UNASSIGNED"),"Category needs review. ","")&amp;IF(P423="UNMAPPED","Title not mapped. ","")&amp;IF(AND(P423&lt;&gt;"No staff time",R423=""),"Missing hours. ","")&amp;IF(M423="","Date not readable. ","")&amp;IF(N423="No","Outside fiscal year. ","")&amp;IF(AND(F423="Event",ISNUMBER(R423)),IF(R423&gt;12,"Event hours look high. ",""),"")&amp;IF(G423&gt;0,"See CONFIRM sheet.",""))</f>
        <v/>
      </c>
      <c r="AB423" s="1" t="n">
        <f aca="false">IF(N423="No",0,IF(REVIEW!O423=0,0,IF(G423&gt;0,IF(INDEX(CONFIRM!$J$5:$J$53,G423)&lt;&gt;"",INDEX(CONFIRM!$J$5:$J$53,G423),1),1)))</f>
        <v>1</v>
      </c>
      <c r="AC423" s="1" t="n">
        <f aca="false">IF(AB423=1,IF(COUNTIFS($B$5:B423,B423,$D$5:D423,D423,$AB$5:AB423,1)=1,1,0),0)</f>
        <v>0</v>
      </c>
    </row>
    <row r="424" customFormat="false" ht="15" hidden="false" customHeight="false" outlineLevel="0" collapsed="false">
      <c r="A424" s="48" t="str">
        <f aca="false">STACK!A424</f>
        <v>KVMC-0420</v>
      </c>
      <c r="B424" s="48" t="str">
        <f aca="false">STACK!B424</f>
        <v>KVMC</v>
      </c>
      <c r="C424" s="48" t="str">
        <f aca="false">STACK!E424</f>
        <v>Community Health Worker Outreach</v>
      </c>
      <c r="D424" s="1" t="str">
        <f aca="false">IFERROR(INDEX(MAP!$J$7:$J$101,MATCH(TRIM(C424),MAP!$I$7:$I$101,0)),"UNMAPPED")</f>
        <v>Community Health Worker Outreach</v>
      </c>
      <c r="E424" s="1" t="str">
        <f aca="false">IFERROR(INDEX(MAP!$K$7:$K$101,MATCH(TRIM(C424),MAP!$I$7:$I$101,0)),"")</f>
        <v>Access to care</v>
      </c>
      <c r="F424" s="1" t="str">
        <f aca="false">IFERROR(INDEX(MAP!$L$7:$L$101,MATCH(TRIM(C424),MAP!$I$7:$I$101,0)),"")</f>
        <v>Monthly</v>
      </c>
      <c r="G424" s="1" t="n">
        <f aca="false">IFERROR(MATCH(A424,CONFIRM!$A$5:$A$53,0),0)</f>
        <v>0</v>
      </c>
      <c r="H424" s="48" t="str">
        <f aca="false">STACK!F424</f>
        <v>Health Care Support Services</v>
      </c>
      <c r="I424" s="1" t="str">
        <f aca="false">IF(G424&gt;0,IF(INDEX(CONFIRM!$I$5:$I$53,G424)&lt;&gt;"",INDEX(CONFIRM!$I$5:$I$53,G424),H424),H424)</f>
        <v>Health Care Support Services</v>
      </c>
      <c r="J424" s="1" t="str">
        <f aca="false">IFERROR(INDEX(MAP!$F$7:$F$74,MATCH(TRIM(I424),MAP!$E$7:$E$74,0)),"UNMAPPED")</f>
        <v>Health care support services</v>
      </c>
      <c r="K424" s="1" t="str">
        <f aca="false">IFERROR(INDEX(MAP!$G$7:$G$74,MATCH(TRIM(I424),MAP!$E$7:$E$74,0)),"UNMAPPED")</f>
        <v>7e</v>
      </c>
      <c r="L424" s="49" t="n">
        <f aca="false">STACK!G424</f>
        <v>46142</v>
      </c>
      <c r="M424" s="59" t="n">
        <f aca="false">IF(G424&gt;0,IF(INDEX(CONFIRM!$G$5:$G$53,G424)&lt;&gt;"",INDEX(CONFIRM!$G$5:$G$53,G424),IF(ISNUMBER(L424),L424,IFERROR(DATEVALUE(L424),""))),IF(ISNUMBER(L424),L424,IFERROR(DATEVALUE(L424),"")))</f>
        <v>46142</v>
      </c>
      <c r="N424" s="1" t="str">
        <f aca="false">IF(M424="","Check",IF(AND(M424&gt;=INPUTS!$C$6,M424&lt;=INPUTS!$C$7),"Yes","No"))</f>
        <v>Yes</v>
      </c>
      <c r="O424" s="48" t="str">
        <f aca="false">STACK!H424</f>
        <v>CHW</v>
      </c>
      <c r="P424" s="1" t="str">
        <f aca="false">IF(G424&gt;0,IF(INDEX(CONFIRM!$H$5:$H$53,G424)&lt;&gt;"",INDEX(CONFIRM!$H$5:$H$53,G424),IFERROR(INDEX(MAP!$B$7:$B$156,MATCH(TRIM(O424),MAP!$A$7:$A$156,0)),"UNMAPPED")),IFERROR(INDEX(MAP!$B$7:$B$156,MATCH(TRIM(O424),MAP!$A$7:$A$156,0)),"UNMAPPED"))</f>
        <v>Community Health Worker</v>
      </c>
      <c r="Q424" s="48" t="n">
        <f aca="false">STACK!I424</f>
        <v>419.25</v>
      </c>
      <c r="R424" s="60" t="n">
        <f aca="false">IF(G424&gt;0,IF(INDEX(CONFIRM!$F$5:$F$53,G424)&lt;&gt;"",INDEX(CONFIRM!$F$5:$F$53,G424),IF(ISNUMBER(Q424),Q424,IF(Q424="","",IFERROR(VALUE(TRIM(SUBSTITUTE(SUBSTITUTE(LOWER(Q424),"hrs",""),"hr",""))),"")))),IF(ISNUMBER(Q424),Q424,IF(Q424="","",IFERROR(VALUE(TRIM(SUBSTITUTE(SUBSTITUTE(LOWER(Q424),"hrs",""),"hr",""))),""))))</f>
        <v>419.25</v>
      </c>
      <c r="S424" s="57" t="n">
        <f aca="false">IFERROR(INDEX(RATES!$E$6:$E$28,MATCH(P424,RATES!$A$6:$A$28,0)),0)</f>
        <v>27.6275</v>
      </c>
      <c r="T424" s="61" t="n">
        <f aca="false">IF(ISNUMBER(R424),R424,0)*S424</f>
        <v>11582.829375</v>
      </c>
      <c r="U424" s="61" t="n">
        <f aca="false">T424*INDEX(INPUTS!$H$10:$H$14,MATCH(B424,INPUTS!$A$10:$A$14,0))</f>
        <v>2142.823434375</v>
      </c>
      <c r="V424" s="61" t="n">
        <f aca="false">N(STACK!K424)</f>
        <v>2610</v>
      </c>
      <c r="W424" s="61" t="n">
        <f aca="false">T424+U424+V424</f>
        <v>16335.652809375</v>
      </c>
      <c r="X424" s="61" t="n">
        <f aca="false">N(STACK!L424)</f>
        <v>0</v>
      </c>
      <c r="Y424" s="61" t="n">
        <f aca="false">W424-X424</f>
        <v>16335.652809375</v>
      </c>
      <c r="Z424" s="1" t="n">
        <f aca="false">N(STACK!J424)</f>
        <v>359</v>
      </c>
      <c r="AA424" s="1" t="str">
        <f aca="false">TRIM(IF(D424="UNMAPPED","Program not mapped. ","")&amp;IF(OR(K424="UNMAPPED",K424="UNASSIGNED"),"Category needs review. ","")&amp;IF(P424="UNMAPPED","Title not mapped. ","")&amp;IF(AND(P424&lt;&gt;"No staff time",R424=""),"Missing hours. ","")&amp;IF(M424="","Date not readable. ","")&amp;IF(N424="No","Outside fiscal year. ","")&amp;IF(AND(F424="Event",ISNUMBER(R424)),IF(R424&gt;12,"Event hours look high. ",""),"")&amp;IF(G424&gt;0,"See CONFIRM sheet.",""))</f>
        <v/>
      </c>
      <c r="AB424" s="1" t="n">
        <f aca="false">IF(N424="No",0,IF(REVIEW!O424=0,0,IF(G424&gt;0,IF(INDEX(CONFIRM!$J$5:$J$53,G424)&lt;&gt;"",INDEX(CONFIRM!$J$5:$J$53,G424),1),1)))</f>
        <v>1</v>
      </c>
      <c r="AC424" s="1" t="n">
        <f aca="false">IF(AB424=1,IF(COUNTIFS($B$5:B424,B424,$D$5:D424,D424,$AB$5:AB424,1)=1,1,0),0)</f>
        <v>0</v>
      </c>
    </row>
    <row r="425" customFormat="false" ht="15" hidden="false" customHeight="false" outlineLevel="0" collapsed="false">
      <c r="A425" s="48" t="str">
        <f aca="false">STACK!A425</f>
        <v>KVMC-0421</v>
      </c>
      <c r="B425" s="48" t="str">
        <f aca="false">STACK!B425</f>
        <v>KVMC</v>
      </c>
      <c r="C425" s="48" t="str">
        <f aca="false">STACK!E425</f>
        <v>Community Health Worker Outreach</v>
      </c>
      <c r="D425" s="1" t="str">
        <f aca="false">IFERROR(INDEX(MAP!$J$7:$J$101,MATCH(TRIM(C425),MAP!$I$7:$I$101,0)),"UNMAPPED")</f>
        <v>Community Health Worker Outreach</v>
      </c>
      <c r="E425" s="1" t="str">
        <f aca="false">IFERROR(INDEX(MAP!$K$7:$K$101,MATCH(TRIM(C425),MAP!$I$7:$I$101,0)),"")</f>
        <v>Access to care</v>
      </c>
      <c r="F425" s="1" t="str">
        <f aca="false">IFERROR(INDEX(MAP!$L$7:$L$101,MATCH(TRIM(C425),MAP!$I$7:$I$101,0)),"")</f>
        <v>Monthly</v>
      </c>
      <c r="G425" s="1" t="n">
        <f aca="false">IFERROR(MATCH(A425,CONFIRM!$A$5:$A$53,0),0)</f>
        <v>0</v>
      </c>
      <c r="H425" s="48" t="str">
        <f aca="false">STACK!F425</f>
        <v>Health Care Support Services</v>
      </c>
      <c r="I425" s="1" t="str">
        <f aca="false">IF(G425&gt;0,IF(INDEX(CONFIRM!$I$5:$I$53,G425)&lt;&gt;"",INDEX(CONFIRM!$I$5:$I$53,G425),H425),H425)</f>
        <v>Health Care Support Services</v>
      </c>
      <c r="J425" s="1" t="str">
        <f aca="false">IFERROR(INDEX(MAP!$F$7:$F$74,MATCH(TRIM(I425),MAP!$E$7:$E$74,0)),"UNMAPPED")</f>
        <v>Health care support services</v>
      </c>
      <c r="K425" s="1" t="str">
        <f aca="false">IFERROR(INDEX(MAP!$G$7:$G$74,MATCH(TRIM(I425),MAP!$E$7:$E$74,0)),"UNMAPPED")</f>
        <v>7e</v>
      </c>
      <c r="L425" s="49" t="n">
        <f aca="false">STACK!G425</f>
        <v>46142</v>
      </c>
      <c r="M425" s="59" t="n">
        <f aca="false">IF(G425&gt;0,IF(INDEX(CONFIRM!$G$5:$G$53,G425)&lt;&gt;"",INDEX(CONFIRM!$G$5:$G$53,G425),IF(ISNUMBER(L425),L425,IFERROR(DATEVALUE(L425),""))),IF(ISNUMBER(L425),L425,IFERROR(DATEVALUE(L425),"")))</f>
        <v>46142</v>
      </c>
      <c r="N425" s="1" t="str">
        <f aca="false">IF(M425="","Check",IF(AND(M425&gt;=INPUTS!$C$6,M425&lt;=INPUTS!$C$7),"Yes","No"))</f>
        <v>Yes</v>
      </c>
      <c r="O425" s="48" t="str">
        <f aca="false">STACK!H425</f>
        <v>Financial Navigator</v>
      </c>
      <c r="P425" s="1" t="str">
        <f aca="false">IF(G425&gt;0,IF(INDEX(CONFIRM!$H$5:$H$53,G425)&lt;&gt;"",INDEX(CONFIRM!$H$5:$H$53,G425),IFERROR(INDEX(MAP!$B$7:$B$156,MATCH(TRIM(O425),MAP!$A$7:$A$156,0)),"UNMAPPED")),IFERROR(INDEX(MAP!$B$7:$B$156,MATCH(TRIM(O425),MAP!$A$7:$A$156,0)),"UNMAPPED"))</f>
        <v>Patient Navigator</v>
      </c>
      <c r="Q425" s="48" t="n">
        <f aca="false">STACK!I425</f>
        <v>203.25</v>
      </c>
      <c r="R425" s="60" t="n">
        <f aca="false">IF(G425&gt;0,IF(INDEX(CONFIRM!$F$5:$F$53,G425)&lt;&gt;"",INDEX(CONFIRM!$F$5:$F$53,G425),IF(ISNUMBER(Q425),Q425,IF(Q425="","",IFERROR(VALUE(TRIM(SUBSTITUTE(SUBSTITUTE(LOWER(Q425),"hrs",""),"hr",""))),"")))),IF(ISNUMBER(Q425),Q425,IF(Q425="","",IFERROR(VALUE(TRIM(SUBSTITUTE(SUBSTITUTE(LOWER(Q425),"hrs",""),"hr",""))),""))))</f>
        <v>203.25</v>
      </c>
      <c r="S425" s="57" t="n">
        <f aca="false">IFERROR(INDEX(RATES!$E$6:$E$28,MATCH(P425,RATES!$A$6:$A$28,0)),0)</f>
        <v>30.84</v>
      </c>
      <c r="T425" s="61" t="n">
        <f aca="false">IF(ISNUMBER(R425),R425,0)*S425</f>
        <v>6268.23</v>
      </c>
      <c r="U425" s="61" t="n">
        <f aca="false">T425*INDEX(INPUTS!$H$10:$H$14,MATCH(B425,INPUTS!$A$10:$A$14,0))</f>
        <v>1159.62255</v>
      </c>
      <c r="V425" s="61" t="n">
        <f aca="false">N(STACK!K425)</f>
        <v>0</v>
      </c>
      <c r="W425" s="61" t="n">
        <f aca="false">T425+U425+V425</f>
        <v>7427.85255</v>
      </c>
      <c r="X425" s="61" t="n">
        <f aca="false">N(STACK!L425)</f>
        <v>0</v>
      </c>
      <c r="Y425" s="61" t="n">
        <f aca="false">W425-X425</f>
        <v>7427.85255</v>
      </c>
      <c r="Z425" s="1" t="n">
        <f aca="false">N(STACK!J425)</f>
        <v>0</v>
      </c>
      <c r="AA425" s="1" t="str">
        <f aca="false">TRIM(IF(D425="UNMAPPED","Program not mapped. ","")&amp;IF(OR(K425="UNMAPPED",K425="UNASSIGNED"),"Category needs review. ","")&amp;IF(P425="UNMAPPED","Title not mapped. ","")&amp;IF(AND(P425&lt;&gt;"No staff time",R425=""),"Missing hours. ","")&amp;IF(M425="","Date not readable. ","")&amp;IF(N425="No","Outside fiscal year. ","")&amp;IF(AND(F425="Event",ISNUMBER(R425)),IF(R425&gt;12,"Event hours look high. ",""),"")&amp;IF(G425&gt;0,"See CONFIRM sheet.",""))</f>
        <v/>
      </c>
      <c r="AB425" s="1" t="n">
        <f aca="false">IF(N425="No",0,IF(REVIEW!O425=0,0,IF(G425&gt;0,IF(INDEX(CONFIRM!$J$5:$J$53,G425)&lt;&gt;"",INDEX(CONFIRM!$J$5:$J$53,G425),1),1)))</f>
        <v>1</v>
      </c>
      <c r="AC425" s="1" t="n">
        <f aca="false">IF(AB425=1,IF(COUNTIFS($B$5:B425,B425,$D$5:D425,D425,$AB$5:AB425,1)=1,1,0),0)</f>
        <v>0</v>
      </c>
    </row>
    <row r="426" customFormat="false" ht="15" hidden="false" customHeight="false" outlineLevel="0" collapsed="false">
      <c r="A426" s="48" t="str">
        <f aca="false">STACK!A426</f>
        <v>KVMC-0422</v>
      </c>
      <c r="B426" s="48" t="str">
        <f aca="false">STACK!B426</f>
        <v>KVMC</v>
      </c>
      <c r="C426" s="48" t="str">
        <f aca="false">STACK!E426</f>
        <v>Medication Assistance Program</v>
      </c>
      <c r="D426" s="1" t="str">
        <f aca="false">IFERROR(INDEX(MAP!$J$7:$J$101,MATCH(TRIM(C426),MAP!$I$7:$I$101,0)),"UNMAPPED")</f>
        <v>Medication Assistance Program</v>
      </c>
      <c r="E426" s="1" t="str">
        <f aca="false">IFERROR(INDEX(MAP!$K$7:$K$101,MATCH(TRIM(C426),MAP!$I$7:$I$101,0)),"")</f>
        <v>Access to care</v>
      </c>
      <c r="F426" s="1" t="str">
        <f aca="false">IFERROR(INDEX(MAP!$L$7:$L$101,MATCH(TRIM(C426),MAP!$I$7:$I$101,0)),"")</f>
        <v>Monthly</v>
      </c>
      <c r="G426" s="1" t="n">
        <f aca="false">IFERROR(MATCH(A426,CONFIRM!$A$5:$A$53,0),0)</f>
        <v>0</v>
      </c>
      <c r="H426" s="48" t="str">
        <f aca="false">STACK!F426</f>
        <v>Health Care Support Services</v>
      </c>
      <c r="I426" s="1" t="str">
        <f aca="false">IF(G426&gt;0,IF(INDEX(CONFIRM!$I$5:$I$53,G426)&lt;&gt;"",INDEX(CONFIRM!$I$5:$I$53,G426),H426),H426)</f>
        <v>Health Care Support Services</v>
      </c>
      <c r="J426" s="1" t="str">
        <f aca="false">IFERROR(INDEX(MAP!$F$7:$F$74,MATCH(TRIM(I426),MAP!$E$7:$E$74,0)),"UNMAPPED")</f>
        <v>Health care support services</v>
      </c>
      <c r="K426" s="1" t="str">
        <f aca="false">IFERROR(INDEX(MAP!$G$7:$G$74,MATCH(TRIM(I426),MAP!$E$7:$E$74,0)),"UNMAPPED")</f>
        <v>7e</v>
      </c>
      <c r="L426" s="49" t="n">
        <f aca="false">STACK!G426</f>
        <v>46142</v>
      </c>
      <c r="M426" s="59" t="n">
        <f aca="false">IF(G426&gt;0,IF(INDEX(CONFIRM!$G$5:$G$53,G426)&lt;&gt;"",INDEX(CONFIRM!$G$5:$G$53,G426),IF(ISNUMBER(L426),L426,IFERROR(DATEVALUE(L426),""))),IF(ISNUMBER(L426),L426,IFERROR(DATEVALUE(L426),"")))</f>
        <v>46142</v>
      </c>
      <c r="N426" s="1" t="str">
        <f aca="false">IF(M426="","Check",IF(AND(M426&gt;=INPUTS!$C$6,M426&lt;=INPUTS!$C$7),"Yes","No"))</f>
        <v>Yes</v>
      </c>
      <c r="O426" s="48" t="str">
        <f aca="false">STACK!H426</f>
        <v> Navigator</v>
      </c>
      <c r="P426" s="1" t="str">
        <f aca="false">IF(G426&gt;0,IF(INDEX(CONFIRM!$H$5:$H$53,G426)&lt;&gt;"",INDEX(CONFIRM!$H$5:$H$53,G426),IFERROR(INDEX(MAP!$B$7:$B$156,MATCH(TRIM(O426),MAP!$A$7:$A$156,0)),"UNMAPPED")),IFERROR(INDEX(MAP!$B$7:$B$156,MATCH(TRIM(O426),MAP!$A$7:$A$156,0)),"UNMAPPED"))</f>
        <v>Patient Navigator</v>
      </c>
      <c r="Q426" s="48" t="n">
        <f aca="false">STACK!I426</f>
        <v>111.5</v>
      </c>
      <c r="R426" s="60" t="n">
        <f aca="false">IF(G426&gt;0,IF(INDEX(CONFIRM!$F$5:$F$53,G426)&lt;&gt;"",INDEX(CONFIRM!$F$5:$F$53,G426),IF(ISNUMBER(Q426),Q426,IF(Q426="","",IFERROR(VALUE(TRIM(SUBSTITUTE(SUBSTITUTE(LOWER(Q426),"hrs",""),"hr",""))),"")))),IF(ISNUMBER(Q426),Q426,IF(Q426="","",IFERROR(VALUE(TRIM(SUBSTITUTE(SUBSTITUTE(LOWER(Q426),"hrs",""),"hr",""))),""))))</f>
        <v>111.5</v>
      </c>
      <c r="S426" s="57" t="n">
        <f aca="false">IFERROR(INDEX(RATES!$E$6:$E$28,MATCH(P426,RATES!$A$6:$A$28,0)),0)</f>
        <v>30.84</v>
      </c>
      <c r="T426" s="61" t="n">
        <f aca="false">IF(ISNUMBER(R426),R426,0)*S426</f>
        <v>3438.66</v>
      </c>
      <c r="U426" s="61" t="n">
        <f aca="false">T426*INDEX(INPUTS!$H$10:$H$14,MATCH(B426,INPUTS!$A$10:$A$14,0))</f>
        <v>636.1521</v>
      </c>
      <c r="V426" s="61" t="n">
        <f aca="false">N(STACK!K426)</f>
        <v>0</v>
      </c>
      <c r="W426" s="61" t="n">
        <f aca="false">T426+U426+V426</f>
        <v>4074.8121</v>
      </c>
      <c r="X426" s="61" t="n">
        <f aca="false">N(STACK!L426)</f>
        <v>0</v>
      </c>
      <c r="Y426" s="61" t="n">
        <f aca="false">W426-X426</f>
        <v>4074.8121</v>
      </c>
      <c r="Z426" s="1" t="n">
        <f aca="false">N(STACK!J426)</f>
        <v>0</v>
      </c>
      <c r="AA426" s="1" t="str">
        <f aca="false">TRIM(IF(D426="UNMAPPED","Program not mapped. ","")&amp;IF(OR(K426="UNMAPPED",K426="UNASSIGNED"),"Category needs review. ","")&amp;IF(P426="UNMAPPED","Title not mapped. ","")&amp;IF(AND(P426&lt;&gt;"No staff time",R426=""),"Missing hours. ","")&amp;IF(M426="","Date not readable. ","")&amp;IF(N426="No","Outside fiscal year. ","")&amp;IF(AND(F426="Event",ISNUMBER(R426)),IF(R426&gt;12,"Event hours look high. ",""),"")&amp;IF(G426&gt;0,"See CONFIRM sheet.",""))</f>
        <v/>
      </c>
      <c r="AB426" s="1" t="n">
        <f aca="false">IF(N426="No",0,IF(REVIEW!O426=0,0,IF(G426&gt;0,IF(INDEX(CONFIRM!$J$5:$J$53,G426)&lt;&gt;"",INDEX(CONFIRM!$J$5:$J$53,G426),1),1)))</f>
        <v>1</v>
      </c>
      <c r="AC426" s="1" t="n">
        <f aca="false">IF(AB426=1,IF(COUNTIFS($B$5:B426,B426,$D$5:D426,D426,$AB$5:AB426,1)=1,1,0),0)</f>
        <v>0</v>
      </c>
    </row>
    <row r="427" customFormat="false" ht="15" hidden="false" customHeight="false" outlineLevel="0" collapsed="false">
      <c r="A427" s="48" t="str">
        <f aca="false">STACK!A427</f>
        <v>KVMC-0423</v>
      </c>
      <c r="B427" s="48" t="str">
        <f aca="false">STACK!B427</f>
        <v>KVMC</v>
      </c>
      <c r="C427" s="48" t="str">
        <f aca="false">STACK!E427</f>
        <v>Medication Assistance Program</v>
      </c>
      <c r="D427" s="1" t="str">
        <f aca="false">IFERROR(INDEX(MAP!$J$7:$J$101,MATCH(TRIM(C427),MAP!$I$7:$I$101,0)),"UNMAPPED")</f>
        <v>Medication Assistance Program</v>
      </c>
      <c r="E427" s="1" t="str">
        <f aca="false">IFERROR(INDEX(MAP!$K$7:$K$101,MATCH(TRIM(C427),MAP!$I$7:$I$101,0)),"")</f>
        <v>Access to care</v>
      </c>
      <c r="F427" s="1" t="str">
        <f aca="false">IFERROR(INDEX(MAP!$L$7:$L$101,MATCH(TRIM(C427),MAP!$I$7:$I$101,0)),"")</f>
        <v>Monthly</v>
      </c>
      <c r="G427" s="1" t="n">
        <f aca="false">IFERROR(MATCH(A427,CONFIRM!$A$5:$A$53,0),0)</f>
        <v>0</v>
      </c>
      <c r="H427" s="48" t="str">
        <f aca="false">STACK!F427</f>
        <v>Health Care Support Services</v>
      </c>
      <c r="I427" s="1" t="str">
        <f aca="false">IF(G427&gt;0,IF(INDEX(CONFIRM!$I$5:$I$53,G427)&lt;&gt;"",INDEX(CONFIRM!$I$5:$I$53,G427),H427),H427)</f>
        <v>Health Care Support Services</v>
      </c>
      <c r="J427" s="1" t="str">
        <f aca="false">IFERROR(INDEX(MAP!$F$7:$F$74,MATCH(TRIM(I427),MAP!$E$7:$E$74,0)),"UNMAPPED")</f>
        <v>Health care support services</v>
      </c>
      <c r="K427" s="1" t="str">
        <f aca="false">IFERROR(INDEX(MAP!$G$7:$G$74,MATCH(TRIM(I427),MAP!$E$7:$E$74,0)),"UNMAPPED")</f>
        <v>7e</v>
      </c>
      <c r="L427" s="49" t="n">
        <f aca="false">STACK!G427</f>
        <v>46142</v>
      </c>
      <c r="M427" s="59" t="n">
        <f aca="false">IF(G427&gt;0,IF(INDEX(CONFIRM!$G$5:$G$53,G427)&lt;&gt;"",INDEX(CONFIRM!$G$5:$G$53,G427),IF(ISNUMBER(L427),L427,IFERROR(DATEVALUE(L427),""))),IF(ISNUMBER(L427),L427,IFERROR(DATEVALUE(L427),"")))</f>
        <v>46142</v>
      </c>
      <c r="N427" s="1" t="str">
        <f aca="false">IF(M427="","Check",IF(AND(M427&gt;=INPUTS!$C$6,M427&lt;=INPUTS!$C$7),"Yes","No"))</f>
        <v>Yes</v>
      </c>
      <c r="O427" s="48" t="str">
        <f aca="false">STACK!H427</f>
        <v>Clinical Pharmacist</v>
      </c>
      <c r="P427" s="1" t="str">
        <f aca="false">IF(G427&gt;0,IF(INDEX(CONFIRM!$H$5:$H$53,G427)&lt;&gt;"",INDEX(CONFIRM!$H$5:$H$53,G427),IFERROR(INDEX(MAP!$B$7:$B$156,MATCH(TRIM(O427),MAP!$A$7:$A$156,0)),"UNMAPPED")),IFERROR(INDEX(MAP!$B$7:$B$156,MATCH(TRIM(O427),MAP!$A$7:$A$156,0)),"UNMAPPED"))</f>
        <v>Pharmacist</v>
      </c>
      <c r="Q427" s="48" t="n">
        <f aca="false">STACK!I427</f>
        <v>28.25</v>
      </c>
      <c r="R427" s="60" t="n">
        <f aca="false">IF(G427&gt;0,IF(INDEX(CONFIRM!$F$5:$F$53,G427)&lt;&gt;"",INDEX(CONFIRM!$F$5:$F$53,G427),IF(ISNUMBER(Q427),Q427,IF(Q427="","",IFERROR(VALUE(TRIM(SUBSTITUTE(SUBSTITUTE(LOWER(Q427),"hrs",""),"hr",""))),"")))),IF(ISNUMBER(Q427),Q427,IF(Q427="","",IFERROR(VALUE(TRIM(SUBSTITUTE(SUBSTITUTE(LOWER(Q427),"hrs",""),"hr",""))),""))))</f>
        <v>28.25</v>
      </c>
      <c r="S427" s="57" t="n">
        <f aca="false">IFERROR(INDEX(RATES!$E$6:$E$28,MATCH(P427,RATES!$A$6:$A$28,0)),0)</f>
        <v>84.81</v>
      </c>
      <c r="T427" s="61" t="n">
        <f aca="false">IF(ISNUMBER(R427),R427,0)*S427</f>
        <v>2395.8825</v>
      </c>
      <c r="U427" s="61" t="n">
        <f aca="false">T427*INDEX(INPUTS!$H$10:$H$14,MATCH(B427,INPUTS!$A$10:$A$14,0))</f>
        <v>443.2382625</v>
      </c>
      <c r="V427" s="61" t="n">
        <f aca="false">N(STACK!K427)</f>
        <v>30985</v>
      </c>
      <c r="W427" s="61" t="n">
        <f aca="false">T427+U427+V427</f>
        <v>33824.1207625</v>
      </c>
      <c r="X427" s="61" t="n">
        <f aca="false">N(STACK!L427)</f>
        <v>0</v>
      </c>
      <c r="Y427" s="61" t="n">
        <f aca="false">W427-X427</f>
        <v>33824.1207625</v>
      </c>
      <c r="Z427" s="1" t="n">
        <f aca="false">N(STACK!J427)</f>
        <v>163</v>
      </c>
      <c r="AA427" s="1" t="str">
        <f aca="false">TRIM(IF(D427="UNMAPPED","Program not mapped. ","")&amp;IF(OR(K427="UNMAPPED",K427="UNASSIGNED"),"Category needs review. ","")&amp;IF(P427="UNMAPPED","Title not mapped. ","")&amp;IF(AND(P427&lt;&gt;"No staff time",R427=""),"Missing hours. ","")&amp;IF(M427="","Date not readable. ","")&amp;IF(N427="No","Outside fiscal year. ","")&amp;IF(AND(F427="Event",ISNUMBER(R427)),IF(R427&gt;12,"Event hours look high. ",""),"")&amp;IF(G427&gt;0,"See CONFIRM sheet.",""))</f>
        <v/>
      </c>
      <c r="AB427" s="1" t="n">
        <f aca="false">IF(N427="No",0,IF(REVIEW!O427=0,0,IF(G427&gt;0,IF(INDEX(CONFIRM!$J$5:$J$53,G427)&lt;&gt;"",INDEX(CONFIRM!$J$5:$J$53,G427),1),1)))</f>
        <v>1</v>
      </c>
      <c r="AC427" s="1" t="n">
        <f aca="false">IF(AB427=1,IF(COUNTIFS($B$5:B427,B427,$D$5:D427,D427,$AB$5:AB427,1)=1,1,0),0)</f>
        <v>0</v>
      </c>
    </row>
    <row r="428" customFormat="false" ht="15" hidden="false" customHeight="false" outlineLevel="0" collapsed="false">
      <c r="A428" s="48" t="str">
        <f aca="false">STACK!A428</f>
        <v>KVMC-0424</v>
      </c>
      <c r="B428" s="48" t="str">
        <f aca="false">STACK!B428</f>
        <v>KVMC</v>
      </c>
      <c r="C428" s="48" t="str">
        <f aca="false">STACK!E428</f>
        <v>Community Health Needs Assessment</v>
      </c>
      <c r="D428" s="1" t="str">
        <f aca="false">IFERROR(INDEX(MAP!$J$7:$J$101,MATCH(TRIM(C428),MAP!$I$7:$I$101,0)),"UNMAPPED")</f>
        <v>Community Health Needs Assessment</v>
      </c>
      <c r="E428" s="1" t="str">
        <f aca="false">IFERROR(INDEX(MAP!$K$7:$K$101,MATCH(TRIM(C428),MAP!$I$7:$I$101,0)),"")</f>
        <v>Community benefit infrastructure</v>
      </c>
      <c r="F428" s="1" t="str">
        <f aca="false">IFERROR(INDEX(MAP!$L$7:$L$101,MATCH(TRIM(C428),MAP!$I$7:$I$101,0)),"")</f>
        <v>Monthly</v>
      </c>
      <c r="G428" s="1" t="n">
        <f aca="false">IFERROR(MATCH(A428,CONFIRM!$A$5:$A$53,0),0)</f>
        <v>0</v>
      </c>
      <c r="H428" s="48" t="str">
        <f aca="false">STACK!F428</f>
        <v>CB Operations</v>
      </c>
      <c r="I428" s="1" t="str">
        <f aca="false">IF(G428&gt;0,IF(INDEX(CONFIRM!$I$5:$I$53,G428)&lt;&gt;"",INDEX(CONFIRM!$I$5:$I$53,G428),H428),H428)</f>
        <v>CB Operations</v>
      </c>
      <c r="J428" s="1" t="str">
        <f aca="false">IFERROR(INDEX(MAP!$F$7:$F$74,MATCH(TRIM(I428),MAP!$E$7:$E$74,0)),"UNMAPPED")</f>
        <v>Community benefit operations</v>
      </c>
      <c r="K428" s="1" t="str">
        <f aca="false">IFERROR(INDEX(MAP!$G$7:$G$74,MATCH(TRIM(I428),MAP!$E$7:$E$74,0)),"UNMAPPED")</f>
        <v>7e</v>
      </c>
      <c r="L428" s="49" t="n">
        <f aca="false">STACK!G428</f>
        <v>46142</v>
      </c>
      <c r="M428" s="59" t="n">
        <f aca="false">IF(G428&gt;0,IF(INDEX(CONFIRM!$G$5:$G$53,G428)&lt;&gt;"",INDEX(CONFIRM!$G$5:$G$53,G428),IF(ISNUMBER(L428),L428,IFERROR(DATEVALUE(L428),""))),IF(ISNUMBER(L428),L428,IFERROR(DATEVALUE(L428),"")))</f>
        <v>46142</v>
      </c>
      <c r="N428" s="1" t="str">
        <f aca="false">IF(M428="","Check",IF(AND(M428&gt;=INPUTS!$C$6,M428&lt;=INPUTS!$C$7),"Yes","No"))</f>
        <v>Yes</v>
      </c>
      <c r="O428" s="48" t="str">
        <f aca="false">STACK!H428</f>
        <v>Community Benefit Mgr</v>
      </c>
      <c r="P428" s="1" t="str">
        <f aca="false">IF(G428&gt;0,IF(INDEX(CONFIRM!$H$5:$H$53,G428)&lt;&gt;"",INDEX(CONFIRM!$H$5:$H$53,G428),IFERROR(INDEX(MAP!$B$7:$B$156,MATCH(TRIM(O428),MAP!$A$7:$A$156,0)),"UNMAPPED")),IFERROR(INDEX(MAP!$B$7:$B$156,MATCH(TRIM(O428),MAP!$A$7:$A$156,0)),"UNMAPPED"))</f>
        <v>Community Benefit Manager</v>
      </c>
      <c r="Q428" s="48" t="n">
        <f aca="false">STACK!I428</f>
        <v>91.25</v>
      </c>
      <c r="R428" s="60" t="n">
        <f aca="false">IF(G428&gt;0,IF(INDEX(CONFIRM!$F$5:$F$53,G428)&lt;&gt;"",INDEX(CONFIRM!$F$5:$F$53,G428),IF(ISNUMBER(Q428),Q428,IF(Q428="","",IFERROR(VALUE(TRIM(SUBSTITUTE(SUBSTITUTE(LOWER(Q428),"hrs",""),"hr",""))),"")))),IF(ISNUMBER(Q428),Q428,IF(Q428="","",IFERROR(VALUE(TRIM(SUBSTITUTE(SUBSTITUTE(LOWER(Q428),"hrs",""),"hr",""))),""))))</f>
        <v>91.25</v>
      </c>
      <c r="S428" s="57" t="n">
        <f aca="false">IFERROR(INDEX(RATES!$E$6:$E$28,MATCH(P428,RATES!$A$6:$A$28,0)),0)</f>
        <v>59.11</v>
      </c>
      <c r="T428" s="61" t="n">
        <f aca="false">IF(ISNUMBER(R428),R428,0)*S428</f>
        <v>5393.7875</v>
      </c>
      <c r="U428" s="61" t="n">
        <f aca="false">T428*INDEX(INPUTS!$H$10:$H$14,MATCH(B428,INPUTS!$A$10:$A$14,0))</f>
        <v>997.8506875</v>
      </c>
      <c r="V428" s="61" t="n">
        <f aca="false">N(STACK!K428)</f>
        <v>3705</v>
      </c>
      <c r="W428" s="61" t="n">
        <f aca="false">T428+U428+V428</f>
        <v>10096.6381875</v>
      </c>
      <c r="X428" s="61" t="n">
        <f aca="false">N(STACK!L428)</f>
        <v>0</v>
      </c>
      <c r="Y428" s="61" t="n">
        <f aca="false">W428-X428</f>
        <v>10096.6381875</v>
      </c>
      <c r="Z428" s="1" t="n">
        <f aca="false">N(STACK!J428)</f>
        <v>0</v>
      </c>
      <c r="AA428" s="1" t="str">
        <f aca="false">TRIM(IF(D428="UNMAPPED","Program not mapped. ","")&amp;IF(OR(K428="UNMAPPED",K428="UNASSIGNED"),"Category needs review. ","")&amp;IF(P428="UNMAPPED","Title not mapped. ","")&amp;IF(AND(P428&lt;&gt;"No staff time",R428=""),"Missing hours. ","")&amp;IF(M428="","Date not readable. ","")&amp;IF(N428="No","Outside fiscal year. ","")&amp;IF(AND(F428="Event",ISNUMBER(R428)),IF(R428&gt;12,"Event hours look high. ",""),"")&amp;IF(G428&gt;0,"See CONFIRM sheet.",""))</f>
        <v/>
      </c>
      <c r="AB428" s="1" t="n">
        <f aca="false">IF(N428="No",0,IF(REVIEW!O428=0,0,IF(G428&gt;0,IF(INDEX(CONFIRM!$J$5:$J$53,G428)&lt;&gt;"",INDEX(CONFIRM!$J$5:$J$53,G428),1),1)))</f>
        <v>1</v>
      </c>
      <c r="AC428" s="1" t="n">
        <f aca="false">IF(AB428=1,IF(COUNTIFS($B$5:B428,B428,$D$5:D428,D428,$AB$5:AB428,1)=1,1,0),0)</f>
        <v>0</v>
      </c>
    </row>
    <row r="429" customFormat="false" ht="15" hidden="false" customHeight="false" outlineLevel="0" collapsed="false">
      <c r="A429" s="48" t="str">
        <f aca="false">STACK!A429</f>
        <v>KVMC-0425</v>
      </c>
      <c r="B429" s="48" t="str">
        <f aca="false">STACK!B429</f>
        <v>KVMC</v>
      </c>
      <c r="C429" s="48" t="str">
        <f aca="false">STACK!E429</f>
        <v>Community Health Needs Assessment</v>
      </c>
      <c r="D429" s="1" t="str">
        <f aca="false">IFERROR(INDEX(MAP!$J$7:$J$101,MATCH(TRIM(C429),MAP!$I$7:$I$101,0)),"UNMAPPED")</f>
        <v>Community Health Needs Assessment</v>
      </c>
      <c r="E429" s="1" t="str">
        <f aca="false">IFERROR(INDEX(MAP!$K$7:$K$101,MATCH(TRIM(C429),MAP!$I$7:$I$101,0)),"")</f>
        <v>Community benefit infrastructure</v>
      </c>
      <c r="F429" s="1" t="str">
        <f aca="false">IFERROR(INDEX(MAP!$L$7:$L$101,MATCH(TRIM(C429),MAP!$I$7:$I$101,0)),"")</f>
        <v>Monthly</v>
      </c>
      <c r="G429" s="1" t="n">
        <f aca="false">IFERROR(MATCH(A429,CONFIRM!$A$5:$A$53,0),0)</f>
        <v>0</v>
      </c>
      <c r="H429" s="48" t="str">
        <f aca="false">STACK!F429</f>
        <v>CB Operations</v>
      </c>
      <c r="I429" s="1" t="str">
        <f aca="false">IF(G429&gt;0,IF(INDEX(CONFIRM!$I$5:$I$53,G429)&lt;&gt;"",INDEX(CONFIRM!$I$5:$I$53,G429),H429),H429)</f>
        <v>CB Operations</v>
      </c>
      <c r="J429" s="1" t="str">
        <f aca="false">IFERROR(INDEX(MAP!$F$7:$F$74,MATCH(TRIM(I429),MAP!$E$7:$E$74,0)),"UNMAPPED")</f>
        <v>Community benefit operations</v>
      </c>
      <c r="K429" s="1" t="str">
        <f aca="false">IFERROR(INDEX(MAP!$G$7:$G$74,MATCH(TRIM(I429),MAP!$E$7:$E$74,0)),"UNMAPPED")</f>
        <v>7e</v>
      </c>
      <c r="L429" s="49" t="n">
        <f aca="false">STACK!G429</f>
        <v>46142</v>
      </c>
      <c r="M429" s="59" t="n">
        <f aca="false">IF(G429&gt;0,IF(INDEX(CONFIRM!$G$5:$G$53,G429)&lt;&gt;"",INDEX(CONFIRM!$G$5:$G$53,G429),IF(ISNUMBER(L429),L429,IFERROR(DATEVALUE(L429),""))),IF(ISNUMBER(L429),L429,IFERROR(DATEVALUE(L429),"")))</f>
        <v>46142</v>
      </c>
      <c r="N429" s="1" t="str">
        <f aca="false">IF(M429="","Check",IF(AND(M429&gt;=INPUTS!$C$6,M429&lt;=INPUTS!$C$7),"Yes","No"))</f>
        <v>Yes</v>
      </c>
      <c r="O429" s="48" t="str">
        <f aca="false">STACK!H429</f>
        <v>Data Analyst </v>
      </c>
      <c r="P429" s="1" t="str">
        <f aca="false">IF(G429&gt;0,IF(INDEX(CONFIRM!$H$5:$H$53,G429)&lt;&gt;"",INDEX(CONFIRM!$H$5:$H$53,G429),IFERROR(INDEX(MAP!$B$7:$B$156,MATCH(TRIM(O429),MAP!$A$7:$A$156,0)),"UNMAPPED")),IFERROR(INDEX(MAP!$B$7:$B$156,MATCH(TRIM(O429),MAP!$A$7:$A$156,0)),"UNMAPPED"))</f>
        <v>Data Analyst</v>
      </c>
      <c r="Q429" s="48" t="n">
        <f aca="false">STACK!I429</f>
        <v>87.5</v>
      </c>
      <c r="R429" s="60" t="n">
        <f aca="false">IF(G429&gt;0,IF(INDEX(CONFIRM!$F$5:$F$53,G429)&lt;&gt;"",INDEX(CONFIRM!$F$5:$F$53,G429),IF(ISNUMBER(Q429),Q429,IF(Q429="","",IFERROR(VALUE(TRIM(SUBSTITUTE(SUBSTITUTE(LOWER(Q429),"hrs",""),"hr",""))),"")))),IF(ISNUMBER(Q429),Q429,IF(Q429="","",IFERROR(VALUE(TRIM(SUBSTITUTE(SUBSTITUTE(LOWER(Q429),"hrs",""),"hr",""))),""))))</f>
        <v>87.5</v>
      </c>
      <c r="S429" s="57" t="n">
        <f aca="false">IFERROR(INDEX(RATES!$E$6:$E$28,MATCH(P429,RATES!$A$6:$A$28,0)),0)</f>
        <v>48.83</v>
      </c>
      <c r="T429" s="61" t="n">
        <f aca="false">IF(ISNUMBER(R429),R429,0)*S429</f>
        <v>4272.625</v>
      </c>
      <c r="U429" s="61" t="n">
        <f aca="false">T429*INDEX(INPUTS!$H$10:$H$14,MATCH(B429,INPUTS!$A$10:$A$14,0))</f>
        <v>790.435625</v>
      </c>
      <c r="V429" s="61" t="n">
        <f aca="false">N(STACK!K429)</f>
        <v>0</v>
      </c>
      <c r="W429" s="61" t="n">
        <f aca="false">T429+U429+V429</f>
        <v>5063.060625</v>
      </c>
      <c r="X429" s="61" t="n">
        <f aca="false">N(STACK!L429)</f>
        <v>0</v>
      </c>
      <c r="Y429" s="61" t="n">
        <f aca="false">W429-X429</f>
        <v>5063.060625</v>
      </c>
      <c r="Z429" s="1" t="n">
        <f aca="false">N(STACK!J429)</f>
        <v>0</v>
      </c>
      <c r="AA429" s="1" t="str">
        <f aca="false">TRIM(IF(D429="UNMAPPED","Program not mapped. ","")&amp;IF(OR(K429="UNMAPPED",K429="UNASSIGNED"),"Category needs review. ","")&amp;IF(P429="UNMAPPED","Title not mapped. ","")&amp;IF(AND(P429&lt;&gt;"No staff time",R429=""),"Missing hours. ","")&amp;IF(M429="","Date not readable. ","")&amp;IF(N429="No","Outside fiscal year. ","")&amp;IF(AND(F429="Event",ISNUMBER(R429)),IF(R429&gt;12,"Event hours look high. ",""),"")&amp;IF(G429&gt;0,"See CONFIRM sheet.",""))</f>
        <v/>
      </c>
      <c r="AB429" s="1" t="n">
        <f aca="false">IF(N429="No",0,IF(REVIEW!O429=0,0,IF(G429&gt;0,IF(INDEX(CONFIRM!$J$5:$J$53,G429)&lt;&gt;"",INDEX(CONFIRM!$J$5:$J$53,G429),1),1)))</f>
        <v>1</v>
      </c>
      <c r="AC429" s="1" t="n">
        <f aca="false">IF(AB429=1,IF(COUNTIFS($B$5:B429,B429,$D$5:D429,D429,$AB$5:AB429,1)=1,1,0),0)</f>
        <v>0</v>
      </c>
    </row>
    <row r="430" customFormat="false" ht="15" hidden="false" customHeight="false" outlineLevel="0" collapsed="false">
      <c r="A430" s="48" t="str">
        <f aca="false">STACK!A430</f>
        <v>KVMC-0426</v>
      </c>
      <c r="B430" s="48" t="str">
        <f aca="false">STACK!B430</f>
        <v>KVMC</v>
      </c>
      <c r="C430" s="48" t="str">
        <f aca="false">STACK!E430</f>
        <v>Community Benefit Program Administration</v>
      </c>
      <c r="D430" s="1" t="str">
        <f aca="false">IFERROR(INDEX(MAP!$J$7:$J$101,MATCH(TRIM(C430),MAP!$I$7:$I$101,0)),"UNMAPPED")</f>
        <v>Community Benefit Program Administration</v>
      </c>
      <c r="E430" s="1" t="str">
        <f aca="false">IFERROR(INDEX(MAP!$K$7:$K$101,MATCH(TRIM(C430),MAP!$I$7:$I$101,0)),"")</f>
        <v>Community benefit infrastructure</v>
      </c>
      <c r="F430" s="1" t="str">
        <f aca="false">IFERROR(INDEX(MAP!$L$7:$L$101,MATCH(TRIM(C430),MAP!$I$7:$I$101,0)),"")</f>
        <v>Monthly</v>
      </c>
      <c r="G430" s="1" t="n">
        <f aca="false">IFERROR(MATCH(A430,CONFIRM!$A$5:$A$53,0),0)</f>
        <v>0</v>
      </c>
      <c r="H430" s="48" t="str">
        <f aca="false">STACK!F430</f>
        <v>CB Operations</v>
      </c>
      <c r="I430" s="1" t="str">
        <f aca="false">IF(G430&gt;0,IF(INDEX(CONFIRM!$I$5:$I$53,G430)&lt;&gt;"",INDEX(CONFIRM!$I$5:$I$53,G430),H430),H430)</f>
        <v>CB Operations</v>
      </c>
      <c r="J430" s="1" t="str">
        <f aca="false">IFERROR(INDEX(MAP!$F$7:$F$74,MATCH(TRIM(I430),MAP!$E$7:$E$74,0)),"UNMAPPED")</f>
        <v>Community benefit operations</v>
      </c>
      <c r="K430" s="1" t="str">
        <f aca="false">IFERROR(INDEX(MAP!$G$7:$G$74,MATCH(TRIM(I430),MAP!$E$7:$E$74,0)),"UNMAPPED")</f>
        <v>7e</v>
      </c>
      <c r="L430" s="49" t="n">
        <f aca="false">STACK!G430</f>
        <v>46142</v>
      </c>
      <c r="M430" s="59" t="n">
        <f aca="false">IF(G430&gt;0,IF(INDEX(CONFIRM!$G$5:$G$53,G430)&lt;&gt;"",INDEX(CONFIRM!$G$5:$G$53,G430),IF(ISNUMBER(L430),L430,IFERROR(DATEVALUE(L430),""))),IF(ISNUMBER(L430),L430,IFERROR(DATEVALUE(L430),"")))</f>
        <v>46142</v>
      </c>
      <c r="N430" s="1" t="str">
        <f aca="false">IF(M430="","Check",IF(AND(M430&gt;=INPUTS!$C$6,M430&lt;=INPUTS!$C$7),"Yes","No"))</f>
        <v>Yes</v>
      </c>
      <c r="O430" s="48" t="str">
        <f aca="false">STACK!H430</f>
        <v>Unit Secretary</v>
      </c>
      <c r="P430" s="1" t="str">
        <f aca="false">IF(G430&gt;0,IF(INDEX(CONFIRM!$H$5:$H$53,G430)&lt;&gt;"",INDEX(CONFIRM!$H$5:$H$53,G430),IFERROR(INDEX(MAP!$B$7:$B$156,MATCH(TRIM(O430),MAP!$A$7:$A$156,0)),"UNMAPPED")),IFERROR(INDEX(MAP!$B$7:$B$156,MATCH(TRIM(O430),MAP!$A$7:$A$156,0)),"UNMAPPED"))</f>
        <v>Administrative Assistant</v>
      </c>
      <c r="Q430" s="48" t="n">
        <f aca="false">STACK!I430</f>
        <v>72.75</v>
      </c>
      <c r="R430" s="60" t="n">
        <f aca="false">IF(G430&gt;0,IF(INDEX(CONFIRM!$F$5:$F$53,G430)&lt;&gt;"",INDEX(CONFIRM!$F$5:$F$53,G430),IF(ISNUMBER(Q430),Q430,IF(Q430="","",IFERROR(VALUE(TRIM(SUBSTITUTE(SUBSTITUTE(LOWER(Q430),"hrs",""),"hr",""))),"")))),IF(ISNUMBER(Q430),Q430,IF(Q430="","",IFERROR(VALUE(TRIM(SUBSTITUTE(SUBSTITUTE(LOWER(Q430),"hrs",""),"hr",""))),""))))</f>
        <v>72.75</v>
      </c>
      <c r="S430" s="57" t="n">
        <f aca="false">IFERROR(INDEX(RATES!$E$6:$E$28,MATCH(P430,RATES!$A$6:$A$28,0)),0)</f>
        <v>26.985</v>
      </c>
      <c r="T430" s="61" t="n">
        <f aca="false">IF(ISNUMBER(R430),R430,0)*S430</f>
        <v>1963.15875</v>
      </c>
      <c r="U430" s="61" t="n">
        <f aca="false">T430*INDEX(INPUTS!$H$10:$H$14,MATCH(B430,INPUTS!$A$10:$A$14,0))</f>
        <v>363.18436875</v>
      </c>
      <c r="V430" s="61" t="n">
        <f aca="false">N(STACK!K430)</f>
        <v>0</v>
      </c>
      <c r="W430" s="61" t="n">
        <f aca="false">T430+U430+V430</f>
        <v>2326.34311875</v>
      </c>
      <c r="X430" s="61" t="n">
        <f aca="false">N(STACK!L430)</f>
        <v>0</v>
      </c>
      <c r="Y430" s="61" t="n">
        <f aca="false">W430-X430</f>
        <v>2326.34311875</v>
      </c>
      <c r="Z430" s="1" t="n">
        <f aca="false">N(STACK!J430)</f>
        <v>0</v>
      </c>
      <c r="AA430" s="1" t="str">
        <f aca="false">TRIM(IF(D430="UNMAPPED","Program not mapped. ","")&amp;IF(OR(K430="UNMAPPED",K430="UNASSIGNED"),"Category needs review. ","")&amp;IF(P430="UNMAPPED","Title not mapped. ","")&amp;IF(AND(P430&lt;&gt;"No staff time",R430=""),"Missing hours. ","")&amp;IF(M430="","Date not readable. ","")&amp;IF(N430="No","Outside fiscal year. ","")&amp;IF(AND(F430="Event",ISNUMBER(R430)),IF(R430&gt;12,"Event hours look high. ",""),"")&amp;IF(G430&gt;0,"See CONFIRM sheet.",""))</f>
        <v/>
      </c>
      <c r="AB430" s="1" t="n">
        <f aca="false">IF(N430="No",0,IF(REVIEW!O430=0,0,IF(G430&gt;0,IF(INDEX(CONFIRM!$J$5:$J$53,G430)&lt;&gt;"",INDEX(CONFIRM!$J$5:$J$53,G430),1),1)))</f>
        <v>1</v>
      </c>
      <c r="AC430" s="1" t="n">
        <f aca="false">IF(AB430=1,IF(COUNTIFS($B$5:B430,B430,$D$5:D430,D430,$AB$5:AB430,1)=1,1,0),0)</f>
        <v>0</v>
      </c>
    </row>
    <row r="431" customFormat="false" ht="15" hidden="false" customHeight="false" outlineLevel="0" collapsed="false">
      <c r="A431" s="48" t="str">
        <f aca="false">STACK!A431</f>
        <v>KVMC-0427</v>
      </c>
      <c r="B431" s="48" t="str">
        <f aca="false">STACK!B431</f>
        <v>KVMC</v>
      </c>
      <c r="C431" s="48" t="str">
        <f aca="false">STACK!E431</f>
        <v>Community Benefit Program Administration</v>
      </c>
      <c r="D431" s="1" t="str">
        <f aca="false">IFERROR(INDEX(MAP!$J$7:$J$101,MATCH(TRIM(C431),MAP!$I$7:$I$101,0)),"UNMAPPED")</f>
        <v>Community Benefit Program Administration</v>
      </c>
      <c r="E431" s="1" t="str">
        <f aca="false">IFERROR(INDEX(MAP!$K$7:$K$101,MATCH(TRIM(C431),MAP!$I$7:$I$101,0)),"")</f>
        <v>Community benefit infrastructure</v>
      </c>
      <c r="F431" s="1" t="str">
        <f aca="false">IFERROR(INDEX(MAP!$L$7:$L$101,MATCH(TRIM(C431),MAP!$I$7:$I$101,0)),"")</f>
        <v>Monthly</v>
      </c>
      <c r="G431" s="1" t="n">
        <f aca="false">IFERROR(MATCH(A431,CONFIRM!$A$5:$A$53,0),0)</f>
        <v>0</v>
      </c>
      <c r="H431" s="48" t="str">
        <f aca="false">STACK!F431</f>
        <v>CB Operations</v>
      </c>
      <c r="I431" s="1" t="str">
        <f aca="false">IF(G431&gt;0,IF(INDEX(CONFIRM!$I$5:$I$53,G431)&lt;&gt;"",INDEX(CONFIRM!$I$5:$I$53,G431),H431),H431)</f>
        <v>CB Operations</v>
      </c>
      <c r="J431" s="1" t="str">
        <f aca="false">IFERROR(INDEX(MAP!$F$7:$F$74,MATCH(TRIM(I431),MAP!$E$7:$E$74,0)),"UNMAPPED")</f>
        <v>Community benefit operations</v>
      </c>
      <c r="K431" s="1" t="str">
        <f aca="false">IFERROR(INDEX(MAP!$G$7:$G$74,MATCH(TRIM(I431),MAP!$E$7:$E$74,0)),"UNMAPPED")</f>
        <v>7e</v>
      </c>
      <c r="L431" s="49" t="n">
        <f aca="false">STACK!G431</f>
        <v>46142</v>
      </c>
      <c r="M431" s="59" t="n">
        <f aca="false">IF(G431&gt;0,IF(INDEX(CONFIRM!$G$5:$G$53,G431)&lt;&gt;"",INDEX(CONFIRM!$G$5:$G$53,G431),IF(ISNUMBER(L431),L431,IFERROR(DATEVALUE(L431),""))),IF(ISNUMBER(L431),L431,IFERROR(DATEVALUE(L431),"")))</f>
        <v>46142</v>
      </c>
      <c r="N431" s="1" t="str">
        <f aca="false">IF(M431="","Check",IF(AND(M431&gt;=INPUTS!$C$6,M431&lt;=INPUTS!$C$7),"Yes","No"))</f>
        <v>Yes</v>
      </c>
      <c r="O431" s="48" t="str">
        <f aca="false">STACK!H431</f>
        <v>Mgr, Community Benefit</v>
      </c>
      <c r="P431" s="1" t="str">
        <f aca="false">IF(G431&gt;0,IF(INDEX(CONFIRM!$H$5:$H$53,G431)&lt;&gt;"",INDEX(CONFIRM!$H$5:$H$53,G431),IFERROR(INDEX(MAP!$B$7:$B$156,MATCH(TRIM(O431),MAP!$A$7:$A$156,0)),"UNMAPPED")),IFERROR(INDEX(MAP!$B$7:$B$156,MATCH(TRIM(O431),MAP!$A$7:$A$156,0)),"UNMAPPED"))</f>
        <v>Community Benefit Manager</v>
      </c>
      <c r="Q431" s="48" t="n">
        <f aca="false">STACK!I431</f>
        <v>68</v>
      </c>
      <c r="R431" s="60" t="n">
        <f aca="false">IF(G431&gt;0,IF(INDEX(CONFIRM!$F$5:$F$53,G431)&lt;&gt;"",INDEX(CONFIRM!$F$5:$F$53,G431),IF(ISNUMBER(Q431),Q431,IF(Q431="","",IFERROR(VALUE(TRIM(SUBSTITUTE(SUBSTITUTE(LOWER(Q431),"hrs",""),"hr",""))),"")))),IF(ISNUMBER(Q431),Q431,IF(Q431="","",IFERROR(VALUE(TRIM(SUBSTITUTE(SUBSTITUTE(LOWER(Q431),"hrs",""),"hr",""))),""))))</f>
        <v>68</v>
      </c>
      <c r="S431" s="57" t="n">
        <f aca="false">IFERROR(INDEX(RATES!$E$6:$E$28,MATCH(P431,RATES!$A$6:$A$28,0)),0)</f>
        <v>59.11</v>
      </c>
      <c r="T431" s="61" t="n">
        <f aca="false">IF(ISNUMBER(R431),R431,0)*S431</f>
        <v>4019.48</v>
      </c>
      <c r="U431" s="61" t="n">
        <f aca="false">T431*INDEX(INPUTS!$H$10:$H$14,MATCH(B431,INPUTS!$A$10:$A$14,0))</f>
        <v>743.6038</v>
      </c>
      <c r="V431" s="61" t="n">
        <f aca="false">N(STACK!K431)</f>
        <v>905</v>
      </c>
      <c r="W431" s="61" t="n">
        <f aca="false">T431+U431+V431</f>
        <v>5668.0838</v>
      </c>
      <c r="X431" s="61" t="n">
        <f aca="false">N(STACK!L431)</f>
        <v>0</v>
      </c>
      <c r="Y431" s="61" t="n">
        <f aca="false">W431-X431</f>
        <v>5668.0838</v>
      </c>
      <c r="Z431" s="1" t="n">
        <f aca="false">N(STACK!J431)</f>
        <v>0</v>
      </c>
      <c r="AA431" s="1" t="str">
        <f aca="false">TRIM(IF(D431="UNMAPPED","Program not mapped. ","")&amp;IF(OR(K431="UNMAPPED",K431="UNASSIGNED"),"Category needs review. ","")&amp;IF(P431="UNMAPPED","Title not mapped. ","")&amp;IF(AND(P431&lt;&gt;"No staff time",R431=""),"Missing hours. ","")&amp;IF(M431="","Date not readable. ","")&amp;IF(N431="No","Outside fiscal year. ","")&amp;IF(AND(F431="Event",ISNUMBER(R431)),IF(R431&gt;12,"Event hours look high. ",""),"")&amp;IF(G431&gt;0,"See CONFIRM sheet.",""))</f>
        <v/>
      </c>
      <c r="AB431" s="1" t="n">
        <f aca="false">IF(N431="No",0,IF(REVIEW!O431=0,0,IF(G431&gt;0,IF(INDEX(CONFIRM!$J$5:$J$53,G431)&lt;&gt;"",INDEX(CONFIRM!$J$5:$J$53,G431),1),1)))</f>
        <v>1</v>
      </c>
      <c r="AC431" s="1" t="n">
        <f aca="false">IF(AB431=1,IF(COUNTIFS($B$5:B431,B431,$D$5:D431,D431,$AB$5:AB431,1)=1,1,0),0)</f>
        <v>0</v>
      </c>
    </row>
    <row r="432" customFormat="false" ht="15" hidden="false" customHeight="false" outlineLevel="0" collapsed="false">
      <c r="A432" s="48" t="str">
        <f aca="false">STACK!A432</f>
        <v>KVMC-0428</v>
      </c>
      <c r="B432" s="48" t="str">
        <f aca="false">STACK!B432</f>
        <v>KVMC</v>
      </c>
      <c r="C432" s="48" t="str">
        <f aca="false">STACK!E432</f>
        <v>Interpreter Services for Community Clinics</v>
      </c>
      <c r="D432" s="1" t="str">
        <f aca="false">IFERROR(INDEX(MAP!$J$7:$J$101,MATCH(TRIM(C432),MAP!$I$7:$I$101,0)),"UNMAPPED")</f>
        <v>Interpreter Services for Community Clinics</v>
      </c>
      <c r="E432" s="1" t="str">
        <f aca="false">IFERROR(INDEX(MAP!$K$7:$K$101,MATCH(TRIM(C432),MAP!$I$7:$I$101,0)),"")</f>
        <v>Access to care</v>
      </c>
      <c r="F432" s="1" t="str">
        <f aca="false">IFERROR(INDEX(MAP!$L$7:$L$101,MATCH(TRIM(C432),MAP!$I$7:$I$101,0)),"")</f>
        <v>Monthly</v>
      </c>
      <c r="G432" s="1" t="n">
        <f aca="false">IFERROR(MATCH(A432,CONFIRM!$A$5:$A$53,0),0)</f>
        <v>0</v>
      </c>
      <c r="H432" s="48" t="str">
        <f aca="false">STACK!F432</f>
        <v>Health Care Support Services</v>
      </c>
      <c r="I432" s="1" t="str">
        <f aca="false">IF(G432&gt;0,IF(INDEX(CONFIRM!$I$5:$I$53,G432)&lt;&gt;"",INDEX(CONFIRM!$I$5:$I$53,G432),H432),H432)</f>
        <v>Health Care Support Services</v>
      </c>
      <c r="J432" s="1" t="str">
        <f aca="false">IFERROR(INDEX(MAP!$F$7:$F$74,MATCH(TRIM(I432),MAP!$E$7:$E$74,0)),"UNMAPPED")</f>
        <v>Health care support services</v>
      </c>
      <c r="K432" s="1" t="str">
        <f aca="false">IFERROR(INDEX(MAP!$G$7:$G$74,MATCH(TRIM(I432),MAP!$E$7:$E$74,0)),"UNMAPPED")</f>
        <v>7e</v>
      </c>
      <c r="L432" s="49" t="n">
        <f aca="false">STACK!G432</f>
        <v>46142</v>
      </c>
      <c r="M432" s="59" t="n">
        <f aca="false">IF(G432&gt;0,IF(INDEX(CONFIRM!$G$5:$G$53,G432)&lt;&gt;"",INDEX(CONFIRM!$G$5:$G$53,G432),IF(ISNUMBER(L432),L432,IFERROR(DATEVALUE(L432),""))),IF(ISNUMBER(L432),L432,IFERROR(DATEVALUE(L432),"")))</f>
        <v>46142</v>
      </c>
      <c r="N432" s="1" t="str">
        <f aca="false">IF(M432="","Check",IF(AND(M432&gt;=INPUTS!$C$6,M432&lt;=INPUTS!$C$7),"Yes","No"))</f>
        <v>Yes</v>
      </c>
      <c r="O432" s="48" t="str">
        <f aca="false">STACK!H432</f>
        <v>Spanish Interpreter</v>
      </c>
      <c r="P432" s="1" t="str">
        <f aca="false">IF(G432&gt;0,IF(INDEX(CONFIRM!$H$5:$H$53,G432)&lt;&gt;"",INDEX(CONFIRM!$H$5:$H$53,G432),IFERROR(INDEX(MAP!$B$7:$B$156,MATCH(TRIM(O432),MAP!$A$7:$A$156,0)),"UNMAPPED")),IFERROR(INDEX(MAP!$B$7:$B$156,MATCH(TRIM(O432),MAP!$A$7:$A$156,0)),"UNMAPPED"))</f>
        <v>Interpreter</v>
      </c>
      <c r="Q432" s="48" t="n">
        <f aca="false">STACK!I432</f>
        <v>55.25</v>
      </c>
      <c r="R432" s="60" t="n">
        <f aca="false">IF(G432&gt;0,IF(INDEX(CONFIRM!$F$5:$F$53,G432)&lt;&gt;"",INDEX(CONFIRM!$F$5:$F$53,G432),IF(ISNUMBER(Q432),Q432,IF(Q432="","",IFERROR(VALUE(TRIM(SUBSTITUTE(SUBSTITUTE(LOWER(Q432),"hrs",""),"hr",""))),"")))),IF(ISNUMBER(Q432),Q432,IF(Q432="","",IFERROR(VALUE(TRIM(SUBSTITUTE(SUBSTITUTE(LOWER(Q432),"hrs",""),"hr",""))),""))))</f>
        <v>55.25</v>
      </c>
      <c r="S432" s="57" t="n">
        <f aca="false">IFERROR(INDEX(RATES!$E$6:$E$28,MATCH(P432,RATES!$A$6:$A$28,0)),0)</f>
        <v>32.7675</v>
      </c>
      <c r="T432" s="61" t="n">
        <f aca="false">IF(ISNUMBER(R432),R432,0)*S432</f>
        <v>1810.404375</v>
      </c>
      <c r="U432" s="61" t="n">
        <f aca="false">T432*INDEX(INPUTS!$H$10:$H$14,MATCH(B432,INPUTS!$A$10:$A$14,0))</f>
        <v>334.924809375</v>
      </c>
      <c r="V432" s="61" t="n">
        <f aca="false">N(STACK!K432)</f>
        <v>0</v>
      </c>
      <c r="W432" s="61" t="n">
        <f aca="false">T432+U432+V432</f>
        <v>2145.329184375</v>
      </c>
      <c r="X432" s="61" t="n">
        <f aca="false">N(STACK!L432)</f>
        <v>0</v>
      </c>
      <c r="Y432" s="61" t="n">
        <f aca="false">W432-X432</f>
        <v>2145.329184375</v>
      </c>
      <c r="Z432" s="1" t="n">
        <f aca="false">N(STACK!J432)</f>
        <v>142</v>
      </c>
      <c r="AA432" s="1" t="str">
        <f aca="false">TRIM(IF(D432="UNMAPPED","Program not mapped. ","")&amp;IF(OR(K432="UNMAPPED",K432="UNASSIGNED"),"Category needs review. ","")&amp;IF(P432="UNMAPPED","Title not mapped. ","")&amp;IF(AND(P432&lt;&gt;"No staff time",R432=""),"Missing hours. ","")&amp;IF(M432="","Date not readable. ","")&amp;IF(N432="No","Outside fiscal year. ","")&amp;IF(AND(F432="Event",ISNUMBER(R432)),IF(R432&gt;12,"Event hours look high. ",""),"")&amp;IF(G432&gt;0,"See CONFIRM sheet.",""))</f>
        <v/>
      </c>
      <c r="AB432" s="1" t="n">
        <f aca="false">IF(N432="No",0,IF(REVIEW!O432=0,0,IF(G432&gt;0,IF(INDEX(CONFIRM!$J$5:$J$53,G432)&lt;&gt;"",INDEX(CONFIRM!$J$5:$J$53,G432),1),1)))</f>
        <v>1</v>
      </c>
      <c r="AC432" s="1" t="n">
        <f aca="false">IF(AB432=1,IF(COUNTIFS($B$5:B432,B432,$D$5:D432,D432,$AB$5:AB432,1)=1,1,0),0)</f>
        <v>0</v>
      </c>
    </row>
    <row r="433" customFormat="false" ht="15" hidden="false" customHeight="false" outlineLevel="0" collapsed="false">
      <c r="A433" s="48" t="str">
        <f aca="false">STACK!A433</f>
        <v>KVMC-0429</v>
      </c>
      <c r="B433" s="48" t="str">
        <f aca="false">STACK!B433</f>
        <v>KVMC</v>
      </c>
      <c r="C433" s="48" t="str">
        <f aca="false">STACK!E433</f>
        <v>Nursing Student Clinical Rotations</v>
      </c>
      <c r="D433" s="1" t="str">
        <f aca="false">IFERROR(INDEX(MAP!$J$7:$J$101,MATCH(TRIM(C433),MAP!$I$7:$I$101,0)),"UNMAPPED")</f>
        <v>Nursing Student Clinical Rotations</v>
      </c>
      <c r="E433" s="1" t="str">
        <f aca="false">IFERROR(INDEX(MAP!$K$7:$K$101,MATCH(TRIM(C433),MAP!$I$7:$I$101,0)),"")</f>
        <v>Health workforce</v>
      </c>
      <c r="F433" s="1" t="str">
        <f aca="false">IFERROR(INDEX(MAP!$L$7:$L$101,MATCH(TRIM(C433),MAP!$I$7:$I$101,0)),"")</f>
        <v>Monthly</v>
      </c>
      <c r="G433" s="1" t="n">
        <f aca="false">IFERROR(MATCH(A433,CONFIRM!$A$5:$A$53,0),0)</f>
        <v>0</v>
      </c>
      <c r="H433" s="48" t="str">
        <f aca="false">STACK!F433</f>
        <v>Health Professions Education</v>
      </c>
      <c r="I433" s="1" t="str">
        <f aca="false">IF(G433&gt;0,IF(INDEX(CONFIRM!$I$5:$I$53,G433)&lt;&gt;"",INDEX(CONFIRM!$I$5:$I$53,G433),H433),H433)</f>
        <v>Health Professions Education</v>
      </c>
      <c r="J433" s="1" t="str">
        <f aca="false">IFERROR(INDEX(MAP!$F$7:$F$74,MATCH(TRIM(I433),MAP!$E$7:$E$74,0)),"UNMAPPED")</f>
        <v>Health professions education</v>
      </c>
      <c r="K433" s="1" t="str">
        <f aca="false">IFERROR(INDEX(MAP!$G$7:$G$74,MATCH(TRIM(I433),MAP!$E$7:$E$74,0)),"UNMAPPED")</f>
        <v>7f</v>
      </c>
      <c r="L433" s="49" t="n">
        <f aca="false">STACK!G433</f>
        <v>46142</v>
      </c>
      <c r="M433" s="59" t="n">
        <f aca="false">IF(G433&gt;0,IF(INDEX(CONFIRM!$G$5:$G$53,G433)&lt;&gt;"",INDEX(CONFIRM!$G$5:$G$53,G433),IF(ISNUMBER(L433),L433,IFERROR(DATEVALUE(L433),""))),IF(ISNUMBER(L433),L433,IFERROR(DATEVALUE(L433),"")))</f>
        <v>46142</v>
      </c>
      <c r="N433" s="1" t="str">
        <f aca="false">IF(M433="","Check",IF(AND(M433&gt;=INPUTS!$C$6,M433&lt;=INPUTS!$C$7),"Yes","No"))</f>
        <v>Yes</v>
      </c>
      <c r="O433" s="48" t="str">
        <f aca="false">STACK!H433</f>
        <v>Clinical Nurse Educator</v>
      </c>
      <c r="P433" s="1" t="str">
        <f aca="false">IF(G433&gt;0,IF(INDEX(CONFIRM!$H$5:$H$53,G433)&lt;&gt;"",INDEX(CONFIRM!$H$5:$H$53,G433),IFERROR(INDEX(MAP!$B$7:$B$156,MATCH(TRIM(O433),MAP!$A$7:$A$156,0)),"UNMAPPED")),IFERROR(INDEX(MAP!$B$7:$B$156,MATCH(TRIM(O433),MAP!$A$7:$A$156,0)),"UNMAPPED"))</f>
        <v>Clinical Nurse Educator</v>
      </c>
      <c r="Q433" s="48" t="n">
        <f aca="false">STACK!I433</f>
        <v>152.5</v>
      </c>
      <c r="R433" s="60" t="n">
        <f aca="false">IF(G433&gt;0,IF(INDEX(CONFIRM!$F$5:$F$53,G433)&lt;&gt;"",INDEX(CONFIRM!$F$5:$F$53,G433),IF(ISNUMBER(Q433),Q433,IF(Q433="","",IFERROR(VALUE(TRIM(SUBSTITUTE(SUBSTITUTE(LOWER(Q433),"hrs",""),"hr",""))),"")))),IF(ISNUMBER(Q433),Q433,IF(Q433="","",IFERROR(VALUE(TRIM(SUBSTITUTE(SUBSTITUTE(LOWER(Q433),"hrs",""),"hr",""))),""))))</f>
        <v>152.5</v>
      </c>
      <c r="S433" s="57" t="n">
        <f aca="false">IFERROR(INDEX(RATES!$E$6:$E$28,MATCH(P433,RATES!$A$6:$A$28,0)),0)</f>
        <v>62.965</v>
      </c>
      <c r="T433" s="61" t="n">
        <f aca="false">IF(ISNUMBER(R433),R433,0)*S433</f>
        <v>9602.1625</v>
      </c>
      <c r="U433" s="61" t="n">
        <f aca="false">T433*INDEX(INPUTS!$H$10:$H$14,MATCH(B433,INPUTS!$A$10:$A$14,0))</f>
        <v>1776.4000625</v>
      </c>
      <c r="V433" s="61" t="n">
        <f aca="false">N(STACK!K433)</f>
        <v>650</v>
      </c>
      <c r="W433" s="61" t="n">
        <f aca="false">T433+U433+V433</f>
        <v>12028.5625625</v>
      </c>
      <c r="X433" s="61" t="n">
        <f aca="false">N(STACK!L433)</f>
        <v>0</v>
      </c>
      <c r="Y433" s="61" t="n">
        <f aca="false">W433-X433</f>
        <v>12028.5625625</v>
      </c>
      <c r="Z433" s="1" t="n">
        <f aca="false">N(STACK!J433)</f>
        <v>28</v>
      </c>
      <c r="AA433" s="1" t="str">
        <f aca="false">TRIM(IF(D433="UNMAPPED","Program not mapped. ","")&amp;IF(OR(K433="UNMAPPED",K433="UNASSIGNED"),"Category needs review. ","")&amp;IF(P433="UNMAPPED","Title not mapped. ","")&amp;IF(AND(P433&lt;&gt;"No staff time",R433=""),"Missing hours. ","")&amp;IF(M433="","Date not readable. ","")&amp;IF(N433="No","Outside fiscal year. ","")&amp;IF(AND(F433="Event",ISNUMBER(R433)),IF(R433&gt;12,"Event hours look high. ",""),"")&amp;IF(G433&gt;0,"See CONFIRM sheet.",""))</f>
        <v/>
      </c>
      <c r="AB433" s="1" t="n">
        <f aca="false">IF(N433="No",0,IF(REVIEW!O433=0,0,IF(G433&gt;0,IF(INDEX(CONFIRM!$J$5:$J$53,G433)&lt;&gt;"",INDEX(CONFIRM!$J$5:$J$53,G433),1),1)))</f>
        <v>1</v>
      </c>
      <c r="AC433" s="1" t="n">
        <f aca="false">IF(AB433=1,IF(COUNTIFS($B$5:B433,B433,$D$5:D433,D433,$AB$5:AB433,1)=1,1,0),0)</f>
        <v>0</v>
      </c>
    </row>
    <row r="434" customFormat="false" ht="15" hidden="false" customHeight="false" outlineLevel="0" collapsed="false">
      <c r="A434" s="48" t="str">
        <f aca="false">STACK!A434</f>
        <v>KVMC-0430</v>
      </c>
      <c r="B434" s="48" t="str">
        <f aca="false">STACK!B434</f>
        <v>KVMC</v>
      </c>
      <c r="C434" s="48" t="str">
        <f aca="false">STACK!E434</f>
        <v>Nursing Student Clinical Rotations</v>
      </c>
      <c r="D434" s="1" t="str">
        <f aca="false">IFERROR(INDEX(MAP!$J$7:$J$101,MATCH(TRIM(C434),MAP!$I$7:$I$101,0)),"UNMAPPED")</f>
        <v>Nursing Student Clinical Rotations</v>
      </c>
      <c r="E434" s="1" t="str">
        <f aca="false">IFERROR(INDEX(MAP!$K$7:$K$101,MATCH(TRIM(C434),MAP!$I$7:$I$101,0)),"")</f>
        <v>Health workforce</v>
      </c>
      <c r="F434" s="1" t="str">
        <f aca="false">IFERROR(INDEX(MAP!$L$7:$L$101,MATCH(TRIM(C434),MAP!$I$7:$I$101,0)),"")</f>
        <v>Monthly</v>
      </c>
      <c r="G434" s="1" t="n">
        <f aca="false">IFERROR(MATCH(A434,CONFIRM!$A$5:$A$53,0),0)</f>
        <v>0</v>
      </c>
      <c r="H434" s="48" t="str">
        <f aca="false">STACK!F434</f>
        <v>Health Professions Education</v>
      </c>
      <c r="I434" s="1" t="str">
        <f aca="false">IF(G434&gt;0,IF(INDEX(CONFIRM!$I$5:$I$53,G434)&lt;&gt;"",INDEX(CONFIRM!$I$5:$I$53,G434),H434),H434)</f>
        <v>Health Professions Education</v>
      </c>
      <c r="J434" s="1" t="str">
        <f aca="false">IFERROR(INDEX(MAP!$F$7:$F$74,MATCH(TRIM(I434),MAP!$E$7:$E$74,0)),"UNMAPPED")</f>
        <v>Health professions education</v>
      </c>
      <c r="K434" s="1" t="str">
        <f aca="false">IFERROR(INDEX(MAP!$G$7:$G$74,MATCH(TRIM(I434),MAP!$E$7:$E$74,0)),"UNMAPPED")</f>
        <v>7f</v>
      </c>
      <c r="L434" s="49" t="n">
        <f aca="false">STACK!G434</f>
        <v>46142</v>
      </c>
      <c r="M434" s="59" t="n">
        <f aca="false">IF(G434&gt;0,IF(INDEX(CONFIRM!$G$5:$G$53,G434)&lt;&gt;"",INDEX(CONFIRM!$G$5:$G$53,G434),IF(ISNUMBER(L434),L434,IFERROR(DATEVALUE(L434),""))),IF(ISNUMBER(L434),L434,IFERROR(DATEVALUE(L434),"")))</f>
        <v>46142</v>
      </c>
      <c r="N434" s="1" t="str">
        <f aca="false">IF(M434="","Check",IF(AND(M434&gt;=INPUTS!$C$6,M434&lt;=INPUTS!$C$7),"Yes","No"))</f>
        <v>Yes</v>
      </c>
      <c r="O434" s="48" t="str">
        <f aca="false">STACK!H434</f>
        <v>Clinical RN</v>
      </c>
      <c r="P434" s="1" t="str">
        <f aca="false">IF(G434&gt;0,IF(INDEX(CONFIRM!$H$5:$H$53,G434)&lt;&gt;"",INDEX(CONFIRM!$H$5:$H$53,G434),IFERROR(INDEX(MAP!$B$7:$B$156,MATCH(TRIM(O434),MAP!$A$7:$A$156,0)),"UNMAPPED")),IFERROR(INDEX(MAP!$B$7:$B$156,MATCH(TRIM(O434),MAP!$A$7:$A$156,0)),"UNMAPPED"))</f>
        <v>Registered Nurse</v>
      </c>
      <c r="Q434" s="48" t="n">
        <f aca="false">STACK!I434</f>
        <v>241.5</v>
      </c>
      <c r="R434" s="60" t="n">
        <f aca="false">IF(G434&gt;0,IF(INDEX(CONFIRM!$F$5:$F$53,G434)&lt;&gt;"",INDEX(CONFIRM!$F$5:$F$53,G434),IF(ISNUMBER(Q434),Q434,IF(Q434="","",IFERROR(VALUE(TRIM(SUBSTITUTE(SUBSTITUTE(LOWER(Q434),"hrs",""),"hr",""))),"")))),IF(ISNUMBER(Q434),Q434,IF(Q434="","",IFERROR(VALUE(TRIM(SUBSTITUTE(SUBSTITUTE(LOWER(Q434),"hrs",""),"hr",""))),""))))</f>
        <v>241.5</v>
      </c>
      <c r="S434" s="57" t="n">
        <f aca="false">IFERROR(INDEX(RATES!$E$6:$E$28,MATCH(P434,RATES!$A$6:$A$28,0)),0)</f>
        <v>55.8975</v>
      </c>
      <c r="T434" s="61" t="n">
        <f aca="false">IF(ISNUMBER(R434),R434,0)*S434</f>
        <v>13499.24625</v>
      </c>
      <c r="U434" s="61" t="n">
        <f aca="false">T434*INDEX(INPUTS!$H$10:$H$14,MATCH(B434,INPUTS!$A$10:$A$14,0))</f>
        <v>2497.36055625</v>
      </c>
      <c r="V434" s="61" t="n">
        <f aca="false">N(STACK!K434)</f>
        <v>0</v>
      </c>
      <c r="W434" s="61" t="n">
        <f aca="false">T434+U434+V434</f>
        <v>15996.60680625</v>
      </c>
      <c r="X434" s="61" t="n">
        <f aca="false">N(STACK!L434)</f>
        <v>0</v>
      </c>
      <c r="Y434" s="61" t="n">
        <f aca="false">W434-X434</f>
        <v>15996.60680625</v>
      </c>
      <c r="Z434" s="1" t="n">
        <f aca="false">N(STACK!J434)</f>
        <v>0</v>
      </c>
      <c r="AA434" s="1" t="str">
        <f aca="false">TRIM(IF(D434="UNMAPPED","Program not mapped. ","")&amp;IF(OR(K434="UNMAPPED",K434="UNASSIGNED"),"Category needs review. ","")&amp;IF(P434="UNMAPPED","Title not mapped. ","")&amp;IF(AND(P434&lt;&gt;"No staff time",R434=""),"Missing hours. ","")&amp;IF(M434="","Date not readable. ","")&amp;IF(N434="No","Outside fiscal year. ","")&amp;IF(AND(F434="Event",ISNUMBER(R434)),IF(R434&gt;12,"Event hours look high. ",""),"")&amp;IF(G434&gt;0,"See CONFIRM sheet.",""))</f>
        <v/>
      </c>
      <c r="AB434" s="1" t="n">
        <f aca="false">IF(N434="No",0,IF(REVIEW!O434=0,0,IF(G434&gt;0,IF(INDEX(CONFIRM!$J$5:$J$53,G434)&lt;&gt;"",INDEX(CONFIRM!$J$5:$J$53,G434),1),1)))</f>
        <v>1</v>
      </c>
      <c r="AC434" s="1" t="n">
        <f aca="false">IF(AB434=1,IF(COUNTIFS($B$5:B434,B434,$D$5:D434,D434,$AB$5:AB434,1)=1,1,0),0)</f>
        <v>0</v>
      </c>
    </row>
    <row r="435" customFormat="false" ht="15" hidden="false" customHeight="false" outlineLevel="0" collapsed="false">
      <c r="A435" s="48" t="str">
        <f aca="false">STACK!A435</f>
        <v>KVMC-0431</v>
      </c>
      <c r="B435" s="48" t="str">
        <f aca="false">STACK!B435</f>
        <v>KVMC</v>
      </c>
      <c r="C435" s="48" t="str">
        <f aca="false">STACK!E435</f>
        <v>Family Medicine Residency Program</v>
      </c>
      <c r="D435" s="1" t="str">
        <f aca="false">IFERROR(INDEX(MAP!$J$7:$J$101,MATCH(TRIM(C435),MAP!$I$7:$I$101,0)),"UNMAPPED")</f>
        <v>Family Medicine Residency Program</v>
      </c>
      <c r="E435" s="1" t="str">
        <f aca="false">IFERROR(INDEX(MAP!$K$7:$K$101,MATCH(TRIM(C435),MAP!$I$7:$I$101,0)),"")</f>
        <v>Health workforce</v>
      </c>
      <c r="F435" s="1" t="str">
        <f aca="false">IFERROR(INDEX(MAP!$L$7:$L$101,MATCH(TRIM(C435),MAP!$I$7:$I$101,0)),"")</f>
        <v>Monthly</v>
      </c>
      <c r="G435" s="1" t="n">
        <f aca="false">IFERROR(MATCH(A435,CONFIRM!$A$5:$A$53,0),0)</f>
        <v>0</v>
      </c>
      <c r="H435" s="48" t="str">
        <f aca="false">STACK!F435</f>
        <v>Health Professions Education</v>
      </c>
      <c r="I435" s="1" t="str">
        <f aca="false">IF(G435&gt;0,IF(INDEX(CONFIRM!$I$5:$I$53,G435)&lt;&gt;"",INDEX(CONFIRM!$I$5:$I$53,G435),H435),H435)</f>
        <v>Health Professions Education</v>
      </c>
      <c r="J435" s="1" t="str">
        <f aca="false">IFERROR(INDEX(MAP!$F$7:$F$74,MATCH(TRIM(I435),MAP!$E$7:$E$74,0)),"UNMAPPED")</f>
        <v>Health professions education</v>
      </c>
      <c r="K435" s="1" t="str">
        <f aca="false">IFERROR(INDEX(MAP!$G$7:$G$74,MATCH(TRIM(I435),MAP!$E$7:$E$74,0)),"UNMAPPED")</f>
        <v>7f</v>
      </c>
      <c r="L435" s="49" t="n">
        <f aca="false">STACK!G435</f>
        <v>46142</v>
      </c>
      <c r="M435" s="59" t="n">
        <f aca="false">IF(G435&gt;0,IF(INDEX(CONFIRM!$G$5:$G$53,G435)&lt;&gt;"",INDEX(CONFIRM!$G$5:$G$53,G435),IF(ISNUMBER(L435),L435,IFERROR(DATEVALUE(L435),""))),IF(ISNUMBER(L435),L435,IFERROR(DATEVALUE(L435),"")))</f>
        <v>46142</v>
      </c>
      <c r="N435" s="1" t="str">
        <f aca="false">IF(M435="","Check",IF(AND(M435&gt;=INPUTS!$C$6,M435&lt;=INPUTS!$C$7),"Yes","No"))</f>
        <v>Yes</v>
      </c>
      <c r="O435" s="48" t="str">
        <f aca="false">STACK!H435</f>
        <v>M.D.</v>
      </c>
      <c r="P435" s="1" t="str">
        <f aca="false">IF(G435&gt;0,IF(INDEX(CONFIRM!$H$5:$H$53,G435)&lt;&gt;"",INDEX(CONFIRM!$H$5:$H$53,G435),IFERROR(INDEX(MAP!$B$7:$B$156,MATCH(TRIM(O435),MAP!$A$7:$A$156,0)),"UNMAPPED")),IFERROR(INDEX(MAP!$B$7:$B$156,MATCH(TRIM(O435),MAP!$A$7:$A$156,0)),"UNMAPPED"))</f>
        <v>Physician</v>
      </c>
      <c r="Q435" s="48" t="n">
        <f aca="false">STACK!I435</f>
        <v>416</v>
      </c>
      <c r="R435" s="60" t="n">
        <f aca="false">IF(G435&gt;0,IF(INDEX(CONFIRM!$F$5:$F$53,G435)&lt;&gt;"",INDEX(CONFIRM!$F$5:$F$53,G435),IF(ISNUMBER(Q435),Q435,IF(Q435="","",IFERROR(VALUE(TRIM(SUBSTITUTE(SUBSTITUTE(LOWER(Q435),"hrs",""),"hr",""))),"")))),IF(ISNUMBER(Q435),Q435,IF(Q435="","",IFERROR(VALUE(TRIM(SUBSTITUTE(SUBSTITUTE(LOWER(Q435),"hrs",""),"hr",""))),""))))</f>
        <v>416</v>
      </c>
      <c r="S435" s="57" t="n">
        <f aca="false">IFERROR(INDEX(RATES!$E$6:$E$28,MATCH(P435,RATES!$A$6:$A$28,0)),0)</f>
        <v>151.63</v>
      </c>
      <c r="T435" s="61" t="n">
        <f aca="false">IF(ISNUMBER(R435),R435,0)*S435</f>
        <v>63078.08</v>
      </c>
      <c r="U435" s="61" t="n">
        <f aca="false">T435*INDEX(INPUTS!$H$10:$H$14,MATCH(B435,INPUTS!$A$10:$A$14,0))</f>
        <v>11669.4448</v>
      </c>
      <c r="V435" s="61" t="n">
        <f aca="false">N(STACK!K435)</f>
        <v>34860</v>
      </c>
      <c r="W435" s="61" t="n">
        <f aca="false">T435+U435+V435</f>
        <v>109607.5248</v>
      </c>
      <c r="X435" s="61" t="n">
        <f aca="false">N(STACK!L435)</f>
        <v>161830</v>
      </c>
      <c r="Y435" s="61" t="n">
        <f aca="false">W435-X435</f>
        <v>-52222.4752</v>
      </c>
      <c r="Z435" s="1" t="n">
        <f aca="false">N(STACK!J435)</f>
        <v>0</v>
      </c>
      <c r="AA435" s="1" t="str">
        <f aca="false">TRIM(IF(D435="UNMAPPED","Program not mapped. ","")&amp;IF(OR(K435="UNMAPPED",K435="UNASSIGNED"),"Category needs review. ","")&amp;IF(P435="UNMAPPED","Title not mapped. ","")&amp;IF(AND(P435&lt;&gt;"No staff time",R435=""),"Missing hours. ","")&amp;IF(M435="","Date not readable. ","")&amp;IF(N435="No","Outside fiscal year. ","")&amp;IF(AND(F435="Event",ISNUMBER(R435)),IF(R435&gt;12,"Event hours look high. ",""),"")&amp;IF(G435&gt;0,"See CONFIRM sheet.",""))</f>
        <v/>
      </c>
      <c r="AB435" s="1" t="n">
        <f aca="false">IF(N435="No",0,IF(REVIEW!O435=0,0,IF(G435&gt;0,IF(INDEX(CONFIRM!$J$5:$J$53,G435)&lt;&gt;"",INDEX(CONFIRM!$J$5:$J$53,G435),1),1)))</f>
        <v>1</v>
      </c>
      <c r="AC435" s="1" t="n">
        <f aca="false">IF(AB435=1,IF(COUNTIFS($B$5:B435,B435,$D$5:D435,D435,$AB$5:AB435,1)=1,1,0),0)</f>
        <v>0</v>
      </c>
    </row>
    <row r="436" customFormat="false" ht="15" hidden="false" customHeight="false" outlineLevel="0" collapsed="false">
      <c r="A436" s="48" t="str">
        <f aca="false">STACK!A436</f>
        <v>KVMC-0432</v>
      </c>
      <c r="B436" s="48" t="str">
        <f aca="false">STACK!B436</f>
        <v>KVMC</v>
      </c>
      <c r="C436" s="48" t="str">
        <f aca="false">STACK!E436</f>
        <v>Family Medicine Residency Program</v>
      </c>
      <c r="D436" s="1" t="str">
        <f aca="false">IFERROR(INDEX(MAP!$J$7:$J$101,MATCH(TRIM(C436),MAP!$I$7:$I$101,0)),"UNMAPPED")</f>
        <v>Family Medicine Residency Program</v>
      </c>
      <c r="E436" s="1" t="str">
        <f aca="false">IFERROR(INDEX(MAP!$K$7:$K$101,MATCH(TRIM(C436),MAP!$I$7:$I$101,0)),"")</f>
        <v>Health workforce</v>
      </c>
      <c r="F436" s="1" t="str">
        <f aca="false">IFERROR(INDEX(MAP!$L$7:$L$101,MATCH(TRIM(C436),MAP!$I$7:$I$101,0)),"")</f>
        <v>Monthly</v>
      </c>
      <c r="G436" s="1" t="n">
        <f aca="false">IFERROR(MATCH(A436,CONFIRM!$A$5:$A$53,0),0)</f>
        <v>0</v>
      </c>
      <c r="H436" s="48" t="str">
        <f aca="false">STACK!F436</f>
        <v>Health Professions Education</v>
      </c>
      <c r="I436" s="1" t="str">
        <f aca="false">IF(G436&gt;0,IF(INDEX(CONFIRM!$I$5:$I$53,G436)&lt;&gt;"",INDEX(CONFIRM!$I$5:$I$53,G436),H436),H436)</f>
        <v>Health Professions Education</v>
      </c>
      <c r="J436" s="1" t="str">
        <f aca="false">IFERROR(INDEX(MAP!$F$7:$F$74,MATCH(TRIM(I436),MAP!$E$7:$E$74,0)),"UNMAPPED")</f>
        <v>Health professions education</v>
      </c>
      <c r="K436" s="1" t="str">
        <f aca="false">IFERROR(INDEX(MAP!$G$7:$G$74,MATCH(TRIM(I436),MAP!$E$7:$E$74,0)),"UNMAPPED")</f>
        <v>7f</v>
      </c>
      <c r="L436" s="49" t="n">
        <f aca="false">STACK!G436</f>
        <v>46142</v>
      </c>
      <c r="M436" s="59" t="n">
        <f aca="false">IF(G436&gt;0,IF(INDEX(CONFIRM!$G$5:$G$53,G436)&lt;&gt;"",INDEX(CONFIRM!$G$5:$G$53,G436),IF(ISNUMBER(L436),L436,IFERROR(DATEVALUE(L436),""))),IF(ISNUMBER(L436),L436,IFERROR(DATEVALUE(L436),"")))</f>
        <v>46142</v>
      </c>
      <c r="N436" s="1" t="str">
        <f aca="false">IF(M436="","Check",IF(AND(M436&gt;=INPUTS!$C$6,M436&lt;=INPUTS!$C$7),"Yes","No"))</f>
        <v>Yes</v>
      </c>
      <c r="O436" s="48" t="str">
        <f aca="false">STACK!H436</f>
        <v>Prog Coord</v>
      </c>
      <c r="P436" s="1" t="str">
        <f aca="false">IF(G436&gt;0,IF(INDEX(CONFIRM!$H$5:$H$53,G436)&lt;&gt;"",INDEX(CONFIRM!$H$5:$H$53,G436),IFERROR(INDEX(MAP!$B$7:$B$156,MATCH(TRIM(O436),MAP!$A$7:$A$156,0)),"UNMAPPED")),IFERROR(INDEX(MAP!$B$7:$B$156,MATCH(TRIM(O436),MAP!$A$7:$A$156,0)),"UNMAPPED"))</f>
        <v>Program Coordinator</v>
      </c>
      <c r="Q436" s="48" t="n">
        <f aca="false">STACK!I436</f>
        <v>174</v>
      </c>
      <c r="R436" s="60" t="n">
        <f aca="false">IF(G436&gt;0,IF(INDEX(CONFIRM!$F$5:$F$53,G436)&lt;&gt;"",INDEX(CONFIRM!$F$5:$F$53,G436),IF(ISNUMBER(Q436),Q436,IF(Q436="","",IFERROR(VALUE(TRIM(SUBSTITUTE(SUBSTITUTE(LOWER(Q436),"hrs",""),"hr",""))),"")))),IF(ISNUMBER(Q436),Q436,IF(Q436="","",IFERROR(VALUE(TRIM(SUBSTITUTE(SUBSTITUTE(LOWER(Q436),"hrs",""),"hr",""))),""))))</f>
        <v>174</v>
      </c>
      <c r="S436" s="57" t="n">
        <f aca="false">IFERROR(INDEX(RATES!$E$6:$E$28,MATCH(P436,RATES!$A$6:$A$28,0)),0)</f>
        <v>35.3375</v>
      </c>
      <c r="T436" s="61" t="n">
        <f aca="false">IF(ISNUMBER(R436),R436,0)*S436</f>
        <v>6148.725</v>
      </c>
      <c r="U436" s="61" t="n">
        <f aca="false">T436*INDEX(INPUTS!$H$10:$H$14,MATCH(B436,INPUTS!$A$10:$A$14,0))</f>
        <v>1137.514125</v>
      </c>
      <c r="V436" s="61" t="n">
        <f aca="false">N(STACK!K436)</f>
        <v>0</v>
      </c>
      <c r="W436" s="61" t="n">
        <f aca="false">T436+U436+V436</f>
        <v>7286.239125</v>
      </c>
      <c r="X436" s="61" t="n">
        <f aca="false">N(STACK!L436)</f>
        <v>0</v>
      </c>
      <c r="Y436" s="61" t="n">
        <f aca="false">W436-X436</f>
        <v>7286.239125</v>
      </c>
      <c r="Z436" s="1" t="n">
        <f aca="false">N(STACK!J436)</f>
        <v>0</v>
      </c>
      <c r="AA436" s="1" t="str">
        <f aca="false">TRIM(IF(D436="UNMAPPED","Program not mapped. ","")&amp;IF(OR(K436="UNMAPPED",K436="UNASSIGNED"),"Category needs review. ","")&amp;IF(P436="UNMAPPED","Title not mapped. ","")&amp;IF(AND(P436&lt;&gt;"No staff time",R436=""),"Missing hours. ","")&amp;IF(M436="","Date not readable. ","")&amp;IF(N436="No","Outside fiscal year. ","")&amp;IF(AND(F436="Event",ISNUMBER(R436)),IF(R436&gt;12,"Event hours look high. ",""),"")&amp;IF(G436&gt;0,"See CONFIRM sheet.",""))</f>
        <v/>
      </c>
      <c r="AB436" s="1" t="n">
        <f aca="false">IF(N436="No",0,IF(REVIEW!O436=0,0,IF(G436&gt;0,IF(INDEX(CONFIRM!$J$5:$J$53,G436)&lt;&gt;"",INDEX(CONFIRM!$J$5:$J$53,G436),1),1)))</f>
        <v>1</v>
      </c>
      <c r="AC436" s="1" t="n">
        <f aca="false">IF(AB436=1,IF(COUNTIFS($B$5:B436,B436,$D$5:D436,D436,$AB$5:AB436,1)=1,1,0),0)</f>
        <v>0</v>
      </c>
    </row>
    <row r="437" customFormat="false" ht="15" hidden="false" customHeight="false" outlineLevel="0" collapsed="false">
      <c r="A437" s="48" t="str">
        <f aca="false">STACK!A437</f>
        <v>KVMC-0433</v>
      </c>
      <c r="B437" s="48" t="str">
        <f aca="false">STACK!B437</f>
        <v>KVMC</v>
      </c>
      <c r="C437" s="48" t="str">
        <f aca="false">STACK!E437</f>
        <v>Family Medicine Residency Program</v>
      </c>
      <c r="D437" s="1" t="str">
        <f aca="false">IFERROR(INDEX(MAP!$J$7:$J$101,MATCH(TRIM(C437),MAP!$I$7:$I$101,0)),"UNMAPPED")</f>
        <v>Family Medicine Residency Program</v>
      </c>
      <c r="E437" s="1" t="str">
        <f aca="false">IFERROR(INDEX(MAP!$K$7:$K$101,MATCH(TRIM(C437),MAP!$I$7:$I$101,0)),"")</f>
        <v>Health workforce</v>
      </c>
      <c r="F437" s="1" t="str">
        <f aca="false">IFERROR(INDEX(MAP!$L$7:$L$101,MATCH(TRIM(C437),MAP!$I$7:$I$101,0)),"")</f>
        <v>Monthly</v>
      </c>
      <c r="G437" s="1" t="n">
        <f aca="false">IFERROR(MATCH(A437,CONFIRM!$A$5:$A$53,0),0)</f>
        <v>0</v>
      </c>
      <c r="H437" s="48" t="str">
        <f aca="false">STACK!F437</f>
        <v>Health Professions Education</v>
      </c>
      <c r="I437" s="1" t="str">
        <f aca="false">IF(G437&gt;0,IF(INDEX(CONFIRM!$I$5:$I$53,G437)&lt;&gt;"",INDEX(CONFIRM!$I$5:$I$53,G437),H437),H437)</f>
        <v>Health Professions Education</v>
      </c>
      <c r="J437" s="1" t="str">
        <f aca="false">IFERROR(INDEX(MAP!$F$7:$F$74,MATCH(TRIM(I437),MAP!$E$7:$E$74,0)),"UNMAPPED")</f>
        <v>Health professions education</v>
      </c>
      <c r="K437" s="1" t="str">
        <f aca="false">IFERROR(INDEX(MAP!$G$7:$G$74,MATCH(TRIM(I437),MAP!$E$7:$E$74,0)),"UNMAPPED")</f>
        <v>7f</v>
      </c>
      <c r="L437" s="49" t="n">
        <f aca="false">STACK!G437</f>
        <v>46142</v>
      </c>
      <c r="M437" s="59" t="n">
        <f aca="false">IF(G437&gt;0,IF(INDEX(CONFIRM!$G$5:$G$53,G437)&lt;&gt;"",INDEX(CONFIRM!$G$5:$G$53,G437),IF(ISNUMBER(L437),L437,IFERROR(DATEVALUE(L437),""))),IF(ISNUMBER(L437),L437,IFERROR(DATEVALUE(L437),"")))</f>
        <v>46142</v>
      </c>
      <c r="N437" s="1" t="str">
        <f aca="false">IF(M437="","Check",IF(AND(M437&gt;=INPUTS!$C$6,M437&lt;=INPUTS!$C$7),"Yes","No"))</f>
        <v>Yes</v>
      </c>
      <c r="O437" s="48" t="str">
        <f aca="false">STACK!H437</f>
        <v>RES. PHYSICIAN</v>
      </c>
      <c r="P437" s="1" t="str">
        <f aca="false">IF(G437&gt;0,IF(INDEX(CONFIRM!$H$5:$H$53,G437)&lt;&gt;"",INDEX(CONFIRM!$H$5:$H$53,G437),IFERROR(INDEX(MAP!$B$7:$B$156,MATCH(TRIM(O437),MAP!$A$7:$A$156,0)),"UNMAPPED")),IFERROR(INDEX(MAP!$B$7:$B$156,MATCH(TRIM(O437),MAP!$A$7:$A$156,0)),"UNMAPPED"))</f>
        <v>Resident Physician</v>
      </c>
      <c r="Q437" s="48" t="n">
        <f aca="false">STACK!I437</f>
        <v>4069</v>
      </c>
      <c r="R437" s="60" t="n">
        <f aca="false">IF(G437&gt;0,IF(INDEX(CONFIRM!$F$5:$F$53,G437)&lt;&gt;"",INDEX(CONFIRM!$F$5:$F$53,G437),IF(ISNUMBER(Q437),Q437,IF(Q437="","",IFERROR(VALUE(TRIM(SUBSTITUTE(SUBSTITUTE(LOWER(Q437),"hrs",""),"hr",""))),"")))),IF(ISNUMBER(Q437),Q437,IF(Q437="","",IFERROR(VALUE(TRIM(SUBSTITUTE(SUBSTITUTE(LOWER(Q437),"hrs",""),"hr",""))),""))))</f>
        <v>4069</v>
      </c>
      <c r="S437" s="57" t="n">
        <f aca="false">IFERROR(INDEX(RATES!$E$6:$E$28,MATCH(P437,RATES!$A$6:$A$28,0)),0)</f>
        <v>38.43</v>
      </c>
      <c r="T437" s="61" t="n">
        <f aca="false">IF(ISNUMBER(R437),R437,0)*S437</f>
        <v>156371.67</v>
      </c>
      <c r="U437" s="61" t="n">
        <f aca="false">T437*INDEX(INPUTS!$H$10:$H$14,MATCH(B437,INPUTS!$A$10:$A$14,0))</f>
        <v>28928.75895</v>
      </c>
      <c r="V437" s="61" t="n">
        <f aca="false">N(STACK!K437)</f>
        <v>0</v>
      </c>
      <c r="W437" s="61" t="n">
        <f aca="false">T437+U437+V437</f>
        <v>185300.42895</v>
      </c>
      <c r="X437" s="61" t="n">
        <f aca="false">N(STACK!L437)</f>
        <v>0</v>
      </c>
      <c r="Y437" s="61" t="n">
        <f aca="false">W437-X437</f>
        <v>185300.42895</v>
      </c>
      <c r="Z437" s="1" t="n">
        <f aca="false">N(STACK!J437)</f>
        <v>0</v>
      </c>
      <c r="AA437" s="1" t="str">
        <f aca="false">TRIM(IF(D437="UNMAPPED","Program not mapped. ","")&amp;IF(OR(K437="UNMAPPED",K437="UNASSIGNED"),"Category needs review. ","")&amp;IF(P437="UNMAPPED","Title not mapped. ","")&amp;IF(AND(P437&lt;&gt;"No staff time",R437=""),"Missing hours. ","")&amp;IF(M437="","Date not readable. ","")&amp;IF(N437="No","Outside fiscal year. ","")&amp;IF(AND(F437="Event",ISNUMBER(R437)),IF(R437&gt;12,"Event hours look high. ",""),"")&amp;IF(G437&gt;0,"See CONFIRM sheet.",""))</f>
        <v/>
      </c>
      <c r="AB437" s="1" t="n">
        <f aca="false">IF(N437="No",0,IF(REVIEW!O437=0,0,IF(G437&gt;0,IF(INDEX(CONFIRM!$J$5:$J$53,G437)&lt;&gt;"",INDEX(CONFIRM!$J$5:$J$53,G437),1),1)))</f>
        <v>1</v>
      </c>
      <c r="AC437" s="1" t="n">
        <f aca="false">IF(AB437=1,IF(COUNTIFS($B$5:B437,B437,$D$5:D437,D437,$AB$5:AB437,1)=1,1,0),0)</f>
        <v>0</v>
      </c>
    </row>
    <row r="438" customFormat="false" ht="15" hidden="false" customHeight="false" outlineLevel="0" collapsed="false">
      <c r="A438" s="48" t="str">
        <f aca="false">STACK!A438</f>
        <v>KVMC-0434</v>
      </c>
      <c r="B438" s="48" t="str">
        <f aca="false">STACK!B438</f>
        <v>KVMC</v>
      </c>
      <c r="C438" s="48" t="str">
        <f aca="false">STACK!E438</f>
        <v>Pharmacy Student Rotations</v>
      </c>
      <c r="D438" s="1" t="str">
        <f aca="false">IFERROR(INDEX(MAP!$J$7:$J$101,MATCH(TRIM(C438),MAP!$I$7:$I$101,0)),"UNMAPPED")</f>
        <v>Pharmacy Student Rotations</v>
      </c>
      <c r="E438" s="1" t="str">
        <f aca="false">IFERROR(INDEX(MAP!$K$7:$K$101,MATCH(TRIM(C438),MAP!$I$7:$I$101,0)),"")</f>
        <v>Health workforce</v>
      </c>
      <c r="F438" s="1" t="str">
        <f aca="false">IFERROR(INDEX(MAP!$L$7:$L$101,MATCH(TRIM(C438),MAP!$I$7:$I$101,0)),"")</f>
        <v>Monthly</v>
      </c>
      <c r="G438" s="1" t="n">
        <f aca="false">IFERROR(MATCH(A438,CONFIRM!$A$5:$A$53,0),0)</f>
        <v>0</v>
      </c>
      <c r="H438" s="48" t="str">
        <f aca="false">STACK!F438</f>
        <v>Health Professions Education</v>
      </c>
      <c r="I438" s="1" t="str">
        <f aca="false">IF(G438&gt;0,IF(INDEX(CONFIRM!$I$5:$I$53,G438)&lt;&gt;"",INDEX(CONFIRM!$I$5:$I$53,G438),H438),H438)</f>
        <v>Health Professions Education</v>
      </c>
      <c r="J438" s="1" t="str">
        <f aca="false">IFERROR(INDEX(MAP!$F$7:$F$74,MATCH(TRIM(I438),MAP!$E$7:$E$74,0)),"UNMAPPED")</f>
        <v>Health professions education</v>
      </c>
      <c r="K438" s="1" t="str">
        <f aca="false">IFERROR(INDEX(MAP!$G$7:$G$74,MATCH(TRIM(I438),MAP!$E$7:$E$74,0)),"UNMAPPED")</f>
        <v>7f</v>
      </c>
      <c r="L438" s="49" t="n">
        <f aca="false">STACK!G438</f>
        <v>46142</v>
      </c>
      <c r="M438" s="59" t="n">
        <f aca="false">IF(G438&gt;0,IF(INDEX(CONFIRM!$G$5:$G$53,G438)&lt;&gt;"",INDEX(CONFIRM!$G$5:$G$53,G438),IF(ISNUMBER(L438),L438,IFERROR(DATEVALUE(L438),""))),IF(ISNUMBER(L438),L438,IFERROR(DATEVALUE(L438),"")))</f>
        <v>46142</v>
      </c>
      <c r="N438" s="1" t="str">
        <f aca="false">IF(M438="","Check",IF(AND(M438&gt;=INPUTS!$C$6,M438&lt;=INPUTS!$C$7),"Yes","No"))</f>
        <v>Yes</v>
      </c>
      <c r="O438" s="48" t="str">
        <f aca="false">STACK!H438</f>
        <v>Clinical Pharmacist</v>
      </c>
      <c r="P438" s="1" t="str">
        <f aca="false">IF(G438&gt;0,IF(INDEX(CONFIRM!$H$5:$H$53,G438)&lt;&gt;"",INDEX(CONFIRM!$H$5:$H$53,G438),IFERROR(INDEX(MAP!$B$7:$B$156,MATCH(TRIM(O438),MAP!$A$7:$A$156,0)),"UNMAPPED")),IFERROR(INDEX(MAP!$B$7:$B$156,MATCH(TRIM(O438),MAP!$A$7:$A$156,0)),"UNMAPPED"))</f>
        <v>Pharmacist</v>
      </c>
      <c r="Q438" s="48" t="n">
        <f aca="false">STACK!I438</f>
        <v>73</v>
      </c>
      <c r="R438" s="60" t="n">
        <f aca="false">IF(G438&gt;0,IF(INDEX(CONFIRM!$F$5:$F$53,G438)&lt;&gt;"",INDEX(CONFIRM!$F$5:$F$53,G438),IF(ISNUMBER(Q438),Q438,IF(Q438="","",IFERROR(VALUE(TRIM(SUBSTITUTE(SUBSTITUTE(LOWER(Q438),"hrs",""),"hr",""))),"")))),IF(ISNUMBER(Q438),Q438,IF(Q438="","",IFERROR(VALUE(TRIM(SUBSTITUTE(SUBSTITUTE(LOWER(Q438),"hrs",""),"hr",""))),""))))</f>
        <v>73</v>
      </c>
      <c r="S438" s="57" t="n">
        <f aca="false">IFERROR(INDEX(RATES!$E$6:$E$28,MATCH(P438,RATES!$A$6:$A$28,0)),0)</f>
        <v>84.81</v>
      </c>
      <c r="T438" s="61" t="n">
        <f aca="false">IF(ISNUMBER(R438),R438,0)*S438</f>
        <v>6191.13</v>
      </c>
      <c r="U438" s="61" t="n">
        <f aca="false">T438*INDEX(INPUTS!$H$10:$H$14,MATCH(B438,INPUTS!$A$10:$A$14,0))</f>
        <v>1145.35905</v>
      </c>
      <c r="V438" s="61" t="n">
        <f aca="false">N(STACK!K438)</f>
        <v>35</v>
      </c>
      <c r="W438" s="61" t="n">
        <f aca="false">T438+U438+V438</f>
        <v>7371.48905</v>
      </c>
      <c r="X438" s="61" t="n">
        <f aca="false">N(STACK!L438)</f>
        <v>0</v>
      </c>
      <c r="Y438" s="61" t="n">
        <f aca="false">W438-X438</f>
        <v>7371.48905</v>
      </c>
      <c r="Z438" s="1" t="n">
        <f aca="false">N(STACK!J438)</f>
        <v>4</v>
      </c>
      <c r="AA438" s="1" t="str">
        <f aca="false">TRIM(IF(D438="UNMAPPED","Program not mapped. ","")&amp;IF(OR(K438="UNMAPPED",K438="UNASSIGNED"),"Category needs review. ","")&amp;IF(P438="UNMAPPED","Title not mapped. ","")&amp;IF(AND(P438&lt;&gt;"No staff time",R438=""),"Missing hours. ","")&amp;IF(M438="","Date not readable. ","")&amp;IF(N438="No","Outside fiscal year. ","")&amp;IF(AND(F438="Event",ISNUMBER(R438)),IF(R438&gt;12,"Event hours look high. ",""),"")&amp;IF(G438&gt;0,"See CONFIRM sheet.",""))</f>
        <v/>
      </c>
      <c r="AB438" s="1" t="n">
        <f aca="false">IF(N438="No",0,IF(REVIEW!O438=0,0,IF(G438&gt;0,IF(INDEX(CONFIRM!$J$5:$J$53,G438)&lt;&gt;"",INDEX(CONFIRM!$J$5:$J$53,G438),1),1)))</f>
        <v>1</v>
      </c>
      <c r="AC438" s="1" t="n">
        <f aca="false">IF(AB438=1,IF(COUNTIFS($B$5:B438,B438,$D$5:D438,D438,$AB$5:AB438,1)=1,1,0),0)</f>
        <v>0</v>
      </c>
    </row>
    <row r="439" customFormat="false" ht="15" hidden="false" customHeight="false" outlineLevel="0" collapsed="false">
      <c r="A439" s="48" t="str">
        <f aca="false">STACK!A439</f>
        <v>KVMC-0435</v>
      </c>
      <c r="B439" s="48" t="str">
        <f aca="false">STACK!B439</f>
        <v>KVMC</v>
      </c>
      <c r="C439" s="48" t="str">
        <f aca="false">STACK!E439</f>
        <v>Community Hypertension Control Study</v>
      </c>
      <c r="D439" s="1" t="str">
        <f aca="false">IFERROR(INDEX(MAP!$J$7:$J$101,MATCH(TRIM(C439),MAP!$I$7:$I$101,0)),"UNMAPPED")</f>
        <v>Community Hypertension Control Study</v>
      </c>
      <c r="E439" s="1" t="str">
        <f aca="false">IFERROR(INDEX(MAP!$K$7:$K$101,MATCH(TRIM(C439),MAP!$I$7:$I$101,0)),"")</f>
        <v>Chronic disease prevention</v>
      </c>
      <c r="F439" s="1" t="str">
        <f aca="false">IFERROR(INDEX(MAP!$L$7:$L$101,MATCH(TRIM(C439),MAP!$I$7:$I$101,0)),"")</f>
        <v>Monthly</v>
      </c>
      <c r="G439" s="1" t="n">
        <f aca="false">IFERROR(MATCH(A439,CONFIRM!$A$5:$A$53,0),0)</f>
        <v>0</v>
      </c>
      <c r="H439" s="48" t="str">
        <f aca="false">STACK!F439</f>
        <v>Research</v>
      </c>
      <c r="I439" s="1" t="str">
        <f aca="false">IF(G439&gt;0,IF(INDEX(CONFIRM!$I$5:$I$53,G439)&lt;&gt;"",INDEX(CONFIRM!$I$5:$I$53,G439),H439),H439)</f>
        <v>Research</v>
      </c>
      <c r="J439" s="1" t="str">
        <f aca="false">IFERROR(INDEX(MAP!$F$7:$F$74,MATCH(TRIM(I439),MAP!$E$7:$E$74,0)),"UNMAPPED")</f>
        <v>Research</v>
      </c>
      <c r="K439" s="1" t="str">
        <f aca="false">IFERROR(INDEX(MAP!$G$7:$G$74,MATCH(TRIM(I439),MAP!$E$7:$E$74,0)),"UNMAPPED")</f>
        <v>7h</v>
      </c>
      <c r="L439" s="49" t="n">
        <f aca="false">STACK!G439</f>
        <v>46142</v>
      </c>
      <c r="M439" s="59" t="n">
        <f aca="false">IF(G439&gt;0,IF(INDEX(CONFIRM!$G$5:$G$53,G439)&lt;&gt;"",INDEX(CONFIRM!$G$5:$G$53,G439),IF(ISNUMBER(L439),L439,IFERROR(DATEVALUE(L439),""))),IF(ISNUMBER(L439),L439,IFERROR(DATEVALUE(L439),"")))</f>
        <v>46142</v>
      </c>
      <c r="N439" s="1" t="str">
        <f aca="false">IF(M439="","Check",IF(AND(M439&gt;=INPUTS!$C$6,M439&lt;=INPUTS!$C$7),"Yes","No"))</f>
        <v>Yes</v>
      </c>
      <c r="O439" s="48" t="str">
        <f aca="false">STACK!H439</f>
        <v>Data Analyst</v>
      </c>
      <c r="P439" s="1" t="str">
        <f aca="false">IF(G439&gt;0,IF(INDEX(CONFIRM!$H$5:$H$53,G439)&lt;&gt;"",INDEX(CONFIRM!$H$5:$H$53,G439),IFERROR(INDEX(MAP!$B$7:$B$156,MATCH(TRIM(O439),MAP!$A$7:$A$156,0)),"UNMAPPED")),IFERROR(INDEX(MAP!$B$7:$B$156,MATCH(TRIM(O439),MAP!$A$7:$A$156,0)),"UNMAPPED"))</f>
        <v>Data Analyst</v>
      </c>
      <c r="Q439" s="48" t="n">
        <f aca="false">STACK!I439</f>
        <v>58.75</v>
      </c>
      <c r="R439" s="60" t="n">
        <f aca="false">IF(G439&gt;0,IF(INDEX(CONFIRM!$F$5:$F$53,G439)&lt;&gt;"",INDEX(CONFIRM!$F$5:$F$53,G439),IF(ISNUMBER(Q439),Q439,IF(Q439="","",IFERROR(VALUE(TRIM(SUBSTITUTE(SUBSTITUTE(LOWER(Q439),"hrs",""),"hr",""))),"")))),IF(ISNUMBER(Q439),Q439,IF(Q439="","",IFERROR(VALUE(TRIM(SUBSTITUTE(SUBSTITUTE(LOWER(Q439),"hrs",""),"hr",""))),""))))</f>
        <v>58.75</v>
      </c>
      <c r="S439" s="57" t="n">
        <f aca="false">IFERROR(INDEX(RATES!$E$6:$E$28,MATCH(P439,RATES!$A$6:$A$28,0)),0)</f>
        <v>48.83</v>
      </c>
      <c r="T439" s="61" t="n">
        <f aca="false">IF(ISNUMBER(R439),R439,0)*S439</f>
        <v>2868.7625</v>
      </c>
      <c r="U439" s="61" t="n">
        <f aca="false">T439*INDEX(INPUTS!$H$10:$H$14,MATCH(B439,INPUTS!$A$10:$A$14,0))</f>
        <v>530.7210625</v>
      </c>
      <c r="V439" s="61" t="n">
        <f aca="false">N(STACK!K439)</f>
        <v>0</v>
      </c>
      <c r="W439" s="61" t="n">
        <f aca="false">T439+U439+V439</f>
        <v>3399.4835625</v>
      </c>
      <c r="X439" s="61" t="n">
        <f aca="false">N(STACK!L439)</f>
        <v>0</v>
      </c>
      <c r="Y439" s="61" t="n">
        <f aca="false">W439-X439</f>
        <v>3399.4835625</v>
      </c>
      <c r="Z439" s="1" t="n">
        <f aca="false">N(STACK!J439)</f>
        <v>0</v>
      </c>
      <c r="AA439" s="1" t="str">
        <f aca="false">TRIM(IF(D439="UNMAPPED","Program not mapped. ","")&amp;IF(OR(K439="UNMAPPED",K439="UNASSIGNED"),"Category needs review. ","")&amp;IF(P439="UNMAPPED","Title not mapped. ","")&amp;IF(AND(P439&lt;&gt;"No staff time",R439=""),"Missing hours. ","")&amp;IF(M439="","Date not readable. ","")&amp;IF(N439="No","Outside fiscal year. ","")&amp;IF(AND(F439="Event",ISNUMBER(R439)),IF(R439&gt;12,"Event hours look high. ",""),"")&amp;IF(G439&gt;0,"See CONFIRM sheet.",""))</f>
        <v/>
      </c>
      <c r="AB439" s="1" t="n">
        <f aca="false">IF(N439="No",0,IF(REVIEW!O439=0,0,IF(G439&gt;0,IF(INDEX(CONFIRM!$J$5:$J$53,G439)&lt;&gt;"",INDEX(CONFIRM!$J$5:$J$53,G439),1),1)))</f>
        <v>1</v>
      </c>
      <c r="AC439" s="1" t="n">
        <f aca="false">IF(AB439=1,IF(COUNTIFS($B$5:B439,B439,$D$5:D439,D439,$AB$5:AB439,1)=1,1,0),0)</f>
        <v>0</v>
      </c>
    </row>
    <row r="440" customFormat="false" ht="15" hidden="false" customHeight="false" outlineLevel="0" collapsed="false">
      <c r="A440" s="48" t="str">
        <f aca="false">STACK!A440</f>
        <v>KVMC-0436</v>
      </c>
      <c r="B440" s="48" t="str">
        <f aca="false">STACK!B440</f>
        <v>KVMC</v>
      </c>
      <c r="C440" s="48" t="str">
        <f aca="false">STACK!E440</f>
        <v>Community Hypertension Control Study</v>
      </c>
      <c r="D440" s="1" t="str">
        <f aca="false">IFERROR(INDEX(MAP!$J$7:$J$101,MATCH(TRIM(C440),MAP!$I$7:$I$101,0)),"UNMAPPED")</f>
        <v>Community Hypertension Control Study</v>
      </c>
      <c r="E440" s="1" t="str">
        <f aca="false">IFERROR(INDEX(MAP!$K$7:$K$101,MATCH(TRIM(C440),MAP!$I$7:$I$101,0)),"")</f>
        <v>Chronic disease prevention</v>
      </c>
      <c r="F440" s="1" t="str">
        <f aca="false">IFERROR(INDEX(MAP!$L$7:$L$101,MATCH(TRIM(C440),MAP!$I$7:$I$101,0)),"")</f>
        <v>Monthly</v>
      </c>
      <c r="G440" s="1" t="n">
        <f aca="false">IFERROR(MATCH(A440,CONFIRM!$A$5:$A$53,0),0)</f>
        <v>0</v>
      </c>
      <c r="H440" s="48" t="str">
        <f aca="false">STACK!F440</f>
        <v>Research</v>
      </c>
      <c r="I440" s="1" t="str">
        <f aca="false">IF(G440&gt;0,IF(INDEX(CONFIRM!$I$5:$I$53,G440)&lt;&gt;"",INDEX(CONFIRM!$I$5:$I$53,G440),H440),H440)</f>
        <v>Research</v>
      </c>
      <c r="J440" s="1" t="str">
        <f aca="false">IFERROR(INDEX(MAP!$F$7:$F$74,MATCH(TRIM(I440),MAP!$E$7:$E$74,0)),"UNMAPPED")</f>
        <v>Research</v>
      </c>
      <c r="K440" s="1" t="str">
        <f aca="false">IFERROR(INDEX(MAP!$G$7:$G$74,MATCH(TRIM(I440),MAP!$E$7:$E$74,0)),"UNMAPPED")</f>
        <v>7h</v>
      </c>
      <c r="L440" s="49" t="n">
        <f aca="false">STACK!G440</f>
        <v>46142</v>
      </c>
      <c r="M440" s="59" t="n">
        <f aca="false">IF(G440&gt;0,IF(INDEX(CONFIRM!$G$5:$G$53,G440)&lt;&gt;"",INDEX(CONFIRM!$G$5:$G$53,G440),IF(ISNUMBER(L440),L440,IFERROR(DATEVALUE(L440),""))),IF(ISNUMBER(L440),L440,IFERROR(DATEVALUE(L440),"")))</f>
        <v>46142</v>
      </c>
      <c r="N440" s="1" t="str">
        <f aca="false">IF(M440="","Check",IF(AND(M440&gt;=INPUTS!$C$6,M440&lt;=INPUTS!$C$7),"Yes","No"))</f>
        <v>Yes</v>
      </c>
      <c r="O440" s="48" t="str">
        <f aca="false">STACK!H440</f>
        <v>Attending Physician</v>
      </c>
      <c r="P440" s="1" t="str">
        <f aca="false">IF(G440&gt;0,IF(INDEX(CONFIRM!$H$5:$H$53,G440)&lt;&gt;"",INDEX(CONFIRM!$H$5:$H$53,G440),IFERROR(INDEX(MAP!$B$7:$B$156,MATCH(TRIM(O440),MAP!$A$7:$A$156,0)),"UNMAPPED")),IFERROR(INDEX(MAP!$B$7:$B$156,MATCH(TRIM(O440),MAP!$A$7:$A$156,0)),"UNMAPPED"))</f>
        <v>Physician</v>
      </c>
      <c r="Q440" s="48" t="n">
        <f aca="false">STACK!I440</f>
        <v>24.25</v>
      </c>
      <c r="R440" s="60" t="n">
        <f aca="false">IF(G440&gt;0,IF(INDEX(CONFIRM!$F$5:$F$53,G440)&lt;&gt;"",INDEX(CONFIRM!$F$5:$F$53,G440),IF(ISNUMBER(Q440),Q440,IF(Q440="","",IFERROR(VALUE(TRIM(SUBSTITUTE(SUBSTITUTE(LOWER(Q440),"hrs",""),"hr",""))),"")))),IF(ISNUMBER(Q440),Q440,IF(Q440="","",IFERROR(VALUE(TRIM(SUBSTITUTE(SUBSTITUTE(LOWER(Q440),"hrs",""),"hr",""))),""))))</f>
        <v>24.25</v>
      </c>
      <c r="S440" s="57" t="n">
        <f aca="false">IFERROR(INDEX(RATES!$E$6:$E$28,MATCH(P440,RATES!$A$6:$A$28,0)),0)</f>
        <v>151.63</v>
      </c>
      <c r="T440" s="61" t="n">
        <f aca="false">IF(ISNUMBER(R440),R440,0)*S440</f>
        <v>3677.0275</v>
      </c>
      <c r="U440" s="61" t="n">
        <f aca="false">T440*INDEX(INPUTS!$H$10:$H$14,MATCH(B440,INPUTS!$A$10:$A$14,0))</f>
        <v>680.2500875</v>
      </c>
      <c r="V440" s="61" t="n">
        <f aca="false">N(STACK!K440)</f>
        <v>0</v>
      </c>
      <c r="W440" s="61" t="n">
        <f aca="false">T440+U440+V440</f>
        <v>4357.2775875</v>
      </c>
      <c r="X440" s="61" t="n">
        <f aca="false">N(STACK!L440)</f>
        <v>0</v>
      </c>
      <c r="Y440" s="61" t="n">
        <f aca="false">W440-X440</f>
        <v>4357.2775875</v>
      </c>
      <c r="Z440" s="1" t="n">
        <f aca="false">N(STACK!J440)</f>
        <v>0</v>
      </c>
      <c r="AA440" s="1" t="str">
        <f aca="false">TRIM(IF(D440="UNMAPPED","Program not mapped. ","")&amp;IF(OR(K440="UNMAPPED",K440="UNASSIGNED"),"Category needs review. ","")&amp;IF(P440="UNMAPPED","Title not mapped. ","")&amp;IF(AND(P440&lt;&gt;"No staff time",R440=""),"Missing hours. ","")&amp;IF(M440="","Date not readable. ","")&amp;IF(N440="No","Outside fiscal year. ","")&amp;IF(AND(F440="Event",ISNUMBER(R440)),IF(R440&gt;12,"Event hours look high. ",""),"")&amp;IF(G440&gt;0,"See CONFIRM sheet.",""))</f>
        <v/>
      </c>
      <c r="AB440" s="1" t="n">
        <f aca="false">IF(N440="No",0,IF(REVIEW!O440=0,0,IF(G440&gt;0,IF(INDEX(CONFIRM!$J$5:$J$53,G440)&lt;&gt;"",INDEX(CONFIRM!$J$5:$J$53,G440),1),1)))</f>
        <v>1</v>
      </c>
      <c r="AC440" s="1" t="n">
        <f aca="false">IF(AB440=1,IF(COUNTIFS($B$5:B440,B440,$D$5:D440,D440,$AB$5:AB440,1)=1,1,0),0)</f>
        <v>0</v>
      </c>
    </row>
    <row r="441" customFormat="false" ht="15" hidden="false" customHeight="false" outlineLevel="0" collapsed="false">
      <c r="A441" s="48" t="str">
        <f aca="false">STACK!A441</f>
        <v>KVMC-0437</v>
      </c>
      <c r="B441" s="48" t="str">
        <f aca="false">STACK!B441</f>
        <v>KVMC</v>
      </c>
      <c r="C441" s="48" t="str">
        <f aca="false">STACK!E441</f>
        <v>Community Hypertension Control Study</v>
      </c>
      <c r="D441" s="1" t="str">
        <f aca="false">IFERROR(INDEX(MAP!$J$7:$J$101,MATCH(TRIM(C441),MAP!$I$7:$I$101,0)),"UNMAPPED")</f>
        <v>Community Hypertension Control Study</v>
      </c>
      <c r="E441" s="1" t="str">
        <f aca="false">IFERROR(INDEX(MAP!$K$7:$K$101,MATCH(TRIM(C441),MAP!$I$7:$I$101,0)),"")</f>
        <v>Chronic disease prevention</v>
      </c>
      <c r="F441" s="1" t="str">
        <f aca="false">IFERROR(INDEX(MAP!$L$7:$L$101,MATCH(TRIM(C441),MAP!$I$7:$I$101,0)),"")</f>
        <v>Monthly</v>
      </c>
      <c r="G441" s="1" t="n">
        <f aca="false">IFERROR(MATCH(A441,CONFIRM!$A$5:$A$53,0),0)</f>
        <v>0</v>
      </c>
      <c r="H441" s="48" t="str">
        <f aca="false">STACK!F441</f>
        <v>Research</v>
      </c>
      <c r="I441" s="1" t="str">
        <f aca="false">IF(G441&gt;0,IF(INDEX(CONFIRM!$I$5:$I$53,G441)&lt;&gt;"",INDEX(CONFIRM!$I$5:$I$53,G441),H441),H441)</f>
        <v>Research</v>
      </c>
      <c r="J441" s="1" t="str">
        <f aca="false">IFERROR(INDEX(MAP!$F$7:$F$74,MATCH(TRIM(I441),MAP!$E$7:$E$74,0)),"UNMAPPED")</f>
        <v>Research</v>
      </c>
      <c r="K441" s="1" t="str">
        <f aca="false">IFERROR(INDEX(MAP!$G$7:$G$74,MATCH(TRIM(I441),MAP!$E$7:$E$74,0)),"UNMAPPED")</f>
        <v>7h</v>
      </c>
      <c r="L441" s="49" t="n">
        <f aca="false">STACK!G441</f>
        <v>46142</v>
      </c>
      <c r="M441" s="59" t="n">
        <f aca="false">IF(G441&gt;0,IF(INDEX(CONFIRM!$G$5:$G$53,G441)&lt;&gt;"",INDEX(CONFIRM!$G$5:$G$53,G441),IF(ISNUMBER(L441),L441,IFERROR(DATEVALUE(L441),""))),IF(ISNUMBER(L441),L441,IFERROR(DATEVALUE(L441),"")))</f>
        <v>46142</v>
      </c>
      <c r="N441" s="1" t="str">
        <f aca="false">IF(M441="","Check",IF(AND(M441&gt;=INPUTS!$C$6,M441&lt;=INPUTS!$C$7),"Yes","No"))</f>
        <v>Yes</v>
      </c>
      <c r="O441" s="48" t="str">
        <f aca="false">STACK!H441</f>
        <v>Research Coordinator</v>
      </c>
      <c r="P441" s="1" t="str">
        <f aca="false">IF(G441&gt;0,IF(INDEX(CONFIRM!$H$5:$H$53,G441)&lt;&gt;"",INDEX(CONFIRM!$H$5:$H$53,G441),IFERROR(INDEX(MAP!$B$7:$B$156,MATCH(TRIM(O441),MAP!$A$7:$A$156,0)),"UNMAPPED")),IFERROR(INDEX(MAP!$B$7:$B$156,MATCH(TRIM(O441),MAP!$A$7:$A$156,0)),"UNMAPPED"))</f>
        <v>Research Coordinator</v>
      </c>
      <c r="Q441" s="48" t="n">
        <f aca="false">STACK!I441</f>
        <v>167.25</v>
      </c>
      <c r="R441" s="60" t="n">
        <f aca="false">IF(G441&gt;0,IF(INDEX(CONFIRM!$F$5:$F$53,G441)&lt;&gt;"",INDEX(CONFIRM!$F$5:$F$53,G441),IF(ISNUMBER(Q441),Q441,IF(Q441="","",IFERROR(VALUE(TRIM(SUBSTITUTE(SUBSTITUTE(LOWER(Q441),"hrs",""),"hr",""))),"")))),IF(ISNUMBER(Q441),Q441,IF(Q441="","",IFERROR(VALUE(TRIM(SUBSTITUTE(SUBSTITUTE(LOWER(Q441),"hrs",""),"hr",""))),""))))</f>
        <v>167.25</v>
      </c>
      <c r="S441" s="57" t="n">
        <f aca="false">IFERROR(INDEX(RATES!$E$6:$E$28,MATCH(P441,RATES!$A$6:$A$28,0)),0)</f>
        <v>42.405</v>
      </c>
      <c r="T441" s="61" t="n">
        <f aca="false">IF(ISNUMBER(R441),R441,0)*S441</f>
        <v>7092.23625</v>
      </c>
      <c r="U441" s="61" t="n">
        <f aca="false">T441*INDEX(INPUTS!$H$10:$H$14,MATCH(B441,INPUTS!$A$10:$A$14,0))</f>
        <v>1312.06370625</v>
      </c>
      <c r="V441" s="61" t="n">
        <f aca="false">N(STACK!K441)</f>
        <v>7510</v>
      </c>
      <c r="W441" s="61" t="n">
        <f aca="false">T441+U441+V441</f>
        <v>15914.29995625</v>
      </c>
      <c r="X441" s="61" t="n">
        <f aca="false">N(STACK!L441)</f>
        <v>11945</v>
      </c>
      <c r="Y441" s="61" t="n">
        <f aca="false">W441-X441</f>
        <v>3969.29995625</v>
      </c>
      <c r="Z441" s="1" t="n">
        <f aca="false">N(STACK!J441)</f>
        <v>52</v>
      </c>
      <c r="AA441" s="1" t="str">
        <f aca="false">TRIM(IF(D441="UNMAPPED","Program not mapped. ","")&amp;IF(OR(K441="UNMAPPED",K441="UNASSIGNED"),"Category needs review. ","")&amp;IF(P441="UNMAPPED","Title not mapped. ","")&amp;IF(AND(P441&lt;&gt;"No staff time",R441=""),"Missing hours. ","")&amp;IF(M441="","Date not readable. ","")&amp;IF(N441="No","Outside fiscal year. ","")&amp;IF(AND(F441="Event",ISNUMBER(R441)),IF(R441&gt;12,"Event hours look high. ",""),"")&amp;IF(G441&gt;0,"See CONFIRM sheet.",""))</f>
        <v/>
      </c>
      <c r="AB441" s="1" t="n">
        <f aca="false">IF(N441="No",0,IF(REVIEW!O441=0,0,IF(G441&gt;0,IF(INDEX(CONFIRM!$J$5:$J$53,G441)&lt;&gt;"",INDEX(CONFIRM!$J$5:$J$53,G441),1),1)))</f>
        <v>1</v>
      </c>
      <c r="AC441" s="1" t="n">
        <f aca="false">IF(AB441=1,IF(COUNTIFS($B$5:B441,B441,$D$5:D441,D441,$AB$5:AB441,1)=1,1,0),0)</f>
        <v>0</v>
      </c>
    </row>
    <row r="442" customFormat="false" ht="15" hidden="false" customHeight="false" outlineLevel="0" collapsed="false">
      <c r="A442" s="48" t="str">
        <f aca="false">STACK!A442</f>
        <v>KVMC-0438</v>
      </c>
      <c r="B442" s="48" t="str">
        <f aca="false">STACK!B442</f>
        <v>KVMC</v>
      </c>
      <c r="C442" s="48" t="str">
        <f aca="false">STACK!E442</f>
        <v>Childbirth and Newborn Care Classes</v>
      </c>
      <c r="D442" s="1" t="str">
        <f aca="false">IFERROR(INDEX(MAP!$J$7:$J$101,MATCH(TRIM(C442),MAP!$I$7:$I$101,0)),"UNMAPPED")</f>
        <v>Childbirth and Newborn Care Classes</v>
      </c>
      <c r="E442" s="1" t="str">
        <f aca="false">IFERROR(INDEX(MAP!$K$7:$K$101,MATCH(TRIM(C442),MAP!$I$7:$I$101,0)),"")</f>
        <v>Maternal and child health</v>
      </c>
      <c r="F442" s="1" t="str">
        <f aca="false">IFERROR(INDEX(MAP!$L$7:$L$101,MATCH(TRIM(C442),MAP!$I$7:$I$101,0)),"")</f>
        <v>Event</v>
      </c>
      <c r="G442" s="1" t="n">
        <f aca="false">IFERROR(MATCH(A442,CONFIRM!$A$5:$A$53,0),0)</f>
        <v>0</v>
      </c>
      <c r="H442" s="48" t="str">
        <f aca="false">STACK!F442</f>
        <v>Community Health Education</v>
      </c>
      <c r="I442" s="1" t="str">
        <f aca="false">IF(G442&gt;0,IF(INDEX(CONFIRM!$I$5:$I$53,G442)&lt;&gt;"",INDEX(CONFIRM!$I$5:$I$53,G442),H442),H442)</f>
        <v>Community Health Education</v>
      </c>
      <c r="J442" s="1" t="str">
        <f aca="false">IFERROR(INDEX(MAP!$F$7:$F$74,MATCH(TRIM(I442),MAP!$E$7:$E$74,0)),"UNMAPPED")</f>
        <v>Community health education</v>
      </c>
      <c r="K442" s="1" t="str">
        <f aca="false">IFERROR(INDEX(MAP!$G$7:$G$74,MATCH(TRIM(I442),MAP!$E$7:$E$74,0)),"UNMAPPED")</f>
        <v>7e</v>
      </c>
      <c r="L442" s="49" t="n">
        <f aca="false">STACK!G442</f>
        <v>46144</v>
      </c>
      <c r="M442" s="59" t="n">
        <f aca="false">IF(G442&gt;0,IF(INDEX(CONFIRM!$G$5:$G$53,G442)&lt;&gt;"",INDEX(CONFIRM!$G$5:$G$53,G442),IF(ISNUMBER(L442),L442,IFERROR(DATEVALUE(L442),""))),IF(ISNUMBER(L442),L442,IFERROR(DATEVALUE(L442),"")))</f>
        <v>46144</v>
      </c>
      <c r="N442" s="1" t="str">
        <f aca="false">IF(M442="","Check",IF(AND(M442&gt;=INPUTS!$C$6,M442&lt;=INPUTS!$C$7),"Yes","No"))</f>
        <v>Yes</v>
      </c>
      <c r="O442" s="48" t="str">
        <f aca="false">STACK!H442</f>
        <v>PRECEPTOR RN</v>
      </c>
      <c r="P442" s="1" t="str">
        <f aca="false">IF(G442&gt;0,IF(INDEX(CONFIRM!$H$5:$H$53,G442)&lt;&gt;"",INDEX(CONFIRM!$H$5:$H$53,G442),IFERROR(INDEX(MAP!$B$7:$B$156,MATCH(TRIM(O442),MAP!$A$7:$A$156,0)),"UNMAPPED")),IFERROR(INDEX(MAP!$B$7:$B$156,MATCH(TRIM(O442),MAP!$A$7:$A$156,0)),"UNMAPPED"))</f>
        <v>Clinical Nurse Educator</v>
      </c>
      <c r="Q442" s="48" t="n">
        <f aca="false">STACK!I442</f>
        <v>3.25</v>
      </c>
      <c r="R442" s="60" t="n">
        <f aca="false">IF(G442&gt;0,IF(INDEX(CONFIRM!$F$5:$F$53,G442)&lt;&gt;"",INDEX(CONFIRM!$F$5:$F$53,G442),IF(ISNUMBER(Q442),Q442,IF(Q442="","",IFERROR(VALUE(TRIM(SUBSTITUTE(SUBSTITUTE(LOWER(Q442),"hrs",""),"hr",""))),"")))),IF(ISNUMBER(Q442),Q442,IF(Q442="","",IFERROR(VALUE(TRIM(SUBSTITUTE(SUBSTITUTE(LOWER(Q442),"hrs",""),"hr",""))),""))))</f>
        <v>3.25</v>
      </c>
      <c r="S442" s="57" t="n">
        <f aca="false">IFERROR(INDEX(RATES!$E$6:$E$28,MATCH(P442,RATES!$A$6:$A$28,0)),0)</f>
        <v>62.965</v>
      </c>
      <c r="T442" s="61" t="n">
        <f aca="false">IF(ISNUMBER(R442),R442,0)*S442</f>
        <v>204.63625</v>
      </c>
      <c r="U442" s="61" t="n">
        <f aca="false">T442*INDEX(INPUTS!$H$10:$H$14,MATCH(B442,INPUTS!$A$10:$A$14,0))</f>
        <v>37.85770625</v>
      </c>
      <c r="V442" s="61" t="n">
        <f aca="false">N(STACK!K442)</f>
        <v>135</v>
      </c>
      <c r="W442" s="61" t="n">
        <f aca="false">T442+U442+V442</f>
        <v>377.49395625</v>
      </c>
      <c r="X442" s="61" t="n">
        <f aca="false">N(STACK!L442)</f>
        <v>0</v>
      </c>
      <c r="Y442" s="61" t="n">
        <f aca="false">W442-X442</f>
        <v>377.49395625</v>
      </c>
      <c r="Z442" s="1" t="n">
        <f aca="false">N(STACK!J442)</f>
        <v>19</v>
      </c>
      <c r="AA442" s="1" t="str">
        <f aca="false">TRIM(IF(D442="UNMAPPED","Program not mapped. ","")&amp;IF(OR(K442="UNMAPPED",K442="UNASSIGNED"),"Category needs review. ","")&amp;IF(P442="UNMAPPED","Title not mapped. ","")&amp;IF(AND(P442&lt;&gt;"No staff time",R442=""),"Missing hours. ","")&amp;IF(M442="","Date not readable. ","")&amp;IF(N442="No","Outside fiscal year. ","")&amp;IF(AND(F442="Event",ISNUMBER(R442)),IF(R442&gt;12,"Event hours look high. ",""),"")&amp;IF(G442&gt;0,"See CONFIRM sheet.",""))</f>
        <v/>
      </c>
      <c r="AB442" s="1" t="n">
        <f aca="false">IF(N442="No",0,IF(REVIEW!O442=0,0,IF(G442&gt;0,IF(INDEX(CONFIRM!$J$5:$J$53,G442)&lt;&gt;"",INDEX(CONFIRM!$J$5:$J$53,G442),1),1)))</f>
        <v>1</v>
      </c>
      <c r="AC442" s="1" t="n">
        <f aca="false">IF(AB442=1,IF(COUNTIFS($B$5:B442,B442,$D$5:D442,D442,$AB$5:AB442,1)=1,1,0),0)</f>
        <v>0</v>
      </c>
    </row>
    <row r="443" customFormat="false" ht="15" hidden="false" customHeight="false" outlineLevel="0" collapsed="false">
      <c r="A443" s="48" t="str">
        <f aca="false">STACK!A443</f>
        <v>KVMC-0439</v>
      </c>
      <c r="B443" s="48" t="str">
        <f aca="false">STACK!B443</f>
        <v>KVMC</v>
      </c>
      <c r="C443" s="48" t="str">
        <f aca="false">STACK!E443</f>
        <v>Community Blood Pressure Checks</v>
      </c>
      <c r="D443" s="1" t="str">
        <f aca="false">IFERROR(INDEX(MAP!$J$7:$J$101,MATCH(TRIM(C443),MAP!$I$7:$I$101,0)),"UNMAPPED")</f>
        <v>Community Blood Pressure Checks</v>
      </c>
      <c r="E443" s="1" t="str">
        <f aca="false">IFERROR(INDEX(MAP!$K$7:$K$101,MATCH(TRIM(C443),MAP!$I$7:$I$101,0)),"")</f>
        <v>Chronic disease prevention</v>
      </c>
      <c r="F443" s="1" t="str">
        <f aca="false">IFERROR(INDEX(MAP!$L$7:$L$101,MATCH(TRIM(C443),MAP!$I$7:$I$101,0)),"")</f>
        <v>Event</v>
      </c>
      <c r="G443" s="1" t="n">
        <f aca="false">IFERROR(MATCH(A443,CONFIRM!$A$5:$A$53,0),0)</f>
        <v>0</v>
      </c>
      <c r="H443" s="48" t="str">
        <f aca="false">STACK!F443</f>
        <v>Community-Based Clinical Services</v>
      </c>
      <c r="I443" s="1" t="str">
        <f aca="false">IF(G443&gt;0,IF(INDEX(CONFIRM!$I$5:$I$53,G443)&lt;&gt;"",INDEX(CONFIRM!$I$5:$I$53,G443),H443),H443)</f>
        <v>Community-Based Clinical Services</v>
      </c>
      <c r="J443" s="1" t="str">
        <f aca="false">IFERROR(INDEX(MAP!$F$7:$F$74,MATCH(TRIM(I443),MAP!$E$7:$E$74,0)),"UNMAPPED")</f>
        <v>Community-based clinical services</v>
      </c>
      <c r="K443" s="1" t="str">
        <f aca="false">IFERROR(INDEX(MAP!$G$7:$G$74,MATCH(TRIM(I443),MAP!$E$7:$E$74,0)),"UNMAPPED")</f>
        <v>7e</v>
      </c>
      <c r="L443" s="49" t="n">
        <f aca="false">STACK!G443</f>
        <v>46146</v>
      </c>
      <c r="M443" s="59" t="n">
        <f aca="false">IF(G443&gt;0,IF(INDEX(CONFIRM!$G$5:$G$53,G443)&lt;&gt;"",INDEX(CONFIRM!$G$5:$G$53,G443),IF(ISNUMBER(L443),L443,IFERROR(DATEVALUE(L443),""))),IF(ISNUMBER(L443),L443,IFERROR(DATEVALUE(L443),"")))</f>
        <v>46146</v>
      </c>
      <c r="N443" s="1" t="str">
        <f aca="false">IF(M443="","Check",IF(AND(M443&gt;=INPUTS!$C$6,M443&lt;=INPUTS!$C$7),"Yes","No"))</f>
        <v>Yes</v>
      </c>
      <c r="O443" s="48" t="str">
        <f aca="false">STACK!H443</f>
        <v>Registered Nurse</v>
      </c>
      <c r="P443" s="1" t="str">
        <f aca="false">IF(G443&gt;0,IF(INDEX(CONFIRM!$H$5:$H$53,G443)&lt;&gt;"",INDEX(CONFIRM!$H$5:$H$53,G443),IFERROR(INDEX(MAP!$B$7:$B$156,MATCH(TRIM(O443),MAP!$A$7:$A$156,0)),"UNMAPPED")),IFERROR(INDEX(MAP!$B$7:$B$156,MATCH(TRIM(O443),MAP!$A$7:$A$156,0)),"UNMAPPED"))</f>
        <v>Registered Nurse</v>
      </c>
      <c r="Q443" s="48" t="n">
        <f aca="false">STACK!I443</f>
        <v>3.75</v>
      </c>
      <c r="R443" s="60" t="n">
        <f aca="false">IF(G443&gt;0,IF(INDEX(CONFIRM!$F$5:$F$53,G443)&lt;&gt;"",INDEX(CONFIRM!$F$5:$F$53,G443),IF(ISNUMBER(Q443),Q443,IF(Q443="","",IFERROR(VALUE(TRIM(SUBSTITUTE(SUBSTITUTE(LOWER(Q443),"hrs",""),"hr",""))),"")))),IF(ISNUMBER(Q443),Q443,IF(Q443="","",IFERROR(VALUE(TRIM(SUBSTITUTE(SUBSTITUTE(LOWER(Q443),"hrs",""),"hr",""))),""))))</f>
        <v>3.75</v>
      </c>
      <c r="S443" s="57" t="n">
        <f aca="false">IFERROR(INDEX(RATES!$E$6:$E$28,MATCH(P443,RATES!$A$6:$A$28,0)),0)</f>
        <v>55.8975</v>
      </c>
      <c r="T443" s="61" t="n">
        <f aca="false">IF(ISNUMBER(R443),R443,0)*S443</f>
        <v>209.615625</v>
      </c>
      <c r="U443" s="61" t="n">
        <f aca="false">T443*INDEX(INPUTS!$H$10:$H$14,MATCH(B443,INPUTS!$A$10:$A$14,0))</f>
        <v>38.778890625</v>
      </c>
      <c r="V443" s="61" t="n">
        <f aca="false">N(STACK!K443)</f>
        <v>110</v>
      </c>
      <c r="W443" s="61" t="n">
        <f aca="false">T443+U443+V443</f>
        <v>358.394515625</v>
      </c>
      <c r="X443" s="61" t="n">
        <f aca="false">N(STACK!L443)</f>
        <v>0</v>
      </c>
      <c r="Y443" s="61" t="n">
        <f aca="false">W443-X443</f>
        <v>358.394515625</v>
      </c>
      <c r="Z443" s="1" t="n">
        <f aca="false">N(STACK!J443)</f>
        <v>56</v>
      </c>
      <c r="AA443" s="1" t="str">
        <f aca="false">TRIM(IF(D443="UNMAPPED","Program not mapped. ","")&amp;IF(OR(K443="UNMAPPED",K443="UNASSIGNED"),"Category needs review. ","")&amp;IF(P443="UNMAPPED","Title not mapped. ","")&amp;IF(AND(P443&lt;&gt;"No staff time",R443=""),"Missing hours. ","")&amp;IF(M443="","Date not readable. ","")&amp;IF(N443="No","Outside fiscal year. ","")&amp;IF(AND(F443="Event",ISNUMBER(R443)),IF(R443&gt;12,"Event hours look high. ",""),"")&amp;IF(G443&gt;0,"See CONFIRM sheet.",""))</f>
        <v/>
      </c>
      <c r="AB443" s="1" t="n">
        <f aca="false">IF(N443="No",0,IF(REVIEW!O443=0,0,IF(G443&gt;0,IF(INDEX(CONFIRM!$J$5:$J$53,G443)&lt;&gt;"",INDEX(CONFIRM!$J$5:$J$53,G443),1),1)))</f>
        <v>1</v>
      </c>
      <c r="AC443" s="1" t="n">
        <f aca="false">IF(AB443=1,IF(COUNTIFS($B$5:B443,B443,$D$5:D443,D443,$AB$5:AB443,1)=1,1,0),0)</f>
        <v>0</v>
      </c>
    </row>
    <row r="444" customFormat="false" ht="15" hidden="false" customHeight="false" outlineLevel="0" collapsed="false">
      <c r="A444" s="48" t="str">
        <f aca="false">STACK!A444</f>
        <v>KVMC-0440</v>
      </c>
      <c r="B444" s="48" t="str">
        <f aca="false">STACK!B444</f>
        <v>KVMC</v>
      </c>
      <c r="C444" s="48" t="str">
        <f aca="false">STACK!E444</f>
        <v>Grief Support Group</v>
      </c>
      <c r="D444" s="1" t="str">
        <f aca="false">IFERROR(INDEX(MAP!$J$7:$J$101,MATCH(TRIM(C444),MAP!$I$7:$I$101,0)),"UNMAPPED")</f>
        <v>Grief Support Group</v>
      </c>
      <c r="E444" s="1" t="str">
        <f aca="false">IFERROR(INDEX(MAP!$K$7:$K$101,MATCH(TRIM(C444),MAP!$I$7:$I$101,0)),"")</f>
        <v>Behavioral health</v>
      </c>
      <c r="F444" s="1" t="str">
        <f aca="false">IFERROR(INDEX(MAP!$L$7:$L$101,MATCH(TRIM(C444),MAP!$I$7:$I$101,0)),"")</f>
        <v>Event</v>
      </c>
      <c r="G444" s="1" t="n">
        <f aca="false">IFERROR(MATCH(A444,CONFIRM!$A$5:$A$53,0),0)</f>
        <v>0</v>
      </c>
      <c r="H444" s="48" t="str">
        <f aca="false">STACK!F444</f>
        <v>Health Care Support Services</v>
      </c>
      <c r="I444" s="1" t="str">
        <f aca="false">IF(G444&gt;0,IF(INDEX(CONFIRM!$I$5:$I$53,G444)&lt;&gt;"",INDEX(CONFIRM!$I$5:$I$53,G444),H444),H444)</f>
        <v>Health Care Support Services</v>
      </c>
      <c r="J444" s="1" t="str">
        <f aca="false">IFERROR(INDEX(MAP!$F$7:$F$74,MATCH(TRIM(I444),MAP!$E$7:$E$74,0)),"UNMAPPED")</f>
        <v>Health care support services</v>
      </c>
      <c r="K444" s="1" t="str">
        <f aca="false">IFERROR(INDEX(MAP!$G$7:$G$74,MATCH(TRIM(I444),MAP!$E$7:$E$74,0)),"UNMAPPED")</f>
        <v>7e</v>
      </c>
      <c r="L444" s="49" t="n">
        <f aca="false">STACK!G444</f>
        <v>46149</v>
      </c>
      <c r="M444" s="59" t="n">
        <f aca="false">IF(G444&gt;0,IF(INDEX(CONFIRM!$G$5:$G$53,G444)&lt;&gt;"",INDEX(CONFIRM!$G$5:$G$53,G444),IF(ISNUMBER(L444),L444,IFERROR(DATEVALUE(L444),""))),IF(ISNUMBER(L444),L444,IFERROR(DATEVALUE(L444),"")))</f>
        <v>46149</v>
      </c>
      <c r="N444" s="1" t="str">
        <f aca="false">IF(M444="","Check",IF(AND(M444&gt;=INPUTS!$C$6,M444&lt;=INPUTS!$C$7),"Yes","No"))</f>
        <v>Yes</v>
      </c>
      <c r="O444" s="48" t="str">
        <f aca="false">STACK!H444</f>
        <v>Chaplain</v>
      </c>
      <c r="P444" s="1" t="str">
        <f aca="false">IF(G444&gt;0,IF(INDEX(CONFIRM!$H$5:$H$53,G444)&lt;&gt;"",INDEX(CONFIRM!$H$5:$H$53,G444),IFERROR(INDEX(MAP!$B$7:$B$156,MATCH(TRIM(O444),MAP!$A$7:$A$156,0)),"UNMAPPED")),IFERROR(INDEX(MAP!$B$7:$B$156,MATCH(TRIM(O444),MAP!$A$7:$A$156,0)),"UNMAPPED"))</f>
        <v>Chaplain</v>
      </c>
      <c r="Q444" s="48" t="n">
        <f aca="false">STACK!I444</f>
        <v>2.25</v>
      </c>
      <c r="R444" s="60" t="n">
        <f aca="false">IF(G444&gt;0,IF(INDEX(CONFIRM!$F$5:$F$53,G444)&lt;&gt;"",INDEX(CONFIRM!$F$5:$F$53,G444),IF(ISNUMBER(Q444),Q444,IF(Q444="","",IFERROR(VALUE(TRIM(SUBSTITUTE(SUBSTITUTE(LOWER(Q444),"hrs",""),"hr",""))),"")))),IF(ISNUMBER(Q444),Q444,IF(Q444="","",IFERROR(VALUE(TRIM(SUBSTITUTE(SUBSTITUTE(LOWER(Q444),"hrs",""),"hr",""))),""))))</f>
        <v>2.25</v>
      </c>
      <c r="S444" s="57" t="n">
        <f aca="false">IFERROR(INDEX(RATES!$E$6:$E$28,MATCH(P444,RATES!$A$6:$A$28,0)),0)</f>
        <v>39.835</v>
      </c>
      <c r="T444" s="61" t="n">
        <f aca="false">IF(ISNUMBER(R444),R444,0)*S444</f>
        <v>89.62875</v>
      </c>
      <c r="U444" s="61" t="n">
        <f aca="false">T444*INDEX(INPUTS!$H$10:$H$14,MATCH(B444,INPUTS!$A$10:$A$14,0))</f>
        <v>16.58131875</v>
      </c>
      <c r="V444" s="61" t="n">
        <f aca="false">N(STACK!K444)</f>
        <v>60</v>
      </c>
      <c r="W444" s="61" t="n">
        <f aca="false">T444+U444+V444</f>
        <v>166.21006875</v>
      </c>
      <c r="X444" s="61" t="n">
        <f aca="false">N(STACK!L444)</f>
        <v>0</v>
      </c>
      <c r="Y444" s="61" t="n">
        <f aca="false">W444-X444</f>
        <v>166.21006875</v>
      </c>
      <c r="Z444" s="1" t="n">
        <f aca="false">N(STACK!J444)</f>
        <v>7</v>
      </c>
      <c r="AA444" s="1" t="str">
        <f aca="false">TRIM(IF(D444="UNMAPPED","Program not mapped. ","")&amp;IF(OR(K444="UNMAPPED",K444="UNASSIGNED"),"Category needs review. ","")&amp;IF(P444="UNMAPPED","Title not mapped. ","")&amp;IF(AND(P444&lt;&gt;"No staff time",R444=""),"Missing hours. ","")&amp;IF(M444="","Date not readable. ","")&amp;IF(N444="No","Outside fiscal year. ","")&amp;IF(AND(F444="Event",ISNUMBER(R444)),IF(R444&gt;12,"Event hours look high. ",""),"")&amp;IF(G444&gt;0,"See CONFIRM sheet.",""))</f>
        <v/>
      </c>
      <c r="AB444" s="1" t="n">
        <f aca="false">IF(N444="No",0,IF(REVIEW!O444=0,0,IF(G444&gt;0,IF(INDEX(CONFIRM!$J$5:$J$53,G444)&lt;&gt;"",INDEX(CONFIRM!$J$5:$J$53,G444),1),1)))</f>
        <v>1</v>
      </c>
      <c r="AC444" s="1" t="n">
        <f aca="false">IF(AB444=1,IF(COUNTIFS($B$5:B444,B444,$D$5:D444,D444,$AB$5:AB444,1)=1,1,0),0)</f>
        <v>0</v>
      </c>
    </row>
    <row r="445" customFormat="false" ht="15" hidden="false" customHeight="false" outlineLevel="0" collapsed="false">
      <c r="A445" s="48" t="str">
        <f aca="false">STACK!A445</f>
        <v>KVMC-0441</v>
      </c>
      <c r="B445" s="48" t="str">
        <f aca="false">STACK!B445</f>
        <v>KVMC</v>
      </c>
      <c r="C445" s="48" t="str">
        <f aca="false">STACK!E445</f>
        <v>Grief Support Group</v>
      </c>
      <c r="D445" s="1" t="str">
        <f aca="false">IFERROR(INDEX(MAP!$J$7:$J$101,MATCH(TRIM(C445),MAP!$I$7:$I$101,0)),"UNMAPPED")</f>
        <v>Grief Support Group</v>
      </c>
      <c r="E445" s="1" t="str">
        <f aca="false">IFERROR(INDEX(MAP!$K$7:$K$101,MATCH(TRIM(C445),MAP!$I$7:$I$101,0)),"")</f>
        <v>Behavioral health</v>
      </c>
      <c r="F445" s="1" t="str">
        <f aca="false">IFERROR(INDEX(MAP!$L$7:$L$101,MATCH(TRIM(C445),MAP!$I$7:$I$101,0)),"")</f>
        <v>Event</v>
      </c>
      <c r="G445" s="1" t="n">
        <f aca="false">IFERROR(MATCH(A445,CONFIRM!$A$5:$A$53,0),0)</f>
        <v>0</v>
      </c>
      <c r="H445" s="48" t="str">
        <f aca="false">STACK!F445</f>
        <v>Health Care Support Services</v>
      </c>
      <c r="I445" s="1" t="str">
        <f aca="false">IF(G445&gt;0,IF(INDEX(CONFIRM!$I$5:$I$53,G445)&lt;&gt;"",INDEX(CONFIRM!$I$5:$I$53,G445),H445),H445)</f>
        <v>Health Care Support Services</v>
      </c>
      <c r="J445" s="1" t="str">
        <f aca="false">IFERROR(INDEX(MAP!$F$7:$F$74,MATCH(TRIM(I445),MAP!$E$7:$E$74,0)),"UNMAPPED")</f>
        <v>Health care support services</v>
      </c>
      <c r="K445" s="1" t="str">
        <f aca="false">IFERROR(INDEX(MAP!$G$7:$G$74,MATCH(TRIM(I445),MAP!$E$7:$E$74,0)),"UNMAPPED")</f>
        <v>7e</v>
      </c>
      <c r="L445" s="49" t="n">
        <f aca="false">STACK!G445</f>
        <v>46149</v>
      </c>
      <c r="M445" s="59" t="n">
        <f aca="false">IF(G445&gt;0,IF(INDEX(CONFIRM!$G$5:$G$53,G445)&lt;&gt;"",INDEX(CONFIRM!$G$5:$G$53,G445),IF(ISNUMBER(L445),L445,IFERROR(DATEVALUE(L445),""))),IF(ISNUMBER(L445),L445,IFERROR(DATEVALUE(L445),"")))</f>
        <v>46149</v>
      </c>
      <c r="N445" s="1" t="str">
        <f aca="false">IF(M445="","Check",IF(AND(M445&gt;=INPUTS!$C$6,M445&lt;=INPUTS!$C$7),"Yes","No"))</f>
        <v>Yes</v>
      </c>
      <c r="O445" s="48" t="str">
        <f aca="false">STACK!H445</f>
        <v>Clinical Social Worker</v>
      </c>
      <c r="P445" s="1" t="str">
        <f aca="false">IF(G445&gt;0,IF(INDEX(CONFIRM!$H$5:$H$53,G445)&lt;&gt;"",INDEX(CONFIRM!$H$5:$H$53,G445),IFERROR(INDEX(MAP!$B$7:$B$156,MATCH(TRIM(O445),MAP!$A$7:$A$156,0)),"UNMAPPED")),IFERROR(INDEX(MAP!$B$7:$B$156,MATCH(TRIM(O445),MAP!$A$7:$A$156,0)),"UNMAPPED"))</f>
        <v>Social Worker</v>
      </c>
      <c r="Q445" s="48" t="n">
        <f aca="false">STACK!I445</f>
        <v>1.75</v>
      </c>
      <c r="R445" s="60" t="n">
        <f aca="false">IF(G445&gt;0,IF(INDEX(CONFIRM!$F$5:$F$53,G445)&lt;&gt;"",INDEX(CONFIRM!$F$5:$F$53,G445),IF(ISNUMBER(Q445),Q445,IF(Q445="","",IFERROR(VALUE(TRIM(SUBSTITUTE(SUBSTITUTE(LOWER(Q445),"hrs",""),"hr",""))),"")))),IF(ISNUMBER(Q445),Q445,IF(Q445="","",IFERROR(VALUE(TRIM(SUBSTITUTE(SUBSTITUTE(LOWER(Q445),"hrs",""),"hr",""))),""))))</f>
        <v>1.75</v>
      </c>
      <c r="S445" s="57" t="n">
        <f aca="false">IFERROR(INDEX(RATES!$E$6:$E$28,MATCH(P445,RATES!$A$6:$A$28,0)),0)</f>
        <v>45.6175</v>
      </c>
      <c r="T445" s="61" t="n">
        <f aca="false">IF(ISNUMBER(R445),R445,0)*S445</f>
        <v>79.830625</v>
      </c>
      <c r="U445" s="61" t="n">
        <f aca="false">T445*INDEX(INPUTS!$H$10:$H$14,MATCH(B445,INPUTS!$A$10:$A$14,0))</f>
        <v>14.768665625</v>
      </c>
      <c r="V445" s="61" t="n">
        <f aca="false">N(STACK!K445)</f>
        <v>0</v>
      </c>
      <c r="W445" s="61" t="n">
        <f aca="false">T445+U445+V445</f>
        <v>94.599290625</v>
      </c>
      <c r="X445" s="61" t="n">
        <f aca="false">N(STACK!L445)</f>
        <v>0</v>
      </c>
      <c r="Y445" s="61" t="n">
        <f aca="false">W445-X445</f>
        <v>94.599290625</v>
      </c>
      <c r="Z445" s="1" t="n">
        <f aca="false">N(STACK!J445)</f>
        <v>0</v>
      </c>
      <c r="AA445" s="1" t="str">
        <f aca="false">TRIM(IF(D445="UNMAPPED","Program not mapped. ","")&amp;IF(OR(K445="UNMAPPED",K445="UNASSIGNED"),"Category needs review. ","")&amp;IF(P445="UNMAPPED","Title not mapped. ","")&amp;IF(AND(P445&lt;&gt;"No staff time",R445=""),"Missing hours. ","")&amp;IF(M445="","Date not readable. ","")&amp;IF(N445="No","Outside fiscal year. ","")&amp;IF(AND(F445="Event",ISNUMBER(R445)),IF(R445&gt;12,"Event hours look high. ",""),"")&amp;IF(G445&gt;0,"See CONFIRM sheet.",""))</f>
        <v/>
      </c>
      <c r="AB445" s="1" t="n">
        <f aca="false">IF(N445="No",0,IF(REVIEW!O445=0,0,IF(G445&gt;0,IF(INDEX(CONFIRM!$J$5:$J$53,G445)&lt;&gt;"",INDEX(CONFIRM!$J$5:$J$53,G445),1),1)))</f>
        <v>1</v>
      </c>
      <c r="AC445" s="1" t="n">
        <f aca="false">IF(AB445=1,IF(COUNTIFS($B$5:B445,B445,$D$5:D445,D445,$AB$5:AB445,1)=1,1,0),0)</f>
        <v>0</v>
      </c>
    </row>
    <row r="446" customFormat="false" ht="15" hidden="false" customHeight="false" outlineLevel="0" collapsed="false">
      <c r="A446" s="48" t="str">
        <f aca="false">STACK!A446</f>
        <v>KVMC-0442</v>
      </c>
      <c r="B446" s="48" t="str">
        <f aca="false">STACK!B446</f>
        <v>KVMC</v>
      </c>
      <c r="C446" s="48" t="str">
        <f aca="false">STACK!E446</f>
        <v>Diabetes Prevention Classes</v>
      </c>
      <c r="D446" s="1" t="str">
        <f aca="false">IFERROR(INDEX(MAP!$J$7:$J$101,MATCH(TRIM(C446),MAP!$I$7:$I$101,0)),"UNMAPPED")</f>
        <v>Diabetes Prevention Classes</v>
      </c>
      <c r="E446" s="1" t="str">
        <f aca="false">IFERROR(INDEX(MAP!$K$7:$K$101,MATCH(TRIM(C446),MAP!$I$7:$I$101,0)),"")</f>
        <v>Chronic disease prevention</v>
      </c>
      <c r="F446" s="1" t="str">
        <f aca="false">IFERROR(INDEX(MAP!$L$7:$L$101,MATCH(TRIM(C446),MAP!$I$7:$I$101,0)),"")</f>
        <v>Event</v>
      </c>
      <c r="G446" s="1" t="n">
        <f aca="false">IFERROR(MATCH(A446,CONFIRM!$A$5:$A$53,0),0)</f>
        <v>0</v>
      </c>
      <c r="H446" s="48" t="str">
        <f aca="false">STACK!F446</f>
        <v>Community Health Education</v>
      </c>
      <c r="I446" s="1" t="str">
        <f aca="false">IF(G446&gt;0,IF(INDEX(CONFIRM!$I$5:$I$53,G446)&lt;&gt;"",INDEX(CONFIRM!$I$5:$I$53,G446),H446),H446)</f>
        <v>Community Health Education</v>
      </c>
      <c r="J446" s="1" t="str">
        <f aca="false">IFERROR(INDEX(MAP!$F$7:$F$74,MATCH(TRIM(I446),MAP!$E$7:$E$74,0)),"UNMAPPED")</f>
        <v>Community health education</v>
      </c>
      <c r="K446" s="1" t="str">
        <f aca="false">IFERROR(INDEX(MAP!$G$7:$G$74,MATCH(TRIM(I446),MAP!$E$7:$E$74,0)),"UNMAPPED")</f>
        <v>7e</v>
      </c>
      <c r="L446" s="49" t="n">
        <f aca="false">STACK!G446</f>
        <v>46150</v>
      </c>
      <c r="M446" s="59" t="n">
        <f aca="false">IF(G446&gt;0,IF(INDEX(CONFIRM!$G$5:$G$53,G446)&lt;&gt;"",INDEX(CONFIRM!$G$5:$G$53,G446),IF(ISNUMBER(L446),L446,IFERROR(DATEVALUE(L446),""))),IF(ISNUMBER(L446),L446,IFERROR(DATEVALUE(L446),"")))</f>
        <v>46150</v>
      </c>
      <c r="N446" s="1" t="str">
        <f aca="false">IF(M446="","Check",IF(AND(M446&gt;=INPUTS!$C$6,M446&lt;=INPUTS!$C$7),"Yes","No"))</f>
        <v>Yes</v>
      </c>
      <c r="O446" s="48" t="str">
        <f aca="false">STACK!H446</f>
        <v>CHES</v>
      </c>
      <c r="P446" s="1" t="str">
        <f aca="false">IF(G446&gt;0,IF(INDEX(CONFIRM!$H$5:$H$53,G446)&lt;&gt;"",INDEX(CONFIRM!$H$5:$H$53,G446),IFERROR(INDEX(MAP!$B$7:$B$156,MATCH(TRIM(O446),MAP!$A$7:$A$156,0)),"UNMAPPED")),IFERROR(INDEX(MAP!$B$7:$B$156,MATCH(TRIM(O446),MAP!$A$7:$A$156,0)),"UNMAPPED"))</f>
        <v>Health Educator</v>
      </c>
      <c r="Q446" s="48" t="n">
        <f aca="false">STACK!I446</f>
        <v>2.25</v>
      </c>
      <c r="R446" s="60" t="n">
        <f aca="false">IF(G446&gt;0,IF(INDEX(CONFIRM!$F$5:$F$53,G446)&lt;&gt;"",INDEX(CONFIRM!$F$5:$F$53,G446),IF(ISNUMBER(Q446),Q446,IF(Q446="","",IFERROR(VALUE(TRIM(SUBSTITUTE(SUBSTITUTE(LOWER(Q446),"hrs",""),"hr",""))),"")))),IF(ISNUMBER(Q446),Q446,IF(Q446="","",IFERROR(VALUE(TRIM(SUBSTITUTE(SUBSTITUTE(LOWER(Q446),"hrs",""),"hr",""))),""))))</f>
        <v>2.25</v>
      </c>
      <c r="S446" s="57" t="n">
        <f aca="false">IFERROR(INDEX(RATES!$E$6:$E$28,MATCH(P446,RATES!$A$6:$A$28,0)),0)</f>
        <v>37.265</v>
      </c>
      <c r="T446" s="61" t="n">
        <f aca="false">IF(ISNUMBER(R446),R446,0)*S446</f>
        <v>83.84625</v>
      </c>
      <c r="U446" s="61" t="n">
        <f aca="false">T446*INDEX(INPUTS!$H$10:$H$14,MATCH(B446,INPUTS!$A$10:$A$14,0))</f>
        <v>15.51155625</v>
      </c>
      <c r="V446" s="61" t="n">
        <f aca="false">N(STACK!K446)</f>
        <v>65</v>
      </c>
      <c r="W446" s="61" t="n">
        <f aca="false">T446+U446+V446</f>
        <v>164.35780625</v>
      </c>
      <c r="X446" s="61" t="n">
        <f aca="false">N(STACK!L446)</f>
        <v>0</v>
      </c>
      <c r="Y446" s="61" t="n">
        <f aca="false">W446-X446</f>
        <v>164.35780625</v>
      </c>
      <c r="Z446" s="1" t="n">
        <f aca="false">N(STACK!J446)</f>
        <v>12</v>
      </c>
      <c r="AA446" s="1" t="str">
        <f aca="false">TRIM(IF(D446="UNMAPPED","Program not mapped. ","")&amp;IF(OR(K446="UNMAPPED",K446="UNASSIGNED"),"Category needs review. ","")&amp;IF(P446="UNMAPPED","Title not mapped. ","")&amp;IF(AND(P446&lt;&gt;"No staff time",R446=""),"Missing hours. ","")&amp;IF(M446="","Date not readable. ","")&amp;IF(N446="No","Outside fiscal year. ","")&amp;IF(AND(F446="Event",ISNUMBER(R446)),IF(R446&gt;12,"Event hours look high. ",""),"")&amp;IF(G446&gt;0,"See CONFIRM sheet.",""))</f>
        <v/>
      </c>
      <c r="AB446" s="1" t="n">
        <f aca="false">IF(N446="No",0,IF(REVIEW!O446=0,0,IF(G446&gt;0,IF(INDEX(CONFIRM!$J$5:$J$53,G446)&lt;&gt;"",INDEX(CONFIRM!$J$5:$J$53,G446),1),1)))</f>
        <v>1</v>
      </c>
      <c r="AC446" s="1" t="n">
        <f aca="false">IF(AB446=1,IF(COUNTIFS($B$5:B446,B446,$D$5:D446,D446,$AB$5:AB446,1)=1,1,0),0)</f>
        <v>0</v>
      </c>
    </row>
    <row r="447" customFormat="false" ht="15" hidden="false" customHeight="false" outlineLevel="0" collapsed="false">
      <c r="A447" s="48" t="str">
        <f aca="false">STACK!A447</f>
        <v>KVMC-0443</v>
      </c>
      <c r="B447" s="48" t="str">
        <f aca="false">STACK!B447</f>
        <v>KVMC</v>
      </c>
      <c r="C447" s="48" t="str">
        <f aca="false">STACK!E447</f>
        <v>Diabetes Prevention Classes</v>
      </c>
      <c r="D447" s="1" t="str">
        <f aca="false">IFERROR(INDEX(MAP!$J$7:$J$101,MATCH(TRIM(C447),MAP!$I$7:$I$101,0)),"UNMAPPED")</f>
        <v>Diabetes Prevention Classes</v>
      </c>
      <c r="E447" s="1" t="str">
        <f aca="false">IFERROR(INDEX(MAP!$K$7:$K$101,MATCH(TRIM(C447),MAP!$I$7:$I$101,0)),"")</f>
        <v>Chronic disease prevention</v>
      </c>
      <c r="F447" s="1" t="str">
        <f aca="false">IFERROR(INDEX(MAP!$L$7:$L$101,MATCH(TRIM(C447),MAP!$I$7:$I$101,0)),"")</f>
        <v>Event</v>
      </c>
      <c r="G447" s="1" t="n">
        <f aca="false">IFERROR(MATCH(A447,CONFIRM!$A$5:$A$53,0),0)</f>
        <v>0</v>
      </c>
      <c r="H447" s="48" t="str">
        <f aca="false">STACK!F447</f>
        <v>Community Health Education</v>
      </c>
      <c r="I447" s="1" t="str">
        <f aca="false">IF(G447&gt;0,IF(INDEX(CONFIRM!$I$5:$I$53,G447)&lt;&gt;"",INDEX(CONFIRM!$I$5:$I$53,G447),H447),H447)</f>
        <v>Community Health Education</v>
      </c>
      <c r="J447" s="1" t="str">
        <f aca="false">IFERROR(INDEX(MAP!$F$7:$F$74,MATCH(TRIM(I447),MAP!$E$7:$E$74,0)),"UNMAPPED")</f>
        <v>Community health education</v>
      </c>
      <c r="K447" s="1" t="str">
        <f aca="false">IFERROR(INDEX(MAP!$G$7:$G$74,MATCH(TRIM(I447),MAP!$E$7:$E$74,0)),"UNMAPPED")</f>
        <v>7e</v>
      </c>
      <c r="L447" s="49" t="n">
        <f aca="false">STACK!G447</f>
        <v>46150</v>
      </c>
      <c r="M447" s="59" t="n">
        <f aca="false">IF(G447&gt;0,IF(INDEX(CONFIRM!$G$5:$G$53,G447)&lt;&gt;"",INDEX(CONFIRM!$G$5:$G$53,G447),IF(ISNUMBER(L447),L447,IFERROR(DATEVALUE(L447),""))),IF(ISNUMBER(L447),L447,IFERROR(DATEVALUE(L447),"")))</f>
        <v>46150</v>
      </c>
      <c r="N447" s="1" t="str">
        <f aca="false">IF(M447="","Check",IF(AND(M447&gt;=INPUTS!$C$6,M447&lt;=INPUTS!$C$7),"Yes","No"))</f>
        <v>Yes</v>
      </c>
      <c r="O447" s="48" t="str">
        <f aca="false">STACK!H447</f>
        <v>RD</v>
      </c>
      <c r="P447" s="1" t="str">
        <f aca="false">IF(G447&gt;0,IF(INDEX(CONFIRM!$H$5:$H$53,G447)&lt;&gt;"",INDEX(CONFIRM!$H$5:$H$53,G447),IFERROR(INDEX(MAP!$B$7:$B$156,MATCH(TRIM(O447),MAP!$A$7:$A$156,0)),"UNMAPPED")),IFERROR(INDEX(MAP!$B$7:$B$156,MATCH(TRIM(O447),MAP!$A$7:$A$156,0)),"UNMAPPED"))</f>
        <v>Registered Dietitian</v>
      </c>
      <c r="Q447" s="48" t="n">
        <f aca="false">STACK!I447</f>
        <v>1.75</v>
      </c>
      <c r="R447" s="60" t="n">
        <f aca="false">IF(G447&gt;0,IF(INDEX(CONFIRM!$F$5:$F$53,G447)&lt;&gt;"",INDEX(CONFIRM!$F$5:$F$53,G447),IF(ISNUMBER(Q447),Q447,IF(Q447="","",IFERROR(VALUE(TRIM(SUBSTITUTE(SUBSTITUTE(LOWER(Q447),"hrs",""),"hr",""))),"")))),IF(ISNUMBER(Q447),Q447,IF(Q447="","",IFERROR(VALUE(TRIM(SUBSTITUTE(SUBSTITUTE(LOWER(Q447),"hrs",""),"hr",""))),""))))</f>
        <v>1.75</v>
      </c>
      <c r="S447" s="57" t="n">
        <f aca="false">IFERROR(INDEX(RATES!$E$6:$E$28,MATCH(P447,RATES!$A$6:$A$28,0)),0)</f>
        <v>46.9025</v>
      </c>
      <c r="T447" s="61" t="n">
        <f aca="false">IF(ISNUMBER(R447),R447,0)*S447</f>
        <v>82.079375</v>
      </c>
      <c r="U447" s="61" t="n">
        <f aca="false">T447*INDEX(INPUTS!$H$10:$H$14,MATCH(B447,INPUTS!$A$10:$A$14,0))</f>
        <v>15.184684375</v>
      </c>
      <c r="V447" s="61" t="n">
        <f aca="false">N(STACK!K447)</f>
        <v>0</v>
      </c>
      <c r="W447" s="61" t="n">
        <f aca="false">T447+U447+V447</f>
        <v>97.264059375</v>
      </c>
      <c r="X447" s="61" t="n">
        <f aca="false">N(STACK!L447)</f>
        <v>0</v>
      </c>
      <c r="Y447" s="61" t="n">
        <f aca="false">W447-X447</f>
        <v>97.264059375</v>
      </c>
      <c r="Z447" s="1" t="n">
        <f aca="false">N(STACK!J447)</f>
        <v>0</v>
      </c>
      <c r="AA447" s="1" t="str">
        <f aca="false">TRIM(IF(D447="UNMAPPED","Program not mapped. ","")&amp;IF(OR(K447="UNMAPPED",K447="UNASSIGNED"),"Category needs review. ","")&amp;IF(P447="UNMAPPED","Title not mapped. ","")&amp;IF(AND(P447&lt;&gt;"No staff time",R447=""),"Missing hours. ","")&amp;IF(M447="","Date not readable. ","")&amp;IF(N447="No","Outside fiscal year. ","")&amp;IF(AND(F447="Event",ISNUMBER(R447)),IF(R447&gt;12,"Event hours look high. ",""),"")&amp;IF(G447&gt;0,"See CONFIRM sheet.",""))</f>
        <v/>
      </c>
      <c r="AB447" s="1" t="n">
        <f aca="false">IF(N447="No",0,IF(REVIEW!O447=0,0,IF(G447&gt;0,IF(INDEX(CONFIRM!$J$5:$J$53,G447)&lt;&gt;"",INDEX(CONFIRM!$J$5:$J$53,G447),1),1)))</f>
        <v>1</v>
      </c>
      <c r="AC447" s="1" t="n">
        <f aca="false">IF(AB447=1,IF(COUNTIFS($B$5:B447,B447,$D$5:D447,D447,$AB$5:AB447,1)=1,1,0),0)</f>
        <v>0</v>
      </c>
    </row>
    <row r="448" customFormat="false" ht="15" hidden="false" customHeight="false" outlineLevel="0" collapsed="false">
      <c r="A448" s="48" t="str">
        <f aca="false">STACK!A448</f>
        <v>KVMC-0444</v>
      </c>
      <c r="B448" s="48" t="str">
        <f aca="false">STACK!B448</f>
        <v>KVMC</v>
      </c>
      <c r="C448" s="48" t="str">
        <f aca="false">STACK!E448</f>
        <v>In-Kind Medical Supply Donations</v>
      </c>
      <c r="D448" s="1" t="str">
        <f aca="false">IFERROR(INDEX(MAP!$J$7:$J$101,MATCH(TRIM(C448),MAP!$I$7:$I$101,0)),"UNMAPPED")</f>
        <v>In-Kind Medical Supply Donations</v>
      </c>
      <c r="E448" s="1" t="str">
        <f aca="false">IFERROR(INDEX(MAP!$K$7:$K$101,MATCH(TRIM(C448),MAP!$I$7:$I$101,0)),"")</f>
        <v>Access to care</v>
      </c>
      <c r="F448" s="1" t="str">
        <f aca="false">IFERROR(INDEX(MAP!$L$7:$L$101,MATCH(TRIM(C448),MAP!$I$7:$I$101,0)),"")</f>
        <v>Contribution</v>
      </c>
      <c r="G448" s="1" t="n">
        <f aca="false">IFERROR(MATCH(A448,CONFIRM!$A$5:$A$53,0),0)</f>
        <v>0</v>
      </c>
      <c r="H448" s="48" t="str">
        <f aca="false">STACK!F448</f>
        <v>Cash &amp; In-Kind Donations</v>
      </c>
      <c r="I448" s="1" t="str">
        <f aca="false">IF(G448&gt;0,IF(INDEX(CONFIRM!$I$5:$I$53,G448)&lt;&gt;"",INDEX(CONFIRM!$I$5:$I$53,G448),H448),H448)</f>
        <v>Cash &amp; In-Kind Donations</v>
      </c>
      <c r="J448" s="1" t="str">
        <f aca="false">IFERROR(INDEX(MAP!$F$7:$F$74,MATCH(TRIM(I448),MAP!$E$7:$E$74,0)),"UNMAPPED")</f>
        <v>Cash and in-kind contributions</v>
      </c>
      <c r="K448" s="1" t="str">
        <f aca="false">IFERROR(INDEX(MAP!$G$7:$G$74,MATCH(TRIM(I448),MAP!$E$7:$E$74,0)),"UNMAPPED")</f>
        <v>7i</v>
      </c>
      <c r="L448" s="49" t="n">
        <f aca="false">STACK!G448</f>
        <v>46150</v>
      </c>
      <c r="M448" s="59" t="n">
        <f aca="false">IF(G448&gt;0,IF(INDEX(CONFIRM!$G$5:$G$53,G448)&lt;&gt;"",INDEX(CONFIRM!$G$5:$G$53,G448),IF(ISNUMBER(L448),L448,IFERROR(DATEVALUE(L448),""))),IF(ISNUMBER(L448),L448,IFERROR(DATEVALUE(L448),"")))</f>
        <v>46150</v>
      </c>
      <c r="N448" s="1" t="str">
        <f aca="false">IF(M448="","Check",IF(AND(M448&gt;=INPUTS!$C$6,M448&lt;=INPUTS!$C$7),"Yes","No"))</f>
        <v>Yes</v>
      </c>
      <c r="O448" s="48" t="str">
        <f aca="false">STACK!H448</f>
        <v>No staff</v>
      </c>
      <c r="P448" s="1" t="str">
        <f aca="false">IF(G448&gt;0,IF(INDEX(CONFIRM!$H$5:$H$53,G448)&lt;&gt;"",INDEX(CONFIRM!$H$5:$H$53,G448),IFERROR(INDEX(MAP!$B$7:$B$156,MATCH(TRIM(O448),MAP!$A$7:$A$156,0)),"UNMAPPED")),IFERROR(INDEX(MAP!$B$7:$B$156,MATCH(TRIM(O448),MAP!$A$7:$A$156,0)),"UNMAPPED"))</f>
        <v>No staff time</v>
      </c>
      <c r="Q448" s="48" t="n">
        <f aca="false">STACK!I448</f>
        <v>0</v>
      </c>
      <c r="R448" s="60" t="n">
        <f aca="false">IF(G448&gt;0,IF(INDEX(CONFIRM!$F$5:$F$53,G448)&lt;&gt;"",INDEX(CONFIRM!$F$5:$F$53,G448),IF(ISNUMBER(Q448),Q448,IF(Q448="","",IFERROR(VALUE(TRIM(SUBSTITUTE(SUBSTITUTE(LOWER(Q448),"hrs",""),"hr",""))),"")))),IF(ISNUMBER(Q448),Q448,IF(Q448="","",IFERROR(VALUE(TRIM(SUBSTITUTE(SUBSTITUTE(LOWER(Q448),"hrs",""),"hr",""))),""))))</f>
        <v>0</v>
      </c>
      <c r="S448" s="57" t="n">
        <f aca="false">IFERROR(INDEX(RATES!$E$6:$E$28,MATCH(P448,RATES!$A$6:$A$28,0)),0)</f>
        <v>0</v>
      </c>
      <c r="T448" s="61" t="n">
        <f aca="false">IF(ISNUMBER(R448),R448,0)*S448</f>
        <v>0</v>
      </c>
      <c r="U448" s="61" t="n">
        <f aca="false">T448*INDEX(INPUTS!$H$10:$H$14,MATCH(B448,INPUTS!$A$10:$A$14,0))</f>
        <v>0</v>
      </c>
      <c r="V448" s="61" t="n">
        <f aca="false">N(STACK!K448)</f>
        <v>9225</v>
      </c>
      <c r="W448" s="61" t="n">
        <f aca="false">T448+U448+V448</f>
        <v>9225</v>
      </c>
      <c r="X448" s="61" t="n">
        <f aca="false">N(STACK!L448)</f>
        <v>0</v>
      </c>
      <c r="Y448" s="61" t="n">
        <f aca="false">W448-X448</f>
        <v>9225</v>
      </c>
      <c r="Z448" s="1" t="n">
        <f aca="false">N(STACK!J448)</f>
        <v>0</v>
      </c>
      <c r="AA448" s="1" t="str">
        <f aca="false">TRIM(IF(D448="UNMAPPED","Program not mapped. ","")&amp;IF(OR(K448="UNMAPPED",K448="UNASSIGNED"),"Category needs review. ","")&amp;IF(P448="UNMAPPED","Title not mapped. ","")&amp;IF(AND(P448&lt;&gt;"No staff time",R448=""),"Missing hours. ","")&amp;IF(M448="","Date not readable. ","")&amp;IF(N448="No","Outside fiscal year. ","")&amp;IF(AND(F448="Event",ISNUMBER(R448)),IF(R448&gt;12,"Event hours look high. ",""),"")&amp;IF(G448&gt;0,"See CONFIRM sheet.",""))</f>
        <v/>
      </c>
      <c r="AB448" s="1" t="n">
        <f aca="false">IF(N448="No",0,IF(REVIEW!O448=0,0,IF(G448&gt;0,IF(INDEX(CONFIRM!$J$5:$J$53,G448)&lt;&gt;"",INDEX(CONFIRM!$J$5:$J$53,G448),1),1)))</f>
        <v>1</v>
      </c>
      <c r="AC448" s="1" t="n">
        <f aca="false">IF(AB448=1,IF(COUNTIFS($B$5:B448,B448,$D$5:D448,D448,$AB$5:AB448,1)=1,1,0),0)</f>
        <v>0</v>
      </c>
    </row>
    <row r="449" customFormat="false" ht="15" hidden="false" customHeight="false" outlineLevel="0" collapsed="false">
      <c r="A449" s="48" t="str">
        <f aca="false">STACK!A449</f>
        <v>KVMC-0445</v>
      </c>
      <c r="B449" s="48" t="str">
        <f aca="false">STACK!B449</f>
        <v>KVMC</v>
      </c>
      <c r="C449" s="48" t="str">
        <f aca="false">STACK!E449</f>
        <v>Tobacco Cessation Classes</v>
      </c>
      <c r="D449" s="1" t="str">
        <f aca="false">IFERROR(INDEX(MAP!$J$7:$J$101,MATCH(TRIM(C449),MAP!$I$7:$I$101,0)),"UNMAPPED")</f>
        <v>Tobacco Cessation Classes</v>
      </c>
      <c r="E449" s="1" t="str">
        <f aca="false">IFERROR(INDEX(MAP!$K$7:$K$101,MATCH(TRIM(C449),MAP!$I$7:$I$101,0)),"")</f>
        <v>Chronic disease prevention</v>
      </c>
      <c r="F449" s="1" t="str">
        <f aca="false">IFERROR(INDEX(MAP!$L$7:$L$101,MATCH(TRIM(C449),MAP!$I$7:$I$101,0)),"")</f>
        <v>Event</v>
      </c>
      <c r="G449" s="1" t="n">
        <f aca="false">IFERROR(MATCH(A449,CONFIRM!$A$5:$A$53,0),0)</f>
        <v>0</v>
      </c>
      <c r="H449" s="48" t="str">
        <f aca="false">STACK!F449</f>
        <v>Community Health Education</v>
      </c>
      <c r="I449" s="1" t="str">
        <f aca="false">IF(G449&gt;0,IF(INDEX(CONFIRM!$I$5:$I$53,G449)&lt;&gt;"",INDEX(CONFIRM!$I$5:$I$53,G449),H449),H449)</f>
        <v>Community Health Education</v>
      </c>
      <c r="J449" s="1" t="str">
        <f aca="false">IFERROR(INDEX(MAP!$F$7:$F$74,MATCH(TRIM(I449),MAP!$E$7:$E$74,0)),"UNMAPPED")</f>
        <v>Community health education</v>
      </c>
      <c r="K449" s="1" t="str">
        <f aca="false">IFERROR(INDEX(MAP!$G$7:$G$74,MATCH(TRIM(I449),MAP!$E$7:$E$74,0)),"UNMAPPED")</f>
        <v>7e</v>
      </c>
      <c r="L449" s="49" t="n">
        <f aca="false">STACK!G449</f>
        <v>46154</v>
      </c>
      <c r="M449" s="59" t="n">
        <f aca="false">IF(G449&gt;0,IF(INDEX(CONFIRM!$G$5:$G$53,G449)&lt;&gt;"",INDEX(CONFIRM!$G$5:$G$53,G449),IF(ISNUMBER(L449),L449,IFERROR(DATEVALUE(L449),""))),IF(ISNUMBER(L449),L449,IFERROR(DATEVALUE(L449),"")))</f>
        <v>46154</v>
      </c>
      <c r="N449" s="1" t="str">
        <f aca="false">IF(M449="","Check",IF(AND(M449&gt;=INPUTS!$C$6,M449&lt;=INPUTS!$C$7),"Yes","No"))</f>
        <v>Yes</v>
      </c>
      <c r="O449" s="48" t="str">
        <f aca="false">STACK!H449</f>
        <v>DPT</v>
      </c>
      <c r="P449" s="1" t="str">
        <f aca="false">IF(G449&gt;0,IF(INDEX(CONFIRM!$H$5:$H$53,G449)&lt;&gt;"",INDEX(CONFIRM!$H$5:$H$53,G449),IFERROR(INDEX(MAP!$B$7:$B$156,MATCH(TRIM(O449),MAP!$A$7:$A$156,0)),"UNMAPPED")),IFERROR(INDEX(MAP!$B$7:$B$156,MATCH(TRIM(O449),MAP!$A$7:$A$156,0)),"UNMAPPED"))</f>
        <v>Licensed Therapist</v>
      </c>
      <c r="Q449" s="48" t="n">
        <f aca="false">STACK!I449</f>
        <v>2</v>
      </c>
      <c r="R449" s="60" t="n">
        <f aca="false">IF(G449&gt;0,IF(INDEX(CONFIRM!$F$5:$F$53,G449)&lt;&gt;"",INDEX(CONFIRM!$F$5:$F$53,G449),IF(ISNUMBER(Q449),Q449,IF(Q449="","",IFERROR(VALUE(TRIM(SUBSTITUTE(SUBSTITUTE(LOWER(Q449),"hrs",""),"hr",""))),"")))),IF(ISNUMBER(Q449),Q449,IF(Q449="","",IFERROR(VALUE(TRIM(SUBSTITUTE(SUBSTITUTE(LOWER(Q449),"hrs",""),"hr",""))),""))))</f>
        <v>2</v>
      </c>
      <c r="S449" s="57" t="n">
        <f aca="false">IFERROR(INDEX(RATES!$E$6:$E$28,MATCH(P449,RATES!$A$6:$A$28,0)),0)</f>
        <v>53.97</v>
      </c>
      <c r="T449" s="61" t="n">
        <f aca="false">IF(ISNUMBER(R449),R449,0)*S449</f>
        <v>107.94</v>
      </c>
      <c r="U449" s="61" t="n">
        <f aca="false">T449*INDEX(INPUTS!$H$10:$H$14,MATCH(B449,INPUTS!$A$10:$A$14,0))</f>
        <v>19.9689</v>
      </c>
      <c r="V449" s="61" t="n">
        <f aca="false">N(STACK!K449)</f>
        <v>140</v>
      </c>
      <c r="W449" s="61" t="n">
        <f aca="false">T449+U449+V449</f>
        <v>267.9089</v>
      </c>
      <c r="X449" s="61" t="n">
        <f aca="false">N(STACK!L449)</f>
        <v>0</v>
      </c>
      <c r="Y449" s="61" t="n">
        <f aca="false">W449-X449</f>
        <v>267.9089</v>
      </c>
      <c r="Z449" s="1" t="n">
        <f aca="false">N(STACK!J449)</f>
        <v>17</v>
      </c>
      <c r="AA449" s="1" t="str">
        <f aca="false">TRIM(IF(D449="UNMAPPED","Program not mapped. ","")&amp;IF(OR(K449="UNMAPPED",K449="UNASSIGNED"),"Category needs review. ","")&amp;IF(P449="UNMAPPED","Title not mapped. ","")&amp;IF(AND(P449&lt;&gt;"No staff time",R449=""),"Missing hours. ","")&amp;IF(M449="","Date not readable. ","")&amp;IF(N449="No","Outside fiscal year. ","")&amp;IF(AND(F449="Event",ISNUMBER(R449)),IF(R449&gt;12,"Event hours look high. ",""),"")&amp;IF(G449&gt;0,"See CONFIRM sheet.",""))</f>
        <v/>
      </c>
      <c r="AB449" s="1" t="n">
        <f aca="false">IF(N449="No",0,IF(REVIEW!O449=0,0,IF(G449&gt;0,IF(INDEX(CONFIRM!$J$5:$J$53,G449)&lt;&gt;"",INDEX(CONFIRM!$J$5:$J$53,G449),1),1)))</f>
        <v>1</v>
      </c>
      <c r="AC449" s="1" t="n">
        <f aca="false">IF(AB449=1,IF(COUNTIFS($B$5:B449,B449,$D$5:D449,D449,$AB$5:AB449,1)=1,1,0),0)</f>
        <v>0</v>
      </c>
    </row>
    <row r="450" customFormat="false" ht="15" hidden="false" customHeight="false" outlineLevel="0" collapsed="false">
      <c r="A450" s="48" t="str">
        <f aca="false">STACK!A450</f>
        <v>KVMC-0446</v>
      </c>
      <c r="B450" s="48" t="str">
        <f aca="false">STACK!B450</f>
        <v>KVMC</v>
      </c>
      <c r="C450" s="48" t="str">
        <f aca="false">STACK!E450</f>
        <v>Grief Support Group</v>
      </c>
      <c r="D450" s="1" t="str">
        <f aca="false">IFERROR(INDEX(MAP!$J$7:$J$101,MATCH(TRIM(C450),MAP!$I$7:$I$101,0)),"UNMAPPED")</f>
        <v>Grief Support Group</v>
      </c>
      <c r="E450" s="1" t="str">
        <f aca="false">IFERROR(INDEX(MAP!$K$7:$K$101,MATCH(TRIM(C450),MAP!$I$7:$I$101,0)),"")</f>
        <v>Behavioral health</v>
      </c>
      <c r="F450" s="1" t="str">
        <f aca="false">IFERROR(INDEX(MAP!$L$7:$L$101,MATCH(TRIM(C450),MAP!$I$7:$I$101,0)),"")</f>
        <v>Event</v>
      </c>
      <c r="G450" s="1" t="n">
        <f aca="false">IFERROR(MATCH(A450,CONFIRM!$A$5:$A$53,0),0)</f>
        <v>0</v>
      </c>
      <c r="H450" s="48" t="str">
        <f aca="false">STACK!F450</f>
        <v>Health Care Support Services</v>
      </c>
      <c r="I450" s="1" t="str">
        <f aca="false">IF(G450&gt;0,IF(INDEX(CONFIRM!$I$5:$I$53,G450)&lt;&gt;"",INDEX(CONFIRM!$I$5:$I$53,G450),H450),H450)</f>
        <v>Health Care Support Services</v>
      </c>
      <c r="J450" s="1" t="str">
        <f aca="false">IFERROR(INDEX(MAP!$F$7:$F$74,MATCH(TRIM(I450),MAP!$E$7:$E$74,0)),"UNMAPPED")</f>
        <v>Health care support services</v>
      </c>
      <c r="K450" s="1" t="str">
        <f aca="false">IFERROR(INDEX(MAP!$G$7:$G$74,MATCH(TRIM(I450),MAP!$E$7:$E$74,0)),"UNMAPPED")</f>
        <v>7e</v>
      </c>
      <c r="L450" s="49" t="n">
        <f aca="false">STACK!G450</f>
        <v>46160</v>
      </c>
      <c r="M450" s="59" t="n">
        <f aca="false">IF(G450&gt;0,IF(INDEX(CONFIRM!$G$5:$G$53,G450)&lt;&gt;"",INDEX(CONFIRM!$G$5:$G$53,G450),IF(ISNUMBER(L450),L450,IFERROR(DATEVALUE(L450),""))),IF(ISNUMBER(L450),L450,IFERROR(DATEVALUE(L450),"")))</f>
        <v>46160</v>
      </c>
      <c r="N450" s="1" t="str">
        <f aca="false">IF(M450="","Check",IF(AND(M450&gt;=INPUTS!$C$6,M450&lt;=INPUTS!$C$7),"Yes","No"))</f>
        <v>Yes</v>
      </c>
      <c r="O450" s="48" t="str">
        <f aca="false">STACK!H450</f>
        <v>Chaplain</v>
      </c>
      <c r="P450" s="1" t="str">
        <f aca="false">IF(G450&gt;0,IF(INDEX(CONFIRM!$H$5:$H$53,G450)&lt;&gt;"",INDEX(CONFIRM!$H$5:$H$53,G450),IFERROR(INDEX(MAP!$B$7:$B$156,MATCH(TRIM(O450),MAP!$A$7:$A$156,0)),"UNMAPPED")),IFERROR(INDEX(MAP!$B$7:$B$156,MATCH(TRIM(O450),MAP!$A$7:$A$156,0)),"UNMAPPED"))</f>
        <v>Chaplain</v>
      </c>
      <c r="Q450" s="48" t="n">
        <f aca="false">STACK!I450</f>
        <v>2</v>
      </c>
      <c r="R450" s="60" t="n">
        <f aca="false">IF(G450&gt;0,IF(INDEX(CONFIRM!$F$5:$F$53,G450)&lt;&gt;"",INDEX(CONFIRM!$F$5:$F$53,G450),IF(ISNUMBER(Q450),Q450,IF(Q450="","",IFERROR(VALUE(TRIM(SUBSTITUTE(SUBSTITUTE(LOWER(Q450),"hrs",""),"hr",""))),"")))),IF(ISNUMBER(Q450),Q450,IF(Q450="","",IFERROR(VALUE(TRIM(SUBSTITUTE(SUBSTITUTE(LOWER(Q450),"hrs",""),"hr",""))),""))))</f>
        <v>2</v>
      </c>
      <c r="S450" s="57" t="n">
        <f aca="false">IFERROR(INDEX(RATES!$E$6:$E$28,MATCH(P450,RATES!$A$6:$A$28,0)),0)</f>
        <v>39.835</v>
      </c>
      <c r="T450" s="61" t="n">
        <f aca="false">IF(ISNUMBER(R450),R450,0)*S450</f>
        <v>79.67</v>
      </c>
      <c r="U450" s="61" t="n">
        <f aca="false">T450*INDEX(INPUTS!$H$10:$H$14,MATCH(B450,INPUTS!$A$10:$A$14,0))</f>
        <v>14.73895</v>
      </c>
      <c r="V450" s="61" t="n">
        <f aca="false">N(STACK!K450)</f>
        <v>30</v>
      </c>
      <c r="W450" s="61" t="n">
        <f aca="false">T450+U450+V450</f>
        <v>124.40895</v>
      </c>
      <c r="X450" s="61" t="n">
        <f aca="false">N(STACK!L450)</f>
        <v>0</v>
      </c>
      <c r="Y450" s="61" t="n">
        <f aca="false">W450-X450</f>
        <v>124.40895</v>
      </c>
      <c r="Z450" s="1" t="n">
        <f aca="false">N(STACK!J450)</f>
        <v>18</v>
      </c>
      <c r="AA450" s="1" t="str">
        <f aca="false">TRIM(IF(D450="UNMAPPED","Program not mapped. ","")&amp;IF(OR(K450="UNMAPPED",K450="UNASSIGNED"),"Category needs review. ","")&amp;IF(P450="UNMAPPED","Title not mapped. ","")&amp;IF(AND(P450&lt;&gt;"No staff time",R450=""),"Missing hours. ","")&amp;IF(M450="","Date not readable. ","")&amp;IF(N450="No","Outside fiscal year. ","")&amp;IF(AND(F450="Event",ISNUMBER(R450)),IF(R450&gt;12,"Event hours look high. ",""),"")&amp;IF(G450&gt;0,"See CONFIRM sheet.",""))</f>
        <v/>
      </c>
      <c r="AB450" s="1" t="n">
        <f aca="false">IF(N450="No",0,IF(REVIEW!O450=0,0,IF(G450&gt;0,IF(INDEX(CONFIRM!$J$5:$J$53,G450)&lt;&gt;"",INDEX(CONFIRM!$J$5:$J$53,G450),1),1)))</f>
        <v>1</v>
      </c>
      <c r="AC450" s="1" t="n">
        <f aca="false">IF(AB450=1,IF(COUNTIFS($B$5:B450,B450,$D$5:D450,D450,$AB$5:AB450,1)=1,1,0),0)</f>
        <v>0</v>
      </c>
    </row>
    <row r="451" customFormat="false" ht="15" hidden="false" customHeight="false" outlineLevel="0" collapsed="false">
      <c r="A451" s="48" t="str">
        <f aca="false">STACK!A451</f>
        <v>KVMC-0447</v>
      </c>
      <c r="B451" s="48" t="str">
        <f aca="false">STACK!B451</f>
        <v>KVMC</v>
      </c>
      <c r="C451" s="48" t="str">
        <f aca="false">STACK!E451</f>
        <v>Grief Support Group</v>
      </c>
      <c r="D451" s="1" t="str">
        <f aca="false">IFERROR(INDEX(MAP!$J$7:$J$101,MATCH(TRIM(C451),MAP!$I$7:$I$101,0)),"UNMAPPED")</f>
        <v>Grief Support Group</v>
      </c>
      <c r="E451" s="1" t="str">
        <f aca="false">IFERROR(INDEX(MAP!$K$7:$K$101,MATCH(TRIM(C451),MAP!$I$7:$I$101,0)),"")</f>
        <v>Behavioral health</v>
      </c>
      <c r="F451" s="1" t="str">
        <f aca="false">IFERROR(INDEX(MAP!$L$7:$L$101,MATCH(TRIM(C451),MAP!$I$7:$I$101,0)),"")</f>
        <v>Event</v>
      </c>
      <c r="G451" s="1" t="n">
        <f aca="false">IFERROR(MATCH(A451,CONFIRM!$A$5:$A$53,0),0)</f>
        <v>0</v>
      </c>
      <c r="H451" s="48" t="str">
        <f aca="false">STACK!F451</f>
        <v>Health Care Support Services</v>
      </c>
      <c r="I451" s="1" t="str">
        <f aca="false">IF(G451&gt;0,IF(INDEX(CONFIRM!$I$5:$I$53,G451)&lt;&gt;"",INDEX(CONFIRM!$I$5:$I$53,G451),H451),H451)</f>
        <v>Health Care Support Services</v>
      </c>
      <c r="J451" s="1" t="str">
        <f aca="false">IFERROR(INDEX(MAP!$F$7:$F$74,MATCH(TRIM(I451),MAP!$E$7:$E$74,0)),"UNMAPPED")</f>
        <v>Health care support services</v>
      </c>
      <c r="K451" s="1" t="str">
        <f aca="false">IFERROR(INDEX(MAP!$G$7:$G$74,MATCH(TRIM(I451),MAP!$E$7:$E$74,0)),"UNMAPPED")</f>
        <v>7e</v>
      </c>
      <c r="L451" s="49" t="n">
        <f aca="false">STACK!G451</f>
        <v>46160</v>
      </c>
      <c r="M451" s="59" t="n">
        <f aca="false">IF(G451&gt;0,IF(INDEX(CONFIRM!$G$5:$G$53,G451)&lt;&gt;"",INDEX(CONFIRM!$G$5:$G$53,G451),IF(ISNUMBER(L451),L451,IFERROR(DATEVALUE(L451),""))),IF(ISNUMBER(L451),L451,IFERROR(DATEVALUE(L451),"")))</f>
        <v>46160</v>
      </c>
      <c r="N451" s="1" t="str">
        <f aca="false">IF(M451="","Check",IF(AND(M451&gt;=INPUTS!$C$6,M451&lt;=INPUTS!$C$7),"Yes","No"))</f>
        <v>Yes</v>
      </c>
      <c r="O451" s="48" t="str">
        <f aca="false">STACK!H451</f>
        <v>Social Worker</v>
      </c>
      <c r="P451" s="1" t="str">
        <f aca="false">IF(G451&gt;0,IF(INDEX(CONFIRM!$H$5:$H$53,G451)&lt;&gt;"",INDEX(CONFIRM!$H$5:$H$53,G451),IFERROR(INDEX(MAP!$B$7:$B$156,MATCH(TRIM(O451),MAP!$A$7:$A$156,0)),"UNMAPPED")),IFERROR(INDEX(MAP!$B$7:$B$156,MATCH(TRIM(O451),MAP!$A$7:$A$156,0)),"UNMAPPED"))</f>
        <v>Social Worker</v>
      </c>
      <c r="Q451" s="48" t="n">
        <f aca="false">STACK!I451</f>
        <v>1.75</v>
      </c>
      <c r="R451" s="60" t="n">
        <f aca="false">IF(G451&gt;0,IF(INDEX(CONFIRM!$F$5:$F$53,G451)&lt;&gt;"",INDEX(CONFIRM!$F$5:$F$53,G451),IF(ISNUMBER(Q451),Q451,IF(Q451="","",IFERROR(VALUE(TRIM(SUBSTITUTE(SUBSTITUTE(LOWER(Q451),"hrs",""),"hr",""))),"")))),IF(ISNUMBER(Q451),Q451,IF(Q451="","",IFERROR(VALUE(TRIM(SUBSTITUTE(SUBSTITUTE(LOWER(Q451),"hrs",""),"hr",""))),""))))</f>
        <v>1.75</v>
      </c>
      <c r="S451" s="57" t="n">
        <f aca="false">IFERROR(INDEX(RATES!$E$6:$E$28,MATCH(P451,RATES!$A$6:$A$28,0)),0)</f>
        <v>45.6175</v>
      </c>
      <c r="T451" s="61" t="n">
        <f aca="false">IF(ISNUMBER(R451),R451,0)*S451</f>
        <v>79.830625</v>
      </c>
      <c r="U451" s="61" t="n">
        <f aca="false">T451*INDEX(INPUTS!$H$10:$H$14,MATCH(B451,INPUTS!$A$10:$A$14,0))</f>
        <v>14.768665625</v>
      </c>
      <c r="V451" s="61" t="n">
        <f aca="false">N(STACK!K451)</f>
        <v>0</v>
      </c>
      <c r="W451" s="61" t="n">
        <f aca="false">T451+U451+V451</f>
        <v>94.599290625</v>
      </c>
      <c r="X451" s="61" t="n">
        <f aca="false">N(STACK!L451)</f>
        <v>0</v>
      </c>
      <c r="Y451" s="61" t="n">
        <f aca="false">W451-X451</f>
        <v>94.599290625</v>
      </c>
      <c r="Z451" s="1" t="n">
        <f aca="false">N(STACK!J451)</f>
        <v>0</v>
      </c>
      <c r="AA451" s="1" t="str">
        <f aca="false">TRIM(IF(D451="UNMAPPED","Program not mapped. ","")&amp;IF(OR(K451="UNMAPPED",K451="UNASSIGNED"),"Category needs review. ","")&amp;IF(P451="UNMAPPED","Title not mapped. ","")&amp;IF(AND(P451&lt;&gt;"No staff time",R451=""),"Missing hours. ","")&amp;IF(M451="","Date not readable. ","")&amp;IF(N451="No","Outside fiscal year. ","")&amp;IF(AND(F451="Event",ISNUMBER(R451)),IF(R451&gt;12,"Event hours look high. ",""),"")&amp;IF(G451&gt;0,"See CONFIRM sheet.",""))</f>
        <v/>
      </c>
      <c r="AB451" s="1" t="n">
        <f aca="false">IF(N451="No",0,IF(REVIEW!O451=0,0,IF(G451&gt;0,IF(INDEX(CONFIRM!$J$5:$J$53,G451)&lt;&gt;"",INDEX(CONFIRM!$J$5:$J$53,G451),1),1)))</f>
        <v>1</v>
      </c>
      <c r="AC451" s="1" t="n">
        <f aca="false">IF(AB451=1,IF(COUNTIFS($B$5:B451,B451,$D$5:D451,D451,$AB$5:AB451,1)=1,1,0),0)</f>
        <v>0</v>
      </c>
    </row>
    <row r="452" customFormat="false" ht="15" hidden="false" customHeight="false" outlineLevel="0" collapsed="false">
      <c r="A452" s="48" t="str">
        <f aca="false">STACK!A452</f>
        <v>KVMC-0448</v>
      </c>
      <c r="B452" s="48" t="str">
        <f aca="false">STACK!B452</f>
        <v>KVMC</v>
      </c>
      <c r="C452" s="48" t="str">
        <f aca="false">STACK!E452</f>
        <v>Youth Health Careers Pathway</v>
      </c>
      <c r="D452" s="1" t="str">
        <f aca="false">IFERROR(INDEX(MAP!$J$7:$J$101,MATCH(TRIM(C452),MAP!$I$7:$I$101,0)),"UNMAPPED")</f>
        <v>Youth Health Careers Pathway</v>
      </c>
      <c r="E452" s="1" t="str">
        <f aca="false">IFERROR(INDEX(MAP!$K$7:$K$101,MATCH(TRIM(C452),MAP!$I$7:$I$101,0)),"")</f>
        <v>Health workforce</v>
      </c>
      <c r="F452" s="1" t="str">
        <f aca="false">IFERROR(INDEX(MAP!$L$7:$L$101,MATCH(TRIM(C452),MAP!$I$7:$I$101,0)),"")</f>
        <v>Event</v>
      </c>
      <c r="G452" s="1" t="n">
        <f aca="false">IFERROR(MATCH(A452,CONFIRM!$A$5:$A$53,0),0)</f>
        <v>0</v>
      </c>
      <c r="H452" s="48" t="str">
        <f aca="false">STACK!F452</f>
        <v>Community Building - Workforce</v>
      </c>
      <c r="I452" s="1" t="str">
        <f aca="false">IF(G452&gt;0,IF(INDEX(CONFIRM!$I$5:$I$53,G452)&lt;&gt;"",INDEX(CONFIRM!$I$5:$I$53,G452),H452),H452)</f>
        <v>Community Building - Workforce</v>
      </c>
      <c r="J452" s="1" t="str">
        <f aca="false">IFERROR(INDEX(MAP!$F$7:$F$74,MATCH(TRIM(I452),MAP!$E$7:$E$74,0)),"UNMAPPED")</f>
        <v>Community building: workforce development</v>
      </c>
      <c r="K452" s="1" t="str">
        <f aca="false">IFERROR(INDEX(MAP!$G$7:$G$74,MATCH(TRIM(I452),MAP!$E$7:$E$74,0)),"UNMAPPED")</f>
        <v>II-8</v>
      </c>
      <c r="L452" s="49" t="n">
        <f aca="false">STACK!G452</f>
        <v>46160</v>
      </c>
      <c r="M452" s="59" t="n">
        <f aca="false">IF(G452&gt;0,IF(INDEX(CONFIRM!$G$5:$G$53,G452)&lt;&gt;"",INDEX(CONFIRM!$G$5:$G$53,G452),IF(ISNUMBER(L452),L452,IFERROR(DATEVALUE(L452),""))),IF(ISNUMBER(L452),L452,IFERROR(DATEVALUE(L452),"")))</f>
        <v>46160</v>
      </c>
      <c r="N452" s="1" t="str">
        <f aca="false">IF(M452="","Check",IF(AND(M452&gt;=INPUTS!$C$6,M452&lt;=INPUTS!$C$7),"Yes","No"))</f>
        <v>Yes</v>
      </c>
      <c r="O452" s="48" t="str">
        <f aca="false">STACK!H452</f>
        <v>Clinical Nurse Educator </v>
      </c>
      <c r="P452" s="1" t="str">
        <f aca="false">IF(G452&gt;0,IF(INDEX(CONFIRM!$H$5:$H$53,G452)&lt;&gt;"",INDEX(CONFIRM!$H$5:$H$53,G452),IFERROR(INDEX(MAP!$B$7:$B$156,MATCH(TRIM(O452),MAP!$A$7:$A$156,0)),"UNMAPPED")),IFERROR(INDEX(MAP!$B$7:$B$156,MATCH(TRIM(O452),MAP!$A$7:$A$156,0)),"UNMAPPED"))</f>
        <v>Clinical Nurse Educator</v>
      </c>
      <c r="Q452" s="48" t="n">
        <f aca="false">STACK!I452</f>
        <v>3.25</v>
      </c>
      <c r="R452" s="60" t="n">
        <f aca="false">IF(G452&gt;0,IF(INDEX(CONFIRM!$F$5:$F$53,G452)&lt;&gt;"",INDEX(CONFIRM!$F$5:$F$53,G452),IF(ISNUMBER(Q452),Q452,IF(Q452="","",IFERROR(VALUE(TRIM(SUBSTITUTE(SUBSTITUTE(LOWER(Q452),"hrs",""),"hr",""))),"")))),IF(ISNUMBER(Q452),Q452,IF(Q452="","",IFERROR(VALUE(TRIM(SUBSTITUTE(SUBSTITUTE(LOWER(Q452),"hrs",""),"hr",""))),""))))</f>
        <v>3.25</v>
      </c>
      <c r="S452" s="57" t="n">
        <f aca="false">IFERROR(INDEX(RATES!$E$6:$E$28,MATCH(P452,RATES!$A$6:$A$28,0)),0)</f>
        <v>62.965</v>
      </c>
      <c r="T452" s="61" t="n">
        <f aca="false">IF(ISNUMBER(R452),R452,0)*S452</f>
        <v>204.63625</v>
      </c>
      <c r="U452" s="61" t="n">
        <f aca="false">T452*INDEX(INPUTS!$H$10:$H$14,MATCH(B452,INPUTS!$A$10:$A$14,0))</f>
        <v>37.85770625</v>
      </c>
      <c r="V452" s="61" t="n">
        <f aca="false">N(STACK!K452)</f>
        <v>0</v>
      </c>
      <c r="W452" s="61" t="n">
        <f aca="false">T452+U452+V452</f>
        <v>242.49395625</v>
      </c>
      <c r="X452" s="61" t="n">
        <f aca="false">N(STACK!L452)</f>
        <v>0</v>
      </c>
      <c r="Y452" s="61" t="n">
        <f aca="false">W452-X452</f>
        <v>242.49395625</v>
      </c>
      <c r="Z452" s="1" t="n">
        <f aca="false">N(STACK!J452)</f>
        <v>0</v>
      </c>
      <c r="AA452" s="1" t="str">
        <f aca="false">TRIM(IF(D452="UNMAPPED","Program not mapped. ","")&amp;IF(OR(K452="UNMAPPED",K452="UNASSIGNED"),"Category needs review. ","")&amp;IF(P452="UNMAPPED","Title not mapped. ","")&amp;IF(AND(P452&lt;&gt;"No staff time",R452=""),"Missing hours. ","")&amp;IF(M452="","Date not readable. ","")&amp;IF(N452="No","Outside fiscal year. ","")&amp;IF(AND(F452="Event",ISNUMBER(R452)),IF(R452&gt;12,"Event hours look high. ",""),"")&amp;IF(G452&gt;0,"See CONFIRM sheet.",""))</f>
        <v/>
      </c>
      <c r="AB452" s="1" t="n">
        <f aca="false">IF(N452="No",0,IF(REVIEW!O452=0,0,IF(G452&gt;0,IF(INDEX(CONFIRM!$J$5:$J$53,G452)&lt;&gt;"",INDEX(CONFIRM!$J$5:$J$53,G452),1),1)))</f>
        <v>1</v>
      </c>
      <c r="AC452" s="1" t="n">
        <f aca="false">IF(AB452=1,IF(COUNTIFS($B$5:B452,B452,$D$5:D452,D452,$AB$5:AB452,1)=1,1,0),0)</f>
        <v>0</v>
      </c>
    </row>
    <row r="453" customFormat="false" ht="15" hidden="false" customHeight="false" outlineLevel="0" collapsed="false">
      <c r="A453" s="48" t="str">
        <f aca="false">STACK!A453</f>
        <v>KVMC-0449</v>
      </c>
      <c r="B453" s="48" t="str">
        <f aca="false">STACK!B453</f>
        <v>KVMC</v>
      </c>
      <c r="C453" s="48" t="str">
        <f aca="false">STACK!E453</f>
        <v>Youth Health Careers Pathway</v>
      </c>
      <c r="D453" s="1" t="str">
        <f aca="false">IFERROR(INDEX(MAP!$J$7:$J$101,MATCH(TRIM(C453),MAP!$I$7:$I$101,0)),"UNMAPPED")</f>
        <v>Youth Health Careers Pathway</v>
      </c>
      <c r="E453" s="1" t="str">
        <f aca="false">IFERROR(INDEX(MAP!$K$7:$K$101,MATCH(TRIM(C453),MAP!$I$7:$I$101,0)),"")</f>
        <v>Health workforce</v>
      </c>
      <c r="F453" s="1" t="str">
        <f aca="false">IFERROR(INDEX(MAP!$L$7:$L$101,MATCH(TRIM(C453),MAP!$I$7:$I$101,0)),"")</f>
        <v>Event</v>
      </c>
      <c r="G453" s="1" t="n">
        <f aca="false">IFERROR(MATCH(A453,CONFIRM!$A$5:$A$53,0),0)</f>
        <v>0</v>
      </c>
      <c r="H453" s="48" t="str">
        <f aca="false">STACK!F453</f>
        <v>Community Building - Workforce</v>
      </c>
      <c r="I453" s="1" t="str">
        <f aca="false">IF(G453&gt;0,IF(INDEX(CONFIRM!$I$5:$I$53,G453)&lt;&gt;"",INDEX(CONFIRM!$I$5:$I$53,G453),H453),H453)</f>
        <v>Community Building - Workforce</v>
      </c>
      <c r="J453" s="1" t="str">
        <f aca="false">IFERROR(INDEX(MAP!$F$7:$F$74,MATCH(TRIM(I453),MAP!$E$7:$E$74,0)),"UNMAPPED")</f>
        <v>Community building: workforce development</v>
      </c>
      <c r="K453" s="1" t="str">
        <f aca="false">IFERROR(INDEX(MAP!$G$7:$G$74,MATCH(TRIM(I453),MAP!$E$7:$E$74,0)),"UNMAPPED")</f>
        <v>II-8</v>
      </c>
      <c r="L453" s="49" t="n">
        <f aca="false">STACK!G453</f>
        <v>46160</v>
      </c>
      <c r="M453" s="59" t="n">
        <f aca="false">IF(G453&gt;0,IF(INDEX(CONFIRM!$G$5:$G$53,G453)&lt;&gt;"",INDEX(CONFIRM!$G$5:$G$53,G453),IF(ISNUMBER(L453),L453,IFERROR(DATEVALUE(L453),""))),IF(ISNUMBER(L453),L453,IFERROR(DATEVALUE(L453),"")))</f>
        <v>46160</v>
      </c>
      <c r="N453" s="1" t="str">
        <f aca="false">IF(M453="","Check",IF(AND(M453&gt;=INPUTS!$C$6,M453&lt;=INPUTS!$C$7),"Yes","No"))</f>
        <v>Yes</v>
      </c>
      <c r="O453" s="48" t="str">
        <f aca="false">STACK!H453</f>
        <v>Program Coordinator</v>
      </c>
      <c r="P453" s="1" t="str">
        <f aca="false">IF(G453&gt;0,IF(INDEX(CONFIRM!$H$5:$H$53,G453)&lt;&gt;"",INDEX(CONFIRM!$H$5:$H$53,G453),IFERROR(INDEX(MAP!$B$7:$B$156,MATCH(TRIM(O453),MAP!$A$7:$A$156,0)),"UNMAPPED")),IFERROR(INDEX(MAP!$B$7:$B$156,MATCH(TRIM(O453),MAP!$A$7:$A$156,0)),"UNMAPPED"))</f>
        <v>Program Coordinator</v>
      </c>
      <c r="Q453" s="48" t="n">
        <f aca="false">STACK!I453</f>
        <v>7.25</v>
      </c>
      <c r="R453" s="60" t="n">
        <f aca="false">IF(G453&gt;0,IF(INDEX(CONFIRM!$F$5:$F$53,G453)&lt;&gt;"",INDEX(CONFIRM!$F$5:$F$53,G453),IF(ISNUMBER(Q453),Q453,IF(Q453="","",IFERROR(VALUE(TRIM(SUBSTITUTE(SUBSTITUTE(LOWER(Q453),"hrs",""),"hr",""))),"")))),IF(ISNUMBER(Q453),Q453,IF(Q453="","",IFERROR(VALUE(TRIM(SUBSTITUTE(SUBSTITUTE(LOWER(Q453),"hrs",""),"hr",""))),""))))</f>
        <v>7.25</v>
      </c>
      <c r="S453" s="57" t="n">
        <f aca="false">IFERROR(INDEX(RATES!$E$6:$E$28,MATCH(P453,RATES!$A$6:$A$28,0)),0)</f>
        <v>35.3375</v>
      </c>
      <c r="T453" s="61" t="n">
        <f aca="false">IF(ISNUMBER(R453),R453,0)*S453</f>
        <v>256.196875</v>
      </c>
      <c r="U453" s="61" t="n">
        <f aca="false">T453*INDEX(INPUTS!$H$10:$H$14,MATCH(B453,INPUTS!$A$10:$A$14,0))</f>
        <v>47.396421875</v>
      </c>
      <c r="V453" s="61" t="n">
        <f aca="false">N(STACK!K453)</f>
        <v>1705</v>
      </c>
      <c r="W453" s="61" t="n">
        <f aca="false">T453+U453+V453</f>
        <v>2008.593296875</v>
      </c>
      <c r="X453" s="61" t="n">
        <f aca="false">N(STACK!L453)</f>
        <v>0</v>
      </c>
      <c r="Y453" s="61" t="n">
        <f aca="false">W453-X453</f>
        <v>2008.593296875</v>
      </c>
      <c r="Z453" s="1" t="n">
        <f aca="false">N(STACK!J453)</f>
        <v>25</v>
      </c>
      <c r="AA453" s="1" t="str">
        <f aca="false">TRIM(IF(D453="UNMAPPED","Program not mapped. ","")&amp;IF(OR(K453="UNMAPPED",K453="UNASSIGNED"),"Category needs review. ","")&amp;IF(P453="UNMAPPED","Title not mapped. ","")&amp;IF(AND(P453&lt;&gt;"No staff time",R453=""),"Missing hours. ","")&amp;IF(M453="","Date not readable. ","")&amp;IF(N453="No","Outside fiscal year. ","")&amp;IF(AND(F453="Event",ISNUMBER(R453)),IF(R453&gt;12,"Event hours look high. ",""),"")&amp;IF(G453&gt;0,"See CONFIRM sheet.",""))</f>
        <v/>
      </c>
      <c r="AB453" s="1" t="n">
        <f aca="false">IF(N453="No",0,IF(REVIEW!O453=0,0,IF(G453&gt;0,IF(INDEX(CONFIRM!$J$5:$J$53,G453)&lt;&gt;"",INDEX(CONFIRM!$J$5:$J$53,G453),1),1)))</f>
        <v>1</v>
      </c>
      <c r="AC453" s="1" t="n">
        <f aca="false">IF(AB453=1,IF(COUNTIFS($B$5:B453,B453,$D$5:D453,D453,$AB$5:AB453,1)=1,1,0),0)</f>
        <v>0</v>
      </c>
    </row>
    <row r="454" customFormat="false" ht="15" hidden="false" customHeight="false" outlineLevel="0" collapsed="false">
      <c r="A454" s="48" t="str">
        <f aca="false">STACK!A454</f>
        <v>KVMC-0450</v>
      </c>
      <c r="B454" s="48" t="str">
        <f aca="false">STACK!B454</f>
        <v>KVMC</v>
      </c>
      <c r="C454" s="48" t="str">
        <f aca="false">STACK!E454</f>
        <v>Diabetes Prevention Classes</v>
      </c>
      <c r="D454" s="1" t="str">
        <f aca="false">IFERROR(INDEX(MAP!$J$7:$J$101,MATCH(TRIM(C454),MAP!$I$7:$I$101,0)),"UNMAPPED")</f>
        <v>Diabetes Prevention Classes</v>
      </c>
      <c r="E454" s="1" t="str">
        <f aca="false">IFERROR(INDEX(MAP!$K$7:$K$101,MATCH(TRIM(C454),MAP!$I$7:$I$101,0)),"")</f>
        <v>Chronic disease prevention</v>
      </c>
      <c r="F454" s="1" t="str">
        <f aca="false">IFERROR(INDEX(MAP!$L$7:$L$101,MATCH(TRIM(C454),MAP!$I$7:$I$101,0)),"")</f>
        <v>Event</v>
      </c>
      <c r="G454" s="1" t="n">
        <f aca="false">IFERROR(MATCH(A454,CONFIRM!$A$5:$A$53,0),0)</f>
        <v>0</v>
      </c>
      <c r="H454" s="48" t="str">
        <f aca="false">STACK!F454</f>
        <v>Community Health Education</v>
      </c>
      <c r="I454" s="1" t="str">
        <f aca="false">IF(G454&gt;0,IF(INDEX(CONFIRM!$I$5:$I$53,G454)&lt;&gt;"",INDEX(CONFIRM!$I$5:$I$53,G454),H454),H454)</f>
        <v>Community Health Education</v>
      </c>
      <c r="J454" s="1" t="str">
        <f aca="false">IFERROR(INDEX(MAP!$F$7:$F$74,MATCH(TRIM(I454),MAP!$E$7:$E$74,0)),"UNMAPPED")</f>
        <v>Community health education</v>
      </c>
      <c r="K454" s="1" t="str">
        <f aca="false">IFERROR(INDEX(MAP!$G$7:$G$74,MATCH(TRIM(I454),MAP!$E$7:$E$74,0)),"UNMAPPED")</f>
        <v>7e</v>
      </c>
      <c r="L454" s="49" t="n">
        <f aca="false">STACK!G454</f>
        <v>46163</v>
      </c>
      <c r="M454" s="59" t="n">
        <f aca="false">IF(G454&gt;0,IF(INDEX(CONFIRM!$G$5:$G$53,G454)&lt;&gt;"",INDEX(CONFIRM!$G$5:$G$53,G454),IF(ISNUMBER(L454),L454,IFERROR(DATEVALUE(L454),""))),IF(ISNUMBER(L454),L454,IFERROR(DATEVALUE(L454),"")))</f>
        <v>46163</v>
      </c>
      <c r="N454" s="1" t="str">
        <f aca="false">IF(M454="","Check",IF(AND(M454&gt;=INPUTS!$C$6,M454&lt;=INPUTS!$C$7),"Yes","No"))</f>
        <v>Yes</v>
      </c>
      <c r="O454" s="48" t="str">
        <f aca="false">STACK!H454</f>
        <v>Health Educator</v>
      </c>
      <c r="P454" s="1" t="str">
        <f aca="false">IF(G454&gt;0,IF(INDEX(CONFIRM!$H$5:$H$53,G454)&lt;&gt;"",INDEX(CONFIRM!$H$5:$H$53,G454),IFERROR(INDEX(MAP!$B$7:$B$156,MATCH(TRIM(O454),MAP!$A$7:$A$156,0)),"UNMAPPED")),IFERROR(INDEX(MAP!$B$7:$B$156,MATCH(TRIM(O454),MAP!$A$7:$A$156,0)),"UNMAPPED"))</f>
        <v>Health Educator</v>
      </c>
      <c r="Q454" s="48" t="n">
        <f aca="false">STACK!I454</f>
        <v>2.25</v>
      </c>
      <c r="R454" s="60" t="n">
        <f aca="false">IF(G454&gt;0,IF(INDEX(CONFIRM!$F$5:$F$53,G454)&lt;&gt;"",INDEX(CONFIRM!$F$5:$F$53,G454),IF(ISNUMBER(Q454),Q454,IF(Q454="","",IFERROR(VALUE(TRIM(SUBSTITUTE(SUBSTITUTE(LOWER(Q454),"hrs",""),"hr",""))),"")))),IF(ISNUMBER(Q454),Q454,IF(Q454="","",IFERROR(VALUE(TRIM(SUBSTITUTE(SUBSTITUTE(LOWER(Q454),"hrs",""),"hr",""))),""))))</f>
        <v>2.25</v>
      </c>
      <c r="S454" s="57" t="n">
        <f aca="false">IFERROR(INDEX(RATES!$E$6:$E$28,MATCH(P454,RATES!$A$6:$A$28,0)),0)</f>
        <v>37.265</v>
      </c>
      <c r="T454" s="61" t="n">
        <f aca="false">IF(ISNUMBER(R454),R454,0)*S454</f>
        <v>83.84625</v>
      </c>
      <c r="U454" s="61" t="n">
        <f aca="false">T454*INDEX(INPUTS!$H$10:$H$14,MATCH(B454,INPUTS!$A$10:$A$14,0))</f>
        <v>15.51155625</v>
      </c>
      <c r="V454" s="61" t="n">
        <f aca="false">N(STACK!K454)</f>
        <v>140</v>
      </c>
      <c r="W454" s="61" t="n">
        <f aca="false">T454+U454+V454</f>
        <v>239.35780625</v>
      </c>
      <c r="X454" s="61" t="n">
        <f aca="false">N(STACK!L454)</f>
        <v>0</v>
      </c>
      <c r="Y454" s="61" t="n">
        <f aca="false">W454-X454</f>
        <v>239.35780625</v>
      </c>
      <c r="Z454" s="1" t="n">
        <f aca="false">N(STACK!J454)</f>
        <v>17</v>
      </c>
      <c r="AA454" s="1" t="str">
        <f aca="false">TRIM(IF(D454="UNMAPPED","Program not mapped. ","")&amp;IF(OR(K454="UNMAPPED",K454="UNASSIGNED"),"Category needs review. ","")&amp;IF(P454="UNMAPPED","Title not mapped. ","")&amp;IF(AND(P454&lt;&gt;"No staff time",R454=""),"Missing hours. ","")&amp;IF(M454="","Date not readable. ","")&amp;IF(N454="No","Outside fiscal year. ","")&amp;IF(AND(F454="Event",ISNUMBER(R454)),IF(R454&gt;12,"Event hours look high. ",""),"")&amp;IF(G454&gt;0,"See CONFIRM sheet.",""))</f>
        <v/>
      </c>
      <c r="AB454" s="1" t="n">
        <f aca="false">IF(N454="No",0,IF(REVIEW!O454=0,0,IF(G454&gt;0,IF(INDEX(CONFIRM!$J$5:$J$53,G454)&lt;&gt;"",INDEX(CONFIRM!$J$5:$J$53,G454),1),1)))</f>
        <v>1</v>
      </c>
      <c r="AC454" s="1" t="n">
        <f aca="false">IF(AB454=1,IF(COUNTIFS($B$5:B454,B454,$D$5:D454,D454,$AB$5:AB454,1)=1,1,0),0)</f>
        <v>0</v>
      </c>
    </row>
    <row r="455" customFormat="false" ht="15" hidden="false" customHeight="false" outlineLevel="0" collapsed="false">
      <c r="A455" s="48" t="str">
        <f aca="false">STACK!A455</f>
        <v>KVMC-0451</v>
      </c>
      <c r="B455" s="48" t="str">
        <f aca="false">STACK!B455</f>
        <v>KVMC</v>
      </c>
      <c r="C455" s="48" t="str">
        <f aca="false">STACK!E455</f>
        <v>Diabetes Prevention Classes</v>
      </c>
      <c r="D455" s="1" t="str">
        <f aca="false">IFERROR(INDEX(MAP!$J$7:$J$101,MATCH(TRIM(C455),MAP!$I$7:$I$101,0)),"UNMAPPED")</f>
        <v>Diabetes Prevention Classes</v>
      </c>
      <c r="E455" s="1" t="str">
        <f aca="false">IFERROR(INDEX(MAP!$K$7:$K$101,MATCH(TRIM(C455),MAP!$I$7:$I$101,0)),"")</f>
        <v>Chronic disease prevention</v>
      </c>
      <c r="F455" s="1" t="str">
        <f aca="false">IFERROR(INDEX(MAP!$L$7:$L$101,MATCH(TRIM(C455),MAP!$I$7:$I$101,0)),"")</f>
        <v>Event</v>
      </c>
      <c r="G455" s="1" t="n">
        <f aca="false">IFERROR(MATCH(A455,CONFIRM!$A$5:$A$53,0),0)</f>
        <v>0</v>
      </c>
      <c r="H455" s="48" t="str">
        <f aca="false">STACK!F455</f>
        <v>Community Health Education</v>
      </c>
      <c r="I455" s="1" t="str">
        <f aca="false">IF(G455&gt;0,IF(INDEX(CONFIRM!$I$5:$I$53,G455)&lt;&gt;"",INDEX(CONFIRM!$I$5:$I$53,G455),H455),H455)</f>
        <v>Community Health Education</v>
      </c>
      <c r="J455" s="1" t="str">
        <f aca="false">IFERROR(INDEX(MAP!$F$7:$F$74,MATCH(TRIM(I455),MAP!$E$7:$E$74,0)),"UNMAPPED")</f>
        <v>Community health education</v>
      </c>
      <c r="K455" s="1" t="str">
        <f aca="false">IFERROR(INDEX(MAP!$G$7:$G$74,MATCH(TRIM(I455),MAP!$E$7:$E$74,0)),"UNMAPPED")</f>
        <v>7e</v>
      </c>
      <c r="L455" s="49" t="n">
        <f aca="false">STACK!G455</f>
        <v>46163</v>
      </c>
      <c r="M455" s="59" t="n">
        <f aca="false">IF(G455&gt;0,IF(INDEX(CONFIRM!$G$5:$G$53,G455)&lt;&gt;"",INDEX(CONFIRM!$G$5:$G$53,G455),IF(ISNUMBER(L455),L455,IFERROR(DATEVALUE(L455),""))),IF(ISNUMBER(L455),L455,IFERROR(DATEVALUE(L455),"")))</f>
        <v>46163</v>
      </c>
      <c r="N455" s="1" t="str">
        <f aca="false">IF(M455="","Check",IF(AND(M455&gt;=INPUTS!$C$6,M455&lt;=INPUTS!$C$7),"Yes","No"))</f>
        <v>Yes</v>
      </c>
      <c r="O455" s="48" t="str">
        <f aca="false">STACK!H455</f>
        <v>Dietitian</v>
      </c>
      <c r="P455" s="1" t="str">
        <f aca="false">IF(G455&gt;0,IF(INDEX(CONFIRM!$H$5:$H$53,G455)&lt;&gt;"",INDEX(CONFIRM!$H$5:$H$53,G455),IFERROR(INDEX(MAP!$B$7:$B$156,MATCH(TRIM(O455),MAP!$A$7:$A$156,0)),"UNMAPPED")),IFERROR(INDEX(MAP!$B$7:$B$156,MATCH(TRIM(O455),MAP!$A$7:$A$156,0)),"UNMAPPED"))</f>
        <v>Registered Dietitian</v>
      </c>
      <c r="Q455" s="48" t="n">
        <f aca="false">STACK!I455</f>
        <v>2</v>
      </c>
      <c r="R455" s="60" t="n">
        <f aca="false">IF(G455&gt;0,IF(INDEX(CONFIRM!$F$5:$F$53,G455)&lt;&gt;"",INDEX(CONFIRM!$F$5:$F$53,G455),IF(ISNUMBER(Q455),Q455,IF(Q455="","",IFERROR(VALUE(TRIM(SUBSTITUTE(SUBSTITUTE(LOWER(Q455),"hrs",""),"hr",""))),"")))),IF(ISNUMBER(Q455),Q455,IF(Q455="","",IFERROR(VALUE(TRIM(SUBSTITUTE(SUBSTITUTE(LOWER(Q455),"hrs",""),"hr",""))),""))))</f>
        <v>2</v>
      </c>
      <c r="S455" s="57" t="n">
        <f aca="false">IFERROR(INDEX(RATES!$E$6:$E$28,MATCH(P455,RATES!$A$6:$A$28,0)),0)</f>
        <v>46.9025</v>
      </c>
      <c r="T455" s="61" t="n">
        <f aca="false">IF(ISNUMBER(R455),R455,0)*S455</f>
        <v>93.805</v>
      </c>
      <c r="U455" s="61" t="n">
        <f aca="false">T455*INDEX(INPUTS!$H$10:$H$14,MATCH(B455,INPUTS!$A$10:$A$14,0))</f>
        <v>17.353925</v>
      </c>
      <c r="V455" s="61" t="n">
        <f aca="false">N(STACK!K455)</f>
        <v>0</v>
      </c>
      <c r="W455" s="61" t="n">
        <f aca="false">T455+U455+V455</f>
        <v>111.158925</v>
      </c>
      <c r="X455" s="61" t="n">
        <f aca="false">N(STACK!L455)</f>
        <v>0</v>
      </c>
      <c r="Y455" s="61" t="n">
        <f aca="false">W455-X455</f>
        <v>111.158925</v>
      </c>
      <c r="Z455" s="1" t="n">
        <f aca="false">N(STACK!J455)</f>
        <v>0</v>
      </c>
      <c r="AA455" s="1" t="str">
        <f aca="false">TRIM(IF(D455="UNMAPPED","Program not mapped. ","")&amp;IF(OR(K455="UNMAPPED",K455="UNASSIGNED"),"Category needs review. ","")&amp;IF(P455="UNMAPPED","Title not mapped. ","")&amp;IF(AND(P455&lt;&gt;"No staff time",R455=""),"Missing hours. ","")&amp;IF(M455="","Date not readable. ","")&amp;IF(N455="No","Outside fiscal year. ","")&amp;IF(AND(F455="Event",ISNUMBER(R455)),IF(R455&gt;12,"Event hours look high. ",""),"")&amp;IF(G455&gt;0,"See CONFIRM sheet.",""))</f>
        <v/>
      </c>
      <c r="AB455" s="1" t="n">
        <f aca="false">IF(N455="No",0,IF(REVIEW!O455=0,0,IF(G455&gt;0,IF(INDEX(CONFIRM!$J$5:$J$53,G455)&lt;&gt;"",INDEX(CONFIRM!$J$5:$J$53,G455),1),1)))</f>
        <v>1</v>
      </c>
      <c r="AC455" s="1" t="n">
        <f aca="false">IF(AB455=1,IF(COUNTIFS($B$5:B455,B455,$D$5:D455,D455,$AB$5:AB455,1)=1,1,0),0)</f>
        <v>0</v>
      </c>
    </row>
    <row r="456" customFormat="false" ht="15" hidden="false" customHeight="false" outlineLevel="0" collapsed="false">
      <c r="A456" s="48" t="str">
        <f aca="false">STACK!A456</f>
        <v>KVMC-0452</v>
      </c>
      <c r="B456" s="48" t="str">
        <f aca="false">STACK!B456</f>
        <v>KVMC</v>
      </c>
      <c r="C456" s="48" t="str">
        <f aca="false">STACK!E456</f>
        <v>Tobacco Cessation Classes</v>
      </c>
      <c r="D456" s="1" t="str">
        <f aca="false">IFERROR(INDEX(MAP!$J$7:$J$101,MATCH(TRIM(C456),MAP!$I$7:$I$101,0)),"UNMAPPED")</f>
        <v>Tobacco Cessation Classes</v>
      </c>
      <c r="E456" s="1" t="str">
        <f aca="false">IFERROR(INDEX(MAP!$K$7:$K$101,MATCH(TRIM(C456),MAP!$I$7:$I$101,0)),"")</f>
        <v>Chronic disease prevention</v>
      </c>
      <c r="F456" s="1" t="str">
        <f aca="false">IFERROR(INDEX(MAP!$L$7:$L$101,MATCH(TRIM(C456),MAP!$I$7:$I$101,0)),"")</f>
        <v>Event</v>
      </c>
      <c r="G456" s="1" t="n">
        <f aca="false">IFERROR(MATCH(A456,CONFIRM!$A$5:$A$53,0),0)</f>
        <v>0</v>
      </c>
      <c r="H456" s="48" t="str">
        <f aca="false">STACK!F456</f>
        <v>Community Health Education</v>
      </c>
      <c r="I456" s="1" t="str">
        <f aca="false">IF(G456&gt;0,IF(INDEX(CONFIRM!$I$5:$I$53,G456)&lt;&gt;"",INDEX(CONFIRM!$I$5:$I$53,G456),H456),H456)</f>
        <v>Community Health Education</v>
      </c>
      <c r="J456" s="1" t="str">
        <f aca="false">IFERROR(INDEX(MAP!$F$7:$F$74,MATCH(TRIM(I456),MAP!$E$7:$E$74,0)),"UNMAPPED")</f>
        <v>Community health education</v>
      </c>
      <c r="K456" s="1" t="str">
        <f aca="false">IFERROR(INDEX(MAP!$G$7:$G$74,MATCH(TRIM(I456),MAP!$E$7:$E$74,0)),"UNMAPPED")</f>
        <v>7e</v>
      </c>
      <c r="L456" s="49" t="n">
        <f aca="false">STACK!G456</f>
        <v>46164</v>
      </c>
      <c r="M456" s="59" t="n">
        <f aca="false">IF(G456&gt;0,IF(INDEX(CONFIRM!$G$5:$G$53,G456)&lt;&gt;"",INDEX(CONFIRM!$G$5:$G$53,G456),IF(ISNUMBER(L456),L456,IFERROR(DATEVALUE(L456),""))),IF(ISNUMBER(L456),L456,IFERROR(DATEVALUE(L456),"")))</f>
        <v>46164</v>
      </c>
      <c r="N456" s="1" t="str">
        <f aca="false">IF(M456="","Check",IF(AND(M456&gt;=INPUTS!$C$6,M456&lt;=INPUTS!$C$7),"Yes","No"))</f>
        <v>Yes</v>
      </c>
      <c r="O456" s="48" t="str">
        <f aca="false">STACK!H456</f>
        <v>Phys Therapist</v>
      </c>
      <c r="P456" s="1" t="str">
        <f aca="false">IF(G456&gt;0,IF(INDEX(CONFIRM!$H$5:$H$53,G456)&lt;&gt;"",INDEX(CONFIRM!$H$5:$H$53,G456),IFERROR(INDEX(MAP!$B$7:$B$156,MATCH(TRIM(O456),MAP!$A$7:$A$156,0)),"UNMAPPED")),IFERROR(INDEX(MAP!$B$7:$B$156,MATCH(TRIM(O456),MAP!$A$7:$A$156,0)),"UNMAPPED"))</f>
        <v>Licensed Therapist</v>
      </c>
      <c r="Q456" s="48" t="n">
        <f aca="false">STACK!I456</f>
        <v>2</v>
      </c>
      <c r="R456" s="60" t="n">
        <f aca="false">IF(G456&gt;0,IF(INDEX(CONFIRM!$F$5:$F$53,G456)&lt;&gt;"",INDEX(CONFIRM!$F$5:$F$53,G456),IF(ISNUMBER(Q456),Q456,IF(Q456="","",IFERROR(VALUE(TRIM(SUBSTITUTE(SUBSTITUTE(LOWER(Q456),"hrs",""),"hr",""))),"")))),IF(ISNUMBER(Q456),Q456,IF(Q456="","",IFERROR(VALUE(TRIM(SUBSTITUTE(SUBSTITUTE(LOWER(Q456),"hrs",""),"hr",""))),""))))</f>
        <v>2</v>
      </c>
      <c r="S456" s="57" t="n">
        <f aca="false">IFERROR(INDEX(RATES!$E$6:$E$28,MATCH(P456,RATES!$A$6:$A$28,0)),0)</f>
        <v>53.97</v>
      </c>
      <c r="T456" s="61" t="n">
        <f aca="false">IF(ISNUMBER(R456),R456,0)*S456</f>
        <v>107.94</v>
      </c>
      <c r="U456" s="61" t="n">
        <f aca="false">T456*INDEX(INPUTS!$H$10:$H$14,MATCH(B456,INPUTS!$A$10:$A$14,0))</f>
        <v>19.9689</v>
      </c>
      <c r="V456" s="61" t="n">
        <f aca="false">N(STACK!K456)</f>
        <v>120</v>
      </c>
      <c r="W456" s="61" t="n">
        <f aca="false">T456+U456+V456</f>
        <v>247.9089</v>
      </c>
      <c r="X456" s="61" t="n">
        <f aca="false">N(STACK!L456)</f>
        <v>0</v>
      </c>
      <c r="Y456" s="61" t="n">
        <f aca="false">W456-X456</f>
        <v>247.9089</v>
      </c>
      <c r="Z456" s="1" t="n">
        <f aca="false">N(STACK!J456)</f>
        <v>7</v>
      </c>
      <c r="AA456" s="1" t="str">
        <f aca="false">TRIM(IF(D456="UNMAPPED","Program not mapped. ","")&amp;IF(OR(K456="UNMAPPED",K456="UNASSIGNED"),"Category needs review. ","")&amp;IF(P456="UNMAPPED","Title not mapped. ","")&amp;IF(AND(P456&lt;&gt;"No staff time",R456=""),"Missing hours. ","")&amp;IF(M456="","Date not readable. ","")&amp;IF(N456="No","Outside fiscal year. ","")&amp;IF(AND(F456="Event",ISNUMBER(R456)),IF(R456&gt;12,"Event hours look high. ",""),"")&amp;IF(G456&gt;0,"See CONFIRM sheet.",""))</f>
        <v/>
      </c>
      <c r="AB456" s="1" t="n">
        <f aca="false">IF(N456="No",0,IF(REVIEW!O456=0,0,IF(G456&gt;0,IF(INDEX(CONFIRM!$J$5:$J$53,G456)&lt;&gt;"",INDEX(CONFIRM!$J$5:$J$53,G456),1),1)))</f>
        <v>1</v>
      </c>
      <c r="AC456" s="1" t="n">
        <f aca="false">IF(AB456=1,IF(COUNTIFS($B$5:B456,B456,$D$5:D456,D456,$AB$5:AB456,1)=1,1,0),0)</f>
        <v>0</v>
      </c>
    </row>
    <row r="457" customFormat="false" ht="15" hidden="false" customHeight="false" outlineLevel="0" collapsed="false">
      <c r="A457" s="48" t="str">
        <f aca="false">STACK!A457</f>
        <v>KVMC-0453</v>
      </c>
      <c r="B457" s="48" t="str">
        <f aca="false">STACK!B457</f>
        <v>KVMC</v>
      </c>
      <c r="C457" s="48" t="str">
        <f aca="false">STACK!E457</f>
        <v>Childbirth and Newborn Care Classes</v>
      </c>
      <c r="D457" s="1" t="str">
        <f aca="false">IFERROR(INDEX(MAP!$J$7:$J$101,MATCH(TRIM(C457),MAP!$I$7:$I$101,0)),"UNMAPPED")</f>
        <v>Childbirth and Newborn Care Classes</v>
      </c>
      <c r="E457" s="1" t="str">
        <f aca="false">IFERROR(INDEX(MAP!$K$7:$K$101,MATCH(TRIM(C457),MAP!$I$7:$I$101,0)),"")</f>
        <v>Maternal and child health</v>
      </c>
      <c r="F457" s="1" t="str">
        <f aca="false">IFERROR(INDEX(MAP!$L$7:$L$101,MATCH(TRIM(C457),MAP!$I$7:$I$101,0)),"")</f>
        <v>Event</v>
      </c>
      <c r="G457" s="1" t="n">
        <f aca="false">IFERROR(MATCH(A457,CONFIRM!$A$5:$A$53,0),0)</f>
        <v>0</v>
      </c>
      <c r="H457" s="48" t="str">
        <f aca="false">STACK!F457</f>
        <v>Community Health Education</v>
      </c>
      <c r="I457" s="1" t="str">
        <f aca="false">IF(G457&gt;0,IF(INDEX(CONFIRM!$I$5:$I$53,G457)&lt;&gt;"",INDEX(CONFIRM!$I$5:$I$53,G457),H457),H457)</f>
        <v>Community Health Education</v>
      </c>
      <c r="J457" s="1" t="str">
        <f aca="false">IFERROR(INDEX(MAP!$F$7:$F$74,MATCH(TRIM(I457),MAP!$E$7:$E$74,0)),"UNMAPPED")</f>
        <v>Community health education</v>
      </c>
      <c r="K457" s="1" t="str">
        <f aca="false">IFERROR(INDEX(MAP!$G$7:$G$74,MATCH(TRIM(I457),MAP!$E$7:$E$74,0)),"UNMAPPED")</f>
        <v>7e</v>
      </c>
      <c r="L457" s="49" t="n">
        <f aca="false">STACK!G457</f>
        <v>46168</v>
      </c>
      <c r="M457" s="59" t="n">
        <f aca="false">IF(G457&gt;0,IF(INDEX(CONFIRM!$G$5:$G$53,G457)&lt;&gt;"",INDEX(CONFIRM!$G$5:$G$53,G457),IF(ISNUMBER(L457),L457,IFERROR(DATEVALUE(L457),""))),IF(ISNUMBER(L457),L457,IFERROR(DATEVALUE(L457),"")))</f>
        <v>46168</v>
      </c>
      <c r="N457" s="1" t="str">
        <f aca="false">IF(M457="","Check",IF(AND(M457&gt;=INPUTS!$C$6,M457&lt;=INPUTS!$C$7),"Yes","No"))</f>
        <v>Yes</v>
      </c>
      <c r="O457" s="48" t="str">
        <f aca="false">STACK!H457</f>
        <v>Preceptor RN</v>
      </c>
      <c r="P457" s="1" t="str">
        <f aca="false">IF(G457&gt;0,IF(INDEX(CONFIRM!$H$5:$H$53,G457)&lt;&gt;"",INDEX(CONFIRM!$H$5:$H$53,G457),IFERROR(INDEX(MAP!$B$7:$B$156,MATCH(TRIM(O457),MAP!$A$7:$A$156,0)),"UNMAPPED")),IFERROR(INDEX(MAP!$B$7:$B$156,MATCH(TRIM(O457),MAP!$A$7:$A$156,0)),"UNMAPPED"))</f>
        <v>Clinical Nurse Educator</v>
      </c>
      <c r="Q457" s="48" t="n">
        <f aca="false">STACK!I457</f>
        <v>3.25</v>
      </c>
      <c r="R457" s="60" t="n">
        <f aca="false">IF(G457&gt;0,IF(INDEX(CONFIRM!$F$5:$F$53,G457)&lt;&gt;"",INDEX(CONFIRM!$F$5:$F$53,G457),IF(ISNUMBER(Q457),Q457,IF(Q457="","",IFERROR(VALUE(TRIM(SUBSTITUTE(SUBSTITUTE(LOWER(Q457),"hrs",""),"hr",""))),"")))),IF(ISNUMBER(Q457),Q457,IF(Q457="","",IFERROR(VALUE(TRIM(SUBSTITUTE(SUBSTITUTE(LOWER(Q457),"hrs",""),"hr",""))),""))))</f>
        <v>3.25</v>
      </c>
      <c r="S457" s="57" t="n">
        <f aca="false">IFERROR(INDEX(RATES!$E$6:$E$28,MATCH(P457,RATES!$A$6:$A$28,0)),0)</f>
        <v>62.965</v>
      </c>
      <c r="T457" s="61" t="n">
        <f aca="false">IF(ISNUMBER(R457),R457,0)*S457</f>
        <v>204.63625</v>
      </c>
      <c r="U457" s="61" t="n">
        <f aca="false">T457*INDEX(INPUTS!$H$10:$H$14,MATCH(B457,INPUTS!$A$10:$A$14,0))</f>
        <v>37.85770625</v>
      </c>
      <c r="V457" s="61" t="n">
        <f aca="false">N(STACK!K457)</f>
        <v>190</v>
      </c>
      <c r="W457" s="61" t="n">
        <f aca="false">T457+U457+V457</f>
        <v>432.49395625</v>
      </c>
      <c r="X457" s="61" t="n">
        <f aca="false">N(STACK!L457)</f>
        <v>420</v>
      </c>
      <c r="Y457" s="61" t="n">
        <f aca="false">W457-X457</f>
        <v>12.49395625</v>
      </c>
      <c r="Z457" s="1" t="n">
        <f aca="false">N(STACK!J457)</f>
        <v>21</v>
      </c>
      <c r="AA457" s="1" t="str">
        <f aca="false">TRIM(IF(D457="UNMAPPED","Program not mapped. ","")&amp;IF(OR(K457="UNMAPPED",K457="UNASSIGNED"),"Category needs review. ","")&amp;IF(P457="UNMAPPED","Title not mapped. ","")&amp;IF(AND(P457&lt;&gt;"No staff time",R457=""),"Missing hours. ","")&amp;IF(M457="","Date not readable. ","")&amp;IF(N457="No","Outside fiscal year. ","")&amp;IF(AND(F457="Event",ISNUMBER(R457)),IF(R457&gt;12,"Event hours look high. ",""),"")&amp;IF(G457&gt;0,"See CONFIRM sheet.",""))</f>
        <v/>
      </c>
      <c r="AB457" s="1" t="n">
        <f aca="false">IF(N457="No",0,IF(REVIEW!O457=0,0,IF(G457&gt;0,IF(INDEX(CONFIRM!$J$5:$J$53,G457)&lt;&gt;"",INDEX(CONFIRM!$J$5:$J$53,G457),1),1)))</f>
        <v>1</v>
      </c>
      <c r="AC457" s="1" t="n">
        <f aca="false">IF(AB457=1,IF(COUNTIFS($B$5:B457,B457,$D$5:D457,D457,$AB$5:AB457,1)=1,1,0),0)</f>
        <v>0</v>
      </c>
    </row>
    <row r="458" customFormat="false" ht="15" hidden="false" customHeight="false" outlineLevel="0" collapsed="false">
      <c r="A458" s="48" t="str">
        <f aca="false">STACK!A458</f>
        <v>KVMC-0454</v>
      </c>
      <c r="B458" s="48" t="str">
        <f aca="false">STACK!B458</f>
        <v>KVMC</v>
      </c>
      <c r="C458" s="48" t="str">
        <f aca="false">STACK!E458</f>
        <v>Mental Health First Aid Training</v>
      </c>
      <c r="D458" s="1" t="str">
        <f aca="false">IFERROR(INDEX(MAP!$J$7:$J$101,MATCH(TRIM(C458),MAP!$I$7:$I$101,0)),"UNMAPPED")</f>
        <v>Mental Health First Aid Training</v>
      </c>
      <c r="E458" s="1" t="str">
        <f aca="false">IFERROR(INDEX(MAP!$K$7:$K$101,MATCH(TRIM(C458),MAP!$I$7:$I$101,0)),"")</f>
        <v>Behavioral health</v>
      </c>
      <c r="F458" s="1" t="str">
        <f aca="false">IFERROR(INDEX(MAP!$L$7:$L$101,MATCH(TRIM(C458),MAP!$I$7:$I$101,0)),"")</f>
        <v>Event</v>
      </c>
      <c r="G458" s="1" t="n">
        <f aca="false">IFERROR(MATCH(A458,CONFIRM!$A$5:$A$53,0),0)</f>
        <v>0</v>
      </c>
      <c r="H458" s="48" t="str">
        <f aca="false">STACK!F458</f>
        <v>Community Health Education</v>
      </c>
      <c r="I458" s="1" t="str">
        <f aca="false">IF(G458&gt;0,IF(INDEX(CONFIRM!$I$5:$I$53,G458)&lt;&gt;"",INDEX(CONFIRM!$I$5:$I$53,G458),H458),H458)</f>
        <v>Community Health Education</v>
      </c>
      <c r="J458" s="1" t="str">
        <f aca="false">IFERROR(INDEX(MAP!$F$7:$F$74,MATCH(TRIM(I458),MAP!$E$7:$E$74,0)),"UNMAPPED")</f>
        <v>Community health education</v>
      </c>
      <c r="K458" s="1" t="str">
        <f aca="false">IFERROR(INDEX(MAP!$G$7:$G$74,MATCH(TRIM(I458),MAP!$E$7:$E$74,0)),"UNMAPPED")</f>
        <v>7e</v>
      </c>
      <c r="L458" s="49" t="n">
        <f aca="false">STACK!G458</f>
        <v>46168</v>
      </c>
      <c r="M458" s="59" t="n">
        <f aca="false">IF(G458&gt;0,IF(INDEX(CONFIRM!$G$5:$G$53,G458)&lt;&gt;"",INDEX(CONFIRM!$G$5:$G$53,G458),IF(ISNUMBER(L458),L458,IFERROR(DATEVALUE(L458),""))),IF(ISNUMBER(L458),L458,IFERROR(DATEVALUE(L458),"")))</f>
        <v>46168</v>
      </c>
      <c r="N458" s="1" t="str">
        <f aca="false">IF(M458="","Check",IF(AND(M458&gt;=INPUTS!$C$6,M458&lt;=INPUTS!$C$7),"Yes","No"))</f>
        <v>Yes</v>
      </c>
      <c r="O458" s="48" t="str">
        <f aca="false">STACK!H458</f>
        <v>Health Education Specialist</v>
      </c>
      <c r="P458" s="1" t="str">
        <f aca="false">IF(G458&gt;0,IF(INDEX(CONFIRM!$H$5:$H$53,G458)&lt;&gt;"",INDEX(CONFIRM!$H$5:$H$53,G458),IFERROR(INDEX(MAP!$B$7:$B$156,MATCH(TRIM(O458),MAP!$A$7:$A$156,0)),"UNMAPPED")),IFERROR(INDEX(MAP!$B$7:$B$156,MATCH(TRIM(O458),MAP!$A$7:$A$156,0)),"UNMAPPED"))</f>
        <v>Health Educator</v>
      </c>
      <c r="Q458" s="48" t="n">
        <f aca="false">STACK!I458</f>
        <v>8</v>
      </c>
      <c r="R458" s="60" t="n">
        <f aca="false">IF(G458&gt;0,IF(INDEX(CONFIRM!$F$5:$F$53,G458)&lt;&gt;"",INDEX(CONFIRM!$F$5:$F$53,G458),IF(ISNUMBER(Q458),Q458,IF(Q458="","",IFERROR(VALUE(TRIM(SUBSTITUTE(SUBSTITUTE(LOWER(Q458),"hrs",""),"hr",""))),"")))),IF(ISNUMBER(Q458),Q458,IF(Q458="","",IFERROR(VALUE(TRIM(SUBSTITUTE(SUBSTITUTE(LOWER(Q458),"hrs",""),"hr",""))),""))))</f>
        <v>8</v>
      </c>
      <c r="S458" s="57" t="n">
        <f aca="false">IFERROR(INDEX(RATES!$E$6:$E$28,MATCH(P458,RATES!$A$6:$A$28,0)),0)</f>
        <v>37.265</v>
      </c>
      <c r="T458" s="61" t="n">
        <f aca="false">IF(ISNUMBER(R458),R458,0)*S458</f>
        <v>298.12</v>
      </c>
      <c r="U458" s="61" t="n">
        <f aca="false">T458*INDEX(INPUTS!$H$10:$H$14,MATCH(B458,INPUTS!$A$10:$A$14,0))</f>
        <v>55.1522</v>
      </c>
      <c r="V458" s="61" t="n">
        <f aca="false">N(STACK!K458)</f>
        <v>0</v>
      </c>
      <c r="W458" s="61" t="n">
        <f aca="false">T458+U458+V458</f>
        <v>353.2722</v>
      </c>
      <c r="X458" s="61" t="n">
        <f aca="false">N(STACK!L458)</f>
        <v>0</v>
      </c>
      <c r="Y458" s="61" t="n">
        <f aca="false">W458-X458</f>
        <v>353.2722</v>
      </c>
      <c r="Z458" s="1" t="n">
        <f aca="false">N(STACK!J458)</f>
        <v>0</v>
      </c>
      <c r="AA458" s="1" t="str">
        <f aca="false">TRIM(IF(D458="UNMAPPED","Program not mapped. ","")&amp;IF(OR(K458="UNMAPPED",K458="UNASSIGNED"),"Category needs review. ","")&amp;IF(P458="UNMAPPED","Title not mapped. ","")&amp;IF(AND(P458&lt;&gt;"No staff time",R458=""),"Missing hours. ","")&amp;IF(M458="","Date not readable. ","")&amp;IF(N458="No","Outside fiscal year. ","")&amp;IF(AND(F458="Event",ISNUMBER(R458)),IF(R458&gt;12,"Event hours look high. ",""),"")&amp;IF(G458&gt;0,"See CONFIRM sheet.",""))</f>
        <v/>
      </c>
      <c r="AB458" s="1" t="n">
        <f aca="false">IF(N458="No",0,IF(REVIEW!O458=0,0,IF(G458&gt;0,IF(INDEX(CONFIRM!$J$5:$J$53,G458)&lt;&gt;"",INDEX(CONFIRM!$J$5:$J$53,G458),1),1)))</f>
        <v>1</v>
      </c>
      <c r="AC458" s="1" t="n">
        <f aca="false">IF(AB458=1,IF(COUNTIFS($B$5:B458,B458,$D$5:D458,D458,$AB$5:AB458,1)=1,1,0),0)</f>
        <v>0</v>
      </c>
    </row>
    <row r="459" customFormat="false" ht="15" hidden="false" customHeight="false" outlineLevel="0" collapsed="false">
      <c r="A459" s="48" t="str">
        <f aca="false">STACK!A459</f>
        <v>KVMC-0455</v>
      </c>
      <c r="B459" s="48" t="str">
        <f aca="false">STACK!B459</f>
        <v>KVMC</v>
      </c>
      <c r="C459" s="48" t="str">
        <f aca="false">STACK!E459</f>
        <v>Mental Health First Aid Training</v>
      </c>
      <c r="D459" s="1" t="str">
        <f aca="false">IFERROR(INDEX(MAP!$J$7:$J$101,MATCH(TRIM(C459),MAP!$I$7:$I$101,0)),"UNMAPPED")</f>
        <v>Mental Health First Aid Training</v>
      </c>
      <c r="E459" s="1" t="str">
        <f aca="false">IFERROR(INDEX(MAP!$K$7:$K$101,MATCH(TRIM(C459),MAP!$I$7:$I$101,0)),"")</f>
        <v>Behavioral health</v>
      </c>
      <c r="F459" s="1" t="str">
        <f aca="false">IFERROR(INDEX(MAP!$L$7:$L$101,MATCH(TRIM(C459),MAP!$I$7:$I$101,0)),"")</f>
        <v>Event</v>
      </c>
      <c r="G459" s="1" t="n">
        <f aca="false">IFERROR(MATCH(A459,CONFIRM!$A$5:$A$53,0),0)</f>
        <v>0</v>
      </c>
      <c r="H459" s="48" t="str">
        <f aca="false">STACK!F459</f>
        <v>Community Health Education</v>
      </c>
      <c r="I459" s="1" t="str">
        <f aca="false">IF(G459&gt;0,IF(INDEX(CONFIRM!$I$5:$I$53,G459)&lt;&gt;"",INDEX(CONFIRM!$I$5:$I$53,G459),H459),H459)</f>
        <v>Community Health Education</v>
      </c>
      <c r="J459" s="1" t="str">
        <f aca="false">IFERROR(INDEX(MAP!$F$7:$F$74,MATCH(TRIM(I459),MAP!$E$7:$E$74,0)),"UNMAPPED")</f>
        <v>Community health education</v>
      </c>
      <c r="K459" s="1" t="str">
        <f aca="false">IFERROR(INDEX(MAP!$G$7:$G$74,MATCH(TRIM(I459),MAP!$E$7:$E$74,0)),"UNMAPPED")</f>
        <v>7e</v>
      </c>
      <c r="L459" s="49" t="n">
        <f aca="false">STACK!G459</f>
        <v>46168</v>
      </c>
      <c r="M459" s="59" t="n">
        <f aca="false">IF(G459&gt;0,IF(INDEX(CONFIRM!$G$5:$G$53,G459)&lt;&gt;"",INDEX(CONFIRM!$G$5:$G$53,G459),IF(ISNUMBER(L459),L459,IFERROR(DATEVALUE(L459),""))),IF(ISNUMBER(L459),L459,IFERROR(DATEVALUE(L459),"")))</f>
        <v>46168</v>
      </c>
      <c r="N459" s="1" t="str">
        <f aca="false">IF(M459="","Check",IF(AND(M459&gt;=INPUTS!$C$6,M459&lt;=INPUTS!$C$7),"Yes","No"))</f>
        <v>Yes</v>
      </c>
      <c r="O459" s="48" t="str">
        <f aca="false">STACK!H459</f>
        <v>LMSW</v>
      </c>
      <c r="P459" s="1" t="str">
        <f aca="false">IF(G459&gt;0,IF(INDEX(CONFIRM!$H$5:$H$53,G459)&lt;&gt;"",INDEX(CONFIRM!$H$5:$H$53,G459),IFERROR(INDEX(MAP!$B$7:$B$156,MATCH(TRIM(O459),MAP!$A$7:$A$156,0)),"UNMAPPED")),IFERROR(INDEX(MAP!$B$7:$B$156,MATCH(TRIM(O459),MAP!$A$7:$A$156,0)),"UNMAPPED"))</f>
        <v>Social Worker</v>
      </c>
      <c r="Q459" s="48" t="n">
        <f aca="false">STACK!I459</f>
        <v>8</v>
      </c>
      <c r="R459" s="60" t="n">
        <f aca="false">IF(G459&gt;0,IF(INDEX(CONFIRM!$F$5:$F$53,G459)&lt;&gt;"",INDEX(CONFIRM!$F$5:$F$53,G459),IF(ISNUMBER(Q459),Q459,IF(Q459="","",IFERROR(VALUE(TRIM(SUBSTITUTE(SUBSTITUTE(LOWER(Q459),"hrs",""),"hr",""))),"")))),IF(ISNUMBER(Q459),Q459,IF(Q459="","",IFERROR(VALUE(TRIM(SUBSTITUTE(SUBSTITUTE(LOWER(Q459),"hrs",""),"hr",""))),""))))</f>
        <v>8</v>
      </c>
      <c r="S459" s="57" t="n">
        <f aca="false">IFERROR(INDEX(RATES!$E$6:$E$28,MATCH(P459,RATES!$A$6:$A$28,0)),0)</f>
        <v>45.6175</v>
      </c>
      <c r="T459" s="61" t="n">
        <f aca="false">IF(ISNUMBER(R459),R459,0)*S459</f>
        <v>364.94</v>
      </c>
      <c r="U459" s="61" t="n">
        <f aca="false">T459*INDEX(INPUTS!$H$10:$H$14,MATCH(B459,INPUTS!$A$10:$A$14,0))</f>
        <v>67.5139</v>
      </c>
      <c r="V459" s="61" t="n">
        <f aca="false">N(STACK!K459)</f>
        <v>480</v>
      </c>
      <c r="W459" s="61" t="n">
        <f aca="false">T459+U459+V459</f>
        <v>912.4539</v>
      </c>
      <c r="X459" s="61" t="n">
        <f aca="false">N(STACK!L459)</f>
        <v>0</v>
      </c>
      <c r="Y459" s="61" t="n">
        <f aca="false">W459-X459</f>
        <v>912.4539</v>
      </c>
      <c r="Z459" s="1" t="n">
        <f aca="false">N(STACK!J459)</f>
        <v>18</v>
      </c>
      <c r="AA459" s="1" t="str">
        <f aca="false">TRIM(IF(D459="UNMAPPED","Program not mapped. ","")&amp;IF(OR(K459="UNMAPPED",K459="UNASSIGNED"),"Category needs review. ","")&amp;IF(P459="UNMAPPED","Title not mapped. ","")&amp;IF(AND(P459&lt;&gt;"No staff time",R459=""),"Missing hours. ","")&amp;IF(M459="","Date not readable. ","")&amp;IF(N459="No","Outside fiscal year. ","")&amp;IF(AND(F459="Event",ISNUMBER(R459)),IF(R459&gt;12,"Event hours look high. ",""),"")&amp;IF(G459&gt;0,"See CONFIRM sheet.",""))</f>
        <v/>
      </c>
      <c r="AB459" s="1" t="n">
        <f aca="false">IF(N459="No",0,IF(REVIEW!O459=0,0,IF(G459&gt;0,IF(INDEX(CONFIRM!$J$5:$J$53,G459)&lt;&gt;"",INDEX(CONFIRM!$J$5:$J$53,G459),1),1)))</f>
        <v>1</v>
      </c>
      <c r="AC459" s="1" t="n">
        <f aca="false">IF(AB459=1,IF(COUNTIFS($B$5:B459,B459,$D$5:D459,D459,$AB$5:AB459,1)=1,1,0),0)</f>
        <v>0</v>
      </c>
    </row>
    <row r="460" customFormat="false" ht="15" hidden="false" customHeight="false" outlineLevel="0" collapsed="false">
      <c r="A460" s="48" t="str">
        <f aca="false">STACK!A460</f>
        <v>KVMC-0456</v>
      </c>
      <c r="B460" s="48" t="str">
        <f aca="false">STACK!B460</f>
        <v>KVMC</v>
      </c>
      <c r="C460" s="48" t="str">
        <f aca="false">STACK!E460</f>
        <v>Grief Support Group</v>
      </c>
      <c r="D460" s="1" t="str">
        <f aca="false">IFERROR(INDEX(MAP!$J$7:$J$101,MATCH(TRIM(C460),MAP!$I$7:$I$101,0)),"UNMAPPED")</f>
        <v>Grief Support Group</v>
      </c>
      <c r="E460" s="1" t="str">
        <f aca="false">IFERROR(INDEX(MAP!$K$7:$K$101,MATCH(TRIM(C460),MAP!$I$7:$I$101,0)),"")</f>
        <v>Behavioral health</v>
      </c>
      <c r="F460" s="1" t="str">
        <f aca="false">IFERROR(INDEX(MAP!$L$7:$L$101,MATCH(TRIM(C460),MAP!$I$7:$I$101,0)),"")</f>
        <v>Event</v>
      </c>
      <c r="G460" s="1" t="n">
        <f aca="false">IFERROR(MATCH(A460,CONFIRM!$A$5:$A$53,0),0)</f>
        <v>0</v>
      </c>
      <c r="H460" s="48" t="str">
        <f aca="false">STACK!F460</f>
        <v>Health Care Support Services</v>
      </c>
      <c r="I460" s="1" t="str">
        <f aca="false">IF(G460&gt;0,IF(INDEX(CONFIRM!$I$5:$I$53,G460)&lt;&gt;"",INDEX(CONFIRM!$I$5:$I$53,G460),H460),H460)</f>
        <v>Health Care Support Services</v>
      </c>
      <c r="J460" s="1" t="str">
        <f aca="false">IFERROR(INDEX(MAP!$F$7:$F$74,MATCH(TRIM(I460),MAP!$E$7:$E$74,0)),"UNMAPPED")</f>
        <v>Health care support services</v>
      </c>
      <c r="K460" s="1" t="str">
        <f aca="false">IFERROR(INDEX(MAP!$G$7:$G$74,MATCH(TRIM(I460),MAP!$E$7:$E$74,0)),"UNMAPPED")</f>
        <v>7e</v>
      </c>
      <c r="L460" s="49" t="n">
        <f aca="false">STACK!G460</f>
        <v>46168</v>
      </c>
      <c r="M460" s="59" t="n">
        <f aca="false">IF(G460&gt;0,IF(INDEX(CONFIRM!$G$5:$G$53,G460)&lt;&gt;"",INDEX(CONFIRM!$G$5:$G$53,G460),IF(ISNUMBER(L460),L460,IFERROR(DATEVALUE(L460),""))),IF(ISNUMBER(L460),L460,IFERROR(DATEVALUE(L460),"")))</f>
        <v>46168</v>
      </c>
      <c r="N460" s="1" t="str">
        <f aca="false">IF(M460="","Check",IF(AND(M460&gt;=INPUTS!$C$6,M460&lt;=INPUTS!$C$7),"Yes","No"))</f>
        <v>Yes</v>
      </c>
      <c r="O460" s="48" t="str">
        <f aca="false">STACK!H460</f>
        <v>Chaplain Resident</v>
      </c>
      <c r="P460" s="1" t="str">
        <f aca="false">IF(G460&gt;0,IF(INDEX(CONFIRM!$H$5:$H$53,G460)&lt;&gt;"",INDEX(CONFIRM!$H$5:$H$53,G460),IFERROR(INDEX(MAP!$B$7:$B$156,MATCH(TRIM(O460),MAP!$A$7:$A$156,0)),"UNMAPPED")),IFERROR(INDEX(MAP!$B$7:$B$156,MATCH(TRIM(O460),MAP!$A$7:$A$156,0)),"UNMAPPED"))</f>
        <v>Chaplain</v>
      </c>
      <c r="Q460" s="48" t="n">
        <f aca="false">STACK!I460</f>
        <v>2</v>
      </c>
      <c r="R460" s="60" t="n">
        <f aca="false">IF(G460&gt;0,IF(INDEX(CONFIRM!$F$5:$F$53,G460)&lt;&gt;"",INDEX(CONFIRM!$F$5:$F$53,G460),IF(ISNUMBER(Q460),Q460,IF(Q460="","",IFERROR(VALUE(TRIM(SUBSTITUTE(SUBSTITUTE(LOWER(Q460),"hrs",""),"hr",""))),"")))),IF(ISNUMBER(Q460),Q460,IF(Q460="","",IFERROR(VALUE(TRIM(SUBSTITUTE(SUBSTITUTE(LOWER(Q460),"hrs",""),"hr",""))),""))))</f>
        <v>2</v>
      </c>
      <c r="S460" s="57" t="n">
        <f aca="false">IFERROR(INDEX(RATES!$E$6:$E$28,MATCH(P460,RATES!$A$6:$A$28,0)),0)</f>
        <v>39.835</v>
      </c>
      <c r="T460" s="61" t="n">
        <f aca="false">IF(ISNUMBER(R460),R460,0)*S460</f>
        <v>79.67</v>
      </c>
      <c r="U460" s="61" t="n">
        <f aca="false">T460*INDEX(INPUTS!$H$10:$H$14,MATCH(B460,INPUTS!$A$10:$A$14,0))</f>
        <v>14.73895</v>
      </c>
      <c r="V460" s="61" t="n">
        <f aca="false">N(STACK!K460)</f>
        <v>45</v>
      </c>
      <c r="W460" s="61" t="n">
        <f aca="false">T460+U460+V460</f>
        <v>139.40895</v>
      </c>
      <c r="X460" s="61" t="n">
        <f aca="false">N(STACK!L460)</f>
        <v>0</v>
      </c>
      <c r="Y460" s="61" t="n">
        <f aca="false">W460-X460</f>
        <v>139.40895</v>
      </c>
      <c r="Z460" s="1" t="n">
        <f aca="false">N(STACK!J460)</f>
        <v>10</v>
      </c>
      <c r="AA460" s="1" t="str">
        <f aca="false">TRIM(IF(D460="UNMAPPED","Program not mapped. ","")&amp;IF(OR(K460="UNMAPPED",K460="UNASSIGNED"),"Category needs review. ","")&amp;IF(P460="UNMAPPED","Title not mapped. ","")&amp;IF(AND(P460&lt;&gt;"No staff time",R460=""),"Missing hours. ","")&amp;IF(M460="","Date not readable. ","")&amp;IF(N460="No","Outside fiscal year. ","")&amp;IF(AND(F460="Event",ISNUMBER(R460)),IF(R460&gt;12,"Event hours look high. ",""),"")&amp;IF(G460&gt;0,"See CONFIRM sheet.",""))</f>
        <v/>
      </c>
      <c r="AB460" s="1" t="n">
        <f aca="false">IF(N460="No",0,IF(REVIEW!O460=0,0,IF(G460&gt;0,IF(INDEX(CONFIRM!$J$5:$J$53,G460)&lt;&gt;"",INDEX(CONFIRM!$J$5:$J$53,G460),1),1)))</f>
        <v>1</v>
      </c>
      <c r="AC460" s="1" t="n">
        <f aca="false">IF(AB460=1,IF(COUNTIFS($B$5:B460,B460,$D$5:D460,D460,$AB$5:AB460,1)=1,1,0),0)</f>
        <v>0</v>
      </c>
    </row>
    <row r="461" customFormat="false" ht="15" hidden="false" customHeight="false" outlineLevel="0" collapsed="false">
      <c r="A461" s="48" t="str">
        <f aca="false">STACK!A461</f>
        <v>KVMC-0457</v>
      </c>
      <c r="B461" s="48" t="str">
        <f aca="false">STACK!B461</f>
        <v>KVMC</v>
      </c>
      <c r="C461" s="48" t="str">
        <f aca="false">STACK!E461</f>
        <v>Grief Support Group</v>
      </c>
      <c r="D461" s="1" t="str">
        <f aca="false">IFERROR(INDEX(MAP!$J$7:$J$101,MATCH(TRIM(C461),MAP!$I$7:$I$101,0)),"UNMAPPED")</f>
        <v>Grief Support Group</v>
      </c>
      <c r="E461" s="1" t="str">
        <f aca="false">IFERROR(INDEX(MAP!$K$7:$K$101,MATCH(TRIM(C461),MAP!$I$7:$I$101,0)),"")</f>
        <v>Behavioral health</v>
      </c>
      <c r="F461" s="1" t="str">
        <f aca="false">IFERROR(INDEX(MAP!$L$7:$L$101,MATCH(TRIM(C461),MAP!$I$7:$I$101,0)),"")</f>
        <v>Event</v>
      </c>
      <c r="G461" s="1" t="n">
        <f aca="false">IFERROR(MATCH(A461,CONFIRM!$A$5:$A$53,0),0)</f>
        <v>0</v>
      </c>
      <c r="H461" s="48" t="str">
        <f aca="false">STACK!F461</f>
        <v>Health Care Support Services</v>
      </c>
      <c r="I461" s="1" t="str">
        <f aca="false">IF(G461&gt;0,IF(INDEX(CONFIRM!$I$5:$I$53,G461)&lt;&gt;"",INDEX(CONFIRM!$I$5:$I$53,G461),H461),H461)</f>
        <v>Health Care Support Services</v>
      </c>
      <c r="J461" s="1" t="str">
        <f aca="false">IFERROR(INDEX(MAP!$F$7:$F$74,MATCH(TRIM(I461),MAP!$E$7:$E$74,0)),"UNMAPPED")</f>
        <v>Health care support services</v>
      </c>
      <c r="K461" s="1" t="str">
        <f aca="false">IFERROR(INDEX(MAP!$G$7:$G$74,MATCH(TRIM(I461),MAP!$E$7:$E$74,0)),"UNMAPPED")</f>
        <v>7e</v>
      </c>
      <c r="L461" s="49" t="n">
        <f aca="false">STACK!G461</f>
        <v>46168</v>
      </c>
      <c r="M461" s="59" t="n">
        <f aca="false">IF(G461&gt;0,IF(INDEX(CONFIRM!$G$5:$G$53,G461)&lt;&gt;"",INDEX(CONFIRM!$G$5:$G$53,G461),IF(ISNUMBER(L461),L461,IFERROR(DATEVALUE(L461),""))),IF(ISNUMBER(L461),L461,IFERROR(DATEVALUE(L461),"")))</f>
        <v>46168</v>
      </c>
      <c r="N461" s="1" t="str">
        <f aca="false">IF(M461="","Check",IF(AND(M461&gt;=INPUTS!$C$6,M461&lt;=INPUTS!$C$7),"Yes","No"))</f>
        <v>Yes</v>
      </c>
      <c r="O461" s="48" t="str">
        <f aca="false">STACK!H461</f>
        <v>MSW</v>
      </c>
      <c r="P461" s="1" t="str">
        <f aca="false">IF(G461&gt;0,IF(INDEX(CONFIRM!$H$5:$H$53,G461)&lt;&gt;"",INDEX(CONFIRM!$H$5:$H$53,G461),IFERROR(INDEX(MAP!$B$7:$B$156,MATCH(TRIM(O461),MAP!$A$7:$A$156,0)),"UNMAPPED")),IFERROR(INDEX(MAP!$B$7:$B$156,MATCH(TRIM(O461),MAP!$A$7:$A$156,0)),"UNMAPPED"))</f>
        <v>Social Worker</v>
      </c>
      <c r="Q461" s="48" t="n">
        <f aca="false">STACK!I461</f>
        <v>1.5</v>
      </c>
      <c r="R461" s="60" t="n">
        <f aca="false">IF(G461&gt;0,IF(INDEX(CONFIRM!$F$5:$F$53,G461)&lt;&gt;"",INDEX(CONFIRM!$F$5:$F$53,G461),IF(ISNUMBER(Q461),Q461,IF(Q461="","",IFERROR(VALUE(TRIM(SUBSTITUTE(SUBSTITUTE(LOWER(Q461),"hrs",""),"hr",""))),"")))),IF(ISNUMBER(Q461),Q461,IF(Q461="","",IFERROR(VALUE(TRIM(SUBSTITUTE(SUBSTITUTE(LOWER(Q461),"hrs",""),"hr",""))),""))))</f>
        <v>1.5</v>
      </c>
      <c r="S461" s="57" t="n">
        <f aca="false">IFERROR(INDEX(RATES!$E$6:$E$28,MATCH(P461,RATES!$A$6:$A$28,0)),0)</f>
        <v>45.6175</v>
      </c>
      <c r="T461" s="61" t="n">
        <f aca="false">IF(ISNUMBER(R461),R461,0)*S461</f>
        <v>68.42625</v>
      </c>
      <c r="U461" s="61" t="n">
        <f aca="false">T461*INDEX(INPUTS!$H$10:$H$14,MATCH(B461,INPUTS!$A$10:$A$14,0))</f>
        <v>12.65885625</v>
      </c>
      <c r="V461" s="61" t="n">
        <f aca="false">N(STACK!K461)</f>
        <v>0</v>
      </c>
      <c r="W461" s="61" t="n">
        <f aca="false">T461+U461+V461</f>
        <v>81.08510625</v>
      </c>
      <c r="X461" s="61" t="n">
        <f aca="false">N(STACK!L461)</f>
        <v>0</v>
      </c>
      <c r="Y461" s="61" t="n">
        <f aca="false">W461-X461</f>
        <v>81.08510625</v>
      </c>
      <c r="Z461" s="1" t="n">
        <f aca="false">N(STACK!J461)</f>
        <v>0</v>
      </c>
      <c r="AA461" s="1" t="str">
        <f aca="false">TRIM(IF(D461="UNMAPPED","Program not mapped. ","")&amp;IF(OR(K461="UNMAPPED",K461="UNASSIGNED"),"Category needs review. ","")&amp;IF(P461="UNMAPPED","Title not mapped. ","")&amp;IF(AND(P461&lt;&gt;"No staff time",R461=""),"Missing hours. ","")&amp;IF(M461="","Date not readable. ","")&amp;IF(N461="No","Outside fiscal year. ","")&amp;IF(AND(F461="Event",ISNUMBER(R461)),IF(R461&gt;12,"Event hours look high. ",""),"")&amp;IF(G461&gt;0,"See CONFIRM sheet.",""))</f>
        <v/>
      </c>
      <c r="AB461" s="1" t="n">
        <f aca="false">IF(N461="No",0,IF(REVIEW!O461=0,0,IF(G461&gt;0,IF(INDEX(CONFIRM!$J$5:$J$53,G461)&lt;&gt;"",INDEX(CONFIRM!$J$5:$J$53,G461),1),1)))</f>
        <v>1</v>
      </c>
      <c r="AC461" s="1" t="n">
        <f aca="false">IF(AB461=1,IF(COUNTIFS($B$5:B461,B461,$D$5:D461,D461,$AB$5:AB461,1)=1,1,0),0)</f>
        <v>0</v>
      </c>
    </row>
    <row r="462" customFormat="false" ht="15" hidden="false" customHeight="false" outlineLevel="0" collapsed="false">
      <c r="A462" s="48" t="str">
        <f aca="false">STACK!A462</f>
        <v>KVMC-0458</v>
      </c>
      <c r="B462" s="48" t="str">
        <f aca="false">STACK!B462</f>
        <v>KVMC</v>
      </c>
      <c r="C462" s="48" t="str">
        <f aca="false">STACK!E462</f>
        <v>Tobacco Cessation Classes</v>
      </c>
      <c r="D462" s="1" t="str">
        <f aca="false">IFERROR(INDEX(MAP!$J$7:$J$101,MATCH(TRIM(C462),MAP!$I$7:$I$101,0)),"UNMAPPED")</f>
        <v>Tobacco Cessation Classes</v>
      </c>
      <c r="E462" s="1" t="str">
        <f aca="false">IFERROR(INDEX(MAP!$K$7:$K$101,MATCH(TRIM(C462),MAP!$I$7:$I$101,0)),"")</f>
        <v>Chronic disease prevention</v>
      </c>
      <c r="F462" s="1" t="str">
        <f aca="false">IFERROR(INDEX(MAP!$L$7:$L$101,MATCH(TRIM(C462),MAP!$I$7:$I$101,0)),"")</f>
        <v>Event</v>
      </c>
      <c r="G462" s="1" t="n">
        <f aca="false">IFERROR(MATCH(A462,CONFIRM!$A$5:$A$53,0),0)</f>
        <v>0</v>
      </c>
      <c r="H462" s="48" t="str">
        <f aca="false">STACK!F462</f>
        <v>Community Health Education</v>
      </c>
      <c r="I462" s="1" t="str">
        <f aca="false">IF(G462&gt;0,IF(INDEX(CONFIRM!$I$5:$I$53,G462)&lt;&gt;"",INDEX(CONFIRM!$I$5:$I$53,G462),H462),H462)</f>
        <v>Community Health Education</v>
      </c>
      <c r="J462" s="1" t="str">
        <f aca="false">IFERROR(INDEX(MAP!$F$7:$F$74,MATCH(TRIM(I462),MAP!$E$7:$E$74,0)),"UNMAPPED")</f>
        <v>Community health education</v>
      </c>
      <c r="K462" s="1" t="str">
        <f aca="false">IFERROR(INDEX(MAP!$G$7:$G$74,MATCH(TRIM(I462),MAP!$E$7:$E$74,0)),"UNMAPPED")</f>
        <v>7e</v>
      </c>
      <c r="L462" s="49" t="n">
        <f aca="false">STACK!G462</f>
        <v>46169</v>
      </c>
      <c r="M462" s="59" t="n">
        <f aca="false">IF(G462&gt;0,IF(INDEX(CONFIRM!$G$5:$G$53,G462)&lt;&gt;"",INDEX(CONFIRM!$G$5:$G$53,G462),IF(ISNUMBER(L462),L462,IFERROR(DATEVALUE(L462),""))),IF(ISNUMBER(L462),L462,IFERROR(DATEVALUE(L462),"")))</f>
        <v>46169</v>
      </c>
      <c r="N462" s="1" t="str">
        <f aca="false">IF(M462="","Check",IF(AND(M462&gt;=INPUTS!$C$6,M462&lt;=INPUTS!$C$7),"Yes","No"))</f>
        <v>Yes</v>
      </c>
      <c r="O462" s="48" t="str">
        <f aca="false">STACK!H462</f>
        <v>RRT </v>
      </c>
      <c r="P462" s="1" t="str">
        <f aca="false">IF(G462&gt;0,IF(INDEX(CONFIRM!$H$5:$H$53,G462)&lt;&gt;"",INDEX(CONFIRM!$H$5:$H$53,G462),IFERROR(INDEX(MAP!$B$7:$B$156,MATCH(TRIM(O462),MAP!$A$7:$A$156,0)),"UNMAPPED")),IFERROR(INDEX(MAP!$B$7:$B$156,MATCH(TRIM(O462),MAP!$A$7:$A$156,0)),"UNMAPPED"))</f>
        <v>Licensed Therapist</v>
      </c>
      <c r="Q462" s="48" t="n">
        <f aca="false">STACK!I462</f>
        <v>2</v>
      </c>
      <c r="R462" s="60" t="n">
        <f aca="false">IF(G462&gt;0,IF(INDEX(CONFIRM!$F$5:$F$53,G462)&lt;&gt;"",INDEX(CONFIRM!$F$5:$F$53,G462),IF(ISNUMBER(Q462),Q462,IF(Q462="","",IFERROR(VALUE(TRIM(SUBSTITUTE(SUBSTITUTE(LOWER(Q462),"hrs",""),"hr",""))),"")))),IF(ISNUMBER(Q462),Q462,IF(Q462="","",IFERROR(VALUE(TRIM(SUBSTITUTE(SUBSTITUTE(LOWER(Q462),"hrs",""),"hr",""))),""))))</f>
        <v>2</v>
      </c>
      <c r="S462" s="57" t="n">
        <f aca="false">IFERROR(INDEX(RATES!$E$6:$E$28,MATCH(P462,RATES!$A$6:$A$28,0)),0)</f>
        <v>53.97</v>
      </c>
      <c r="T462" s="61" t="n">
        <f aca="false">IF(ISNUMBER(R462),R462,0)*S462</f>
        <v>107.94</v>
      </c>
      <c r="U462" s="61" t="n">
        <f aca="false">T462*INDEX(INPUTS!$H$10:$H$14,MATCH(B462,INPUTS!$A$10:$A$14,0))</f>
        <v>19.9689</v>
      </c>
      <c r="V462" s="61" t="n">
        <f aca="false">N(STACK!K462)</f>
        <v>260</v>
      </c>
      <c r="W462" s="61" t="n">
        <f aca="false">T462+U462+V462</f>
        <v>387.9089</v>
      </c>
      <c r="X462" s="61" t="n">
        <f aca="false">N(STACK!L462)</f>
        <v>0</v>
      </c>
      <c r="Y462" s="61" t="n">
        <f aca="false">W462-X462</f>
        <v>387.9089</v>
      </c>
      <c r="Z462" s="1" t="n">
        <f aca="false">N(STACK!J462)</f>
        <v>11</v>
      </c>
      <c r="AA462" s="1" t="str">
        <f aca="false">TRIM(IF(D462="UNMAPPED","Program not mapped. ","")&amp;IF(OR(K462="UNMAPPED",K462="UNASSIGNED"),"Category needs review. ","")&amp;IF(P462="UNMAPPED","Title not mapped. ","")&amp;IF(AND(P462&lt;&gt;"No staff time",R462=""),"Missing hours. ","")&amp;IF(M462="","Date not readable. ","")&amp;IF(N462="No","Outside fiscal year. ","")&amp;IF(AND(F462="Event",ISNUMBER(R462)),IF(R462&gt;12,"Event hours look high. ",""),"")&amp;IF(G462&gt;0,"See CONFIRM sheet.",""))</f>
        <v/>
      </c>
      <c r="AB462" s="1" t="n">
        <f aca="false">IF(N462="No",0,IF(REVIEW!O462=0,0,IF(G462&gt;0,IF(INDEX(CONFIRM!$J$5:$J$53,G462)&lt;&gt;"",INDEX(CONFIRM!$J$5:$J$53,G462),1),1)))</f>
        <v>1</v>
      </c>
      <c r="AC462" s="1" t="n">
        <f aca="false">IF(AB462=1,IF(COUNTIFS($B$5:B462,B462,$D$5:D462,D462,$AB$5:AB462,1)=1,1,0),0)</f>
        <v>0</v>
      </c>
    </row>
    <row r="463" customFormat="false" ht="15" hidden="false" customHeight="false" outlineLevel="0" collapsed="false">
      <c r="A463" s="48" t="str">
        <f aca="false">STACK!A463</f>
        <v>KVMC-0459</v>
      </c>
      <c r="B463" s="48" t="str">
        <f aca="false">STACK!B463</f>
        <v>KVMC</v>
      </c>
      <c r="C463" s="48" t="str">
        <f aca="false">STACK!E463</f>
        <v>Grief Support Group</v>
      </c>
      <c r="D463" s="1" t="str">
        <f aca="false">IFERROR(INDEX(MAP!$J$7:$J$101,MATCH(TRIM(C463),MAP!$I$7:$I$101,0)),"UNMAPPED")</f>
        <v>Grief Support Group</v>
      </c>
      <c r="E463" s="1" t="str">
        <f aca="false">IFERROR(INDEX(MAP!$K$7:$K$101,MATCH(TRIM(C463),MAP!$I$7:$I$101,0)),"")</f>
        <v>Behavioral health</v>
      </c>
      <c r="F463" s="1" t="str">
        <f aca="false">IFERROR(INDEX(MAP!$L$7:$L$101,MATCH(TRIM(C463),MAP!$I$7:$I$101,0)),"")</f>
        <v>Event</v>
      </c>
      <c r="G463" s="1" t="n">
        <f aca="false">IFERROR(MATCH(A463,CONFIRM!$A$5:$A$53,0),0)</f>
        <v>0</v>
      </c>
      <c r="H463" s="48" t="str">
        <f aca="false">STACK!F463</f>
        <v>Health Care Support Services</v>
      </c>
      <c r="I463" s="1" t="str">
        <f aca="false">IF(G463&gt;0,IF(INDEX(CONFIRM!$I$5:$I$53,G463)&lt;&gt;"",INDEX(CONFIRM!$I$5:$I$53,G463),H463),H463)</f>
        <v>Health Care Support Services</v>
      </c>
      <c r="J463" s="1" t="str">
        <f aca="false">IFERROR(INDEX(MAP!$F$7:$F$74,MATCH(TRIM(I463),MAP!$E$7:$E$74,0)),"UNMAPPED")</f>
        <v>Health care support services</v>
      </c>
      <c r="K463" s="1" t="str">
        <f aca="false">IFERROR(INDEX(MAP!$G$7:$G$74,MATCH(TRIM(I463),MAP!$E$7:$E$74,0)),"UNMAPPED")</f>
        <v>7e</v>
      </c>
      <c r="L463" s="49" t="n">
        <f aca="false">STACK!G463</f>
        <v>46172</v>
      </c>
      <c r="M463" s="59" t="n">
        <f aca="false">IF(G463&gt;0,IF(INDEX(CONFIRM!$G$5:$G$53,G463)&lt;&gt;"",INDEX(CONFIRM!$G$5:$G$53,G463),IF(ISNUMBER(L463),L463,IFERROR(DATEVALUE(L463),""))),IF(ISNUMBER(L463),L463,IFERROR(DATEVALUE(L463),"")))</f>
        <v>46172</v>
      </c>
      <c r="N463" s="1" t="str">
        <f aca="false">IF(M463="","Check",IF(AND(M463&gt;=INPUTS!$C$6,M463&lt;=INPUTS!$C$7),"Yes","No"))</f>
        <v>Yes</v>
      </c>
      <c r="O463" s="48" t="str">
        <f aca="false">STACK!H463</f>
        <v>Spiritual Care</v>
      </c>
      <c r="P463" s="1" t="str">
        <f aca="false">IF(G463&gt;0,IF(INDEX(CONFIRM!$H$5:$H$53,G463)&lt;&gt;"",INDEX(CONFIRM!$H$5:$H$53,G463),IFERROR(INDEX(MAP!$B$7:$B$156,MATCH(TRIM(O463),MAP!$A$7:$A$156,0)),"UNMAPPED")),IFERROR(INDEX(MAP!$B$7:$B$156,MATCH(TRIM(O463),MAP!$A$7:$A$156,0)),"UNMAPPED"))</f>
        <v>Chaplain</v>
      </c>
      <c r="Q463" s="48" t="n">
        <f aca="false">STACK!I463</f>
        <v>2</v>
      </c>
      <c r="R463" s="60" t="n">
        <f aca="false">IF(G463&gt;0,IF(INDEX(CONFIRM!$F$5:$F$53,G463)&lt;&gt;"",INDEX(CONFIRM!$F$5:$F$53,G463),IF(ISNUMBER(Q463),Q463,IF(Q463="","",IFERROR(VALUE(TRIM(SUBSTITUTE(SUBSTITUTE(LOWER(Q463),"hrs",""),"hr",""))),"")))),IF(ISNUMBER(Q463),Q463,IF(Q463="","",IFERROR(VALUE(TRIM(SUBSTITUTE(SUBSTITUTE(LOWER(Q463),"hrs",""),"hr",""))),""))))</f>
        <v>2</v>
      </c>
      <c r="S463" s="57" t="n">
        <f aca="false">IFERROR(INDEX(RATES!$E$6:$E$28,MATCH(P463,RATES!$A$6:$A$28,0)),0)</f>
        <v>39.835</v>
      </c>
      <c r="T463" s="61" t="n">
        <f aca="false">IF(ISNUMBER(R463),R463,0)*S463</f>
        <v>79.67</v>
      </c>
      <c r="U463" s="61" t="n">
        <f aca="false">T463*INDEX(INPUTS!$H$10:$H$14,MATCH(B463,INPUTS!$A$10:$A$14,0))</f>
        <v>14.73895</v>
      </c>
      <c r="V463" s="61" t="n">
        <f aca="false">N(STACK!K463)</f>
        <v>20</v>
      </c>
      <c r="W463" s="61" t="n">
        <f aca="false">T463+U463+V463</f>
        <v>114.40895</v>
      </c>
      <c r="X463" s="61" t="n">
        <f aca="false">N(STACK!L463)</f>
        <v>0</v>
      </c>
      <c r="Y463" s="61" t="n">
        <f aca="false">W463-X463</f>
        <v>114.40895</v>
      </c>
      <c r="Z463" s="1" t="n">
        <f aca="false">N(STACK!J463)</f>
        <v>10</v>
      </c>
      <c r="AA463" s="1" t="str">
        <f aca="false">TRIM(IF(D463="UNMAPPED","Program not mapped. ","")&amp;IF(OR(K463="UNMAPPED",K463="UNASSIGNED"),"Category needs review. ","")&amp;IF(P463="UNMAPPED","Title not mapped. ","")&amp;IF(AND(P463&lt;&gt;"No staff time",R463=""),"Missing hours. ","")&amp;IF(M463="","Date not readable. ","")&amp;IF(N463="No","Outside fiscal year. ","")&amp;IF(AND(F463="Event",ISNUMBER(R463)),IF(R463&gt;12,"Event hours look high. ",""),"")&amp;IF(G463&gt;0,"See CONFIRM sheet.",""))</f>
        <v/>
      </c>
      <c r="AB463" s="1" t="n">
        <f aca="false">IF(N463="No",0,IF(REVIEW!O463=0,0,IF(G463&gt;0,IF(INDEX(CONFIRM!$J$5:$J$53,G463)&lt;&gt;"",INDEX(CONFIRM!$J$5:$J$53,G463),1),1)))</f>
        <v>1</v>
      </c>
      <c r="AC463" s="1" t="n">
        <f aca="false">IF(AB463=1,IF(COUNTIFS($B$5:B463,B463,$D$5:D463,D463,$AB$5:AB463,1)=1,1,0),0)</f>
        <v>0</v>
      </c>
    </row>
    <row r="464" customFormat="false" ht="15" hidden="false" customHeight="false" outlineLevel="0" collapsed="false">
      <c r="A464" s="48" t="str">
        <f aca="false">STACK!A464</f>
        <v>KVMC-0460</v>
      </c>
      <c r="B464" s="48" t="str">
        <f aca="false">STACK!B464</f>
        <v>KVMC</v>
      </c>
      <c r="C464" s="48" t="str">
        <f aca="false">STACK!E464</f>
        <v>Grief Support Group</v>
      </c>
      <c r="D464" s="1" t="str">
        <f aca="false">IFERROR(INDEX(MAP!$J$7:$J$101,MATCH(TRIM(C464),MAP!$I$7:$I$101,0)),"UNMAPPED")</f>
        <v>Grief Support Group</v>
      </c>
      <c r="E464" s="1" t="str">
        <f aca="false">IFERROR(INDEX(MAP!$K$7:$K$101,MATCH(TRIM(C464),MAP!$I$7:$I$101,0)),"")</f>
        <v>Behavioral health</v>
      </c>
      <c r="F464" s="1" t="str">
        <f aca="false">IFERROR(INDEX(MAP!$L$7:$L$101,MATCH(TRIM(C464),MAP!$I$7:$I$101,0)),"")</f>
        <v>Event</v>
      </c>
      <c r="G464" s="1" t="n">
        <f aca="false">IFERROR(MATCH(A464,CONFIRM!$A$5:$A$53,0),0)</f>
        <v>0</v>
      </c>
      <c r="H464" s="48" t="str">
        <f aca="false">STACK!F464</f>
        <v>Health Care Support Services</v>
      </c>
      <c r="I464" s="1" t="str">
        <f aca="false">IF(G464&gt;0,IF(INDEX(CONFIRM!$I$5:$I$53,G464)&lt;&gt;"",INDEX(CONFIRM!$I$5:$I$53,G464),H464),H464)</f>
        <v>Health Care Support Services</v>
      </c>
      <c r="J464" s="1" t="str">
        <f aca="false">IFERROR(INDEX(MAP!$F$7:$F$74,MATCH(TRIM(I464),MAP!$E$7:$E$74,0)),"UNMAPPED")</f>
        <v>Health care support services</v>
      </c>
      <c r="K464" s="1" t="str">
        <f aca="false">IFERROR(INDEX(MAP!$G$7:$G$74,MATCH(TRIM(I464),MAP!$E$7:$E$74,0)),"UNMAPPED")</f>
        <v>7e</v>
      </c>
      <c r="L464" s="49" t="n">
        <f aca="false">STACK!G464</f>
        <v>46172</v>
      </c>
      <c r="M464" s="59" t="n">
        <f aca="false">IF(G464&gt;0,IF(INDEX(CONFIRM!$G$5:$G$53,G464)&lt;&gt;"",INDEX(CONFIRM!$G$5:$G$53,G464),IF(ISNUMBER(L464),L464,IFERROR(DATEVALUE(L464),""))),IF(ISNUMBER(L464),L464,IFERROR(DATEVALUE(L464),"")))</f>
        <v>46172</v>
      </c>
      <c r="N464" s="1" t="str">
        <f aca="false">IF(M464="","Check",IF(AND(M464&gt;=INPUTS!$C$6,M464&lt;=INPUTS!$C$7),"Yes","No"))</f>
        <v>Yes</v>
      </c>
      <c r="O464" s="48" t="str">
        <f aca="false">STACK!H464</f>
        <v>Social Worker</v>
      </c>
      <c r="P464" s="1" t="str">
        <f aca="false">IF(G464&gt;0,IF(INDEX(CONFIRM!$H$5:$H$53,G464)&lt;&gt;"",INDEX(CONFIRM!$H$5:$H$53,G464),IFERROR(INDEX(MAP!$B$7:$B$156,MATCH(TRIM(O464),MAP!$A$7:$A$156,0)),"UNMAPPED")),IFERROR(INDEX(MAP!$B$7:$B$156,MATCH(TRIM(O464),MAP!$A$7:$A$156,0)),"UNMAPPED"))</f>
        <v>Social Worker</v>
      </c>
      <c r="Q464" s="48" t="n">
        <f aca="false">STACK!I464</f>
        <v>1.75</v>
      </c>
      <c r="R464" s="60" t="n">
        <f aca="false">IF(G464&gt;0,IF(INDEX(CONFIRM!$F$5:$F$53,G464)&lt;&gt;"",INDEX(CONFIRM!$F$5:$F$53,G464),IF(ISNUMBER(Q464),Q464,IF(Q464="","",IFERROR(VALUE(TRIM(SUBSTITUTE(SUBSTITUTE(LOWER(Q464),"hrs",""),"hr",""))),"")))),IF(ISNUMBER(Q464),Q464,IF(Q464="","",IFERROR(VALUE(TRIM(SUBSTITUTE(SUBSTITUTE(LOWER(Q464),"hrs",""),"hr",""))),""))))</f>
        <v>1.75</v>
      </c>
      <c r="S464" s="57" t="n">
        <f aca="false">IFERROR(INDEX(RATES!$E$6:$E$28,MATCH(P464,RATES!$A$6:$A$28,0)),0)</f>
        <v>45.6175</v>
      </c>
      <c r="T464" s="61" t="n">
        <f aca="false">IF(ISNUMBER(R464),R464,0)*S464</f>
        <v>79.830625</v>
      </c>
      <c r="U464" s="61" t="n">
        <f aca="false">T464*INDEX(INPUTS!$H$10:$H$14,MATCH(B464,INPUTS!$A$10:$A$14,0))</f>
        <v>14.768665625</v>
      </c>
      <c r="V464" s="61" t="n">
        <f aca="false">N(STACK!K464)</f>
        <v>0</v>
      </c>
      <c r="W464" s="61" t="n">
        <f aca="false">T464+U464+V464</f>
        <v>94.599290625</v>
      </c>
      <c r="X464" s="61" t="n">
        <f aca="false">N(STACK!L464)</f>
        <v>0</v>
      </c>
      <c r="Y464" s="61" t="n">
        <f aca="false">W464-X464</f>
        <v>94.599290625</v>
      </c>
      <c r="Z464" s="1" t="n">
        <f aca="false">N(STACK!J464)</f>
        <v>0</v>
      </c>
      <c r="AA464" s="1" t="str">
        <f aca="false">TRIM(IF(D464="UNMAPPED","Program not mapped. ","")&amp;IF(OR(K464="UNMAPPED",K464="UNASSIGNED"),"Category needs review. ","")&amp;IF(P464="UNMAPPED","Title not mapped. ","")&amp;IF(AND(P464&lt;&gt;"No staff time",R464=""),"Missing hours. ","")&amp;IF(M464="","Date not readable. ","")&amp;IF(N464="No","Outside fiscal year. ","")&amp;IF(AND(F464="Event",ISNUMBER(R464)),IF(R464&gt;12,"Event hours look high. ",""),"")&amp;IF(G464&gt;0,"See CONFIRM sheet.",""))</f>
        <v/>
      </c>
      <c r="AB464" s="1" t="n">
        <f aca="false">IF(N464="No",0,IF(REVIEW!O464=0,0,IF(G464&gt;0,IF(INDEX(CONFIRM!$J$5:$J$53,G464)&lt;&gt;"",INDEX(CONFIRM!$J$5:$J$53,G464),1),1)))</f>
        <v>1</v>
      </c>
      <c r="AC464" s="1" t="n">
        <f aca="false">IF(AB464=1,IF(COUNTIFS($B$5:B464,B464,$D$5:D464,D464,$AB$5:AB464,1)=1,1,0),0)</f>
        <v>0</v>
      </c>
    </row>
    <row r="465" customFormat="false" ht="15" hidden="false" customHeight="false" outlineLevel="0" collapsed="false">
      <c r="A465" s="48" t="str">
        <f aca="false">STACK!A465</f>
        <v>KVMC-0461</v>
      </c>
      <c r="B465" s="48" t="str">
        <f aca="false">STACK!B465</f>
        <v>KVMC</v>
      </c>
      <c r="C465" s="48" t="str">
        <f aca="false">STACK!E465</f>
        <v>Small Business Health Partnership</v>
      </c>
      <c r="D465" s="1" t="str">
        <f aca="false">IFERROR(INDEX(MAP!$J$7:$J$101,MATCH(TRIM(C465),MAP!$I$7:$I$101,0)),"UNMAPPED")</f>
        <v>Small Business Health Partnership</v>
      </c>
      <c r="E465" s="1" t="str">
        <f aca="false">IFERROR(INDEX(MAP!$K$7:$K$101,MATCH(TRIM(C465),MAP!$I$7:$I$101,0)),"")</f>
        <v>Access to care</v>
      </c>
      <c r="F465" s="1" t="str">
        <f aca="false">IFERROR(INDEX(MAP!$L$7:$L$101,MATCH(TRIM(C465),MAP!$I$7:$I$101,0)),"")</f>
        <v>Event</v>
      </c>
      <c r="G465" s="1" t="n">
        <f aca="false">IFERROR(MATCH(A465,CONFIRM!$A$5:$A$53,0),0)</f>
        <v>0</v>
      </c>
      <c r="H465" s="48" t="str">
        <f aca="false">STACK!F465</f>
        <v>Community Building - Economic Dev</v>
      </c>
      <c r="I465" s="1" t="str">
        <f aca="false">IF(G465&gt;0,IF(INDEX(CONFIRM!$I$5:$I$53,G465)&lt;&gt;"",INDEX(CONFIRM!$I$5:$I$53,G465),H465),H465)</f>
        <v>Community Building - Economic Dev</v>
      </c>
      <c r="J465" s="1" t="str">
        <f aca="false">IFERROR(INDEX(MAP!$F$7:$F$74,MATCH(TRIM(I465),MAP!$E$7:$E$74,0)),"UNMAPPED")</f>
        <v>Community building: economic development</v>
      </c>
      <c r="K465" s="1" t="str">
        <f aca="false">IFERROR(INDEX(MAP!$G$7:$G$74,MATCH(TRIM(I465),MAP!$E$7:$E$74,0)),"UNMAPPED")</f>
        <v>II-2</v>
      </c>
      <c r="L465" s="49" t="n">
        <f aca="false">STACK!G465</f>
        <v>46172</v>
      </c>
      <c r="M465" s="59" t="n">
        <f aca="false">IF(G465&gt;0,IF(INDEX(CONFIRM!$G$5:$G$53,G465)&lt;&gt;"",INDEX(CONFIRM!$G$5:$G$53,G465),IF(ISNUMBER(L465),L465,IFERROR(DATEVALUE(L465),""))),IF(ISNUMBER(L465),L465,IFERROR(DATEVALUE(L465),"")))</f>
        <v>46172</v>
      </c>
      <c r="N465" s="1" t="str">
        <f aca="false">IF(M465="","Check",IF(AND(M465&gt;=INPUTS!$C$6,M465&lt;=INPUTS!$C$7),"Yes","No"))</f>
        <v>Yes</v>
      </c>
      <c r="O465" s="48" t="str">
        <f aca="false">STACK!H465</f>
        <v>Sr Director</v>
      </c>
      <c r="P465" s="1" t="str">
        <f aca="false">IF(G465&gt;0,IF(INDEX(CONFIRM!$H$5:$H$53,G465)&lt;&gt;"",INDEX(CONFIRM!$H$5:$H$53,G465),IFERROR(INDEX(MAP!$B$7:$B$156,MATCH(TRIM(O465),MAP!$A$7:$A$156,0)),"UNMAPPED")),IFERROR(INDEX(MAP!$B$7:$B$156,MATCH(TRIM(O465),MAP!$A$7:$A$156,0)),"UNMAPPED"))</f>
        <v>Director</v>
      </c>
      <c r="Q465" s="48" t="n">
        <f aca="false">STACK!I465</f>
        <v>3.75</v>
      </c>
      <c r="R465" s="60" t="n">
        <f aca="false">IF(G465&gt;0,IF(INDEX(CONFIRM!$F$5:$F$53,G465)&lt;&gt;"",INDEX(CONFIRM!$F$5:$F$53,G465),IF(ISNUMBER(Q465),Q465,IF(Q465="","",IFERROR(VALUE(TRIM(SUBSTITUTE(SUBSTITUTE(LOWER(Q465),"hrs",""),"hr",""))),"")))),IF(ISNUMBER(Q465),Q465,IF(Q465="","",IFERROR(VALUE(TRIM(SUBSTITUTE(SUBSTITUTE(LOWER(Q465),"hrs",""),"hr",""))),""))))</f>
        <v>3.75</v>
      </c>
      <c r="S465" s="57" t="n">
        <f aca="false">IFERROR(INDEX(RATES!$E$6:$E$28,MATCH(P465,RATES!$A$6:$A$28,0)),0)</f>
        <v>92.52</v>
      </c>
      <c r="T465" s="61" t="n">
        <f aca="false">IF(ISNUMBER(R465),R465,0)*S465</f>
        <v>346.95</v>
      </c>
      <c r="U465" s="61" t="n">
        <f aca="false">T465*INDEX(INPUTS!$H$10:$H$14,MATCH(B465,INPUTS!$A$10:$A$14,0))</f>
        <v>64.18575</v>
      </c>
      <c r="V465" s="61" t="n">
        <f aca="false">N(STACK!K465)</f>
        <v>4305</v>
      </c>
      <c r="W465" s="61" t="n">
        <f aca="false">T465+U465+V465</f>
        <v>4716.13575</v>
      </c>
      <c r="X465" s="61" t="n">
        <f aca="false">N(STACK!L465)</f>
        <v>0</v>
      </c>
      <c r="Y465" s="61" t="n">
        <f aca="false">W465-X465</f>
        <v>4716.13575</v>
      </c>
      <c r="Z465" s="1" t="n">
        <f aca="false">N(STACK!J465)</f>
        <v>0</v>
      </c>
      <c r="AA465" s="1" t="str">
        <f aca="false">TRIM(IF(D465="UNMAPPED","Program not mapped. ","")&amp;IF(OR(K465="UNMAPPED",K465="UNASSIGNED"),"Category needs review. ","")&amp;IF(P465="UNMAPPED","Title not mapped. ","")&amp;IF(AND(P465&lt;&gt;"No staff time",R465=""),"Missing hours. ","")&amp;IF(M465="","Date not readable. ","")&amp;IF(N465="No","Outside fiscal year. ","")&amp;IF(AND(F465="Event",ISNUMBER(R465)),IF(R465&gt;12,"Event hours look high. ",""),"")&amp;IF(G465&gt;0,"See CONFIRM sheet.",""))</f>
        <v/>
      </c>
      <c r="AB465" s="1" t="n">
        <f aca="false">IF(N465="No",0,IF(REVIEW!O465=0,0,IF(G465&gt;0,IF(INDEX(CONFIRM!$J$5:$J$53,G465)&lt;&gt;"",INDEX(CONFIRM!$J$5:$J$53,G465),1),1)))</f>
        <v>1</v>
      </c>
      <c r="AC465" s="1" t="n">
        <f aca="false">IF(AB465=1,IF(COUNTIFS($B$5:B465,B465,$D$5:D465,D465,$AB$5:AB465,1)=1,1,0),0)</f>
        <v>0</v>
      </c>
    </row>
    <row r="466" customFormat="false" ht="15" hidden="false" customHeight="false" outlineLevel="0" collapsed="false">
      <c r="A466" s="48" t="str">
        <f aca="false">STACK!A466</f>
        <v>KVMC-0462</v>
      </c>
      <c r="B466" s="48" t="str">
        <f aca="false">STACK!B466</f>
        <v>KVMC</v>
      </c>
      <c r="C466" s="48" t="str">
        <f aca="false">STACK!E466</f>
        <v>Small Business Health Partnership</v>
      </c>
      <c r="D466" s="1" t="str">
        <f aca="false">IFERROR(INDEX(MAP!$J$7:$J$101,MATCH(TRIM(C466),MAP!$I$7:$I$101,0)),"UNMAPPED")</f>
        <v>Small Business Health Partnership</v>
      </c>
      <c r="E466" s="1" t="str">
        <f aca="false">IFERROR(INDEX(MAP!$K$7:$K$101,MATCH(TRIM(C466),MAP!$I$7:$I$101,0)),"")</f>
        <v>Access to care</v>
      </c>
      <c r="F466" s="1" t="str">
        <f aca="false">IFERROR(INDEX(MAP!$L$7:$L$101,MATCH(TRIM(C466),MAP!$I$7:$I$101,0)),"")</f>
        <v>Event</v>
      </c>
      <c r="G466" s="1" t="n">
        <f aca="false">IFERROR(MATCH(A466,CONFIRM!$A$5:$A$53,0),0)</f>
        <v>0</v>
      </c>
      <c r="H466" s="48" t="str">
        <f aca="false">STACK!F466</f>
        <v>Community Building - Economic Dev</v>
      </c>
      <c r="I466" s="1" t="str">
        <f aca="false">IF(G466&gt;0,IF(INDEX(CONFIRM!$I$5:$I$53,G466)&lt;&gt;"",INDEX(CONFIRM!$I$5:$I$53,G466),H466),H466)</f>
        <v>Community Building - Economic Dev</v>
      </c>
      <c r="J466" s="1" t="str">
        <f aca="false">IFERROR(INDEX(MAP!$F$7:$F$74,MATCH(TRIM(I466),MAP!$E$7:$E$74,0)),"UNMAPPED")</f>
        <v>Community building: economic development</v>
      </c>
      <c r="K466" s="1" t="str">
        <f aca="false">IFERROR(INDEX(MAP!$G$7:$G$74,MATCH(TRIM(I466),MAP!$E$7:$E$74,0)),"UNMAPPED")</f>
        <v>II-2</v>
      </c>
      <c r="L466" s="49" t="n">
        <f aca="false">STACK!G466</f>
        <v>46172</v>
      </c>
      <c r="M466" s="59" t="n">
        <f aca="false">IF(G466&gt;0,IF(INDEX(CONFIRM!$G$5:$G$53,G466)&lt;&gt;"",INDEX(CONFIRM!$G$5:$G$53,G466),IF(ISNUMBER(L466),L466,IFERROR(DATEVALUE(L466),""))),IF(ISNUMBER(L466),L466,IFERROR(DATEVALUE(L466),"")))</f>
        <v>46172</v>
      </c>
      <c r="N466" s="1" t="str">
        <f aca="false">IF(M466="","Check",IF(AND(M466&gt;=INPUTS!$C$6,M466&lt;=INPUTS!$C$7),"Yes","No"))</f>
        <v>Yes</v>
      </c>
      <c r="O466" s="48" t="str">
        <f aca="false">STACK!H466</f>
        <v>Residency Coordinator</v>
      </c>
      <c r="P466" s="1" t="str">
        <f aca="false">IF(G466&gt;0,IF(INDEX(CONFIRM!$H$5:$H$53,G466)&lt;&gt;"",INDEX(CONFIRM!$H$5:$H$53,G466),IFERROR(INDEX(MAP!$B$7:$B$156,MATCH(TRIM(O466),MAP!$A$7:$A$156,0)),"UNMAPPED")),IFERROR(INDEX(MAP!$B$7:$B$156,MATCH(TRIM(O466),MAP!$A$7:$A$156,0)),"UNMAPPED"))</f>
        <v>Program Coordinator</v>
      </c>
      <c r="Q466" s="48" t="n">
        <f aca="false">STACK!I466</f>
        <v>4.75</v>
      </c>
      <c r="R466" s="60" t="n">
        <f aca="false">IF(G466&gt;0,IF(INDEX(CONFIRM!$F$5:$F$53,G466)&lt;&gt;"",INDEX(CONFIRM!$F$5:$F$53,G466),IF(ISNUMBER(Q466),Q466,IF(Q466="","",IFERROR(VALUE(TRIM(SUBSTITUTE(SUBSTITUTE(LOWER(Q466),"hrs",""),"hr",""))),"")))),IF(ISNUMBER(Q466),Q466,IF(Q466="","",IFERROR(VALUE(TRIM(SUBSTITUTE(SUBSTITUTE(LOWER(Q466),"hrs",""),"hr",""))),""))))</f>
        <v>4.75</v>
      </c>
      <c r="S466" s="57" t="n">
        <f aca="false">IFERROR(INDEX(RATES!$E$6:$E$28,MATCH(P466,RATES!$A$6:$A$28,0)),0)</f>
        <v>35.3375</v>
      </c>
      <c r="T466" s="61" t="n">
        <f aca="false">IF(ISNUMBER(R466),R466,0)*S466</f>
        <v>167.853125</v>
      </c>
      <c r="U466" s="61" t="n">
        <f aca="false">T466*INDEX(INPUTS!$H$10:$H$14,MATCH(B466,INPUTS!$A$10:$A$14,0))</f>
        <v>31.052828125</v>
      </c>
      <c r="V466" s="61" t="n">
        <f aca="false">N(STACK!K466)</f>
        <v>0</v>
      </c>
      <c r="W466" s="61" t="n">
        <f aca="false">T466+U466+V466</f>
        <v>198.905953125</v>
      </c>
      <c r="X466" s="61" t="n">
        <f aca="false">N(STACK!L466)</f>
        <v>0</v>
      </c>
      <c r="Y466" s="61" t="n">
        <f aca="false">W466-X466</f>
        <v>198.905953125</v>
      </c>
      <c r="Z466" s="1" t="n">
        <f aca="false">N(STACK!J466)</f>
        <v>0</v>
      </c>
      <c r="AA466" s="1" t="str">
        <f aca="false">TRIM(IF(D466="UNMAPPED","Program not mapped. ","")&amp;IF(OR(K466="UNMAPPED",K466="UNASSIGNED"),"Category needs review. ","")&amp;IF(P466="UNMAPPED","Title not mapped. ","")&amp;IF(AND(P466&lt;&gt;"No staff time",R466=""),"Missing hours. ","")&amp;IF(M466="","Date not readable. ","")&amp;IF(N466="No","Outside fiscal year. ","")&amp;IF(AND(F466="Event",ISNUMBER(R466)),IF(R466&gt;12,"Event hours look high. ",""),"")&amp;IF(G466&gt;0,"See CONFIRM sheet.",""))</f>
        <v/>
      </c>
      <c r="AB466" s="1" t="n">
        <f aca="false">IF(N466="No",0,IF(REVIEW!O466=0,0,IF(G466&gt;0,IF(INDEX(CONFIRM!$J$5:$J$53,G466)&lt;&gt;"",INDEX(CONFIRM!$J$5:$J$53,G466),1),1)))</f>
        <v>1</v>
      </c>
      <c r="AC466" s="1" t="n">
        <f aca="false">IF(AB466=1,IF(COUNTIFS($B$5:B466,B466,$D$5:D466,D466,$AB$5:AB466,1)=1,1,0),0)</f>
        <v>0</v>
      </c>
    </row>
    <row r="467" customFormat="false" ht="15" hidden="false" customHeight="false" outlineLevel="0" collapsed="false">
      <c r="A467" s="48" t="str">
        <f aca="false">STACK!A467</f>
        <v>KVMC-0463</v>
      </c>
      <c r="B467" s="48" t="str">
        <f aca="false">STACK!B467</f>
        <v>KVMC</v>
      </c>
      <c r="C467" s="48" t="str">
        <f aca="false">STACK!E467</f>
        <v>Mobile Health Screening Unit</v>
      </c>
      <c r="D467" s="1" t="str">
        <f aca="false">IFERROR(INDEX(MAP!$J$7:$J$101,MATCH(TRIM(C467),MAP!$I$7:$I$101,0)),"UNMAPPED")</f>
        <v>Mobile Health Screening Unit</v>
      </c>
      <c r="E467" s="1" t="str">
        <f aca="false">IFERROR(INDEX(MAP!$K$7:$K$101,MATCH(TRIM(C467),MAP!$I$7:$I$101,0)),"")</f>
        <v>Access to care</v>
      </c>
      <c r="F467" s="1" t="str">
        <f aca="false">IFERROR(INDEX(MAP!$L$7:$L$101,MATCH(TRIM(C467),MAP!$I$7:$I$101,0)),"")</f>
        <v>Monthly</v>
      </c>
      <c r="G467" s="1" t="n">
        <f aca="false">IFERROR(MATCH(A467,CONFIRM!$A$5:$A$53,0),0)</f>
        <v>0</v>
      </c>
      <c r="H467" s="48" t="str">
        <f aca="false">STACK!F467</f>
        <v>Community-Based Clinical Services</v>
      </c>
      <c r="I467" s="1" t="str">
        <f aca="false">IF(G467&gt;0,IF(INDEX(CONFIRM!$I$5:$I$53,G467)&lt;&gt;"",INDEX(CONFIRM!$I$5:$I$53,G467),H467),H467)</f>
        <v>Community-Based Clinical Services</v>
      </c>
      <c r="J467" s="1" t="str">
        <f aca="false">IFERROR(INDEX(MAP!$F$7:$F$74,MATCH(TRIM(I467),MAP!$E$7:$E$74,0)),"UNMAPPED")</f>
        <v>Community-based clinical services</v>
      </c>
      <c r="K467" s="1" t="str">
        <f aca="false">IFERROR(INDEX(MAP!$G$7:$G$74,MATCH(TRIM(I467),MAP!$E$7:$E$74,0)),"UNMAPPED")</f>
        <v>7e</v>
      </c>
      <c r="L467" s="49" t="n">
        <f aca="false">STACK!G467</f>
        <v>46173</v>
      </c>
      <c r="M467" s="59" t="n">
        <f aca="false">IF(G467&gt;0,IF(INDEX(CONFIRM!$G$5:$G$53,G467)&lt;&gt;"",INDEX(CONFIRM!$G$5:$G$53,G467),IF(ISNUMBER(L467),L467,IFERROR(DATEVALUE(L467),""))),IF(ISNUMBER(L467),L467,IFERROR(DATEVALUE(L467),"")))</f>
        <v>46173</v>
      </c>
      <c r="N467" s="1" t="str">
        <f aca="false">IF(M467="","Check",IF(AND(M467&gt;=INPUTS!$C$6,M467&lt;=INPUTS!$C$7),"Yes","No"))</f>
        <v>Yes</v>
      </c>
      <c r="O467" s="48" t="str">
        <f aca="false">STACK!H467</f>
        <v>C.H.W.</v>
      </c>
      <c r="P467" s="1" t="str">
        <f aca="false">IF(G467&gt;0,IF(INDEX(CONFIRM!$H$5:$H$53,G467)&lt;&gt;"",INDEX(CONFIRM!$H$5:$H$53,G467),IFERROR(INDEX(MAP!$B$7:$B$156,MATCH(TRIM(O467),MAP!$A$7:$A$156,0)),"UNMAPPED")),IFERROR(INDEX(MAP!$B$7:$B$156,MATCH(TRIM(O467),MAP!$A$7:$A$156,0)),"UNMAPPED"))</f>
        <v>Community Health Worker</v>
      </c>
      <c r="Q467" s="48" t="n">
        <f aca="false">STACK!I467</f>
        <v>82.25</v>
      </c>
      <c r="R467" s="60" t="n">
        <f aca="false">IF(G467&gt;0,IF(INDEX(CONFIRM!$F$5:$F$53,G467)&lt;&gt;"",INDEX(CONFIRM!$F$5:$F$53,G467),IF(ISNUMBER(Q467),Q467,IF(Q467="","",IFERROR(VALUE(TRIM(SUBSTITUTE(SUBSTITUTE(LOWER(Q467),"hrs",""),"hr",""))),"")))),IF(ISNUMBER(Q467),Q467,IF(Q467="","",IFERROR(VALUE(TRIM(SUBSTITUTE(SUBSTITUTE(LOWER(Q467),"hrs",""),"hr",""))),""))))</f>
        <v>82.25</v>
      </c>
      <c r="S467" s="57" t="n">
        <f aca="false">IFERROR(INDEX(RATES!$E$6:$E$28,MATCH(P467,RATES!$A$6:$A$28,0)),0)</f>
        <v>27.6275</v>
      </c>
      <c r="T467" s="61" t="n">
        <f aca="false">IF(ISNUMBER(R467),R467,0)*S467</f>
        <v>2272.361875</v>
      </c>
      <c r="U467" s="61" t="n">
        <f aca="false">T467*INDEX(INPUTS!$H$10:$H$14,MATCH(B467,INPUTS!$A$10:$A$14,0))</f>
        <v>420.386946875</v>
      </c>
      <c r="V467" s="61" t="n">
        <f aca="false">N(STACK!K467)</f>
        <v>0</v>
      </c>
      <c r="W467" s="61" t="n">
        <f aca="false">T467+U467+V467</f>
        <v>2692.748821875</v>
      </c>
      <c r="X467" s="61" t="n">
        <f aca="false">N(STACK!L467)</f>
        <v>0</v>
      </c>
      <c r="Y467" s="61" t="n">
        <f aca="false">W467-X467</f>
        <v>2692.748821875</v>
      </c>
      <c r="Z467" s="1" t="n">
        <f aca="false">N(STACK!J467)</f>
        <v>0</v>
      </c>
      <c r="AA467" s="1" t="str">
        <f aca="false">TRIM(IF(D467="UNMAPPED","Program not mapped. ","")&amp;IF(OR(K467="UNMAPPED",K467="UNASSIGNED"),"Category needs review. ","")&amp;IF(P467="UNMAPPED","Title not mapped. ","")&amp;IF(AND(P467&lt;&gt;"No staff time",R467=""),"Missing hours. ","")&amp;IF(M467="","Date not readable. ","")&amp;IF(N467="No","Outside fiscal year. ","")&amp;IF(AND(F467="Event",ISNUMBER(R467)),IF(R467&gt;12,"Event hours look high. ",""),"")&amp;IF(G467&gt;0,"See CONFIRM sheet.",""))</f>
        <v/>
      </c>
      <c r="AB467" s="1" t="n">
        <f aca="false">IF(N467="No",0,IF(REVIEW!O467=0,0,IF(G467&gt;0,IF(INDEX(CONFIRM!$J$5:$J$53,G467)&lt;&gt;"",INDEX(CONFIRM!$J$5:$J$53,G467),1),1)))</f>
        <v>1</v>
      </c>
      <c r="AC467" s="1" t="n">
        <f aca="false">IF(AB467=1,IF(COUNTIFS($B$5:B467,B467,$D$5:D467,D467,$AB$5:AB467,1)=1,1,0),0)</f>
        <v>0</v>
      </c>
    </row>
    <row r="468" customFormat="false" ht="15" hidden="false" customHeight="false" outlineLevel="0" collapsed="false">
      <c r="A468" s="48" t="str">
        <f aca="false">STACK!A468</f>
        <v>KVMC-0464</v>
      </c>
      <c r="B468" s="48" t="str">
        <f aca="false">STACK!B468</f>
        <v>KVMC</v>
      </c>
      <c r="C468" s="48" t="str">
        <f aca="false">STACK!E468</f>
        <v>Mobile Health Screening Unit</v>
      </c>
      <c r="D468" s="1" t="str">
        <f aca="false">IFERROR(INDEX(MAP!$J$7:$J$101,MATCH(TRIM(C468),MAP!$I$7:$I$101,0)),"UNMAPPED")</f>
        <v>Mobile Health Screening Unit</v>
      </c>
      <c r="E468" s="1" t="str">
        <f aca="false">IFERROR(INDEX(MAP!$K$7:$K$101,MATCH(TRIM(C468),MAP!$I$7:$I$101,0)),"")</f>
        <v>Access to care</v>
      </c>
      <c r="F468" s="1" t="str">
        <f aca="false">IFERROR(INDEX(MAP!$L$7:$L$101,MATCH(TRIM(C468),MAP!$I$7:$I$101,0)),"")</f>
        <v>Monthly</v>
      </c>
      <c r="G468" s="1" t="n">
        <f aca="false">IFERROR(MATCH(A468,CONFIRM!$A$5:$A$53,0),0)</f>
        <v>0</v>
      </c>
      <c r="H468" s="48" t="str">
        <f aca="false">STACK!F468</f>
        <v>Community-Based Clinical Services</v>
      </c>
      <c r="I468" s="1" t="str">
        <f aca="false">IF(G468&gt;0,IF(INDEX(CONFIRM!$I$5:$I$53,G468)&lt;&gt;"",INDEX(CONFIRM!$I$5:$I$53,G468),H468),H468)</f>
        <v>Community-Based Clinical Services</v>
      </c>
      <c r="J468" s="1" t="str">
        <f aca="false">IFERROR(INDEX(MAP!$F$7:$F$74,MATCH(TRIM(I468),MAP!$E$7:$E$74,0)),"UNMAPPED")</f>
        <v>Community-based clinical services</v>
      </c>
      <c r="K468" s="1" t="str">
        <f aca="false">IFERROR(INDEX(MAP!$G$7:$G$74,MATCH(TRIM(I468),MAP!$E$7:$E$74,0)),"UNMAPPED")</f>
        <v>7e</v>
      </c>
      <c r="L468" s="49" t="n">
        <f aca="false">STACK!G468</f>
        <v>46173</v>
      </c>
      <c r="M468" s="59" t="n">
        <f aca="false">IF(G468&gt;0,IF(INDEX(CONFIRM!$G$5:$G$53,G468)&lt;&gt;"",INDEX(CONFIRM!$G$5:$G$53,G468),IF(ISNUMBER(L468),L468,IFERROR(DATEVALUE(L468),""))),IF(ISNUMBER(L468),L468,IFERROR(DATEVALUE(L468),"")))</f>
        <v>46173</v>
      </c>
      <c r="N468" s="1" t="str">
        <f aca="false">IF(M468="","Check",IF(AND(M468&gt;=INPUTS!$C$6,M468&lt;=INPUTS!$C$7),"Yes","No"))</f>
        <v>Yes</v>
      </c>
      <c r="O468" s="48" t="str">
        <f aca="false">STACK!H468</f>
        <v>MED ASST</v>
      </c>
      <c r="P468" s="1" t="str">
        <f aca="false">IF(G468&gt;0,IF(INDEX(CONFIRM!$H$5:$H$53,G468)&lt;&gt;"",INDEX(CONFIRM!$H$5:$H$53,G468),IFERROR(INDEX(MAP!$B$7:$B$156,MATCH(TRIM(O468),MAP!$A$7:$A$156,0)),"UNMAPPED")),IFERROR(INDEX(MAP!$B$7:$B$156,MATCH(TRIM(O468),MAP!$A$7:$A$156,0)),"UNMAPPED"))</f>
        <v>Medical Assistant</v>
      </c>
      <c r="Q468" s="48" t="n">
        <f aca="false">STACK!I468</f>
        <v>99.5</v>
      </c>
      <c r="R468" s="60" t="n">
        <f aca="false">IF(G468&gt;0,IF(INDEX(CONFIRM!$F$5:$F$53,G468)&lt;&gt;"",INDEX(CONFIRM!$F$5:$F$53,G468),IF(ISNUMBER(Q468),Q468,IF(Q468="","",IFERROR(VALUE(TRIM(SUBSTITUTE(SUBSTITUTE(LOWER(Q468),"hrs",""),"hr",""))),"")))),IF(ISNUMBER(Q468),Q468,IF(Q468="","",IFERROR(VALUE(TRIM(SUBSTITUTE(SUBSTITUTE(LOWER(Q468),"hrs",""),"hr",""))),""))))</f>
        <v>99.5</v>
      </c>
      <c r="S468" s="57" t="n">
        <f aca="false">IFERROR(INDEX(RATES!$E$6:$E$28,MATCH(P468,RATES!$A$6:$A$28,0)),0)</f>
        <v>25.37875</v>
      </c>
      <c r="T468" s="61" t="n">
        <f aca="false">IF(ISNUMBER(R468),R468,0)*S468</f>
        <v>2525.185625</v>
      </c>
      <c r="U468" s="61" t="n">
        <f aca="false">T468*INDEX(INPUTS!$H$10:$H$14,MATCH(B468,INPUTS!$A$10:$A$14,0))</f>
        <v>467.159340625</v>
      </c>
      <c r="V468" s="61" t="n">
        <f aca="false">N(STACK!K468)</f>
        <v>0</v>
      </c>
      <c r="W468" s="61" t="n">
        <f aca="false">T468+U468+V468</f>
        <v>2992.344965625</v>
      </c>
      <c r="X468" s="61" t="n">
        <f aca="false">N(STACK!L468)</f>
        <v>0</v>
      </c>
      <c r="Y468" s="61" t="n">
        <f aca="false">W468-X468</f>
        <v>2992.344965625</v>
      </c>
      <c r="Z468" s="1" t="n">
        <f aca="false">N(STACK!J468)</f>
        <v>0</v>
      </c>
      <c r="AA468" s="1" t="str">
        <f aca="false">TRIM(IF(D468="UNMAPPED","Program not mapped. ","")&amp;IF(OR(K468="UNMAPPED",K468="UNASSIGNED"),"Category needs review. ","")&amp;IF(P468="UNMAPPED","Title not mapped. ","")&amp;IF(AND(P468&lt;&gt;"No staff time",R468=""),"Missing hours. ","")&amp;IF(M468="","Date not readable. ","")&amp;IF(N468="No","Outside fiscal year. ","")&amp;IF(AND(F468="Event",ISNUMBER(R468)),IF(R468&gt;12,"Event hours look high. ",""),"")&amp;IF(G468&gt;0,"See CONFIRM sheet.",""))</f>
        <v/>
      </c>
      <c r="AB468" s="1" t="n">
        <f aca="false">IF(N468="No",0,IF(REVIEW!O468=0,0,IF(G468&gt;0,IF(INDEX(CONFIRM!$J$5:$J$53,G468)&lt;&gt;"",INDEX(CONFIRM!$J$5:$J$53,G468),1),1)))</f>
        <v>1</v>
      </c>
      <c r="AC468" s="1" t="n">
        <f aca="false">IF(AB468=1,IF(COUNTIFS($B$5:B468,B468,$D$5:D468,D468,$AB$5:AB468,1)=1,1,0),0)</f>
        <v>0</v>
      </c>
    </row>
    <row r="469" customFormat="false" ht="15" hidden="false" customHeight="false" outlineLevel="0" collapsed="false">
      <c r="A469" s="48" t="str">
        <f aca="false">STACK!A469</f>
        <v>KVMC-0465</v>
      </c>
      <c r="B469" s="48" t="str">
        <f aca="false">STACK!B469</f>
        <v>KVMC</v>
      </c>
      <c r="C469" s="48" t="str">
        <f aca="false">STACK!E469</f>
        <v>Mobile Health Screening Unit</v>
      </c>
      <c r="D469" s="1" t="str">
        <f aca="false">IFERROR(INDEX(MAP!$J$7:$J$101,MATCH(TRIM(C469),MAP!$I$7:$I$101,0)),"UNMAPPED")</f>
        <v>Mobile Health Screening Unit</v>
      </c>
      <c r="E469" s="1" t="str">
        <f aca="false">IFERROR(INDEX(MAP!$K$7:$K$101,MATCH(TRIM(C469),MAP!$I$7:$I$101,0)),"")</f>
        <v>Access to care</v>
      </c>
      <c r="F469" s="1" t="str">
        <f aca="false">IFERROR(INDEX(MAP!$L$7:$L$101,MATCH(TRIM(C469),MAP!$I$7:$I$101,0)),"")</f>
        <v>Monthly</v>
      </c>
      <c r="G469" s="1" t="n">
        <f aca="false">IFERROR(MATCH(A469,CONFIRM!$A$5:$A$53,0),0)</f>
        <v>0</v>
      </c>
      <c r="H469" s="48" t="str">
        <f aca="false">STACK!F469</f>
        <v>Community-Based Clinical Services</v>
      </c>
      <c r="I469" s="1" t="str">
        <f aca="false">IF(G469&gt;0,IF(INDEX(CONFIRM!$I$5:$I$53,G469)&lt;&gt;"",INDEX(CONFIRM!$I$5:$I$53,G469),H469),H469)</f>
        <v>Community-Based Clinical Services</v>
      </c>
      <c r="J469" s="1" t="str">
        <f aca="false">IFERROR(INDEX(MAP!$F$7:$F$74,MATCH(TRIM(I469),MAP!$E$7:$E$74,0)),"UNMAPPED")</f>
        <v>Community-based clinical services</v>
      </c>
      <c r="K469" s="1" t="str">
        <f aca="false">IFERROR(INDEX(MAP!$G$7:$G$74,MATCH(TRIM(I469),MAP!$E$7:$E$74,0)),"UNMAPPED")</f>
        <v>7e</v>
      </c>
      <c r="L469" s="49" t="n">
        <f aca="false">STACK!G469</f>
        <v>46173</v>
      </c>
      <c r="M469" s="59" t="n">
        <f aca="false">IF(G469&gt;0,IF(INDEX(CONFIRM!$G$5:$G$53,G469)&lt;&gt;"",INDEX(CONFIRM!$G$5:$G$53,G469),IF(ISNUMBER(L469),L469,IFERROR(DATEVALUE(L469),""))),IF(ISNUMBER(L469),L469,IFERROR(DATEVALUE(L469),"")))</f>
        <v>46173</v>
      </c>
      <c r="N469" s="1" t="str">
        <f aca="false">IF(M469="","Check",IF(AND(M469&gt;=INPUTS!$C$6,M469&lt;=INPUTS!$C$7),"Yes","No"))</f>
        <v>Yes</v>
      </c>
      <c r="O469" s="48" t="str">
        <f aca="false">STACK!H469</f>
        <v>Registered Nurse</v>
      </c>
      <c r="P469" s="1" t="str">
        <f aca="false">IF(G469&gt;0,IF(INDEX(CONFIRM!$H$5:$H$53,G469)&lt;&gt;"",INDEX(CONFIRM!$H$5:$H$53,G469),IFERROR(INDEX(MAP!$B$7:$B$156,MATCH(TRIM(O469),MAP!$A$7:$A$156,0)),"UNMAPPED")),IFERROR(INDEX(MAP!$B$7:$B$156,MATCH(TRIM(O469),MAP!$A$7:$A$156,0)),"UNMAPPED"))</f>
        <v>Registered Nurse</v>
      </c>
      <c r="Q469" s="48" t="n">
        <f aca="false">STACK!I469</f>
        <v>120</v>
      </c>
      <c r="R469" s="60" t="n">
        <f aca="false">IF(G469&gt;0,IF(INDEX(CONFIRM!$F$5:$F$53,G469)&lt;&gt;"",INDEX(CONFIRM!$F$5:$F$53,G469),IF(ISNUMBER(Q469),Q469,IF(Q469="","",IFERROR(VALUE(TRIM(SUBSTITUTE(SUBSTITUTE(LOWER(Q469),"hrs",""),"hr",""))),"")))),IF(ISNUMBER(Q469),Q469,IF(Q469="","",IFERROR(VALUE(TRIM(SUBSTITUTE(SUBSTITUTE(LOWER(Q469),"hrs",""),"hr",""))),""))))</f>
        <v>120</v>
      </c>
      <c r="S469" s="57" t="n">
        <f aca="false">IFERROR(INDEX(RATES!$E$6:$E$28,MATCH(P469,RATES!$A$6:$A$28,0)),0)</f>
        <v>55.8975</v>
      </c>
      <c r="T469" s="61" t="n">
        <f aca="false">IF(ISNUMBER(R469),R469,0)*S469</f>
        <v>6707.7</v>
      </c>
      <c r="U469" s="61" t="n">
        <f aca="false">T469*INDEX(INPUTS!$H$10:$H$14,MATCH(B469,INPUTS!$A$10:$A$14,0))</f>
        <v>1240.9245</v>
      </c>
      <c r="V469" s="61" t="n">
        <f aca="false">N(STACK!K469)</f>
        <v>6865</v>
      </c>
      <c r="W469" s="61" t="n">
        <f aca="false">T469+U469+V469</f>
        <v>14813.6245</v>
      </c>
      <c r="X469" s="61" t="n">
        <f aca="false">N(STACK!L469)</f>
        <v>0</v>
      </c>
      <c r="Y469" s="61" t="n">
        <f aca="false">W469-X469</f>
        <v>14813.6245</v>
      </c>
      <c r="Z469" s="1" t="n">
        <f aca="false">N(STACK!J469)</f>
        <v>198</v>
      </c>
      <c r="AA469" s="1" t="str">
        <f aca="false">TRIM(IF(D469="UNMAPPED","Program not mapped. ","")&amp;IF(OR(K469="UNMAPPED",K469="UNASSIGNED"),"Category needs review. ","")&amp;IF(P469="UNMAPPED","Title not mapped. ","")&amp;IF(AND(P469&lt;&gt;"No staff time",R469=""),"Missing hours. ","")&amp;IF(M469="","Date not readable. ","")&amp;IF(N469="No","Outside fiscal year. ","")&amp;IF(AND(F469="Event",ISNUMBER(R469)),IF(R469&gt;12,"Event hours look high. ",""),"")&amp;IF(G469&gt;0,"See CONFIRM sheet.",""))</f>
        <v/>
      </c>
      <c r="AB469" s="1" t="n">
        <f aca="false">IF(N469="No",0,IF(REVIEW!O469=0,0,IF(G469&gt;0,IF(INDEX(CONFIRM!$J$5:$J$53,G469)&lt;&gt;"",INDEX(CONFIRM!$J$5:$J$53,G469),1),1)))</f>
        <v>1</v>
      </c>
      <c r="AC469" s="1" t="n">
        <f aca="false">IF(AB469=1,IF(COUNTIFS($B$5:B469,B469,$D$5:D469,D469,$AB$5:AB469,1)=1,1,0),0)</f>
        <v>0</v>
      </c>
    </row>
    <row r="470" customFormat="false" ht="15" hidden="false" customHeight="false" outlineLevel="0" collapsed="false">
      <c r="A470" s="48" t="str">
        <f aca="false">STACK!A470</f>
        <v>KVMC-0466</v>
      </c>
      <c r="B470" s="48" t="str">
        <f aca="false">STACK!B470</f>
        <v>KVMC</v>
      </c>
      <c r="C470" s="48" t="str">
        <f aca="false">STACK!E470</f>
        <v>Free Clinic Provider Staffing</v>
      </c>
      <c r="D470" s="1" t="str">
        <f aca="false">IFERROR(INDEX(MAP!$J$7:$J$101,MATCH(TRIM(C470),MAP!$I$7:$I$101,0)),"UNMAPPED")</f>
        <v>Free Clinic Provider Staffing</v>
      </c>
      <c r="E470" s="1" t="str">
        <f aca="false">IFERROR(INDEX(MAP!$K$7:$K$101,MATCH(TRIM(C470),MAP!$I$7:$I$101,0)),"")</f>
        <v>Access to care</v>
      </c>
      <c r="F470" s="1" t="str">
        <f aca="false">IFERROR(INDEX(MAP!$L$7:$L$101,MATCH(TRIM(C470),MAP!$I$7:$I$101,0)),"")</f>
        <v>Monthly</v>
      </c>
      <c r="G470" s="1" t="n">
        <f aca="false">IFERROR(MATCH(A470,CONFIRM!$A$5:$A$53,0),0)</f>
        <v>0</v>
      </c>
      <c r="H470" s="48" t="str">
        <f aca="false">STACK!F470</f>
        <v>Community-Based Clinical Services</v>
      </c>
      <c r="I470" s="1" t="str">
        <f aca="false">IF(G470&gt;0,IF(INDEX(CONFIRM!$I$5:$I$53,G470)&lt;&gt;"",INDEX(CONFIRM!$I$5:$I$53,G470),H470),H470)</f>
        <v>Community-Based Clinical Services</v>
      </c>
      <c r="J470" s="1" t="str">
        <f aca="false">IFERROR(INDEX(MAP!$F$7:$F$74,MATCH(TRIM(I470),MAP!$E$7:$E$74,0)),"UNMAPPED")</f>
        <v>Community-based clinical services</v>
      </c>
      <c r="K470" s="1" t="str">
        <f aca="false">IFERROR(INDEX(MAP!$G$7:$G$74,MATCH(TRIM(I470),MAP!$E$7:$E$74,0)),"UNMAPPED")</f>
        <v>7e</v>
      </c>
      <c r="L470" s="49" t="n">
        <f aca="false">STACK!G470</f>
        <v>46173</v>
      </c>
      <c r="M470" s="59" t="n">
        <f aca="false">IF(G470&gt;0,IF(INDEX(CONFIRM!$G$5:$G$53,G470)&lt;&gt;"",INDEX(CONFIRM!$G$5:$G$53,G470),IF(ISNUMBER(L470),L470,IFERROR(DATEVALUE(L470),""))),IF(ISNUMBER(L470),L470,IFERROR(DATEVALUE(L470),"")))</f>
        <v>46173</v>
      </c>
      <c r="N470" s="1" t="str">
        <f aca="false">IF(M470="","Check",IF(AND(M470&gt;=INPUTS!$C$6,M470&lt;=INPUTS!$C$7),"Yes","No"))</f>
        <v>Yes</v>
      </c>
      <c r="O470" s="48" t="str">
        <f aca="false">STACK!H470</f>
        <v>Family NP</v>
      </c>
      <c r="P470" s="1" t="str">
        <f aca="false">IF(G470&gt;0,IF(INDEX(CONFIRM!$H$5:$H$53,G470)&lt;&gt;"",INDEX(CONFIRM!$H$5:$H$53,G470),IFERROR(INDEX(MAP!$B$7:$B$156,MATCH(TRIM(O470),MAP!$A$7:$A$156,0)),"UNMAPPED")),IFERROR(INDEX(MAP!$B$7:$B$156,MATCH(TRIM(O470),MAP!$A$7:$A$156,0)),"UNMAPPED"))</f>
        <v>Nurse Practitioner</v>
      </c>
      <c r="Q470" s="48" t="n">
        <f aca="false">STACK!I470</f>
        <v>51.5</v>
      </c>
      <c r="R470" s="60" t="n">
        <f aca="false">IF(G470&gt;0,IF(INDEX(CONFIRM!$F$5:$F$53,G470)&lt;&gt;"",INDEX(CONFIRM!$F$5:$F$53,G470),IF(ISNUMBER(Q470),Q470,IF(Q470="","",IFERROR(VALUE(TRIM(SUBSTITUTE(SUBSTITUTE(LOWER(Q470),"hrs",""),"hr",""))),"")))),IF(ISNUMBER(Q470),Q470,IF(Q470="","",IFERROR(VALUE(TRIM(SUBSTITUTE(SUBSTITUTE(LOWER(Q470),"hrs",""),"hr",""))),""))))</f>
        <v>51.5</v>
      </c>
      <c r="S470" s="57" t="n">
        <f aca="false">IFERROR(INDEX(RATES!$E$6:$E$28,MATCH(P470,RATES!$A$6:$A$28,0)),0)</f>
        <v>79.67</v>
      </c>
      <c r="T470" s="61" t="n">
        <f aca="false">IF(ISNUMBER(R470),R470,0)*S470</f>
        <v>4103.005</v>
      </c>
      <c r="U470" s="61" t="n">
        <f aca="false">T470*INDEX(INPUTS!$H$10:$H$14,MATCH(B470,INPUTS!$A$10:$A$14,0))</f>
        <v>759.055925</v>
      </c>
      <c r="V470" s="61" t="n">
        <f aca="false">N(STACK!K470)</f>
        <v>4925</v>
      </c>
      <c r="W470" s="61" t="n">
        <f aca="false">T470+U470+V470</f>
        <v>9787.060925</v>
      </c>
      <c r="X470" s="61" t="n">
        <f aca="false">N(STACK!L470)</f>
        <v>0</v>
      </c>
      <c r="Y470" s="61" t="n">
        <f aca="false">W470-X470</f>
        <v>9787.060925</v>
      </c>
      <c r="Z470" s="1" t="n">
        <f aca="false">N(STACK!J470)</f>
        <v>371</v>
      </c>
      <c r="AA470" s="1" t="str">
        <f aca="false">TRIM(IF(D470="UNMAPPED","Program not mapped. ","")&amp;IF(OR(K470="UNMAPPED",K470="UNASSIGNED"),"Category needs review. ","")&amp;IF(P470="UNMAPPED","Title not mapped. ","")&amp;IF(AND(P470&lt;&gt;"No staff time",R470=""),"Missing hours. ","")&amp;IF(M470="","Date not readable. ","")&amp;IF(N470="No","Outside fiscal year. ","")&amp;IF(AND(F470="Event",ISNUMBER(R470)),IF(R470&gt;12,"Event hours look high. ",""),"")&amp;IF(G470&gt;0,"See CONFIRM sheet.",""))</f>
        <v/>
      </c>
      <c r="AB470" s="1" t="n">
        <f aca="false">IF(N470="No",0,IF(REVIEW!O470=0,0,IF(G470&gt;0,IF(INDEX(CONFIRM!$J$5:$J$53,G470)&lt;&gt;"",INDEX(CONFIRM!$J$5:$J$53,G470),1),1)))</f>
        <v>1</v>
      </c>
      <c r="AC470" s="1" t="n">
        <f aca="false">IF(AB470=1,IF(COUNTIFS($B$5:B470,B470,$D$5:D470,D470,$AB$5:AB470,1)=1,1,0),0)</f>
        <v>0</v>
      </c>
    </row>
    <row r="471" customFormat="false" ht="15" hidden="false" customHeight="false" outlineLevel="0" collapsed="false">
      <c r="A471" s="48" t="str">
        <f aca="false">STACK!A471</f>
        <v>KVMC-0467</v>
      </c>
      <c r="B471" s="48" t="str">
        <f aca="false">STACK!B471</f>
        <v>KVMC</v>
      </c>
      <c r="C471" s="48" t="str">
        <f aca="false">STACK!E471</f>
        <v>Free Clinic Provider Staffing</v>
      </c>
      <c r="D471" s="1" t="str">
        <f aca="false">IFERROR(INDEX(MAP!$J$7:$J$101,MATCH(TRIM(C471),MAP!$I$7:$I$101,0)),"UNMAPPED")</f>
        <v>Free Clinic Provider Staffing</v>
      </c>
      <c r="E471" s="1" t="str">
        <f aca="false">IFERROR(INDEX(MAP!$K$7:$K$101,MATCH(TRIM(C471),MAP!$I$7:$I$101,0)),"")</f>
        <v>Access to care</v>
      </c>
      <c r="F471" s="1" t="str">
        <f aca="false">IFERROR(INDEX(MAP!$L$7:$L$101,MATCH(TRIM(C471),MAP!$I$7:$I$101,0)),"")</f>
        <v>Monthly</v>
      </c>
      <c r="G471" s="1" t="n">
        <f aca="false">IFERROR(MATCH(A471,CONFIRM!$A$5:$A$53,0),0)</f>
        <v>0</v>
      </c>
      <c r="H471" s="48" t="str">
        <f aca="false">STACK!F471</f>
        <v>Community-Based Clinical Services</v>
      </c>
      <c r="I471" s="1" t="str">
        <f aca="false">IF(G471&gt;0,IF(INDEX(CONFIRM!$I$5:$I$53,G471)&lt;&gt;"",INDEX(CONFIRM!$I$5:$I$53,G471),H471),H471)</f>
        <v>Community-Based Clinical Services</v>
      </c>
      <c r="J471" s="1" t="str">
        <f aca="false">IFERROR(INDEX(MAP!$F$7:$F$74,MATCH(TRIM(I471),MAP!$E$7:$E$74,0)),"UNMAPPED")</f>
        <v>Community-based clinical services</v>
      </c>
      <c r="K471" s="1" t="str">
        <f aca="false">IFERROR(INDEX(MAP!$G$7:$G$74,MATCH(TRIM(I471),MAP!$E$7:$E$74,0)),"UNMAPPED")</f>
        <v>7e</v>
      </c>
      <c r="L471" s="49" t="n">
        <f aca="false">STACK!G471</f>
        <v>46173</v>
      </c>
      <c r="M471" s="59" t="n">
        <f aca="false">IF(G471&gt;0,IF(INDEX(CONFIRM!$G$5:$G$53,G471)&lt;&gt;"",INDEX(CONFIRM!$G$5:$G$53,G471),IF(ISNUMBER(L471),L471,IFERROR(DATEVALUE(L471),""))),IF(ISNUMBER(L471),L471,IFERROR(DATEVALUE(L471),"")))</f>
        <v>46173</v>
      </c>
      <c r="N471" s="1" t="str">
        <f aca="false">IF(M471="","Check",IF(AND(M471&gt;=INPUTS!$C$6,M471&lt;=INPUTS!$C$7),"Yes","No"))</f>
        <v>Yes</v>
      </c>
      <c r="O471" s="48" t="str">
        <f aca="false">STACK!H471</f>
        <v>Pharm.D.</v>
      </c>
      <c r="P471" s="1" t="str">
        <f aca="false">IF(G471&gt;0,IF(INDEX(CONFIRM!$H$5:$H$53,G471)&lt;&gt;"",INDEX(CONFIRM!$H$5:$H$53,G471),IFERROR(INDEX(MAP!$B$7:$B$156,MATCH(TRIM(O471),MAP!$A$7:$A$156,0)),"UNMAPPED")),IFERROR(INDEX(MAP!$B$7:$B$156,MATCH(TRIM(O471),MAP!$A$7:$A$156,0)),"UNMAPPED"))</f>
        <v>Pharmacist</v>
      </c>
      <c r="Q471" s="48" t="n">
        <f aca="false">STACK!I471</f>
        <v>18.25</v>
      </c>
      <c r="R471" s="60" t="n">
        <f aca="false">IF(G471&gt;0,IF(INDEX(CONFIRM!$F$5:$F$53,G471)&lt;&gt;"",INDEX(CONFIRM!$F$5:$F$53,G471),IF(ISNUMBER(Q471),Q471,IF(Q471="","",IFERROR(VALUE(TRIM(SUBSTITUTE(SUBSTITUTE(LOWER(Q471),"hrs",""),"hr",""))),"")))),IF(ISNUMBER(Q471),Q471,IF(Q471="","",IFERROR(VALUE(TRIM(SUBSTITUTE(SUBSTITUTE(LOWER(Q471),"hrs",""),"hr",""))),""))))</f>
        <v>18.25</v>
      </c>
      <c r="S471" s="57" t="n">
        <f aca="false">IFERROR(INDEX(RATES!$E$6:$E$28,MATCH(P471,RATES!$A$6:$A$28,0)),0)</f>
        <v>84.81</v>
      </c>
      <c r="T471" s="61" t="n">
        <f aca="false">IF(ISNUMBER(R471),R471,0)*S471</f>
        <v>1547.7825</v>
      </c>
      <c r="U471" s="61" t="n">
        <f aca="false">T471*INDEX(INPUTS!$H$10:$H$14,MATCH(B471,INPUTS!$A$10:$A$14,0))</f>
        <v>286.3397625</v>
      </c>
      <c r="V471" s="61" t="n">
        <f aca="false">N(STACK!K471)</f>
        <v>0</v>
      </c>
      <c r="W471" s="61" t="n">
        <f aca="false">T471+U471+V471</f>
        <v>1834.1222625</v>
      </c>
      <c r="X471" s="61" t="n">
        <f aca="false">N(STACK!L471)</f>
        <v>0</v>
      </c>
      <c r="Y471" s="61" t="n">
        <f aca="false">W471-X471</f>
        <v>1834.1222625</v>
      </c>
      <c r="Z471" s="1" t="n">
        <f aca="false">N(STACK!J471)</f>
        <v>0</v>
      </c>
      <c r="AA471" s="1" t="str">
        <f aca="false">TRIM(IF(D471="UNMAPPED","Program not mapped. ","")&amp;IF(OR(K471="UNMAPPED",K471="UNASSIGNED"),"Category needs review. ","")&amp;IF(P471="UNMAPPED","Title not mapped. ","")&amp;IF(AND(P471&lt;&gt;"No staff time",R471=""),"Missing hours. ","")&amp;IF(M471="","Date not readable. ","")&amp;IF(N471="No","Outside fiscal year. ","")&amp;IF(AND(F471="Event",ISNUMBER(R471)),IF(R471&gt;12,"Event hours look high. ",""),"")&amp;IF(G471&gt;0,"See CONFIRM sheet.",""))</f>
        <v/>
      </c>
      <c r="AB471" s="1" t="n">
        <f aca="false">IF(N471="No",0,IF(REVIEW!O471=0,0,IF(G471&gt;0,IF(INDEX(CONFIRM!$J$5:$J$53,G471)&lt;&gt;"",INDEX(CONFIRM!$J$5:$J$53,G471),1),1)))</f>
        <v>1</v>
      </c>
      <c r="AC471" s="1" t="n">
        <f aca="false">IF(AB471=1,IF(COUNTIFS($B$5:B471,B471,$D$5:D471,D471,$AB$5:AB471,1)=1,1,0),0)</f>
        <v>0</v>
      </c>
    </row>
    <row r="472" customFormat="false" ht="15" hidden="false" customHeight="false" outlineLevel="0" collapsed="false">
      <c r="A472" s="48" t="str">
        <f aca="false">STACK!A472</f>
        <v>KVMC-0468</v>
      </c>
      <c r="B472" s="48" t="str">
        <f aca="false">STACK!B472</f>
        <v>KVMC</v>
      </c>
      <c r="C472" s="48" t="str">
        <f aca="false">STACK!E472</f>
        <v>Free Clinic Provider Staffing</v>
      </c>
      <c r="D472" s="1" t="str">
        <f aca="false">IFERROR(INDEX(MAP!$J$7:$J$101,MATCH(TRIM(C472),MAP!$I$7:$I$101,0)),"UNMAPPED")</f>
        <v>Free Clinic Provider Staffing</v>
      </c>
      <c r="E472" s="1" t="str">
        <f aca="false">IFERROR(INDEX(MAP!$K$7:$K$101,MATCH(TRIM(C472),MAP!$I$7:$I$101,0)),"")</f>
        <v>Access to care</v>
      </c>
      <c r="F472" s="1" t="str">
        <f aca="false">IFERROR(INDEX(MAP!$L$7:$L$101,MATCH(TRIM(C472),MAP!$I$7:$I$101,0)),"")</f>
        <v>Monthly</v>
      </c>
      <c r="G472" s="1" t="n">
        <f aca="false">IFERROR(MATCH(A472,CONFIRM!$A$5:$A$53,0),0)</f>
        <v>0</v>
      </c>
      <c r="H472" s="48" t="str">
        <f aca="false">STACK!F472</f>
        <v>Community-Based Clinical Services</v>
      </c>
      <c r="I472" s="1" t="str">
        <f aca="false">IF(G472&gt;0,IF(INDEX(CONFIRM!$I$5:$I$53,G472)&lt;&gt;"",INDEX(CONFIRM!$I$5:$I$53,G472),H472),H472)</f>
        <v>Community-Based Clinical Services</v>
      </c>
      <c r="J472" s="1" t="str">
        <f aca="false">IFERROR(INDEX(MAP!$F$7:$F$74,MATCH(TRIM(I472),MAP!$E$7:$E$74,0)),"UNMAPPED")</f>
        <v>Community-based clinical services</v>
      </c>
      <c r="K472" s="1" t="str">
        <f aca="false">IFERROR(INDEX(MAP!$G$7:$G$74,MATCH(TRIM(I472),MAP!$E$7:$E$74,0)),"UNMAPPED")</f>
        <v>7e</v>
      </c>
      <c r="L472" s="49" t="n">
        <f aca="false">STACK!G472</f>
        <v>46173</v>
      </c>
      <c r="M472" s="59" t="n">
        <f aca="false">IF(G472&gt;0,IF(INDEX(CONFIRM!$G$5:$G$53,G472)&lt;&gt;"",INDEX(CONFIRM!$G$5:$G$53,G472),IF(ISNUMBER(L472),L472,IFERROR(DATEVALUE(L472),""))),IF(ISNUMBER(L472),L472,IFERROR(DATEVALUE(L472),"")))</f>
        <v>46173</v>
      </c>
      <c r="N472" s="1" t="str">
        <f aca="false">IF(M472="","Check",IF(AND(M472&gt;=INPUTS!$C$6,M472&lt;=INPUTS!$C$7),"Yes","No"))</f>
        <v>Yes</v>
      </c>
      <c r="O472" s="48" t="str">
        <f aca="false">STACK!H472</f>
        <v>Reg Nurse</v>
      </c>
      <c r="P472" s="1" t="str">
        <f aca="false">IF(G472&gt;0,IF(INDEX(CONFIRM!$H$5:$H$53,G472)&lt;&gt;"",INDEX(CONFIRM!$H$5:$H$53,G472),IFERROR(INDEX(MAP!$B$7:$B$156,MATCH(TRIM(O472),MAP!$A$7:$A$156,0)),"UNMAPPED")),IFERROR(INDEX(MAP!$B$7:$B$156,MATCH(TRIM(O472),MAP!$A$7:$A$156,0)),"UNMAPPED"))</f>
        <v>Registered Nurse</v>
      </c>
      <c r="Q472" s="48" t="n">
        <f aca="false">STACK!I472</f>
        <v>58.5</v>
      </c>
      <c r="R472" s="60" t="n">
        <f aca="false">IF(G472&gt;0,IF(INDEX(CONFIRM!$F$5:$F$53,G472)&lt;&gt;"",INDEX(CONFIRM!$F$5:$F$53,G472),IF(ISNUMBER(Q472),Q472,IF(Q472="","",IFERROR(VALUE(TRIM(SUBSTITUTE(SUBSTITUTE(LOWER(Q472),"hrs",""),"hr",""))),"")))),IF(ISNUMBER(Q472),Q472,IF(Q472="","",IFERROR(VALUE(TRIM(SUBSTITUTE(SUBSTITUTE(LOWER(Q472),"hrs",""),"hr",""))),""))))</f>
        <v>58.5</v>
      </c>
      <c r="S472" s="57" t="n">
        <f aca="false">IFERROR(INDEX(RATES!$E$6:$E$28,MATCH(P472,RATES!$A$6:$A$28,0)),0)</f>
        <v>55.8975</v>
      </c>
      <c r="T472" s="61" t="n">
        <f aca="false">IF(ISNUMBER(R472),R472,0)*S472</f>
        <v>3270.00375</v>
      </c>
      <c r="U472" s="61" t="n">
        <f aca="false">T472*INDEX(INPUTS!$H$10:$H$14,MATCH(B472,INPUTS!$A$10:$A$14,0))</f>
        <v>604.95069375</v>
      </c>
      <c r="V472" s="61" t="n">
        <f aca="false">N(STACK!K472)</f>
        <v>0</v>
      </c>
      <c r="W472" s="61" t="n">
        <f aca="false">T472+U472+V472</f>
        <v>3874.95444375</v>
      </c>
      <c r="X472" s="61" t="n">
        <f aca="false">N(STACK!L472)</f>
        <v>0</v>
      </c>
      <c r="Y472" s="61" t="n">
        <f aca="false">W472-X472</f>
        <v>3874.95444375</v>
      </c>
      <c r="Z472" s="1" t="n">
        <f aca="false">N(STACK!J472)</f>
        <v>0</v>
      </c>
      <c r="AA472" s="1" t="str">
        <f aca="false">TRIM(IF(D472="UNMAPPED","Program not mapped. ","")&amp;IF(OR(K472="UNMAPPED",K472="UNASSIGNED"),"Category needs review. ","")&amp;IF(P472="UNMAPPED","Title not mapped. ","")&amp;IF(AND(P472&lt;&gt;"No staff time",R472=""),"Missing hours. ","")&amp;IF(M472="","Date not readable. ","")&amp;IF(N472="No","Outside fiscal year. ","")&amp;IF(AND(F472="Event",ISNUMBER(R472)),IF(R472&gt;12,"Event hours look high. ",""),"")&amp;IF(G472&gt;0,"See CONFIRM sheet.",""))</f>
        <v/>
      </c>
      <c r="AB472" s="1" t="n">
        <f aca="false">IF(N472="No",0,IF(REVIEW!O472=0,0,IF(G472&gt;0,IF(INDEX(CONFIRM!$J$5:$J$53,G472)&lt;&gt;"",INDEX(CONFIRM!$J$5:$J$53,G472),1),1)))</f>
        <v>1</v>
      </c>
      <c r="AC472" s="1" t="n">
        <f aca="false">IF(AB472=1,IF(COUNTIFS($B$5:B472,B472,$D$5:D472,D472,$AB$5:AB472,1)=1,1,0),0)</f>
        <v>0</v>
      </c>
    </row>
    <row r="473" customFormat="false" ht="15" hidden="false" customHeight="false" outlineLevel="0" collapsed="false">
      <c r="A473" s="48" t="str">
        <f aca="false">STACK!A473</f>
        <v>KVMC-0469</v>
      </c>
      <c r="B473" s="48" t="str">
        <f aca="false">STACK!B473</f>
        <v>KVMC</v>
      </c>
      <c r="C473" s="48" t="str">
        <f aca="false">STACK!E473</f>
        <v>Community Health Worker Outreach</v>
      </c>
      <c r="D473" s="1" t="str">
        <f aca="false">IFERROR(INDEX(MAP!$J$7:$J$101,MATCH(TRIM(C473),MAP!$I$7:$I$101,0)),"UNMAPPED")</f>
        <v>Community Health Worker Outreach</v>
      </c>
      <c r="E473" s="1" t="str">
        <f aca="false">IFERROR(INDEX(MAP!$K$7:$K$101,MATCH(TRIM(C473),MAP!$I$7:$I$101,0)),"")</f>
        <v>Access to care</v>
      </c>
      <c r="F473" s="1" t="str">
        <f aca="false">IFERROR(INDEX(MAP!$L$7:$L$101,MATCH(TRIM(C473),MAP!$I$7:$I$101,0)),"")</f>
        <v>Monthly</v>
      </c>
      <c r="G473" s="1" t="n">
        <f aca="false">IFERROR(MATCH(A473,CONFIRM!$A$5:$A$53,0),0)</f>
        <v>0</v>
      </c>
      <c r="H473" s="48" t="str">
        <f aca="false">STACK!F473</f>
        <v>Health Care Support Services</v>
      </c>
      <c r="I473" s="1" t="str">
        <f aca="false">IF(G473&gt;0,IF(INDEX(CONFIRM!$I$5:$I$53,G473)&lt;&gt;"",INDEX(CONFIRM!$I$5:$I$53,G473),H473),H473)</f>
        <v>Health Care Support Services</v>
      </c>
      <c r="J473" s="1" t="str">
        <f aca="false">IFERROR(INDEX(MAP!$F$7:$F$74,MATCH(TRIM(I473),MAP!$E$7:$E$74,0)),"UNMAPPED")</f>
        <v>Health care support services</v>
      </c>
      <c r="K473" s="1" t="str">
        <f aca="false">IFERROR(INDEX(MAP!$G$7:$G$74,MATCH(TRIM(I473),MAP!$E$7:$E$74,0)),"UNMAPPED")</f>
        <v>7e</v>
      </c>
      <c r="L473" s="49" t="n">
        <f aca="false">STACK!G473</f>
        <v>46173</v>
      </c>
      <c r="M473" s="59" t="n">
        <f aca="false">IF(G473&gt;0,IF(INDEX(CONFIRM!$G$5:$G$53,G473)&lt;&gt;"",INDEX(CONFIRM!$G$5:$G$53,G473),IF(ISNUMBER(L473),L473,IFERROR(DATEVALUE(L473),""))),IF(ISNUMBER(L473),L473,IFERROR(DATEVALUE(L473),"")))</f>
        <v>46173</v>
      </c>
      <c r="N473" s="1" t="str">
        <f aca="false">IF(M473="","Check",IF(AND(M473&gt;=INPUTS!$C$6,M473&lt;=INPUTS!$C$7),"Yes","No"))</f>
        <v>Yes</v>
      </c>
      <c r="O473" s="48" t="str">
        <f aca="false">STACK!H473</f>
        <v>Comm. Health Worker</v>
      </c>
      <c r="P473" s="1" t="str">
        <f aca="false">IF(G473&gt;0,IF(INDEX(CONFIRM!$H$5:$H$53,G473)&lt;&gt;"",INDEX(CONFIRM!$H$5:$H$53,G473),IFERROR(INDEX(MAP!$B$7:$B$156,MATCH(TRIM(O473),MAP!$A$7:$A$156,0)),"UNMAPPED")),IFERROR(INDEX(MAP!$B$7:$B$156,MATCH(TRIM(O473),MAP!$A$7:$A$156,0)),"UNMAPPED"))</f>
        <v>Community Health Worker</v>
      </c>
      <c r="Q473" s="48" t="n">
        <f aca="false">STACK!I473</f>
        <v>428.25</v>
      </c>
      <c r="R473" s="60" t="n">
        <f aca="false">IF(G473&gt;0,IF(INDEX(CONFIRM!$F$5:$F$53,G473)&lt;&gt;"",INDEX(CONFIRM!$F$5:$F$53,G473),IF(ISNUMBER(Q473),Q473,IF(Q473="","",IFERROR(VALUE(TRIM(SUBSTITUTE(SUBSTITUTE(LOWER(Q473),"hrs",""),"hr",""))),"")))),IF(ISNUMBER(Q473),Q473,IF(Q473="","",IFERROR(VALUE(TRIM(SUBSTITUTE(SUBSTITUTE(LOWER(Q473),"hrs",""),"hr",""))),""))))</f>
        <v>428.25</v>
      </c>
      <c r="S473" s="57" t="n">
        <f aca="false">IFERROR(INDEX(RATES!$E$6:$E$28,MATCH(P473,RATES!$A$6:$A$28,0)),0)</f>
        <v>27.6275</v>
      </c>
      <c r="T473" s="61" t="n">
        <f aca="false">IF(ISNUMBER(R473),R473,0)*S473</f>
        <v>11831.476875</v>
      </c>
      <c r="U473" s="61" t="n">
        <f aca="false">T473*INDEX(INPUTS!$H$10:$H$14,MATCH(B473,INPUTS!$A$10:$A$14,0))</f>
        <v>2188.823221875</v>
      </c>
      <c r="V473" s="61" t="n">
        <f aca="false">N(STACK!K473)</f>
        <v>1155</v>
      </c>
      <c r="W473" s="61" t="n">
        <f aca="false">T473+U473+V473</f>
        <v>15175.300096875</v>
      </c>
      <c r="X473" s="61" t="n">
        <f aca="false">N(STACK!L473)</f>
        <v>0</v>
      </c>
      <c r="Y473" s="61" t="n">
        <f aca="false">W473-X473</f>
        <v>15175.300096875</v>
      </c>
      <c r="Z473" s="1" t="n">
        <f aca="false">N(STACK!J473)</f>
        <v>607</v>
      </c>
      <c r="AA473" s="1" t="str">
        <f aca="false">TRIM(IF(D473="UNMAPPED","Program not mapped. ","")&amp;IF(OR(K473="UNMAPPED",K473="UNASSIGNED"),"Category needs review. ","")&amp;IF(P473="UNMAPPED","Title not mapped. ","")&amp;IF(AND(P473&lt;&gt;"No staff time",R473=""),"Missing hours. ","")&amp;IF(M473="","Date not readable. ","")&amp;IF(N473="No","Outside fiscal year. ","")&amp;IF(AND(F473="Event",ISNUMBER(R473)),IF(R473&gt;12,"Event hours look high. ",""),"")&amp;IF(G473&gt;0,"See CONFIRM sheet.",""))</f>
        <v/>
      </c>
      <c r="AB473" s="1" t="n">
        <f aca="false">IF(N473="No",0,IF(REVIEW!O473=0,0,IF(G473&gt;0,IF(INDEX(CONFIRM!$J$5:$J$53,G473)&lt;&gt;"",INDEX(CONFIRM!$J$5:$J$53,G473),1),1)))</f>
        <v>1</v>
      </c>
      <c r="AC473" s="1" t="n">
        <f aca="false">IF(AB473=1,IF(COUNTIFS($B$5:B473,B473,$D$5:D473,D473,$AB$5:AB473,1)=1,1,0),0)</f>
        <v>0</v>
      </c>
    </row>
    <row r="474" customFormat="false" ht="15" hidden="false" customHeight="false" outlineLevel="0" collapsed="false">
      <c r="A474" s="48" t="str">
        <f aca="false">STACK!A474</f>
        <v>KVMC-0470</v>
      </c>
      <c r="B474" s="48" t="str">
        <f aca="false">STACK!B474</f>
        <v>KVMC</v>
      </c>
      <c r="C474" s="48" t="str">
        <f aca="false">STACK!E474</f>
        <v>Community Health Worker Outreach</v>
      </c>
      <c r="D474" s="1" t="str">
        <f aca="false">IFERROR(INDEX(MAP!$J$7:$J$101,MATCH(TRIM(C474),MAP!$I$7:$I$101,0)),"UNMAPPED")</f>
        <v>Community Health Worker Outreach</v>
      </c>
      <c r="E474" s="1" t="str">
        <f aca="false">IFERROR(INDEX(MAP!$K$7:$K$101,MATCH(TRIM(C474),MAP!$I$7:$I$101,0)),"")</f>
        <v>Access to care</v>
      </c>
      <c r="F474" s="1" t="str">
        <f aca="false">IFERROR(INDEX(MAP!$L$7:$L$101,MATCH(TRIM(C474),MAP!$I$7:$I$101,0)),"")</f>
        <v>Monthly</v>
      </c>
      <c r="G474" s="1" t="n">
        <f aca="false">IFERROR(MATCH(A474,CONFIRM!$A$5:$A$53,0),0)</f>
        <v>0</v>
      </c>
      <c r="H474" s="48" t="str">
        <f aca="false">STACK!F474</f>
        <v>Health Care Support Services</v>
      </c>
      <c r="I474" s="1" t="str">
        <f aca="false">IF(G474&gt;0,IF(INDEX(CONFIRM!$I$5:$I$53,G474)&lt;&gt;"",INDEX(CONFIRM!$I$5:$I$53,G474),H474),H474)</f>
        <v>Health Care Support Services</v>
      </c>
      <c r="J474" s="1" t="str">
        <f aca="false">IFERROR(INDEX(MAP!$F$7:$F$74,MATCH(TRIM(I474),MAP!$E$7:$E$74,0)),"UNMAPPED")</f>
        <v>Health care support services</v>
      </c>
      <c r="K474" s="1" t="str">
        <f aca="false">IFERROR(INDEX(MAP!$G$7:$G$74,MATCH(TRIM(I474),MAP!$E$7:$E$74,0)),"UNMAPPED")</f>
        <v>7e</v>
      </c>
      <c r="L474" s="49" t="n">
        <f aca="false">STACK!G474</f>
        <v>46173</v>
      </c>
      <c r="M474" s="59" t="n">
        <f aca="false">IF(G474&gt;0,IF(INDEX(CONFIRM!$G$5:$G$53,G474)&lt;&gt;"",INDEX(CONFIRM!$G$5:$G$53,G474),IF(ISNUMBER(L474),L474,IFERROR(DATEVALUE(L474),""))),IF(ISNUMBER(L474),L474,IFERROR(DATEVALUE(L474),"")))</f>
        <v>46173</v>
      </c>
      <c r="N474" s="1" t="str">
        <f aca="false">IF(M474="","Check",IF(AND(M474&gt;=INPUTS!$C$6,M474&lt;=INPUTS!$C$7),"Yes","No"))</f>
        <v>Yes</v>
      </c>
      <c r="O474" s="48" t="str">
        <f aca="false">STACK!H474</f>
        <v>Patient Navigator </v>
      </c>
      <c r="P474" s="1" t="str">
        <f aca="false">IF(G474&gt;0,IF(INDEX(CONFIRM!$H$5:$H$53,G474)&lt;&gt;"",INDEX(CONFIRM!$H$5:$H$53,G474),IFERROR(INDEX(MAP!$B$7:$B$156,MATCH(TRIM(O474),MAP!$A$7:$A$156,0)),"UNMAPPED")),IFERROR(INDEX(MAP!$B$7:$B$156,MATCH(TRIM(O474),MAP!$A$7:$A$156,0)),"UNMAPPED"))</f>
        <v>Patient Navigator</v>
      </c>
      <c r="Q474" s="48" t="n">
        <f aca="false">STACK!I474</f>
        <v>181.25</v>
      </c>
      <c r="R474" s="60" t="n">
        <f aca="false">IF(G474&gt;0,IF(INDEX(CONFIRM!$F$5:$F$53,G474)&lt;&gt;"",INDEX(CONFIRM!$F$5:$F$53,G474),IF(ISNUMBER(Q474),Q474,IF(Q474="","",IFERROR(VALUE(TRIM(SUBSTITUTE(SUBSTITUTE(LOWER(Q474),"hrs",""),"hr",""))),"")))),IF(ISNUMBER(Q474),Q474,IF(Q474="","",IFERROR(VALUE(TRIM(SUBSTITUTE(SUBSTITUTE(LOWER(Q474),"hrs",""),"hr",""))),""))))</f>
        <v>181.25</v>
      </c>
      <c r="S474" s="57" t="n">
        <f aca="false">IFERROR(INDEX(RATES!$E$6:$E$28,MATCH(P474,RATES!$A$6:$A$28,0)),0)</f>
        <v>30.84</v>
      </c>
      <c r="T474" s="61" t="n">
        <f aca="false">IF(ISNUMBER(R474),R474,0)*S474</f>
        <v>5589.75</v>
      </c>
      <c r="U474" s="61" t="n">
        <f aca="false">T474*INDEX(INPUTS!$H$10:$H$14,MATCH(B474,INPUTS!$A$10:$A$14,0))</f>
        <v>1034.10375</v>
      </c>
      <c r="V474" s="61" t="n">
        <f aca="false">N(STACK!K474)</f>
        <v>0</v>
      </c>
      <c r="W474" s="61" t="n">
        <f aca="false">T474+U474+V474</f>
        <v>6623.85375</v>
      </c>
      <c r="X474" s="61" t="n">
        <f aca="false">N(STACK!L474)</f>
        <v>0</v>
      </c>
      <c r="Y474" s="61" t="n">
        <f aca="false">W474-X474</f>
        <v>6623.85375</v>
      </c>
      <c r="Z474" s="1" t="n">
        <f aca="false">N(STACK!J474)</f>
        <v>0</v>
      </c>
      <c r="AA474" s="1" t="str">
        <f aca="false">TRIM(IF(D474="UNMAPPED","Program not mapped. ","")&amp;IF(OR(K474="UNMAPPED",K474="UNASSIGNED"),"Category needs review. ","")&amp;IF(P474="UNMAPPED","Title not mapped. ","")&amp;IF(AND(P474&lt;&gt;"No staff time",R474=""),"Missing hours. ","")&amp;IF(M474="","Date not readable. ","")&amp;IF(N474="No","Outside fiscal year. ","")&amp;IF(AND(F474="Event",ISNUMBER(R474)),IF(R474&gt;12,"Event hours look high. ",""),"")&amp;IF(G474&gt;0,"See CONFIRM sheet.",""))</f>
        <v/>
      </c>
      <c r="AB474" s="1" t="n">
        <f aca="false">IF(N474="No",0,IF(REVIEW!O474=0,0,IF(G474&gt;0,IF(INDEX(CONFIRM!$J$5:$J$53,G474)&lt;&gt;"",INDEX(CONFIRM!$J$5:$J$53,G474),1),1)))</f>
        <v>1</v>
      </c>
      <c r="AC474" s="1" t="n">
        <f aca="false">IF(AB474=1,IF(COUNTIFS($B$5:B474,B474,$D$5:D474,D474,$AB$5:AB474,1)=1,1,0),0)</f>
        <v>0</v>
      </c>
    </row>
    <row r="475" customFormat="false" ht="15" hidden="false" customHeight="false" outlineLevel="0" collapsed="false">
      <c r="A475" s="48" t="str">
        <f aca="false">STACK!A475</f>
        <v>KVMC-0471</v>
      </c>
      <c r="B475" s="48" t="str">
        <f aca="false">STACK!B475</f>
        <v>KVMC</v>
      </c>
      <c r="C475" s="48" t="str">
        <f aca="false">STACK!E475</f>
        <v>Medication Assistance Program</v>
      </c>
      <c r="D475" s="1" t="str">
        <f aca="false">IFERROR(INDEX(MAP!$J$7:$J$101,MATCH(TRIM(C475),MAP!$I$7:$I$101,0)),"UNMAPPED")</f>
        <v>Medication Assistance Program</v>
      </c>
      <c r="E475" s="1" t="str">
        <f aca="false">IFERROR(INDEX(MAP!$K$7:$K$101,MATCH(TRIM(C475),MAP!$I$7:$I$101,0)),"")</f>
        <v>Access to care</v>
      </c>
      <c r="F475" s="1" t="str">
        <f aca="false">IFERROR(INDEX(MAP!$L$7:$L$101,MATCH(TRIM(C475),MAP!$I$7:$I$101,0)),"")</f>
        <v>Monthly</v>
      </c>
      <c r="G475" s="1" t="n">
        <f aca="false">IFERROR(MATCH(A475,CONFIRM!$A$5:$A$53,0),0)</f>
        <v>0</v>
      </c>
      <c r="H475" s="48" t="str">
        <f aca="false">STACK!F475</f>
        <v>Health Care Support Services</v>
      </c>
      <c r="I475" s="1" t="str">
        <f aca="false">IF(G475&gt;0,IF(INDEX(CONFIRM!$I$5:$I$53,G475)&lt;&gt;"",INDEX(CONFIRM!$I$5:$I$53,G475),H475),H475)</f>
        <v>Health Care Support Services</v>
      </c>
      <c r="J475" s="1" t="str">
        <f aca="false">IFERROR(INDEX(MAP!$F$7:$F$74,MATCH(TRIM(I475),MAP!$E$7:$E$74,0)),"UNMAPPED")</f>
        <v>Health care support services</v>
      </c>
      <c r="K475" s="1" t="str">
        <f aca="false">IFERROR(INDEX(MAP!$G$7:$G$74,MATCH(TRIM(I475),MAP!$E$7:$E$74,0)),"UNMAPPED")</f>
        <v>7e</v>
      </c>
      <c r="L475" s="49" t="n">
        <f aca="false">STACK!G475</f>
        <v>46173</v>
      </c>
      <c r="M475" s="59" t="n">
        <f aca="false">IF(G475&gt;0,IF(INDEX(CONFIRM!$G$5:$G$53,G475)&lt;&gt;"",INDEX(CONFIRM!$G$5:$G$53,G475),IF(ISNUMBER(L475),L475,IFERROR(DATEVALUE(L475),""))),IF(ISNUMBER(L475),L475,IFERROR(DATEVALUE(L475),"")))</f>
        <v>46173</v>
      </c>
      <c r="N475" s="1" t="str">
        <f aca="false">IF(M475="","Check",IF(AND(M475&gt;=INPUTS!$C$6,M475&lt;=INPUTS!$C$7),"Yes","No"))</f>
        <v>Yes</v>
      </c>
      <c r="O475" s="48" t="str">
        <f aca="false">STACK!H475</f>
        <v>Financial Navigator</v>
      </c>
      <c r="P475" s="1" t="str">
        <f aca="false">IF(G475&gt;0,IF(INDEX(CONFIRM!$H$5:$H$53,G475)&lt;&gt;"",INDEX(CONFIRM!$H$5:$H$53,G475),IFERROR(INDEX(MAP!$B$7:$B$156,MATCH(TRIM(O475),MAP!$A$7:$A$156,0)),"UNMAPPED")),IFERROR(INDEX(MAP!$B$7:$B$156,MATCH(TRIM(O475),MAP!$A$7:$A$156,0)),"UNMAPPED"))</f>
        <v>Patient Navigator</v>
      </c>
      <c r="Q475" s="48" t="n">
        <f aca="false">STACK!I475</f>
        <v>78.75</v>
      </c>
      <c r="R475" s="60" t="n">
        <f aca="false">IF(G475&gt;0,IF(INDEX(CONFIRM!$F$5:$F$53,G475)&lt;&gt;"",INDEX(CONFIRM!$F$5:$F$53,G475),IF(ISNUMBER(Q475),Q475,IF(Q475="","",IFERROR(VALUE(TRIM(SUBSTITUTE(SUBSTITUTE(LOWER(Q475),"hrs",""),"hr",""))),"")))),IF(ISNUMBER(Q475),Q475,IF(Q475="","",IFERROR(VALUE(TRIM(SUBSTITUTE(SUBSTITUTE(LOWER(Q475),"hrs",""),"hr",""))),""))))</f>
        <v>78.75</v>
      </c>
      <c r="S475" s="57" t="n">
        <f aca="false">IFERROR(INDEX(RATES!$E$6:$E$28,MATCH(P475,RATES!$A$6:$A$28,0)),0)</f>
        <v>30.84</v>
      </c>
      <c r="T475" s="61" t="n">
        <f aca="false">IF(ISNUMBER(R475),R475,0)*S475</f>
        <v>2428.65</v>
      </c>
      <c r="U475" s="61" t="n">
        <f aca="false">T475*INDEX(INPUTS!$H$10:$H$14,MATCH(B475,INPUTS!$A$10:$A$14,0))</f>
        <v>449.30025</v>
      </c>
      <c r="V475" s="61" t="n">
        <f aca="false">N(STACK!K475)</f>
        <v>0</v>
      </c>
      <c r="W475" s="61" t="n">
        <f aca="false">T475+U475+V475</f>
        <v>2877.95025</v>
      </c>
      <c r="X475" s="61" t="n">
        <f aca="false">N(STACK!L475)</f>
        <v>0</v>
      </c>
      <c r="Y475" s="61" t="n">
        <f aca="false">W475-X475</f>
        <v>2877.95025</v>
      </c>
      <c r="Z475" s="1" t="n">
        <f aca="false">N(STACK!J475)</f>
        <v>0</v>
      </c>
      <c r="AA475" s="1" t="str">
        <f aca="false">TRIM(IF(D475="UNMAPPED","Program not mapped. ","")&amp;IF(OR(K475="UNMAPPED",K475="UNASSIGNED"),"Category needs review. ","")&amp;IF(P475="UNMAPPED","Title not mapped. ","")&amp;IF(AND(P475&lt;&gt;"No staff time",R475=""),"Missing hours. ","")&amp;IF(M475="","Date not readable. ","")&amp;IF(N475="No","Outside fiscal year. ","")&amp;IF(AND(F475="Event",ISNUMBER(R475)),IF(R475&gt;12,"Event hours look high. ",""),"")&amp;IF(G475&gt;0,"See CONFIRM sheet.",""))</f>
        <v/>
      </c>
      <c r="AB475" s="1" t="n">
        <f aca="false">IF(N475="No",0,IF(REVIEW!O475=0,0,IF(G475&gt;0,IF(INDEX(CONFIRM!$J$5:$J$53,G475)&lt;&gt;"",INDEX(CONFIRM!$J$5:$J$53,G475),1),1)))</f>
        <v>1</v>
      </c>
      <c r="AC475" s="1" t="n">
        <f aca="false">IF(AB475=1,IF(COUNTIFS($B$5:B475,B475,$D$5:D475,D475,$AB$5:AB475,1)=1,1,0),0)</f>
        <v>0</v>
      </c>
    </row>
    <row r="476" customFormat="false" ht="15" hidden="false" customHeight="false" outlineLevel="0" collapsed="false">
      <c r="A476" s="48" t="str">
        <f aca="false">STACK!A476</f>
        <v>KVMC-0472</v>
      </c>
      <c r="B476" s="48" t="str">
        <f aca="false">STACK!B476</f>
        <v>KVMC</v>
      </c>
      <c r="C476" s="48" t="str">
        <f aca="false">STACK!E476</f>
        <v>Medication Assistance Program</v>
      </c>
      <c r="D476" s="1" t="str">
        <f aca="false">IFERROR(INDEX(MAP!$J$7:$J$101,MATCH(TRIM(C476),MAP!$I$7:$I$101,0)),"UNMAPPED")</f>
        <v>Medication Assistance Program</v>
      </c>
      <c r="E476" s="1" t="str">
        <f aca="false">IFERROR(INDEX(MAP!$K$7:$K$101,MATCH(TRIM(C476),MAP!$I$7:$I$101,0)),"")</f>
        <v>Access to care</v>
      </c>
      <c r="F476" s="1" t="str">
        <f aca="false">IFERROR(INDEX(MAP!$L$7:$L$101,MATCH(TRIM(C476),MAP!$I$7:$I$101,0)),"")</f>
        <v>Monthly</v>
      </c>
      <c r="G476" s="1" t="n">
        <f aca="false">IFERROR(MATCH(A476,CONFIRM!$A$5:$A$53,0),0)</f>
        <v>0</v>
      </c>
      <c r="H476" s="48" t="str">
        <f aca="false">STACK!F476</f>
        <v>Health Care Support Services</v>
      </c>
      <c r="I476" s="1" t="str">
        <f aca="false">IF(G476&gt;0,IF(INDEX(CONFIRM!$I$5:$I$53,G476)&lt;&gt;"",INDEX(CONFIRM!$I$5:$I$53,G476),H476),H476)</f>
        <v>Health Care Support Services</v>
      </c>
      <c r="J476" s="1" t="str">
        <f aca="false">IFERROR(INDEX(MAP!$F$7:$F$74,MATCH(TRIM(I476),MAP!$E$7:$E$74,0)),"UNMAPPED")</f>
        <v>Health care support services</v>
      </c>
      <c r="K476" s="1" t="str">
        <f aca="false">IFERROR(INDEX(MAP!$G$7:$G$74,MATCH(TRIM(I476),MAP!$E$7:$E$74,0)),"UNMAPPED")</f>
        <v>7e</v>
      </c>
      <c r="L476" s="49" t="n">
        <f aca="false">STACK!G476</f>
        <v>46173</v>
      </c>
      <c r="M476" s="59" t="n">
        <f aca="false">IF(G476&gt;0,IF(INDEX(CONFIRM!$G$5:$G$53,G476)&lt;&gt;"",INDEX(CONFIRM!$G$5:$G$53,G476),IF(ISNUMBER(L476),L476,IFERROR(DATEVALUE(L476),""))),IF(ISNUMBER(L476),L476,IFERROR(DATEVALUE(L476),"")))</f>
        <v>46173</v>
      </c>
      <c r="N476" s="1" t="str">
        <f aca="false">IF(M476="","Check",IF(AND(M476&gt;=INPUTS!$C$6,M476&lt;=INPUTS!$C$7),"Yes","No"))</f>
        <v>Yes</v>
      </c>
      <c r="O476" s="48" t="str">
        <f aca="false">STACK!H476</f>
        <v>Staff Pharmacist</v>
      </c>
      <c r="P476" s="1" t="str">
        <f aca="false">IF(G476&gt;0,IF(INDEX(CONFIRM!$H$5:$H$53,G476)&lt;&gt;"",INDEX(CONFIRM!$H$5:$H$53,G476),IFERROR(INDEX(MAP!$B$7:$B$156,MATCH(TRIM(O476),MAP!$A$7:$A$156,0)),"UNMAPPED")),IFERROR(INDEX(MAP!$B$7:$B$156,MATCH(TRIM(O476),MAP!$A$7:$A$156,0)),"UNMAPPED"))</f>
        <v>Pharmacist</v>
      </c>
      <c r="Q476" s="48" t="n">
        <f aca="false">STACK!I476</f>
        <v>22.25</v>
      </c>
      <c r="R476" s="60" t="n">
        <f aca="false">IF(G476&gt;0,IF(INDEX(CONFIRM!$F$5:$F$53,G476)&lt;&gt;"",INDEX(CONFIRM!$F$5:$F$53,G476),IF(ISNUMBER(Q476),Q476,IF(Q476="","",IFERROR(VALUE(TRIM(SUBSTITUTE(SUBSTITUTE(LOWER(Q476),"hrs",""),"hr",""))),"")))),IF(ISNUMBER(Q476),Q476,IF(Q476="","",IFERROR(VALUE(TRIM(SUBSTITUTE(SUBSTITUTE(LOWER(Q476),"hrs",""),"hr",""))),""))))</f>
        <v>22.25</v>
      </c>
      <c r="S476" s="57" t="n">
        <f aca="false">IFERROR(INDEX(RATES!$E$6:$E$28,MATCH(P476,RATES!$A$6:$A$28,0)),0)</f>
        <v>84.81</v>
      </c>
      <c r="T476" s="61" t="n">
        <f aca="false">IF(ISNUMBER(R476),R476,0)*S476</f>
        <v>1887.0225</v>
      </c>
      <c r="U476" s="61" t="n">
        <f aca="false">T476*INDEX(INPUTS!$H$10:$H$14,MATCH(B476,INPUTS!$A$10:$A$14,0))</f>
        <v>349.0991625</v>
      </c>
      <c r="V476" s="61" t="n">
        <f aca="false">N(STACK!K476)</f>
        <v>23795</v>
      </c>
      <c r="W476" s="61" t="n">
        <f aca="false">T476+U476+V476</f>
        <v>26031.1216625</v>
      </c>
      <c r="X476" s="61" t="n">
        <f aca="false">N(STACK!L476)</f>
        <v>0</v>
      </c>
      <c r="Y476" s="61" t="n">
        <f aca="false">W476-X476</f>
        <v>26031.1216625</v>
      </c>
      <c r="Z476" s="1" t="n">
        <f aca="false">N(STACK!J476)</f>
        <v>180</v>
      </c>
      <c r="AA476" s="1" t="str">
        <f aca="false">TRIM(IF(D476="UNMAPPED","Program not mapped. ","")&amp;IF(OR(K476="UNMAPPED",K476="UNASSIGNED"),"Category needs review. ","")&amp;IF(P476="UNMAPPED","Title not mapped. ","")&amp;IF(AND(P476&lt;&gt;"No staff time",R476=""),"Missing hours. ","")&amp;IF(M476="","Date not readable. ","")&amp;IF(N476="No","Outside fiscal year. ","")&amp;IF(AND(F476="Event",ISNUMBER(R476)),IF(R476&gt;12,"Event hours look high. ",""),"")&amp;IF(G476&gt;0,"See CONFIRM sheet.",""))</f>
        <v/>
      </c>
      <c r="AB476" s="1" t="n">
        <f aca="false">IF(N476="No",0,IF(REVIEW!O476=0,0,IF(G476&gt;0,IF(INDEX(CONFIRM!$J$5:$J$53,G476)&lt;&gt;"",INDEX(CONFIRM!$J$5:$J$53,G476),1),1)))</f>
        <v>1</v>
      </c>
      <c r="AC476" s="1" t="n">
        <f aca="false">IF(AB476=1,IF(COUNTIFS($B$5:B476,B476,$D$5:D476,D476,$AB$5:AB476,1)=1,1,0),0)</f>
        <v>0</v>
      </c>
    </row>
    <row r="477" customFormat="false" ht="15" hidden="false" customHeight="false" outlineLevel="0" collapsed="false">
      <c r="A477" s="48" t="str">
        <f aca="false">STACK!A477</f>
        <v>KVMC-0473</v>
      </c>
      <c r="B477" s="48" t="str">
        <f aca="false">STACK!B477</f>
        <v>KVMC</v>
      </c>
      <c r="C477" s="48" t="str">
        <f aca="false">STACK!E477</f>
        <v>Community Health Needs Assessment</v>
      </c>
      <c r="D477" s="1" t="str">
        <f aca="false">IFERROR(INDEX(MAP!$J$7:$J$101,MATCH(TRIM(C477),MAP!$I$7:$I$101,0)),"UNMAPPED")</f>
        <v>Community Health Needs Assessment</v>
      </c>
      <c r="E477" s="1" t="str">
        <f aca="false">IFERROR(INDEX(MAP!$K$7:$K$101,MATCH(TRIM(C477),MAP!$I$7:$I$101,0)),"")</f>
        <v>Community benefit infrastructure</v>
      </c>
      <c r="F477" s="1" t="str">
        <f aca="false">IFERROR(INDEX(MAP!$L$7:$L$101,MATCH(TRIM(C477),MAP!$I$7:$I$101,0)),"")</f>
        <v>Monthly</v>
      </c>
      <c r="G477" s="1" t="n">
        <f aca="false">IFERROR(MATCH(A477,CONFIRM!$A$5:$A$53,0),0)</f>
        <v>0</v>
      </c>
      <c r="H477" s="48" t="str">
        <f aca="false">STACK!F477</f>
        <v>CB Operations</v>
      </c>
      <c r="I477" s="1" t="str">
        <f aca="false">IF(G477&gt;0,IF(INDEX(CONFIRM!$I$5:$I$53,G477)&lt;&gt;"",INDEX(CONFIRM!$I$5:$I$53,G477),H477),H477)</f>
        <v>CB Operations</v>
      </c>
      <c r="J477" s="1" t="str">
        <f aca="false">IFERROR(INDEX(MAP!$F$7:$F$74,MATCH(TRIM(I477),MAP!$E$7:$E$74,0)),"UNMAPPED")</f>
        <v>Community benefit operations</v>
      </c>
      <c r="K477" s="1" t="str">
        <f aca="false">IFERROR(INDEX(MAP!$G$7:$G$74,MATCH(TRIM(I477),MAP!$E$7:$E$74,0)),"UNMAPPED")</f>
        <v>7e</v>
      </c>
      <c r="L477" s="49" t="n">
        <f aca="false">STACK!G477</f>
        <v>46173</v>
      </c>
      <c r="M477" s="59" t="n">
        <f aca="false">IF(G477&gt;0,IF(INDEX(CONFIRM!$G$5:$G$53,G477)&lt;&gt;"",INDEX(CONFIRM!$G$5:$G$53,G477),IF(ISNUMBER(L477),L477,IFERROR(DATEVALUE(L477),""))),IF(ISNUMBER(L477),L477,IFERROR(DATEVALUE(L477),"")))</f>
        <v>46173</v>
      </c>
      <c r="N477" s="1" t="str">
        <f aca="false">IF(M477="","Check",IF(AND(M477&gt;=INPUTS!$C$6,M477&lt;=INPUTS!$C$7),"Yes","No"))</f>
        <v>Yes</v>
      </c>
      <c r="O477" s="48" t="str">
        <f aca="false">STACK!H477</f>
        <v>Community Benefit Manager</v>
      </c>
      <c r="P477" s="1" t="str">
        <f aca="false">IF(G477&gt;0,IF(INDEX(CONFIRM!$H$5:$H$53,G477)&lt;&gt;"",INDEX(CONFIRM!$H$5:$H$53,G477),IFERROR(INDEX(MAP!$B$7:$B$156,MATCH(TRIM(O477),MAP!$A$7:$A$156,0)),"UNMAPPED")),IFERROR(INDEX(MAP!$B$7:$B$156,MATCH(TRIM(O477),MAP!$A$7:$A$156,0)),"UNMAPPED"))</f>
        <v>Community Benefit Manager</v>
      </c>
      <c r="Q477" s="48" t="n">
        <f aca="false">STACK!I477</f>
        <v>25.75</v>
      </c>
      <c r="R477" s="60" t="n">
        <f aca="false">IF(G477&gt;0,IF(INDEX(CONFIRM!$F$5:$F$53,G477)&lt;&gt;"",INDEX(CONFIRM!$F$5:$F$53,G477),IF(ISNUMBER(Q477),Q477,IF(Q477="","",IFERROR(VALUE(TRIM(SUBSTITUTE(SUBSTITUTE(LOWER(Q477),"hrs",""),"hr",""))),"")))),IF(ISNUMBER(Q477),Q477,IF(Q477="","",IFERROR(VALUE(TRIM(SUBSTITUTE(SUBSTITUTE(LOWER(Q477),"hrs",""),"hr",""))),""))))</f>
        <v>25.75</v>
      </c>
      <c r="S477" s="57" t="n">
        <f aca="false">IFERROR(INDEX(RATES!$E$6:$E$28,MATCH(P477,RATES!$A$6:$A$28,0)),0)</f>
        <v>59.11</v>
      </c>
      <c r="T477" s="61" t="n">
        <f aca="false">IF(ISNUMBER(R477),R477,0)*S477</f>
        <v>1522.0825</v>
      </c>
      <c r="U477" s="61" t="n">
        <f aca="false">T477*INDEX(INPUTS!$H$10:$H$14,MATCH(B477,INPUTS!$A$10:$A$14,0))</f>
        <v>281.5852625</v>
      </c>
      <c r="V477" s="61" t="n">
        <f aca="false">N(STACK!K477)</f>
        <v>3215</v>
      </c>
      <c r="W477" s="61" t="n">
        <f aca="false">T477+U477+V477</f>
        <v>5018.6677625</v>
      </c>
      <c r="X477" s="61" t="n">
        <f aca="false">N(STACK!L477)</f>
        <v>0</v>
      </c>
      <c r="Y477" s="61" t="n">
        <f aca="false">W477-X477</f>
        <v>5018.6677625</v>
      </c>
      <c r="Z477" s="1" t="n">
        <f aca="false">N(STACK!J477)</f>
        <v>0</v>
      </c>
      <c r="AA477" s="1" t="str">
        <f aca="false">TRIM(IF(D477="UNMAPPED","Program not mapped. ","")&amp;IF(OR(K477="UNMAPPED",K477="UNASSIGNED"),"Category needs review. ","")&amp;IF(P477="UNMAPPED","Title not mapped. ","")&amp;IF(AND(P477&lt;&gt;"No staff time",R477=""),"Missing hours. ","")&amp;IF(M477="","Date not readable. ","")&amp;IF(N477="No","Outside fiscal year. ","")&amp;IF(AND(F477="Event",ISNUMBER(R477)),IF(R477&gt;12,"Event hours look high. ",""),"")&amp;IF(G477&gt;0,"See CONFIRM sheet.",""))</f>
        <v/>
      </c>
      <c r="AB477" s="1" t="n">
        <f aca="false">IF(N477="No",0,IF(REVIEW!O477=0,0,IF(G477&gt;0,IF(INDEX(CONFIRM!$J$5:$J$53,G477)&lt;&gt;"",INDEX(CONFIRM!$J$5:$J$53,G477),1),1)))</f>
        <v>1</v>
      </c>
      <c r="AC477" s="1" t="n">
        <f aca="false">IF(AB477=1,IF(COUNTIFS($B$5:B477,B477,$D$5:D477,D477,$AB$5:AB477,1)=1,1,0),0)</f>
        <v>0</v>
      </c>
    </row>
    <row r="478" customFormat="false" ht="15" hidden="false" customHeight="false" outlineLevel="0" collapsed="false">
      <c r="A478" s="48" t="str">
        <f aca="false">STACK!A478</f>
        <v>KVMC-0474</v>
      </c>
      <c r="B478" s="48" t="str">
        <f aca="false">STACK!B478</f>
        <v>KVMC</v>
      </c>
      <c r="C478" s="48" t="str">
        <f aca="false">STACK!E478</f>
        <v>Community Health Needs Assessment</v>
      </c>
      <c r="D478" s="1" t="str">
        <f aca="false">IFERROR(INDEX(MAP!$J$7:$J$101,MATCH(TRIM(C478),MAP!$I$7:$I$101,0)),"UNMAPPED")</f>
        <v>Community Health Needs Assessment</v>
      </c>
      <c r="E478" s="1" t="str">
        <f aca="false">IFERROR(INDEX(MAP!$K$7:$K$101,MATCH(TRIM(C478),MAP!$I$7:$I$101,0)),"")</f>
        <v>Community benefit infrastructure</v>
      </c>
      <c r="F478" s="1" t="str">
        <f aca="false">IFERROR(INDEX(MAP!$L$7:$L$101,MATCH(TRIM(C478),MAP!$I$7:$I$101,0)),"")</f>
        <v>Monthly</v>
      </c>
      <c r="G478" s="1" t="n">
        <f aca="false">IFERROR(MATCH(A478,CONFIRM!$A$5:$A$53,0),0)</f>
        <v>0</v>
      </c>
      <c r="H478" s="48" t="str">
        <f aca="false">STACK!F478</f>
        <v>CB Operations</v>
      </c>
      <c r="I478" s="1" t="str">
        <f aca="false">IF(G478&gt;0,IF(INDEX(CONFIRM!$I$5:$I$53,G478)&lt;&gt;"",INDEX(CONFIRM!$I$5:$I$53,G478),H478),H478)</f>
        <v>CB Operations</v>
      </c>
      <c r="J478" s="1" t="str">
        <f aca="false">IFERROR(INDEX(MAP!$F$7:$F$74,MATCH(TRIM(I478),MAP!$E$7:$E$74,0)),"UNMAPPED")</f>
        <v>Community benefit operations</v>
      </c>
      <c r="K478" s="1" t="str">
        <f aca="false">IFERROR(INDEX(MAP!$G$7:$G$74,MATCH(TRIM(I478),MAP!$E$7:$E$74,0)),"UNMAPPED")</f>
        <v>7e</v>
      </c>
      <c r="L478" s="49" t="n">
        <f aca="false">STACK!G478</f>
        <v>46173</v>
      </c>
      <c r="M478" s="59" t="n">
        <f aca="false">IF(G478&gt;0,IF(INDEX(CONFIRM!$G$5:$G$53,G478)&lt;&gt;"",INDEX(CONFIRM!$G$5:$G$53,G478),IF(ISNUMBER(L478),L478,IFERROR(DATEVALUE(L478),""))),IF(ISNUMBER(L478),L478,IFERROR(DATEVALUE(L478),"")))</f>
        <v>46173</v>
      </c>
      <c r="N478" s="1" t="str">
        <f aca="false">IF(M478="","Check",IF(AND(M478&gt;=INPUTS!$C$6,M478&lt;=INPUTS!$C$7),"Yes","No"))</f>
        <v>Yes</v>
      </c>
      <c r="O478" s="48" t="str">
        <f aca="false">STACK!H478</f>
        <v>BI Analyst</v>
      </c>
      <c r="P478" s="1" t="str">
        <f aca="false">IF(G478&gt;0,IF(INDEX(CONFIRM!$H$5:$H$53,G478)&lt;&gt;"",INDEX(CONFIRM!$H$5:$H$53,G478),IFERROR(INDEX(MAP!$B$7:$B$156,MATCH(TRIM(O478),MAP!$A$7:$A$156,0)),"UNMAPPED")),IFERROR(INDEX(MAP!$B$7:$B$156,MATCH(TRIM(O478),MAP!$A$7:$A$156,0)),"UNMAPPED"))</f>
        <v>Data Analyst</v>
      </c>
      <c r="Q478" s="48" t="n">
        <f aca="false">STACK!I478</f>
        <v>23</v>
      </c>
      <c r="R478" s="60" t="n">
        <f aca="false">IF(G478&gt;0,IF(INDEX(CONFIRM!$F$5:$F$53,G478)&lt;&gt;"",INDEX(CONFIRM!$F$5:$F$53,G478),IF(ISNUMBER(Q478),Q478,IF(Q478="","",IFERROR(VALUE(TRIM(SUBSTITUTE(SUBSTITUTE(LOWER(Q478),"hrs",""),"hr",""))),"")))),IF(ISNUMBER(Q478),Q478,IF(Q478="","",IFERROR(VALUE(TRIM(SUBSTITUTE(SUBSTITUTE(LOWER(Q478),"hrs",""),"hr",""))),""))))</f>
        <v>23</v>
      </c>
      <c r="S478" s="57" t="n">
        <f aca="false">IFERROR(INDEX(RATES!$E$6:$E$28,MATCH(P478,RATES!$A$6:$A$28,0)),0)</f>
        <v>48.83</v>
      </c>
      <c r="T478" s="61" t="n">
        <f aca="false">IF(ISNUMBER(R478),R478,0)*S478</f>
        <v>1123.09</v>
      </c>
      <c r="U478" s="61" t="n">
        <f aca="false">T478*INDEX(INPUTS!$H$10:$H$14,MATCH(B478,INPUTS!$A$10:$A$14,0))</f>
        <v>207.77165</v>
      </c>
      <c r="V478" s="61" t="n">
        <f aca="false">N(STACK!K478)</f>
        <v>0</v>
      </c>
      <c r="W478" s="61" t="n">
        <f aca="false">T478+U478+V478</f>
        <v>1330.86165</v>
      </c>
      <c r="X478" s="61" t="n">
        <f aca="false">N(STACK!L478)</f>
        <v>0</v>
      </c>
      <c r="Y478" s="61" t="n">
        <f aca="false">W478-X478</f>
        <v>1330.86165</v>
      </c>
      <c r="Z478" s="1" t="n">
        <f aca="false">N(STACK!J478)</f>
        <v>0</v>
      </c>
      <c r="AA478" s="1" t="str">
        <f aca="false">TRIM(IF(D478="UNMAPPED","Program not mapped. ","")&amp;IF(OR(K478="UNMAPPED",K478="UNASSIGNED"),"Category needs review. ","")&amp;IF(P478="UNMAPPED","Title not mapped. ","")&amp;IF(AND(P478&lt;&gt;"No staff time",R478=""),"Missing hours. ","")&amp;IF(M478="","Date not readable. ","")&amp;IF(N478="No","Outside fiscal year. ","")&amp;IF(AND(F478="Event",ISNUMBER(R478)),IF(R478&gt;12,"Event hours look high. ",""),"")&amp;IF(G478&gt;0,"See CONFIRM sheet.",""))</f>
        <v/>
      </c>
      <c r="AB478" s="1" t="n">
        <f aca="false">IF(N478="No",0,IF(REVIEW!O478=0,0,IF(G478&gt;0,IF(INDEX(CONFIRM!$J$5:$J$53,G478)&lt;&gt;"",INDEX(CONFIRM!$J$5:$J$53,G478),1),1)))</f>
        <v>1</v>
      </c>
      <c r="AC478" s="1" t="n">
        <f aca="false">IF(AB478=1,IF(COUNTIFS($B$5:B478,B478,$D$5:D478,D478,$AB$5:AB478,1)=1,1,0),0)</f>
        <v>0</v>
      </c>
    </row>
    <row r="479" customFormat="false" ht="15" hidden="false" customHeight="false" outlineLevel="0" collapsed="false">
      <c r="A479" s="48" t="str">
        <f aca="false">STACK!A479</f>
        <v>KVMC-0475</v>
      </c>
      <c r="B479" s="48" t="str">
        <f aca="false">STACK!B479</f>
        <v>KVMC</v>
      </c>
      <c r="C479" s="48" t="str">
        <f aca="false">STACK!E479</f>
        <v>Community Benefit Program Administration</v>
      </c>
      <c r="D479" s="1" t="str">
        <f aca="false">IFERROR(INDEX(MAP!$J$7:$J$101,MATCH(TRIM(C479),MAP!$I$7:$I$101,0)),"UNMAPPED")</f>
        <v>Community Benefit Program Administration</v>
      </c>
      <c r="E479" s="1" t="str">
        <f aca="false">IFERROR(INDEX(MAP!$K$7:$K$101,MATCH(TRIM(C479),MAP!$I$7:$I$101,0)),"")</f>
        <v>Community benefit infrastructure</v>
      </c>
      <c r="F479" s="1" t="str">
        <f aca="false">IFERROR(INDEX(MAP!$L$7:$L$101,MATCH(TRIM(C479),MAP!$I$7:$I$101,0)),"")</f>
        <v>Monthly</v>
      </c>
      <c r="G479" s="1" t="n">
        <f aca="false">IFERROR(MATCH(A479,CONFIRM!$A$5:$A$53,0),0)</f>
        <v>0</v>
      </c>
      <c r="H479" s="48" t="str">
        <f aca="false">STACK!F479</f>
        <v>CB Operations</v>
      </c>
      <c r="I479" s="1" t="str">
        <f aca="false">IF(G479&gt;0,IF(INDEX(CONFIRM!$I$5:$I$53,G479)&lt;&gt;"",INDEX(CONFIRM!$I$5:$I$53,G479),H479),H479)</f>
        <v>CB Operations</v>
      </c>
      <c r="J479" s="1" t="str">
        <f aca="false">IFERROR(INDEX(MAP!$F$7:$F$74,MATCH(TRIM(I479),MAP!$E$7:$E$74,0)),"UNMAPPED")</f>
        <v>Community benefit operations</v>
      </c>
      <c r="K479" s="1" t="str">
        <f aca="false">IFERROR(INDEX(MAP!$G$7:$G$74,MATCH(TRIM(I479),MAP!$E$7:$E$74,0)),"UNMAPPED")</f>
        <v>7e</v>
      </c>
      <c r="L479" s="49" t="n">
        <f aca="false">STACK!G479</f>
        <v>46173</v>
      </c>
      <c r="M479" s="59" t="n">
        <f aca="false">IF(G479&gt;0,IF(INDEX(CONFIRM!$G$5:$G$53,G479)&lt;&gt;"",INDEX(CONFIRM!$G$5:$G$53,G479),IF(ISNUMBER(L479),L479,IFERROR(DATEVALUE(L479),""))),IF(ISNUMBER(L479),L479,IFERROR(DATEVALUE(L479),"")))</f>
        <v>46173</v>
      </c>
      <c r="N479" s="1" t="str">
        <f aca="false">IF(M479="","Check",IF(AND(M479&gt;=INPUTS!$C$6,M479&lt;=INPUTS!$C$7),"Yes","No"))</f>
        <v>Yes</v>
      </c>
      <c r="O479" s="48" t="str">
        <f aca="false">STACK!H479</f>
        <v>Office Coordinator</v>
      </c>
      <c r="P479" s="1" t="str">
        <f aca="false">IF(G479&gt;0,IF(INDEX(CONFIRM!$H$5:$H$53,G479)&lt;&gt;"",INDEX(CONFIRM!$H$5:$H$53,G479),IFERROR(INDEX(MAP!$B$7:$B$156,MATCH(TRIM(O479),MAP!$A$7:$A$156,0)),"UNMAPPED")),IFERROR(INDEX(MAP!$B$7:$B$156,MATCH(TRIM(O479),MAP!$A$7:$A$156,0)),"UNMAPPED"))</f>
        <v>Administrative Assistant</v>
      </c>
      <c r="Q479" s="48" t="n">
        <f aca="false">STACK!I479</f>
        <v>71.75</v>
      </c>
      <c r="R479" s="60" t="n">
        <f aca="false">IF(G479&gt;0,IF(INDEX(CONFIRM!$F$5:$F$53,G479)&lt;&gt;"",INDEX(CONFIRM!$F$5:$F$53,G479),IF(ISNUMBER(Q479),Q479,IF(Q479="","",IFERROR(VALUE(TRIM(SUBSTITUTE(SUBSTITUTE(LOWER(Q479),"hrs",""),"hr",""))),"")))),IF(ISNUMBER(Q479),Q479,IF(Q479="","",IFERROR(VALUE(TRIM(SUBSTITUTE(SUBSTITUTE(LOWER(Q479),"hrs",""),"hr",""))),""))))</f>
        <v>71.75</v>
      </c>
      <c r="S479" s="57" t="n">
        <f aca="false">IFERROR(INDEX(RATES!$E$6:$E$28,MATCH(P479,RATES!$A$6:$A$28,0)),0)</f>
        <v>26.985</v>
      </c>
      <c r="T479" s="61" t="n">
        <f aca="false">IF(ISNUMBER(R479),R479,0)*S479</f>
        <v>1936.17375</v>
      </c>
      <c r="U479" s="61" t="n">
        <f aca="false">T479*INDEX(INPUTS!$H$10:$H$14,MATCH(B479,INPUTS!$A$10:$A$14,0))</f>
        <v>358.19214375</v>
      </c>
      <c r="V479" s="61" t="n">
        <f aca="false">N(STACK!K479)</f>
        <v>0</v>
      </c>
      <c r="W479" s="61" t="n">
        <f aca="false">T479+U479+V479</f>
        <v>2294.36589375</v>
      </c>
      <c r="X479" s="61" t="n">
        <f aca="false">N(STACK!L479)</f>
        <v>0</v>
      </c>
      <c r="Y479" s="61" t="n">
        <f aca="false">W479-X479</f>
        <v>2294.36589375</v>
      </c>
      <c r="Z479" s="1" t="n">
        <f aca="false">N(STACK!J479)</f>
        <v>0</v>
      </c>
      <c r="AA479" s="1" t="str">
        <f aca="false">TRIM(IF(D479="UNMAPPED","Program not mapped. ","")&amp;IF(OR(K479="UNMAPPED",K479="UNASSIGNED"),"Category needs review. ","")&amp;IF(P479="UNMAPPED","Title not mapped. ","")&amp;IF(AND(P479&lt;&gt;"No staff time",R479=""),"Missing hours. ","")&amp;IF(M479="","Date not readable. ","")&amp;IF(N479="No","Outside fiscal year. ","")&amp;IF(AND(F479="Event",ISNUMBER(R479)),IF(R479&gt;12,"Event hours look high. ",""),"")&amp;IF(G479&gt;0,"See CONFIRM sheet.",""))</f>
        <v/>
      </c>
      <c r="AB479" s="1" t="n">
        <f aca="false">IF(N479="No",0,IF(REVIEW!O479=0,0,IF(G479&gt;0,IF(INDEX(CONFIRM!$J$5:$J$53,G479)&lt;&gt;"",INDEX(CONFIRM!$J$5:$J$53,G479),1),1)))</f>
        <v>1</v>
      </c>
      <c r="AC479" s="1" t="n">
        <f aca="false">IF(AB479=1,IF(COUNTIFS($B$5:B479,B479,$D$5:D479,D479,$AB$5:AB479,1)=1,1,0),0)</f>
        <v>0</v>
      </c>
    </row>
    <row r="480" customFormat="false" ht="15" hidden="false" customHeight="false" outlineLevel="0" collapsed="false">
      <c r="A480" s="48" t="str">
        <f aca="false">STACK!A480</f>
        <v>KVMC-0476</v>
      </c>
      <c r="B480" s="48" t="str">
        <f aca="false">STACK!B480</f>
        <v>KVMC</v>
      </c>
      <c r="C480" s="48" t="str">
        <f aca="false">STACK!E480</f>
        <v>Community Benefit Program Administration</v>
      </c>
      <c r="D480" s="1" t="str">
        <f aca="false">IFERROR(INDEX(MAP!$J$7:$J$101,MATCH(TRIM(C480),MAP!$I$7:$I$101,0)),"UNMAPPED")</f>
        <v>Community Benefit Program Administration</v>
      </c>
      <c r="E480" s="1" t="str">
        <f aca="false">IFERROR(INDEX(MAP!$K$7:$K$101,MATCH(TRIM(C480),MAP!$I$7:$I$101,0)),"")</f>
        <v>Community benefit infrastructure</v>
      </c>
      <c r="F480" s="1" t="str">
        <f aca="false">IFERROR(INDEX(MAP!$L$7:$L$101,MATCH(TRIM(C480),MAP!$I$7:$I$101,0)),"")</f>
        <v>Monthly</v>
      </c>
      <c r="G480" s="1" t="n">
        <f aca="false">IFERROR(MATCH(A480,CONFIRM!$A$5:$A$53,0),0)</f>
        <v>0</v>
      </c>
      <c r="H480" s="48" t="str">
        <f aca="false">STACK!F480</f>
        <v>CB Operations</v>
      </c>
      <c r="I480" s="1" t="str">
        <f aca="false">IF(G480&gt;0,IF(INDEX(CONFIRM!$I$5:$I$53,G480)&lt;&gt;"",INDEX(CONFIRM!$I$5:$I$53,G480),H480),H480)</f>
        <v>CB Operations</v>
      </c>
      <c r="J480" s="1" t="str">
        <f aca="false">IFERROR(INDEX(MAP!$F$7:$F$74,MATCH(TRIM(I480),MAP!$E$7:$E$74,0)),"UNMAPPED")</f>
        <v>Community benefit operations</v>
      </c>
      <c r="K480" s="1" t="str">
        <f aca="false">IFERROR(INDEX(MAP!$G$7:$G$74,MATCH(TRIM(I480),MAP!$E$7:$E$74,0)),"UNMAPPED")</f>
        <v>7e</v>
      </c>
      <c r="L480" s="49" t="n">
        <f aca="false">STACK!G480</f>
        <v>46173</v>
      </c>
      <c r="M480" s="59" t="n">
        <f aca="false">IF(G480&gt;0,IF(INDEX(CONFIRM!$G$5:$G$53,G480)&lt;&gt;"",INDEX(CONFIRM!$G$5:$G$53,G480),IF(ISNUMBER(L480),L480,IFERROR(DATEVALUE(L480),""))),IF(ISNUMBER(L480),L480,IFERROR(DATEVALUE(L480),"")))</f>
        <v>46173</v>
      </c>
      <c r="N480" s="1" t="str">
        <f aca="false">IF(M480="","Check",IF(AND(M480&gt;=INPUTS!$C$6,M480&lt;=INPUTS!$C$7),"Yes","No"))</f>
        <v>Yes</v>
      </c>
      <c r="O480" s="48" t="str">
        <f aca="false">STACK!H480</f>
        <v>Community Benefit Manager</v>
      </c>
      <c r="P480" s="1" t="str">
        <f aca="false">IF(G480&gt;0,IF(INDEX(CONFIRM!$H$5:$H$53,G480)&lt;&gt;"",INDEX(CONFIRM!$H$5:$H$53,G480),IFERROR(INDEX(MAP!$B$7:$B$156,MATCH(TRIM(O480),MAP!$A$7:$A$156,0)),"UNMAPPED")),IFERROR(INDEX(MAP!$B$7:$B$156,MATCH(TRIM(O480),MAP!$A$7:$A$156,0)),"UNMAPPED"))</f>
        <v>Community Benefit Manager</v>
      </c>
      <c r="Q480" s="48" t="n">
        <f aca="false">STACK!I480</f>
        <v>95</v>
      </c>
      <c r="R480" s="60" t="n">
        <f aca="false">IF(G480&gt;0,IF(INDEX(CONFIRM!$F$5:$F$53,G480)&lt;&gt;"",INDEX(CONFIRM!$F$5:$F$53,G480),IF(ISNUMBER(Q480),Q480,IF(Q480="","",IFERROR(VALUE(TRIM(SUBSTITUTE(SUBSTITUTE(LOWER(Q480),"hrs",""),"hr",""))),"")))),IF(ISNUMBER(Q480),Q480,IF(Q480="","",IFERROR(VALUE(TRIM(SUBSTITUTE(SUBSTITUTE(LOWER(Q480),"hrs",""),"hr",""))),""))))</f>
        <v>95</v>
      </c>
      <c r="S480" s="57" t="n">
        <f aca="false">IFERROR(INDEX(RATES!$E$6:$E$28,MATCH(P480,RATES!$A$6:$A$28,0)),0)</f>
        <v>59.11</v>
      </c>
      <c r="T480" s="61" t="n">
        <f aca="false">IF(ISNUMBER(R480),R480,0)*S480</f>
        <v>5615.45</v>
      </c>
      <c r="U480" s="61" t="n">
        <f aca="false">T480*INDEX(INPUTS!$H$10:$H$14,MATCH(B480,INPUTS!$A$10:$A$14,0))</f>
        <v>1038.85825</v>
      </c>
      <c r="V480" s="61" t="n">
        <f aca="false">N(STACK!K480)</f>
        <v>870</v>
      </c>
      <c r="W480" s="61" t="n">
        <f aca="false">T480+U480+V480</f>
        <v>7524.30825</v>
      </c>
      <c r="X480" s="61" t="n">
        <f aca="false">N(STACK!L480)</f>
        <v>0</v>
      </c>
      <c r="Y480" s="61" t="n">
        <f aca="false">W480-X480</f>
        <v>7524.30825</v>
      </c>
      <c r="Z480" s="1" t="n">
        <f aca="false">N(STACK!J480)</f>
        <v>0</v>
      </c>
      <c r="AA480" s="1" t="str">
        <f aca="false">TRIM(IF(D480="UNMAPPED","Program not mapped. ","")&amp;IF(OR(K480="UNMAPPED",K480="UNASSIGNED"),"Category needs review. ","")&amp;IF(P480="UNMAPPED","Title not mapped. ","")&amp;IF(AND(P480&lt;&gt;"No staff time",R480=""),"Missing hours. ","")&amp;IF(M480="","Date not readable. ","")&amp;IF(N480="No","Outside fiscal year. ","")&amp;IF(AND(F480="Event",ISNUMBER(R480)),IF(R480&gt;12,"Event hours look high. ",""),"")&amp;IF(G480&gt;0,"See CONFIRM sheet.",""))</f>
        <v/>
      </c>
      <c r="AB480" s="1" t="n">
        <f aca="false">IF(N480="No",0,IF(REVIEW!O480=0,0,IF(G480&gt;0,IF(INDEX(CONFIRM!$J$5:$J$53,G480)&lt;&gt;"",INDEX(CONFIRM!$J$5:$J$53,G480),1),1)))</f>
        <v>1</v>
      </c>
      <c r="AC480" s="1" t="n">
        <f aca="false">IF(AB480=1,IF(COUNTIFS($B$5:B480,B480,$D$5:D480,D480,$AB$5:AB480,1)=1,1,0),0)</f>
        <v>0</v>
      </c>
    </row>
    <row r="481" customFormat="false" ht="15" hidden="false" customHeight="false" outlineLevel="0" collapsed="false">
      <c r="A481" s="48" t="str">
        <f aca="false">STACK!A481</f>
        <v>KVMC-0477</v>
      </c>
      <c r="B481" s="48" t="str">
        <f aca="false">STACK!B481</f>
        <v>KVMC</v>
      </c>
      <c r="C481" s="48" t="str">
        <f aca="false">STACK!E481</f>
        <v>Interpreter Services for Community Clinics</v>
      </c>
      <c r="D481" s="1" t="str">
        <f aca="false">IFERROR(INDEX(MAP!$J$7:$J$101,MATCH(TRIM(C481),MAP!$I$7:$I$101,0)),"UNMAPPED")</f>
        <v>Interpreter Services for Community Clinics</v>
      </c>
      <c r="E481" s="1" t="str">
        <f aca="false">IFERROR(INDEX(MAP!$K$7:$K$101,MATCH(TRIM(C481),MAP!$I$7:$I$101,0)),"")</f>
        <v>Access to care</v>
      </c>
      <c r="F481" s="1" t="str">
        <f aca="false">IFERROR(INDEX(MAP!$L$7:$L$101,MATCH(TRIM(C481),MAP!$I$7:$I$101,0)),"")</f>
        <v>Monthly</v>
      </c>
      <c r="G481" s="1" t="n">
        <f aca="false">IFERROR(MATCH(A481,CONFIRM!$A$5:$A$53,0),0)</f>
        <v>0</v>
      </c>
      <c r="H481" s="48" t="str">
        <f aca="false">STACK!F481</f>
        <v>Health Care Support Services</v>
      </c>
      <c r="I481" s="1" t="str">
        <f aca="false">IF(G481&gt;0,IF(INDEX(CONFIRM!$I$5:$I$53,G481)&lt;&gt;"",INDEX(CONFIRM!$I$5:$I$53,G481),H481),H481)</f>
        <v>Health Care Support Services</v>
      </c>
      <c r="J481" s="1" t="str">
        <f aca="false">IFERROR(INDEX(MAP!$F$7:$F$74,MATCH(TRIM(I481),MAP!$E$7:$E$74,0)),"UNMAPPED")</f>
        <v>Health care support services</v>
      </c>
      <c r="K481" s="1" t="str">
        <f aca="false">IFERROR(INDEX(MAP!$G$7:$G$74,MATCH(TRIM(I481),MAP!$E$7:$E$74,0)),"UNMAPPED")</f>
        <v>7e</v>
      </c>
      <c r="L481" s="49" t="n">
        <f aca="false">STACK!G481</f>
        <v>46173</v>
      </c>
      <c r="M481" s="59" t="n">
        <f aca="false">IF(G481&gt;0,IF(INDEX(CONFIRM!$G$5:$G$53,G481)&lt;&gt;"",INDEX(CONFIRM!$G$5:$G$53,G481),IF(ISNUMBER(L481),L481,IFERROR(DATEVALUE(L481),""))),IF(ISNUMBER(L481),L481,IFERROR(DATEVALUE(L481),"")))</f>
        <v>46173</v>
      </c>
      <c r="N481" s="1" t="str">
        <f aca="false">IF(M481="","Check",IF(AND(M481&gt;=INPUTS!$C$6,M481&lt;=INPUTS!$C$7),"Yes","No"))</f>
        <v>Yes</v>
      </c>
      <c r="O481" s="48" t="str">
        <f aca="false">STACK!H481</f>
        <v>interpreter</v>
      </c>
      <c r="P481" s="1" t="str">
        <f aca="false">IF(G481&gt;0,IF(INDEX(CONFIRM!$H$5:$H$53,G481)&lt;&gt;"",INDEX(CONFIRM!$H$5:$H$53,G481),IFERROR(INDEX(MAP!$B$7:$B$156,MATCH(TRIM(O481),MAP!$A$7:$A$156,0)),"UNMAPPED")),IFERROR(INDEX(MAP!$B$7:$B$156,MATCH(TRIM(O481),MAP!$A$7:$A$156,0)),"UNMAPPED"))</f>
        <v>Interpreter</v>
      </c>
      <c r="Q481" s="48" t="n">
        <f aca="false">STACK!I481</f>
        <v>59.75</v>
      </c>
      <c r="R481" s="60" t="n">
        <f aca="false">IF(G481&gt;0,IF(INDEX(CONFIRM!$F$5:$F$53,G481)&lt;&gt;"",INDEX(CONFIRM!$F$5:$F$53,G481),IF(ISNUMBER(Q481),Q481,IF(Q481="","",IFERROR(VALUE(TRIM(SUBSTITUTE(SUBSTITUTE(LOWER(Q481),"hrs",""),"hr",""))),"")))),IF(ISNUMBER(Q481),Q481,IF(Q481="","",IFERROR(VALUE(TRIM(SUBSTITUTE(SUBSTITUTE(LOWER(Q481),"hrs",""),"hr",""))),""))))</f>
        <v>59.75</v>
      </c>
      <c r="S481" s="57" t="n">
        <f aca="false">IFERROR(INDEX(RATES!$E$6:$E$28,MATCH(P481,RATES!$A$6:$A$28,0)),0)</f>
        <v>32.7675</v>
      </c>
      <c r="T481" s="61" t="n">
        <f aca="false">IF(ISNUMBER(R481),R481,0)*S481</f>
        <v>1957.858125</v>
      </c>
      <c r="U481" s="61" t="n">
        <f aca="false">T481*INDEX(INPUTS!$H$10:$H$14,MATCH(B481,INPUTS!$A$10:$A$14,0))</f>
        <v>362.203753125</v>
      </c>
      <c r="V481" s="61" t="n">
        <f aca="false">N(STACK!K481)</f>
        <v>0</v>
      </c>
      <c r="W481" s="61" t="n">
        <f aca="false">T481+U481+V481</f>
        <v>2320.061878125</v>
      </c>
      <c r="X481" s="61" t="n">
        <f aca="false">N(STACK!L481)</f>
        <v>0</v>
      </c>
      <c r="Y481" s="61" t="n">
        <f aca="false">W481-X481</f>
        <v>2320.061878125</v>
      </c>
      <c r="Z481" s="1" t="n">
        <f aca="false">N(STACK!J481)</f>
        <v>181</v>
      </c>
      <c r="AA481" s="1" t="str">
        <f aca="false">TRIM(IF(D481="UNMAPPED","Program not mapped. ","")&amp;IF(OR(K481="UNMAPPED",K481="UNASSIGNED"),"Category needs review. ","")&amp;IF(P481="UNMAPPED","Title not mapped. ","")&amp;IF(AND(P481&lt;&gt;"No staff time",R481=""),"Missing hours. ","")&amp;IF(M481="","Date not readable. ","")&amp;IF(N481="No","Outside fiscal year. ","")&amp;IF(AND(F481="Event",ISNUMBER(R481)),IF(R481&gt;12,"Event hours look high. ",""),"")&amp;IF(G481&gt;0,"See CONFIRM sheet.",""))</f>
        <v/>
      </c>
      <c r="AB481" s="1" t="n">
        <f aca="false">IF(N481="No",0,IF(REVIEW!O481=0,0,IF(G481&gt;0,IF(INDEX(CONFIRM!$J$5:$J$53,G481)&lt;&gt;"",INDEX(CONFIRM!$J$5:$J$53,G481),1),1)))</f>
        <v>1</v>
      </c>
      <c r="AC481" s="1" t="n">
        <f aca="false">IF(AB481=1,IF(COUNTIFS($B$5:B481,B481,$D$5:D481,D481,$AB$5:AB481,1)=1,1,0),0)</f>
        <v>0</v>
      </c>
    </row>
    <row r="482" customFormat="false" ht="15" hidden="false" customHeight="false" outlineLevel="0" collapsed="false">
      <c r="A482" s="48" t="str">
        <f aca="false">STACK!A482</f>
        <v>KVMC-0478</v>
      </c>
      <c r="B482" s="48" t="str">
        <f aca="false">STACK!B482</f>
        <v>KVMC</v>
      </c>
      <c r="C482" s="48" t="str">
        <f aca="false">STACK!E482</f>
        <v>Nursing Student Clinical Rotations</v>
      </c>
      <c r="D482" s="1" t="str">
        <f aca="false">IFERROR(INDEX(MAP!$J$7:$J$101,MATCH(TRIM(C482),MAP!$I$7:$I$101,0)),"UNMAPPED")</f>
        <v>Nursing Student Clinical Rotations</v>
      </c>
      <c r="E482" s="1" t="str">
        <f aca="false">IFERROR(INDEX(MAP!$K$7:$K$101,MATCH(TRIM(C482),MAP!$I$7:$I$101,0)),"")</f>
        <v>Health workforce</v>
      </c>
      <c r="F482" s="1" t="str">
        <f aca="false">IFERROR(INDEX(MAP!$L$7:$L$101,MATCH(TRIM(C482),MAP!$I$7:$I$101,0)),"")</f>
        <v>Monthly</v>
      </c>
      <c r="G482" s="1" t="n">
        <f aca="false">IFERROR(MATCH(A482,CONFIRM!$A$5:$A$53,0),0)</f>
        <v>0</v>
      </c>
      <c r="H482" s="48" t="str">
        <f aca="false">STACK!F482</f>
        <v>Health Professions Education</v>
      </c>
      <c r="I482" s="1" t="str">
        <f aca="false">IF(G482&gt;0,IF(INDEX(CONFIRM!$I$5:$I$53,G482)&lt;&gt;"",INDEX(CONFIRM!$I$5:$I$53,G482),H482),H482)</f>
        <v>Health Professions Education</v>
      </c>
      <c r="J482" s="1" t="str">
        <f aca="false">IFERROR(INDEX(MAP!$F$7:$F$74,MATCH(TRIM(I482),MAP!$E$7:$E$74,0)),"UNMAPPED")</f>
        <v>Health professions education</v>
      </c>
      <c r="K482" s="1" t="str">
        <f aca="false">IFERROR(INDEX(MAP!$G$7:$G$74,MATCH(TRIM(I482),MAP!$E$7:$E$74,0)),"UNMAPPED")</f>
        <v>7f</v>
      </c>
      <c r="L482" s="49" t="n">
        <f aca="false">STACK!G482</f>
        <v>46173</v>
      </c>
      <c r="M482" s="59" t="n">
        <f aca="false">IF(G482&gt;0,IF(INDEX(CONFIRM!$G$5:$G$53,G482)&lt;&gt;"",INDEX(CONFIRM!$G$5:$G$53,G482),IF(ISNUMBER(L482),L482,IFERROR(DATEVALUE(L482),""))),IF(ISNUMBER(L482),L482,IFERROR(DATEVALUE(L482),"")))</f>
        <v>46173</v>
      </c>
      <c r="N482" s="1" t="str">
        <f aca="false">IF(M482="","Check",IF(AND(M482&gt;=INPUTS!$C$6,M482&lt;=INPUTS!$C$7),"Yes","No"))</f>
        <v>Yes</v>
      </c>
      <c r="O482" s="48" t="str">
        <f aca="false">STACK!H482</f>
        <v>Clin Educator</v>
      </c>
      <c r="P482" s="1" t="str">
        <f aca="false">IF(G482&gt;0,IF(INDEX(CONFIRM!$H$5:$H$53,G482)&lt;&gt;"",INDEX(CONFIRM!$H$5:$H$53,G482),IFERROR(INDEX(MAP!$B$7:$B$156,MATCH(TRIM(O482),MAP!$A$7:$A$156,0)),"UNMAPPED")),IFERROR(INDEX(MAP!$B$7:$B$156,MATCH(TRIM(O482),MAP!$A$7:$A$156,0)),"UNMAPPED"))</f>
        <v>Clinical Nurse Educator</v>
      </c>
      <c r="Q482" s="48" t="n">
        <f aca="false">STACK!I482</f>
        <v>166.5</v>
      </c>
      <c r="R482" s="60" t="n">
        <f aca="false">IF(G482&gt;0,IF(INDEX(CONFIRM!$F$5:$F$53,G482)&lt;&gt;"",INDEX(CONFIRM!$F$5:$F$53,G482),IF(ISNUMBER(Q482),Q482,IF(Q482="","",IFERROR(VALUE(TRIM(SUBSTITUTE(SUBSTITUTE(LOWER(Q482),"hrs",""),"hr",""))),"")))),IF(ISNUMBER(Q482),Q482,IF(Q482="","",IFERROR(VALUE(TRIM(SUBSTITUTE(SUBSTITUTE(LOWER(Q482),"hrs",""),"hr",""))),""))))</f>
        <v>166.5</v>
      </c>
      <c r="S482" s="57" t="n">
        <f aca="false">IFERROR(INDEX(RATES!$E$6:$E$28,MATCH(P482,RATES!$A$6:$A$28,0)),0)</f>
        <v>62.965</v>
      </c>
      <c r="T482" s="61" t="n">
        <f aca="false">IF(ISNUMBER(R482),R482,0)*S482</f>
        <v>10483.6725</v>
      </c>
      <c r="U482" s="61" t="n">
        <f aca="false">T482*INDEX(INPUTS!$H$10:$H$14,MATCH(B482,INPUTS!$A$10:$A$14,0))</f>
        <v>1939.4794125</v>
      </c>
      <c r="V482" s="61" t="n">
        <f aca="false">N(STACK!K482)</f>
        <v>995</v>
      </c>
      <c r="W482" s="61" t="n">
        <f aca="false">T482+U482+V482</f>
        <v>13418.1519125</v>
      </c>
      <c r="X482" s="61" t="n">
        <f aca="false">N(STACK!L482)</f>
        <v>0</v>
      </c>
      <c r="Y482" s="61" t="n">
        <f aca="false">W482-X482</f>
        <v>13418.1519125</v>
      </c>
      <c r="Z482" s="1" t="n">
        <f aca="false">N(STACK!J482)</f>
        <v>36</v>
      </c>
      <c r="AA482" s="1" t="str">
        <f aca="false">TRIM(IF(D482="UNMAPPED","Program not mapped. ","")&amp;IF(OR(K482="UNMAPPED",K482="UNASSIGNED"),"Category needs review. ","")&amp;IF(P482="UNMAPPED","Title not mapped. ","")&amp;IF(AND(P482&lt;&gt;"No staff time",R482=""),"Missing hours. ","")&amp;IF(M482="","Date not readable. ","")&amp;IF(N482="No","Outside fiscal year. ","")&amp;IF(AND(F482="Event",ISNUMBER(R482)),IF(R482&gt;12,"Event hours look high. ",""),"")&amp;IF(G482&gt;0,"See CONFIRM sheet.",""))</f>
        <v/>
      </c>
      <c r="AB482" s="1" t="n">
        <f aca="false">IF(N482="No",0,IF(REVIEW!O482=0,0,IF(G482&gt;0,IF(INDEX(CONFIRM!$J$5:$J$53,G482)&lt;&gt;"",INDEX(CONFIRM!$J$5:$J$53,G482),1),1)))</f>
        <v>1</v>
      </c>
      <c r="AC482" s="1" t="n">
        <f aca="false">IF(AB482=1,IF(COUNTIFS($B$5:B482,B482,$D$5:D482,D482,$AB$5:AB482,1)=1,1,0),0)</f>
        <v>0</v>
      </c>
    </row>
    <row r="483" customFormat="false" ht="15" hidden="false" customHeight="false" outlineLevel="0" collapsed="false">
      <c r="A483" s="48" t="str">
        <f aca="false">STACK!A483</f>
        <v>KVMC-0479</v>
      </c>
      <c r="B483" s="48" t="str">
        <f aca="false">STACK!B483</f>
        <v>KVMC</v>
      </c>
      <c r="C483" s="48" t="str">
        <f aca="false">STACK!E483</f>
        <v>Nursing Student Clinical Rotations</v>
      </c>
      <c r="D483" s="1" t="str">
        <f aca="false">IFERROR(INDEX(MAP!$J$7:$J$101,MATCH(TRIM(C483),MAP!$I$7:$I$101,0)),"UNMAPPED")</f>
        <v>Nursing Student Clinical Rotations</v>
      </c>
      <c r="E483" s="1" t="str">
        <f aca="false">IFERROR(INDEX(MAP!$K$7:$K$101,MATCH(TRIM(C483),MAP!$I$7:$I$101,0)),"")</f>
        <v>Health workforce</v>
      </c>
      <c r="F483" s="1" t="str">
        <f aca="false">IFERROR(INDEX(MAP!$L$7:$L$101,MATCH(TRIM(C483),MAP!$I$7:$I$101,0)),"")</f>
        <v>Monthly</v>
      </c>
      <c r="G483" s="1" t="n">
        <f aca="false">IFERROR(MATCH(A483,CONFIRM!$A$5:$A$53,0),0)</f>
        <v>0</v>
      </c>
      <c r="H483" s="48" t="str">
        <f aca="false">STACK!F483</f>
        <v>Health Professions Education</v>
      </c>
      <c r="I483" s="1" t="str">
        <f aca="false">IF(G483&gt;0,IF(INDEX(CONFIRM!$I$5:$I$53,G483)&lt;&gt;"",INDEX(CONFIRM!$I$5:$I$53,G483),H483),H483)</f>
        <v>Health Professions Education</v>
      </c>
      <c r="J483" s="1" t="str">
        <f aca="false">IFERROR(INDEX(MAP!$F$7:$F$74,MATCH(TRIM(I483),MAP!$E$7:$E$74,0)),"UNMAPPED")</f>
        <v>Health professions education</v>
      </c>
      <c r="K483" s="1" t="str">
        <f aca="false">IFERROR(INDEX(MAP!$G$7:$G$74,MATCH(TRIM(I483),MAP!$E$7:$E$74,0)),"UNMAPPED")</f>
        <v>7f</v>
      </c>
      <c r="L483" s="49" t="n">
        <f aca="false">STACK!G483</f>
        <v>46173</v>
      </c>
      <c r="M483" s="59" t="n">
        <f aca="false">IF(G483&gt;0,IF(INDEX(CONFIRM!$G$5:$G$53,G483)&lt;&gt;"",INDEX(CONFIRM!$G$5:$G$53,G483),IF(ISNUMBER(L483),L483,IFERROR(DATEVALUE(L483),""))),IF(ISNUMBER(L483),L483,IFERROR(DATEVALUE(L483),"")))</f>
        <v>46173</v>
      </c>
      <c r="N483" s="1" t="str">
        <f aca="false">IF(M483="","Check",IF(AND(M483&gt;=INPUTS!$C$6,M483&lt;=INPUTS!$C$7),"Yes","No"))</f>
        <v>Yes</v>
      </c>
      <c r="O483" s="48" t="str">
        <f aca="false">STACK!H483</f>
        <v>Registered Nurse</v>
      </c>
      <c r="P483" s="1" t="str">
        <f aca="false">IF(G483&gt;0,IF(INDEX(CONFIRM!$H$5:$H$53,G483)&lt;&gt;"",INDEX(CONFIRM!$H$5:$H$53,G483),IFERROR(INDEX(MAP!$B$7:$B$156,MATCH(TRIM(O483),MAP!$A$7:$A$156,0)),"UNMAPPED")),IFERROR(INDEX(MAP!$B$7:$B$156,MATCH(TRIM(O483),MAP!$A$7:$A$156,0)),"UNMAPPED"))</f>
        <v>Registered Nurse</v>
      </c>
      <c r="Q483" s="48" t="n">
        <f aca="false">STACK!I483</f>
        <v>256.25</v>
      </c>
      <c r="R483" s="60" t="n">
        <f aca="false">IF(G483&gt;0,IF(INDEX(CONFIRM!$F$5:$F$53,G483)&lt;&gt;"",INDEX(CONFIRM!$F$5:$F$53,G483),IF(ISNUMBER(Q483),Q483,IF(Q483="","",IFERROR(VALUE(TRIM(SUBSTITUTE(SUBSTITUTE(LOWER(Q483),"hrs",""),"hr",""))),"")))),IF(ISNUMBER(Q483),Q483,IF(Q483="","",IFERROR(VALUE(TRIM(SUBSTITUTE(SUBSTITUTE(LOWER(Q483),"hrs",""),"hr",""))),""))))</f>
        <v>256.25</v>
      </c>
      <c r="S483" s="57" t="n">
        <f aca="false">IFERROR(INDEX(RATES!$E$6:$E$28,MATCH(P483,RATES!$A$6:$A$28,0)),0)</f>
        <v>55.8975</v>
      </c>
      <c r="T483" s="61" t="n">
        <f aca="false">IF(ISNUMBER(R483),R483,0)*S483</f>
        <v>14323.734375</v>
      </c>
      <c r="U483" s="61" t="n">
        <f aca="false">T483*INDEX(INPUTS!$H$10:$H$14,MATCH(B483,INPUTS!$A$10:$A$14,0))</f>
        <v>2649.890859375</v>
      </c>
      <c r="V483" s="61" t="n">
        <f aca="false">N(STACK!K483)</f>
        <v>0</v>
      </c>
      <c r="W483" s="61" t="n">
        <f aca="false">T483+U483+V483</f>
        <v>16973.625234375</v>
      </c>
      <c r="X483" s="61" t="n">
        <f aca="false">N(STACK!L483)</f>
        <v>0</v>
      </c>
      <c r="Y483" s="61" t="n">
        <f aca="false">W483-X483</f>
        <v>16973.625234375</v>
      </c>
      <c r="Z483" s="1" t="n">
        <f aca="false">N(STACK!J483)</f>
        <v>0</v>
      </c>
      <c r="AA483" s="1" t="str">
        <f aca="false">TRIM(IF(D483="UNMAPPED","Program not mapped. ","")&amp;IF(OR(K483="UNMAPPED",K483="UNASSIGNED"),"Category needs review. ","")&amp;IF(P483="UNMAPPED","Title not mapped. ","")&amp;IF(AND(P483&lt;&gt;"No staff time",R483=""),"Missing hours. ","")&amp;IF(M483="","Date not readable. ","")&amp;IF(N483="No","Outside fiscal year. ","")&amp;IF(AND(F483="Event",ISNUMBER(R483)),IF(R483&gt;12,"Event hours look high. ",""),"")&amp;IF(G483&gt;0,"See CONFIRM sheet.",""))</f>
        <v/>
      </c>
      <c r="AB483" s="1" t="n">
        <f aca="false">IF(N483="No",0,IF(REVIEW!O483=0,0,IF(G483&gt;0,IF(INDEX(CONFIRM!$J$5:$J$53,G483)&lt;&gt;"",INDEX(CONFIRM!$J$5:$J$53,G483),1),1)))</f>
        <v>1</v>
      </c>
      <c r="AC483" s="1" t="n">
        <f aca="false">IF(AB483=1,IF(COUNTIFS($B$5:B483,B483,$D$5:D483,D483,$AB$5:AB483,1)=1,1,0),0)</f>
        <v>0</v>
      </c>
    </row>
    <row r="484" customFormat="false" ht="15" hidden="false" customHeight="false" outlineLevel="0" collapsed="false">
      <c r="A484" s="48" t="str">
        <f aca="false">STACK!A484</f>
        <v>KVMC-0480</v>
      </c>
      <c r="B484" s="48" t="str">
        <f aca="false">STACK!B484</f>
        <v>KVMC</v>
      </c>
      <c r="C484" s="48" t="str">
        <f aca="false">STACK!E484</f>
        <v>Family Medicine Residency Program</v>
      </c>
      <c r="D484" s="1" t="str">
        <f aca="false">IFERROR(INDEX(MAP!$J$7:$J$101,MATCH(TRIM(C484),MAP!$I$7:$I$101,0)),"UNMAPPED")</f>
        <v>Family Medicine Residency Program</v>
      </c>
      <c r="E484" s="1" t="str">
        <f aca="false">IFERROR(INDEX(MAP!$K$7:$K$101,MATCH(TRIM(C484),MAP!$I$7:$I$101,0)),"")</f>
        <v>Health workforce</v>
      </c>
      <c r="F484" s="1" t="str">
        <f aca="false">IFERROR(INDEX(MAP!$L$7:$L$101,MATCH(TRIM(C484),MAP!$I$7:$I$101,0)),"")</f>
        <v>Monthly</v>
      </c>
      <c r="G484" s="1" t="n">
        <f aca="false">IFERROR(MATCH(A484,CONFIRM!$A$5:$A$53,0),0)</f>
        <v>0</v>
      </c>
      <c r="H484" s="48" t="str">
        <f aca="false">STACK!F484</f>
        <v>Health Professions Education</v>
      </c>
      <c r="I484" s="1" t="str">
        <f aca="false">IF(G484&gt;0,IF(INDEX(CONFIRM!$I$5:$I$53,G484)&lt;&gt;"",INDEX(CONFIRM!$I$5:$I$53,G484),H484),H484)</f>
        <v>Health Professions Education</v>
      </c>
      <c r="J484" s="1" t="str">
        <f aca="false">IFERROR(INDEX(MAP!$F$7:$F$74,MATCH(TRIM(I484),MAP!$E$7:$E$74,0)),"UNMAPPED")</f>
        <v>Health professions education</v>
      </c>
      <c r="K484" s="1" t="str">
        <f aca="false">IFERROR(INDEX(MAP!$G$7:$G$74,MATCH(TRIM(I484),MAP!$E$7:$E$74,0)),"UNMAPPED")</f>
        <v>7f</v>
      </c>
      <c r="L484" s="49" t="n">
        <f aca="false">STACK!G484</f>
        <v>46173</v>
      </c>
      <c r="M484" s="59" t="n">
        <f aca="false">IF(G484&gt;0,IF(INDEX(CONFIRM!$G$5:$G$53,G484)&lt;&gt;"",INDEX(CONFIRM!$G$5:$G$53,G484),IF(ISNUMBER(L484),L484,IFERROR(DATEVALUE(L484),""))),IF(ISNUMBER(L484),L484,IFERROR(DATEVALUE(L484),"")))</f>
        <v>46173</v>
      </c>
      <c r="N484" s="1" t="str">
        <f aca="false">IF(M484="","Check",IF(AND(M484&gt;=INPUTS!$C$6,M484&lt;=INPUTS!$C$7),"Yes","No"))</f>
        <v>Yes</v>
      </c>
      <c r="O484" s="48" t="str">
        <f aca="false">STACK!H484</f>
        <v>PHYSICIAN</v>
      </c>
      <c r="P484" s="1" t="str">
        <f aca="false">IF(G484&gt;0,IF(INDEX(CONFIRM!$H$5:$H$53,G484)&lt;&gt;"",INDEX(CONFIRM!$H$5:$H$53,G484),IFERROR(INDEX(MAP!$B$7:$B$156,MATCH(TRIM(O484),MAP!$A$7:$A$156,0)),"UNMAPPED")),IFERROR(INDEX(MAP!$B$7:$B$156,MATCH(TRIM(O484),MAP!$A$7:$A$156,0)),"UNMAPPED"))</f>
        <v>Physician</v>
      </c>
      <c r="Q484" s="48" t="n">
        <f aca="false">STACK!I484</f>
        <v>392.25</v>
      </c>
      <c r="R484" s="60" t="n">
        <f aca="false">IF(G484&gt;0,IF(INDEX(CONFIRM!$F$5:$F$53,G484)&lt;&gt;"",INDEX(CONFIRM!$F$5:$F$53,G484),IF(ISNUMBER(Q484),Q484,IF(Q484="","",IFERROR(VALUE(TRIM(SUBSTITUTE(SUBSTITUTE(LOWER(Q484),"hrs",""),"hr",""))),"")))),IF(ISNUMBER(Q484),Q484,IF(Q484="","",IFERROR(VALUE(TRIM(SUBSTITUTE(SUBSTITUTE(LOWER(Q484),"hrs",""),"hr",""))),""))))</f>
        <v>392.25</v>
      </c>
      <c r="S484" s="57" t="n">
        <f aca="false">IFERROR(INDEX(RATES!$E$6:$E$28,MATCH(P484,RATES!$A$6:$A$28,0)),0)</f>
        <v>151.63</v>
      </c>
      <c r="T484" s="61" t="n">
        <f aca="false">IF(ISNUMBER(R484),R484,0)*S484</f>
        <v>59476.8675</v>
      </c>
      <c r="U484" s="61" t="n">
        <f aca="false">T484*INDEX(INPUTS!$H$10:$H$14,MATCH(B484,INPUTS!$A$10:$A$14,0))</f>
        <v>11003.2204875</v>
      </c>
      <c r="V484" s="61" t="n">
        <f aca="false">N(STACK!K484)</f>
        <v>37810</v>
      </c>
      <c r="W484" s="61" t="n">
        <f aca="false">T484+U484+V484</f>
        <v>108290.0879875</v>
      </c>
      <c r="X484" s="61" t="n">
        <f aca="false">N(STACK!L484)</f>
        <v>172980</v>
      </c>
      <c r="Y484" s="61" t="n">
        <f aca="false">W484-X484</f>
        <v>-64689.9120125</v>
      </c>
      <c r="Z484" s="1" t="n">
        <f aca="false">N(STACK!J484)</f>
        <v>0</v>
      </c>
      <c r="AA484" s="1" t="str">
        <f aca="false">TRIM(IF(D484="UNMAPPED","Program not mapped. ","")&amp;IF(OR(K484="UNMAPPED",K484="UNASSIGNED"),"Category needs review. ","")&amp;IF(P484="UNMAPPED","Title not mapped. ","")&amp;IF(AND(P484&lt;&gt;"No staff time",R484=""),"Missing hours. ","")&amp;IF(M484="","Date not readable. ","")&amp;IF(N484="No","Outside fiscal year. ","")&amp;IF(AND(F484="Event",ISNUMBER(R484)),IF(R484&gt;12,"Event hours look high. ",""),"")&amp;IF(G484&gt;0,"See CONFIRM sheet.",""))</f>
        <v/>
      </c>
      <c r="AB484" s="1" t="n">
        <f aca="false">IF(N484="No",0,IF(REVIEW!O484=0,0,IF(G484&gt;0,IF(INDEX(CONFIRM!$J$5:$J$53,G484)&lt;&gt;"",INDEX(CONFIRM!$J$5:$J$53,G484),1),1)))</f>
        <v>1</v>
      </c>
      <c r="AC484" s="1" t="n">
        <f aca="false">IF(AB484=1,IF(COUNTIFS($B$5:B484,B484,$D$5:D484,D484,$AB$5:AB484,1)=1,1,0),0)</f>
        <v>0</v>
      </c>
    </row>
    <row r="485" customFormat="false" ht="15" hidden="false" customHeight="false" outlineLevel="0" collapsed="false">
      <c r="A485" s="48" t="str">
        <f aca="false">STACK!A485</f>
        <v>KVMC-0481</v>
      </c>
      <c r="B485" s="48" t="str">
        <f aca="false">STACK!B485</f>
        <v>KVMC</v>
      </c>
      <c r="C485" s="48" t="str">
        <f aca="false">STACK!E485</f>
        <v>Family Medicine Residency Program</v>
      </c>
      <c r="D485" s="1" t="str">
        <f aca="false">IFERROR(INDEX(MAP!$J$7:$J$101,MATCH(TRIM(C485),MAP!$I$7:$I$101,0)),"UNMAPPED")</f>
        <v>Family Medicine Residency Program</v>
      </c>
      <c r="E485" s="1" t="str">
        <f aca="false">IFERROR(INDEX(MAP!$K$7:$K$101,MATCH(TRIM(C485),MAP!$I$7:$I$101,0)),"")</f>
        <v>Health workforce</v>
      </c>
      <c r="F485" s="1" t="str">
        <f aca="false">IFERROR(INDEX(MAP!$L$7:$L$101,MATCH(TRIM(C485),MAP!$I$7:$I$101,0)),"")</f>
        <v>Monthly</v>
      </c>
      <c r="G485" s="1" t="n">
        <f aca="false">IFERROR(MATCH(A485,CONFIRM!$A$5:$A$53,0),0)</f>
        <v>0</v>
      </c>
      <c r="H485" s="48" t="str">
        <f aca="false">STACK!F485</f>
        <v>Health Professions Education</v>
      </c>
      <c r="I485" s="1" t="str">
        <f aca="false">IF(G485&gt;0,IF(INDEX(CONFIRM!$I$5:$I$53,G485)&lt;&gt;"",INDEX(CONFIRM!$I$5:$I$53,G485),H485),H485)</f>
        <v>Health Professions Education</v>
      </c>
      <c r="J485" s="1" t="str">
        <f aca="false">IFERROR(INDEX(MAP!$F$7:$F$74,MATCH(TRIM(I485),MAP!$E$7:$E$74,0)),"UNMAPPED")</f>
        <v>Health professions education</v>
      </c>
      <c r="K485" s="1" t="str">
        <f aca="false">IFERROR(INDEX(MAP!$G$7:$G$74,MATCH(TRIM(I485),MAP!$E$7:$E$74,0)),"UNMAPPED")</f>
        <v>7f</v>
      </c>
      <c r="L485" s="49" t="n">
        <f aca="false">STACK!G485</f>
        <v>46173</v>
      </c>
      <c r="M485" s="59" t="n">
        <f aca="false">IF(G485&gt;0,IF(INDEX(CONFIRM!$G$5:$G$53,G485)&lt;&gt;"",INDEX(CONFIRM!$G$5:$G$53,G485),IF(ISNUMBER(L485),L485,IFERROR(DATEVALUE(L485),""))),IF(ISNUMBER(L485),L485,IFERROR(DATEVALUE(L485),"")))</f>
        <v>46173</v>
      </c>
      <c r="N485" s="1" t="str">
        <f aca="false">IF(M485="","Check",IF(AND(M485&gt;=INPUTS!$C$6,M485&lt;=INPUTS!$C$7),"Yes","No"))</f>
        <v>Yes</v>
      </c>
      <c r="O485" s="48" t="str">
        <f aca="false">STACK!H485</f>
        <v>Program Coordinator</v>
      </c>
      <c r="P485" s="1" t="str">
        <f aca="false">IF(G485&gt;0,IF(INDEX(CONFIRM!$H$5:$H$53,G485)&lt;&gt;"",INDEX(CONFIRM!$H$5:$H$53,G485),IFERROR(INDEX(MAP!$B$7:$B$156,MATCH(TRIM(O485),MAP!$A$7:$A$156,0)),"UNMAPPED")),IFERROR(INDEX(MAP!$B$7:$B$156,MATCH(TRIM(O485),MAP!$A$7:$A$156,0)),"UNMAPPED"))</f>
        <v>Program Coordinator</v>
      </c>
      <c r="Q485" s="48" t="n">
        <f aca="false">STACK!I485</f>
        <v>165</v>
      </c>
      <c r="R485" s="60" t="n">
        <f aca="false">IF(G485&gt;0,IF(INDEX(CONFIRM!$F$5:$F$53,G485)&lt;&gt;"",INDEX(CONFIRM!$F$5:$F$53,G485),IF(ISNUMBER(Q485),Q485,IF(Q485="","",IFERROR(VALUE(TRIM(SUBSTITUTE(SUBSTITUTE(LOWER(Q485),"hrs",""),"hr",""))),"")))),IF(ISNUMBER(Q485),Q485,IF(Q485="","",IFERROR(VALUE(TRIM(SUBSTITUTE(SUBSTITUTE(LOWER(Q485),"hrs",""),"hr",""))),""))))</f>
        <v>165</v>
      </c>
      <c r="S485" s="57" t="n">
        <f aca="false">IFERROR(INDEX(RATES!$E$6:$E$28,MATCH(P485,RATES!$A$6:$A$28,0)),0)</f>
        <v>35.3375</v>
      </c>
      <c r="T485" s="61" t="n">
        <f aca="false">IF(ISNUMBER(R485),R485,0)*S485</f>
        <v>5830.6875</v>
      </c>
      <c r="U485" s="61" t="n">
        <f aca="false">T485*INDEX(INPUTS!$H$10:$H$14,MATCH(B485,INPUTS!$A$10:$A$14,0))</f>
        <v>1078.6771875</v>
      </c>
      <c r="V485" s="61" t="n">
        <f aca="false">N(STACK!K485)</f>
        <v>0</v>
      </c>
      <c r="W485" s="61" t="n">
        <f aca="false">T485+U485+V485</f>
        <v>6909.3646875</v>
      </c>
      <c r="X485" s="61" t="n">
        <f aca="false">N(STACK!L485)</f>
        <v>0</v>
      </c>
      <c r="Y485" s="61" t="n">
        <f aca="false">W485-X485</f>
        <v>6909.3646875</v>
      </c>
      <c r="Z485" s="1" t="n">
        <f aca="false">N(STACK!J485)</f>
        <v>0</v>
      </c>
      <c r="AA485" s="1" t="str">
        <f aca="false">TRIM(IF(D485="UNMAPPED","Program not mapped. ","")&amp;IF(OR(K485="UNMAPPED",K485="UNASSIGNED"),"Category needs review. ","")&amp;IF(P485="UNMAPPED","Title not mapped. ","")&amp;IF(AND(P485&lt;&gt;"No staff time",R485=""),"Missing hours. ","")&amp;IF(M485="","Date not readable. ","")&amp;IF(N485="No","Outside fiscal year. ","")&amp;IF(AND(F485="Event",ISNUMBER(R485)),IF(R485&gt;12,"Event hours look high. ",""),"")&amp;IF(G485&gt;0,"See CONFIRM sheet.",""))</f>
        <v/>
      </c>
      <c r="AB485" s="1" t="n">
        <f aca="false">IF(N485="No",0,IF(REVIEW!O485=0,0,IF(G485&gt;0,IF(INDEX(CONFIRM!$J$5:$J$53,G485)&lt;&gt;"",INDEX(CONFIRM!$J$5:$J$53,G485),1),1)))</f>
        <v>1</v>
      </c>
      <c r="AC485" s="1" t="n">
        <f aca="false">IF(AB485=1,IF(COUNTIFS($B$5:B485,B485,$D$5:D485,D485,$AB$5:AB485,1)=1,1,0),0)</f>
        <v>0</v>
      </c>
    </row>
    <row r="486" customFormat="false" ht="15" hidden="false" customHeight="false" outlineLevel="0" collapsed="false">
      <c r="A486" s="48" t="str">
        <f aca="false">STACK!A486</f>
        <v>KVMC-0482</v>
      </c>
      <c r="B486" s="48" t="str">
        <f aca="false">STACK!B486</f>
        <v>KVMC</v>
      </c>
      <c r="C486" s="48" t="str">
        <f aca="false">STACK!E486</f>
        <v>Family Medicine Residency Program</v>
      </c>
      <c r="D486" s="1" t="str">
        <f aca="false">IFERROR(INDEX(MAP!$J$7:$J$101,MATCH(TRIM(C486),MAP!$I$7:$I$101,0)),"UNMAPPED")</f>
        <v>Family Medicine Residency Program</v>
      </c>
      <c r="E486" s="1" t="str">
        <f aca="false">IFERROR(INDEX(MAP!$K$7:$K$101,MATCH(TRIM(C486),MAP!$I$7:$I$101,0)),"")</f>
        <v>Health workforce</v>
      </c>
      <c r="F486" s="1" t="str">
        <f aca="false">IFERROR(INDEX(MAP!$L$7:$L$101,MATCH(TRIM(C486),MAP!$I$7:$I$101,0)),"")</f>
        <v>Monthly</v>
      </c>
      <c r="G486" s="1" t="n">
        <f aca="false">IFERROR(MATCH(A486,CONFIRM!$A$5:$A$53,0),0)</f>
        <v>0</v>
      </c>
      <c r="H486" s="48" t="str">
        <f aca="false">STACK!F486</f>
        <v>Health Professions Education</v>
      </c>
      <c r="I486" s="1" t="str">
        <f aca="false">IF(G486&gt;0,IF(INDEX(CONFIRM!$I$5:$I$53,G486)&lt;&gt;"",INDEX(CONFIRM!$I$5:$I$53,G486),H486),H486)</f>
        <v>Health Professions Education</v>
      </c>
      <c r="J486" s="1" t="str">
        <f aca="false">IFERROR(INDEX(MAP!$F$7:$F$74,MATCH(TRIM(I486),MAP!$E$7:$E$74,0)),"UNMAPPED")</f>
        <v>Health professions education</v>
      </c>
      <c r="K486" s="1" t="str">
        <f aca="false">IFERROR(INDEX(MAP!$G$7:$G$74,MATCH(TRIM(I486),MAP!$E$7:$E$74,0)),"UNMAPPED")</f>
        <v>7f</v>
      </c>
      <c r="L486" s="49" t="n">
        <f aca="false">STACK!G486</f>
        <v>46173</v>
      </c>
      <c r="M486" s="59" t="n">
        <f aca="false">IF(G486&gt;0,IF(INDEX(CONFIRM!$G$5:$G$53,G486)&lt;&gt;"",INDEX(CONFIRM!$G$5:$G$53,G486),IF(ISNUMBER(L486),L486,IFERROR(DATEVALUE(L486),""))),IF(ISNUMBER(L486),L486,IFERROR(DATEVALUE(L486),"")))</f>
        <v>46173</v>
      </c>
      <c r="N486" s="1" t="str">
        <f aca="false">IF(M486="","Check",IF(AND(M486&gt;=INPUTS!$C$6,M486&lt;=INPUTS!$C$7),"Yes","No"))</f>
        <v>Yes</v>
      </c>
      <c r="O486" s="48" t="str">
        <f aca="false">STACK!H486</f>
        <v>Resident Physician</v>
      </c>
      <c r="P486" s="1" t="str">
        <f aca="false">IF(G486&gt;0,IF(INDEX(CONFIRM!$H$5:$H$53,G486)&lt;&gt;"",INDEX(CONFIRM!$H$5:$H$53,G486),IFERROR(INDEX(MAP!$B$7:$B$156,MATCH(TRIM(O486),MAP!$A$7:$A$156,0)),"UNMAPPED")),IFERROR(INDEX(MAP!$B$7:$B$156,MATCH(TRIM(O486),MAP!$A$7:$A$156,0)),"UNMAPPED"))</f>
        <v>Resident Physician</v>
      </c>
      <c r="Q486" s="48" t="n">
        <f aca="false">STACK!I486</f>
        <v>4135.75</v>
      </c>
      <c r="R486" s="60" t="n">
        <f aca="false">IF(G486&gt;0,IF(INDEX(CONFIRM!$F$5:$F$53,G486)&lt;&gt;"",INDEX(CONFIRM!$F$5:$F$53,G486),IF(ISNUMBER(Q486),Q486,IF(Q486="","",IFERROR(VALUE(TRIM(SUBSTITUTE(SUBSTITUTE(LOWER(Q486),"hrs",""),"hr",""))),"")))),IF(ISNUMBER(Q486),Q486,IF(Q486="","",IFERROR(VALUE(TRIM(SUBSTITUTE(SUBSTITUTE(LOWER(Q486),"hrs",""),"hr",""))),""))))</f>
        <v>4135.75</v>
      </c>
      <c r="S486" s="57" t="n">
        <f aca="false">IFERROR(INDEX(RATES!$E$6:$E$28,MATCH(P486,RATES!$A$6:$A$28,0)),0)</f>
        <v>38.43</v>
      </c>
      <c r="T486" s="61" t="n">
        <f aca="false">IF(ISNUMBER(R486),R486,0)*S486</f>
        <v>158936.8725</v>
      </c>
      <c r="U486" s="61" t="n">
        <f aca="false">T486*INDEX(INPUTS!$H$10:$H$14,MATCH(B486,INPUTS!$A$10:$A$14,0))</f>
        <v>29403.3214125</v>
      </c>
      <c r="V486" s="61" t="n">
        <f aca="false">N(STACK!K486)</f>
        <v>0</v>
      </c>
      <c r="W486" s="61" t="n">
        <f aca="false">T486+U486+V486</f>
        <v>188340.1939125</v>
      </c>
      <c r="X486" s="61" t="n">
        <f aca="false">N(STACK!L486)</f>
        <v>0</v>
      </c>
      <c r="Y486" s="61" t="n">
        <f aca="false">W486-X486</f>
        <v>188340.1939125</v>
      </c>
      <c r="Z486" s="1" t="n">
        <f aca="false">N(STACK!J486)</f>
        <v>0</v>
      </c>
      <c r="AA486" s="1" t="str">
        <f aca="false">TRIM(IF(D486="UNMAPPED","Program not mapped. ","")&amp;IF(OR(K486="UNMAPPED",K486="UNASSIGNED"),"Category needs review. ","")&amp;IF(P486="UNMAPPED","Title not mapped. ","")&amp;IF(AND(P486&lt;&gt;"No staff time",R486=""),"Missing hours. ","")&amp;IF(M486="","Date not readable. ","")&amp;IF(N486="No","Outside fiscal year. ","")&amp;IF(AND(F486="Event",ISNUMBER(R486)),IF(R486&gt;12,"Event hours look high. ",""),"")&amp;IF(G486&gt;0,"See CONFIRM sheet.",""))</f>
        <v/>
      </c>
      <c r="AB486" s="1" t="n">
        <f aca="false">IF(N486="No",0,IF(REVIEW!O486=0,0,IF(G486&gt;0,IF(INDEX(CONFIRM!$J$5:$J$53,G486)&lt;&gt;"",INDEX(CONFIRM!$J$5:$J$53,G486),1),1)))</f>
        <v>1</v>
      </c>
      <c r="AC486" s="1" t="n">
        <f aca="false">IF(AB486=1,IF(COUNTIFS($B$5:B486,B486,$D$5:D486,D486,$AB$5:AB486,1)=1,1,0),0)</f>
        <v>0</v>
      </c>
    </row>
    <row r="487" customFormat="false" ht="15" hidden="false" customHeight="false" outlineLevel="0" collapsed="false">
      <c r="A487" s="48" t="str">
        <f aca="false">STACK!A487</f>
        <v>KVMC-0483</v>
      </c>
      <c r="B487" s="48" t="str">
        <f aca="false">STACK!B487</f>
        <v>KVMC</v>
      </c>
      <c r="C487" s="48" t="str">
        <f aca="false">STACK!E487</f>
        <v>Pharmacy Student Rotations</v>
      </c>
      <c r="D487" s="1" t="str">
        <f aca="false">IFERROR(INDEX(MAP!$J$7:$J$101,MATCH(TRIM(C487),MAP!$I$7:$I$101,0)),"UNMAPPED")</f>
        <v>Pharmacy Student Rotations</v>
      </c>
      <c r="E487" s="1" t="str">
        <f aca="false">IFERROR(INDEX(MAP!$K$7:$K$101,MATCH(TRIM(C487),MAP!$I$7:$I$101,0)),"")</f>
        <v>Health workforce</v>
      </c>
      <c r="F487" s="1" t="str">
        <f aca="false">IFERROR(INDEX(MAP!$L$7:$L$101,MATCH(TRIM(C487),MAP!$I$7:$I$101,0)),"")</f>
        <v>Monthly</v>
      </c>
      <c r="G487" s="1" t="n">
        <f aca="false">IFERROR(MATCH(A487,CONFIRM!$A$5:$A$53,0),0)</f>
        <v>0</v>
      </c>
      <c r="H487" s="48" t="str">
        <f aca="false">STACK!F487</f>
        <v>Health Professions Education</v>
      </c>
      <c r="I487" s="1" t="str">
        <f aca="false">IF(G487&gt;0,IF(INDEX(CONFIRM!$I$5:$I$53,G487)&lt;&gt;"",INDEX(CONFIRM!$I$5:$I$53,G487),H487),H487)</f>
        <v>Health Professions Education</v>
      </c>
      <c r="J487" s="1" t="str">
        <f aca="false">IFERROR(INDEX(MAP!$F$7:$F$74,MATCH(TRIM(I487),MAP!$E$7:$E$74,0)),"UNMAPPED")</f>
        <v>Health professions education</v>
      </c>
      <c r="K487" s="1" t="str">
        <f aca="false">IFERROR(INDEX(MAP!$G$7:$G$74,MATCH(TRIM(I487),MAP!$E$7:$E$74,0)),"UNMAPPED")</f>
        <v>7f</v>
      </c>
      <c r="L487" s="49" t="n">
        <f aca="false">STACK!G487</f>
        <v>46173</v>
      </c>
      <c r="M487" s="59" t="n">
        <f aca="false">IF(G487&gt;0,IF(INDEX(CONFIRM!$G$5:$G$53,G487)&lt;&gt;"",INDEX(CONFIRM!$G$5:$G$53,G487),IF(ISNUMBER(L487),L487,IFERROR(DATEVALUE(L487),""))),IF(ISNUMBER(L487),L487,IFERROR(DATEVALUE(L487),"")))</f>
        <v>46173</v>
      </c>
      <c r="N487" s="1" t="str">
        <f aca="false">IF(M487="","Check",IF(AND(M487&gt;=INPUTS!$C$6,M487&lt;=INPUTS!$C$7),"Yes","No"))</f>
        <v>Yes</v>
      </c>
      <c r="O487" s="48" t="str">
        <f aca="false">STACK!H487</f>
        <v>Pharmacist</v>
      </c>
      <c r="P487" s="1" t="str">
        <f aca="false">IF(G487&gt;0,IF(INDEX(CONFIRM!$H$5:$H$53,G487)&lt;&gt;"",INDEX(CONFIRM!$H$5:$H$53,G487),IFERROR(INDEX(MAP!$B$7:$B$156,MATCH(TRIM(O487),MAP!$A$7:$A$156,0)),"UNMAPPED")),IFERROR(INDEX(MAP!$B$7:$B$156,MATCH(TRIM(O487),MAP!$A$7:$A$156,0)),"UNMAPPED"))</f>
        <v>Pharmacist</v>
      </c>
      <c r="Q487" s="48" t="n">
        <f aca="false">STACK!I487</f>
        <v>56.5</v>
      </c>
      <c r="R487" s="60" t="n">
        <f aca="false">IF(G487&gt;0,IF(INDEX(CONFIRM!$F$5:$F$53,G487)&lt;&gt;"",INDEX(CONFIRM!$F$5:$F$53,G487),IF(ISNUMBER(Q487),Q487,IF(Q487="","",IFERROR(VALUE(TRIM(SUBSTITUTE(SUBSTITUTE(LOWER(Q487),"hrs",""),"hr",""))),"")))),IF(ISNUMBER(Q487),Q487,IF(Q487="","",IFERROR(VALUE(TRIM(SUBSTITUTE(SUBSTITUTE(LOWER(Q487),"hrs",""),"hr",""))),""))))</f>
        <v>56.5</v>
      </c>
      <c r="S487" s="57" t="n">
        <f aca="false">IFERROR(INDEX(RATES!$E$6:$E$28,MATCH(P487,RATES!$A$6:$A$28,0)),0)</f>
        <v>84.81</v>
      </c>
      <c r="T487" s="61" t="n">
        <f aca="false">IF(ISNUMBER(R487),R487,0)*S487</f>
        <v>4791.765</v>
      </c>
      <c r="U487" s="61" t="n">
        <f aca="false">T487*INDEX(INPUTS!$H$10:$H$14,MATCH(B487,INPUTS!$A$10:$A$14,0))</f>
        <v>886.476525</v>
      </c>
      <c r="V487" s="61" t="n">
        <f aca="false">N(STACK!K487)</f>
        <v>150</v>
      </c>
      <c r="W487" s="61" t="n">
        <f aca="false">T487+U487+V487</f>
        <v>5828.241525</v>
      </c>
      <c r="X487" s="61" t="n">
        <f aca="false">N(STACK!L487)</f>
        <v>0</v>
      </c>
      <c r="Y487" s="61" t="n">
        <f aca="false">W487-X487</f>
        <v>5828.241525</v>
      </c>
      <c r="Z487" s="1" t="n">
        <f aca="false">N(STACK!J487)</f>
        <v>5</v>
      </c>
      <c r="AA487" s="1" t="str">
        <f aca="false">TRIM(IF(D487="UNMAPPED","Program not mapped. ","")&amp;IF(OR(K487="UNMAPPED",K487="UNASSIGNED"),"Category needs review. ","")&amp;IF(P487="UNMAPPED","Title not mapped. ","")&amp;IF(AND(P487&lt;&gt;"No staff time",R487=""),"Missing hours. ","")&amp;IF(M487="","Date not readable. ","")&amp;IF(N487="No","Outside fiscal year. ","")&amp;IF(AND(F487="Event",ISNUMBER(R487)),IF(R487&gt;12,"Event hours look high. ",""),"")&amp;IF(G487&gt;0,"See CONFIRM sheet.",""))</f>
        <v/>
      </c>
      <c r="AB487" s="1" t="n">
        <f aca="false">IF(N487="No",0,IF(REVIEW!O487=0,0,IF(G487&gt;0,IF(INDEX(CONFIRM!$J$5:$J$53,G487)&lt;&gt;"",INDEX(CONFIRM!$J$5:$J$53,G487),1),1)))</f>
        <v>1</v>
      </c>
      <c r="AC487" s="1" t="n">
        <f aca="false">IF(AB487=1,IF(COUNTIFS($B$5:B487,B487,$D$5:D487,D487,$AB$5:AB487,1)=1,1,0),0)</f>
        <v>0</v>
      </c>
    </row>
    <row r="488" customFormat="false" ht="15" hidden="false" customHeight="false" outlineLevel="0" collapsed="false">
      <c r="A488" s="48" t="str">
        <f aca="false">STACK!A488</f>
        <v>KVMC-0484</v>
      </c>
      <c r="B488" s="48" t="str">
        <f aca="false">STACK!B488</f>
        <v>KVMC</v>
      </c>
      <c r="C488" s="48" t="str">
        <f aca="false">STACK!E488</f>
        <v>Community Hypertension Control Study</v>
      </c>
      <c r="D488" s="1" t="str">
        <f aca="false">IFERROR(INDEX(MAP!$J$7:$J$101,MATCH(TRIM(C488),MAP!$I$7:$I$101,0)),"UNMAPPED")</f>
        <v>Community Hypertension Control Study</v>
      </c>
      <c r="E488" s="1" t="str">
        <f aca="false">IFERROR(INDEX(MAP!$K$7:$K$101,MATCH(TRIM(C488),MAP!$I$7:$I$101,0)),"")</f>
        <v>Chronic disease prevention</v>
      </c>
      <c r="F488" s="1" t="str">
        <f aca="false">IFERROR(INDEX(MAP!$L$7:$L$101,MATCH(TRIM(C488),MAP!$I$7:$I$101,0)),"")</f>
        <v>Monthly</v>
      </c>
      <c r="G488" s="1" t="n">
        <f aca="false">IFERROR(MATCH(A488,CONFIRM!$A$5:$A$53,0),0)</f>
        <v>0</v>
      </c>
      <c r="H488" s="48" t="str">
        <f aca="false">STACK!F488</f>
        <v>Research</v>
      </c>
      <c r="I488" s="1" t="str">
        <f aca="false">IF(G488&gt;0,IF(INDEX(CONFIRM!$I$5:$I$53,G488)&lt;&gt;"",INDEX(CONFIRM!$I$5:$I$53,G488),H488),H488)</f>
        <v>Research</v>
      </c>
      <c r="J488" s="1" t="str">
        <f aca="false">IFERROR(INDEX(MAP!$F$7:$F$74,MATCH(TRIM(I488),MAP!$E$7:$E$74,0)),"UNMAPPED")</f>
        <v>Research</v>
      </c>
      <c r="K488" s="1" t="str">
        <f aca="false">IFERROR(INDEX(MAP!$G$7:$G$74,MATCH(TRIM(I488),MAP!$E$7:$E$74,0)),"UNMAPPED")</f>
        <v>7h</v>
      </c>
      <c r="L488" s="49" t="n">
        <f aca="false">STACK!G488</f>
        <v>46173</v>
      </c>
      <c r="M488" s="59" t="n">
        <f aca="false">IF(G488&gt;0,IF(INDEX(CONFIRM!$G$5:$G$53,G488)&lt;&gt;"",INDEX(CONFIRM!$G$5:$G$53,G488),IF(ISNUMBER(L488),L488,IFERROR(DATEVALUE(L488),""))),IF(ISNUMBER(L488),L488,IFERROR(DATEVALUE(L488),"")))</f>
        <v>46173</v>
      </c>
      <c r="N488" s="1" t="str">
        <f aca="false">IF(M488="","Check",IF(AND(M488&gt;=INPUTS!$C$6,M488&lt;=INPUTS!$C$7),"Yes","No"))</f>
        <v>Yes</v>
      </c>
      <c r="O488" s="48" t="str">
        <f aca="false">STACK!H488</f>
        <v>BI Analyst</v>
      </c>
      <c r="P488" s="1" t="str">
        <f aca="false">IF(G488&gt;0,IF(INDEX(CONFIRM!$H$5:$H$53,G488)&lt;&gt;"",INDEX(CONFIRM!$H$5:$H$53,G488),IFERROR(INDEX(MAP!$B$7:$B$156,MATCH(TRIM(O488),MAP!$A$7:$A$156,0)),"UNMAPPED")),IFERROR(INDEX(MAP!$B$7:$B$156,MATCH(TRIM(O488),MAP!$A$7:$A$156,0)),"UNMAPPED"))</f>
        <v>Data Analyst</v>
      </c>
      <c r="Q488" s="48" t="n">
        <f aca="false">STACK!I488</f>
        <v>53.75</v>
      </c>
      <c r="R488" s="60" t="n">
        <f aca="false">IF(G488&gt;0,IF(INDEX(CONFIRM!$F$5:$F$53,G488)&lt;&gt;"",INDEX(CONFIRM!$F$5:$F$53,G488),IF(ISNUMBER(Q488),Q488,IF(Q488="","",IFERROR(VALUE(TRIM(SUBSTITUTE(SUBSTITUTE(LOWER(Q488),"hrs",""),"hr",""))),"")))),IF(ISNUMBER(Q488),Q488,IF(Q488="","",IFERROR(VALUE(TRIM(SUBSTITUTE(SUBSTITUTE(LOWER(Q488),"hrs",""),"hr",""))),""))))</f>
        <v>53.75</v>
      </c>
      <c r="S488" s="57" t="n">
        <f aca="false">IFERROR(INDEX(RATES!$E$6:$E$28,MATCH(P488,RATES!$A$6:$A$28,0)),0)</f>
        <v>48.83</v>
      </c>
      <c r="T488" s="61" t="n">
        <f aca="false">IF(ISNUMBER(R488),R488,0)*S488</f>
        <v>2624.6125</v>
      </c>
      <c r="U488" s="61" t="n">
        <f aca="false">T488*INDEX(INPUTS!$H$10:$H$14,MATCH(B488,INPUTS!$A$10:$A$14,0))</f>
        <v>485.5533125</v>
      </c>
      <c r="V488" s="61" t="n">
        <f aca="false">N(STACK!K488)</f>
        <v>0</v>
      </c>
      <c r="W488" s="61" t="n">
        <f aca="false">T488+U488+V488</f>
        <v>3110.1658125</v>
      </c>
      <c r="X488" s="61" t="n">
        <f aca="false">N(STACK!L488)</f>
        <v>0</v>
      </c>
      <c r="Y488" s="61" t="n">
        <f aca="false">W488-X488</f>
        <v>3110.1658125</v>
      </c>
      <c r="Z488" s="1" t="n">
        <f aca="false">N(STACK!J488)</f>
        <v>0</v>
      </c>
      <c r="AA488" s="1" t="str">
        <f aca="false">TRIM(IF(D488="UNMAPPED","Program not mapped. ","")&amp;IF(OR(K488="UNMAPPED",K488="UNASSIGNED"),"Category needs review. ","")&amp;IF(P488="UNMAPPED","Title not mapped. ","")&amp;IF(AND(P488&lt;&gt;"No staff time",R488=""),"Missing hours. ","")&amp;IF(M488="","Date not readable. ","")&amp;IF(N488="No","Outside fiscal year. ","")&amp;IF(AND(F488="Event",ISNUMBER(R488)),IF(R488&gt;12,"Event hours look high. ",""),"")&amp;IF(G488&gt;0,"See CONFIRM sheet.",""))</f>
        <v/>
      </c>
      <c r="AB488" s="1" t="n">
        <f aca="false">IF(N488="No",0,IF(REVIEW!O488=0,0,IF(G488&gt;0,IF(INDEX(CONFIRM!$J$5:$J$53,G488)&lt;&gt;"",INDEX(CONFIRM!$J$5:$J$53,G488),1),1)))</f>
        <v>1</v>
      </c>
      <c r="AC488" s="1" t="n">
        <f aca="false">IF(AB488=1,IF(COUNTIFS($B$5:B488,B488,$D$5:D488,D488,$AB$5:AB488,1)=1,1,0),0)</f>
        <v>0</v>
      </c>
    </row>
    <row r="489" customFormat="false" ht="15" hidden="false" customHeight="false" outlineLevel="0" collapsed="false">
      <c r="A489" s="48" t="str">
        <f aca="false">STACK!A489</f>
        <v>KVMC-0485</v>
      </c>
      <c r="B489" s="48" t="str">
        <f aca="false">STACK!B489</f>
        <v>KVMC</v>
      </c>
      <c r="C489" s="48" t="str">
        <f aca="false">STACK!E489</f>
        <v>Community Hypertension Control Study</v>
      </c>
      <c r="D489" s="1" t="str">
        <f aca="false">IFERROR(INDEX(MAP!$J$7:$J$101,MATCH(TRIM(C489),MAP!$I$7:$I$101,0)),"UNMAPPED")</f>
        <v>Community Hypertension Control Study</v>
      </c>
      <c r="E489" s="1" t="str">
        <f aca="false">IFERROR(INDEX(MAP!$K$7:$K$101,MATCH(TRIM(C489),MAP!$I$7:$I$101,0)),"")</f>
        <v>Chronic disease prevention</v>
      </c>
      <c r="F489" s="1" t="str">
        <f aca="false">IFERROR(INDEX(MAP!$L$7:$L$101,MATCH(TRIM(C489),MAP!$I$7:$I$101,0)),"")</f>
        <v>Monthly</v>
      </c>
      <c r="G489" s="1" t="n">
        <f aca="false">IFERROR(MATCH(A489,CONFIRM!$A$5:$A$53,0),0)</f>
        <v>0</v>
      </c>
      <c r="H489" s="48" t="str">
        <f aca="false">STACK!F489</f>
        <v>Research</v>
      </c>
      <c r="I489" s="1" t="str">
        <f aca="false">IF(G489&gt;0,IF(INDEX(CONFIRM!$I$5:$I$53,G489)&lt;&gt;"",INDEX(CONFIRM!$I$5:$I$53,G489),H489),H489)</f>
        <v>Research</v>
      </c>
      <c r="J489" s="1" t="str">
        <f aca="false">IFERROR(INDEX(MAP!$F$7:$F$74,MATCH(TRIM(I489),MAP!$E$7:$E$74,0)),"UNMAPPED")</f>
        <v>Research</v>
      </c>
      <c r="K489" s="1" t="str">
        <f aca="false">IFERROR(INDEX(MAP!$G$7:$G$74,MATCH(TRIM(I489),MAP!$E$7:$E$74,0)),"UNMAPPED")</f>
        <v>7h</v>
      </c>
      <c r="L489" s="49" t="n">
        <f aca="false">STACK!G489</f>
        <v>46173</v>
      </c>
      <c r="M489" s="59" t="n">
        <f aca="false">IF(G489&gt;0,IF(INDEX(CONFIRM!$G$5:$G$53,G489)&lt;&gt;"",INDEX(CONFIRM!$G$5:$G$53,G489),IF(ISNUMBER(L489),L489,IFERROR(DATEVALUE(L489),""))),IF(ISNUMBER(L489),L489,IFERROR(DATEVALUE(L489),"")))</f>
        <v>46173</v>
      </c>
      <c r="N489" s="1" t="str">
        <f aca="false">IF(M489="","Check",IF(AND(M489&gt;=INPUTS!$C$6,M489&lt;=INPUTS!$C$7),"Yes","No"))</f>
        <v>Yes</v>
      </c>
      <c r="O489" s="48" t="str">
        <f aca="false">STACK!H489</f>
        <v>Dr.</v>
      </c>
      <c r="P489" s="1" t="str">
        <f aca="false">IF(G489&gt;0,IF(INDEX(CONFIRM!$H$5:$H$53,G489)&lt;&gt;"",INDEX(CONFIRM!$H$5:$H$53,G489),IFERROR(INDEX(MAP!$B$7:$B$156,MATCH(TRIM(O489),MAP!$A$7:$A$156,0)),"UNMAPPED")),IFERROR(INDEX(MAP!$B$7:$B$156,MATCH(TRIM(O489),MAP!$A$7:$A$156,0)),"UNMAPPED"))</f>
        <v>Physician</v>
      </c>
      <c r="Q489" s="48" t="n">
        <f aca="false">STACK!I489</f>
        <v>24.5</v>
      </c>
      <c r="R489" s="60" t="n">
        <f aca="false">IF(G489&gt;0,IF(INDEX(CONFIRM!$F$5:$F$53,G489)&lt;&gt;"",INDEX(CONFIRM!$F$5:$F$53,G489),IF(ISNUMBER(Q489),Q489,IF(Q489="","",IFERROR(VALUE(TRIM(SUBSTITUTE(SUBSTITUTE(LOWER(Q489),"hrs",""),"hr",""))),"")))),IF(ISNUMBER(Q489),Q489,IF(Q489="","",IFERROR(VALUE(TRIM(SUBSTITUTE(SUBSTITUTE(LOWER(Q489),"hrs",""),"hr",""))),""))))</f>
        <v>24.5</v>
      </c>
      <c r="S489" s="57" t="n">
        <f aca="false">IFERROR(INDEX(RATES!$E$6:$E$28,MATCH(P489,RATES!$A$6:$A$28,0)),0)</f>
        <v>151.63</v>
      </c>
      <c r="T489" s="61" t="n">
        <f aca="false">IF(ISNUMBER(R489),R489,0)*S489</f>
        <v>3714.935</v>
      </c>
      <c r="U489" s="61" t="n">
        <f aca="false">T489*INDEX(INPUTS!$H$10:$H$14,MATCH(B489,INPUTS!$A$10:$A$14,0))</f>
        <v>687.262975</v>
      </c>
      <c r="V489" s="61" t="n">
        <f aca="false">N(STACK!K489)</f>
        <v>0</v>
      </c>
      <c r="W489" s="61" t="n">
        <f aca="false">T489+U489+V489</f>
        <v>4402.197975</v>
      </c>
      <c r="X489" s="61" t="n">
        <f aca="false">N(STACK!L489)</f>
        <v>0</v>
      </c>
      <c r="Y489" s="61" t="n">
        <f aca="false">W489-X489</f>
        <v>4402.197975</v>
      </c>
      <c r="Z489" s="1" t="n">
        <f aca="false">N(STACK!J489)</f>
        <v>0</v>
      </c>
      <c r="AA489" s="1" t="str">
        <f aca="false">TRIM(IF(D489="UNMAPPED","Program not mapped. ","")&amp;IF(OR(K489="UNMAPPED",K489="UNASSIGNED"),"Category needs review. ","")&amp;IF(P489="UNMAPPED","Title not mapped. ","")&amp;IF(AND(P489&lt;&gt;"No staff time",R489=""),"Missing hours. ","")&amp;IF(M489="","Date not readable. ","")&amp;IF(N489="No","Outside fiscal year. ","")&amp;IF(AND(F489="Event",ISNUMBER(R489)),IF(R489&gt;12,"Event hours look high. ",""),"")&amp;IF(G489&gt;0,"See CONFIRM sheet.",""))</f>
        <v/>
      </c>
      <c r="AB489" s="1" t="n">
        <f aca="false">IF(N489="No",0,IF(REVIEW!O489=0,0,IF(G489&gt;0,IF(INDEX(CONFIRM!$J$5:$J$53,G489)&lt;&gt;"",INDEX(CONFIRM!$J$5:$J$53,G489),1),1)))</f>
        <v>1</v>
      </c>
      <c r="AC489" s="1" t="n">
        <f aca="false">IF(AB489=1,IF(COUNTIFS($B$5:B489,B489,$D$5:D489,D489,$AB$5:AB489,1)=1,1,0),0)</f>
        <v>0</v>
      </c>
    </row>
    <row r="490" customFormat="false" ht="15" hidden="false" customHeight="false" outlineLevel="0" collapsed="false">
      <c r="A490" s="48" t="str">
        <f aca="false">STACK!A490</f>
        <v>KVMC-0486</v>
      </c>
      <c r="B490" s="48" t="str">
        <f aca="false">STACK!B490</f>
        <v>KVMC</v>
      </c>
      <c r="C490" s="48" t="str">
        <f aca="false">STACK!E490</f>
        <v>Community Hypertension Control Study</v>
      </c>
      <c r="D490" s="1" t="str">
        <f aca="false">IFERROR(INDEX(MAP!$J$7:$J$101,MATCH(TRIM(C490),MAP!$I$7:$I$101,0)),"UNMAPPED")</f>
        <v>Community Hypertension Control Study</v>
      </c>
      <c r="E490" s="1" t="str">
        <f aca="false">IFERROR(INDEX(MAP!$K$7:$K$101,MATCH(TRIM(C490),MAP!$I$7:$I$101,0)),"")</f>
        <v>Chronic disease prevention</v>
      </c>
      <c r="F490" s="1" t="str">
        <f aca="false">IFERROR(INDEX(MAP!$L$7:$L$101,MATCH(TRIM(C490),MAP!$I$7:$I$101,0)),"")</f>
        <v>Monthly</v>
      </c>
      <c r="G490" s="1" t="n">
        <f aca="false">IFERROR(MATCH(A490,CONFIRM!$A$5:$A$53,0),0)</f>
        <v>0</v>
      </c>
      <c r="H490" s="48" t="str">
        <f aca="false">STACK!F490</f>
        <v>Research</v>
      </c>
      <c r="I490" s="1" t="str">
        <f aca="false">IF(G490&gt;0,IF(INDEX(CONFIRM!$I$5:$I$53,G490)&lt;&gt;"",INDEX(CONFIRM!$I$5:$I$53,G490),H490),H490)</f>
        <v>Research</v>
      </c>
      <c r="J490" s="1" t="str">
        <f aca="false">IFERROR(INDEX(MAP!$F$7:$F$74,MATCH(TRIM(I490),MAP!$E$7:$E$74,0)),"UNMAPPED")</f>
        <v>Research</v>
      </c>
      <c r="K490" s="1" t="str">
        <f aca="false">IFERROR(INDEX(MAP!$G$7:$G$74,MATCH(TRIM(I490),MAP!$E$7:$E$74,0)),"UNMAPPED")</f>
        <v>7h</v>
      </c>
      <c r="L490" s="49" t="n">
        <f aca="false">STACK!G490</f>
        <v>46173</v>
      </c>
      <c r="M490" s="59" t="n">
        <f aca="false">IF(G490&gt;0,IF(INDEX(CONFIRM!$G$5:$G$53,G490)&lt;&gt;"",INDEX(CONFIRM!$G$5:$G$53,G490),IF(ISNUMBER(L490),L490,IFERROR(DATEVALUE(L490),""))),IF(ISNUMBER(L490),L490,IFERROR(DATEVALUE(L490),"")))</f>
        <v>46173</v>
      </c>
      <c r="N490" s="1" t="str">
        <f aca="false">IF(M490="","Check",IF(AND(M490&gt;=INPUTS!$C$6,M490&lt;=INPUTS!$C$7),"Yes","No"))</f>
        <v>Yes</v>
      </c>
      <c r="O490" s="48" t="str">
        <f aca="false">STACK!H490</f>
        <v>Research Nurse</v>
      </c>
      <c r="P490" s="1" t="str">
        <f aca="false">IF(G490&gt;0,IF(INDEX(CONFIRM!$H$5:$H$53,G490)&lt;&gt;"",INDEX(CONFIRM!$H$5:$H$53,G490),IFERROR(INDEX(MAP!$B$7:$B$156,MATCH(TRIM(O490),MAP!$A$7:$A$156,0)),"UNMAPPED")),IFERROR(INDEX(MAP!$B$7:$B$156,MATCH(TRIM(O490),MAP!$A$7:$A$156,0)),"UNMAPPED"))</f>
        <v>Research Coordinator</v>
      </c>
      <c r="Q490" s="48" t="n">
        <f aca="false">STACK!I490</f>
        <v>153.5</v>
      </c>
      <c r="R490" s="60" t="n">
        <f aca="false">IF(G490&gt;0,IF(INDEX(CONFIRM!$F$5:$F$53,G490)&lt;&gt;"",INDEX(CONFIRM!$F$5:$F$53,G490),IF(ISNUMBER(Q490),Q490,IF(Q490="","",IFERROR(VALUE(TRIM(SUBSTITUTE(SUBSTITUTE(LOWER(Q490),"hrs",""),"hr",""))),"")))),IF(ISNUMBER(Q490),Q490,IF(Q490="","",IFERROR(VALUE(TRIM(SUBSTITUTE(SUBSTITUTE(LOWER(Q490),"hrs",""),"hr",""))),""))))</f>
        <v>153.5</v>
      </c>
      <c r="S490" s="57" t="n">
        <f aca="false">IFERROR(INDEX(RATES!$E$6:$E$28,MATCH(P490,RATES!$A$6:$A$28,0)),0)</f>
        <v>42.405</v>
      </c>
      <c r="T490" s="61" t="n">
        <f aca="false">IF(ISNUMBER(R490),R490,0)*S490</f>
        <v>6509.1675</v>
      </c>
      <c r="U490" s="61" t="n">
        <f aca="false">T490*INDEX(INPUTS!$H$10:$H$14,MATCH(B490,INPUTS!$A$10:$A$14,0))</f>
        <v>1204.1959875</v>
      </c>
      <c r="V490" s="61" t="n">
        <f aca="false">N(STACK!K490)</f>
        <v>9735</v>
      </c>
      <c r="W490" s="61" t="n">
        <f aca="false">T490+U490+V490</f>
        <v>17448.3634875</v>
      </c>
      <c r="X490" s="61" t="n">
        <f aca="false">N(STACK!L490)</f>
        <v>11540</v>
      </c>
      <c r="Y490" s="61" t="n">
        <f aca="false">W490-X490</f>
        <v>5908.3634875</v>
      </c>
      <c r="Z490" s="1" t="n">
        <f aca="false">N(STACK!J490)</f>
        <v>92</v>
      </c>
      <c r="AA490" s="1" t="str">
        <f aca="false">TRIM(IF(D490="UNMAPPED","Program not mapped. ","")&amp;IF(OR(K490="UNMAPPED",K490="UNASSIGNED"),"Category needs review. ","")&amp;IF(P490="UNMAPPED","Title not mapped. ","")&amp;IF(AND(P490&lt;&gt;"No staff time",R490=""),"Missing hours. ","")&amp;IF(M490="","Date not readable. ","")&amp;IF(N490="No","Outside fiscal year. ","")&amp;IF(AND(F490="Event",ISNUMBER(R490)),IF(R490&gt;12,"Event hours look high. ",""),"")&amp;IF(G490&gt;0,"See CONFIRM sheet.",""))</f>
        <v/>
      </c>
      <c r="AB490" s="1" t="n">
        <f aca="false">IF(N490="No",0,IF(REVIEW!O490=0,0,IF(G490&gt;0,IF(INDEX(CONFIRM!$J$5:$J$53,G490)&lt;&gt;"",INDEX(CONFIRM!$J$5:$J$53,G490),1),1)))</f>
        <v>1</v>
      </c>
      <c r="AC490" s="1" t="n">
        <f aca="false">IF(AB490=1,IF(COUNTIFS($B$5:B490,B490,$D$5:D490,D490,$AB$5:AB490,1)=1,1,0),0)</f>
        <v>0</v>
      </c>
    </row>
    <row r="491" customFormat="false" ht="15" hidden="false" customHeight="false" outlineLevel="0" collapsed="false">
      <c r="A491" s="48" t="str">
        <f aca="false">STACK!A491</f>
        <v>KVMC-0487</v>
      </c>
      <c r="B491" s="48" t="str">
        <f aca="false">STACK!B491</f>
        <v>KVMC</v>
      </c>
      <c r="C491" s="48" t="str">
        <f aca="false">STACK!E491</f>
        <v>Diabetes Prevention Classes</v>
      </c>
      <c r="D491" s="1" t="str">
        <f aca="false">IFERROR(INDEX(MAP!$J$7:$J$101,MATCH(TRIM(C491),MAP!$I$7:$I$101,0)),"UNMAPPED")</f>
        <v>Diabetes Prevention Classes</v>
      </c>
      <c r="E491" s="1" t="str">
        <f aca="false">IFERROR(INDEX(MAP!$K$7:$K$101,MATCH(TRIM(C491),MAP!$I$7:$I$101,0)),"")</f>
        <v>Chronic disease prevention</v>
      </c>
      <c r="F491" s="1" t="str">
        <f aca="false">IFERROR(INDEX(MAP!$L$7:$L$101,MATCH(TRIM(C491),MAP!$I$7:$I$101,0)),"")</f>
        <v>Event</v>
      </c>
      <c r="G491" s="1" t="n">
        <f aca="false">IFERROR(MATCH(A491,CONFIRM!$A$5:$A$53,0),0)</f>
        <v>0</v>
      </c>
      <c r="H491" s="48" t="str">
        <f aca="false">STACK!F491</f>
        <v>Community Health Education</v>
      </c>
      <c r="I491" s="1" t="str">
        <f aca="false">IF(G491&gt;0,IF(INDEX(CONFIRM!$I$5:$I$53,G491)&lt;&gt;"",INDEX(CONFIRM!$I$5:$I$53,G491),H491),H491)</f>
        <v>Community Health Education</v>
      </c>
      <c r="J491" s="1" t="str">
        <f aca="false">IFERROR(INDEX(MAP!$F$7:$F$74,MATCH(TRIM(I491),MAP!$E$7:$E$74,0)),"UNMAPPED")</f>
        <v>Community health education</v>
      </c>
      <c r="K491" s="1" t="str">
        <f aca="false">IFERROR(INDEX(MAP!$G$7:$G$74,MATCH(TRIM(I491),MAP!$E$7:$E$74,0)),"UNMAPPED")</f>
        <v>7e</v>
      </c>
      <c r="L491" s="49" t="n">
        <f aca="false">STACK!G491</f>
        <v>46176</v>
      </c>
      <c r="M491" s="59" t="n">
        <f aca="false">IF(G491&gt;0,IF(INDEX(CONFIRM!$G$5:$G$53,G491)&lt;&gt;"",INDEX(CONFIRM!$G$5:$G$53,G491),IF(ISNUMBER(L491),L491,IFERROR(DATEVALUE(L491),""))),IF(ISNUMBER(L491),L491,IFERROR(DATEVALUE(L491),"")))</f>
        <v>46176</v>
      </c>
      <c r="N491" s="1" t="str">
        <f aca="false">IF(M491="","Check",IF(AND(M491&gt;=INPUTS!$C$6,M491&lt;=INPUTS!$C$7),"Yes","No"))</f>
        <v>Yes</v>
      </c>
      <c r="O491" s="48" t="str">
        <f aca="false">STACK!H491</f>
        <v>HEALTH EDUCATOR</v>
      </c>
      <c r="P491" s="1" t="str">
        <f aca="false">IF(G491&gt;0,IF(INDEX(CONFIRM!$H$5:$H$53,G491)&lt;&gt;"",INDEX(CONFIRM!$H$5:$H$53,G491),IFERROR(INDEX(MAP!$B$7:$B$156,MATCH(TRIM(O491),MAP!$A$7:$A$156,0)),"UNMAPPED")),IFERROR(INDEX(MAP!$B$7:$B$156,MATCH(TRIM(O491),MAP!$A$7:$A$156,0)),"UNMAPPED"))</f>
        <v>Health Educator</v>
      </c>
      <c r="Q491" s="48" t="n">
        <f aca="false">STACK!I491</f>
        <v>2.5</v>
      </c>
      <c r="R491" s="60" t="n">
        <f aca="false">IF(G491&gt;0,IF(INDEX(CONFIRM!$F$5:$F$53,G491)&lt;&gt;"",INDEX(CONFIRM!$F$5:$F$53,G491),IF(ISNUMBER(Q491),Q491,IF(Q491="","",IFERROR(VALUE(TRIM(SUBSTITUTE(SUBSTITUTE(LOWER(Q491),"hrs",""),"hr",""))),"")))),IF(ISNUMBER(Q491),Q491,IF(Q491="","",IFERROR(VALUE(TRIM(SUBSTITUTE(SUBSTITUTE(LOWER(Q491),"hrs",""),"hr",""))),""))))</f>
        <v>2.5</v>
      </c>
      <c r="S491" s="57" t="n">
        <f aca="false">IFERROR(INDEX(RATES!$E$6:$E$28,MATCH(P491,RATES!$A$6:$A$28,0)),0)</f>
        <v>37.265</v>
      </c>
      <c r="T491" s="61" t="n">
        <f aca="false">IF(ISNUMBER(R491),R491,0)*S491</f>
        <v>93.1625</v>
      </c>
      <c r="U491" s="61" t="n">
        <f aca="false">T491*INDEX(INPUTS!$H$10:$H$14,MATCH(B491,INPUTS!$A$10:$A$14,0))</f>
        <v>17.2350625</v>
      </c>
      <c r="V491" s="61" t="n">
        <f aca="false">N(STACK!K491)</f>
        <v>110</v>
      </c>
      <c r="W491" s="61" t="n">
        <f aca="false">T491+U491+V491</f>
        <v>220.3975625</v>
      </c>
      <c r="X491" s="61" t="n">
        <f aca="false">N(STACK!L491)</f>
        <v>0</v>
      </c>
      <c r="Y491" s="61" t="n">
        <f aca="false">W491-X491</f>
        <v>220.3975625</v>
      </c>
      <c r="Z491" s="1" t="n">
        <f aca="false">N(STACK!J491)</f>
        <v>14</v>
      </c>
      <c r="AA491" s="1" t="str">
        <f aca="false">TRIM(IF(D491="UNMAPPED","Program not mapped. ","")&amp;IF(OR(K491="UNMAPPED",K491="UNASSIGNED"),"Category needs review. ","")&amp;IF(P491="UNMAPPED","Title not mapped. ","")&amp;IF(AND(P491&lt;&gt;"No staff time",R491=""),"Missing hours. ","")&amp;IF(M491="","Date not readable. ","")&amp;IF(N491="No","Outside fiscal year. ","")&amp;IF(AND(F491="Event",ISNUMBER(R491)),IF(R491&gt;12,"Event hours look high. ",""),"")&amp;IF(G491&gt;0,"See CONFIRM sheet.",""))</f>
        <v/>
      </c>
      <c r="AB491" s="1" t="n">
        <f aca="false">IF(N491="No",0,IF(REVIEW!O491=0,0,IF(G491&gt;0,IF(INDEX(CONFIRM!$J$5:$J$53,G491)&lt;&gt;"",INDEX(CONFIRM!$J$5:$J$53,G491),1),1)))</f>
        <v>1</v>
      </c>
      <c r="AC491" s="1" t="n">
        <f aca="false">IF(AB491=1,IF(COUNTIFS($B$5:B491,B491,$D$5:D491,D491,$AB$5:AB491,1)=1,1,0),0)</f>
        <v>0</v>
      </c>
    </row>
    <row r="492" customFormat="false" ht="15" hidden="false" customHeight="false" outlineLevel="0" collapsed="false">
      <c r="A492" s="48" t="str">
        <f aca="false">STACK!A492</f>
        <v>KVMC-0488</v>
      </c>
      <c r="B492" s="48" t="str">
        <f aca="false">STACK!B492</f>
        <v>KVMC</v>
      </c>
      <c r="C492" s="48" t="str">
        <f aca="false">STACK!E492</f>
        <v>Diabetes Prevention Classes</v>
      </c>
      <c r="D492" s="1" t="str">
        <f aca="false">IFERROR(INDEX(MAP!$J$7:$J$101,MATCH(TRIM(C492),MAP!$I$7:$I$101,0)),"UNMAPPED")</f>
        <v>Diabetes Prevention Classes</v>
      </c>
      <c r="E492" s="1" t="str">
        <f aca="false">IFERROR(INDEX(MAP!$K$7:$K$101,MATCH(TRIM(C492),MAP!$I$7:$I$101,0)),"")</f>
        <v>Chronic disease prevention</v>
      </c>
      <c r="F492" s="1" t="str">
        <f aca="false">IFERROR(INDEX(MAP!$L$7:$L$101,MATCH(TRIM(C492),MAP!$I$7:$I$101,0)),"")</f>
        <v>Event</v>
      </c>
      <c r="G492" s="1" t="n">
        <f aca="false">IFERROR(MATCH(A492,CONFIRM!$A$5:$A$53,0),0)</f>
        <v>0</v>
      </c>
      <c r="H492" s="48" t="str">
        <f aca="false">STACK!F492</f>
        <v>Community Health Education</v>
      </c>
      <c r="I492" s="1" t="str">
        <f aca="false">IF(G492&gt;0,IF(INDEX(CONFIRM!$I$5:$I$53,G492)&lt;&gt;"",INDEX(CONFIRM!$I$5:$I$53,G492),H492),H492)</f>
        <v>Community Health Education</v>
      </c>
      <c r="J492" s="1" t="str">
        <f aca="false">IFERROR(INDEX(MAP!$F$7:$F$74,MATCH(TRIM(I492),MAP!$E$7:$E$74,0)),"UNMAPPED")</f>
        <v>Community health education</v>
      </c>
      <c r="K492" s="1" t="str">
        <f aca="false">IFERROR(INDEX(MAP!$G$7:$G$74,MATCH(TRIM(I492),MAP!$E$7:$E$74,0)),"UNMAPPED")</f>
        <v>7e</v>
      </c>
      <c r="L492" s="49" t="n">
        <f aca="false">STACK!G492</f>
        <v>46176</v>
      </c>
      <c r="M492" s="59" t="n">
        <f aca="false">IF(G492&gt;0,IF(INDEX(CONFIRM!$G$5:$G$53,G492)&lt;&gt;"",INDEX(CONFIRM!$G$5:$G$53,G492),IF(ISNUMBER(L492),L492,IFERROR(DATEVALUE(L492),""))),IF(ISNUMBER(L492),L492,IFERROR(DATEVALUE(L492),"")))</f>
        <v>46176</v>
      </c>
      <c r="N492" s="1" t="str">
        <f aca="false">IF(M492="","Check",IF(AND(M492&gt;=INPUTS!$C$6,M492&lt;=INPUTS!$C$7),"Yes","No"))</f>
        <v>Yes</v>
      </c>
      <c r="O492" s="48" t="str">
        <f aca="false">STACK!H492</f>
        <v>RD</v>
      </c>
      <c r="P492" s="1" t="str">
        <f aca="false">IF(G492&gt;0,IF(INDEX(CONFIRM!$H$5:$H$53,G492)&lt;&gt;"",INDEX(CONFIRM!$H$5:$H$53,G492),IFERROR(INDEX(MAP!$B$7:$B$156,MATCH(TRIM(O492),MAP!$A$7:$A$156,0)),"UNMAPPED")),IFERROR(INDEX(MAP!$B$7:$B$156,MATCH(TRIM(O492),MAP!$A$7:$A$156,0)),"UNMAPPED"))</f>
        <v>Registered Dietitian</v>
      </c>
      <c r="Q492" s="48" t="n">
        <f aca="false">STACK!I492</f>
        <v>1.5</v>
      </c>
      <c r="R492" s="60" t="n">
        <f aca="false">IF(G492&gt;0,IF(INDEX(CONFIRM!$F$5:$F$53,G492)&lt;&gt;"",INDEX(CONFIRM!$F$5:$F$53,G492),IF(ISNUMBER(Q492),Q492,IF(Q492="","",IFERROR(VALUE(TRIM(SUBSTITUTE(SUBSTITUTE(LOWER(Q492),"hrs",""),"hr",""))),"")))),IF(ISNUMBER(Q492),Q492,IF(Q492="","",IFERROR(VALUE(TRIM(SUBSTITUTE(SUBSTITUTE(LOWER(Q492),"hrs",""),"hr",""))),""))))</f>
        <v>1.5</v>
      </c>
      <c r="S492" s="57" t="n">
        <f aca="false">IFERROR(INDEX(RATES!$E$6:$E$28,MATCH(P492,RATES!$A$6:$A$28,0)),0)</f>
        <v>46.9025</v>
      </c>
      <c r="T492" s="61" t="n">
        <f aca="false">IF(ISNUMBER(R492),R492,0)*S492</f>
        <v>70.35375</v>
      </c>
      <c r="U492" s="61" t="n">
        <f aca="false">T492*INDEX(INPUTS!$H$10:$H$14,MATCH(B492,INPUTS!$A$10:$A$14,0))</f>
        <v>13.01544375</v>
      </c>
      <c r="V492" s="61" t="n">
        <f aca="false">N(STACK!K492)</f>
        <v>0</v>
      </c>
      <c r="W492" s="61" t="n">
        <f aca="false">T492+U492+V492</f>
        <v>83.36919375</v>
      </c>
      <c r="X492" s="61" t="n">
        <f aca="false">N(STACK!L492)</f>
        <v>0</v>
      </c>
      <c r="Y492" s="61" t="n">
        <f aca="false">W492-X492</f>
        <v>83.36919375</v>
      </c>
      <c r="Z492" s="1" t="n">
        <f aca="false">N(STACK!J492)</f>
        <v>0</v>
      </c>
      <c r="AA492" s="1" t="str">
        <f aca="false">TRIM(IF(D492="UNMAPPED","Program not mapped. ","")&amp;IF(OR(K492="UNMAPPED",K492="UNASSIGNED"),"Category needs review. ","")&amp;IF(P492="UNMAPPED","Title not mapped. ","")&amp;IF(AND(P492&lt;&gt;"No staff time",R492=""),"Missing hours. ","")&amp;IF(M492="","Date not readable. ","")&amp;IF(N492="No","Outside fiscal year. ","")&amp;IF(AND(F492="Event",ISNUMBER(R492)),IF(R492&gt;12,"Event hours look high. ",""),"")&amp;IF(G492&gt;0,"See CONFIRM sheet.",""))</f>
        <v/>
      </c>
      <c r="AB492" s="1" t="n">
        <f aca="false">IF(N492="No",0,IF(REVIEW!O492=0,0,IF(G492&gt;0,IF(INDEX(CONFIRM!$J$5:$J$53,G492)&lt;&gt;"",INDEX(CONFIRM!$J$5:$J$53,G492),1),1)))</f>
        <v>1</v>
      </c>
      <c r="AC492" s="1" t="n">
        <f aca="false">IF(AB492=1,IF(COUNTIFS($B$5:B492,B492,$D$5:D492,D492,$AB$5:AB492,1)=1,1,0),0)</f>
        <v>0</v>
      </c>
    </row>
    <row r="493" customFormat="false" ht="15" hidden="false" customHeight="false" outlineLevel="0" collapsed="false">
      <c r="A493" s="48" t="str">
        <f aca="false">STACK!A493</f>
        <v>KVMC-0489</v>
      </c>
      <c r="B493" s="48" t="str">
        <f aca="false">STACK!B493</f>
        <v>KVMC</v>
      </c>
      <c r="C493" s="48" t="str">
        <f aca="false">STACK!E493</f>
        <v>Community Blood Pressure Checks</v>
      </c>
      <c r="D493" s="1" t="str">
        <f aca="false">IFERROR(INDEX(MAP!$J$7:$J$101,MATCH(TRIM(C493),MAP!$I$7:$I$101,0)),"UNMAPPED")</f>
        <v>Community Blood Pressure Checks</v>
      </c>
      <c r="E493" s="1" t="str">
        <f aca="false">IFERROR(INDEX(MAP!$K$7:$K$101,MATCH(TRIM(C493),MAP!$I$7:$I$101,0)),"")</f>
        <v>Chronic disease prevention</v>
      </c>
      <c r="F493" s="1" t="str">
        <f aca="false">IFERROR(INDEX(MAP!$L$7:$L$101,MATCH(TRIM(C493),MAP!$I$7:$I$101,0)),"")</f>
        <v>Event</v>
      </c>
      <c r="G493" s="1" t="n">
        <f aca="false">IFERROR(MATCH(A493,CONFIRM!$A$5:$A$53,0),0)</f>
        <v>0</v>
      </c>
      <c r="H493" s="48" t="str">
        <f aca="false">STACK!F493</f>
        <v>Community-Based Clinical Services</v>
      </c>
      <c r="I493" s="1" t="str">
        <f aca="false">IF(G493&gt;0,IF(INDEX(CONFIRM!$I$5:$I$53,G493)&lt;&gt;"",INDEX(CONFIRM!$I$5:$I$53,G493),H493),H493)</f>
        <v>Community-Based Clinical Services</v>
      </c>
      <c r="J493" s="1" t="str">
        <f aca="false">IFERROR(INDEX(MAP!$F$7:$F$74,MATCH(TRIM(I493),MAP!$E$7:$E$74,0)),"UNMAPPED")</f>
        <v>Community-based clinical services</v>
      </c>
      <c r="K493" s="1" t="str">
        <f aca="false">IFERROR(INDEX(MAP!$G$7:$G$74,MATCH(TRIM(I493),MAP!$E$7:$E$74,0)),"UNMAPPED")</f>
        <v>7e</v>
      </c>
      <c r="L493" s="49" t="n">
        <f aca="false">STACK!G493</f>
        <v>46176</v>
      </c>
      <c r="M493" s="59" t="n">
        <f aca="false">IF(G493&gt;0,IF(INDEX(CONFIRM!$G$5:$G$53,G493)&lt;&gt;"",INDEX(CONFIRM!$G$5:$G$53,G493),IF(ISNUMBER(L493),L493,IFERROR(DATEVALUE(L493),""))),IF(ISNUMBER(L493),L493,IFERROR(DATEVALUE(L493),"")))</f>
        <v>46176</v>
      </c>
      <c r="N493" s="1" t="str">
        <f aca="false">IF(M493="","Check",IF(AND(M493&gt;=INPUTS!$C$6,M493&lt;=INPUTS!$C$7),"Yes","No"))</f>
        <v>Yes</v>
      </c>
      <c r="O493" s="48" t="str">
        <f aca="false">STACK!H493</f>
        <v>REG NURSE </v>
      </c>
      <c r="P493" s="1" t="str">
        <f aca="false">IF(G493&gt;0,IF(INDEX(CONFIRM!$H$5:$H$53,G493)&lt;&gt;"",INDEX(CONFIRM!$H$5:$H$53,G493),IFERROR(INDEX(MAP!$B$7:$B$156,MATCH(TRIM(O493),MAP!$A$7:$A$156,0)),"UNMAPPED")),IFERROR(INDEX(MAP!$B$7:$B$156,MATCH(TRIM(O493),MAP!$A$7:$A$156,0)),"UNMAPPED"))</f>
        <v>Registered Nurse</v>
      </c>
      <c r="Q493" s="48" t="n">
        <f aca="false">STACK!I493</f>
        <v>3.5</v>
      </c>
      <c r="R493" s="60" t="n">
        <f aca="false">IF(G493&gt;0,IF(INDEX(CONFIRM!$F$5:$F$53,G493)&lt;&gt;"",INDEX(CONFIRM!$F$5:$F$53,G493),IF(ISNUMBER(Q493),Q493,IF(Q493="","",IFERROR(VALUE(TRIM(SUBSTITUTE(SUBSTITUTE(LOWER(Q493),"hrs",""),"hr",""))),"")))),IF(ISNUMBER(Q493),Q493,IF(Q493="","",IFERROR(VALUE(TRIM(SUBSTITUTE(SUBSTITUTE(LOWER(Q493),"hrs",""),"hr",""))),""))))</f>
        <v>3.5</v>
      </c>
      <c r="S493" s="57" t="n">
        <f aca="false">IFERROR(INDEX(RATES!$E$6:$E$28,MATCH(P493,RATES!$A$6:$A$28,0)),0)</f>
        <v>55.8975</v>
      </c>
      <c r="T493" s="61" t="n">
        <f aca="false">IF(ISNUMBER(R493),R493,0)*S493</f>
        <v>195.64125</v>
      </c>
      <c r="U493" s="61" t="n">
        <f aca="false">T493*INDEX(INPUTS!$H$10:$H$14,MATCH(B493,INPUTS!$A$10:$A$14,0))</f>
        <v>36.19363125</v>
      </c>
      <c r="V493" s="61" t="n">
        <f aca="false">N(STACK!K493)</f>
        <v>120</v>
      </c>
      <c r="W493" s="61" t="n">
        <f aca="false">T493+U493+V493</f>
        <v>351.83488125</v>
      </c>
      <c r="X493" s="61" t="n">
        <f aca="false">N(STACK!L493)</f>
        <v>0</v>
      </c>
      <c r="Y493" s="61" t="n">
        <f aca="false">W493-X493</f>
        <v>351.83488125</v>
      </c>
      <c r="Z493" s="1" t="n">
        <f aca="false">N(STACK!J493)</f>
        <v>64</v>
      </c>
      <c r="AA493" s="1" t="str">
        <f aca="false">TRIM(IF(D493="UNMAPPED","Program not mapped. ","")&amp;IF(OR(K493="UNMAPPED",K493="UNASSIGNED"),"Category needs review. ","")&amp;IF(P493="UNMAPPED","Title not mapped. ","")&amp;IF(AND(P493&lt;&gt;"No staff time",R493=""),"Missing hours. ","")&amp;IF(M493="","Date not readable. ","")&amp;IF(N493="No","Outside fiscal year. ","")&amp;IF(AND(F493="Event",ISNUMBER(R493)),IF(R493&gt;12,"Event hours look high. ",""),"")&amp;IF(G493&gt;0,"See CONFIRM sheet.",""))</f>
        <v/>
      </c>
      <c r="AB493" s="1" t="n">
        <f aca="false">IF(N493="No",0,IF(REVIEW!O493=0,0,IF(G493&gt;0,IF(INDEX(CONFIRM!$J$5:$J$53,G493)&lt;&gt;"",INDEX(CONFIRM!$J$5:$J$53,G493),1),1)))</f>
        <v>1</v>
      </c>
      <c r="AC493" s="1" t="n">
        <f aca="false">IF(AB493=1,IF(COUNTIFS($B$5:B493,B493,$D$5:D493,D493,$AB$5:AB493,1)=1,1,0),0)</f>
        <v>0</v>
      </c>
    </row>
    <row r="494" customFormat="false" ht="15" hidden="false" customHeight="false" outlineLevel="0" collapsed="false">
      <c r="A494" s="48" t="str">
        <f aca="false">STACK!A494</f>
        <v>KVMC-0490</v>
      </c>
      <c r="B494" s="48" t="str">
        <f aca="false">STACK!B494</f>
        <v>KVMC</v>
      </c>
      <c r="C494" s="48" t="str">
        <f aca="false">STACK!E494</f>
        <v>Tobacco Cessation Classes</v>
      </c>
      <c r="D494" s="1" t="str">
        <f aca="false">IFERROR(INDEX(MAP!$J$7:$J$101,MATCH(TRIM(C494),MAP!$I$7:$I$101,0)),"UNMAPPED")</f>
        <v>Tobacco Cessation Classes</v>
      </c>
      <c r="E494" s="1" t="str">
        <f aca="false">IFERROR(INDEX(MAP!$K$7:$K$101,MATCH(TRIM(C494),MAP!$I$7:$I$101,0)),"")</f>
        <v>Chronic disease prevention</v>
      </c>
      <c r="F494" s="1" t="str">
        <f aca="false">IFERROR(INDEX(MAP!$L$7:$L$101,MATCH(TRIM(C494),MAP!$I$7:$I$101,0)),"")</f>
        <v>Event</v>
      </c>
      <c r="G494" s="1" t="n">
        <f aca="false">IFERROR(MATCH(A494,CONFIRM!$A$5:$A$53,0),0)</f>
        <v>0</v>
      </c>
      <c r="H494" s="48" t="str">
        <f aca="false">STACK!F494</f>
        <v>Community Health Education</v>
      </c>
      <c r="I494" s="1" t="str">
        <f aca="false">IF(G494&gt;0,IF(INDEX(CONFIRM!$I$5:$I$53,G494)&lt;&gt;"",INDEX(CONFIRM!$I$5:$I$53,G494),H494),H494)</f>
        <v>Community Health Education</v>
      </c>
      <c r="J494" s="1" t="str">
        <f aca="false">IFERROR(INDEX(MAP!$F$7:$F$74,MATCH(TRIM(I494),MAP!$E$7:$E$74,0)),"UNMAPPED")</f>
        <v>Community health education</v>
      </c>
      <c r="K494" s="1" t="str">
        <f aca="false">IFERROR(INDEX(MAP!$G$7:$G$74,MATCH(TRIM(I494),MAP!$E$7:$E$74,0)),"UNMAPPED")</f>
        <v>7e</v>
      </c>
      <c r="L494" s="49" t="n">
        <f aca="false">STACK!G494</f>
        <v>46177</v>
      </c>
      <c r="M494" s="59" t="n">
        <f aca="false">IF(G494&gt;0,IF(INDEX(CONFIRM!$G$5:$G$53,G494)&lt;&gt;"",INDEX(CONFIRM!$G$5:$G$53,G494),IF(ISNUMBER(L494),L494,IFERROR(DATEVALUE(L494),""))),IF(ISNUMBER(L494),L494,IFERROR(DATEVALUE(L494),"")))</f>
        <v>46177</v>
      </c>
      <c r="N494" s="1" t="str">
        <f aca="false">IF(M494="","Check",IF(AND(M494&gt;=INPUTS!$C$6,M494&lt;=INPUTS!$C$7),"Yes","No"))</f>
        <v>Yes</v>
      </c>
      <c r="O494" s="48" t="str">
        <f aca="false">STACK!H494</f>
        <v>Physical Therapy</v>
      </c>
      <c r="P494" s="1" t="str">
        <f aca="false">IF(G494&gt;0,IF(INDEX(CONFIRM!$H$5:$H$53,G494)&lt;&gt;"",INDEX(CONFIRM!$H$5:$H$53,G494),IFERROR(INDEX(MAP!$B$7:$B$156,MATCH(TRIM(O494),MAP!$A$7:$A$156,0)),"UNMAPPED")),IFERROR(INDEX(MAP!$B$7:$B$156,MATCH(TRIM(O494),MAP!$A$7:$A$156,0)),"UNMAPPED"))</f>
        <v>Licensed Therapist</v>
      </c>
      <c r="Q494" s="48" t="n">
        <f aca="false">STACK!I494</f>
        <v>2</v>
      </c>
      <c r="R494" s="60" t="n">
        <f aca="false">IF(G494&gt;0,IF(INDEX(CONFIRM!$F$5:$F$53,G494)&lt;&gt;"",INDEX(CONFIRM!$F$5:$F$53,G494),IF(ISNUMBER(Q494),Q494,IF(Q494="","",IFERROR(VALUE(TRIM(SUBSTITUTE(SUBSTITUTE(LOWER(Q494),"hrs",""),"hr",""))),"")))),IF(ISNUMBER(Q494),Q494,IF(Q494="","",IFERROR(VALUE(TRIM(SUBSTITUTE(SUBSTITUTE(LOWER(Q494),"hrs",""),"hr",""))),""))))</f>
        <v>2</v>
      </c>
      <c r="S494" s="57" t="n">
        <f aca="false">IFERROR(INDEX(RATES!$E$6:$E$28,MATCH(P494,RATES!$A$6:$A$28,0)),0)</f>
        <v>53.97</v>
      </c>
      <c r="T494" s="61" t="n">
        <f aca="false">IF(ISNUMBER(R494),R494,0)*S494</f>
        <v>107.94</v>
      </c>
      <c r="U494" s="61" t="n">
        <f aca="false">T494*INDEX(INPUTS!$H$10:$H$14,MATCH(B494,INPUTS!$A$10:$A$14,0))</f>
        <v>19.9689</v>
      </c>
      <c r="V494" s="61" t="n">
        <f aca="false">N(STACK!K494)</f>
        <v>135</v>
      </c>
      <c r="W494" s="61" t="n">
        <f aca="false">T494+U494+V494</f>
        <v>262.9089</v>
      </c>
      <c r="X494" s="61" t="n">
        <f aca="false">N(STACK!L494)</f>
        <v>0</v>
      </c>
      <c r="Y494" s="61" t="n">
        <f aca="false">W494-X494</f>
        <v>262.9089</v>
      </c>
      <c r="Z494" s="1" t="n">
        <f aca="false">N(STACK!J494)</f>
        <v>13</v>
      </c>
      <c r="AA494" s="1" t="str">
        <f aca="false">TRIM(IF(D494="UNMAPPED","Program not mapped. ","")&amp;IF(OR(K494="UNMAPPED",K494="UNASSIGNED"),"Category needs review. ","")&amp;IF(P494="UNMAPPED","Title not mapped. ","")&amp;IF(AND(P494&lt;&gt;"No staff time",R494=""),"Missing hours. ","")&amp;IF(M494="","Date not readable. ","")&amp;IF(N494="No","Outside fiscal year. ","")&amp;IF(AND(F494="Event",ISNUMBER(R494)),IF(R494&gt;12,"Event hours look high. ",""),"")&amp;IF(G494&gt;0,"See CONFIRM sheet.",""))</f>
        <v/>
      </c>
      <c r="AB494" s="1" t="n">
        <f aca="false">IF(N494="No",0,IF(REVIEW!O494=0,0,IF(G494&gt;0,IF(INDEX(CONFIRM!$J$5:$J$53,G494)&lt;&gt;"",INDEX(CONFIRM!$J$5:$J$53,G494),1),1)))</f>
        <v>1</v>
      </c>
      <c r="AC494" s="1" t="n">
        <f aca="false">IF(AB494=1,IF(COUNTIFS($B$5:B494,B494,$D$5:D494,D494,$AB$5:AB494,1)=1,1,0),0)</f>
        <v>0</v>
      </c>
    </row>
    <row r="495" customFormat="false" ht="15" hidden="false" customHeight="false" outlineLevel="0" collapsed="false">
      <c r="A495" s="48" t="str">
        <f aca="false">STACK!A495</f>
        <v>KVMC-0491</v>
      </c>
      <c r="B495" s="48" t="str">
        <f aca="false">STACK!B495</f>
        <v>KVMC</v>
      </c>
      <c r="C495" s="48" t="str">
        <f aca="false">STACK!E495</f>
        <v>Diabetes Prevention Classes</v>
      </c>
      <c r="D495" s="1" t="str">
        <f aca="false">IFERROR(INDEX(MAP!$J$7:$J$101,MATCH(TRIM(C495),MAP!$I$7:$I$101,0)),"UNMAPPED")</f>
        <v>Diabetes Prevention Classes</v>
      </c>
      <c r="E495" s="1" t="str">
        <f aca="false">IFERROR(INDEX(MAP!$K$7:$K$101,MATCH(TRIM(C495),MAP!$I$7:$I$101,0)),"")</f>
        <v>Chronic disease prevention</v>
      </c>
      <c r="F495" s="1" t="str">
        <f aca="false">IFERROR(INDEX(MAP!$L$7:$L$101,MATCH(TRIM(C495),MAP!$I$7:$I$101,0)),"")</f>
        <v>Event</v>
      </c>
      <c r="G495" s="1" t="n">
        <f aca="false">IFERROR(MATCH(A495,CONFIRM!$A$5:$A$53,0),0)</f>
        <v>0</v>
      </c>
      <c r="H495" s="48" t="str">
        <f aca="false">STACK!F495</f>
        <v>Community Health Education</v>
      </c>
      <c r="I495" s="1" t="str">
        <f aca="false">IF(G495&gt;0,IF(INDEX(CONFIRM!$I$5:$I$53,G495)&lt;&gt;"",INDEX(CONFIRM!$I$5:$I$53,G495),H495),H495)</f>
        <v>Community Health Education</v>
      </c>
      <c r="J495" s="1" t="str">
        <f aca="false">IFERROR(INDEX(MAP!$F$7:$F$74,MATCH(TRIM(I495),MAP!$E$7:$E$74,0)),"UNMAPPED")</f>
        <v>Community health education</v>
      </c>
      <c r="K495" s="1" t="str">
        <f aca="false">IFERROR(INDEX(MAP!$G$7:$G$74,MATCH(TRIM(I495),MAP!$E$7:$E$74,0)),"UNMAPPED")</f>
        <v>7e</v>
      </c>
      <c r="L495" s="49" t="n">
        <f aca="false">STACK!G495</f>
        <v>46179</v>
      </c>
      <c r="M495" s="59" t="n">
        <f aca="false">IF(G495&gt;0,IF(INDEX(CONFIRM!$G$5:$G$53,G495)&lt;&gt;"",INDEX(CONFIRM!$G$5:$G$53,G495),IF(ISNUMBER(L495),L495,IFERROR(DATEVALUE(L495),""))),IF(ISNUMBER(L495),L495,IFERROR(DATEVALUE(L495),"")))</f>
        <v>46179</v>
      </c>
      <c r="N495" s="1" t="str">
        <f aca="false">IF(M495="","Check",IF(AND(M495&gt;=INPUTS!$C$6,M495&lt;=INPUTS!$C$7),"Yes","No"))</f>
        <v>Yes</v>
      </c>
      <c r="O495" s="48" t="str">
        <f aca="false">STACK!H495</f>
        <v> Health Educator </v>
      </c>
      <c r="P495" s="1" t="str">
        <f aca="false">IF(G495&gt;0,IF(INDEX(CONFIRM!$H$5:$H$53,G495)&lt;&gt;"",INDEX(CONFIRM!$H$5:$H$53,G495),IFERROR(INDEX(MAP!$B$7:$B$156,MATCH(TRIM(O495),MAP!$A$7:$A$156,0)),"UNMAPPED")),IFERROR(INDEX(MAP!$B$7:$B$156,MATCH(TRIM(O495),MAP!$A$7:$A$156,0)),"UNMAPPED"))</f>
        <v>Health Educator</v>
      </c>
      <c r="Q495" s="48" t="n">
        <f aca="false">STACK!I495</f>
        <v>3</v>
      </c>
      <c r="R495" s="60" t="n">
        <f aca="false">IF(G495&gt;0,IF(INDEX(CONFIRM!$F$5:$F$53,G495)&lt;&gt;"",INDEX(CONFIRM!$F$5:$F$53,G495),IF(ISNUMBER(Q495),Q495,IF(Q495="","",IFERROR(VALUE(TRIM(SUBSTITUTE(SUBSTITUTE(LOWER(Q495),"hrs",""),"hr",""))),"")))),IF(ISNUMBER(Q495),Q495,IF(Q495="","",IFERROR(VALUE(TRIM(SUBSTITUTE(SUBSTITUTE(LOWER(Q495),"hrs",""),"hr",""))),""))))</f>
        <v>3</v>
      </c>
      <c r="S495" s="57" t="n">
        <f aca="false">IFERROR(INDEX(RATES!$E$6:$E$28,MATCH(P495,RATES!$A$6:$A$28,0)),0)</f>
        <v>37.265</v>
      </c>
      <c r="T495" s="61" t="n">
        <f aca="false">IF(ISNUMBER(R495),R495,0)*S495</f>
        <v>111.795</v>
      </c>
      <c r="U495" s="61" t="n">
        <f aca="false">T495*INDEX(INPUTS!$H$10:$H$14,MATCH(B495,INPUTS!$A$10:$A$14,0))</f>
        <v>20.682075</v>
      </c>
      <c r="V495" s="61" t="n">
        <f aca="false">N(STACK!K495)</f>
        <v>130</v>
      </c>
      <c r="W495" s="61" t="n">
        <f aca="false">T495+U495+V495</f>
        <v>262.477075</v>
      </c>
      <c r="X495" s="61" t="n">
        <f aca="false">N(STACK!L495)</f>
        <v>0</v>
      </c>
      <c r="Y495" s="61" t="n">
        <f aca="false">W495-X495</f>
        <v>262.477075</v>
      </c>
      <c r="Z495" s="1" t="n">
        <f aca="false">N(STACK!J495)</f>
        <v>16</v>
      </c>
      <c r="AA495" s="1" t="str">
        <f aca="false">TRIM(IF(D495="UNMAPPED","Program not mapped. ","")&amp;IF(OR(K495="UNMAPPED",K495="UNASSIGNED"),"Category needs review. ","")&amp;IF(P495="UNMAPPED","Title not mapped. ","")&amp;IF(AND(P495&lt;&gt;"No staff time",R495=""),"Missing hours. ","")&amp;IF(M495="","Date not readable. ","")&amp;IF(N495="No","Outside fiscal year. ","")&amp;IF(AND(F495="Event",ISNUMBER(R495)),IF(R495&gt;12,"Event hours look high. ",""),"")&amp;IF(G495&gt;0,"See CONFIRM sheet.",""))</f>
        <v/>
      </c>
      <c r="AB495" s="1" t="n">
        <f aca="false">IF(N495="No",0,IF(REVIEW!O495=0,0,IF(G495&gt;0,IF(INDEX(CONFIRM!$J$5:$J$53,G495)&lt;&gt;"",INDEX(CONFIRM!$J$5:$J$53,G495),1),1)))</f>
        <v>1</v>
      </c>
      <c r="AC495" s="1" t="n">
        <f aca="false">IF(AB495=1,IF(COUNTIFS($B$5:B495,B495,$D$5:D495,D495,$AB$5:AB495,1)=1,1,0),0)</f>
        <v>0</v>
      </c>
    </row>
    <row r="496" customFormat="false" ht="15" hidden="false" customHeight="false" outlineLevel="0" collapsed="false">
      <c r="A496" s="48" t="str">
        <f aca="false">STACK!A496</f>
        <v>KVMC-0492</v>
      </c>
      <c r="B496" s="48" t="str">
        <f aca="false">STACK!B496</f>
        <v>KVMC</v>
      </c>
      <c r="C496" s="48" t="str">
        <f aca="false">STACK!E496</f>
        <v>Diabetes Prevention Classes</v>
      </c>
      <c r="D496" s="1" t="str">
        <f aca="false">IFERROR(INDEX(MAP!$J$7:$J$101,MATCH(TRIM(C496),MAP!$I$7:$I$101,0)),"UNMAPPED")</f>
        <v>Diabetes Prevention Classes</v>
      </c>
      <c r="E496" s="1" t="str">
        <f aca="false">IFERROR(INDEX(MAP!$K$7:$K$101,MATCH(TRIM(C496),MAP!$I$7:$I$101,0)),"")</f>
        <v>Chronic disease prevention</v>
      </c>
      <c r="F496" s="1" t="str">
        <f aca="false">IFERROR(INDEX(MAP!$L$7:$L$101,MATCH(TRIM(C496),MAP!$I$7:$I$101,0)),"")</f>
        <v>Event</v>
      </c>
      <c r="G496" s="1" t="n">
        <f aca="false">IFERROR(MATCH(A496,CONFIRM!$A$5:$A$53,0),0)</f>
        <v>0</v>
      </c>
      <c r="H496" s="48" t="str">
        <f aca="false">STACK!F496</f>
        <v>Community Health Education</v>
      </c>
      <c r="I496" s="1" t="str">
        <f aca="false">IF(G496&gt;0,IF(INDEX(CONFIRM!$I$5:$I$53,G496)&lt;&gt;"",INDEX(CONFIRM!$I$5:$I$53,G496),H496),H496)</f>
        <v>Community Health Education</v>
      </c>
      <c r="J496" s="1" t="str">
        <f aca="false">IFERROR(INDEX(MAP!$F$7:$F$74,MATCH(TRIM(I496),MAP!$E$7:$E$74,0)),"UNMAPPED")</f>
        <v>Community health education</v>
      </c>
      <c r="K496" s="1" t="str">
        <f aca="false">IFERROR(INDEX(MAP!$G$7:$G$74,MATCH(TRIM(I496),MAP!$E$7:$E$74,0)),"UNMAPPED")</f>
        <v>7e</v>
      </c>
      <c r="L496" s="49" t="n">
        <f aca="false">STACK!G496</f>
        <v>46179</v>
      </c>
      <c r="M496" s="59" t="n">
        <f aca="false">IF(G496&gt;0,IF(INDEX(CONFIRM!$G$5:$G$53,G496)&lt;&gt;"",INDEX(CONFIRM!$G$5:$G$53,G496),IF(ISNUMBER(L496),L496,IFERROR(DATEVALUE(L496),""))),IF(ISNUMBER(L496),L496,IFERROR(DATEVALUE(L496),"")))</f>
        <v>46179</v>
      </c>
      <c r="N496" s="1" t="str">
        <f aca="false">IF(M496="","Check",IF(AND(M496&gt;=INPUTS!$C$6,M496&lt;=INPUTS!$C$7),"Yes","No"))</f>
        <v>Yes</v>
      </c>
      <c r="O496" s="48" t="str">
        <f aca="false">STACK!H496</f>
        <v>Nutritionist</v>
      </c>
      <c r="P496" s="1" t="str">
        <f aca="false">IF(G496&gt;0,IF(INDEX(CONFIRM!$H$5:$H$53,G496)&lt;&gt;"",INDEX(CONFIRM!$H$5:$H$53,G496),IFERROR(INDEX(MAP!$B$7:$B$156,MATCH(TRIM(O496),MAP!$A$7:$A$156,0)),"UNMAPPED")),IFERROR(INDEX(MAP!$B$7:$B$156,MATCH(TRIM(O496),MAP!$A$7:$A$156,0)),"UNMAPPED"))</f>
        <v>Registered Dietitian</v>
      </c>
      <c r="Q496" s="48" t="n">
        <f aca="false">STACK!I496</f>
        <v>2</v>
      </c>
      <c r="R496" s="60" t="n">
        <f aca="false">IF(G496&gt;0,IF(INDEX(CONFIRM!$F$5:$F$53,G496)&lt;&gt;"",INDEX(CONFIRM!$F$5:$F$53,G496),IF(ISNUMBER(Q496),Q496,IF(Q496="","",IFERROR(VALUE(TRIM(SUBSTITUTE(SUBSTITUTE(LOWER(Q496),"hrs",""),"hr",""))),"")))),IF(ISNUMBER(Q496),Q496,IF(Q496="","",IFERROR(VALUE(TRIM(SUBSTITUTE(SUBSTITUTE(LOWER(Q496),"hrs",""),"hr",""))),""))))</f>
        <v>2</v>
      </c>
      <c r="S496" s="57" t="n">
        <f aca="false">IFERROR(INDEX(RATES!$E$6:$E$28,MATCH(P496,RATES!$A$6:$A$28,0)),0)</f>
        <v>46.9025</v>
      </c>
      <c r="T496" s="61" t="n">
        <f aca="false">IF(ISNUMBER(R496),R496,0)*S496</f>
        <v>93.805</v>
      </c>
      <c r="U496" s="61" t="n">
        <f aca="false">T496*INDEX(INPUTS!$H$10:$H$14,MATCH(B496,INPUTS!$A$10:$A$14,0))</f>
        <v>17.353925</v>
      </c>
      <c r="V496" s="61" t="n">
        <f aca="false">N(STACK!K496)</f>
        <v>0</v>
      </c>
      <c r="W496" s="61" t="n">
        <f aca="false">T496+U496+V496</f>
        <v>111.158925</v>
      </c>
      <c r="X496" s="61" t="n">
        <f aca="false">N(STACK!L496)</f>
        <v>0</v>
      </c>
      <c r="Y496" s="61" t="n">
        <f aca="false">W496-X496</f>
        <v>111.158925</v>
      </c>
      <c r="Z496" s="1" t="n">
        <f aca="false">N(STACK!J496)</f>
        <v>0</v>
      </c>
      <c r="AA496" s="1" t="str">
        <f aca="false">TRIM(IF(D496="UNMAPPED","Program not mapped. ","")&amp;IF(OR(K496="UNMAPPED",K496="UNASSIGNED"),"Category needs review. ","")&amp;IF(P496="UNMAPPED","Title not mapped. ","")&amp;IF(AND(P496&lt;&gt;"No staff time",R496=""),"Missing hours. ","")&amp;IF(M496="","Date not readable. ","")&amp;IF(N496="No","Outside fiscal year. ","")&amp;IF(AND(F496="Event",ISNUMBER(R496)),IF(R496&gt;12,"Event hours look high. ",""),"")&amp;IF(G496&gt;0,"See CONFIRM sheet.",""))</f>
        <v/>
      </c>
      <c r="AB496" s="1" t="n">
        <f aca="false">IF(N496="No",0,IF(REVIEW!O496=0,0,IF(G496&gt;0,IF(INDEX(CONFIRM!$J$5:$J$53,G496)&lt;&gt;"",INDEX(CONFIRM!$J$5:$J$53,G496),1),1)))</f>
        <v>1</v>
      </c>
      <c r="AC496" s="1" t="n">
        <f aca="false">IF(AB496=1,IF(COUNTIFS($B$5:B496,B496,$D$5:D496,D496,$AB$5:AB496,1)=1,1,0),0)</f>
        <v>0</v>
      </c>
    </row>
    <row r="497" customFormat="false" ht="15" hidden="false" customHeight="false" outlineLevel="0" collapsed="false">
      <c r="A497" s="48" t="str">
        <f aca="false">STACK!A497</f>
        <v>KVMC-0493</v>
      </c>
      <c r="B497" s="48" t="str">
        <f aca="false">STACK!B497</f>
        <v>KVMC</v>
      </c>
      <c r="C497" s="48" t="str">
        <f aca="false">STACK!E497</f>
        <v>Childbirth and Newborn Care Classes</v>
      </c>
      <c r="D497" s="1" t="str">
        <f aca="false">IFERROR(INDEX(MAP!$J$7:$J$101,MATCH(TRIM(C497),MAP!$I$7:$I$101,0)),"UNMAPPED")</f>
        <v>Childbirth and Newborn Care Classes</v>
      </c>
      <c r="E497" s="1" t="str">
        <f aca="false">IFERROR(INDEX(MAP!$K$7:$K$101,MATCH(TRIM(C497),MAP!$I$7:$I$101,0)),"")</f>
        <v>Maternal and child health</v>
      </c>
      <c r="F497" s="1" t="str">
        <f aca="false">IFERROR(INDEX(MAP!$L$7:$L$101,MATCH(TRIM(C497),MAP!$I$7:$I$101,0)),"")</f>
        <v>Event</v>
      </c>
      <c r="G497" s="1" t="n">
        <f aca="false">IFERROR(MATCH(A497,CONFIRM!$A$5:$A$53,0),0)</f>
        <v>0</v>
      </c>
      <c r="H497" s="48" t="str">
        <f aca="false">STACK!F497</f>
        <v>Community Health Education</v>
      </c>
      <c r="I497" s="1" t="str">
        <f aca="false">IF(G497&gt;0,IF(INDEX(CONFIRM!$I$5:$I$53,G497)&lt;&gt;"",INDEX(CONFIRM!$I$5:$I$53,G497),H497),H497)</f>
        <v>Community Health Education</v>
      </c>
      <c r="J497" s="1" t="str">
        <f aca="false">IFERROR(INDEX(MAP!$F$7:$F$74,MATCH(TRIM(I497),MAP!$E$7:$E$74,0)),"UNMAPPED")</f>
        <v>Community health education</v>
      </c>
      <c r="K497" s="1" t="str">
        <f aca="false">IFERROR(INDEX(MAP!$G$7:$G$74,MATCH(TRIM(I497),MAP!$E$7:$E$74,0)),"UNMAPPED")</f>
        <v>7e</v>
      </c>
      <c r="L497" s="49" t="n">
        <f aca="false">STACK!G497</f>
        <v>46179</v>
      </c>
      <c r="M497" s="59" t="n">
        <f aca="false">IF(G497&gt;0,IF(INDEX(CONFIRM!$G$5:$G$53,G497)&lt;&gt;"",INDEX(CONFIRM!$G$5:$G$53,G497),IF(ISNUMBER(L497),L497,IFERROR(DATEVALUE(L497),""))),IF(ISNUMBER(L497),L497,IFERROR(DATEVALUE(L497),"")))</f>
        <v>46179</v>
      </c>
      <c r="N497" s="1" t="str">
        <f aca="false">IF(M497="","Check",IF(AND(M497&gt;=INPUTS!$C$6,M497&lt;=INPUTS!$C$7),"Yes","No"))</f>
        <v>Yes</v>
      </c>
      <c r="O497" s="48" t="str">
        <f aca="false">STACK!H497</f>
        <v>Clinical Nurse Educator</v>
      </c>
      <c r="P497" s="1" t="str">
        <f aca="false">IF(G497&gt;0,IF(INDEX(CONFIRM!$H$5:$H$53,G497)&lt;&gt;"",INDEX(CONFIRM!$H$5:$H$53,G497),IFERROR(INDEX(MAP!$B$7:$B$156,MATCH(TRIM(O497),MAP!$A$7:$A$156,0)),"UNMAPPED")),IFERROR(INDEX(MAP!$B$7:$B$156,MATCH(TRIM(O497),MAP!$A$7:$A$156,0)),"UNMAPPED"))</f>
        <v>Clinical Nurse Educator</v>
      </c>
      <c r="Q497" s="48" t="n">
        <f aca="false">STACK!I497</f>
        <v>3.25</v>
      </c>
      <c r="R497" s="60" t="n">
        <f aca="false">IF(G497&gt;0,IF(INDEX(CONFIRM!$F$5:$F$53,G497)&lt;&gt;"",INDEX(CONFIRM!$F$5:$F$53,G497),IF(ISNUMBER(Q497),Q497,IF(Q497="","",IFERROR(VALUE(TRIM(SUBSTITUTE(SUBSTITUTE(LOWER(Q497),"hrs",""),"hr",""))),"")))),IF(ISNUMBER(Q497),Q497,IF(Q497="","",IFERROR(VALUE(TRIM(SUBSTITUTE(SUBSTITUTE(LOWER(Q497),"hrs",""),"hr",""))),""))))</f>
        <v>3.25</v>
      </c>
      <c r="S497" s="57" t="n">
        <f aca="false">IFERROR(INDEX(RATES!$E$6:$E$28,MATCH(P497,RATES!$A$6:$A$28,0)),0)</f>
        <v>62.965</v>
      </c>
      <c r="T497" s="61" t="n">
        <f aca="false">IF(ISNUMBER(R497),R497,0)*S497</f>
        <v>204.63625</v>
      </c>
      <c r="U497" s="61" t="n">
        <f aca="false">T497*INDEX(INPUTS!$H$10:$H$14,MATCH(B497,INPUTS!$A$10:$A$14,0))</f>
        <v>37.85770625</v>
      </c>
      <c r="V497" s="61" t="n">
        <f aca="false">N(STACK!K497)</f>
        <v>120</v>
      </c>
      <c r="W497" s="61" t="n">
        <f aca="false">T497+U497+V497</f>
        <v>362.49395625</v>
      </c>
      <c r="X497" s="61" t="n">
        <f aca="false">N(STACK!L497)</f>
        <v>500</v>
      </c>
      <c r="Y497" s="61" t="n">
        <f aca="false">W497-X497</f>
        <v>-137.50604375</v>
      </c>
      <c r="Z497" s="1" t="n">
        <f aca="false">N(STACK!J497)</f>
        <v>25</v>
      </c>
      <c r="AA497" s="1" t="str">
        <f aca="false">TRIM(IF(D497="UNMAPPED","Program not mapped. ","")&amp;IF(OR(K497="UNMAPPED",K497="UNASSIGNED"),"Category needs review. ","")&amp;IF(P497="UNMAPPED","Title not mapped. ","")&amp;IF(AND(P497&lt;&gt;"No staff time",R497=""),"Missing hours. ","")&amp;IF(M497="","Date not readable. ","")&amp;IF(N497="No","Outside fiscal year. ","")&amp;IF(AND(F497="Event",ISNUMBER(R497)),IF(R497&gt;12,"Event hours look high. ",""),"")&amp;IF(G497&gt;0,"See CONFIRM sheet.",""))</f>
        <v/>
      </c>
      <c r="AB497" s="1" t="n">
        <f aca="false">IF(N497="No",0,IF(REVIEW!O497=0,0,IF(G497&gt;0,IF(INDEX(CONFIRM!$J$5:$J$53,G497)&lt;&gt;"",INDEX(CONFIRM!$J$5:$J$53,G497),1),1)))</f>
        <v>1</v>
      </c>
      <c r="AC497" s="1" t="n">
        <f aca="false">IF(AB497=1,IF(COUNTIFS($B$5:B497,B497,$D$5:D497,D497,$AB$5:AB497,1)=1,1,0),0)</f>
        <v>0</v>
      </c>
    </row>
    <row r="498" customFormat="false" ht="15" hidden="false" customHeight="false" outlineLevel="0" collapsed="false">
      <c r="A498" s="48" t="str">
        <f aca="false">STACK!A498</f>
        <v>KVMC-0494</v>
      </c>
      <c r="B498" s="48" t="str">
        <f aca="false">STACK!B498</f>
        <v>KVMC</v>
      </c>
      <c r="C498" s="48" t="str">
        <f aca="false">STACK!E498</f>
        <v>Regional Health Coalition</v>
      </c>
      <c r="D498" s="1" t="str">
        <f aca="false">IFERROR(INDEX(MAP!$J$7:$J$101,MATCH(TRIM(C498),MAP!$I$7:$I$101,0)),"UNMAPPED")</f>
        <v>Regional Health Coalition</v>
      </c>
      <c r="E498" s="1" t="str">
        <f aca="false">IFERROR(INDEX(MAP!$K$7:$K$101,MATCH(TRIM(C498),MAP!$I$7:$I$101,0)),"")</f>
        <v>Community benefit infrastructure</v>
      </c>
      <c r="F498" s="1" t="str">
        <f aca="false">IFERROR(INDEX(MAP!$L$7:$L$101,MATCH(TRIM(C498),MAP!$I$7:$I$101,0)),"")</f>
        <v>Event</v>
      </c>
      <c r="G498" s="1" t="n">
        <f aca="false">IFERROR(MATCH(A498,CONFIRM!$A$5:$A$53,0),0)</f>
        <v>0</v>
      </c>
      <c r="H498" s="48" t="str">
        <f aca="false">STACK!F498</f>
        <v>Community Building - Coalition</v>
      </c>
      <c r="I498" s="1" t="str">
        <f aca="false">IF(G498&gt;0,IF(INDEX(CONFIRM!$I$5:$I$53,G498)&lt;&gt;"",INDEX(CONFIRM!$I$5:$I$53,G498),H498),H498)</f>
        <v>Community Building - Coalition</v>
      </c>
      <c r="J498" s="1" t="str">
        <f aca="false">IFERROR(INDEX(MAP!$F$7:$F$74,MATCH(TRIM(I498),MAP!$E$7:$E$74,0)),"UNMAPPED")</f>
        <v>Community building: coalition building</v>
      </c>
      <c r="K498" s="1" t="str">
        <f aca="false">IFERROR(INDEX(MAP!$G$7:$G$74,MATCH(TRIM(I498),MAP!$E$7:$E$74,0)),"UNMAPPED")</f>
        <v>II-6</v>
      </c>
      <c r="L498" s="49" t="n">
        <f aca="false">STACK!G498</f>
        <v>46190</v>
      </c>
      <c r="M498" s="59" t="n">
        <f aca="false">IF(G498&gt;0,IF(INDEX(CONFIRM!$G$5:$G$53,G498)&lt;&gt;"",INDEX(CONFIRM!$G$5:$G$53,G498),IF(ISNUMBER(L498),L498,IFERROR(DATEVALUE(L498),""))),IF(ISNUMBER(L498),L498,IFERROR(DATEVALUE(L498),"")))</f>
        <v>46190</v>
      </c>
      <c r="N498" s="1" t="str">
        <f aca="false">IF(M498="","Check",IF(AND(M498&gt;=INPUTS!$C$6,M498&lt;=INPUTS!$C$7),"Yes","No"))</f>
        <v>Yes</v>
      </c>
      <c r="O498" s="48" t="str">
        <f aca="false">STACK!H498</f>
        <v>Community Benefit Mgr</v>
      </c>
      <c r="P498" s="1" t="str">
        <f aca="false">IF(G498&gt;0,IF(INDEX(CONFIRM!$H$5:$H$53,G498)&lt;&gt;"",INDEX(CONFIRM!$H$5:$H$53,G498),IFERROR(INDEX(MAP!$B$7:$B$156,MATCH(TRIM(O498),MAP!$A$7:$A$156,0)),"UNMAPPED")),IFERROR(INDEX(MAP!$B$7:$B$156,MATCH(TRIM(O498),MAP!$A$7:$A$156,0)),"UNMAPPED"))</f>
        <v>Community Benefit Manager</v>
      </c>
      <c r="Q498" s="48" t="n">
        <f aca="false">STACK!I498</f>
        <v>2.25</v>
      </c>
      <c r="R498" s="60" t="n">
        <f aca="false">IF(G498&gt;0,IF(INDEX(CONFIRM!$F$5:$F$53,G498)&lt;&gt;"",INDEX(CONFIRM!$F$5:$F$53,G498),IF(ISNUMBER(Q498),Q498,IF(Q498="","",IFERROR(VALUE(TRIM(SUBSTITUTE(SUBSTITUTE(LOWER(Q498),"hrs",""),"hr",""))),"")))),IF(ISNUMBER(Q498),Q498,IF(Q498="","",IFERROR(VALUE(TRIM(SUBSTITUTE(SUBSTITUTE(LOWER(Q498),"hrs",""),"hr",""))),""))))</f>
        <v>2.25</v>
      </c>
      <c r="S498" s="57" t="n">
        <f aca="false">IFERROR(INDEX(RATES!$E$6:$E$28,MATCH(P498,RATES!$A$6:$A$28,0)),0)</f>
        <v>59.11</v>
      </c>
      <c r="T498" s="61" t="n">
        <f aca="false">IF(ISNUMBER(R498),R498,0)*S498</f>
        <v>132.9975</v>
      </c>
      <c r="U498" s="61" t="n">
        <f aca="false">T498*INDEX(INPUTS!$H$10:$H$14,MATCH(B498,INPUTS!$A$10:$A$14,0))</f>
        <v>24.6045375</v>
      </c>
      <c r="V498" s="61" t="n">
        <f aca="false">N(STACK!K498)</f>
        <v>0</v>
      </c>
      <c r="W498" s="61" t="n">
        <f aca="false">T498+U498+V498</f>
        <v>157.6020375</v>
      </c>
      <c r="X498" s="61" t="n">
        <f aca="false">N(STACK!L498)</f>
        <v>0</v>
      </c>
      <c r="Y498" s="61" t="n">
        <f aca="false">W498-X498</f>
        <v>157.6020375</v>
      </c>
      <c r="Z498" s="1" t="n">
        <f aca="false">N(STACK!J498)</f>
        <v>0</v>
      </c>
      <c r="AA498" s="1" t="str">
        <f aca="false">TRIM(IF(D498="UNMAPPED","Program not mapped. ","")&amp;IF(OR(K498="UNMAPPED",K498="UNASSIGNED"),"Category needs review. ","")&amp;IF(P498="UNMAPPED","Title not mapped. ","")&amp;IF(AND(P498&lt;&gt;"No staff time",R498=""),"Missing hours. ","")&amp;IF(M498="","Date not readable. ","")&amp;IF(N498="No","Outside fiscal year. ","")&amp;IF(AND(F498="Event",ISNUMBER(R498)),IF(R498&gt;12,"Event hours look high. ",""),"")&amp;IF(G498&gt;0,"See CONFIRM sheet.",""))</f>
        <v/>
      </c>
      <c r="AB498" s="1" t="n">
        <f aca="false">IF(N498="No",0,IF(REVIEW!O498=0,0,IF(G498&gt;0,IF(INDEX(CONFIRM!$J$5:$J$53,G498)&lt;&gt;"",INDEX(CONFIRM!$J$5:$J$53,G498),1),1)))</f>
        <v>1</v>
      </c>
      <c r="AC498" s="1" t="n">
        <f aca="false">IF(AB498=1,IF(COUNTIFS($B$5:B498,B498,$D$5:D498,D498,$AB$5:AB498,1)=1,1,0),0)</f>
        <v>0</v>
      </c>
    </row>
    <row r="499" customFormat="false" ht="15" hidden="false" customHeight="false" outlineLevel="0" collapsed="false">
      <c r="A499" s="48" t="str">
        <f aca="false">STACK!A499</f>
        <v>KVMC-0495</v>
      </c>
      <c r="B499" s="48" t="str">
        <f aca="false">STACK!B499</f>
        <v>KVMC</v>
      </c>
      <c r="C499" s="48" t="str">
        <f aca="false">STACK!E499</f>
        <v>Regional Health Coalition</v>
      </c>
      <c r="D499" s="1" t="str">
        <f aca="false">IFERROR(INDEX(MAP!$J$7:$J$101,MATCH(TRIM(C499),MAP!$I$7:$I$101,0)),"UNMAPPED")</f>
        <v>Regional Health Coalition</v>
      </c>
      <c r="E499" s="1" t="str">
        <f aca="false">IFERROR(INDEX(MAP!$K$7:$K$101,MATCH(TRIM(C499),MAP!$I$7:$I$101,0)),"")</f>
        <v>Community benefit infrastructure</v>
      </c>
      <c r="F499" s="1" t="str">
        <f aca="false">IFERROR(INDEX(MAP!$L$7:$L$101,MATCH(TRIM(C499),MAP!$I$7:$I$101,0)),"")</f>
        <v>Event</v>
      </c>
      <c r="G499" s="1" t="n">
        <f aca="false">IFERROR(MATCH(A499,CONFIRM!$A$5:$A$53,0),0)</f>
        <v>0</v>
      </c>
      <c r="H499" s="48" t="str">
        <f aca="false">STACK!F499</f>
        <v>Community Building - Coalition</v>
      </c>
      <c r="I499" s="1" t="str">
        <f aca="false">IF(G499&gt;0,IF(INDEX(CONFIRM!$I$5:$I$53,G499)&lt;&gt;"",INDEX(CONFIRM!$I$5:$I$53,G499),H499),H499)</f>
        <v>Community Building - Coalition</v>
      </c>
      <c r="J499" s="1" t="str">
        <f aca="false">IFERROR(INDEX(MAP!$F$7:$F$74,MATCH(TRIM(I499),MAP!$E$7:$E$74,0)),"UNMAPPED")</f>
        <v>Community building: coalition building</v>
      </c>
      <c r="K499" s="1" t="str">
        <f aca="false">IFERROR(INDEX(MAP!$G$7:$G$74,MATCH(TRIM(I499),MAP!$E$7:$E$74,0)),"UNMAPPED")</f>
        <v>II-6</v>
      </c>
      <c r="L499" s="49" t="n">
        <f aca="false">STACK!G499</f>
        <v>46190</v>
      </c>
      <c r="M499" s="59" t="n">
        <f aca="false">IF(G499&gt;0,IF(INDEX(CONFIRM!$G$5:$G$53,G499)&lt;&gt;"",INDEX(CONFIRM!$G$5:$G$53,G499),IF(ISNUMBER(L499),L499,IFERROR(DATEVALUE(L499),""))),IF(ISNUMBER(L499),L499,IFERROR(DATEVALUE(L499),"")))</f>
        <v>46190</v>
      </c>
      <c r="N499" s="1" t="str">
        <f aca="false">IF(M499="","Check",IF(AND(M499&gt;=INPUTS!$C$6,M499&lt;=INPUTS!$C$7),"Yes","No"))</f>
        <v>Yes</v>
      </c>
      <c r="O499" s="48" t="str">
        <f aca="false">STACK!H499</f>
        <v>Director</v>
      </c>
      <c r="P499" s="1" t="str">
        <f aca="false">IF(G499&gt;0,IF(INDEX(CONFIRM!$H$5:$H$53,G499)&lt;&gt;"",INDEX(CONFIRM!$H$5:$H$53,G499),IFERROR(INDEX(MAP!$B$7:$B$156,MATCH(TRIM(O499),MAP!$A$7:$A$156,0)),"UNMAPPED")),IFERROR(INDEX(MAP!$B$7:$B$156,MATCH(TRIM(O499),MAP!$A$7:$A$156,0)),"UNMAPPED"))</f>
        <v>Director</v>
      </c>
      <c r="Q499" s="48" t="n">
        <f aca="false">STACK!I499</f>
        <v>3</v>
      </c>
      <c r="R499" s="60" t="n">
        <f aca="false">IF(G499&gt;0,IF(INDEX(CONFIRM!$F$5:$F$53,G499)&lt;&gt;"",INDEX(CONFIRM!$F$5:$F$53,G499),IF(ISNUMBER(Q499),Q499,IF(Q499="","",IFERROR(VALUE(TRIM(SUBSTITUTE(SUBSTITUTE(LOWER(Q499),"hrs",""),"hr",""))),"")))),IF(ISNUMBER(Q499),Q499,IF(Q499="","",IFERROR(VALUE(TRIM(SUBSTITUTE(SUBSTITUTE(LOWER(Q499),"hrs",""),"hr",""))),""))))</f>
        <v>3</v>
      </c>
      <c r="S499" s="57" t="n">
        <f aca="false">IFERROR(INDEX(RATES!$E$6:$E$28,MATCH(P499,RATES!$A$6:$A$28,0)),0)</f>
        <v>92.52</v>
      </c>
      <c r="T499" s="61" t="n">
        <f aca="false">IF(ISNUMBER(R499),R499,0)*S499</f>
        <v>277.56</v>
      </c>
      <c r="U499" s="61" t="n">
        <f aca="false">T499*INDEX(INPUTS!$H$10:$H$14,MATCH(B499,INPUTS!$A$10:$A$14,0))</f>
        <v>51.3486</v>
      </c>
      <c r="V499" s="61" t="n">
        <f aca="false">N(STACK!K499)</f>
        <v>115</v>
      </c>
      <c r="W499" s="61" t="n">
        <f aca="false">T499+U499+V499</f>
        <v>443.9086</v>
      </c>
      <c r="X499" s="61" t="n">
        <f aca="false">N(STACK!L499)</f>
        <v>0</v>
      </c>
      <c r="Y499" s="61" t="n">
        <f aca="false">W499-X499</f>
        <v>443.9086</v>
      </c>
      <c r="Z499" s="1" t="n">
        <f aca="false">N(STACK!J499)</f>
        <v>0</v>
      </c>
      <c r="AA499" s="1" t="str">
        <f aca="false">TRIM(IF(D499="UNMAPPED","Program not mapped. ","")&amp;IF(OR(K499="UNMAPPED",K499="UNASSIGNED"),"Category needs review. ","")&amp;IF(P499="UNMAPPED","Title not mapped. ","")&amp;IF(AND(P499&lt;&gt;"No staff time",R499=""),"Missing hours. ","")&amp;IF(M499="","Date not readable. ","")&amp;IF(N499="No","Outside fiscal year. ","")&amp;IF(AND(F499="Event",ISNUMBER(R499)),IF(R499&gt;12,"Event hours look high. ",""),"")&amp;IF(G499&gt;0,"See CONFIRM sheet.",""))</f>
        <v/>
      </c>
      <c r="AB499" s="1" t="n">
        <f aca="false">IF(N499="No",0,IF(REVIEW!O499=0,0,IF(G499&gt;0,IF(INDEX(CONFIRM!$J$5:$J$53,G499)&lt;&gt;"",INDEX(CONFIRM!$J$5:$J$53,G499),1),1)))</f>
        <v>1</v>
      </c>
      <c r="AC499" s="1" t="n">
        <f aca="false">IF(AB499=1,IF(COUNTIFS($B$5:B499,B499,$D$5:D499,D499,$AB$5:AB499,1)=1,1,0),0)</f>
        <v>0</v>
      </c>
    </row>
    <row r="500" customFormat="false" ht="15" hidden="false" customHeight="false" outlineLevel="0" collapsed="false">
      <c r="A500" s="48" t="str">
        <f aca="false">STACK!A500</f>
        <v>KVMC-0496</v>
      </c>
      <c r="B500" s="48" t="str">
        <f aca="false">STACK!B500</f>
        <v>KVMC</v>
      </c>
      <c r="C500" s="48" t="str">
        <f aca="false">STACK!E500</f>
        <v>Regional Health Coalition</v>
      </c>
      <c r="D500" s="1" t="str">
        <f aca="false">IFERROR(INDEX(MAP!$J$7:$J$101,MATCH(TRIM(C500),MAP!$I$7:$I$101,0)),"UNMAPPED")</f>
        <v>Regional Health Coalition</v>
      </c>
      <c r="E500" s="1" t="str">
        <f aca="false">IFERROR(INDEX(MAP!$K$7:$K$101,MATCH(TRIM(C500),MAP!$I$7:$I$101,0)),"")</f>
        <v>Community benefit infrastructure</v>
      </c>
      <c r="F500" s="1" t="str">
        <f aca="false">IFERROR(INDEX(MAP!$L$7:$L$101,MATCH(TRIM(C500),MAP!$I$7:$I$101,0)),"")</f>
        <v>Event</v>
      </c>
      <c r="G500" s="1" t="n">
        <f aca="false">IFERROR(MATCH(A500,CONFIRM!$A$5:$A$53,0),0)</f>
        <v>0</v>
      </c>
      <c r="H500" s="48" t="str">
        <f aca="false">STACK!F500</f>
        <v>Community Building - Coalition</v>
      </c>
      <c r="I500" s="1" t="str">
        <f aca="false">IF(G500&gt;0,IF(INDEX(CONFIRM!$I$5:$I$53,G500)&lt;&gt;"",INDEX(CONFIRM!$I$5:$I$53,G500),H500),H500)</f>
        <v>Community Building - Coalition</v>
      </c>
      <c r="J500" s="1" t="str">
        <f aca="false">IFERROR(INDEX(MAP!$F$7:$F$74,MATCH(TRIM(I500),MAP!$E$7:$E$74,0)),"UNMAPPED")</f>
        <v>Community building: coalition building</v>
      </c>
      <c r="K500" s="1" t="str">
        <f aca="false">IFERROR(INDEX(MAP!$G$7:$G$74,MATCH(TRIM(I500),MAP!$E$7:$E$74,0)),"UNMAPPED")</f>
        <v>II-6</v>
      </c>
      <c r="L500" s="49" t="n">
        <f aca="false">STACK!G500</f>
        <v>46193</v>
      </c>
      <c r="M500" s="59" t="n">
        <f aca="false">IF(G500&gt;0,IF(INDEX(CONFIRM!$G$5:$G$53,G500)&lt;&gt;"",INDEX(CONFIRM!$G$5:$G$53,G500),IF(ISNUMBER(L500),L500,IFERROR(DATEVALUE(L500),""))),IF(ISNUMBER(L500),L500,IFERROR(DATEVALUE(L500),"")))</f>
        <v>46193</v>
      </c>
      <c r="N500" s="1" t="str">
        <f aca="false">IF(M500="","Check",IF(AND(M500&gt;=INPUTS!$C$6,M500&lt;=INPUTS!$C$7),"Yes","No"))</f>
        <v>Yes</v>
      </c>
      <c r="O500" s="48" t="str">
        <f aca="false">STACK!H500</f>
        <v>Community Benefit Manager</v>
      </c>
      <c r="P500" s="1" t="str">
        <f aca="false">IF(G500&gt;0,IF(INDEX(CONFIRM!$H$5:$H$53,G500)&lt;&gt;"",INDEX(CONFIRM!$H$5:$H$53,G500),IFERROR(INDEX(MAP!$B$7:$B$156,MATCH(TRIM(O500),MAP!$A$7:$A$156,0)),"UNMAPPED")),IFERROR(INDEX(MAP!$B$7:$B$156,MATCH(TRIM(O500),MAP!$A$7:$A$156,0)),"UNMAPPED"))</f>
        <v>Community Benefit Manager</v>
      </c>
      <c r="Q500" s="48" t="n">
        <f aca="false">STACK!I500</f>
        <v>2.75</v>
      </c>
      <c r="R500" s="60" t="n">
        <f aca="false">IF(G500&gt;0,IF(INDEX(CONFIRM!$F$5:$F$53,G500)&lt;&gt;"",INDEX(CONFIRM!$F$5:$F$53,G500),IF(ISNUMBER(Q500),Q500,IF(Q500="","",IFERROR(VALUE(TRIM(SUBSTITUTE(SUBSTITUTE(LOWER(Q500),"hrs",""),"hr",""))),"")))),IF(ISNUMBER(Q500),Q500,IF(Q500="","",IFERROR(VALUE(TRIM(SUBSTITUTE(SUBSTITUTE(LOWER(Q500),"hrs",""),"hr",""))),""))))</f>
        <v>2.75</v>
      </c>
      <c r="S500" s="57" t="n">
        <f aca="false">IFERROR(INDEX(RATES!$E$6:$E$28,MATCH(P500,RATES!$A$6:$A$28,0)),0)</f>
        <v>59.11</v>
      </c>
      <c r="T500" s="61" t="n">
        <f aca="false">IF(ISNUMBER(R500),R500,0)*S500</f>
        <v>162.5525</v>
      </c>
      <c r="U500" s="61" t="n">
        <f aca="false">T500*INDEX(INPUTS!$H$10:$H$14,MATCH(B500,INPUTS!$A$10:$A$14,0))</f>
        <v>30.0722125</v>
      </c>
      <c r="V500" s="61" t="n">
        <f aca="false">N(STACK!K500)</f>
        <v>0</v>
      </c>
      <c r="W500" s="61" t="n">
        <f aca="false">T500+U500+V500</f>
        <v>192.6247125</v>
      </c>
      <c r="X500" s="61" t="n">
        <f aca="false">N(STACK!L500)</f>
        <v>0</v>
      </c>
      <c r="Y500" s="61" t="n">
        <f aca="false">W500-X500</f>
        <v>192.6247125</v>
      </c>
      <c r="Z500" s="1" t="n">
        <f aca="false">N(STACK!J500)</f>
        <v>0</v>
      </c>
      <c r="AA500" s="1" t="str">
        <f aca="false">TRIM(IF(D500="UNMAPPED","Program not mapped. ","")&amp;IF(OR(K500="UNMAPPED",K500="UNASSIGNED"),"Category needs review. ","")&amp;IF(P500="UNMAPPED","Title not mapped. ","")&amp;IF(AND(P500&lt;&gt;"No staff time",R500=""),"Missing hours. ","")&amp;IF(M500="","Date not readable. ","")&amp;IF(N500="No","Outside fiscal year. ","")&amp;IF(AND(F500="Event",ISNUMBER(R500)),IF(R500&gt;12,"Event hours look high. ",""),"")&amp;IF(G500&gt;0,"See CONFIRM sheet.",""))</f>
        <v/>
      </c>
      <c r="AB500" s="1" t="n">
        <f aca="false">IF(N500="No",0,IF(REVIEW!O500=0,0,IF(G500&gt;0,IF(INDEX(CONFIRM!$J$5:$J$53,G500)&lt;&gt;"",INDEX(CONFIRM!$J$5:$J$53,G500),1),1)))</f>
        <v>1</v>
      </c>
      <c r="AC500" s="1" t="n">
        <f aca="false">IF(AB500=1,IF(COUNTIFS($B$5:B500,B500,$D$5:D500,D500,$AB$5:AB500,1)=1,1,0),0)</f>
        <v>0</v>
      </c>
    </row>
    <row r="501" customFormat="false" ht="15" hidden="false" customHeight="false" outlineLevel="0" collapsed="false">
      <c r="A501" s="48" t="str">
        <f aca="false">STACK!A501</f>
        <v>KVMC-0497</v>
      </c>
      <c r="B501" s="48" t="str">
        <f aca="false">STACK!B501</f>
        <v>KVMC</v>
      </c>
      <c r="C501" s="48" t="str">
        <f aca="false">STACK!E501</f>
        <v>Regional Health Coalition</v>
      </c>
      <c r="D501" s="1" t="str">
        <f aca="false">IFERROR(INDEX(MAP!$J$7:$J$101,MATCH(TRIM(C501),MAP!$I$7:$I$101,0)),"UNMAPPED")</f>
        <v>Regional Health Coalition</v>
      </c>
      <c r="E501" s="1" t="str">
        <f aca="false">IFERROR(INDEX(MAP!$K$7:$K$101,MATCH(TRIM(C501),MAP!$I$7:$I$101,0)),"")</f>
        <v>Community benefit infrastructure</v>
      </c>
      <c r="F501" s="1" t="str">
        <f aca="false">IFERROR(INDEX(MAP!$L$7:$L$101,MATCH(TRIM(C501),MAP!$I$7:$I$101,0)),"")</f>
        <v>Event</v>
      </c>
      <c r="G501" s="1" t="n">
        <f aca="false">IFERROR(MATCH(A501,CONFIRM!$A$5:$A$53,0),0)</f>
        <v>0</v>
      </c>
      <c r="H501" s="48" t="str">
        <f aca="false">STACK!F501</f>
        <v>Community Building - Coalition</v>
      </c>
      <c r="I501" s="1" t="str">
        <f aca="false">IF(G501&gt;0,IF(INDEX(CONFIRM!$I$5:$I$53,G501)&lt;&gt;"",INDEX(CONFIRM!$I$5:$I$53,G501),H501),H501)</f>
        <v>Community Building - Coalition</v>
      </c>
      <c r="J501" s="1" t="str">
        <f aca="false">IFERROR(INDEX(MAP!$F$7:$F$74,MATCH(TRIM(I501),MAP!$E$7:$E$74,0)),"UNMAPPED")</f>
        <v>Community building: coalition building</v>
      </c>
      <c r="K501" s="1" t="str">
        <f aca="false">IFERROR(INDEX(MAP!$G$7:$G$74,MATCH(TRIM(I501),MAP!$E$7:$E$74,0)),"UNMAPPED")</f>
        <v>II-6</v>
      </c>
      <c r="L501" s="49" t="n">
        <f aca="false">STACK!G501</f>
        <v>46193</v>
      </c>
      <c r="M501" s="59" t="n">
        <f aca="false">IF(G501&gt;0,IF(INDEX(CONFIRM!$G$5:$G$53,G501)&lt;&gt;"",INDEX(CONFIRM!$G$5:$G$53,G501),IF(ISNUMBER(L501),L501,IFERROR(DATEVALUE(L501),""))),IF(ISNUMBER(L501),L501,IFERROR(DATEVALUE(L501),"")))</f>
        <v>46193</v>
      </c>
      <c r="N501" s="1" t="str">
        <f aca="false">IF(M501="","Check",IF(AND(M501&gt;=INPUTS!$C$6,M501&lt;=INPUTS!$C$7),"Yes","No"))</f>
        <v>Yes</v>
      </c>
      <c r="O501" s="48" t="str">
        <f aca="false">STACK!H501</f>
        <v>VP</v>
      </c>
      <c r="P501" s="1" t="str">
        <f aca="false">IF(G501&gt;0,IF(INDEX(CONFIRM!$H$5:$H$53,G501)&lt;&gt;"",INDEX(CONFIRM!$H$5:$H$53,G501),IFERROR(INDEX(MAP!$B$7:$B$156,MATCH(TRIM(O501),MAP!$A$7:$A$156,0)),"UNMAPPED")),IFERROR(INDEX(MAP!$B$7:$B$156,MATCH(TRIM(O501),MAP!$A$7:$A$156,0)),"UNMAPPED"))</f>
        <v>Director</v>
      </c>
      <c r="Q501" s="48" t="n">
        <f aca="false">STACK!I501</f>
        <v>2</v>
      </c>
      <c r="R501" s="60" t="n">
        <f aca="false">IF(G501&gt;0,IF(INDEX(CONFIRM!$F$5:$F$53,G501)&lt;&gt;"",INDEX(CONFIRM!$F$5:$F$53,G501),IF(ISNUMBER(Q501),Q501,IF(Q501="","",IFERROR(VALUE(TRIM(SUBSTITUTE(SUBSTITUTE(LOWER(Q501),"hrs",""),"hr",""))),"")))),IF(ISNUMBER(Q501),Q501,IF(Q501="","",IFERROR(VALUE(TRIM(SUBSTITUTE(SUBSTITUTE(LOWER(Q501),"hrs",""),"hr",""))),""))))</f>
        <v>2</v>
      </c>
      <c r="S501" s="57" t="n">
        <f aca="false">IFERROR(INDEX(RATES!$E$6:$E$28,MATCH(P501,RATES!$A$6:$A$28,0)),0)</f>
        <v>92.52</v>
      </c>
      <c r="T501" s="61" t="n">
        <f aca="false">IF(ISNUMBER(R501),R501,0)*S501</f>
        <v>185.04</v>
      </c>
      <c r="U501" s="61" t="n">
        <f aca="false">T501*INDEX(INPUTS!$H$10:$H$14,MATCH(B501,INPUTS!$A$10:$A$14,0))</f>
        <v>34.2324</v>
      </c>
      <c r="V501" s="61" t="n">
        <f aca="false">N(STACK!K501)</f>
        <v>75</v>
      </c>
      <c r="W501" s="61" t="n">
        <f aca="false">T501+U501+V501</f>
        <v>294.2724</v>
      </c>
      <c r="X501" s="61" t="n">
        <f aca="false">N(STACK!L501)</f>
        <v>0</v>
      </c>
      <c r="Y501" s="61" t="n">
        <f aca="false">W501-X501</f>
        <v>294.2724</v>
      </c>
      <c r="Z501" s="1" t="n">
        <f aca="false">N(STACK!J501)</f>
        <v>0</v>
      </c>
      <c r="AA501" s="1" t="str">
        <f aca="false">TRIM(IF(D501="UNMAPPED","Program not mapped. ","")&amp;IF(OR(K501="UNMAPPED",K501="UNASSIGNED"),"Category needs review. ","")&amp;IF(P501="UNMAPPED","Title not mapped. ","")&amp;IF(AND(P501&lt;&gt;"No staff time",R501=""),"Missing hours. ","")&amp;IF(M501="","Date not readable. ","")&amp;IF(N501="No","Outside fiscal year. ","")&amp;IF(AND(F501="Event",ISNUMBER(R501)),IF(R501&gt;12,"Event hours look high. ",""),"")&amp;IF(G501&gt;0,"See CONFIRM sheet.",""))</f>
        <v/>
      </c>
      <c r="AB501" s="1" t="n">
        <f aca="false">IF(N501="No",0,IF(REVIEW!O501=0,0,IF(G501&gt;0,IF(INDEX(CONFIRM!$J$5:$J$53,G501)&lt;&gt;"",INDEX(CONFIRM!$J$5:$J$53,G501),1),1)))</f>
        <v>1</v>
      </c>
      <c r="AC501" s="1" t="n">
        <f aca="false">IF(AB501=1,IF(COUNTIFS($B$5:B501,B501,$D$5:D501,D501,$AB$5:AB501,1)=1,1,0),0)</f>
        <v>0</v>
      </c>
    </row>
    <row r="502" customFormat="false" ht="15" hidden="false" customHeight="false" outlineLevel="0" collapsed="false">
      <c r="A502" s="48" t="str">
        <f aca="false">STACK!A502</f>
        <v>KVMC-0498</v>
      </c>
      <c r="B502" s="48" t="str">
        <f aca="false">STACK!B502</f>
        <v>KVMC</v>
      </c>
      <c r="C502" s="48" t="str">
        <f aca="false">STACK!E502</f>
        <v>Grief Support Group</v>
      </c>
      <c r="D502" s="1" t="str">
        <f aca="false">IFERROR(INDEX(MAP!$J$7:$J$101,MATCH(TRIM(C502),MAP!$I$7:$I$101,0)),"UNMAPPED")</f>
        <v>Grief Support Group</v>
      </c>
      <c r="E502" s="1" t="str">
        <f aca="false">IFERROR(INDEX(MAP!$K$7:$K$101,MATCH(TRIM(C502),MAP!$I$7:$I$101,0)),"")</f>
        <v>Behavioral health</v>
      </c>
      <c r="F502" s="1" t="str">
        <f aca="false">IFERROR(INDEX(MAP!$L$7:$L$101,MATCH(TRIM(C502),MAP!$I$7:$I$101,0)),"")</f>
        <v>Event</v>
      </c>
      <c r="G502" s="1" t="n">
        <f aca="false">IFERROR(MATCH(A502,CONFIRM!$A$5:$A$53,0),0)</f>
        <v>0</v>
      </c>
      <c r="H502" s="48" t="str">
        <f aca="false">STACK!F502</f>
        <v>Health Care Support Services</v>
      </c>
      <c r="I502" s="1" t="str">
        <f aca="false">IF(G502&gt;0,IF(INDEX(CONFIRM!$I$5:$I$53,G502)&lt;&gt;"",INDEX(CONFIRM!$I$5:$I$53,G502),H502),H502)</f>
        <v>Health Care Support Services</v>
      </c>
      <c r="J502" s="1" t="str">
        <f aca="false">IFERROR(INDEX(MAP!$F$7:$F$74,MATCH(TRIM(I502),MAP!$E$7:$E$74,0)),"UNMAPPED")</f>
        <v>Health care support services</v>
      </c>
      <c r="K502" s="1" t="str">
        <f aca="false">IFERROR(INDEX(MAP!$G$7:$G$74,MATCH(TRIM(I502),MAP!$E$7:$E$74,0)),"UNMAPPED")</f>
        <v>7e</v>
      </c>
      <c r="L502" s="49" t="n">
        <f aca="false">STACK!G502</f>
        <v>46195</v>
      </c>
      <c r="M502" s="59" t="n">
        <f aca="false">IF(G502&gt;0,IF(INDEX(CONFIRM!$G$5:$G$53,G502)&lt;&gt;"",INDEX(CONFIRM!$G$5:$G$53,G502),IF(ISNUMBER(L502),L502,IFERROR(DATEVALUE(L502),""))),IF(ISNUMBER(L502),L502,IFERROR(DATEVALUE(L502),"")))</f>
        <v>46195</v>
      </c>
      <c r="N502" s="1" t="str">
        <f aca="false">IF(M502="","Check",IF(AND(M502&gt;=INPUTS!$C$6,M502&lt;=INPUTS!$C$7),"Yes","No"))</f>
        <v>Yes</v>
      </c>
      <c r="O502" s="48" t="str">
        <f aca="false">STACK!H502</f>
        <v>Spiritual Care</v>
      </c>
      <c r="P502" s="1" t="str">
        <f aca="false">IF(G502&gt;0,IF(INDEX(CONFIRM!$H$5:$H$53,G502)&lt;&gt;"",INDEX(CONFIRM!$H$5:$H$53,G502),IFERROR(INDEX(MAP!$B$7:$B$156,MATCH(TRIM(O502),MAP!$A$7:$A$156,0)),"UNMAPPED")),IFERROR(INDEX(MAP!$B$7:$B$156,MATCH(TRIM(O502),MAP!$A$7:$A$156,0)),"UNMAPPED"))</f>
        <v>Chaplain</v>
      </c>
      <c r="Q502" s="48" t="n">
        <f aca="false">STACK!I502</f>
        <v>2.25</v>
      </c>
      <c r="R502" s="60" t="n">
        <f aca="false">IF(G502&gt;0,IF(INDEX(CONFIRM!$F$5:$F$53,G502)&lt;&gt;"",INDEX(CONFIRM!$F$5:$F$53,G502),IF(ISNUMBER(Q502),Q502,IF(Q502="","",IFERROR(VALUE(TRIM(SUBSTITUTE(SUBSTITUTE(LOWER(Q502),"hrs",""),"hr",""))),"")))),IF(ISNUMBER(Q502),Q502,IF(Q502="","",IFERROR(VALUE(TRIM(SUBSTITUTE(SUBSTITUTE(LOWER(Q502),"hrs",""),"hr",""))),""))))</f>
        <v>2.25</v>
      </c>
      <c r="S502" s="57" t="n">
        <f aca="false">IFERROR(INDEX(RATES!$E$6:$E$28,MATCH(P502,RATES!$A$6:$A$28,0)),0)</f>
        <v>39.835</v>
      </c>
      <c r="T502" s="61" t="n">
        <f aca="false">IF(ISNUMBER(R502),R502,0)*S502</f>
        <v>89.62875</v>
      </c>
      <c r="U502" s="61" t="n">
        <f aca="false">T502*INDEX(INPUTS!$H$10:$H$14,MATCH(B502,INPUTS!$A$10:$A$14,0))</f>
        <v>16.58131875</v>
      </c>
      <c r="V502" s="61" t="n">
        <f aca="false">N(STACK!K502)</f>
        <v>40</v>
      </c>
      <c r="W502" s="61" t="n">
        <f aca="false">T502+U502+V502</f>
        <v>146.21006875</v>
      </c>
      <c r="X502" s="61" t="n">
        <f aca="false">N(STACK!L502)</f>
        <v>0</v>
      </c>
      <c r="Y502" s="61" t="n">
        <f aca="false">W502-X502</f>
        <v>146.21006875</v>
      </c>
      <c r="Z502" s="1" t="n">
        <f aca="false">N(STACK!J502)</f>
        <v>10</v>
      </c>
      <c r="AA502" s="1" t="str">
        <f aca="false">TRIM(IF(D502="UNMAPPED","Program not mapped. ","")&amp;IF(OR(K502="UNMAPPED",K502="UNASSIGNED"),"Category needs review. ","")&amp;IF(P502="UNMAPPED","Title not mapped. ","")&amp;IF(AND(P502&lt;&gt;"No staff time",R502=""),"Missing hours. ","")&amp;IF(M502="","Date not readable. ","")&amp;IF(N502="No","Outside fiscal year. ","")&amp;IF(AND(F502="Event",ISNUMBER(R502)),IF(R502&gt;12,"Event hours look high. ",""),"")&amp;IF(G502&gt;0,"See CONFIRM sheet.",""))</f>
        <v/>
      </c>
      <c r="AB502" s="1" t="n">
        <f aca="false">IF(N502="No",0,IF(REVIEW!O502=0,0,IF(G502&gt;0,IF(INDEX(CONFIRM!$J$5:$J$53,G502)&lt;&gt;"",INDEX(CONFIRM!$J$5:$J$53,G502),1),1)))</f>
        <v>1</v>
      </c>
      <c r="AC502" s="1" t="n">
        <f aca="false">IF(AB502=1,IF(COUNTIFS($B$5:B502,B502,$D$5:D502,D502,$AB$5:AB502,1)=1,1,0),0)</f>
        <v>0</v>
      </c>
    </row>
    <row r="503" customFormat="false" ht="15" hidden="false" customHeight="false" outlineLevel="0" collapsed="false">
      <c r="A503" s="48" t="str">
        <f aca="false">STACK!A503</f>
        <v>KVMC-0499</v>
      </c>
      <c r="B503" s="48" t="str">
        <f aca="false">STACK!B503</f>
        <v>KVMC</v>
      </c>
      <c r="C503" s="48" t="str">
        <f aca="false">STACK!E503</f>
        <v>Grief Support Group</v>
      </c>
      <c r="D503" s="1" t="str">
        <f aca="false">IFERROR(INDEX(MAP!$J$7:$J$101,MATCH(TRIM(C503),MAP!$I$7:$I$101,0)),"UNMAPPED")</f>
        <v>Grief Support Group</v>
      </c>
      <c r="E503" s="1" t="str">
        <f aca="false">IFERROR(INDEX(MAP!$K$7:$K$101,MATCH(TRIM(C503),MAP!$I$7:$I$101,0)),"")</f>
        <v>Behavioral health</v>
      </c>
      <c r="F503" s="1" t="str">
        <f aca="false">IFERROR(INDEX(MAP!$L$7:$L$101,MATCH(TRIM(C503),MAP!$I$7:$I$101,0)),"")</f>
        <v>Event</v>
      </c>
      <c r="G503" s="1" t="n">
        <f aca="false">IFERROR(MATCH(A503,CONFIRM!$A$5:$A$53,0),0)</f>
        <v>0</v>
      </c>
      <c r="H503" s="48" t="str">
        <f aca="false">STACK!F503</f>
        <v>Health Care Support Services</v>
      </c>
      <c r="I503" s="1" t="str">
        <f aca="false">IF(G503&gt;0,IF(INDEX(CONFIRM!$I$5:$I$53,G503)&lt;&gt;"",INDEX(CONFIRM!$I$5:$I$53,G503),H503),H503)</f>
        <v>Health Care Support Services</v>
      </c>
      <c r="J503" s="1" t="str">
        <f aca="false">IFERROR(INDEX(MAP!$F$7:$F$74,MATCH(TRIM(I503),MAP!$E$7:$E$74,0)),"UNMAPPED")</f>
        <v>Health care support services</v>
      </c>
      <c r="K503" s="1" t="str">
        <f aca="false">IFERROR(INDEX(MAP!$G$7:$G$74,MATCH(TRIM(I503),MAP!$E$7:$E$74,0)),"UNMAPPED")</f>
        <v>7e</v>
      </c>
      <c r="L503" s="49" t="n">
        <f aca="false">STACK!G503</f>
        <v>46195</v>
      </c>
      <c r="M503" s="59" t="n">
        <f aca="false">IF(G503&gt;0,IF(INDEX(CONFIRM!$G$5:$G$53,G503)&lt;&gt;"",INDEX(CONFIRM!$G$5:$G$53,G503),IF(ISNUMBER(L503),L503,IFERROR(DATEVALUE(L503),""))),IF(ISNUMBER(L503),L503,IFERROR(DATEVALUE(L503),"")))</f>
        <v>46195</v>
      </c>
      <c r="N503" s="1" t="str">
        <f aca="false">IF(M503="","Check",IF(AND(M503&gt;=INPUTS!$C$6,M503&lt;=INPUTS!$C$7),"Yes","No"))</f>
        <v>Yes</v>
      </c>
      <c r="O503" s="48" t="str">
        <f aca="false">STACK!H503</f>
        <v>LCSW</v>
      </c>
      <c r="P503" s="1" t="str">
        <f aca="false">IF(G503&gt;0,IF(INDEX(CONFIRM!$H$5:$H$53,G503)&lt;&gt;"",INDEX(CONFIRM!$H$5:$H$53,G503),IFERROR(INDEX(MAP!$B$7:$B$156,MATCH(TRIM(O503),MAP!$A$7:$A$156,0)),"UNMAPPED")),IFERROR(INDEX(MAP!$B$7:$B$156,MATCH(TRIM(O503),MAP!$A$7:$A$156,0)),"UNMAPPED"))</f>
        <v>Social Worker</v>
      </c>
      <c r="Q503" s="48" t="n">
        <f aca="false">STACK!I503</f>
        <v>1.75</v>
      </c>
      <c r="R503" s="60" t="n">
        <f aca="false">IF(G503&gt;0,IF(INDEX(CONFIRM!$F$5:$F$53,G503)&lt;&gt;"",INDEX(CONFIRM!$F$5:$F$53,G503),IF(ISNUMBER(Q503),Q503,IF(Q503="","",IFERROR(VALUE(TRIM(SUBSTITUTE(SUBSTITUTE(LOWER(Q503),"hrs",""),"hr",""))),"")))),IF(ISNUMBER(Q503),Q503,IF(Q503="","",IFERROR(VALUE(TRIM(SUBSTITUTE(SUBSTITUTE(LOWER(Q503),"hrs",""),"hr",""))),""))))</f>
        <v>1.75</v>
      </c>
      <c r="S503" s="57" t="n">
        <f aca="false">IFERROR(INDEX(RATES!$E$6:$E$28,MATCH(P503,RATES!$A$6:$A$28,0)),0)</f>
        <v>45.6175</v>
      </c>
      <c r="T503" s="61" t="n">
        <f aca="false">IF(ISNUMBER(R503),R503,0)*S503</f>
        <v>79.830625</v>
      </c>
      <c r="U503" s="61" t="n">
        <f aca="false">T503*INDEX(INPUTS!$H$10:$H$14,MATCH(B503,INPUTS!$A$10:$A$14,0))</f>
        <v>14.768665625</v>
      </c>
      <c r="V503" s="61" t="n">
        <f aca="false">N(STACK!K503)</f>
        <v>0</v>
      </c>
      <c r="W503" s="61" t="n">
        <f aca="false">T503+U503+V503</f>
        <v>94.599290625</v>
      </c>
      <c r="X503" s="61" t="n">
        <f aca="false">N(STACK!L503)</f>
        <v>0</v>
      </c>
      <c r="Y503" s="61" t="n">
        <f aca="false">W503-X503</f>
        <v>94.599290625</v>
      </c>
      <c r="Z503" s="1" t="n">
        <f aca="false">N(STACK!J503)</f>
        <v>0</v>
      </c>
      <c r="AA503" s="1" t="str">
        <f aca="false">TRIM(IF(D503="UNMAPPED","Program not mapped. ","")&amp;IF(OR(K503="UNMAPPED",K503="UNASSIGNED"),"Category needs review. ","")&amp;IF(P503="UNMAPPED","Title not mapped. ","")&amp;IF(AND(P503&lt;&gt;"No staff time",R503=""),"Missing hours. ","")&amp;IF(M503="","Date not readable. ","")&amp;IF(N503="No","Outside fiscal year. ","")&amp;IF(AND(F503="Event",ISNUMBER(R503)),IF(R503&gt;12,"Event hours look high. ",""),"")&amp;IF(G503&gt;0,"See CONFIRM sheet.",""))</f>
        <v/>
      </c>
      <c r="AB503" s="1" t="n">
        <f aca="false">IF(N503="No",0,IF(REVIEW!O503=0,0,IF(G503&gt;0,IF(INDEX(CONFIRM!$J$5:$J$53,G503)&lt;&gt;"",INDEX(CONFIRM!$J$5:$J$53,G503),1),1)))</f>
        <v>1</v>
      </c>
      <c r="AC503" s="1" t="n">
        <f aca="false">IF(AB503=1,IF(COUNTIFS($B$5:B503,B503,$D$5:D503,D503,$AB$5:AB503,1)=1,1,0),0)</f>
        <v>0</v>
      </c>
    </row>
    <row r="504" customFormat="false" ht="15" hidden="false" customHeight="false" outlineLevel="0" collapsed="false">
      <c r="A504" s="48" t="str">
        <f aca="false">STACK!A504</f>
        <v>KVMC-0500</v>
      </c>
      <c r="B504" s="48" t="str">
        <f aca="false">STACK!B504</f>
        <v>KVMC</v>
      </c>
      <c r="C504" s="48" t="str">
        <f aca="false">STACK!E504</f>
        <v>Childbirth and Newborn Care Classes</v>
      </c>
      <c r="D504" s="1" t="str">
        <f aca="false">IFERROR(INDEX(MAP!$J$7:$J$101,MATCH(TRIM(C504),MAP!$I$7:$I$101,0)),"UNMAPPED")</f>
        <v>Childbirth and Newborn Care Classes</v>
      </c>
      <c r="E504" s="1" t="str">
        <f aca="false">IFERROR(INDEX(MAP!$K$7:$K$101,MATCH(TRIM(C504),MAP!$I$7:$I$101,0)),"")</f>
        <v>Maternal and child health</v>
      </c>
      <c r="F504" s="1" t="str">
        <f aca="false">IFERROR(INDEX(MAP!$L$7:$L$101,MATCH(TRIM(C504),MAP!$I$7:$I$101,0)),"")</f>
        <v>Event</v>
      </c>
      <c r="G504" s="1" t="n">
        <f aca="false">IFERROR(MATCH(A504,CONFIRM!$A$5:$A$53,0),0)</f>
        <v>0</v>
      </c>
      <c r="H504" s="48" t="str">
        <f aca="false">STACK!F504</f>
        <v>Community Health Education</v>
      </c>
      <c r="I504" s="1" t="str">
        <f aca="false">IF(G504&gt;0,IF(INDEX(CONFIRM!$I$5:$I$53,G504)&lt;&gt;"",INDEX(CONFIRM!$I$5:$I$53,G504),H504),H504)</f>
        <v>Community Health Education</v>
      </c>
      <c r="J504" s="1" t="str">
        <f aca="false">IFERROR(INDEX(MAP!$F$7:$F$74,MATCH(TRIM(I504),MAP!$E$7:$E$74,0)),"UNMAPPED")</f>
        <v>Community health education</v>
      </c>
      <c r="K504" s="1" t="str">
        <f aca="false">IFERROR(INDEX(MAP!$G$7:$G$74,MATCH(TRIM(I504),MAP!$E$7:$E$74,0)),"UNMAPPED")</f>
        <v>7e</v>
      </c>
      <c r="L504" s="49" t="n">
        <f aca="false">STACK!G504</f>
        <v>46197</v>
      </c>
      <c r="M504" s="59" t="n">
        <f aca="false">IF(G504&gt;0,IF(INDEX(CONFIRM!$G$5:$G$53,G504)&lt;&gt;"",INDEX(CONFIRM!$G$5:$G$53,G504),IF(ISNUMBER(L504),L504,IFERROR(DATEVALUE(L504),""))),IF(ISNUMBER(L504),L504,IFERROR(DATEVALUE(L504),"")))</f>
        <v>46197</v>
      </c>
      <c r="N504" s="1" t="str">
        <f aca="false">IF(M504="","Check",IF(AND(M504&gt;=INPUTS!$C$6,M504&lt;=INPUTS!$C$7),"Yes","No"))</f>
        <v>Yes</v>
      </c>
      <c r="O504" s="48" t="str">
        <f aca="false">STACK!H504</f>
        <v>Preceptor RN</v>
      </c>
      <c r="P504" s="1" t="str">
        <f aca="false">IF(G504&gt;0,IF(INDEX(CONFIRM!$H$5:$H$53,G504)&lt;&gt;"",INDEX(CONFIRM!$H$5:$H$53,G504),IFERROR(INDEX(MAP!$B$7:$B$156,MATCH(TRIM(O504),MAP!$A$7:$A$156,0)),"UNMAPPED")),IFERROR(INDEX(MAP!$B$7:$B$156,MATCH(TRIM(O504),MAP!$A$7:$A$156,0)),"UNMAPPED"))</f>
        <v>Clinical Nurse Educator</v>
      </c>
      <c r="Q504" s="48" t="n">
        <f aca="false">STACK!I504</f>
        <v>3.25</v>
      </c>
      <c r="R504" s="60" t="n">
        <f aca="false">IF(G504&gt;0,IF(INDEX(CONFIRM!$F$5:$F$53,G504)&lt;&gt;"",INDEX(CONFIRM!$F$5:$F$53,G504),IF(ISNUMBER(Q504),Q504,IF(Q504="","",IFERROR(VALUE(TRIM(SUBSTITUTE(SUBSTITUTE(LOWER(Q504),"hrs",""),"hr",""))),"")))),IF(ISNUMBER(Q504),Q504,IF(Q504="","",IFERROR(VALUE(TRIM(SUBSTITUTE(SUBSTITUTE(LOWER(Q504),"hrs",""),"hr",""))),""))))</f>
        <v>3.25</v>
      </c>
      <c r="S504" s="57" t="n">
        <f aca="false">IFERROR(INDEX(RATES!$E$6:$E$28,MATCH(P504,RATES!$A$6:$A$28,0)),0)</f>
        <v>62.965</v>
      </c>
      <c r="T504" s="61" t="n">
        <f aca="false">IF(ISNUMBER(R504),R504,0)*S504</f>
        <v>204.63625</v>
      </c>
      <c r="U504" s="61" t="n">
        <f aca="false">T504*INDEX(INPUTS!$H$10:$H$14,MATCH(B504,INPUTS!$A$10:$A$14,0))</f>
        <v>37.85770625</v>
      </c>
      <c r="V504" s="61" t="n">
        <f aca="false">N(STACK!K504)</f>
        <v>125</v>
      </c>
      <c r="W504" s="61" t="n">
        <f aca="false">T504+U504+V504</f>
        <v>367.49395625</v>
      </c>
      <c r="X504" s="61" t="n">
        <f aca="false">N(STACK!L504)</f>
        <v>340</v>
      </c>
      <c r="Y504" s="61" t="n">
        <f aca="false">W504-X504</f>
        <v>27.49395625</v>
      </c>
      <c r="Z504" s="1" t="n">
        <f aca="false">N(STACK!J504)</f>
        <v>17</v>
      </c>
      <c r="AA504" s="1" t="str">
        <f aca="false">TRIM(IF(D504="UNMAPPED","Program not mapped. ","")&amp;IF(OR(K504="UNMAPPED",K504="UNASSIGNED"),"Category needs review. ","")&amp;IF(P504="UNMAPPED","Title not mapped. ","")&amp;IF(AND(P504&lt;&gt;"No staff time",R504=""),"Missing hours. ","")&amp;IF(M504="","Date not readable. ","")&amp;IF(N504="No","Outside fiscal year. ","")&amp;IF(AND(F504="Event",ISNUMBER(R504)),IF(R504&gt;12,"Event hours look high. ",""),"")&amp;IF(G504&gt;0,"See CONFIRM sheet.",""))</f>
        <v/>
      </c>
      <c r="AB504" s="1" t="n">
        <f aca="false">IF(N504="No",0,IF(REVIEW!O504=0,0,IF(G504&gt;0,IF(INDEX(CONFIRM!$J$5:$J$53,G504)&lt;&gt;"",INDEX(CONFIRM!$J$5:$J$53,G504),1),1)))</f>
        <v>1</v>
      </c>
      <c r="AC504" s="1" t="n">
        <f aca="false">IF(AB504=1,IF(COUNTIFS($B$5:B504,B504,$D$5:D504,D504,$AB$5:AB504,1)=1,1,0),0)</f>
        <v>0</v>
      </c>
    </row>
    <row r="505" customFormat="false" ht="15" hidden="false" customHeight="false" outlineLevel="0" collapsed="false">
      <c r="A505" s="48" t="str">
        <f aca="false">STACK!A505</f>
        <v>KVMC-0501</v>
      </c>
      <c r="B505" s="48" t="str">
        <f aca="false">STACK!B505</f>
        <v>KVMC</v>
      </c>
      <c r="C505" s="48" t="str">
        <f aca="false">STACK!E505</f>
        <v>Tobacco Cessation Classes</v>
      </c>
      <c r="D505" s="1" t="str">
        <f aca="false">IFERROR(INDEX(MAP!$J$7:$J$101,MATCH(TRIM(C505),MAP!$I$7:$I$101,0)),"UNMAPPED")</f>
        <v>Tobacco Cessation Classes</v>
      </c>
      <c r="E505" s="1" t="str">
        <f aca="false">IFERROR(INDEX(MAP!$K$7:$K$101,MATCH(TRIM(C505),MAP!$I$7:$I$101,0)),"")</f>
        <v>Chronic disease prevention</v>
      </c>
      <c r="F505" s="1" t="str">
        <f aca="false">IFERROR(INDEX(MAP!$L$7:$L$101,MATCH(TRIM(C505),MAP!$I$7:$I$101,0)),"")</f>
        <v>Event</v>
      </c>
      <c r="G505" s="1" t="n">
        <f aca="false">IFERROR(MATCH(A505,CONFIRM!$A$5:$A$53,0),0)</f>
        <v>0</v>
      </c>
      <c r="H505" s="48" t="str">
        <f aca="false">STACK!F505</f>
        <v>Community Health Education</v>
      </c>
      <c r="I505" s="1" t="str">
        <f aca="false">IF(G505&gt;0,IF(INDEX(CONFIRM!$I$5:$I$53,G505)&lt;&gt;"",INDEX(CONFIRM!$I$5:$I$53,G505),H505),H505)</f>
        <v>Community Health Education</v>
      </c>
      <c r="J505" s="1" t="str">
        <f aca="false">IFERROR(INDEX(MAP!$F$7:$F$74,MATCH(TRIM(I505),MAP!$E$7:$E$74,0)),"UNMAPPED")</f>
        <v>Community health education</v>
      </c>
      <c r="K505" s="1" t="str">
        <f aca="false">IFERROR(INDEX(MAP!$G$7:$G$74,MATCH(TRIM(I505),MAP!$E$7:$E$74,0)),"UNMAPPED")</f>
        <v>7e</v>
      </c>
      <c r="L505" s="49" t="n">
        <f aca="false">STACK!G505</f>
        <v>46200</v>
      </c>
      <c r="M505" s="59" t="n">
        <f aca="false">IF(G505&gt;0,IF(INDEX(CONFIRM!$G$5:$G$53,G505)&lt;&gt;"",INDEX(CONFIRM!$G$5:$G$53,G505),IF(ISNUMBER(L505),L505,IFERROR(DATEVALUE(L505),""))),IF(ISNUMBER(L505),L505,IFERROR(DATEVALUE(L505),"")))</f>
        <v>46200</v>
      </c>
      <c r="N505" s="1" t="str">
        <f aca="false">IF(M505="","Check",IF(AND(M505&gt;=INPUTS!$C$6,M505&lt;=INPUTS!$C$7),"Yes","No"))</f>
        <v>Yes</v>
      </c>
      <c r="O505" s="48" t="str">
        <f aca="false">STACK!H505</f>
        <v>DPT</v>
      </c>
      <c r="P505" s="1" t="str">
        <f aca="false">IF(G505&gt;0,IF(INDEX(CONFIRM!$H$5:$H$53,G505)&lt;&gt;"",INDEX(CONFIRM!$H$5:$H$53,G505),IFERROR(INDEX(MAP!$B$7:$B$156,MATCH(TRIM(O505),MAP!$A$7:$A$156,0)),"UNMAPPED")),IFERROR(INDEX(MAP!$B$7:$B$156,MATCH(TRIM(O505),MAP!$A$7:$A$156,0)),"UNMAPPED"))</f>
        <v>Licensed Therapist</v>
      </c>
      <c r="Q505" s="48" t="n">
        <f aca="false">STACK!I505</f>
        <v>2</v>
      </c>
      <c r="R505" s="60" t="n">
        <f aca="false">IF(G505&gt;0,IF(INDEX(CONFIRM!$F$5:$F$53,G505)&lt;&gt;"",INDEX(CONFIRM!$F$5:$F$53,G505),IF(ISNUMBER(Q505),Q505,IF(Q505="","",IFERROR(VALUE(TRIM(SUBSTITUTE(SUBSTITUTE(LOWER(Q505),"hrs",""),"hr",""))),"")))),IF(ISNUMBER(Q505),Q505,IF(Q505="","",IFERROR(VALUE(TRIM(SUBSTITUTE(SUBSTITUTE(LOWER(Q505),"hrs",""),"hr",""))),""))))</f>
        <v>2</v>
      </c>
      <c r="S505" s="57" t="n">
        <f aca="false">IFERROR(INDEX(RATES!$E$6:$E$28,MATCH(P505,RATES!$A$6:$A$28,0)),0)</f>
        <v>53.97</v>
      </c>
      <c r="T505" s="61" t="n">
        <f aca="false">IF(ISNUMBER(R505),R505,0)*S505</f>
        <v>107.94</v>
      </c>
      <c r="U505" s="61" t="n">
        <f aca="false">T505*INDEX(INPUTS!$H$10:$H$14,MATCH(B505,INPUTS!$A$10:$A$14,0))</f>
        <v>19.9689</v>
      </c>
      <c r="V505" s="61" t="n">
        <f aca="false">N(STACK!K505)</f>
        <v>165</v>
      </c>
      <c r="W505" s="61" t="n">
        <f aca="false">T505+U505+V505</f>
        <v>292.9089</v>
      </c>
      <c r="X505" s="61" t="n">
        <f aca="false">N(STACK!L505)</f>
        <v>0</v>
      </c>
      <c r="Y505" s="61" t="n">
        <f aca="false">W505-X505</f>
        <v>292.9089</v>
      </c>
      <c r="Z505" s="1" t="n">
        <f aca="false">N(STACK!J505)</f>
        <v>15</v>
      </c>
      <c r="AA505" s="1" t="str">
        <f aca="false">TRIM(IF(D505="UNMAPPED","Program not mapped. ","")&amp;IF(OR(K505="UNMAPPED",K505="UNASSIGNED"),"Category needs review. ","")&amp;IF(P505="UNMAPPED","Title not mapped. ","")&amp;IF(AND(P505&lt;&gt;"No staff time",R505=""),"Missing hours. ","")&amp;IF(M505="","Date not readable. ","")&amp;IF(N505="No","Outside fiscal year. ","")&amp;IF(AND(F505="Event",ISNUMBER(R505)),IF(R505&gt;12,"Event hours look high. ",""),"")&amp;IF(G505&gt;0,"See CONFIRM sheet.",""))</f>
        <v/>
      </c>
      <c r="AB505" s="1" t="n">
        <f aca="false">IF(N505="No",0,IF(REVIEW!O505=0,0,IF(G505&gt;0,IF(INDEX(CONFIRM!$J$5:$J$53,G505)&lt;&gt;"",INDEX(CONFIRM!$J$5:$J$53,G505),1),1)))</f>
        <v>1</v>
      </c>
      <c r="AC505" s="1" t="n">
        <f aca="false">IF(AB505=1,IF(COUNTIFS($B$5:B505,B505,$D$5:D505,D505,$AB$5:AB505,1)=1,1,0),0)</f>
        <v>0</v>
      </c>
    </row>
    <row r="506" customFormat="false" ht="15" hidden="false" customHeight="false" outlineLevel="0" collapsed="false">
      <c r="A506" s="48" t="str">
        <f aca="false">STACK!A506</f>
        <v>KVMC-0502</v>
      </c>
      <c r="B506" s="48" t="str">
        <f aca="false">STACK!B506</f>
        <v>KVMC</v>
      </c>
      <c r="C506" s="48" t="str">
        <f aca="false">STACK!E506</f>
        <v>Naloxone Training and Distribution</v>
      </c>
      <c r="D506" s="1" t="str">
        <f aca="false">IFERROR(INDEX(MAP!$J$7:$J$101,MATCH(TRIM(C506),MAP!$I$7:$I$101,0)),"UNMAPPED")</f>
        <v>Naloxone Training and Distribution</v>
      </c>
      <c r="E506" s="1" t="str">
        <f aca="false">IFERROR(INDEX(MAP!$K$7:$K$101,MATCH(TRIM(C506),MAP!$I$7:$I$101,0)),"")</f>
        <v>Behavioral health</v>
      </c>
      <c r="F506" s="1" t="str">
        <f aca="false">IFERROR(INDEX(MAP!$L$7:$L$101,MATCH(TRIM(C506),MAP!$I$7:$I$101,0)),"")</f>
        <v>Event</v>
      </c>
      <c r="G506" s="1" t="n">
        <f aca="false">IFERROR(MATCH(A506,CONFIRM!$A$5:$A$53,0),0)</f>
        <v>0</v>
      </c>
      <c r="H506" s="48" t="str">
        <f aca="false">STACK!F506</f>
        <v>Community Health Education</v>
      </c>
      <c r="I506" s="1" t="str">
        <f aca="false">IF(G506&gt;0,IF(INDEX(CONFIRM!$I$5:$I$53,G506)&lt;&gt;"",INDEX(CONFIRM!$I$5:$I$53,G506),H506),H506)</f>
        <v>Community Health Education</v>
      </c>
      <c r="J506" s="1" t="str">
        <f aca="false">IFERROR(INDEX(MAP!$F$7:$F$74,MATCH(TRIM(I506),MAP!$E$7:$E$74,0)),"UNMAPPED")</f>
        <v>Community health education</v>
      </c>
      <c r="K506" s="1" t="str">
        <f aca="false">IFERROR(INDEX(MAP!$G$7:$G$74,MATCH(TRIM(I506),MAP!$E$7:$E$74,0)),"UNMAPPED")</f>
        <v>7e</v>
      </c>
      <c r="L506" s="49" t="n">
        <f aca="false">STACK!G506</f>
        <v>46200</v>
      </c>
      <c r="M506" s="59" t="n">
        <f aca="false">IF(G506&gt;0,IF(INDEX(CONFIRM!$G$5:$G$53,G506)&lt;&gt;"",INDEX(CONFIRM!$G$5:$G$53,G506),IF(ISNUMBER(L506),L506,IFERROR(DATEVALUE(L506),""))),IF(ISNUMBER(L506),L506,IFERROR(DATEVALUE(L506),"")))</f>
        <v>46200</v>
      </c>
      <c r="N506" s="1" t="str">
        <f aca="false">IF(M506="","Check",IF(AND(M506&gt;=INPUTS!$C$6,M506&lt;=INPUTS!$C$7),"Yes","No"))</f>
        <v>Yes</v>
      </c>
      <c r="O506" s="48" t="str">
        <f aca="false">STACK!H506</f>
        <v>Health Educator</v>
      </c>
      <c r="P506" s="1" t="str">
        <f aca="false">IF(G506&gt;0,IF(INDEX(CONFIRM!$H$5:$H$53,G506)&lt;&gt;"",INDEX(CONFIRM!$H$5:$H$53,G506),IFERROR(INDEX(MAP!$B$7:$B$156,MATCH(TRIM(O506),MAP!$A$7:$A$156,0)),"UNMAPPED")),IFERROR(INDEX(MAP!$B$7:$B$156,MATCH(TRIM(O506),MAP!$A$7:$A$156,0)),"UNMAPPED"))</f>
        <v>Health Educator</v>
      </c>
      <c r="Q506" s="48" t="n">
        <f aca="false">STACK!I506</f>
        <v>2.25</v>
      </c>
      <c r="R506" s="60" t="n">
        <f aca="false">IF(G506&gt;0,IF(INDEX(CONFIRM!$F$5:$F$53,G506)&lt;&gt;"",INDEX(CONFIRM!$F$5:$F$53,G506),IF(ISNUMBER(Q506),Q506,IF(Q506="","",IFERROR(VALUE(TRIM(SUBSTITUTE(SUBSTITUTE(LOWER(Q506),"hrs",""),"hr",""))),"")))),IF(ISNUMBER(Q506),Q506,IF(Q506="","",IFERROR(VALUE(TRIM(SUBSTITUTE(SUBSTITUTE(LOWER(Q506),"hrs",""),"hr",""))),""))))</f>
        <v>2.25</v>
      </c>
      <c r="S506" s="57" t="n">
        <f aca="false">IFERROR(INDEX(RATES!$E$6:$E$28,MATCH(P506,RATES!$A$6:$A$28,0)),0)</f>
        <v>37.265</v>
      </c>
      <c r="T506" s="61" t="n">
        <f aca="false">IF(ISNUMBER(R506),R506,0)*S506</f>
        <v>83.84625</v>
      </c>
      <c r="U506" s="61" t="n">
        <f aca="false">T506*INDEX(INPUTS!$H$10:$H$14,MATCH(B506,INPUTS!$A$10:$A$14,0))</f>
        <v>15.51155625</v>
      </c>
      <c r="V506" s="61" t="n">
        <f aca="false">N(STACK!K506)</f>
        <v>0</v>
      </c>
      <c r="W506" s="61" t="n">
        <f aca="false">T506+U506+V506</f>
        <v>99.35780625</v>
      </c>
      <c r="X506" s="61" t="n">
        <f aca="false">N(STACK!L506)</f>
        <v>0</v>
      </c>
      <c r="Y506" s="61" t="n">
        <f aca="false">W506-X506</f>
        <v>99.35780625</v>
      </c>
      <c r="Z506" s="1" t="n">
        <f aca="false">N(STACK!J506)</f>
        <v>0</v>
      </c>
      <c r="AA506" s="1" t="str">
        <f aca="false">TRIM(IF(D506="UNMAPPED","Program not mapped. ","")&amp;IF(OR(K506="UNMAPPED",K506="UNASSIGNED"),"Category needs review. ","")&amp;IF(P506="UNMAPPED","Title not mapped. ","")&amp;IF(AND(P506&lt;&gt;"No staff time",R506=""),"Missing hours. ","")&amp;IF(M506="","Date not readable. ","")&amp;IF(N506="No","Outside fiscal year. ","")&amp;IF(AND(F506="Event",ISNUMBER(R506)),IF(R506&gt;12,"Event hours look high. ",""),"")&amp;IF(G506&gt;0,"See CONFIRM sheet.",""))</f>
        <v/>
      </c>
      <c r="AB506" s="1" t="n">
        <f aca="false">IF(N506="No",0,IF(REVIEW!O506=0,0,IF(G506&gt;0,IF(INDEX(CONFIRM!$J$5:$J$53,G506)&lt;&gt;"",INDEX(CONFIRM!$J$5:$J$53,G506),1),1)))</f>
        <v>1</v>
      </c>
      <c r="AC506" s="1" t="n">
        <f aca="false">IF(AB506=1,IF(COUNTIFS($B$5:B506,B506,$D$5:D506,D506,$AB$5:AB506,1)=1,1,0),0)</f>
        <v>0</v>
      </c>
    </row>
    <row r="507" customFormat="false" ht="15" hidden="false" customHeight="false" outlineLevel="0" collapsed="false">
      <c r="A507" s="48" t="str">
        <f aca="false">STACK!A507</f>
        <v>KVMC-0503</v>
      </c>
      <c r="B507" s="48" t="str">
        <f aca="false">STACK!B507</f>
        <v>KVMC</v>
      </c>
      <c r="C507" s="48" t="str">
        <f aca="false">STACK!E507</f>
        <v>Naloxone Training and Distribution</v>
      </c>
      <c r="D507" s="1" t="str">
        <f aca="false">IFERROR(INDEX(MAP!$J$7:$J$101,MATCH(TRIM(C507),MAP!$I$7:$I$101,0)),"UNMAPPED")</f>
        <v>Naloxone Training and Distribution</v>
      </c>
      <c r="E507" s="1" t="str">
        <f aca="false">IFERROR(INDEX(MAP!$K$7:$K$101,MATCH(TRIM(C507),MAP!$I$7:$I$101,0)),"")</f>
        <v>Behavioral health</v>
      </c>
      <c r="F507" s="1" t="str">
        <f aca="false">IFERROR(INDEX(MAP!$L$7:$L$101,MATCH(TRIM(C507),MAP!$I$7:$I$101,0)),"")</f>
        <v>Event</v>
      </c>
      <c r="G507" s="1" t="n">
        <f aca="false">IFERROR(MATCH(A507,CONFIRM!$A$5:$A$53,0),0)</f>
        <v>0</v>
      </c>
      <c r="H507" s="48" t="str">
        <f aca="false">STACK!F507</f>
        <v>Community Health Education</v>
      </c>
      <c r="I507" s="1" t="str">
        <f aca="false">IF(G507&gt;0,IF(INDEX(CONFIRM!$I$5:$I$53,G507)&lt;&gt;"",INDEX(CONFIRM!$I$5:$I$53,G507),H507),H507)</f>
        <v>Community Health Education</v>
      </c>
      <c r="J507" s="1" t="str">
        <f aca="false">IFERROR(INDEX(MAP!$F$7:$F$74,MATCH(TRIM(I507),MAP!$E$7:$E$74,0)),"UNMAPPED")</f>
        <v>Community health education</v>
      </c>
      <c r="K507" s="1" t="str">
        <f aca="false">IFERROR(INDEX(MAP!$G$7:$G$74,MATCH(TRIM(I507),MAP!$E$7:$E$74,0)),"UNMAPPED")</f>
        <v>7e</v>
      </c>
      <c r="L507" s="49" t="n">
        <f aca="false">STACK!G507</f>
        <v>46200</v>
      </c>
      <c r="M507" s="59" t="n">
        <f aca="false">IF(G507&gt;0,IF(INDEX(CONFIRM!$G$5:$G$53,G507)&lt;&gt;"",INDEX(CONFIRM!$G$5:$G$53,G507),IF(ISNUMBER(L507),L507,IFERROR(DATEVALUE(L507),""))),IF(ISNUMBER(L507),L507,IFERROR(DATEVALUE(L507),"")))</f>
        <v>46200</v>
      </c>
      <c r="N507" s="1" t="str">
        <f aca="false">IF(M507="","Check",IF(AND(M507&gt;=INPUTS!$C$6,M507&lt;=INPUTS!$C$7),"Yes","No"))</f>
        <v>Yes</v>
      </c>
      <c r="O507" s="48" t="str">
        <f aca="false">STACK!H507</f>
        <v>Pharm.D.</v>
      </c>
      <c r="P507" s="1" t="str">
        <f aca="false">IF(G507&gt;0,IF(INDEX(CONFIRM!$H$5:$H$53,G507)&lt;&gt;"",INDEX(CONFIRM!$H$5:$H$53,G507),IFERROR(INDEX(MAP!$B$7:$B$156,MATCH(TRIM(O507),MAP!$A$7:$A$156,0)),"UNMAPPED")),IFERROR(INDEX(MAP!$B$7:$B$156,MATCH(TRIM(O507),MAP!$A$7:$A$156,0)),"UNMAPPED"))</f>
        <v>Pharmacist</v>
      </c>
      <c r="Q507" s="48" t="n">
        <f aca="false">STACK!I507</f>
        <v>2.5</v>
      </c>
      <c r="R507" s="60" t="n">
        <f aca="false">IF(G507&gt;0,IF(INDEX(CONFIRM!$F$5:$F$53,G507)&lt;&gt;"",INDEX(CONFIRM!$F$5:$F$53,G507),IF(ISNUMBER(Q507),Q507,IF(Q507="","",IFERROR(VALUE(TRIM(SUBSTITUTE(SUBSTITUTE(LOWER(Q507),"hrs",""),"hr",""))),"")))),IF(ISNUMBER(Q507),Q507,IF(Q507="","",IFERROR(VALUE(TRIM(SUBSTITUTE(SUBSTITUTE(LOWER(Q507),"hrs",""),"hr",""))),""))))</f>
        <v>2.5</v>
      </c>
      <c r="S507" s="57" t="n">
        <f aca="false">IFERROR(INDEX(RATES!$E$6:$E$28,MATCH(P507,RATES!$A$6:$A$28,0)),0)</f>
        <v>84.81</v>
      </c>
      <c r="T507" s="61" t="n">
        <f aca="false">IF(ISNUMBER(R507),R507,0)*S507</f>
        <v>212.025</v>
      </c>
      <c r="U507" s="61" t="n">
        <f aca="false">T507*INDEX(INPUTS!$H$10:$H$14,MATCH(B507,INPUTS!$A$10:$A$14,0))</f>
        <v>39.224625</v>
      </c>
      <c r="V507" s="61" t="n">
        <f aca="false">N(STACK!K507)</f>
        <v>1720</v>
      </c>
      <c r="W507" s="61" t="n">
        <f aca="false">T507+U507+V507</f>
        <v>1971.249625</v>
      </c>
      <c r="X507" s="61" t="n">
        <f aca="false">N(STACK!L507)</f>
        <v>1550</v>
      </c>
      <c r="Y507" s="61" t="n">
        <f aca="false">W507-X507</f>
        <v>421.249625</v>
      </c>
      <c r="Z507" s="1" t="n">
        <f aca="false">N(STACK!J507)</f>
        <v>43</v>
      </c>
      <c r="AA507" s="1" t="str">
        <f aca="false">TRIM(IF(D507="UNMAPPED","Program not mapped. ","")&amp;IF(OR(K507="UNMAPPED",K507="UNASSIGNED"),"Category needs review. ","")&amp;IF(P507="UNMAPPED","Title not mapped. ","")&amp;IF(AND(P507&lt;&gt;"No staff time",R507=""),"Missing hours. ","")&amp;IF(M507="","Date not readable. ","")&amp;IF(N507="No","Outside fiscal year. ","")&amp;IF(AND(F507="Event",ISNUMBER(R507)),IF(R507&gt;12,"Event hours look high. ",""),"")&amp;IF(G507&gt;0,"See CONFIRM sheet.",""))</f>
        <v/>
      </c>
      <c r="AB507" s="1" t="n">
        <f aca="false">IF(N507="No",0,IF(REVIEW!O507=0,0,IF(G507&gt;0,IF(INDEX(CONFIRM!$J$5:$J$53,G507)&lt;&gt;"",INDEX(CONFIRM!$J$5:$J$53,G507),1),1)))</f>
        <v>1</v>
      </c>
      <c r="AC507" s="1" t="n">
        <f aca="false">IF(AB507=1,IF(COUNTIFS($B$5:B507,B507,$D$5:D507,D507,$AB$5:AB507,1)=1,1,0),0)</f>
        <v>0</v>
      </c>
    </row>
    <row r="508" customFormat="false" ht="15" hidden="false" customHeight="false" outlineLevel="0" collapsed="false">
      <c r="A508" s="48" t="str">
        <f aca="false">STACK!A508</f>
        <v>KVMC-0504</v>
      </c>
      <c r="B508" s="48" t="str">
        <f aca="false">STACK!B508</f>
        <v>KVMC</v>
      </c>
      <c r="C508" s="48" t="str">
        <f aca="false">STACK!E508</f>
        <v>Naloxone Training and Distribution</v>
      </c>
      <c r="D508" s="1" t="str">
        <f aca="false">IFERROR(INDEX(MAP!$J$7:$J$101,MATCH(TRIM(C508),MAP!$I$7:$I$101,0)),"UNMAPPED")</f>
        <v>Naloxone Training and Distribution</v>
      </c>
      <c r="E508" s="1" t="str">
        <f aca="false">IFERROR(INDEX(MAP!$K$7:$K$101,MATCH(TRIM(C508),MAP!$I$7:$I$101,0)),"")</f>
        <v>Behavioral health</v>
      </c>
      <c r="F508" s="1" t="str">
        <f aca="false">IFERROR(INDEX(MAP!$L$7:$L$101,MATCH(TRIM(C508),MAP!$I$7:$I$101,0)),"")</f>
        <v>Event</v>
      </c>
      <c r="G508" s="1" t="n">
        <f aca="false">IFERROR(MATCH(A508,CONFIRM!$A$5:$A$53,0),0)</f>
        <v>0</v>
      </c>
      <c r="H508" s="48" t="str">
        <f aca="false">STACK!F508</f>
        <v>Community Health Education</v>
      </c>
      <c r="I508" s="1" t="str">
        <f aca="false">IF(G508&gt;0,IF(INDEX(CONFIRM!$I$5:$I$53,G508)&lt;&gt;"",INDEX(CONFIRM!$I$5:$I$53,G508),H508),H508)</f>
        <v>Community Health Education</v>
      </c>
      <c r="J508" s="1" t="str">
        <f aca="false">IFERROR(INDEX(MAP!$F$7:$F$74,MATCH(TRIM(I508),MAP!$E$7:$E$74,0)),"UNMAPPED")</f>
        <v>Community health education</v>
      </c>
      <c r="K508" s="1" t="str">
        <f aca="false">IFERROR(INDEX(MAP!$G$7:$G$74,MATCH(TRIM(I508),MAP!$E$7:$E$74,0)),"UNMAPPED")</f>
        <v>7e</v>
      </c>
      <c r="L508" s="49" t="n">
        <f aca="false">STACK!G508</f>
        <v>46202</v>
      </c>
      <c r="M508" s="59" t="n">
        <f aca="false">IF(G508&gt;0,IF(INDEX(CONFIRM!$G$5:$G$53,G508)&lt;&gt;"",INDEX(CONFIRM!$G$5:$G$53,G508),IF(ISNUMBER(L508),L508,IFERROR(DATEVALUE(L508),""))),IF(ISNUMBER(L508),L508,IFERROR(DATEVALUE(L508),"")))</f>
        <v>46202</v>
      </c>
      <c r="N508" s="1" t="str">
        <f aca="false">IF(M508="","Check",IF(AND(M508&gt;=INPUTS!$C$6,M508&lt;=INPUTS!$C$7),"Yes","No"))</f>
        <v>Yes</v>
      </c>
      <c r="O508" s="48" t="str">
        <f aca="false">STACK!H508</f>
        <v>CHES</v>
      </c>
      <c r="P508" s="1" t="str">
        <f aca="false">IF(G508&gt;0,IF(INDEX(CONFIRM!$H$5:$H$53,G508)&lt;&gt;"",INDEX(CONFIRM!$H$5:$H$53,G508),IFERROR(INDEX(MAP!$B$7:$B$156,MATCH(TRIM(O508),MAP!$A$7:$A$156,0)),"UNMAPPED")),IFERROR(INDEX(MAP!$B$7:$B$156,MATCH(TRIM(O508),MAP!$A$7:$A$156,0)),"UNMAPPED"))</f>
        <v>Health Educator</v>
      </c>
      <c r="Q508" s="48" t="n">
        <f aca="false">STACK!I508</f>
        <v>3</v>
      </c>
      <c r="R508" s="60" t="n">
        <f aca="false">IF(G508&gt;0,IF(INDEX(CONFIRM!$F$5:$F$53,G508)&lt;&gt;"",INDEX(CONFIRM!$F$5:$F$53,G508),IF(ISNUMBER(Q508),Q508,IF(Q508="","",IFERROR(VALUE(TRIM(SUBSTITUTE(SUBSTITUTE(LOWER(Q508),"hrs",""),"hr",""))),"")))),IF(ISNUMBER(Q508),Q508,IF(Q508="","",IFERROR(VALUE(TRIM(SUBSTITUTE(SUBSTITUTE(LOWER(Q508),"hrs",""),"hr",""))),""))))</f>
        <v>3</v>
      </c>
      <c r="S508" s="57" t="n">
        <f aca="false">IFERROR(INDEX(RATES!$E$6:$E$28,MATCH(P508,RATES!$A$6:$A$28,0)),0)</f>
        <v>37.265</v>
      </c>
      <c r="T508" s="61" t="n">
        <f aca="false">IF(ISNUMBER(R508),R508,0)*S508</f>
        <v>111.795</v>
      </c>
      <c r="U508" s="61" t="n">
        <f aca="false">T508*INDEX(INPUTS!$H$10:$H$14,MATCH(B508,INPUTS!$A$10:$A$14,0))</f>
        <v>20.682075</v>
      </c>
      <c r="V508" s="61" t="n">
        <f aca="false">N(STACK!K508)</f>
        <v>0</v>
      </c>
      <c r="W508" s="61" t="n">
        <f aca="false">T508+U508+V508</f>
        <v>132.477075</v>
      </c>
      <c r="X508" s="61" t="n">
        <f aca="false">N(STACK!L508)</f>
        <v>0</v>
      </c>
      <c r="Y508" s="61" t="n">
        <f aca="false">W508-X508</f>
        <v>132.477075</v>
      </c>
      <c r="Z508" s="1" t="n">
        <f aca="false">N(STACK!J508)</f>
        <v>0</v>
      </c>
      <c r="AA508" s="1" t="str">
        <f aca="false">TRIM(IF(D508="UNMAPPED","Program not mapped. ","")&amp;IF(OR(K508="UNMAPPED",K508="UNASSIGNED"),"Category needs review. ","")&amp;IF(P508="UNMAPPED","Title not mapped. ","")&amp;IF(AND(P508&lt;&gt;"No staff time",R508=""),"Missing hours. ","")&amp;IF(M508="","Date not readable. ","")&amp;IF(N508="No","Outside fiscal year. ","")&amp;IF(AND(F508="Event",ISNUMBER(R508)),IF(R508&gt;12,"Event hours look high. ",""),"")&amp;IF(G508&gt;0,"See CONFIRM sheet.",""))</f>
        <v/>
      </c>
      <c r="AB508" s="1" t="n">
        <f aca="false">IF(N508="No",0,IF(REVIEW!O508=0,0,IF(G508&gt;0,IF(INDEX(CONFIRM!$J$5:$J$53,G508)&lt;&gt;"",INDEX(CONFIRM!$J$5:$J$53,G508),1),1)))</f>
        <v>1</v>
      </c>
      <c r="AC508" s="1" t="n">
        <f aca="false">IF(AB508=1,IF(COUNTIFS($B$5:B508,B508,$D$5:D508,D508,$AB$5:AB508,1)=1,1,0),0)</f>
        <v>0</v>
      </c>
    </row>
    <row r="509" customFormat="false" ht="15" hidden="false" customHeight="false" outlineLevel="0" collapsed="false">
      <c r="A509" s="48" t="str">
        <f aca="false">STACK!A509</f>
        <v>KVMC-0505</v>
      </c>
      <c r="B509" s="48" t="str">
        <f aca="false">STACK!B509</f>
        <v>KVMC</v>
      </c>
      <c r="C509" s="48" t="str">
        <f aca="false">STACK!E509</f>
        <v>Naloxone Training and Distribution</v>
      </c>
      <c r="D509" s="1" t="str">
        <f aca="false">IFERROR(INDEX(MAP!$J$7:$J$101,MATCH(TRIM(C509),MAP!$I$7:$I$101,0)),"UNMAPPED")</f>
        <v>Naloxone Training and Distribution</v>
      </c>
      <c r="E509" s="1" t="str">
        <f aca="false">IFERROR(INDEX(MAP!$K$7:$K$101,MATCH(TRIM(C509),MAP!$I$7:$I$101,0)),"")</f>
        <v>Behavioral health</v>
      </c>
      <c r="F509" s="1" t="str">
        <f aca="false">IFERROR(INDEX(MAP!$L$7:$L$101,MATCH(TRIM(C509),MAP!$I$7:$I$101,0)),"")</f>
        <v>Event</v>
      </c>
      <c r="G509" s="1" t="n">
        <f aca="false">IFERROR(MATCH(A509,CONFIRM!$A$5:$A$53,0),0)</f>
        <v>0</v>
      </c>
      <c r="H509" s="48" t="str">
        <f aca="false">STACK!F509</f>
        <v>Community Health Education</v>
      </c>
      <c r="I509" s="1" t="str">
        <f aca="false">IF(G509&gt;0,IF(INDEX(CONFIRM!$I$5:$I$53,G509)&lt;&gt;"",INDEX(CONFIRM!$I$5:$I$53,G509),H509),H509)</f>
        <v>Community Health Education</v>
      </c>
      <c r="J509" s="1" t="str">
        <f aca="false">IFERROR(INDEX(MAP!$F$7:$F$74,MATCH(TRIM(I509),MAP!$E$7:$E$74,0)),"UNMAPPED")</f>
        <v>Community health education</v>
      </c>
      <c r="K509" s="1" t="str">
        <f aca="false">IFERROR(INDEX(MAP!$G$7:$G$74,MATCH(TRIM(I509),MAP!$E$7:$E$74,0)),"UNMAPPED")</f>
        <v>7e</v>
      </c>
      <c r="L509" s="49" t="n">
        <f aca="false">STACK!G509</f>
        <v>46202</v>
      </c>
      <c r="M509" s="59" t="n">
        <f aca="false">IF(G509&gt;0,IF(INDEX(CONFIRM!$G$5:$G$53,G509)&lt;&gt;"",INDEX(CONFIRM!$G$5:$G$53,G509),IF(ISNUMBER(L509),L509,IFERROR(DATEVALUE(L509),""))),IF(ISNUMBER(L509),L509,IFERROR(DATEVALUE(L509),"")))</f>
        <v>46202</v>
      </c>
      <c r="N509" s="1" t="str">
        <f aca="false">IF(M509="","Check",IF(AND(M509&gt;=INPUTS!$C$6,M509&lt;=INPUTS!$C$7),"Yes","No"))</f>
        <v>Yes</v>
      </c>
      <c r="O509" s="48" t="str">
        <f aca="false">STACK!H509</f>
        <v>pharmacist</v>
      </c>
      <c r="P509" s="1" t="str">
        <f aca="false">IF(G509&gt;0,IF(INDEX(CONFIRM!$H$5:$H$53,G509)&lt;&gt;"",INDEX(CONFIRM!$H$5:$H$53,G509),IFERROR(INDEX(MAP!$B$7:$B$156,MATCH(TRIM(O509),MAP!$A$7:$A$156,0)),"UNMAPPED")),IFERROR(INDEX(MAP!$B$7:$B$156,MATCH(TRIM(O509),MAP!$A$7:$A$156,0)),"UNMAPPED"))</f>
        <v>Pharmacist</v>
      </c>
      <c r="Q509" s="48" t="n">
        <f aca="false">STACK!I509</f>
        <v>2.5</v>
      </c>
      <c r="R509" s="60" t="n">
        <f aca="false">IF(G509&gt;0,IF(INDEX(CONFIRM!$F$5:$F$53,G509)&lt;&gt;"",INDEX(CONFIRM!$F$5:$F$53,G509),IF(ISNUMBER(Q509),Q509,IF(Q509="","",IFERROR(VALUE(TRIM(SUBSTITUTE(SUBSTITUTE(LOWER(Q509),"hrs",""),"hr",""))),"")))),IF(ISNUMBER(Q509),Q509,IF(Q509="","",IFERROR(VALUE(TRIM(SUBSTITUTE(SUBSTITUTE(LOWER(Q509),"hrs",""),"hr",""))),""))))</f>
        <v>2.5</v>
      </c>
      <c r="S509" s="57" t="n">
        <f aca="false">IFERROR(INDEX(RATES!$E$6:$E$28,MATCH(P509,RATES!$A$6:$A$28,0)),0)</f>
        <v>84.81</v>
      </c>
      <c r="T509" s="61" t="n">
        <f aca="false">IF(ISNUMBER(R509),R509,0)*S509</f>
        <v>212.025</v>
      </c>
      <c r="U509" s="61" t="n">
        <f aca="false">T509*INDEX(INPUTS!$H$10:$H$14,MATCH(B509,INPUTS!$A$10:$A$14,0))</f>
        <v>39.224625</v>
      </c>
      <c r="V509" s="61" t="n">
        <f aca="false">N(STACK!K509)</f>
        <v>2310</v>
      </c>
      <c r="W509" s="61" t="n">
        <f aca="false">T509+U509+V509</f>
        <v>2561.249625</v>
      </c>
      <c r="X509" s="61" t="n">
        <f aca="false">N(STACK!L509)</f>
        <v>695</v>
      </c>
      <c r="Y509" s="61" t="n">
        <f aca="false">W509-X509</f>
        <v>1866.249625</v>
      </c>
      <c r="Z509" s="1" t="n">
        <f aca="false">N(STACK!J509)</f>
        <v>49</v>
      </c>
      <c r="AA509" s="1" t="str">
        <f aca="false">TRIM(IF(D509="UNMAPPED","Program not mapped. ","")&amp;IF(OR(K509="UNMAPPED",K509="UNASSIGNED"),"Category needs review. ","")&amp;IF(P509="UNMAPPED","Title not mapped. ","")&amp;IF(AND(P509&lt;&gt;"No staff time",R509=""),"Missing hours. ","")&amp;IF(M509="","Date not readable. ","")&amp;IF(N509="No","Outside fiscal year. ","")&amp;IF(AND(F509="Event",ISNUMBER(R509)),IF(R509&gt;12,"Event hours look high. ",""),"")&amp;IF(G509&gt;0,"See CONFIRM sheet.",""))</f>
        <v/>
      </c>
      <c r="AB509" s="1" t="n">
        <f aca="false">IF(N509="No",0,IF(REVIEW!O509=0,0,IF(G509&gt;0,IF(INDEX(CONFIRM!$J$5:$J$53,G509)&lt;&gt;"",INDEX(CONFIRM!$J$5:$J$53,G509),1),1)))</f>
        <v>1</v>
      </c>
      <c r="AC509" s="1" t="n">
        <f aca="false">IF(AB509=1,IF(COUNTIFS($B$5:B509,B509,$D$5:D509,D509,$AB$5:AB509,1)=1,1,0),0)</f>
        <v>0</v>
      </c>
    </row>
    <row r="510" customFormat="false" ht="15" hidden="false" customHeight="false" outlineLevel="0" collapsed="false">
      <c r="A510" s="48" t="str">
        <f aca="false">STACK!A510</f>
        <v>KVMC-0506</v>
      </c>
      <c r="B510" s="48" t="str">
        <f aca="false">STACK!B510</f>
        <v>KVMC</v>
      </c>
      <c r="C510" s="48" t="str">
        <f aca="false">STACK!E510</f>
        <v>Mobile Health Screening Unit</v>
      </c>
      <c r="D510" s="1" t="str">
        <f aca="false">IFERROR(INDEX(MAP!$J$7:$J$101,MATCH(TRIM(C510),MAP!$I$7:$I$101,0)),"UNMAPPED")</f>
        <v>Mobile Health Screening Unit</v>
      </c>
      <c r="E510" s="1" t="str">
        <f aca="false">IFERROR(INDEX(MAP!$K$7:$K$101,MATCH(TRIM(C510),MAP!$I$7:$I$101,0)),"")</f>
        <v>Access to care</v>
      </c>
      <c r="F510" s="1" t="str">
        <f aca="false">IFERROR(INDEX(MAP!$L$7:$L$101,MATCH(TRIM(C510),MAP!$I$7:$I$101,0)),"")</f>
        <v>Monthly</v>
      </c>
      <c r="G510" s="1" t="n">
        <f aca="false">IFERROR(MATCH(A510,CONFIRM!$A$5:$A$53,0),0)</f>
        <v>0</v>
      </c>
      <c r="H510" s="48" t="str">
        <f aca="false">STACK!F510</f>
        <v>Community-Based Clinical Services</v>
      </c>
      <c r="I510" s="1" t="str">
        <f aca="false">IF(G510&gt;0,IF(INDEX(CONFIRM!$I$5:$I$53,G510)&lt;&gt;"",INDEX(CONFIRM!$I$5:$I$53,G510),H510),H510)</f>
        <v>Community-Based Clinical Services</v>
      </c>
      <c r="J510" s="1" t="str">
        <f aca="false">IFERROR(INDEX(MAP!$F$7:$F$74,MATCH(TRIM(I510),MAP!$E$7:$E$74,0)),"UNMAPPED")</f>
        <v>Community-based clinical services</v>
      </c>
      <c r="K510" s="1" t="str">
        <f aca="false">IFERROR(INDEX(MAP!$G$7:$G$74,MATCH(TRIM(I510),MAP!$E$7:$E$74,0)),"UNMAPPED")</f>
        <v>7e</v>
      </c>
      <c r="L510" s="49" t="n">
        <f aca="false">STACK!G510</f>
        <v>46203</v>
      </c>
      <c r="M510" s="59" t="n">
        <f aca="false">IF(G510&gt;0,IF(INDEX(CONFIRM!$G$5:$G$53,G510)&lt;&gt;"",INDEX(CONFIRM!$G$5:$G$53,G510),IF(ISNUMBER(L510),L510,IFERROR(DATEVALUE(L510),""))),IF(ISNUMBER(L510),L510,IFERROR(DATEVALUE(L510),"")))</f>
        <v>46203</v>
      </c>
      <c r="N510" s="1" t="str">
        <f aca="false">IF(M510="","Check",IF(AND(M510&gt;=INPUTS!$C$6,M510&lt;=INPUTS!$C$7),"Yes","No"))</f>
        <v>Yes</v>
      </c>
      <c r="O510" s="48" t="str">
        <f aca="false">STACK!H510</f>
        <v>Comm Health Worker</v>
      </c>
      <c r="P510" s="1" t="str">
        <f aca="false">IF(G510&gt;0,IF(INDEX(CONFIRM!$H$5:$H$53,G510)&lt;&gt;"",INDEX(CONFIRM!$H$5:$H$53,G510),IFERROR(INDEX(MAP!$B$7:$B$156,MATCH(TRIM(O510),MAP!$A$7:$A$156,0)),"UNMAPPED")),IFERROR(INDEX(MAP!$B$7:$B$156,MATCH(TRIM(O510),MAP!$A$7:$A$156,0)),"UNMAPPED"))</f>
        <v>Community Health Worker</v>
      </c>
      <c r="Q510" s="48" t="n">
        <f aca="false">STACK!I510</f>
        <v>103.75</v>
      </c>
      <c r="R510" s="60" t="n">
        <f aca="false">IF(G510&gt;0,IF(INDEX(CONFIRM!$F$5:$F$53,G510)&lt;&gt;"",INDEX(CONFIRM!$F$5:$F$53,G510),IF(ISNUMBER(Q510),Q510,IF(Q510="","",IFERROR(VALUE(TRIM(SUBSTITUTE(SUBSTITUTE(LOWER(Q510),"hrs",""),"hr",""))),"")))),IF(ISNUMBER(Q510),Q510,IF(Q510="","",IFERROR(VALUE(TRIM(SUBSTITUTE(SUBSTITUTE(LOWER(Q510),"hrs",""),"hr",""))),""))))</f>
        <v>103.75</v>
      </c>
      <c r="S510" s="57" t="n">
        <f aca="false">IFERROR(INDEX(RATES!$E$6:$E$28,MATCH(P510,RATES!$A$6:$A$28,0)),0)</f>
        <v>27.6275</v>
      </c>
      <c r="T510" s="61" t="n">
        <f aca="false">IF(ISNUMBER(R510),R510,0)*S510</f>
        <v>2866.353125</v>
      </c>
      <c r="U510" s="61" t="n">
        <f aca="false">T510*INDEX(INPUTS!$H$10:$H$14,MATCH(B510,INPUTS!$A$10:$A$14,0))</f>
        <v>530.275328125</v>
      </c>
      <c r="V510" s="61" t="n">
        <f aca="false">N(STACK!K510)</f>
        <v>0</v>
      </c>
      <c r="W510" s="61" t="n">
        <f aca="false">T510+U510+V510</f>
        <v>3396.628453125</v>
      </c>
      <c r="X510" s="61" t="n">
        <f aca="false">N(STACK!L510)</f>
        <v>0</v>
      </c>
      <c r="Y510" s="61" t="n">
        <f aca="false">W510-X510</f>
        <v>3396.628453125</v>
      </c>
      <c r="Z510" s="1" t="n">
        <f aca="false">N(STACK!J510)</f>
        <v>0</v>
      </c>
      <c r="AA510" s="1" t="str">
        <f aca="false">TRIM(IF(D510="UNMAPPED","Program not mapped. ","")&amp;IF(OR(K510="UNMAPPED",K510="UNASSIGNED"),"Category needs review. ","")&amp;IF(P510="UNMAPPED","Title not mapped. ","")&amp;IF(AND(P510&lt;&gt;"No staff time",R510=""),"Missing hours. ","")&amp;IF(M510="","Date not readable. ","")&amp;IF(N510="No","Outside fiscal year. ","")&amp;IF(AND(F510="Event",ISNUMBER(R510)),IF(R510&gt;12,"Event hours look high. ",""),"")&amp;IF(G510&gt;0,"See CONFIRM sheet.",""))</f>
        <v/>
      </c>
      <c r="AB510" s="1" t="n">
        <f aca="false">IF(N510="No",0,IF(REVIEW!O510=0,0,IF(G510&gt;0,IF(INDEX(CONFIRM!$J$5:$J$53,G510)&lt;&gt;"",INDEX(CONFIRM!$J$5:$J$53,G510),1),1)))</f>
        <v>1</v>
      </c>
      <c r="AC510" s="1" t="n">
        <f aca="false">IF(AB510=1,IF(COUNTIFS($B$5:B510,B510,$D$5:D510,D510,$AB$5:AB510,1)=1,1,0),0)</f>
        <v>0</v>
      </c>
    </row>
    <row r="511" customFormat="false" ht="15" hidden="false" customHeight="false" outlineLevel="0" collapsed="false">
      <c r="A511" s="48" t="str">
        <f aca="false">STACK!A511</f>
        <v>KVMC-0507</v>
      </c>
      <c r="B511" s="48" t="str">
        <f aca="false">STACK!B511</f>
        <v>KVMC</v>
      </c>
      <c r="C511" s="48" t="str">
        <f aca="false">STACK!E511</f>
        <v>Mobile Health Screening Unit</v>
      </c>
      <c r="D511" s="1" t="str">
        <f aca="false">IFERROR(INDEX(MAP!$J$7:$J$101,MATCH(TRIM(C511),MAP!$I$7:$I$101,0)),"UNMAPPED")</f>
        <v>Mobile Health Screening Unit</v>
      </c>
      <c r="E511" s="1" t="str">
        <f aca="false">IFERROR(INDEX(MAP!$K$7:$K$101,MATCH(TRIM(C511),MAP!$I$7:$I$101,0)),"")</f>
        <v>Access to care</v>
      </c>
      <c r="F511" s="1" t="str">
        <f aca="false">IFERROR(INDEX(MAP!$L$7:$L$101,MATCH(TRIM(C511),MAP!$I$7:$I$101,0)),"")</f>
        <v>Monthly</v>
      </c>
      <c r="G511" s="1" t="n">
        <f aca="false">IFERROR(MATCH(A511,CONFIRM!$A$5:$A$53,0),0)</f>
        <v>0</v>
      </c>
      <c r="H511" s="48" t="str">
        <f aca="false">STACK!F511</f>
        <v>Community-Based Clinical Services</v>
      </c>
      <c r="I511" s="1" t="str">
        <f aca="false">IF(G511&gt;0,IF(INDEX(CONFIRM!$I$5:$I$53,G511)&lt;&gt;"",INDEX(CONFIRM!$I$5:$I$53,G511),H511),H511)</f>
        <v>Community-Based Clinical Services</v>
      </c>
      <c r="J511" s="1" t="str">
        <f aca="false">IFERROR(INDEX(MAP!$F$7:$F$74,MATCH(TRIM(I511),MAP!$E$7:$E$74,0)),"UNMAPPED")</f>
        <v>Community-based clinical services</v>
      </c>
      <c r="K511" s="1" t="str">
        <f aca="false">IFERROR(INDEX(MAP!$G$7:$G$74,MATCH(TRIM(I511),MAP!$E$7:$E$74,0)),"UNMAPPED")</f>
        <v>7e</v>
      </c>
      <c r="L511" s="49" t="n">
        <f aca="false">STACK!G511</f>
        <v>46203</v>
      </c>
      <c r="M511" s="59" t="n">
        <f aca="false">IF(G511&gt;0,IF(INDEX(CONFIRM!$G$5:$G$53,G511)&lt;&gt;"",INDEX(CONFIRM!$G$5:$G$53,G511),IF(ISNUMBER(L511),L511,IFERROR(DATEVALUE(L511),""))),IF(ISNUMBER(L511),L511,IFERROR(DATEVALUE(L511),"")))</f>
        <v>46203</v>
      </c>
      <c r="N511" s="1" t="str">
        <f aca="false">IF(M511="","Check",IF(AND(M511&gt;=INPUTS!$C$6,M511&lt;=INPUTS!$C$7),"Yes","No"))</f>
        <v>Yes</v>
      </c>
      <c r="O511" s="48" t="str">
        <f aca="false">STACK!H511</f>
        <v>MA</v>
      </c>
      <c r="P511" s="1" t="str">
        <f aca="false">IF(G511&gt;0,IF(INDEX(CONFIRM!$H$5:$H$53,G511)&lt;&gt;"",INDEX(CONFIRM!$H$5:$H$53,G511),IFERROR(INDEX(MAP!$B$7:$B$156,MATCH(TRIM(O511),MAP!$A$7:$A$156,0)),"UNMAPPED")),IFERROR(INDEX(MAP!$B$7:$B$156,MATCH(TRIM(O511),MAP!$A$7:$A$156,0)),"UNMAPPED"))</f>
        <v>Medical Assistant</v>
      </c>
      <c r="Q511" s="48" t="n">
        <f aca="false">STACK!I511</f>
        <v>113.25</v>
      </c>
      <c r="R511" s="60" t="n">
        <f aca="false">IF(G511&gt;0,IF(INDEX(CONFIRM!$F$5:$F$53,G511)&lt;&gt;"",INDEX(CONFIRM!$F$5:$F$53,G511),IF(ISNUMBER(Q511),Q511,IF(Q511="","",IFERROR(VALUE(TRIM(SUBSTITUTE(SUBSTITUTE(LOWER(Q511),"hrs",""),"hr",""))),"")))),IF(ISNUMBER(Q511),Q511,IF(Q511="","",IFERROR(VALUE(TRIM(SUBSTITUTE(SUBSTITUTE(LOWER(Q511),"hrs",""),"hr",""))),""))))</f>
        <v>113.25</v>
      </c>
      <c r="S511" s="57" t="n">
        <f aca="false">IFERROR(INDEX(RATES!$E$6:$E$28,MATCH(P511,RATES!$A$6:$A$28,0)),0)</f>
        <v>25.37875</v>
      </c>
      <c r="T511" s="61" t="n">
        <f aca="false">IF(ISNUMBER(R511),R511,0)*S511</f>
        <v>2874.1434375</v>
      </c>
      <c r="U511" s="61" t="n">
        <f aca="false">T511*INDEX(INPUTS!$H$10:$H$14,MATCH(B511,INPUTS!$A$10:$A$14,0))</f>
        <v>531.7165359375</v>
      </c>
      <c r="V511" s="61" t="n">
        <f aca="false">N(STACK!K511)</f>
        <v>0</v>
      </c>
      <c r="W511" s="61" t="n">
        <f aca="false">T511+U511+V511</f>
        <v>3405.8599734375</v>
      </c>
      <c r="X511" s="61" t="n">
        <f aca="false">N(STACK!L511)</f>
        <v>0</v>
      </c>
      <c r="Y511" s="61" t="n">
        <f aca="false">W511-X511</f>
        <v>3405.8599734375</v>
      </c>
      <c r="Z511" s="1" t="n">
        <f aca="false">N(STACK!J511)</f>
        <v>0</v>
      </c>
      <c r="AA511" s="1" t="str">
        <f aca="false">TRIM(IF(D511="UNMAPPED","Program not mapped. ","")&amp;IF(OR(K511="UNMAPPED",K511="UNASSIGNED"),"Category needs review. ","")&amp;IF(P511="UNMAPPED","Title not mapped. ","")&amp;IF(AND(P511&lt;&gt;"No staff time",R511=""),"Missing hours. ","")&amp;IF(M511="","Date not readable. ","")&amp;IF(N511="No","Outside fiscal year. ","")&amp;IF(AND(F511="Event",ISNUMBER(R511)),IF(R511&gt;12,"Event hours look high. ",""),"")&amp;IF(G511&gt;0,"See CONFIRM sheet.",""))</f>
        <v/>
      </c>
      <c r="AB511" s="1" t="n">
        <f aca="false">IF(N511="No",0,IF(REVIEW!O511=0,0,IF(G511&gt;0,IF(INDEX(CONFIRM!$J$5:$J$53,G511)&lt;&gt;"",INDEX(CONFIRM!$J$5:$J$53,G511),1),1)))</f>
        <v>1</v>
      </c>
      <c r="AC511" s="1" t="n">
        <f aca="false">IF(AB511=1,IF(COUNTIFS($B$5:B511,B511,$D$5:D511,D511,$AB$5:AB511,1)=1,1,0),0)</f>
        <v>0</v>
      </c>
    </row>
    <row r="512" customFormat="false" ht="15" hidden="false" customHeight="false" outlineLevel="0" collapsed="false">
      <c r="A512" s="48" t="str">
        <f aca="false">STACK!A512</f>
        <v>KVMC-0508</v>
      </c>
      <c r="B512" s="48" t="str">
        <f aca="false">STACK!B512</f>
        <v>KVMC</v>
      </c>
      <c r="C512" s="48" t="str">
        <f aca="false">STACK!E512</f>
        <v>Mobile Health Screening Unit</v>
      </c>
      <c r="D512" s="1" t="str">
        <f aca="false">IFERROR(INDEX(MAP!$J$7:$J$101,MATCH(TRIM(C512),MAP!$I$7:$I$101,0)),"UNMAPPED")</f>
        <v>Mobile Health Screening Unit</v>
      </c>
      <c r="E512" s="1" t="str">
        <f aca="false">IFERROR(INDEX(MAP!$K$7:$K$101,MATCH(TRIM(C512),MAP!$I$7:$I$101,0)),"")</f>
        <v>Access to care</v>
      </c>
      <c r="F512" s="1" t="str">
        <f aca="false">IFERROR(INDEX(MAP!$L$7:$L$101,MATCH(TRIM(C512),MAP!$I$7:$I$101,0)),"")</f>
        <v>Monthly</v>
      </c>
      <c r="G512" s="1" t="n">
        <f aca="false">IFERROR(MATCH(A512,CONFIRM!$A$5:$A$53,0),0)</f>
        <v>0</v>
      </c>
      <c r="H512" s="48" t="str">
        <f aca="false">STACK!F512</f>
        <v>Community-Based Clinical Services</v>
      </c>
      <c r="I512" s="1" t="str">
        <f aca="false">IF(G512&gt;0,IF(INDEX(CONFIRM!$I$5:$I$53,G512)&lt;&gt;"",INDEX(CONFIRM!$I$5:$I$53,G512),H512),H512)</f>
        <v>Community-Based Clinical Services</v>
      </c>
      <c r="J512" s="1" t="str">
        <f aca="false">IFERROR(INDEX(MAP!$F$7:$F$74,MATCH(TRIM(I512),MAP!$E$7:$E$74,0)),"UNMAPPED")</f>
        <v>Community-based clinical services</v>
      </c>
      <c r="K512" s="1" t="str">
        <f aca="false">IFERROR(INDEX(MAP!$G$7:$G$74,MATCH(TRIM(I512),MAP!$E$7:$E$74,0)),"UNMAPPED")</f>
        <v>7e</v>
      </c>
      <c r="L512" s="49" t="n">
        <f aca="false">STACK!G512</f>
        <v>46203</v>
      </c>
      <c r="M512" s="59" t="n">
        <f aca="false">IF(G512&gt;0,IF(INDEX(CONFIRM!$G$5:$G$53,G512)&lt;&gt;"",INDEX(CONFIRM!$G$5:$G$53,G512),IF(ISNUMBER(L512),L512,IFERROR(DATEVALUE(L512),""))),IF(ISNUMBER(L512),L512,IFERROR(DATEVALUE(L512),"")))</f>
        <v>46203</v>
      </c>
      <c r="N512" s="1" t="str">
        <f aca="false">IF(M512="","Check",IF(AND(M512&gt;=INPUTS!$C$6,M512&lt;=INPUTS!$C$7),"Yes","No"))</f>
        <v>Yes</v>
      </c>
      <c r="O512" s="48" t="str">
        <f aca="false">STACK!H512</f>
        <v>R.N.</v>
      </c>
      <c r="P512" s="1" t="str">
        <f aca="false">IF(G512&gt;0,IF(INDEX(CONFIRM!$H$5:$H$53,G512)&lt;&gt;"",INDEX(CONFIRM!$H$5:$H$53,G512),IFERROR(INDEX(MAP!$B$7:$B$156,MATCH(TRIM(O512),MAP!$A$7:$A$156,0)),"UNMAPPED")),IFERROR(INDEX(MAP!$B$7:$B$156,MATCH(TRIM(O512),MAP!$A$7:$A$156,0)),"UNMAPPED"))</f>
        <v>Registered Nurse</v>
      </c>
      <c r="Q512" s="48" t="n">
        <f aca="false">STACK!I512</f>
        <v>109</v>
      </c>
      <c r="R512" s="60" t="n">
        <f aca="false">IF(G512&gt;0,IF(INDEX(CONFIRM!$F$5:$F$53,G512)&lt;&gt;"",INDEX(CONFIRM!$F$5:$F$53,G512),IF(ISNUMBER(Q512),Q512,IF(Q512="","",IFERROR(VALUE(TRIM(SUBSTITUTE(SUBSTITUTE(LOWER(Q512),"hrs",""),"hr",""))),"")))),IF(ISNUMBER(Q512),Q512,IF(Q512="","",IFERROR(VALUE(TRIM(SUBSTITUTE(SUBSTITUTE(LOWER(Q512),"hrs",""),"hr",""))),""))))</f>
        <v>109</v>
      </c>
      <c r="S512" s="57" t="n">
        <f aca="false">IFERROR(INDEX(RATES!$E$6:$E$28,MATCH(P512,RATES!$A$6:$A$28,0)),0)</f>
        <v>55.8975</v>
      </c>
      <c r="T512" s="61" t="n">
        <f aca="false">IF(ISNUMBER(R512),R512,0)*S512</f>
        <v>6092.8275</v>
      </c>
      <c r="U512" s="61" t="n">
        <f aca="false">T512*INDEX(INPUTS!$H$10:$H$14,MATCH(B512,INPUTS!$A$10:$A$14,0))</f>
        <v>1127.1730875</v>
      </c>
      <c r="V512" s="61" t="n">
        <f aca="false">N(STACK!K512)</f>
        <v>8935</v>
      </c>
      <c r="W512" s="61" t="n">
        <f aca="false">T512+U512+V512</f>
        <v>16155.0005875</v>
      </c>
      <c r="X512" s="61" t="n">
        <f aca="false">N(STACK!L512)</f>
        <v>0</v>
      </c>
      <c r="Y512" s="61" t="n">
        <f aca="false">W512-X512</f>
        <v>16155.0005875</v>
      </c>
      <c r="Z512" s="1" t="n">
        <f aca="false">N(STACK!J512)</f>
        <v>334</v>
      </c>
      <c r="AA512" s="1" t="str">
        <f aca="false">TRIM(IF(D512="UNMAPPED","Program not mapped. ","")&amp;IF(OR(K512="UNMAPPED",K512="UNASSIGNED"),"Category needs review. ","")&amp;IF(P512="UNMAPPED","Title not mapped. ","")&amp;IF(AND(P512&lt;&gt;"No staff time",R512=""),"Missing hours. ","")&amp;IF(M512="","Date not readable. ","")&amp;IF(N512="No","Outside fiscal year. ","")&amp;IF(AND(F512="Event",ISNUMBER(R512)),IF(R512&gt;12,"Event hours look high. ",""),"")&amp;IF(G512&gt;0,"See CONFIRM sheet.",""))</f>
        <v/>
      </c>
      <c r="AB512" s="1" t="n">
        <f aca="false">IF(N512="No",0,IF(REVIEW!O512=0,0,IF(G512&gt;0,IF(INDEX(CONFIRM!$J$5:$J$53,G512)&lt;&gt;"",INDEX(CONFIRM!$J$5:$J$53,G512),1),1)))</f>
        <v>1</v>
      </c>
      <c r="AC512" s="1" t="n">
        <f aca="false">IF(AB512=1,IF(COUNTIFS($B$5:B512,B512,$D$5:D512,D512,$AB$5:AB512,1)=1,1,0),0)</f>
        <v>0</v>
      </c>
    </row>
    <row r="513" customFormat="false" ht="15" hidden="false" customHeight="false" outlineLevel="0" collapsed="false">
      <c r="A513" s="48" t="str">
        <f aca="false">STACK!A513</f>
        <v>KVMC-0509</v>
      </c>
      <c r="B513" s="48" t="str">
        <f aca="false">STACK!B513</f>
        <v>KVMC</v>
      </c>
      <c r="C513" s="48" t="str">
        <f aca="false">STACK!E513</f>
        <v>Free Clinic Provider Staffing</v>
      </c>
      <c r="D513" s="1" t="str">
        <f aca="false">IFERROR(INDEX(MAP!$J$7:$J$101,MATCH(TRIM(C513),MAP!$I$7:$I$101,0)),"UNMAPPED")</f>
        <v>Free Clinic Provider Staffing</v>
      </c>
      <c r="E513" s="1" t="str">
        <f aca="false">IFERROR(INDEX(MAP!$K$7:$K$101,MATCH(TRIM(C513),MAP!$I$7:$I$101,0)),"")</f>
        <v>Access to care</v>
      </c>
      <c r="F513" s="1" t="str">
        <f aca="false">IFERROR(INDEX(MAP!$L$7:$L$101,MATCH(TRIM(C513),MAP!$I$7:$I$101,0)),"")</f>
        <v>Monthly</v>
      </c>
      <c r="G513" s="1" t="n">
        <f aca="false">IFERROR(MATCH(A513,CONFIRM!$A$5:$A$53,0),0)</f>
        <v>0</v>
      </c>
      <c r="H513" s="48" t="str">
        <f aca="false">STACK!F513</f>
        <v>Community-Based Clinical Services</v>
      </c>
      <c r="I513" s="1" t="str">
        <f aca="false">IF(G513&gt;0,IF(INDEX(CONFIRM!$I$5:$I$53,G513)&lt;&gt;"",INDEX(CONFIRM!$I$5:$I$53,G513),H513),H513)</f>
        <v>Community-Based Clinical Services</v>
      </c>
      <c r="J513" s="1" t="str">
        <f aca="false">IFERROR(INDEX(MAP!$F$7:$F$74,MATCH(TRIM(I513),MAP!$E$7:$E$74,0)),"UNMAPPED")</f>
        <v>Community-based clinical services</v>
      </c>
      <c r="K513" s="1" t="str">
        <f aca="false">IFERROR(INDEX(MAP!$G$7:$G$74,MATCH(TRIM(I513),MAP!$E$7:$E$74,0)),"UNMAPPED")</f>
        <v>7e</v>
      </c>
      <c r="L513" s="49" t="n">
        <f aca="false">STACK!G513</f>
        <v>46203</v>
      </c>
      <c r="M513" s="59" t="n">
        <f aca="false">IF(G513&gt;0,IF(INDEX(CONFIRM!$G$5:$G$53,G513)&lt;&gt;"",INDEX(CONFIRM!$G$5:$G$53,G513),IF(ISNUMBER(L513),L513,IFERROR(DATEVALUE(L513),""))),IF(ISNUMBER(L513),L513,IFERROR(DATEVALUE(L513),"")))</f>
        <v>46203</v>
      </c>
      <c r="N513" s="1" t="str">
        <f aca="false">IF(M513="","Check",IF(AND(M513&gt;=INPUTS!$C$6,M513&lt;=INPUTS!$C$7),"Yes","No"))</f>
        <v>Yes</v>
      </c>
      <c r="O513" s="48" t="str">
        <f aca="false">STACK!H513</f>
        <v>APRN</v>
      </c>
      <c r="P513" s="1" t="str">
        <f aca="false">IF(G513&gt;0,IF(INDEX(CONFIRM!$H$5:$H$53,G513)&lt;&gt;"",INDEX(CONFIRM!$H$5:$H$53,G513),IFERROR(INDEX(MAP!$B$7:$B$156,MATCH(TRIM(O513),MAP!$A$7:$A$156,0)),"UNMAPPED")),IFERROR(INDEX(MAP!$B$7:$B$156,MATCH(TRIM(O513),MAP!$A$7:$A$156,0)),"UNMAPPED"))</f>
        <v>Nurse Practitioner</v>
      </c>
      <c r="Q513" s="48" t="n">
        <f aca="false">STACK!I513</f>
        <v>40</v>
      </c>
      <c r="R513" s="60" t="n">
        <f aca="false">IF(G513&gt;0,IF(INDEX(CONFIRM!$F$5:$F$53,G513)&lt;&gt;"",INDEX(CONFIRM!$F$5:$F$53,G513),IF(ISNUMBER(Q513),Q513,IF(Q513="","",IFERROR(VALUE(TRIM(SUBSTITUTE(SUBSTITUTE(LOWER(Q513),"hrs",""),"hr",""))),"")))),IF(ISNUMBER(Q513),Q513,IF(Q513="","",IFERROR(VALUE(TRIM(SUBSTITUTE(SUBSTITUTE(LOWER(Q513),"hrs",""),"hr",""))),""))))</f>
        <v>40</v>
      </c>
      <c r="S513" s="57" t="n">
        <f aca="false">IFERROR(INDEX(RATES!$E$6:$E$28,MATCH(P513,RATES!$A$6:$A$28,0)),0)</f>
        <v>79.67</v>
      </c>
      <c r="T513" s="61" t="n">
        <f aca="false">IF(ISNUMBER(R513),R513,0)*S513</f>
        <v>3186.8</v>
      </c>
      <c r="U513" s="61" t="n">
        <f aca="false">T513*INDEX(INPUTS!$H$10:$H$14,MATCH(B513,INPUTS!$A$10:$A$14,0))</f>
        <v>589.558</v>
      </c>
      <c r="V513" s="61" t="n">
        <f aca="false">N(STACK!K513)</f>
        <v>4610</v>
      </c>
      <c r="W513" s="61" t="n">
        <f aca="false">T513+U513+V513</f>
        <v>8386.358</v>
      </c>
      <c r="X513" s="61" t="n">
        <f aca="false">N(STACK!L513)</f>
        <v>0</v>
      </c>
      <c r="Y513" s="61" t="n">
        <f aca="false">W513-X513</f>
        <v>8386.358</v>
      </c>
      <c r="Z513" s="1" t="n">
        <f aca="false">N(STACK!J513)</f>
        <v>377</v>
      </c>
      <c r="AA513" s="1" t="str">
        <f aca="false">TRIM(IF(D513="UNMAPPED","Program not mapped. ","")&amp;IF(OR(K513="UNMAPPED",K513="UNASSIGNED"),"Category needs review. ","")&amp;IF(P513="UNMAPPED","Title not mapped. ","")&amp;IF(AND(P513&lt;&gt;"No staff time",R513=""),"Missing hours. ","")&amp;IF(M513="","Date not readable. ","")&amp;IF(N513="No","Outside fiscal year. ","")&amp;IF(AND(F513="Event",ISNUMBER(R513)),IF(R513&gt;12,"Event hours look high. ",""),"")&amp;IF(G513&gt;0,"See CONFIRM sheet.",""))</f>
        <v/>
      </c>
      <c r="AB513" s="1" t="n">
        <f aca="false">IF(N513="No",0,IF(REVIEW!O513=0,0,IF(G513&gt;0,IF(INDEX(CONFIRM!$J$5:$J$53,G513)&lt;&gt;"",INDEX(CONFIRM!$J$5:$J$53,G513),1),1)))</f>
        <v>1</v>
      </c>
      <c r="AC513" s="1" t="n">
        <f aca="false">IF(AB513=1,IF(COUNTIFS($B$5:B513,B513,$D$5:D513,D513,$AB$5:AB513,1)=1,1,0),0)</f>
        <v>0</v>
      </c>
    </row>
    <row r="514" customFormat="false" ht="15" hidden="false" customHeight="false" outlineLevel="0" collapsed="false">
      <c r="A514" s="48" t="str">
        <f aca="false">STACK!A514</f>
        <v>KVMC-0510</v>
      </c>
      <c r="B514" s="48" t="str">
        <f aca="false">STACK!B514</f>
        <v>KVMC</v>
      </c>
      <c r="C514" s="48" t="str">
        <f aca="false">STACK!E514</f>
        <v>Free Clinic Provider Staffing</v>
      </c>
      <c r="D514" s="1" t="str">
        <f aca="false">IFERROR(INDEX(MAP!$J$7:$J$101,MATCH(TRIM(C514),MAP!$I$7:$I$101,0)),"UNMAPPED")</f>
        <v>Free Clinic Provider Staffing</v>
      </c>
      <c r="E514" s="1" t="str">
        <f aca="false">IFERROR(INDEX(MAP!$K$7:$K$101,MATCH(TRIM(C514),MAP!$I$7:$I$101,0)),"")</f>
        <v>Access to care</v>
      </c>
      <c r="F514" s="1" t="str">
        <f aca="false">IFERROR(INDEX(MAP!$L$7:$L$101,MATCH(TRIM(C514),MAP!$I$7:$I$101,0)),"")</f>
        <v>Monthly</v>
      </c>
      <c r="G514" s="1" t="n">
        <f aca="false">IFERROR(MATCH(A514,CONFIRM!$A$5:$A$53,0),0)</f>
        <v>0</v>
      </c>
      <c r="H514" s="48" t="str">
        <f aca="false">STACK!F514</f>
        <v>Community-Based Clinical Services</v>
      </c>
      <c r="I514" s="1" t="str">
        <f aca="false">IF(G514&gt;0,IF(INDEX(CONFIRM!$I$5:$I$53,G514)&lt;&gt;"",INDEX(CONFIRM!$I$5:$I$53,G514),H514),H514)</f>
        <v>Community-Based Clinical Services</v>
      </c>
      <c r="J514" s="1" t="str">
        <f aca="false">IFERROR(INDEX(MAP!$F$7:$F$74,MATCH(TRIM(I514),MAP!$E$7:$E$74,0)),"UNMAPPED")</f>
        <v>Community-based clinical services</v>
      </c>
      <c r="K514" s="1" t="str">
        <f aca="false">IFERROR(INDEX(MAP!$G$7:$G$74,MATCH(TRIM(I514),MAP!$E$7:$E$74,0)),"UNMAPPED")</f>
        <v>7e</v>
      </c>
      <c r="L514" s="49" t="n">
        <f aca="false">STACK!G514</f>
        <v>46203</v>
      </c>
      <c r="M514" s="59" t="n">
        <f aca="false">IF(G514&gt;0,IF(INDEX(CONFIRM!$G$5:$G$53,G514)&lt;&gt;"",INDEX(CONFIRM!$G$5:$G$53,G514),IF(ISNUMBER(L514),L514,IFERROR(DATEVALUE(L514),""))),IF(ISNUMBER(L514),L514,IFERROR(DATEVALUE(L514),"")))</f>
        <v>46203</v>
      </c>
      <c r="N514" s="1" t="str">
        <f aca="false">IF(M514="","Check",IF(AND(M514&gt;=INPUTS!$C$6,M514&lt;=INPUTS!$C$7),"Yes","No"))</f>
        <v>Yes</v>
      </c>
      <c r="O514" s="48" t="str">
        <f aca="false">STACK!H514</f>
        <v>Pharmacist</v>
      </c>
      <c r="P514" s="1" t="str">
        <f aca="false">IF(G514&gt;0,IF(INDEX(CONFIRM!$H$5:$H$53,G514)&lt;&gt;"",INDEX(CONFIRM!$H$5:$H$53,G514),IFERROR(INDEX(MAP!$B$7:$B$156,MATCH(TRIM(O514),MAP!$A$7:$A$156,0)),"UNMAPPED")),IFERROR(INDEX(MAP!$B$7:$B$156,MATCH(TRIM(O514),MAP!$A$7:$A$156,0)),"UNMAPPED"))</f>
        <v>Pharmacist</v>
      </c>
      <c r="Q514" s="48" t="n">
        <f aca="false">STACK!I514</f>
        <v>16</v>
      </c>
      <c r="R514" s="60" t="n">
        <f aca="false">IF(G514&gt;0,IF(INDEX(CONFIRM!$F$5:$F$53,G514)&lt;&gt;"",INDEX(CONFIRM!$F$5:$F$53,G514),IF(ISNUMBER(Q514),Q514,IF(Q514="","",IFERROR(VALUE(TRIM(SUBSTITUTE(SUBSTITUTE(LOWER(Q514),"hrs",""),"hr",""))),"")))),IF(ISNUMBER(Q514),Q514,IF(Q514="","",IFERROR(VALUE(TRIM(SUBSTITUTE(SUBSTITUTE(LOWER(Q514),"hrs",""),"hr",""))),""))))</f>
        <v>16</v>
      </c>
      <c r="S514" s="57" t="n">
        <f aca="false">IFERROR(INDEX(RATES!$E$6:$E$28,MATCH(P514,RATES!$A$6:$A$28,0)),0)</f>
        <v>84.81</v>
      </c>
      <c r="T514" s="61" t="n">
        <f aca="false">IF(ISNUMBER(R514),R514,0)*S514</f>
        <v>1356.96</v>
      </c>
      <c r="U514" s="61" t="n">
        <f aca="false">T514*INDEX(INPUTS!$H$10:$H$14,MATCH(B514,INPUTS!$A$10:$A$14,0))</f>
        <v>251.0376</v>
      </c>
      <c r="V514" s="61" t="n">
        <f aca="false">N(STACK!K514)</f>
        <v>0</v>
      </c>
      <c r="W514" s="61" t="n">
        <f aca="false">T514+U514+V514</f>
        <v>1607.9976</v>
      </c>
      <c r="X514" s="61" t="n">
        <f aca="false">N(STACK!L514)</f>
        <v>0</v>
      </c>
      <c r="Y514" s="61" t="n">
        <f aca="false">W514-X514</f>
        <v>1607.9976</v>
      </c>
      <c r="Z514" s="1" t="n">
        <f aca="false">N(STACK!J514)</f>
        <v>0</v>
      </c>
      <c r="AA514" s="1" t="str">
        <f aca="false">TRIM(IF(D514="UNMAPPED","Program not mapped. ","")&amp;IF(OR(K514="UNMAPPED",K514="UNASSIGNED"),"Category needs review. ","")&amp;IF(P514="UNMAPPED","Title not mapped. ","")&amp;IF(AND(P514&lt;&gt;"No staff time",R514=""),"Missing hours. ","")&amp;IF(M514="","Date not readable. ","")&amp;IF(N514="No","Outside fiscal year. ","")&amp;IF(AND(F514="Event",ISNUMBER(R514)),IF(R514&gt;12,"Event hours look high. ",""),"")&amp;IF(G514&gt;0,"See CONFIRM sheet.",""))</f>
        <v/>
      </c>
      <c r="AB514" s="1" t="n">
        <f aca="false">IF(N514="No",0,IF(REVIEW!O514=0,0,IF(G514&gt;0,IF(INDEX(CONFIRM!$J$5:$J$53,G514)&lt;&gt;"",INDEX(CONFIRM!$J$5:$J$53,G514),1),1)))</f>
        <v>1</v>
      </c>
      <c r="AC514" s="1" t="n">
        <f aca="false">IF(AB514=1,IF(COUNTIFS($B$5:B514,B514,$D$5:D514,D514,$AB$5:AB514,1)=1,1,0),0)</f>
        <v>0</v>
      </c>
    </row>
    <row r="515" customFormat="false" ht="15" hidden="false" customHeight="false" outlineLevel="0" collapsed="false">
      <c r="A515" s="48" t="str">
        <f aca="false">STACK!A515</f>
        <v>KVMC-0511</v>
      </c>
      <c r="B515" s="48" t="str">
        <f aca="false">STACK!B515</f>
        <v>KVMC</v>
      </c>
      <c r="C515" s="48" t="str">
        <f aca="false">STACK!E515</f>
        <v>Free Clinic Provider Staffing</v>
      </c>
      <c r="D515" s="1" t="str">
        <f aca="false">IFERROR(INDEX(MAP!$J$7:$J$101,MATCH(TRIM(C515),MAP!$I$7:$I$101,0)),"UNMAPPED")</f>
        <v>Free Clinic Provider Staffing</v>
      </c>
      <c r="E515" s="1" t="str">
        <f aca="false">IFERROR(INDEX(MAP!$K$7:$K$101,MATCH(TRIM(C515),MAP!$I$7:$I$101,0)),"")</f>
        <v>Access to care</v>
      </c>
      <c r="F515" s="1" t="str">
        <f aca="false">IFERROR(INDEX(MAP!$L$7:$L$101,MATCH(TRIM(C515),MAP!$I$7:$I$101,0)),"")</f>
        <v>Monthly</v>
      </c>
      <c r="G515" s="1" t="n">
        <f aca="false">IFERROR(MATCH(A515,CONFIRM!$A$5:$A$53,0),0)</f>
        <v>0</v>
      </c>
      <c r="H515" s="48" t="str">
        <f aca="false">STACK!F515</f>
        <v>Community-Based Clinical Services</v>
      </c>
      <c r="I515" s="1" t="str">
        <f aca="false">IF(G515&gt;0,IF(INDEX(CONFIRM!$I$5:$I$53,G515)&lt;&gt;"",INDEX(CONFIRM!$I$5:$I$53,G515),H515),H515)</f>
        <v>Community-Based Clinical Services</v>
      </c>
      <c r="J515" s="1" t="str">
        <f aca="false">IFERROR(INDEX(MAP!$F$7:$F$74,MATCH(TRIM(I515),MAP!$E$7:$E$74,0)),"UNMAPPED")</f>
        <v>Community-based clinical services</v>
      </c>
      <c r="K515" s="1" t="str">
        <f aca="false">IFERROR(INDEX(MAP!$G$7:$G$74,MATCH(TRIM(I515),MAP!$E$7:$E$74,0)),"UNMAPPED")</f>
        <v>7e</v>
      </c>
      <c r="L515" s="49" t="n">
        <f aca="false">STACK!G515</f>
        <v>46203</v>
      </c>
      <c r="M515" s="59" t="n">
        <f aca="false">IF(G515&gt;0,IF(INDEX(CONFIRM!$G$5:$G$53,G515)&lt;&gt;"",INDEX(CONFIRM!$G$5:$G$53,G515),IF(ISNUMBER(L515),L515,IFERROR(DATEVALUE(L515),""))),IF(ISNUMBER(L515),L515,IFERROR(DATEVALUE(L515),"")))</f>
        <v>46203</v>
      </c>
      <c r="N515" s="1" t="str">
        <f aca="false">IF(M515="","Check",IF(AND(M515&gt;=INPUTS!$C$6,M515&lt;=INPUTS!$C$7),"Yes","No"))</f>
        <v>Yes</v>
      </c>
      <c r="O515" s="48" t="str">
        <f aca="false">STACK!H515</f>
        <v>Reg Nurse</v>
      </c>
      <c r="P515" s="1" t="str">
        <f aca="false">IF(G515&gt;0,IF(INDEX(CONFIRM!$H$5:$H$53,G515)&lt;&gt;"",INDEX(CONFIRM!$H$5:$H$53,G515),IFERROR(INDEX(MAP!$B$7:$B$156,MATCH(TRIM(O515),MAP!$A$7:$A$156,0)),"UNMAPPED")),IFERROR(INDEX(MAP!$B$7:$B$156,MATCH(TRIM(O515),MAP!$A$7:$A$156,0)),"UNMAPPED"))</f>
        <v>Registered Nurse</v>
      </c>
      <c r="Q515" s="48" t="n">
        <f aca="false">STACK!I515</f>
        <v>40</v>
      </c>
      <c r="R515" s="60" t="n">
        <f aca="false">IF(G515&gt;0,IF(INDEX(CONFIRM!$F$5:$F$53,G515)&lt;&gt;"",INDEX(CONFIRM!$F$5:$F$53,G515),IF(ISNUMBER(Q515),Q515,IF(Q515="","",IFERROR(VALUE(TRIM(SUBSTITUTE(SUBSTITUTE(LOWER(Q515),"hrs",""),"hr",""))),"")))),IF(ISNUMBER(Q515),Q515,IF(Q515="","",IFERROR(VALUE(TRIM(SUBSTITUTE(SUBSTITUTE(LOWER(Q515),"hrs",""),"hr",""))),""))))</f>
        <v>40</v>
      </c>
      <c r="S515" s="57" t="n">
        <f aca="false">IFERROR(INDEX(RATES!$E$6:$E$28,MATCH(P515,RATES!$A$6:$A$28,0)),0)</f>
        <v>55.8975</v>
      </c>
      <c r="T515" s="61" t="n">
        <f aca="false">IF(ISNUMBER(R515),R515,0)*S515</f>
        <v>2235.9</v>
      </c>
      <c r="U515" s="61" t="n">
        <f aca="false">T515*INDEX(INPUTS!$H$10:$H$14,MATCH(B515,INPUTS!$A$10:$A$14,0))</f>
        <v>413.6415</v>
      </c>
      <c r="V515" s="61" t="n">
        <f aca="false">N(STACK!K515)</f>
        <v>0</v>
      </c>
      <c r="W515" s="61" t="n">
        <f aca="false">T515+U515+V515</f>
        <v>2649.5415</v>
      </c>
      <c r="X515" s="61" t="n">
        <f aca="false">N(STACK!L515)</f>
        <v>0</v>
      </c>
      <c r="Y515" s="61" t="n">
        <f aca="false">W515-X515</f>
        <v>2649.5415</v>
      </c>
      <c r="Z515" s="1" t="n">
        <f aca="false">N(STACK!J515)</f>
        <v>0</v>
      </c>
      <c r="AA515" s="1" t="str">
        <f aca="false">TRIM(IF(D515="UNMAPPED","Program not mapped. ","")&amp;IF(OR(K515="UNMAPPED",K515="UNASSIGNED"),"Category needs review. ","")&amp;IF(P515="UNMAPPED","Title not mapped. ","")&amp;IF(AND(P515&lt;&gt;"No staff time",R515=""),"Missing hours. ","")&amp;IF(M515="","Date not readable. ","")&amp;IF(N515="No","Outside fiscal year. ","")&amp;IF(AND(F515="Event",ISNUMBER(R515)),IF(R515&gt;12,"Event hours look high. ",""),"")&amp;IF(G515&gt;0,"See CONFIRM sheet.",""))</f>
        <v/>
      </c>
      <c r="AB515" s="1" t="n">
        <f aca="false">IF(N515="No",0,IF(REVIEW!O515=0,0,IF(G515&gt;0,IF(INDEX(CONFIRM!$J$5:$J$53,G515)&lt;&gt;"",INDEX(CONFIRM!$J$5:$J$53,G515),1),1)))</f>
        <v>1</v>
      </c>
      <c r="AC515" s="1" t="n">
        <f aca="false">IF(AB515=1,IF(COUNTIFS($B$5:B515,B515,$D$5:D515,D515,$AB$5:AB515,1)=1,1,0),0)</f>
        <v>0</v>
      </c>
    </row>
    <row r="516" customFormat="false" ht="15" hidden="false" customHeight="false" outlineLevel="0" collapsed="false">
      <c r="A516" s="48" t="str">
        <f aca="false">STACK!A516</f>
        <v>KVMC-0512</v>
      </c>
      <c r="B516" s="48" t="str">
        <f aca="false">STACK!B516</f>
        <v>KVMC</v>
      </c>
      <c r="C516" s="48" t="str">
        <f aca="false">STACK!E516</f>
        <v>Community Health Worker Outreach</v>
      </c>
      <c r="D516" s="1" t="str">
        <f aca="false">IFERROR(INDEX(MAP!$J$7:$J$101,MATCH(TRIM(C516),MAP!$I$7:$I$101,0)),"UNMAPPED")</f>
        <v>Community Health Worker Outreach</v>
      </c>
      <c r="E516" s="1" t="str">
        <f aca="false">IFERROR(INDEX(MAP!$K$7:$K$101,MATCH(TRIM(C516),MAP!$I$7:$I$101,0)),"")</f>
        <v>Access to care</v>
      </c>
      <c r="F516" s="1" t="str">
        <f aca="false">IFERROR(INDEX(MAP!$L$7:$L$101,MATCH(TRIM(C516),MAP!$I$7:$I$101,0)),"")</f>
        <v>Monthly</v>
      </c>
      <c r="G516" s="1" t="n">
        <f aca="false">IFERROR(MATCH(A516,CONFIRM!$A$5:$A$53,0),0)</f>
        <v>0</v>
      </c>
      <c r="H516" s="48" t="str">
        <f aca="false">STACK!F516</f>
        <v>Health Care Support Services</v>
      </c>
      <c r="I516" s="1" t="str">
        <f aca="false">IF(G516&gt;0,IF(INDEX(CONFIRM!$I$5:$I$53,G516)&lt;&gt;"",INDEX(CONFIRM!$I$5:$I$53,G516),H516),H516)</f>
        <v>Health Care Support Services</v>
      </c>
      <c r="J516" s="1" t="str">
        <f aca="false">IFERROR(INDEX(MAP!$F$7:$F$74,MATCH(TRIM(I516),MAP!$E$7:$E$74,0)),"UNMAPPED")</f>
        <v>Health care support services</v>
      </c>
      <c r="K516" s="1" t="str">
        <f aca="false">IFERROR(INDEX(MAP!$G$7:$G$74,MATCH(TRIM(I516),MAP!$E$7:$E$74,0)),"UNMAPPED")</f>
        <v>7e</v>
      </c>
      <c r="L516" s="49" t="n">
        <f aca="false">STACK!G516</f>
        <v>46203</v>
      </c>
      <c r="M516" s="59" t="n">
        <f aca="false">IF(G516&gt;0,IF(INDEX(CONFIRM!$G$5:$G$53,G516)&lt;&gt;"",INDEX(CONFIRM!$G$5:$G$53,G516),IF(ISNUMBER(L516),L516,IFERROR(DATEVALUE(L516),""))),IF(ISNUMBER(L516),L516,IFERROR(DATEVALUE(L516),"")))</f>
        <v>46203</v>
      </c>
      <c r="N516" s="1" t="str">
        <f aca="false">IF(M516="","Check",IF(AND(M516&gt;=INPUTS!$C$6,M516&lt;=INPUTS!$C$7),"Yes","No"))</f>
        <v>Yes</v>
      </c>
      <c r="O516" s="48" t="str">
        <f aca="false">STACK!H516</f>
        <v>Outreach Worker</v>
      </c>
      <c r="P516" s="1" t="str">
        <f aca="false">IF(G516&gt;0,IF(INDEX(CONFIRM!$H$5:$H$53,G516)&lt;&gt;"",INDEX(CONFIRM!$H$5:$H$53,G516),IFERROR(INDEX(MAP!$B$7:$B$156,MATCH(TRIM(O516),MAP!$A$7:$A$156,0)),"UNMAPPED")),IFERROR(INDEX(MAP!$B$7:$B$156,MATCH(TRIM(O516),MAP!$A$7:$A$156,0)),"UNMAPPED"))</f>
        <v>Community Health Worker</v>
      </c>
      <c r="Q516" s="48" t="n">
        <f aca="false">STACK!I516</f>
        <v>435</v>
      </c>
      <c r="R516" s="60" t="n">
        <f aca="false">IF(G516&gt;0,IF(INDEX(CONFIRM!$F$5:$F$53,G516)&lt;&gt;"",INDEX(CONFIRM!$F$5:$F$53,G516),IF(ISNUMBER(Q516),Q516,IF(Q516="","",IFERROR(VALUE(TRIM(SUBSTITUTE(SUBSTITUTE(LOWER(Q516),"hrs",""),"hr",""))),"")))),IF(ISNUMBER(Q516),Q516,IF(Q516="","",IFERROR(VALUE(TRIM(SUBSTITUTE(SUBSTITUTE(LOWER(Q516),"hrs",""),"hr",""))),""))))</f>
        <v>435</v>
      </c>
      <c r="S516" s="57" t="n">
        <f aca="false">IFERROR(INDEX(RATES!$E$6:$E$28,MATCH(P516,RATES!$A$6:$A$28,0)),0)</f>
        <v>27.6275</v>
      </c>
      <c r="T516" s="61" t="n">
        <f aca="false">IF(ISNUMBER(R516),R516,0)*S516</f>
        <v>12017.9625</v>
      </c>
      <c r="U516" s="61" t="n">
        <f aca="false">T516*INDEX(INPUTS!$H$10:$H$14,MATCH(B516,INPUTS!$A$10:$A$14,0))</f>
        <v>2223.3230625</v>
      </c>
      <c r="V516" s="61" t="n">
        <f aca="false">N(STACK!K516)</f>
        <v>1480</v>
      </c>
      <c r="W516" s="61" t="n">
        <f aca="false">T516+U516+V516</f>
        <v>15721.2855625</v>
      </c>
      <c r="X516" s="61" t="n">
        <f aca="false">N(STACK!L516)</f>
        <v>0</v>
      </c>
      <c r="Y516" s="61" t="n">
        <f aca="false">W516-X516</f>
        <v>15721.2855625</v>
      </c>
      <c r="Z516" s="1" t="n">
        <f aca="false">N(STACK!J516)</f>
        <v>571</v>
      </c>
      <c r="AA516" s="1" t="str">
        <f aca="false">TRIM(IF(D516="UNMAPPED","Program not mapped. ","")&amp;IF(OR(K516="UNMAPPED",K516="UNASSIGNED"),"Category needs review. ","")&amp;IF(P516="UNMAPPED","Title not mapped. ","")&amp;IF(AND(P516&lt;&gt;"No staff time",R516=""),"Missing hours. ","")&amp;IF(M516="","Date not readable. ","")&amp;IF(N516="No","Outside fiscal year. ","")&amp;IF(AND(F516="Event",ISNUMBER(R516)),IF(R516&gt;12,"Event hours look high. ",""),"")&amp;IF(G516&gt;0,"See CONFIRM sheet.",""))</f>
        <v/>
      </c>
      <c r="AB516" s="1" t="n">
        <f aca="false">IF(N516="No",0,IF(REVIEW!O516=0,0,IF(G516&gt;0,IF(INDEX(CONFIRM!$J$5:$J$53,G516)&lt;&gt;"",INDEX(CONFIRM!$J$5:$J$53,G516),1),1)))</f>
        <v>1</v>
      </c>
      <c r="AC516" s="1" t="n">
        <f aca="false">IF(AB516=1,IF(COUNTIFS($B$5:B516,B516,$D$5:D516,D516,$AB$5:AB516,1)=1,1,0),0)</f>
        <v>0</v>
      </c>
    </row>
    <row r="517" customFormat="false" ht="15" hidden="false" customHeight="false" outlineLevel="0" collapsed="false">
      <c r="A517" s="48" t="str">
        <f aca="false">STACK!A517</f>
        <v>KVMC-0513</v>
      </c>
      <c r="B517" s="48" t="str">
        <f aca="false">STACK!B517</f>
        <v>KVMC</v>
      </c>
      <c r="C517" s="48" t="str">
        <f aca="false">STACK!E517</f>
        <v>Community Health Worker Outreach</v>
      </c>
      <c r="D517" s="1" t="str">
        <f aca="false">IFERROR(INDEX(MAP!$J$7:$J$101,MATCH(TRIM(C517),MAP!$I$7:$I$101,0)),"UNMAPPED")</f>
        <v>Community Health Worker Outreach</v>
      </c>
      <c r="E517" s="1" t="str">
        <f aca="false">IFERROR(INDEX(MAP!$K$7:$K$101,MATCH(TRIM(C517),MAP!$I$7:$I$101,0)),"")</f>
        <v>Access to care</v>
      </c>
      <c r="F517" s="1" t="str">
        <f aca="false">IFERROR(INDEX(MAP!$L$7:$L$101,MATCH(TRIM(C517),MAP!$I$7:$I$101,0)),"")</f>
        <v>Monthly</v>
      </c>
      <c r="G517" s="1" t="n">
        <f aca="false">IFERROR(MATCH(A517,CONFIRM!$A$5:$A$53,0),0)</f>
        <v>0</v>
      </c>
      <c r="H517" s="48" t="str">
        <f aca="false">STACK!F517</f>
        <v>Health Care Support Services</v>
      </c>
      <c r="I517" s="1" t="str">
        <f aca="false">IF(G517&gt;0,IF(INDEX(CONFIRM!$I$5:$I$53,G517)&lt;&gt;"",INDEX(CONFIRM!$I$5:$I$53,G517),H517),H517)</f>
        <v>Health Care Support Services</v>
      </c>
      <c r="J517" s="1" t="str">
        <f aca="false">IFERROR(INDEX(MAP!$F$7:$F$74,MATCH(TRIM(I517),MAP!$E$7:$E$74,0)),"UNMAPPED")</f>
        <v>Health care support services</v>
      </c>
      <c r="K517" s="1" t="str">
        <f aca="false">IFERROR(INDEX(MAP!$G$7:$G$74,MATCH(TRIM(I517),MAP!$E$7:$E$74,0)),"UNMAPPED")</f>
        <v>7e</v>
      </c>
      <c r="L517" s="49" t="n">
        <f aca="false">STACK!G517</f>
        <v>46203</v>
      </c>
      <c r="M517" s="59" t="n">
        <f aca="false">IF(G517&gt;0,IF(INDEX(CONFIRM!$G$5:$G$53,G517)&lt;&gt;"",INDEX(CONFIRM!$G$5:$G$53,G517),IF(ISNUMBER(L517),L517,IFERROR(DATEVALUE(L517),""))),IF(ISNUMBER(L517),L517,IFERROR(DATEVALUE(L517),"")))</f>
        <v>46203</v>
      </c>
      <c r="N517" s="1" t="str">
        <f aca="false">IF(M517="","Check",IF(AND(M517&gt;=INPUTS!$C$6,M517&lt;=INPUTS!$C$7),"Yes","No"))</f>
        <v>Yes</v>
      </c>
      <c r="O517" s="48" t="str">
        <f aca="false">STACK!H517</f>
        <v>Pt Navigator</v>
      </c>
      <c r="P517" s="1" t="str">
        <f aca="false">IF(G517&gt;0,IF(INDEX(CONFIRM!$H$5:$H$53,G517)&lt;&gt;"",INDEX(CONFIRM!$H$5:$H$53,G517),IFERROR(INDEX(MAP!$B$7:$B$156,MATCH(TRIM(O517),MAP!$A$7:$A$156,0)),"UNMAPPED")),IFERROR(INDEX(MAP!$B$7:$B$156,MATCH(TRIM(O517),MAP!$A$7:$A$156,0)),"UNMAPPED"))</f>
        <v>Patient Navigator</v>
      </c>
      <c r="Q517" s="48" t="n">
        <f aca="false">STACK!I517</f>
        <v>175.25</v>
      </c>
      <c r="R517" s="60" t="n">
        <f aca="false">IF(G517&gt;0,IF(INDEX(CONFIRM!$F$5:$F$53,G517)&lt;&gt;"",INDEX(CONFIRM!$F$5:$F$53,G517),IF(ISNUMBER(Q517),Q517,IF(Q517="","",IFERROR(VALUE(TRIM(SUBSTITUTE(SUBSTITUTE(LOWER(Q517),"hrs",""),"hr",""))),"")))),IF(ISNUMBER(Q517),Q517,IF(Q517="","",IFERROR(VALUE(TRIM(SUBSTITUTE(SUBSTITUTE(LOWER(Q517),"hrs",""),"hr",""))),""))))</f>
        <v>175.25</v>
      </c>
      <c r="S517" s="57" t="n">
        <f aca="false">IFERROR(INDEX(RATES!$E$6:$E$28,MATCH(P517,RATES!$A$6:$A$28,0)),0)</f>
        <v>30.84</v>
      </c>
      <c r="T517" s="61" t="n">
        <f aca="false">IF(ISNUMBER(R517),R517,0)*S517</f>
        <v>5404.71</v>
      </c>
      <c r="U517" s="61" t="n">
        <f aca="false">T517*INDEX(INPUTS!$H$10:$H$14,MATCH(B517,INPUTS!$A$10:$A$14,0))</f>
        <v>999.87135</v>
      </c>
      <c r="V517" s="61" t="n">
        <f aca="false">N(STACK!K517)</f>
        <v>0</v>
      </c>
      <c r="W517" s="61" t="n">
        <f aca="false">T517+U517+V517</f>
        <v>6404.58135</v>
      </c>
      <c r="X517" s="61" t="n">
        <f aca="false">N(STACK!L517)</f>
        <v>0</v>
      </c>
      <c r="Y517" s="61" t="n">
        <f aca="false">W517-X517</f>
        <v>6404.58135</v>
      </c>
      <c r="Z517" s="1" t="n">
        <f aca="false">N(STACK!J517)</f>
        <v>0</v>
      </c>
      <c r="AA517" s="1" t="str">
        <f aca="false">TRIM(IF(D517="UNMAPPED","Program not mapped. ","")&amp;IF(OR(K517="UNMAPPED",K517="UNASSIGNED"),"Category needs review. ","")&amp;IF(P517="UNMAPPED","Title not mapped. ","")&amp;IF(AND(P517&lt;&gt;"No staff time",R517=""),"Missing hours. ","")&amp;IF(M517="","Date not readable. ","")&amp;IF(N517="No","Outside fiscal year. ","")&amp;IF(AND(F517="Event",ISNUMBER(R517)),IF(R517&gt;12,"Event hours look high. ",""),"")&amp;IF(G517&gt;0,"See CONFIRM sheet.",""))</f>
        <v/>
      </c>
      <c r="AB517" s="1" t="n">
        <f aca="false">IF(N517="No",0,IF(REVIEW!O517=0,0,IF(G517&gt;0,IF(INDEX(CONFIRM!$J$5:$J$53,G517)&lt;&gt;"",INDEX(CONFIRM!$J$5:$J$53,G517),1),1)))</f>
        <v>1</v>
      </c>
      <c r="AC517" s="1" t="n">
        <f aca="false">IF(AB517=1,IF(COUNTIFS($B$5:B517,B517,$D$5:D517,D517,$AB$5:AB517,1)=1,1,0),0)</f>
        <v>0</v>
      </c>
    </row>
    <row r="518" customFormat="false" ht="15" hidden="false" customHeight="false" outlineLevel="0" collapsed="false">
      <c r="A518" s="48" t="str">
        <f aca="false">STACK!A518</f>
        <v>KVMC-0514</v>
      </c>
      <c r="B518" s="48" t="str">
        <f aca="false">STACK!B518</f>
        <v>KVMC</v>
      </c>
      <c r="C518" s="48" t="str">
        <f aca="false">STACK!E518</f>
        <v>Medication Assistance Program</v>
      </c>
      <c r="D518" s="1" t="str">
        <f aca="false">IFERROR(INDEX(MAP!$J$7:$J$101,MATCH(TRIM(C518),MAP!$I$7:$I$101,0)),"UNMAPPED")</f>
        <v>Medication Assistance Program</v>
      </c>
      <c r="E518" s="1" t="str">
        <f aca="false">IFERROR(INDEX(MAP!$K$7:$K$101,MATCH(TRIM(C518),MAP!$I$7:$I$101,0)),"")</f>
        <v>Access to care</v>
      </c>
      <c r="F518" s="1" t="str">
        <f aca="false">IFERROR(INDEX(MAP!$L$7:$L$101,MATCH(TRIM(C518),MAP!$I$7:$I$101,0)),"")</f>
        <v>Monthly</v>
      </c>
      <c r="G518" s="1" t="n">
        <f aca="false">IFERROR(MATCH(A518,CONFIRM!$A$5:$A$53,0),0)</f>
        <v>0</v>
      </c>
      <c r="H518" s="48" t="str">
        <f aca="false">STACK!F518</f>
        <v>Health Care Support Services</v>
      </c>
      <c r="I518" s="1" t="str">
        <f aca="false">IF(G518&gt;0,IF(INDEX(CONFIRM!$I$5:$I$53,G518)&lt;&gt;"",INDEX(CONFIRM!$I$5:$I$53,G518),H518),H518)</f>
        <v>Health Care Support Services</v>
      </c>
      <c r="J518" s="1" t="str">
        <f aca="false">IFERROR(INDEX(MAP!$F$7:$F$74,MATCH(TRIM(I518),MAP!$E$7:$E$74,0)),"UNMAPPED")</f>
        <v>Health care support services</v>
      </c>
      <c r="K518" s="1" t="str">
        <f aca="false">IFERROR(INDEX(MAP!$G$7:$G$74,MATCH(TRIM(I518),MAP!$E$7:$E$74,0)),"UNMAPPED")</f>
        <v>7e</v>
      </c>
      <c r="L518" s="49" t="n">
        <f aca="false">STACK!G518</f>
        <v>46203</v>
      </c>
      <c r="M518" s="59" t="n">
        <f aca="false">IF(G518&gt;0,IF(INDEX(CONFIRM!$G$5:$G$53,G518)&lt;&gt;"",INDEX(CONFIRM!$G$5:$G$53,G518),IF(ISNUMBER(L518),L518,IFERROR(DATEVALUE(L518),""))),IF(ISNUMBER(L518),L518,IFERROR(DATEVALUE(L518),"")))</f>
        <v>46203</v>
      </c>
      <c r="N518" s="1" t="str">
        <f aca="false">IF(M518="","Check",IF(AND(M518&gt;=INPUTS!$C$6,M518&lt;=INPUTS!$C$7),"Yes","No"))</f>
        <v>Yes</v>
      </c>
      <c r="O518" s="48" t="str">
        <f aca="false">STACK!H518</f>
        <v>Patient Navigator</v>
      </c>
      <c r="P518" s="1" t="str">
        <f aca="false">IF(G518&gt;0,IF(INDEX(CONFIRM!$H$5:$H$53,G518)&lt;&gt;"",INDEX(CONFIRM!$H$5:$H$53,G518),IFERROR(INDEX(MAP!$B$7:$B$156,MATCH(TRIM(O518),MAP!$A$7:$A$156,0)),"UNMAPPED")),IFERROR(INDEX(MAP!$B$7:$B$156,MATCH(TRIM(O518),MAP!$A$7:$A$156,0)),"UNMAPPED"))</f>
        <v>Patient Navigator</v>
      </c>
      <c r="Q518" s="48" t="n">
        <f aca="false">STACK!I518</f>
        <v>79</v>
      </c>
      <c r="R518" s="60" t="n">
        <f aca="false">IF(G518&gt;0,IF(INDEX(CONFIRM!$F$5:$F$53,G518)&lt;&gt;"",INDEX(CONFIRM!$F$5:$F$53,G518),IF(ISNUMBER(Q518),Q518,IF(Q518="","",IFERROR(VALUE(TRIM(SUBSTITUTE(SUBSTITUTE(LOWER(Q518),"hrs",""),"hr",""))),"")))),IF(ISNUMBER(Q518),Q518,IF(Q518="","",IFERROR(VALUE(TRIM(SUBSTITUTE(SUBSTITUTE(LOWER(Q518),"hrs",""),"hr",""))),""))))</f>
        <v>79</v>
      </c>
      <c r="S518" s="57" t="n">
        <f aca="false">IFERROR(INDEX(RATES!$E$6:$E$28,MATCH(P518,RATES!$A$6:$A$28,0)),0)</f>
        <v>30.84</v>
      </c>
      <c r="T518" s="61" t="n">
        <f aca="false">IF(ISNUMBER(R518),R518,0)*S518</f>
        <v>2436.36</v>
      </c>
      <c r="U518" s="61" t="n">
        <f aca="false">T518*INDEX(INPUTS!$H$10:$H$14,MATCH(B518,INPUTS!$A$10:$A$14,0))</f>
        <v>450.7266</v>
      </c>
      <c r="V518" s="61" t="n">
        <f aca="false">N(STACK!K518)</f>
        <v>0</v>
      </c>
      <c r="W518" s="61" t="n">
        <f aca="false">T518+U518+V518</f>
        <v>2887.0866</v>
      </c>
      <c r="X518" s="61" t="n">
        <f aca="false">N(STACK!L518)</f>
        <v>0</v>
      </c>
      <c r="Y518" s="61" t="n">
        <f aca="false">W518-X518</f>
        <v>2887.0866</v>
      </c>
      <c r="Z518" s="1" t="n">
        <f aca="false">N(STACK!J518)</f>
        <v>0</v>
      </c>
      <c r="AA518" s="1" t="str">
        <f aca="false">TRIM(IF(D518="UNMAPPED","Program not mapped. ","")&amp;IF(OR(K518="UNMAPPED",K518="UNASSIGNED"),"Category needs review. ","")&amp;IF(P518="UNMAPPED","Title not mapped. ","")&amp;IF(AND(P518&lt;&gt;"No staff time",R518=""),"Missing hours. ","")&amp;IF(M518="","Date not readable. ","")&amp;IF(N518="No","Outside fiscal year. ","")&amp;IF(AND(F518="Event",ISNUMBER(R518)),IF(R518&gt;12,"Event hours look high. ",""),"")&amp;IF(G518&gt;0,"See CONFIRM sheet.",""))</f>
        <v/>
      </c>
      <c r="AB518" s="1" t="n">
        <f aca="false">IF(N518="No",0,IF(REVIEW!O518=0,0,IF(G518&gt;0,IF(INDEX(CONFIRM!$J$5:$J$53,G518)&lt;&gt;"",INDEX(CONFIRM!$J$5:$J$53,G518),1),1)))</f>
        <v>1</v>
      </c>
      <c r="AC518" s="1" t="n">
        <f aca="false">IF(AB518=1,IF(COUNTIFS($B$5:B518,B518,$D$5:D518,D518,$AB$5:AB518,1)=1,1,0),0)</f>
        <v>0</v>
      </c>
    </row>
    <row r="519" customFormat="false" ht="15" hidden="false" customHeight="false" outlineLevel="0" collapsed="false">
      <c r="A519" s="48" t="str">
        <f aca="false">STACK!A519</f>
        <v>KVMC-0515</v>
      </c>
      <c r="B519" s="48" t="str">
        <f aca="false">STACK!B519</f>
        <v>KVMC</v>
      </c>
      <c r="C519" s="48" t="str">
        <f aca="false">STACK!E519</f>
        <v>Medication Assistance Program</v>
      </c>
      <c r="D519" s="1" t="str">
        <f aca="false">IFERROR(INDEX(MAP!$J$7:$J$101,MATCH(TRIM(C519),MAP!$I$7:$I$101,0)),"UNMAPPED")</f>
        <v>Medication Assistance Program</v>
      </c>
      <c r="E519" s="1" t="str">
        <f aca="false">IFERROR(INDEX(MAP!$K$7:$K$101,MATCH(TRIM(C519),MAP!$I$7:$I$101,0)),"")</f>
        <v>Access to care</v>
      </c>
      <c r="F519" s="1" t="str">
        <f aca="false">IFERROR(INDEX(MAP!$L$7:$L$101,MATCH(TRIM(C519),MAP!$I$7:$I$101,0)),"")</f>
        <v>Monthly</v>
      </c>
      <c r="G519" s="1" t="n">
        <f aca="false">IFERROR(MATCH(A519,CONFIRM!$A$5:$A$53,0),0)</f>
        <v>0</v>
      </c>
      <c r="H519" s="48" t="str">
        <f aca="false">STACK!F519</f>
        <v>Health Care Support Services</v>
      </c>
      <c r="I519" s="1" t="str">
        <f aca="false">IF(G519&gt;0,IF(INDEX(CONFIRM!$I$5:$I$53,G519)&lt;&gt;"",INDEX(CONFIRM!$I$5:$I$53,G519),H519),H519)</f>
        <v>Health Care Support Services</v>
      </c>
      <c r="J519" s="1" t="str">
        <f aca="false">IFERROR(INDEX(MAP!$F$7:$F$74,MATCH(TRIM(I519),MAP!$E$7:$E$74,0)),"UNMAPPED")</f>
        <v>Health care support services</v>
      </c>
      <c r="K519" s="1" t="str">
        <f aca="false">IFERROR(INDEX(MAP!$G$7:$G$74,MATCH(TRIM(I519),MAP!$E$7:$E$74,0)),"UNMAPPED")</f>
        <v>7e</v>
      </c>
      <c r="L519" s="49" t="n">
        <f aca="false">STACK!G519</f>
        <v>46203</v>
      </c>
      <c r="M519" s="59" t="n">
        <f aca="false">IF(G519&gt;0,IF(INDEX(CONFIRM!$G$5:$G$53,G519)&lt;&gt;"",INDEX(CONFIRM!$G$5:$G$53,G519),IF(ISNUMBER(L519),L519,IFERROR(DATEVALUE(L519),""))),IF(ISNUMBER(L519),L519,IFERROR(DATEVALUE(L519),"")))</f>
        <v>46203</v>
      </c>
      <c r="N519" s="1" t="str">
        <f aca="false">IF(M519="","Check",IF(AND(M519&gt;=INPUTS!$C$6,M519&lt;=INPUTS!$C$7),"Yes","No"))</f>
        <v>Yes</v>
      </c>
      <c r="O519" s="48" t="str">
        <f aca="false">STACK!H519</f>
        <v>Pharm.D.</v>
      </c>
      <c r="P519" s="1" t="str">
        <f aca="false">IF(G519&gt;0,IF(INDEX(CONFIRM!$H$5:$H$53,G519)&lt;&gt;"",INDEX(CONFIRM!$H$5:$H$53,G519),IFERROR(INDEX(MAP!$B$7:$B$156,MATCH(TRIM(O519),MAP!$A$7:$A$156,0)),"UNMAPPED")),IFERROR(INDEX(MAP!$B$7:$B$156,MATCH(TRIM(O519),MAP!$A$7:$A$156,0)),"UNMAPPED"))</f>
        <v>Pharmacist</v>
      </c>
      <c r="Q519" s="48" t="n">
        <f aca="false">STACK!I519</f>
        <v>27.25</v>
      </c>
      <c r="R519" s="60" t="n">
        <f aca="false">IF(G519&gt;0,IF(INDEX(CONFIRM!$F$5:$F$53,G519)&lt;&gt;"",INDEX(CONFIRM!$F$5:$F$53,G519),IF(ISNUMBER(Q519),Q519,IF(Q519="","",IFERROR(VALUE(TRIM(SUBSTITUTE(SUBSTITUTE(LOWER(Q519),"hrs",""),"hr",""))),"")))),IF(ISNUMBER(Q519),Q519,IF(Q519="","",IFERROR(VALUE(TRIM(SUBSTITUTE(SUBSTITUTE(LOWER(Q519),"hrs",""),"hr",""))),""))))</f>
        <v>27.25</v>
      </c>
      <c r="S519" s="57" t="n">
        <f aca="false">IFERROR(INDEX(RATES!$E$6:$E$28,MATCH(P519,RATES!$A$6:$A$28,0)),0)</f>
        <v>84.81</v>
      </c>
      <c r="T519" s="61" t="n">
        <f aca="false">IF(ISNUMBER(R519),R519,0)*S519</f>
        <v>2311.0725</v>
      </c>
      <c r="U519" s="61" t="n">
        <f aca="false">T519*INDEX(INPUTS!$H$10:$H$14,MATCH(B519,INPUTS!$A$10:$A$14,0))</f>
        <v>427.5484125</v>
      </c>
      <c r="V519" s="61" t="n">
        <f aca="false">N(STACK!K519)</f>
        <v>30345</v>
      </c>
      <c r="W519" s="61" t="n">
        <f aca="false">T519+U519+V519</f>
        <v>33083.6209125</v>
      </c>
      <c r="X519" s="61" t="n">
        <f aca="false">N(STACK!L519)</f>
        <v>0</v>
      </c>
      <c r="Y519" s="61" t="n">
        <f aca="false">W519-X519</f>
        <v>33083.6209125</v>
      </c>
      <c r="Z519" s="1" t="n">
        <f aca="false">N(STACK!J519)</f>
        <v>110</v>
      </c>
      <c r="AA519" s="1" t="str">
        <f aca="false">TRIM(IF(D519="UNMAPPED","Program not mapped. ","")&amp;IF(OR(K519="UNMAPPED",K519="UNASSIGNED"),"Category needs review. ","")&amp;IF(P519="UNMAPPED","Title not mapped. ","")&amp;IF(AND(P519&lt;&gt;"No staff time",R519=""),"Missing hours. ","")&amp;IF(M519="","Date not readable. ","")&amp;IF(N519="No","Outside fiscal year. ","")&amp;IF(AND(F519="Event",ISNUMBER(R519)),IF(R519&gt;12,"Event hours look high. ",""),"")&amp;IF(G519&gt;0,"See CONFIRM sheet.",""))</f>
        <v/>
      </c>
      <c r="AB519" s="1" t="n">
        <f aca="false">IF(N519="No",0,IF(REVIEW!O519=0,0,IF(G519&gt;0,IF(INDEX(CONFIRM!$J$5:$J$53,G519)&lt;&gt;"",INDEX(CONFIRM!$J$5:$J$53,G519),1),1)))</f>
        <v>1</v>
      </c>
      <c r="AC519" s="1" t="n">
        <f aca="false">IF(AB519=1,IF(COUNTIFS($B$5:B519,B519,$D$5:D519,D519,$AB$5:AB519,1)=1,1,0),0)</f>
        <v>0</v>
      </c>
    </row>
    <row r="520" customFormat="false" ht="15" hidden="false" customHeight="false" outlineLevel="0" collapsed="false">
      <c r="A520" s="48" t="str">
        <f aca="false">STACK!A520</f>
        <v>KVMC-0516</v>
      </c>
      <c r="B520" s="48" t="str">
        <f aca="false">STACK!B520</f>
        <v>KVMC</v>
      </c>
      <c r="C520" s="48" t="str">
        <f aca="false">STACK!E520</f>
        <v>Community Health Needs Assessment</v>
      </c>
      <c r="D520" s="1" t="str">
        <f aca="false">IFERROR(INDEX(MAP!$J$7:$J$101,MATCH(TRIM(C520),MAP!$I$7:$I$101,0)),"UNMAPPED")</f>
        <v>Community Health Needs Assessment</v>
      </c>
      <c r="E520" s="1" t="str">
        <f aca="false">IFERROR(INDEX(MAP!$K$7:$K$101,MATCH(TRIM(C520),MAP!$I$7:$I$101,0)),"")</f>
        <v>Community benefit infrastructure</v>
      </c>
      <c r="F520" s="1" t="str">
        <f aca="false">IFERROR(INDEX(MAP!$L$7:$L$101,MATCH(TRIM(C520),MAP!$I$7:$I$101,0)),"")</f>
        <v>Monthly</v>
      </c>
      <c r="G520" s="1" t="n">
        <f aca="false">IFERROR(MATCH(A520,CONFIRM!$A$5:$A$53,0),0)</f>
        <v>0</v>
      </c>
      <c r="H520" s="48" t="str">
        <f aca="false">STACK!F520</f>
        <v>CB Operations</v>
      </c>
      <c r="I520" s="1" t="str">
        <f aca="false">IF(G520&gt;0,IF(INDEX(CONFIRM!$I$5:$I$53,G520)&lt;&gt;"",INDEX(CONFIRM!$I$5:$I$53,G520),H520),H520)</f>
        <v>CB Operations</v>
      </c>
      <c r="J520" s="1" t="str">
        <f aca="false">IFERROR(INDEX(MAP!$F$7:$F$74,MATCH(TRIM(I520),MAP!$E$7:$E$74,0)),"UNMAPPED")</f>
        <v>Community benefit operations</v>
      </c>
      <c r="K520" s="1" t="str">
        <f aca="false">IFERROR(INDEX(MAP!$G$7:$G$74,MATCH(TRIM(I520),MAP!$E$7:$E$74,0)),"UNMAPPED")</f>
        <v>7e</v>
      </c>
      <c r="L520" s="49" t="n">
        <f aca="false">STACK!G520</f>
        <v>46203</v>
      </c>
      <c r="M520" s="59" t="n">
        <f aca="false">IF(G520&gt;0,IF(INDEX(CONFIRM!$G$5:$G$53,G520)&lt;&gt;"",INDEX(CONFIRM!$G$5:$G$53,G520),IF(ISNUMBER(L520),L520,IFERROR(DATEVALUE(L520),""))),IF(ISNUMBER(L520),L520,IFERROR(DATEVALUE(L520),"")))</f>
        <v>46203</v>
      </c>
      <c r="N520" s="1" t="str">
        <f aca="false">IF(M520="","Check",IF(AND(M520&gt;=INPUTS!$C$6,M520&lt;=INPUTS!$C$7),"Yes","No"))</f>
        <v>Yes</v>
      </c>
      <c r="O520" s="48" t="str">
        <f aca="false">STACK!H520</f>
        <v>Mgr, Community Benefit</v>
      </c>
      <c r="P520" s="1" t="str">
        <f aca="false">IF(G520&gt;0,IF(INDEX(CONFIRM!$H$5:$H$53,G520)&lt;&gt;"",INDEX(CONFIRM!$H$5:$H$53,G520),IFERROR(INDEX(MAP!$B$7:$B$156,MATCH(TRIM(O520),MAP!$A$7:$A$156,0)),"UNMAPPED")),IFERROR(INDEX(MAP!$B$7:$B$156,MATCH(TRIM(O520),MAP!$A$7:$A$156,0)),"UNMAPPED"))</f>
        <v>Community Benefit Manager</v>
      </c>
      <c r="Q520" s="48" t="n">
        <f aca="false">STACK!I520</f>
        <v>30.5</v>
      </c>
      <c r="R520" s="60" t="n">
        <f aca="false">IF(G520&gt;0,IF(INDEX(CONFIRM!$F$5:$F$53,G520)&lt;&gt;"",INDEX(CONFIRM!$F$5:$F$53,G520),IF(ISNUMBER(Q520),Q520,IF(Q520="","",IFERROR(VALUE(TRIM(SUBSTITUTE(SUBSTITUTE(LOWER(Q520),"hrs",""),"hr",""))),"")))),IF(ISNUMBER(Q520),Q520,IF(Q520="","",IFERROR(VALUE(TRIM(SUBSTITUTE(SUBSTITUTE(LOWER(Q520),"hrs",""),"hr",""))),""))))</f>
        <v>30.5</v>
      </c>
      <c r="S520" s="57" t="n">
        <f aca="false">IFERROR(INDEX(RATES!$E$6:$E$28,MATCH(P520,RATES!$A$6:$A$28,0)),0)</f>
        <v>59.11</v>
      </c>
      <c r="T520" s="61" t="n">
        <f aca="false">IF(ISNUMBER(R520),R520,0)*S520</f>
        <v>1802.855</v>
      </c>
      <c r="U520" s="61" t="n">
        <f aca="false">T520*INDEX(INPUTS!$H$10:$H$14,MATCH(B520,INPUTS!$A$10:$A$14,0))</f>
        <v>333.528175</v>
      </c>
      <c r="V520" s="61" t="n">
        <f aca="false">N(STACK!K520)</f>
        <v>2545</v>
      </c>
      <c r="W520" s="61" t="n">
        <f aca="false">T520+U520+V520</f>
        <v>4681.383175</v>
      </c>
      <c r="X520" s="61" t="n">
        <f aca="false">N(STACK!L520)</f>
        <v>0</v>
      </c>
      <c r="Y520" s="61" t="n">
        <f aca="false">W520-X520</f>
        <v>4681.383175</v>
      </c>
      <c r="Z520" s="1" t="n">
        <f aca="false">N(STACK!J520)</f>
        <v>0</v>
      </c>
      <c r="AA520" s="1" t="str">
        <f aca="false">TRIM(IF(D520="UNMAPPED","Program not mapped. ","")&amp;IF(OR(K520="UNMAPPED",K520="UNASSIGNED"),"Category needs review. ","")&amp;IF(P520="UNMAPPED","Title not mapped. ","")&amp;IF(AND(P520&lt;&gt;"No staff time",R520=""),"Missing hours. ","")&amp;IF(M520="","Date not readable. ","")&amp;IF(N520="No","Outside fiscal year. ","")&amp;IF(AND(F520="Event",ISNUMBER(R520)),IF(R520&gt;12,"Event hours look high. ",""),"")&amp;IF(G520&gt;0,"See CONFIRM sheet.",""))</f>
        <v/>
      </c>
      <c r="AB520" s="1" t="n">
        <f aca="false">IF(N520="No",0,IF(REVIEW!O520=0,0,IF(G520&gt;0,IF(INDEX(CONFIRM!$J$5:$J$53,G520)&lt;&gt;"",INDEX(CONFIRM!$J$5:$J$53,G520),1),1)))</f>
        <v>1</v>
      </c>
      <c r="AC520" s="1" t="n">
        <f aca="false">IF(AB520=1,IF(COUNTIFS($B$5:B520,B520,$D$5:D520,D520,$AB$5:AB520,1)=1,1,0),0)</f>
        <v>0</v>
      </c>
    </row>
    <row r="521" customFormat="false" ht="15" hidden="false" customHeight="false" outlineLevel="0" collapsed="false">
      <c r="A521" s="48" t="str">
        <f aca="false">STACK!A521</f>
        <v>KVMC-0517</v>
      </c>
      <c r="B521" s="48" t="str">
        <f aca="false">STACK!B521</f>
        <v>KVMC</v>
      </c>
      <c r="C521" s="48" t="str">
        <f aca="false">STACK!E521</f>
        <v>Community Health Needs Assessment</v>
      </c>
      <c r="D521" s="1" t="str">
        <f aca="false">IFERROR(INDEX(MAP!$J$7:$J$101,MATCH(TRIM(C521),MAP!$I$7:$I$101,0)),"UNMAPPED")</f>
        <v>Community Health Needs Assessment</v>
      </c>
      <c r="E521" s="1" t="str">
        <f aca="false">IFERROR(INDEX(MAP!$K$7:$K$101,MATCH(TRIM(C521),MAP!$I$7:$I$101,0)),"")</f>
        <v>Community benefit infrastructure</v>
      </c>
      <c r="F521" s="1" t="str">
        <f aca="false">IFERROR(INDEX(MAP!$L$7:$L$101,MATCH(TRIM(C521),MAP!$I$7:$I$101,0)),"")</f>
        <v>Monthly</v>
      </c>
      <c r="G521" s="1" t="n">
        <f aca="false">IFERROR(MATCH(A521,CONFIRM!$A$5:$A$53,0),0)</f>
        <v>0</v>
      </c>
      <c r="H521" s="48" t="str">
        <f aca="false">STACK!F521</f>
        <v>CB Operations</v>
      </c>
      <c r="I521" s="1" t="str">
        <f aca="false">IF(G521&gt;0,IF(INDEX(CONFIRM!$I$5:$I$53,G521)&lt;&gt;"",INDEX(CONFIRM!$I$5:$I$53,G521),H521),H521)</f>
        <v>CB Operations</v>
      </c>
      <c r="J521" s="1" t="str">
        <f aca="false">IFERROR(INDEX(MAP!$F$7:$F$74,MATCH(TRIM(I521),MAP!$E$7:$E$74,0)),"UNMAPPED")</f>
        <v>Community benefit operations</v>
      </c>
      <c r="K521" s="1" t="str">
        <f aca="false">IFERROR(INDEX(MAP!$G$7:$G$74,MATCH(TRIM(I521),MAP!$E$7:$E$74,0)),"UNMAPPED")</f>
        <v>7e</v>
      </c>
      <c r="L521" s="49" t="n">
        <f aca="false">STACK!G521</f>
        <v>46203</v>
      </c>
      <c r="M521" s="59" t="n">
        <f aca="false">IF(G521&gt;0,IF(INDEX(CONFIRM!$G$5:$G$53,G521)&lt;&gt;"",INDEX(CONFIRM!$G$5:$G$53,G521),IF(ISNUMBER(L521),L521,IFERROR(DATEVALUE(L521),""))),IF(ISNUMBER(L521),L521,IFERROR(DATEVALUE(L521),"")))</f>
        <v>46203</v>
      </c>
      <c r="N521" s="1" t="str">
        <f aca="false">IF(M521="","Check",IF(AND(M521&gt;=INPUTS!$C$6,M521&lt;=INPUTS!$C$7),"Yes","No"))</f>
        <v>Yes</v>
      </c>
      <c r="O521" s="48" t="str">
        <f aca="false">STACK!H521</f>
        <v>Data Analyst</v>
      </c>
      <c r="P521" s="1" t="str">
        <f aca="false">IF(G521&gt;0,IF(INDEX(CONFIRM!$H$5:$H$53,G521)&lt;&gt;"",INDEX(CONFIRM!$H$5:$H$53,G521),IFERROR(INDEX(MAP!$B$7:$B$156,MATCH(TRIM(O521),MAP!$A$7:$A$156,0)),"UNMAPPED")),IFERROR(INDEX(MAP!$B$7:$B$156,MATCH(TRIM(O521),MAP!$A$7:$A$156,0)),"UNMAPPED"))</f>
        <v>Data Analyst</v>
      </c>
      <c r="Q521" s="48" t="n">
        <f aca="false">STACK!I521</f>
        <v>21.5</v>
      </c>
      <c r="R521" s="60" t="n">
        <f aca="false">IF(G521&gt;0,IF(INDEX(CONFIRM!$F$5:$F$53,G521)&lt;&gt;"",INDEX(CONFIRM!$F$5:$F$53,G521),IF(ISNUMBER(Q521),Q521,IF(Q521="","",IFERROR(VALUE(TRIM(SUBSTITUTE(SUBSTITUTE(LOWER(Q521),"hrs",""),"hr",""))),"")))),IF(ISNUMBER(Q521),Q521,IF(Q521="","",IFERROR(VALUE(TRIM(SUBSTITUTE(SUBSTITUTE(LOWER(Q521),"hrs",""),"hr",""))),""))))</f>
        <v>21.5</v>
      </c>
      <c r="S521" s="57" t="n">
        <f aca="false">IFERROR(INDEX(RATES!$E$6:$E$28,MATCH(P521,RATES!$A$6:$A$28,0)),0)</f>
        <v>48.83</v>
      </c>
      <c r="T521" s="61" t="n">
        <f aca="false">IF(ISNUMBER(R521),R521,0)*S521</f>
        <v>1049.845</v>
      </c>
      <c r="U521" s="61" t="n">
        <f aca="false">T521*INDEX(INPUTS!$H$10:$H$14,MATCH(B521,INPUTS!$A$10:$A$14,0))</f>
        <v>194.221325</v>
      </c>
      <c r="V521" s="61" t="n">
        <f aca="false">N(STACK!K521)</f>
        <v>0</v>
      </c>
      <c r="W521" s="61" t="n">
        <f aca="false">T521+U521+V521</f>
        <v>1244.066325</v>
      </c>
      <c r="X521" s="61" t="n">
        <f aca="false">N(STACK!L521)</f>
        <v>0</v>
      </c>
      <c r="Y521" s="61" t="n">
        <f aca="false">W521-X521</f>
        <v>1244.066325</v>
      </c>
      <c r="Z521" s="1" t="n">
        <f aca="false">N(STACK!J521)</f>
        <v>0</v>
      </c>
      <c r="AA521" s="1" t="str">
        <f aca="false">TRIM(IF(D521="UNMAPPED","Program not mapped. ","")&amp;IF(OR(K521="UNMAPPED",K521="UNASSIGNED"),"Category needs review. ","")&amp;IF(P521="UNMAPPED","Title not mapped. ","")&amp;IF(AND(P521&lt;&gt;"No staff time",R521=""),"Missing hours. ","")&amp;IF(M521="","Date not readable. ","")&amp;IF(N521="No","Outside fiscal year. ","")&amp;IF(AND(F521="Event",ISNUMBER(R521)),IF(R521&gt;12,"Event hours look high. ",""),"")&amp;IF(G521&gt;0,"See CONFIRM sheet.",""))</f>
        <v/>
      </c>
      <c r="AB521" s="1" t="n">
        <f aca="false">IF(N521="No",0,IF(REVIEW!O521=0,0,IF(G521&gt;0,IF(INDEX(CONFIRM!$J$5:$J$53,G521)&lt;&gt;"",INDEX(CONFIRM!$J$5:$J$53,G521),1),1)))</f>
        <v>1</v>
      </c>
      <c r="AC521" s="1" t="n">
        <f aca="false">IF(AB521=1,IF(COUNTIFS($B$5:B521,B521,$D$5:D521,D521,$AB$5:AB521,1)=1,1,0),0)</f>
        <v>0</v>
      </c>
    </row>
    <row r="522" customFormat="false" ht="15" hidden="false" customHeight="false" outlineLevel="0" collapsed="false">
      <c r="A522" s="48" t="str">
        <f aca="false">STACK!A522</f>
        <v>KVMC-0518</v>
      </c>
      <c r="B522" s="48" t="str">
        <f aca="false">STACK!B522</f>
        <v>KVMC</v>
      </c>
      <c r="C522" s="48" t="str">
        <f aca="false">STACK!E522</f>
        <v>Community Benefit Program Administration</v>
      </c>
      <c r="D522" s="1" t="str">
        <f aca="false">IFERROR(INDEX(MAP!$J$7:$J$101,MATCH(TRIM(C522),MAP!$I$7:$I$101,0)),"UNMAPPED")</f>
        <v>Community Benefit Program Administration</v>
      </c>
      <c r="E522" s="1" t="str">
        <f aca="false">IFERROR(INDEX(MAP!$K$7:$K$101,MATCH(TRIM(C522),MAP!$I$7:$I$101,0)),"")</f>
        <v>Community benefit infrastructure</v>
      </c>
      <c r="F522" s="1" t="str">
        <f aca="false">IFERROR(INDEX(MAP!$L$7:$L$101,MATCH(TRIM(C522),MAP!$I$7:$I$101,0)),"")</f>
        <v>Monthly</v>
      </c>
      <c r="G522" s="1" t="n">
        <f aca="false">IFERROR(MATCH(A522,CONFIRM!$A$5:$A$53,0),0)</f>
        <v>0</v>
      </c>
      <c r="H522" s="48" t="str">
        <f aca="false">STACK!F522</f>
        <v>CB Operations</v>
      </c>
      <c r="I522" s="1" t="str">
        <f aca="false">IF(G522&gt;0,IF(INDEX(CONFIRM!$I$5:$I$53,G522)&lt;&gt;"",INDEX(CONFIRM!$I$5:$I$53,G522),H522),H522)</f>
        <v>CB Operations</v>
      </c>
      <c r="J522" s="1" t="str">
        <f aca="false">IFERROR(INDEX(MAP!$F$7:$F$74,MATCH(TRIM(I522),MAP!$E$7:$E$74,0)),"UNMAPPED")</f>
        <v>Community benefit operations</v>
      </c>
      <c r="K522" s="1" t="str">
        <f aca="false">IFERROR(INDEX(MAP!$G$7:$G$74,MATCH(TRIM(I522),MAP!$E$7:$E$74,0)),"UNMAPPED")</f>
        <v>7e</v>
      </c>
      <c r="L522" s="49" t="n">
        <f aca="false">STACK!G522</f>
        <v>46203</v>
      </c>
      <c r="M522" s="59" t="n">
        <f aca="false">IF(G522&gt;0,IF(INDEX(CONFIRM!$G$5:$G$53,G522)&lt;&gt;"",INDEX(CONFIRM!$G$5:$G$53,G522),IF(ISNUMBER(L522),L522,IFERROR(DATEVALUE(L522),""))),IF(ISNUMBER(L522),L522,IFERROR(DATEVALUE(L522),"")))</f>
        <v>46203</v>
      </c>
      <c r="N522" s="1" t="str">
        <f aca="false">IF(M522="","Check",IF(AND(M522&gt;=INPUTS!$C$6,M522&lt;=INPUTS!$C$7),"Yes","No"))</f>
        <v>Yes</v>
      </c>
      <c r="O522" s="48" t="str">
        <f aca="false">STACK!H522</f>
        <v>admin. assistant</v>
      </c>
      <c r="P522" s="1" t="str">
        <f aca="false">IF(G522&gt;0,IF(INDEX(CONFIRM!$H$5:$H$53,G522)&lt;&gt;"",INDEX(CONFIRM!$H$5:$H$53,G522),IFERROR(INDEX(MAP!$B$7:$B$156,MATCH(TRIM(O522),MAP!$A$7:$A$156,0)),"UNMAPPED")),IFERROR(INDEX(MAP!$B$7:$B$156,MATCH(TRIM(O522),MAP!$A$7:$A$156,0)),"UNMAPPED"))</f>
        <v>Administrative Assistant</v>
      </c>
      <c r="Q522" s="48" t="n">
        <f aca="false">STACK!I522</f>
        <v>55.25</v>
      </c>
      <c r="R522" s="60" t="n">
        <f aca="false">IF(G522&gt;0,IF(INDEX(CONFIRM!$F$5:$F$53,G522)&lt;&gt;"",INDEX(CONFIRM!$F$5:$F$53,G522),IF(ISNUMBER(Q522),Q522,IF(Q522="","",IFERROR(VALUE(TRIM(SUBSTITUTE(SUBSTITUTE(LOWER(Q522),"hrs",""),"hr",""))),"")))),IF(ISNUMBER(Q522),Q522,IF(Q522="","",IFERROR(VALUE(TRIM(SUBSTITUTE(SUBSTITUTE(LOWER(Q522),"hrs",""),"hr",""))),""))))</f>
        <v>55.25</v>
      </c>
      <c r="S522" s="57" t="n">
        <f aca="false">IFERROR(INDEX(RATES!$E$6:$E$28,MATCH(P522,RATES!$A$6:$A$28,0)),0)</f>
        <v>26.985</v>
      </c>
      <c r="T522" s="61" t="n">
        <f aca="false">IF(ISNUMBER(R522),R522,0)*S522</f>
        <v>1490.92125</v>
      </c>
      <c r="U522" s="61" t="n">
        <f aca="false">T522*INDEX(INPUTS!$H$10:$H$14,MATCH(B522,INPUTS!$A$10:$A$14,0))</f>
        <v>275.82043125</v>
      </c>
      <c r="V522" s="61" t="n">
        <f aca="false">N(STACK!K522)</f>
        <v>0</v>
      </c>
      <c r="W522" s="61" t="n">
        <f aca="false">T522+U522+V522</f>
        <v>1766.74168125</v>
      </c>
      <c r="X522" s="61" t="n">
        <f aca="false">N(STACK!L522)</f>
        <v>0</v>
      </c>
      <c r="Y522" s="61" t="n">
        <f aca="false">W522-X522</f>
        <v>1766.74168125</v>
      </c>
      <c r="Z522" s="1" t="n">
        <f aca="false">N(STACK!J522)</f>
        <v>0</v>
      </c>
      <c r="AA522" s="1" t="str">
        <f aca="false">TRIM(IF(D522="UNMAPPED","Program not mapped. ","")&amp;IF(OR(K522="UNMAPPED",K522="UNASSIGNED"),"Category needs review. ","")&amp;IF(P522="UNMAPPED","Title not mapped. ","")&amp;IF(AND(P522&lt;&gt;"No staff time",R522=""),"Missing hours. ","")&amp;IF(M522="","Date not readable. ","")&amp;IF(N522="No","Outside fiscal year. ","")&amp;IF(AND(F522="Event",ISNUMBER(R522)),IF(R522&gt;12,"Event hours look high. ",""),"")&amp;IF(G522&gt;0,"See CONFIRM sheet.",""))</f>
        <v/>
      </c>
      <c r="AB522" s="1" t="n">
        <f aca="false">IF(N522="No",0,IF(REVIEW!O522=0,0,IF(G522&gt;0,IF(INDEX(CONFIRM!$J$5:$J$53,G522)&lt;&gt;"",INDEX(CONFIRM!$J$5:$J$53,G522),1),1)))</f>
        <v>1</v>
      </c>
      <c r="AC522" s="1" t="n">
        <f aca="false">IF(AB522=1,IF(COUNTIFS($B$5:B522,B522,$D$5:D522,D522,$AB$5:AB522,1)=1,1,0),0)</f>
        <v>0</v>
      </c>
    </row>
    <row r="523" customFormat="false" ht="15" hidden="false" customHeight="false" outlineLevel="0" collapsed="false">
      <c r="A523" s="48" t="str">
        <f aca="false">STACK!A523</f>
        <v>KVMC-0519</v>
      </c>
      <c r="B523" s="48" t="str">
        <f aca="false">STACK!B523</f>
        <v>KVMC</v>
      </c>
      <c r="C523" s="48" t="str">
        <f aca="false">STACK!E523</f>
        <v>Community Benefit Program Administration</v>
      </c>
      <c r="D523" s="1" t="str">
        <f aca="false">IFERROR(INDEX(MAP!$J$7:$J$101,MATCH(TRIM(C523),MAP!$I$7:$I$101,0)),"UNMAPPED")</f>
        <v>Community Benefit Program Administration</v>
      </c>
      <c r="E523" s="1" t="str">
        <f aca="false">IFERROR(INDEX(MAP!$K$7:$K$101,MATCH(TRIM(C523),MAP!$I$7:$I$101,0)),"")</f>
        <v>Community benefit infrastructure</v>
      </c>
      <c r="F523" s="1" t="str">
        <f aca="false">IFERROR(INDEX(MAP!$L$7:$L$101,MATCH(TRIM(C523),MAP!$I$7:$I$101,0)),"")</f>
        <v>Monthly</v>
      </c>
      <c r="G523" s="1" t="n">
        <f aca="false">IFERROR(MATCH(A523,CONFIRM!$A$5:$A$53,0),0)</f>
        <v>0</v>
      </c>
      <c r="H523" s="48" t="str">
        <f aca="false">STACK!F523</f>
        <v>CB Operations</v>
      </c>
      <c r="I523" s="1" t="str">
        <f aca="false">IF(G523&gt;0,IF(INDEX(CONFIRM!$I$5:$I$53,G523)&lt;&gt;"",INDEX(CONFIRM!$I$5:$I$53,G523),H523),H523)</f>
        <v>CB Operations</v>
      </c>
      <c r="J523" s="1" t="str">
        <f aca="false">IFERROR(INDEX(MAP!$F$7:$F$74,MATCH(TRIM(I523),MAP!$E$7:$E$74,0)),"UNMAPPED")</f>
        <v>Community benefit operations</v>
      </c>
      <c r="K523" s="1" t="str">
        <f aca="false">IFERROR(INDEX(MAP!$G$7:$G$74,MATCH(TRIM(I523),MAP!$E$7:$E$74,0)),"UNMAPPED")</f>
        <v>7e</v>
      </c>
      <c r="L523" s="49" t="n">
        <f aca="false">STACK!G523</f>
        <v>46203</v>
      </c>
      <c r="M523" s="59" t="n">
        <f aca="false">IF(G523&gt;0,IF(INDEX(CONFIRM!$G$5:$G$53,G523)&lt;&gt;"",INDEX(CONFIRM!$G$5:$G$53,G523),IF(ISNUMBER(L523),L523,IFERROR(DATEVALUE(L523),""))),IF(ISNUMBER(L523),L523,IFERROR(DATEVALUE(L523),"")))</f>
        <v>46203</v>
      </c>
      <c r="N523" s="1" t="str">
        <f aca="false">IF(M523="","Check",IF(AND(M523&gt;=INPUTS!$C$6,M523&lt;=INPUTS!$C$7),"Yes","No"))</f>
        <v>Yes</v>
      </c>
      <c r="O523" s="48" t="str">
        <f aca="false">STACK!H523</f>
        <v>Community Benefit Mgr</v>
      </c>
      <c r="P523" s="1" t="str">
        <f aca="false">IF(G523&gt;0,IF(INDEX(CONFIRM!$H$5:$H$53,G523)&lt;&gt;"",INDEX(CONFIRM!$H$5:$H$53,G523),IFERROR(INDEX(MAP!$B$7:$B$156,MATCH(TRIM(O523),MAP!$A$7:$A$156,0)),"UNMAPPED")),IFERROR(INDEX(MAP!$B$7:$B$156,MATCH(TRIM(O523),MAP!$A$7:$A$156,0)),"UNMAPPED"))</f>
        <v>Community Benefit Manager</v>
      </c>
      <c r="Q523" s="48" t="n">
        <f aca="false">STACK!I523</f>
        <v>81.75</v>
      </c>
      <c r="R523" s="60" t="n">
        <f aca="false">IF(G523&gt;0,IF(INDEX(CONFIRM!$F$5:$F$53,G523)&lt;&gt;"",INDEX(CONFIRM!$F$5:$F$53,G523),IF(ISNUMBER(Q523),Q523,IF(Q523="","",IFERROR(VALUE(TRIM(SUBSTITUTE(SUBSTITUTE(LOWER(Q523),"hrs",""),"hr",""))),"")))),IF(ISNUMBER(Q523),Q523,IF(Q523="","",IFERROR(VALUE(TRIM(SUBSTITUTE(SUBSTITUTE(LOWER(Q523),"hrs",""),"hr",""))),""))))</f>
        <v>81.75</v>
      </c>
      <c r="S523" s="57" t="n">
        <f aca="false">IFERROR(INDEX(RATES!$E$6:$E$28,MATCH(P523,RATES!$A$6:$A$28,0)),0)</f>
        <v>59.11</v>
      </c>
      <c r="T523" s="61" t="n">
        <f aca="false">IF(ISNUMBER(R523),R523,0)*S523</f>
        <v>4832.2425</v>
      </c>
      <c r="U523" s="61" t="n">
        <f aca="false">T523*INDEX(INPUTS!$H$10:$H$14,MATCH(B523,INPUTS!$A$10:$A$14,0))</f>
        <v>893.9648625</v>
      </c>
      <c r="V523" s="61" t="n">
        <f aca="false">N(STACK!K523)</f>
        <v>470</v>
      </c>
      <c r="W523" s="61" t="n">
        <f aca="false">T523+U523+V523</f>
        <v>6196.2073625</v>
      </c>
      <c r="X523" s="61" t="n">
        <f aca="false">N(STACK!L523)</f>
        <v>0</v>
      </c>
      <c r="Y523" s="61" t="n">
        <f aca="false">W523-X523</f>
        <v>6196.2073625</v>
      </c>
      <c r="Z523" s="1" t="n">
        <f aca="false">N(STACK!J523)</f>
        <v>0</v>
      </c>
      <c r="AA523" s="1" t="str">
        <f aca="false">TRIM(IF(D523="UNMAPPED","Program not mapped. ","")&amp;IF(OR(K523="UNMAPPED",K523="UNASSIGNED"),"Category needs review. ","")&amp;IF(P523="UNMAPPED","Title not mapped. ","")&amp;IF(AND(P523&lt;&gt;"No staff time",R523=""),"Missing hours. ","")&amp;IF(M523="","Date not readable. ","")&amp;IF(N523="No","Outside fiscal year. ","")&amp;IF(AND(F523="Event",ISNUMBER(R523)),IF(R523&gt;12,"Event hours look high. ",""),"")&amp;IF(G523&gt;0,"See CONFIRM sheet.",""))</f>
        <v/>
      </c>
      <c r="AB523" s="1" t="n">
        <f aca="false">IF(N523="No",0,IF(REVIEW!O523=0,0,IF(G523&gt;0,IF(INDEX(CONFIRM!$J$5:$J$53,G523)&lt;&gt;"",INDEX(CONFIRM!$J$5:$J$53,G523),1),1)))</f>
        <v>1</v>
      </c>
      <c r="AC523" s="1" t="n">
        <f aca="false">IF(AB523=1,IF(COUNTIFS($B$5:B523,B523,$D$5:D523,D523,$AB$5:AB523,1)=1,1,0),0)</f>
        <v>0</v>
      </c>
    </row>
    <row r="524" customFormat="false" ht="15" hidden="false" customHeight="false" outlineLevel="0" collapsed="false">
      <c r="A524" s="48" t="str">
        <f aca="false">STACK!A524</f>
        <v>KVMC-0520</v>
      </c>
      <c r="B524" s="48" t="str">
        <f aca="false">STACK!B524</f>
        <v>KVMC</v>
      </c>
      <c r="C524" s="48" t="str">
        <f aca="false">STACK!E524</f>
        <v>Interpreter Services for Community Clinics</v>
      </c>
      <c r="D524" s="1" t="str">
        <f aca="false">IFERROR(INDEX(MAP!$J$7:$J$101,MATCH(TRIM(C524),MAP!$I$7:$I$101,0)),"UNMAPPED")</f>
        <v>Interpreter Services for Community Clinics</v>
      </c>
      <c r="E524" s="1" t="str">
        <f aca="false">IFERROR(INDEX(MAP!$K$7:$K$101,MATCH(TRIM(C524),MAP!$I$7:$I$101,0)),"")</f>
        <v>Access to care</v>
      </c>
      <c r="F524" s="1" t="str">
        <f aca="false">IFERROR(INDEX(MAP!$L$7:$L$101,MATCH(TRIM(C524),MAP!$I$7:$I$101,0)),"")</f>
        <v>Monthly</v>
      </c>
      <c r="G524" s="1" t="n">
        <f aca="false">IFERROR(MATCH(A524,CONFIRM!$A$5:$A$53,0),0)</f>
        <v>0</v>
      </c>
      <c r="H524" s="48" t="str">
        <f aca="false">STACK!F524</f>
        <v>Health Care Support Services</v>
      </c>
      <c r="I524" s="1" t="str">
        <f aca="false">IF(G524&gt;0,IF(INDEX(CONFIRM!$I$5:$I$53,G524)&lt;&gt;"",INDEX(CONFIRM!$I$5:$I$53,G524),H524),H524)</f>
        <v>Health Care Support Services</v>
      </c>
      <c r="J524" s="1" t="str">
        <f aca="false">IFERROR(INDEX(MAP!$F$7:$F$74,MATCH(TRIM(I524),MAP!$E$7:$E$74,0)),"UNMAPPED")</f>
        <v>Health care support services</v>
      </c>
      <c r="K524" s="1" t="str">
        <f aca="false">IFERROR(INDEX(MAP!$G$7:$G$74,MATCH(TRIM(I524),MAP!$E$7:$E$74,0)),"UNMAPPED")</f>
        <v>7e</v>
      </c>
      <c r="L524" s="49" t="n">
        <f aca="false">STACK!G524</f>
        <v>46203</v>
      </c>
      <c r="M524" s="59" t="n">
        <f aca="false">IF(G524&gt;0,IF(INDEX(CONFIRM!$G$5:$G$53,G524)&lt;&gt;"",INDEX(CONFIRM!$G$5:$G$53,G524),IF(ISNUMBER(L524),L524,IFERROR(DATEVALUE(L524),""))),IF(ISNUMBER(L524),L524,IFERROR(DATEVALUE(L524),"")))</f>
        <v>46203</v>
      </c>
      <c r="N524" s="1" t="str">
        <f aca="false">IF(M524="","Check",IF(AND(M524&gt;=INPUTS!$C$6,M524&lt;=INPUTS!$C$7),"Yes","No"))</f>
        <v>Yes</v>
      </c>
      <c r="O524" s="48" t="str">
        <f aca="false">STACK!H524</f>
        <v>Interpreter</v>
      </c>
      <c r="P524" s="1" t="str">
        <f aca="false">IF(G524&gt;0,IF(INDEX(CONFIRM!$H$5:$H$53,G524)&lt;&gt;"",INDEX(CONFIRM!$H$5:$H$53,G524),IFERROR(INDEX(MAP!$B$7:$B$156,MATCH(TRIM(O524),MAP!$A$7:$A$156,0)),"UNMAPPED")),IFERROR(INDEX(MAP!$B$7:$B$156,MATCH(TRIM(O524),MAP!$A$7:$A$156,0)),"UNMAPPED"))</f>
        <v>Interpreter</v>
      </c>
      <c r="Q524" s="48" t="n">
        <f aca="false">STACK!I524</f>
        <v>72</v>
      </c>
      <c r="R524" s="60" t="n">
        <f aca="false">IF(G524&gt;0,IF(INDEX(CONFIRM!$F$5:$F$53,G524)&lt;&gt;"",INDEX(CONFIRM!$F$5:$F$53,G524),IF(ISNUMBER(Q524),Q524,IF(Q524="","",IFERROR(VALUE(TRIM(SUBSTITUTE(SUBSTITUTE(LOWER(Q524),"hrs",""),"hr",""))),"")))),IF(ISNUMBER(Q524),Q524,IF(Q524="","",IFERROR(VALUE(TRIM(SUBSTITUTE(SUBSTITUTE(LOWER(Q524),"hrs",""),"hr",""))),""))))</f>
        <v>72</v>
      </c>
      <c r="S524" s="57" t="n">
        <f aca="false">IFERROR(INDEX(RATES!$E$6:$E$28,MATCH(P524,RATES!$A$6:$A$28,0)),0)</f>
        <v>32.7675</v>
      </c>
      <c r="T524" s="61" t="n">
        <f aca="false">IF(ISNUMBER(R524),R524,0)*S524</f>
        <v>2359.26</v>
      </c>
      <c r="U524" s="61" t="n">
        <f aca="false">T524*INDEX(INPUTS!$H$10:$H$14,MATCH(B524,INPUTS!$A$10:$A$14,0))</f>
        <v>436.4631</v>
      </c>
      <c r="V524" s="61" t="n">
        <f aca="false">N(STACK!K524)</f>
        <v>0</v>
      </c>
      <c r="W524" s="61" t="n">
        <f aca="false">T524+U524+V524</f>
        <v>2795.7231</v>
      </c>
      <c r="X524" s="61" t="n">
        <f aca="false">N(STACK!L524)</f>
        <v>0</v>
      </c>
      <c r="Y524" s="61" t="n">
        <f aca="false">W524-X524</f>
        <v>2795.7231</v>
      </c>
      <c r="Z524" s="1" t="n">
        <f aca="false">N(STACK!J524)</f>
        <v>123</v>
      </c>
      <c r="AA524" s="1" t="str">
        <f aca="false">TRIM(IF(D524="UNMAPPED","Program not mapped. ","")&amp;IF(OR(K524="UNMAPPED",K524="UNASSIGNED"),"Category needs review. ","")&amp;IF(P524="UNMAPPED","Title not mapped. ","")&amp;IF(AND(P524&lt;&gt;"No staff time",R524=""),"Missing hours. ","")&amp;IF(M524="","Date not readable. ","")&amp;IF(N524="No","Outside fiscal year. ","")&amp;IF(AND(F524="Event",ISNUMBER(R524)),IF(R524&gt;12,"Event hours look high. ",""),"")&amp;IF(G524&gt;0,"See CONFIRM sheet.",""))</f>
        <v/>
      </c>
      <c r="AB524" s="1" t="n">
        <f aca="false">IF(N524="No",0,IF(REVIEW!O524=0,0,IF(G524&gt;0,IF(INDEX(CONFIRM!$J$5:$J$53,G524)&lt;&gt;"",INDEX(CONFIRM!$J$5:$J$53,G524),1),1)))</f>
        <v>1</v>
      </c>
      <c r="AC524" s="1" t="n">
        <f aca="false">IF(AB524=1,IF(COUNTIFS($B$5:B524,B524,$D$5:D524,D524,$AB$5:AB524,1)=1,1,0),0)</f>
        <v>0</v>
      </c>
    </row>
    <row r="525" customFormat="false" ht="15" hidden="false" customHeight="false" outlineLevel="0" collapsed="false">
      <c r="A525" s="48" t="str">
        <f aca="false">STACK!A525</f>
        <v>KVMC-0521</v>
      </c>
      <c r="B525" s="48" t="str">
        <f aca="false">STACK!B525</f>
        <v>KVMC</v>
      </c>
      <c r="C525" s="48" t="str">
        <f aca="false">STACK!E525</f>
        <v>Nursing Student Clinical Rotations</v>
      </c>
      <c r="D525" s="1" t="str">
        <f aca="false">IFERROR(INDEX(MAP!$J$7:$J$101,MATCH(TRIM(C525),MAP!$I$7:$I$101,0)),"UNMAPPED")</f>
        <v>Nursing Student Clinical Rotations</v>
      </c>
      <c r="E525" s="1" t="str">
        <f aca="false">IFERROR(INDEX(MAP!$K$7:$K$101,MATCH(TRIM(C525),MAP!$I$7:$I$101,0)),"")</f>
        <v>Health workforce</v>
      </c>
      <c r="F525" s="1" t="str">
        <f aca="false">IFERROR(INDEX(MAP!$L$7:$L$101,MATCH(TRIM(C525),MAP!$I$7:$I$101,0)),"")</f>
        <v>Monthly</v>
      </c>
      <c r="G525" s="1" t="n">
        <f aca="false">IFERROR(MATCH(A525,CONFIRM!$A$5:$A$53,0),0)</f>
        <v>0</v>
      </c>
      <c r="H525" s="48" t="str">
        <f aca="false">STACK!F525</f>
        <v>Health Professions Education</v>
      </c>
      <c r="I525" s="1" t="str">
        <f aca="false">IF(G525&gt;0,IF(INDEX(CONFIRM!$I$5:$I$53,G525)&lt;&gt;"",INDEX(CONFIRM!$I$5:$I$53,G525),H525),H525)</f>
        <v>Health Professions Education</v>
      </c>
      <c r="J525" s="1" t="str">
        <f aca="false">IFERROR(INDEX(MAP!$F$7:$F$74,MATCH(TRIM(I525),MAP!$E$7:$E$74,0)),"UNMAPPED")</f>
        <v>Health professions education</v>
      </c>
      <c r="K525" s="1" t="str">
        <f aca="false">IFERROR(INDEX(MAP!$G$7:$G$74,MATCH(TRIM(I525),MAP!$E$7:$E$74,0)),"UNMAPPED")</f>
        <v>7f</v>
      </c>
      <c r="L525" s="49" t="n">
        <f aca="false">STACK!G525</f>
        <v>46203</v>
      </c>
      <c r="M525" s="59" t="n">
        <f aca="false">IF(G525&gt;0,IF(INDEX(CONFIRM!$G$5:$G$53,G525)&lt;&gt;"",INDEX(CONFIRM!$G$5:$G$53,G525),IF(ISNUMBER(L525),L525,IFERROR(DATEVALUE(L525),""))),IF(ISNUMBER(L525),L525,IFERROR(DATEVALUE(L525),"")))</f>
        <v>46203</v>
      </c>
      <c r="N525" s="1" t="str">
        <f aca="false">IF(M525="","Check",IF(AND(M525&gt;=INPUTS!$C$6,M525&lt;=INPUTS!$C$7),"Yes","No"))</f>
        <v>Yes</v>
      </c>
      <c r="O525" s="48" t="str">
        <f aca="false">STACK!H525</f>
        <v>Preceptor RN</v>
      </c>
      <c r="P525" s="1" t="str">
        <f aca="false">IF(G525&gt;0,IF(INDEX(CONFIRM!$H$5:$H$53,G525)&lt;&gt;"",INDEX(CONFIRM!$H$5:$H$53,G525),IFERROR(INDEX(MAP!$B$7:$B$156,MATCH(TRIM(O525),MAP!$A$7:$A$156,0)),"UNMAPPED")),IFERROR(INDEX(MAP!$B$7:$B$156,MATCH(TRIM(O525),MAP!$A$7:$A$156,0)),"UNMAPPED"))</f>
        <v>Clinical Nurse Educator</v>
      </c>
      <c r="Q525" s="48" t="n">
        <f aca="false">STACK!I525</f>
        <v>47.5</v>
      </c>
      <c r="R525" s="60" t="n">
        <f aca="false">IF(G525&gt;0,IF(INDEX(CONFIRM!$F$5:$F$53,G525)&lt;&gt;"",INDEX(CONFIRM!$F$5:$F$53,G525),IF(ISNUMBER(Q525),Q525,IF(Q525="","",IFERROR(VALUE(TRIM(SUBSTITUTE(SUBSTITUTE(LOWER(Q525),"hrs",""),"hr",""))),"")))),IF(ISNUMBER(Q525),Q525,IF(Q525="","",IFERROR(VALUE(TRIM(SUBSTITUTE(SUBSTITUTE(LOWER(Q525),"hrs",""),"hr",""))),""))))</f>
        <v>47.5</v>
      </c>
      <c r="S525" s="57" t="n">
        <f aca="false">IFERROR(INDEX(RATES!$E$6:$E$28,MATCH(P525,RATES!$A$6:$A$28,0)),0)</f>
        <v>62.965</v>
      </c>
      <c r="T525" s="61" t="n">
        <f aca="false">IF(ISNUMBER(R525),R525,0)*S525</f>
        <v>2990.8375</v>
      </c>
      <c r="U525" s="61" t="n">
        <f aca="false">T525*INDEX(INPUTS!$H$10:$H$14,MATCH(B525,INPUTS!$A$10:$A$14,0))</f>
        <v>553.3049375</v>
      </c>
      <c r="V525" s="61" t="n">
        <f aca="false">N(STACK!K525)</f>
        <v>585</v>
      </c>
      <c r="W525" s="61" t="n">
        <f aca="false">T525+U525+V525</f>
        <v>4129.1424375</v>
      </c>
      <c r="X525" s="61" t="n">
        <f aca="false">N(STACK!L525)</f>
        <v>0</v>
      </c>
      <c r="Y525" s="61" t="n">
        <f aca="false">W525-X525</f>
        <v>4129.1424375</v>
      </c>
      <c r="Z525" s="1" t="n">
        <f aca="false">N(STACK!J525)</f>
        <v>15</v>
      </c>
      <c r="AA525" s="1" t="str">
        <f aca="false">TRIM(IF(D525="UNMAPPED","Program not mapped. ","")&amp;IF(OR(K525="UNMAPPED",K525="UNASSIGNED"),"Category needs review. ","")&amp;IF(P525="UNMAPPED","Title not mapped. ","")&amp;IF(AND(P525&lt;&gt;"No staff time",R525=""),"Missing hours. ","")&amp;IF(M525="","Date not readable. ","")&amp;IF(N525="No","Outside fiscal year. ","")&amp;IF(AND(F525="Event",ISNUMBER(R525)),IF(R525&gt;12,"Event hours look high. ",""),"")&amp;IF(G525&gt;0,"See CONFIRM sheet.",""))</f>
        <v/>
      </c>
      <c r="AB525" s="1" t="n">
        <f aca="false">IF(N525="No",0,IF(REVIEW!O525=0,0,IF(G525&gt;0,IF(INDEX(CONFIRM!$J$5:$J$53,G525)&lt;&gt;"",INDEX(CONFIRM!$J$5:$J$53,G525),1),1)))</f>
        <v>1</v>
      </c>
      <c r="AC525" s="1" t="n">
        <f aca="false">IF(AB525=1,IF(COUNTIFS($B$5:B525,B525,$D$5:D525,D525,$AB$5:AB525,1)=1,1,0),0)</f>
        <v>0</v>
      </c>
    </row>
    <row r="526" customFormat="false" ht="15" hidden="false" customHeight="false" outlineLevel="0" collapsed="false">
      <c r="A526" s="48" t="str">
        <f aca="false">STACK!A526</f>
        <v>KVMC-0522</v>
      </c>
      <c r="B526" s="48" t="str">
        <f aca="false">STACK!B526</f>
        <v>KVMC</v>
      </c>
      <c r="C526" s="48" t="str">
        <f aca="false">STACK!E526</f>
        <v>Nursing Student Clinical Rotations</v>
      </c>
      <c r="D526" s="1" t="str">
        <f aca="false">IFERROR(INDEX(MAP!$J$7:$J$101,MATCH(TRIM(C526),MAP!$I$7:$I$101,0)),"UNMAPPED")</f>
        <v>Nursing Student Clinical Rotations</v>
      </c>
      <c r="E526" s="1" t="str">
        <f aca="false">IFERROR(INDEX(MAP!$K$7:$K$101,MATCH(TRIM(C526),MAP!$I$7:$I$101,0)),"")</f>
        <v>Health workforce</v>
      </c>
      <c r="F526" s="1" t="str">
        <f aca="false">IFERROR(INDEX(MAP!$L$7:$L$101,MATCH(TRIM(C526),MAP!$I$7:$I$101,0)),"")</f>
        <v>Monthly</v>
      </c>
      <c r="G526" s="1" t="n">
        <f aca="false">IFERROR(MATCH(A526,CONFIRM!$A$5:$A$53,0),0)</f>
        <v>0</v>
      </c>
      <c r="H526" s="48" t="str">
        <f aca="false">STACK!F526</f>
        <v>Health Professions Education</v>
      </c>
      <c r="I526" s="1" t="str">
        <f aca="false">IF(G526&gt;0,IF(INDEX(CONFIRM!$I$5:$I$53,G526)&lt;&gt;"",INDEX(CONFIRM!$I$5:$I$53,G526),H526),H526)</f>
        <v>Health Professions Education</v>
      </c>
      <c r="J526" s="1" t="str">
        <f aca="false">IFERROR(INDEX(MAP!$F$7:$F$74,MATCH(TRIM(I526),MAP!$E$7:$E$74,0)),"UNMAPPED")</f>
        <v>Health professions education</v>
      </c>
      <c r="K526" s="1" t="str">
        <f aca="false">IFERROR(INDEX(MAP!$G$7:$G$74,MATCH(TRIM(I526),MAP!$E$7:$E$74,0)),"UNMAPPED")</f>
        <v>7f</v>
      </c>
      <c r="L526" s="49" t="n">
        <f aca="false">STACK!G526</f>
        <v>46203</v>
      </c>
      <c r="M526" s="59" t="n">
        <f aca="false">IF(G526&gt;0,IF(INDEX(CONFIRM!$G$5:$G$53,G526)&lt;&gt;"",INDEX(CONFIRM!$G$5:$G$53,G526),IF(ISNUMBER(L526),L526,IFERROR(DATEVALUE(L526),""))),IF(ISNUMBER(L526),L526,IFERROR(DATEVALUE(L526),"")))</f>
        <v>46203</v>
      </c>
      <c r="N526" s="1" t="str">
        <f aca="false">IF(M526="","Check",IF(AND(M526&gt;=INPUTS!$C$6,M526&lt;=INPUTS!$C$7),"Yes","No"))</f>
        <v>Yes</v>
      </c>
      <c r="O526" s="48" t="str">
        <f aca="false">STACK!H526</f>
        <v>Reg Nurse</v>
      </c>
      <c r="P526" s="1" t="str">
        <f aca="false">IF(G526&gt;0,IF(INDEX(CONFIRM!$H$5:$H$53,G526)&lt;&gt;"",INDEX(CONFIRM!$H$5:$H$53,G526),IFERROR(INDEX(MAP!$B$7:$B$156,MATCH(TRIM(O526),MAP!$A$7:$A$156,0)),"UNMAPPED")),IFERROR(INDEX(MAP!$B$7:$B$156,MATCH(TRIM(O526),MAP!$A$7:$A$156,0)),"UNMAPPED"))</f>
        <v>Registered Nurse</v>
      </c>
      <c r="Q526" s="48" t="n">
        <f aca="false">STACK!I526</f>
        <v>121</v>
      </c>
      <c r="R526" s="60" t="n">
        <f aca="false">IF(G526&gt;0,IF(INDEX(CONFIRM!$F$5:$F$53,G526)&lt;&gt;"",INDEX(CONFIRM!$F$5:$F$53,G526),IF(ISNUMBER(Q526),Q526,IF(Q526="","",IFERROR(VALUE(TRIM(SUBSTITUTE(SUBSTITUTE(LOWER(Q526),"hrs",""),"hr",""))),"")))),IF(ISNUMBER(Q526),Q526,IF(Q526="","",IFERROR(VALUE(TRIM(SUBSTITUTE(SUBSTITUTE(LOWER(Q526),"hrs",""),"hr",""))),""))))</f>
        <v>121</v>
      </c>
      <c r="S526" s="57" t="n">
        <f aca="false">IFERROR(INDEX(RATES!$E$6:$E$28,MATCH(P526,RATES!$A$6:$A$28,0)),0)</f>
        <v>55.8975</v>
      </c>
      <c r="T526" s="61" t="n">
        <f aca="false">IF(ISNUMBER(R526),R526,0)*S526</f>
        <v>6763.5975</v>
      </c>
      <c r="U526" s="61" t="n">
        <f aca="false">T526*INDEX(INPUTS!$H$10:$H$14,MATCH(B526,INPUTS!$A$10:$A$14,0))</f>
        <v>1251.2655375</v>
      </c>
      <c r="V526" s="61" t="n">
        <f aca="false">N(STACK!K526)</f>
        <v>0</v>
      </c>
      <c r="W526" s="61" t="n">
        <f aca="false">T526+U526+V526</f>
        <v>8014.8630375</v>
      </c>
      <c r="X526" s="61" t="n">
        <f aca="false">N(STACK!L526)</f>
        <v>0</v>
      </c>
      <c r="Y526" s="61" t="n">
        <f aca="false">W526-X526</f>
        <v>8014.8630375</v>
      </c>
      <c r="Z526" s="1" t="n">
        <f aca="false">N(STACK!J526)</f>
        <v>0</v>
      </c>
      <c r="AA526" s="1" t="str">
        <f aca="false">TRIM(IF(D526="UNMAPPED","Program not mapped. ","")&amp;IF(OR(K526="UNMAPPED",K526="UNASSIGNED"),"Category needs review. ","")&amp;IF(P526="UNMAPPED","Title not mapped. ","")&amp;IF(AND(P526&lt;&gt;"No staff time",R526=""),"Missing hours. ","")&amp;IF(M526="","Date not readable. ","")&amp;IF(N526="No","Outside fiscal year. ","")&amp;IF(AND(F526="Event",ISNUMBER(R526)),IF(R526&gt;12,"Event hours look high. ",""),"")&amp;IF(G526&gt;0,"See CONFIRM sheet.",""))</f>
        <v/>
      </c>
      <c r="AB526" s="1" t="n">
        <f aca="false">IF(N526="No",0,IF(REVIEW!O526=0,0,IF(G526&gt;0,IF(INDEX(CONFIRM!$J$5:$J$53,G526)&lt;&gt;"",INDEX(CONFIRM!$J$5:$J$53,G526),1),1)))</f>
        <v>1</v>
      </c>
      <c r="AC526" s="1" t="n">
        <f aca="false">IF(AB526=1,IF(COUNTIFS($B$5:B526,B526,$D$5:D526,D526,$AB$5:AB526,1)=1,1,0),0)</f>
        <v>0</v>
      </c>
    </row>
    <row r="527" customFormat="false" ht="15" hidden="false" customHeight="false" outlineLevel="0" collapsed="false">
      <c r="A527" s="48" t="str">
        <f aca="false">STACK!A527</f>
        <v>KVMC-0523</v>
      </c>
      <c r="B527" s="48" t="str">
        <f aca="false">STACK!B527</f>
        <v>KVMC</v>
      </c>
      <c r="C527" s="48" t="str">
        <f aca="false">STACK!E527</f>
        <v>Family Medicine Residency Program</v>
      </c>
      <c r="D527" s="1" t="str">
        <f aca="false">IFERROR(INDEX(MAP!$J$7:$J$101,MATCH(TRIM(C527),MAP!$I$7:$I$101,0)),"UNMAPPED")</f>
        <v>Family Medicine Residency Program</v>
      </c>
      <c r="E527" s="1" t="str">
        <f aca="false">IFERROR(INDEX(MAP!$K$7:$K$101,MATCH(TRIM(C527),MAP!$I$7:$I$101,0)),"")</f>
        <v>Health workforce</v>
      </c>
      <c r="F527" s="1" t="str">
        <f aca="false">IFERROR(INDEX(MAP!$L$7:$L$101,MATCH(TRIM(C527),MAP!$I$7:$I$101,0)),"")</f>
        <v>Monthly</v>
      </c>
      <c r="G527" s="1" t="n">
        <f aca="false">IFERROR(MATCH(A527,CONFIRM!$A$5:$A$53,0),0)</f>
        <v>0</v>
      </c>
      <c r="H527" s="48" t="str">
        <f aca="false">STACK!F527</f>
        <v>Health Professions Education</v>
      </c>
      <c r="I527" s="1" t="str">
        <f aca="false">IF(G527&gt;0,IF(INDEX(CONFIRM!$I$5:$I$53,G527)&lt;&gt;"",INDEX(CONFIRM!$I$5:$I$53,G527),H527),H527)</f>
        <v>Health Professions Education</v>
      </c>
      <c r="J527" s="1" t="str">
        <f aca="false">IFERROR(INDEX(MAP!$F$7:$F$74,MATCH(TRIM(I527),MAP!$E$7:$E$74,0)),"UNMAPPED")</f>
        <v>Health professions education</v>
      </c>
      <c r="K527" s="1" t="str">
        <f aca="false">IFERROR(INDEX(MAP!$G$7:$G$74,MATCH(TRIM(I527),MAP!$E$7:$E$74,0)),"UNMAPPED")</f>
        <v>7f</v>
      </c>
      <c r="L527" s="49" t="n">
        <f aca="false">STACK!G527</f>
        <v>46203</v>
      </c>
      <c r="M527" s="59" t="n">
        <f aca="false">IF(G527&gt;0,IF(INDEX(CONFIRM!$G$5:$G$53,G527)&lt;&gt;"",INDEX(CONFIRM!$G$5:$G$53,G527),IF(ISNUMBER(L527),L527,IFERROR(DATEVALUE(L527),""))),IF(ISNUMBER(L527),L527,IFERROR(DATEVALUE(L527),"")))</f>
        <v>46203</v>
      </c>
      <c r="N527" s="1" t="str">
        <f aca="false">IF(M527="","Check",IF(AND(M527&gt;=INPUTS!$C$6,M527&lt;=INPUTS!$C$7),"Yes","No"))</f>
        <v>Yes</v>
      </c>
      <c r="O527" s="48" t="str">
        <f aca="false">STACK!H527</f>
        <v>Dr.</v>
      </c>
      <c r="P527" s="1" t="str">
        <f aca="false">IF(G527&gt;0,IF(INDEX(CONFIRM!$H$5:$H$53,G527)&lt;&gt;"",INDEX(CONFIRM!$H$5:$H$53,G527),IFERROR(INDEX(MAP!$B$7:$B$156,MATCH(TRIM(O527),MAP!$A$7:$A$156,0)),"UNMAPPED")),IFERROR(INDEX(MAP!$B$7:$B$156,MATCH(TRIM(O527),MAP!$A$7:$A$156,0)),"UNMAPPED"))</f>
        <v>Physician</v>
      </c>
      <c r="Q527" s="48" t="n">
        <f aca="false">STACK!I527</f>
        <v>394.25</v>
      </c>
      <c r="R527" s="60" t="n">
        <f aca="false">IF(G527&gt;0,IF(INDEX(CONFIRM!$F$5:$F$53,G527)&lt;&gt;"",INDEX(CONFIRM!$F$5:$F$53,G527),IF(ISNUMBER(Q527),Q527,IF(Q527="","",IFERROR(VALUE(TRIM(SUBSTITUTE(SUBSTITUTE(LOWER(Q527),"hrs",""),"hr",""))),"")))),IF(ISNUMBER(Q527),Q527,IF(Q527="","",IFERROR(VALUE(TRIM(SUBSTITUTE(SUBSTITUTE(LOWER(Q527),"hrs",""),"hr",""))),""))))</f>
        <v>394.25</v>
      </c>
      <c r="S527" s="57" t="n">
        <f aca="false">IFERROR(INDEX(RATES!$E$6:$E$28,MATCH(P527,RATES!$A$6:$A$28,0)),0)</f>
        <v>151.63</v>
      </c>
      <c r="T527" s="61" t="n">
        <f aca="false">IF(ISNUMBER(R527),R527,0)*S527</f>
        <v>59780.1275</v>
      </c>
      <c r="U527" s="61" t="n">
        <f aca="false">T527*INDEX(INPUTS!$H$10:$H$14,MATCH(B527,INPUTS!$A$10:$A$14,0))</f>
        <v>11059.3235875</v>
      </c>
      <c r="V527" s="61" t="n">
        <f aca="false">N(STACK!K527)</f>
        <v>34380</v>
      </c>
      <c r="W527" s="61" t="n">
        <f aca="false">T527+U527+V527</f>
        <v>105219.4510875</v>
      </c>
      <c r="X527" s="61" t="n">
        <f aca="false">N(STACK!L527)</f>
        <v>156615</v>
      </c>
      <c r="Y527" s="61" t="n">
        <f aca="false">W527-X527</f>
        <v>-51395.5489125</v>
      </c>
      <c r="Z527" s="1" t="n">
        <f aca="false">N(STACK!J527)</f>
        <v>0</v>
      </c>
      <c r="AA527" s="1" t="str">
        <f aca="false">TRIM(IF(D527="UNMAPPED","Program not mapped. ","")&amp;IF(OR(K527="UNMAPPED",K527="UNASSIGNED"),"Category needs review. ","")&amp;IF(P527="UNMAPPED","Title not mapped. ","")&amp;IF(AND(P527&lt;&gt;"No staff time",R527=""),"Missing hours. ","")&amp;IF(M527="","Date not readable. ","")&amp;IF(N527="No","Outside fiscal year. ","")&amp;IF(AND(F527="Event",ISNUMBER(R527)),IF(R527&gt;12,"Event hours look high. ",""),"")&amp;IF(G527&gt;0,"See CONFIRM sheet.",""))</f>
        <v/>
      </c>
      <c r="AB527" s="1" t="n">
        <f aca="false">IF(N527="No",0,IF(REVIEW!O527=0,0,IF(G527&gt;0,IF(INDEX(CONFIRM!$J$5:$J$53,G527)&lt;&gt;"",INDEX(CONFIRM!$J$5:$J$53,G527),1),1)))</f>
        <v>1</v>
      </c>
      <c r="AC527" s="1" t="n">
        <f aca="false">IF(AB527=1,IF(COUNTIFS($B$5:B527,B527,$D$5:D527,D527,$AB$5:AB527,1)=1,1,0),0)</f>
        <v>0</v>
      </c>
    </row>
    <row r="528" customFormat="false" ht="15" hidden="false" customHeight="false" outlineLevel="0" collapsed="false">
      <c r="A528" s="48" t="str">
        <f aca="false">STACK!A528</f>
        <v>KVMC-0524</v>
      </c>
      <c r="B528" s="48" t="str">
        <f aca="false">STACK!B528</f>
        <v>KVMC</v>
      </c>
      <c r="C528" s="48" t="str">
        <f aca="false">STACK!E528</f>
        <v>Family Medicine Residency Program</v>
      </c>
      <c r="D528" s="1" t="str">
        <f aca="false">IFERROR(INDEX(MAP!$J$7:$J$101,MATCH(TRIM(C528),MAP!$I$7:$I$101,0)),"UNMAPPED")</f>
        <v>Family Medicine Residency Program</v>
      </c>
      <c r="E528" s="1" t="str">
        <f aca="false">IFERROR(INDEX(MAP!$K$7:$K$101,MATCH(TRIM(C528),MAP!$I$7:$I$101,0)),"")</f>
        <v>Health workforce</v>
      </c>
      <c r="F528" s="1" t="str">
        <f aca="false">IFERROR(INDEX(MAP!$L$7:$L$101,MATCH(TRIM(C528),MAP!$I$7:$I$101,0)),"")</f>
        <v>Monthly</v>
      </c>
      <c r="G528" s="1" t="n">
        <f aca="false">IFERROR(MATCH(A528,CONFIRM!$A$5:$A$53,0),0)</f>
        <v>0</v>
      </c>
      <c r="H528" s="48" t="str">
        <f aca="false">STACK!F528</f>
        <v>Health Professions Education</v>
      </c>
      <c r="I528" s="1" t="str">
        <f aca="false">IF(G528&gt;0,IF(INDEX(CONFIRM!$I$5:$I$53,G528)&lt;&gt;"",INDEX(CONFIRM!$I$5:$I$53,G528),H528),H528)</f>
        <v>Health Professions Education</v>
      </c>
      <c r="J528" s="1" t="str">
        <f aca="false">IFERROR(INDEX(MAP!$F$7:$F$74,MATCH(TRIM(I528),MAP!$E$7:$E$74,0)),"UNMAPPED")</f>
        <v>Health professions education</v>
      </c>
      <c r="K528" s="1" t="str">
        <f aca="false">IFERROR(INDEX(MAP!$G$7:$G$74,MATCH(TRIM(I528),MAP!$E$7:$E$74,0)),"UNMAPPED")</f>
        <v>7f</v>
      </c>
      <c r="L528" s="49" t="n">
        <f aca="false">STACK!G528</f>
        <v>46203</v>
      </c>
      <c r="M528" s="59" t="n">
        <f aca="false">IF(G528&gt;0,IF(INDEX(CONFIRM!$G$5:$G$53,G528)&lt;&gt;"",INDEX(CONFIRM!$G$5:$G$53,G528),IF(ISNUMBER(L528),L528,IFERROR(DATEVALUE(L528),""))),IF(ISNUMBER(L528),L528,IFERROR(DATEVALUE(L528),"")))</f>
        <v>46203</v>
      </c>
      <c r="N528" s="1" t="str">
        <f aca="false">IF(M528="","Check",IF(AND(M528&gt;=INPUTS!$C$6,M528&lt;=INPUTS!$C$7),"Yes","No"))</f>
        <v>Yes</v>
      </c>
      <c r="O528" s="48" t="str">
        <f aca="false">STACK!H528</f>
        <v>Program Coordinator</v>
      </c>
      <c r="P528" s="1" t="str">
        <f aca="false">IF(G528&gt;0,IF(INDEX(CONFIRM!$H$5:$H$53,G528)&lt;&gt;"",INDEX(CONFIRM!$H$5:$H$53,G528),IFERROR(INDEX(MAP!$B$7:$B$156,MATCH(TRIM(O528),MAP!$A$7:$A$156,0)),"UNMAPPED")),IFERROR(INDEX(MAP!$B$7:$B$156,MATCH(TRIM(O528),MAP!$A$7:$A$156,0)),"UNMAPPED"))</f>
        <v>Program Coordinator</v>
      </c>
      <c r="Q528" s="48" t="n">
        <f aca="false">STACK!I528</f>
        <v>171.75</v>
      </c>
      <c r="R528" s="60" t="n">
        <f aca="false">IF(G528&gt;0,IF(INDEX(CONFIRM!$F$5:$F$53,G528)&lt;&gt;"",INDEX(CONFIRM!$F$5:$F$53,G528),IF(ISNUMBER(Q528),Q528,IF(Q528="","",IFERROR(VALUE(TRIM(SUBSTITUTE(SUBSTITUTE(LOWER(Q528),"hrs",""),"hr",""))),"")))),IF(ISNUMBER(Q528),Q528,IF(Q528="","",IFERROR(VALUE(TRIM(SUBSTITUTE(SUBSTITUTE(LOWER(Q528),"hrs",""),"hr",""))),""))))</f>
        <v>171.75</v>
      </c>
      <c r="S528" s="57" t="n">
        <f aca="false">IFERROR(INDEX(RATES!$E$6:$E$28,MATCH(P528,RATES!$A$6:$A$28,0)),0)</f>
        <v>35.3375</v>
      </c>
      <c r="T528" s="61" t="n">
        <f aca="false">IF(ISNUMBER(R528),R528,0)*S528</f>
        <v>6069.215625</v>
      </c>
      <c r="U528" s="61" t="n">
        <f aca="false">T528*INDEX(INPUTS!$H$10:$H$14,MATCH(B528,INPUTS!$A$10:$A$14,0))</f>
        <v>1122.804890625</v>
      </c>
      <c r="V528" s="61" t="n">
        <f aca="false">N(STACK!K528)</f>
        <v>0</v>
      </c>
      <c r="W528" s="61" t="n">
        <f aca="false">T528+U528+V528</f>
        <v>7192.020515625</v>
      </c>
      <c r="X528" s="61" t="n">
        <f aca="false">N(STACK!L528)</f>
        <v>0</v>
      </c>
      <c r="Y528" s="61" t="n">
        <f aca="false">W528-X528</f>
        <v>7192.020515625</v>
      </c>
      <c r="Z528" s="1" t="n">
        <f aca="false">N(STACK!J528)</f>
        <v>0</v>
      </c>
      <c r="AA528" s="1" t="str">
        <f aca="false">TRIM(IF(D528="UNMAPPED","Program not mapped. ","")&amp;IF(OR(K528="UNMAPPED",K528="UNASSIGNED"),"Category needs review. ","")&amp;IF(P528="UNMAPPED","Title not mapped. ","")&amp;IF(AND(P528&lt;&gt;"No staff time",R528=""),"Missing hours. ","")&amp;IF(M528="","Date not readable. ","")&amp;IF(N528="No","Outside fiscal year. ","")&amp;IF(AND(F528="Event",ISNUMBER(R528)),IF(R528&gt;12,"Event hours look high. ",""),"")&amp;IF(G528&gt;0,"See CONFIRM sheet.",""))</f>
        <v/>
      </c>
      <c r="AB528" s="1" t="n">
        <f aca="false">IF(N528="No",0,IF(REVIEW!O528=0,0,IF(G528&gt;0,IF(INDEX(CONFIRM!$J$5:$J$53,G528)&lt;&gt;"",INDEX(CONFIRM!$J$5:$J$53,G528),1),1)))</f>
        <v>1</v>
      </c>
      <c r="AC528" s="1" t="n">
        <f aca="false">IF(AB528=1,IF(COUNTIFS($B$5:B528,B528,$D$5:D528,D528,$AB$5:AB528,1)=1,1,0),0)</f>
        <v>0</v>
      </c>
    </row>
    <row r="529" customFormat="false" ht="15" hidden="false" customHeight="false" outlineLevel="0" collapsed="false">
      <c r="A529" s="48" t="str">
        <f aca="false">STACK!A529</f>
        <v>KVMC-0525</v>
      </c>
      <c r="B529" s="48" t="str">
        <f aca="false">STACK!B529</f>
        <v>KVMC</v>
      </c>
      <c r="C529" s="48" t="str">
        <f aca="false">STACK!E529</f>
        <v>Family Medicine Residency Program</v>
      </c>
      <c r="D529" s="1" t="str">
        <f aca="false">IFERROR(INDEX(MAP!$J$7:$J$101,MATCH(TRIM(C529),MAP!$I$7:$I$101,0)),"UNMAPPED")</f>
        <v>Family Medicine Residency Program</v>
      </c>
      <c r="E529" s="1" t="str">
        <f aca="false">IFERROR(INDEX(MAP!$K$7:$K$101,MATCH(TRIM(C529),MAP!$I$7:$I$101,0)),"")</f>
        <v>Health workforce</v>
      </c>
      <c r="F529" s="1" t="str">
        <f aca="false">IFERROR(INDEX(MAP!$L$7:$L$101,MATCH(TRIM(C529),MAP!$I$7:$I$101,0)),"")</f>
        <v>Monthly</v>
      </c>
      <c r="G529" s="1" t="n">
        <f aca="false">IFERROR(MATCH(A529,CONFIRM!$A$5:$A$53,0),0)</f>
        <v>0</v>
      </c>
      <c r="H529" s="48" t="str">
        <f aca="false">STACK!F529</f>
        <v>Health Professions Education</v>
      </c>
      <c r="I529" s="1" t="str">
        <f aca="false">IF(G529&gt;0,IF(INDEX(CONFIRM!$I$5:$I$53,G529)&lt;&gt;"",INDEX(CONFIRM!$I$5:$I$53,G529),H529),H529)</f>
        <v>Health Professions Education</v>
      </c>
      <c r="J529" s="1" t="str">
        <f aca="false">IFERROR(INDEX(MAP!$F$7:$F$74,MATCH(TRIM(I529),MAP!$E$7:$E$74,0)),"UNMAPPED")</f>
        <v>Health professions education</v>
      </c>
      <c r="K529" s="1" t="str">
        <f aca="false">IFERROR(INDEX(MAP!$G$7:$G$74,MATCH(TRIM(I529),MAP!$E$7:$E$74,0)),"UNMAPPED")</f>
        <v>7f</v>
      </c>
      <c r="L529" s="49" t="n">
        <f aca="false">STACK!G529</f>
        <v>46203</v>
      </c>
      <c r="M529" s="59" t="n">
        <f aca="false">IF(G529&gt;0,IF(INDEX(CONFIRM!$G$5:$G$53,G529)&lt;&gt;"",INDEX(CONFIRM!$G$5:$G$53,G529),IF(ISNUMBER(L529),L529,IFERROR(DATEVALUE(L529),""))),IF(ISNUMBER(L529),L529,IFERROR(DATEVALUE(L529),"")))</f>
        <v>46203</v>
      </c>
      <c r="N529" s="1" t="str">
        <f aca="false">IF(M529="","Check",IF(AND(M529&gt;=INPUTS!$C$6,M529&lt;=INPUTS!$C$7),"Yes","No"))</f>
        <v>Yes</v>
      </c>
      <c r="O529" s="48" t="str">
        <f aca="false">STACK!H529</f>
        <v>RESIDENT PHYSICIAN</v>
      </c>
      <c r="P529" s="1" t="str">
        <f aca="false">IF(G529&gt;0,IF(INDEX(CONFIRM!$H$5:$H$53,G529)&lt;&gt;"",INDEX(CONFIRM!$H$5:$H$53,G529),IFERROR(INDEX(MAP!$B$7:$B$156,MATCH(TRIM(O529),MAP!$A$7:$A$156,0)),"UNMAPPED")),IFERROR(INDEX(MAP!$B$7:$B$156,MATCH(TRIM(O529),MAP!$A$7:$A$156,0)),"UNMAPPED"))</f>
        <v>Resident Physician</v>
      </c>
      <c r="Q529" s="48" t="n">
        <f aca="false">STACK!I529</f>
        <v>3947.25</v>
      </c>
      <c r="R529" s="60" t="n">
        <f aca="false">IF(G529&gt;0,IF(INDEX(CONFIRM!$F$5:$F$53,G529)&lt;&gt;"",INDEX(CONFIRM!$F$5:$F$53,G529),IF(ISNUMBER(Q529),Q529,IF(Q529="","",IFERROR(VALUE(TRIM(SUBSTITUTE(SUBSTITUTE(LOWER(Q529),"hrs",""),"hr",""))),"")))),IF(ISNUMBER(Q529),Q529,IF(Q529="","",IFERROR(VALUE(TRIM(SUBSTITUTE(SUBSTITUTE(LOWER(Q529),"hrs",""),"hr",""))),""))))</f>
        <v>3947.25</v>
      </c>
      <c r="S529" s="57" t="n">
        <f aca="false">IFERROR(INDEX(RATES!$E$6:$E$28,MATCH(P529,RATES!$A$6:$A$28,0)),0)</f>
        <v>38.43</v>
      </c>
      <c r="T529" s="61" t="n">
        <f aca="false">IF(ISNUMBER(R529),R529,0)*S529</f>
        <v>151692.8175</v>
      </c>
      <c r="U529" s="61" t="n">
        <f aca="false">T529*INDEX(INPUTS!$H$10:$H$14,MATCH(B529,INPUTS!$A$10:$A$14,0))</f>
        <v>28063.1712375</v>
      </c>
      <c r="V529" s="61" t="n">
        <f aca="false">N(STACK!K529)</f>
        <v>0</v>
      </c>
      <c r="W529" s="61" t="n">
        <f aca="false">T529+U529+V529</f>
        <v>179755.9887375</v>
      </c>
      <c r="X529" s="61" t="n">
        <f aca="false">N(STACK!L529)</f>
        <v>0</v>
      </c>
      <c r="Y529" s="61" t="n">
        <f aca="false">W529-X529</f>
        <v>179755.9887375</v>
      </c>
      <c r="Z529" s="1" t="n">
        <f aca="false">N(STACK!J529)</f>
        <v>0</v>
      </c>
      <c r="AA529" s="1" t="str">
        <f aca="false">TRIM(IF(D529="UNMAPPED","Program not mapped. ","")&amp;IF(OR(K529="UNMAPPED",K529="UNASSIGNED"),"Category needs review. ","")&amp;IF(P529="UNMAPPED","Title not mapped. ","")&amp;IF(AND(P529&lt;&gt;"No staff time",R529=""),"Missing hours. ","")&amp;IF(M529="","Date not readable. ","")&amp;IF(N529="No","Outside fiscal year. ","")&amp;IF(AND(F529="Event",ISNUMBER(R529)),IF(R529&gt;12,"Event hours look high. ",""),"")&amp;IF(G529&gt;0,"See CONFIRM sheet.",""))</f>
        <v/>
      </c>
      <c r="AB529" s="1" t="n">
        <f aca="false">IF(N529="No",0,IF(REVIEW!O529=0,0,IF(G529&gt;0,IF(INDEX(CONFIRM!$J$5:$J$53,G529)&lt;&gt;"",INDEX(CONFIRM!$J$5:$J$53,G529),1),1)))</f>
        <v>1</v>
      </c>
      <c r="AC529" s="1" t="n">
        <f aca="false">IF(AB529=1,IF(COUNTIFS($B$5:B529,B529,$D$5:D529,D529,$AB$5:AB529,1)=1,1,0),0)</f>
        <v>0</v>
      </c>
    </row>
    <row r="530" customFormat="false" ht="15" hidden="false" customHeight="false" outlineLevel="0" collapsed="false">
      <c r="A530" s="48" t="str">
        <f aca="false">STACK!A530</f>
        <v>KVMC-0526</v>
      </c>
      <c r="B530" s="48" t="str">
        <f aca="false">STACK!B530</f>
        <v>KVMC</v>
      </c>
      <c r="C530" s="48" t="str">
        <f aca="false">STACK!E530</f>
        <v>Pharmacy Student Rotations</v>
      </c>
      <c r="D530" s="1" t="str">
        <f aca="false">IFERROR(INDEX(MAP!$J$7:$J$101,MATCH(TRIM(C530),MAP!$I$7:$I$101,0)),"UNMAPPED")</f>
        <v>Pharmacy Student Rotations</v>
      </c>
      <c r="E530" s="1" t="str">
        <f aca="false">IFERROR(INDEX(MAP!$K$7:$K$101,MATCH(TRIM(C530),MAP!$I$7:$I$101,0)),"")</f>
        <v>Health workforce</v>
      </c>
      <c r="F530" s="1" t="str">
        <f aca="false">IFERROR(INDEX(MAP!$L$7:$L$101,MATCH(TRIM(C530),MAP!$I$7:$I$101,0)),"")</f>
        <v>Monthly</v>
      </c>
      <c r="G530" s="1" t="n">
        <f aca="false">IFERROR(MATCH(A530,CONFIRM!$A$5:$A$53,0),0)</f>
        <v>0</v>
      </c>
      <c r="H530" s="48" t="str">
        <f aca="false">STACK!F530</f>
        <v>Health Professions Education</v>
      </c>
      <c r="I530" s="1" t="str">
        <f aca="false">IF(G530&gt;0,IF(INDEX(CONFIRM!$I$5:$I$53,G530)&lt;&gt;"",INDEX(CONFIRM!$I$5:$I$53,G530),H530),H530)</f>
        <v>Health Professions Education</v>
      </c>
      <c r="J530" s="1" t="str">
        <f aca="false">IFERROR(INDEX(MAP!$F$7:$F$74,MATCH(TRIM(I530),MAP!$E$7:$E$74,0)),"UNMAPPED")</f>
        <v>Health professions education</v>
      </c>
      <c r="K530" s="1" t="str">
        <f aca="false">IFERROR(INDEX(MAP!$G$7:$G$74,MATCH(TRIM(I530),MAP!$E$7:$E$74,0)),"UNMAPPED")</f>
        <v>7f</v>
      </c>
      <c r="L530" s="49" t="n">
        <f aca="false">STACK!G530</f>
        <v>46203</v>
      </c>
      <c r="M530" s="59" t="n">
        <f aca="false">IF(G530&gt;0,IF(INDEX(CONFIRM!$G$5:$G$53,G530)&lt;&gt;"",INDEX(CONFIRM!$G$5:$G$53,G530),IF(ISNUMBER(L530),L530,IFERROR(DATEVALUE(L530),""))),IF(ISNUMBER(L530),L530,IFERROR(DATEVALUE(L530),"")))</f>
        <v>46203</v>
      </c>
      <c r="N530" s="1" t="str">
        <f aca="false">IF(M530="","Check",IF(AND(M530&gt;=INPUTS!$C$6,M530&lt;=INPUTS!$C$7),"Yes","No"))</f>
        <v>Yes</v>
      </c>
      <c r="O530" s="48" t="str">
        <f aca="false">STACK!H530</f>
        <v>Pharmacist</v>
      </c>
      <c r="P530" s="1" t="str">
        <f aca="false">IF(G530&gt;0,IF(INDEX(CONFIRM!$H$5:$H$53,G530)&lt;&gt;"",INDEX(CONFIRM!$H$5:$H$53,G530),IFERROR(INDEX(MAP!$B$7:$B$156,MATCH(TRIM(O530),MAP!$A$7:$A$156,0)),"UNMAPPED")),IFERROR(INDEX(MAP!$B$7:$B$156,MATCH(TRIM(O530),MAP!$A$7:$A$156,0)),"UNMAPPED"))</f>
        <v>Pharmacist</v>
      </c>
      <c r="Q530" s="48" t="n">
        <f aca="false">STACK!I530</f>
        <v>52.5</v>
      </c>
      <c r="R530" s="60" t="n">
        <f aca="false">IF(G530&gt;0,IF(INDEX(CONFIRM!$F$5:$F$53,G530)&lt;&gt;"",INDEX(CONFIRM!$F$5:$F$53,G530),IF(ISNUMBER(Q530),Q530,IF(Q530="","",IFERROR(VALUE(TRIM(SUBSTITUTE(SUBSTITUTE(LOWER(Q530),"hrs",""),"hr",""))),"")))),IF(ISNUMBER(Q530),Q530,IF(Q530="","",IFERROR(VALUE(TRIM(SUBSTITUTE(SUBSTITUTE(LOWER(Q530),"hrs",""),"hr",""))),""))))</f>
        <v>52.5</v>
      </c>
      <c r="S530" s="57" t="n">
        <f aca="false">IFERROR(INDEX(RATES!$E$6:$E$28,MATCH(P530,RATES!$A$6:$A$28,0)),0)</f>
        <v>84.81</v>
      </c>
      <c r="T530" s="61" t="n">
        <f aca="false">IF(ISNUMBER(R530),R530,0)*S530</f>
        <v>4452.525</v>
      </c>
      <c r="U530" s="61" t="n">
        <f aca="false">T530*INDEX(INPUTS!$H$10:$H$14,MATCH(B530,INPUTS!$A$10:$A$14,0))</f>
        <v>823.717125</v>
      </c>
      <c r="V530" s="61" t="n">
        <f aca="false">N(STACK!K530)</f>
        <v>30</v>
      </c>
      <c r="W530" s="61" t="n">
        <f aca="false">T530+U530+V530</f>
        <v>5306.242125</v>
      </c>
      <c r="X530" s="61" t="n">
        <f aca="false">N(STACK!L530)</f>
        <v>0</v>
      </c>
      <c r="Y530" s="61" t="n">
        <f aca="false">W530-X530</f>
        <v>5306.242125</v>
      </c>
      <c r="Z530" s="1" t="n">
        <f aca="false">N(STACK!J530)</f>
        <v>5</v>
      </c>
      <c r="AA530" s="1" t="str">
        <f aca="false">TRIM(IF(D530="UNMAPPED","Program not mapped. ","")&amp;IF(OR(K530="UNMAPPED",K530="UNASSIGNED"),"Category needs review. ","")&amp;IF(P530="UNMAPPED","Title not mapped. ","")&amp;IF(AND(P530&lt;&gt;"No staff time",R530=""),"Missing hours. ","")&amp;IF(M530="","Date not readable. ","")&amp;IF(N530="No","Outside fiscal year. ","")&amp;IF(AND(F530="Event",ISNUMBER(R530)),IF(R530&gt;12,"Event hours look high. ",""),"")&amp;IF(G530&gt;0,"See CONFIRM sheet.",""))</f>
        <v/>
      </c>
      <c r="AB530" s="1" t="n">
        <f aca="false">IF(N530="No",0,IF(REVIEW!O530=0,0,IF(G530&gt;0,IF(INDEX(CONFIRM!$J$5:$J$53,G530)&lt;&gt;"",INDEX(CONFIRM!$J$5:$J$53,G530),1),1)))</f>
        <v>1</v>
      </c>
      <c r="AC530" s="1" t="n">
        <f aca="false">IF(AB530=1,IF(COUNTIFS($B$5:B530,B530,$D$5:D530,D530,$AB$5:AB530,1)=1,1,0),0)</f>
        <v>0</v>
      </c>
    </row>
    <row r="531" customFormat="false" ht="15" hidden="false" customHeight="false" outlineLevel="0" collapsed="false">
      <c r="A531" s="48" t="str">
        <f aca="false">STACK!A531</f>
        <v>KVMC-0527</v>
      </c>
      <c r="B531" s="48" t="str">
        <f aca="false">STACK!B531</f>
        <v>KVMC</v>
      </c>
      <c r="C531" s="48" t="str">
        <f aca="false">STACK!E531</f>
        <v>Community Hypertension Control Study</v>
      </c>
      <c r="D531" s="1" t="str">
        <f aca="false">IFERROR(INDEX(MAP!$J$7:$J$101,MATCH(TRIM(C531),MAP!$I$7:$I$101,0)),"UNMAPPED")</f>
        <v>Community Hypertension Control Study</v>
      </c>
      <c r="E531" s="1" t="str">
        <f aca="false">IFERROR(INDEX(MAP!$K$7:$K$101,MATCH(TRIM(C531),MAP!$I$7:$I$101,0)),"")</f>
        <v>Chronic disease prevention</v>
      </c>
      <c r="F531" s="1" t="str">
        <f aca="false">IFERROR(INDEX(MAP!$L$7:$L$101,MATCH(TRIM(C531),MAP!$I$7:$I$101,0)),"")</f>
        <v>Monthly</v>
      </c>
      <c r="G531" s="1" t="n">
        <f aca="false">IFERROR(MATCH(A531,CONFIRM!$A$5:$A$53,0),0)</f>
        <v>0</v>
      </c>
      <c r="H531" s="48" t="str">
        <f aca="false">STACK!F531</f>
        <v>Research</v>
      </c>
      <c r="I531" s="1" t="str">
        <f aca="false">IF(G531&gt;0,IF(INDEX(CONFIRM!$I$5:$I$53,G531)&lt;&gt;"",INDEX(CONFIRM!$I$5:$I$53,G531),H531),H531)</f>
        <v>Research</v>
      </c>
      <c r="J531" s="1" t="str">
        <f aca="false">IFERROR(INDEX(MAP!$F$7:$F$74,MATCH(TRIM(I531),MAP!$E$7:$E$74,0)),"UNMAPPED")</f>
        <v>Research</v>
      </c>
      <c r="K531" s="1" t="str">
        <f aca="false">IFERROR(INDEX(MAP!$G$7:$G$74,MATCH(TRIM(I531),MAP!$E$7:$E$74,0)),"UNMAPPED")</f>
        <v>7h</v>
      </c>
      <c r="L531" s="49" t="n">
        <f aca="false">STACK!G531</f>
        <v>46203</v>
      </c>
      <c r="M531" s="59" t="n">
        <f aca="false">IF(G531&gt;0,IF(INDEX(CONFIRM!$G$5:$G$53,G531)&lt;&gt;"",INDEX(CONFIRM!$G$5:$G$53,G531),IF(ISNUMBER(L531),L531,IFERROR(DATEVALUE(L531),""))),IF(ISNUMBER(L531),L531,IFERROR(DATEVALUE(L531),"")))</f>
        <v>46203</v>
      </c>
      <c r="N531" s="1" t="str">
        <f aca="false">IF(M531="","Check",IF(AND(M531&gt;=INPUTS!$C$6,M531&lt;=INPUTS!$C$7),"Yes","No"))</f>
        <v>Yes</v>
      </c>
      <c r="O531" s="48" t="str">
        <f aca="false">STACK!H531</f>
        <v>Data Analyst</v>
      </c>
      <c r="P531" s="1" t="str">
        <f aca="false">IF(G531&gt;0,IF(INDEX(CONFIRM!$H$5:$H$53,G531)&lt;&gt;"",INDEX(CONFIRM!$H$5:$H$53,G531),IFERROR(INDEX(MAP!$B$7:$B$156,MATCH(TRIM(O531),MAP!$A$7:$A$156,0)),"UNMAPPED")),IFERROR(INDEX(MAP!$B$7:$B$156,MATCH(TRIM(O531),MAP!$A$7:$A$156,0)),"UNMAPPED"))</f>
        <v>Data Analyst</v>
      </c>
      <c r="Q531" s="48" t="n">
        <f aca="false">STACK!I531</f>
        <v>58</v>
      </c>
      <c r="R531" s="60" t="n">
        <f aca="false">IF(G531&gt;0,IF(INDEX(CONFIRM!$F$5:$F$53,G531)&lt;&gt;"",INDEX(CONFIRM!$F$5:$F$53,G531),IF(ISNUMBER(Q531),Q531,IF(Q531="","",IFERROR(VALUE(TRIM(SUBSTITUTE(SUBSTITUTE(LOWER(Q531),"hrs",""),"hr",""))),"")))),IF(ISNUMBER(Q531),Q531,IF(Q531="","",IFERROR(VALUE(TRIM(SUBSTITUTE(SUBSTITUTE(LOWER(Q531),"hrs",""),"hr",""))),""))))</f>
        <v>58</v>
      </c>
      <c r="S531" s="57" t="n">
        <f aca="false">IFERROR(INDEX(RATES!$E$6:$E$28,MATCH(P531,RATES!$A$6:$A$28,0)),0)</f>
        <v>48.83</v>
      </c>
      <c r="T531" s="61" t="n">
        <f aca="false">IF(ISNUMBER(R531),R531,0)*S531</f>
        <v>2832.14</v>
      </c>
      <c r="U531" s="61" t="n">
        <f aca="false">T531*INDEX(INPUTS!$H$10:$H$14,MATCH(B531,INPUTS!$A$10:$A$14,0))</f>
        <v>523.9459</v>
      </c>
      <c r="V531" s="61" t="n">
        <f aca="false">N(STACK!K531)</f>
        <v>0</v>
      </c>
      <c r="W531" s="61" t="n">
        <f aca="false">T531+U531+V531</f>
        <v>3356.0859</v>
      </c>
      <c r="X531" s="61" t="n">
        <f aca="false">N(STACK!L531)</f>
        <v>0</v>
      </c>
      <c r="Y531" s="61" t="n">
        <f aca="false">W531-X531</f>
        <v>3356.0859</v>
      </c>
      <c r="Z531" s="1" t="n">
        <f aca="false">N(STACK!J531)</f>
        <v>0</v>
      </c>
      <c r="AA531" s="1" t="str">
        <f aca="false">TRIM(IF(D531="UNMAPPED","Program not mapped. ","")&amp;IF(OR(K531="UNMAPPED",K531="UNASSIGNED"),"Category needs review. ","")&amp;IF(P531="UNMAPPED","Title not mapped. ","")&amp;IF(AND(P531&lt;&gt;"No staff time",R531=""),"Missing hours. ","")&amp;IF(M531="","Date not readable. ","")&amp;IF(N531="No","Outside fiscal year. ","")&amp;IF(AND(F531="Event",ISNUMBER(R531)),IF(R531&gt;12,"Event hours look high. ",""),"")&amp;IF(G531&gt;0,"See CONFIRM sheet.",""))</f>
        <v/>
      </c>
      <c r="AB531" s="1" t="n">
        <f aca="false">IF(N531="No",0,IF(REVIEW!O531=0,0,IF(G531&gt;0,IF(INDEX(CONFIRM!$J$5:$J$53,G531)&lt;&gt;"",INDEX(CONFIRM!$J$5:$J$53,G531),1),1)))</f>
        <v>1</v>
      </c>
      <c r="AC531" s="1" t="n">
        <f aca="false">IF(AB531=1,IF(COUNTIFS($B$5:B531,B531,$D$5:D531,D531,$AB$5:AB531,1)=1,1,0),0)</f>
        <v>0</v>
      </c>
    </row>
    <row r="532" customFormat="false" ht="15" hidden="false" customHeight="false" outlineLevel="0" collapsed="false">
      <c r="A532" s="48" t="str">
        <f aca="false">STACK!A532</f>
        <v>KVMC-0528</v>
      </c>
      <c r="B532" s="48" t="str">
        <f aca="false">STACK!B532</f>
        <v>KVMC</v>
      </c>
      <c r="C532" s="48" t="str">
        <f aca="false">STACK!E532</f>
        <v>Community Hypertension Control Study</v>
      </c>
      <c r="D532" s="1" t="str">
        <f aca="false">IFERROR(INDEX(MAP!$J$7:$J$101,MATCH(TRIM(C532),MAP!$I$7:$I$101,0)),"UNMAPPED")</f>
        <v>Community Hypertension Control Study</v>
      </c>
      <c r="E532" s="1" t="str">
        <f aca="false">IFERROR(INDEX(MAP!$K$7:$K$101,MATCH(TRIM(C532),MAP!$I$7:$I$101,0)),"")</f>
        <v>Chronic disease prevention</v>
      </c>
      <c r="F532" s="1" t="str">
        <f aca="false">IFERROR(INDEX(MAP!$L$7:$L$101,MATCH(TRIM(C532),MAP!$I$7:$I$101,0)),"")</f>
        <v>Monthly</v>
      </c>
      <c r="G532" s="1" t="n">
        <f aca="false">IFERROR(MATCH(A532,CONFIRM!$A$5:$A$53,0),0)</f>
        <v>0</v>
      </c>
      <c r="H532" s="48" t="str">
        <f aca="false">STACK!F532</f>
        <v>Research</v>
      </c>
      <c r="I532" s="1" t="str">
        <f aca="false">IF(G532&gt;0,IF(INDEX(CONFIRM!$I$5:$I$53,G532)&lt;&gt;"",INDEX(CONFIRM!$I$5:$I$53,G532),H532),H532)</f>
        <v>Research</v>
      </c>
      <c r="J532" s="1" t="str">
        <f aca="false">IFERROR(INDEX(MAP!$F$7:$F$74,MATCH(TRIM(I532),MAP!$E$7:$E$74,0)),"UNMAPPED")</f>
        <v>Research</v>
      </c>
      <c r="K532" s="1" t="str">
        <f aca="false">IFERROR(INDEX(MAP!$G$7:$G$74,MATCH(TRIM(I532),MAP!$E$7:$E$74,0)),"UNMAPPED")</f>
        <v>7h</v>
      </c>
      <c r="L532" s="49" t="n">
        <f aca="false">STACK!G532</f>
        <v>46203</v>
      </c>
      <c r="M532" s="59" t="n">
        <f aca="false">IF(G532&gt;0,IF(INDEX(CONFIRM!$G$5:$G$53,G532)&lt;&gt;"",INDEX(CONFIRM!$G$5:$G$53,G532),IF(ISNUMBER(L532),L532,IFERROR(DATEVALUE(L532),""))),IF(ISNUMBER(L532),L532,IFERROR(DATEVALUE(L532),"")))</f>
        <v>46203</v>
      </c>
      <c r="N532" s="1" t="str">
        <f aca="false">IF(M532="","Check",IF(AND(M532&gt;=INPUTS!$C$6,M532&lt;=INPUTS!$C$7),"Yes","No"))</f>
        <v>Yes</v>
      </c>
      <c r="O532" s="48" t="str">
        <f aca="false">STACK!H532</f>
        <v>Physician</v>
      </c>
      <c r="P532" s="1" t="str">
        <f aca="false">IF(G532&gt;0,IF(INDEX(CONFIRM!$H$5:$H$53,G532)&lt;&gt;"",INDEX(CONFIRM!$H$5:$H$53,G532),IFERROR(INDEX(MAP!$B$7:$B$156,MATCH(TRIM(O532),MAP!$A$7:$A$156,0)),"UNMAPPED")),IFERROR(INDEX(MAP!$B$7:$B$156,MATCH(TRIM(O532),MAP!$A$7:$A$156,0)),"UNMAPPED"))</f>
        <v>Physician</v>
      </c>
      <c r="Q532" s="48" t="n">
        <f aca="false">STACK!I532</f>
        <v>20.75</v>
      </c>
      <c r="R532" s="60" t="n">
        <f aca="false">IF(G532&gt;0,IF(INDEX(CONFIRM!$F$5:$F$53,G532)&lt;&gt;"",INDEX(CONFIRM!$F$5:$F$53,G532),IF(ISNUMBER(Q532),Q532,IF(Q532="","",IFERROR(VALUE(TRIM(SUBSTITUTE(SUBSTITUTE(LOWER(Q532),"hrs",""),"hr",""))),"")))),IF(ISNUMBER(Q532),Q532,IF(Q532="","",IFERROR(VALUE(TRIM(SUBSTITUTE(SUBSTITUTE(LOWER(Q532),"hrs",""),"hr",""))),""))))</f>
        <v>20.75</v>
      </c>
      <c r="S532" s="57" t="n">
        <f aca="false">IFERROR(INDEX(RATES!$E$6:$E$28,MATCH(P532,RATES!$A$6:$A$28,0)),0)</f>
        <v>151.63</v>
      </c>
      <c r="T532" s="61" t="n">
        <f aca="false">IF(ISNUMBER(R532),R532,0)*S532</f>
        <v>3146.3225</v>
      </c>
      <c r="U532" s="61" t="n">
        <f aca="false">T532*INDEX(INPUTS!$H$10:$H$14,MATCH(B532,INPUTS!$A$10:$A$14,0))</f>
        <v>582.0696625</v>
      </c>
      <c r="V532" s="61" t="n">
        <f aca="false">N(STACK!K532)</f>
        <v>0</v>
      </c>
      <c r="W532" s="61" t="n">
        <f aca="false">T532+U532+V532</f>
        <v>3728.3921625</v>
      </c>
      <c r="X532" s="61" t="n">
        <f aca="false">N(STACK!L532)</f>
        <v>0</v>
      </c>
      <c r="Y532" s="61" t="n">
        <f aca="false">W532-X532</f>
        <v>3728.3921625</v>
      </c>
      <c r="Z532" s="1" t="n">
        <f aca="false">N(STACK!J532)</f>
        <v>0</v>
      </c>
      <c r="AA532" s="1" t="str">
        <f aca="false">TRIM(IF(D532="UNMAPPED","Program not mapped. ","")&amp;IF(OR(K532="UNMAPPED",K532="UNASSIGNED"),"Category needs review. ","")&amp;IF(P532="UNMAPPED","Title not mapped. ","")&amp;IF(AND(P532&lt;&gt;"No staff time",R532=""),"Missing hours. ","")&amp;IF(M532="","Date not readable. ","")&amp;IF(N532="No","Outside fiscal year. ","")&amp;IF(AND(F532="Event",ISNUMBER(R532)),IF(R532&gt;12,"Event hours look high. ",""),"")&amp;IF(G532&gt;0,"See CONFIRM sheet.",""))</f>
        <v/>
      </c>
      <c r="AB532" s="1" t="n">
        <f aca="false">IF(N532="No",0,IF(REVIEW!O532=0,0,IF(G532&gt;0,IF(INDEX(CONFIRM!$J$5:$J$53,G532)&lt;&gt;"",INDEX(CONFIRM!$J$5:$J$53,G532),1),1)))</f>
        <v>1</v>
      </c>
      <c r="AC532" s="1" t="n">
        <f aca="false">IF(AB532=1,IF(COUNTIFS($B$5:B532,B532,$D$5:D532,D532,$AB$5:AB532,1)=1,1,0),0)</f>
        <v>0</v>
      </c>
    </row>
    <row r="533" customFormat="false" ht="15" hidden="false" customHeight="false" outlineLevel="0" collapsed="false">
      <c r="A533" s="48" t="str">
        <f aca="false">STACK!A533</f>
        <v>KVMC-0529</v>
      </c>
      <c r="B533" s="48" t="str">
        <f aca="false">STACK!B533</f>
        <v>KVMC</v>
      </c>
      <c r="C533" s="48" t="str">
        <f aca="false">STACK!E533</f>
        <v>Community Hypertension Control Study</v>
      </c>
      <c r="D533" s="1" t="str">
        <f aca="false">IFERROR(INDEX(MAP!$J$7:$J$101,MATCH(TRIM(C533),MAP!$I$7:$I$101,0)),"UNMAPPED")</f>
        <v>Community Hypertension Control Study</v>
      </c>
      <c r="E533" s="1" t="str">
        <f aca="false">IFERROR(INDEX(MAP!$K$7:$K$101,MATCH(TRIM(C533),MAP!$I$7:$I$101,0)),"")</f>
        <v>Chronic disease prevention</v>
      </c>
      <c r="F533" s="1" t="str">
        <f aca="false">IFERROR(INDEX(MAP!$L$7:$L$101,MATCH(TRIM(C533),MAP!$I$7:$I$101,0)),"")</f>
        <v>Monthly</v>
      </c>
      <c r="G533" s="1" t="n">
        <f aca="false">IFERROR(MATCH(A533,CONFIRM!$A$5:$A$53,0),0)</f>
        <v>0</v>
      </c>
      <c r="H533" s="48" t="str">
        <f aca="false">STACK!F533</f>
        <v>Research</v>
      </c>
      <c r="I533" s="1" t="str">
        <f aca="false">IF(G533&gt;0,IF(INDEX(CONFIRM!$I$5:$I$53,G533)&lt;&gt;"",INDEX(CONFIRM!$I$5:$I$53,G533),H533),H533)</f>
        <v>Research</v>
      </c>
      <c r="J533" s="1" t="str">
        <f aca="false">IFERROR(INDEX(MAP!$F$7:$F$74,MATCH(TRIM(I533),MAP!$E$7:$E$74,0)),"UNMAPPED")</f>
        <v>Research</v>
      </c>
      <c r="K533" s="1" t="str">
        <f aca="false">IFERROR(INDEX(MAP!$G$7:$G$74,MATCH(TRIM(I533),MAP!$E$7:$E$74,0)),"UNMAPPED")</f>
        <v>7h</v>
      </c>
      <c r="L533" s="49" t="n">
        <f aca="false">STACK!G533</f>
        <v>46203</v>
      </c>
      <c r="M533" s="59" t="n">
        <f aca="false">IF(G533&gt;0,IF(INDEX(CONFIRM!$G$5:$G$53,G533)&lt;&gt;"",INDEX(CONFIRM!$G$5:$G$53,G533),IF(ISNUMBER(L533),L533,IFERROR(DATEVALUE(L533),""))),IF(ISNUMBER(L533),L533,IFERROR(DATEVALUE(L533),"")))</f>
        <v>46203</v>
      </c>
      <c r="N533" s="1" t="str">
        <f aca="false">IF(M533="","Check",IF(AND(M533&gt;=INPUTS!$C$6,M533&lt;=INPUTS!$C$7),"Yes","No"))</f>
        <v>Yes</v>
      </c>
      <c r="O533" s="48" t="str">
        <f aca="false">STACK!H533</f>
        <v>CRC</v>
      </c>
      <c r="P533" s="1" t="str">
        <f aca="false">IF(G533&gt;0,IF(INDEX(CONFIRM!$H$5:$H$53,G533)&lt;&gt;"",INDEX(CONFIRM!$H$5:$H$53,G533),IFERROR(INDEX(MAP!$B$7:$B$156,MATCH(TRIM(O533),MAP!$A$7:$A$156,0)),"UNMAPPED")),IFERROR(INDEX(MAP!$B$7:$B$156,MATCH(TRIM(O533),MAP!$A$7:$A$156,0)),"UNMAPPED"))</f>
        <v>Research Coordinator</v>
      </c>
      <c r="Q533" s="48" t="n">
        <f aca="false">STACK!I533</f>
        <v>199</v>
      </c>
      <c r="R533" s="60" t="n">
        <f aca="false">IF(G533&gt;0,IF(INDEX(CONFIRM!$F$5:$F$53,G533)&lt;&gt;"",INDEX(CONFIRM!$F$5:$F$53,G533),IF(ISNUMBER(Q533),Q533,IF(Q533="","",IFERROR(VALUE(TRIM(SUBSTITUTE(SUBSTITUTE(LOWER(Q533),"hrs",""),"hr",""))),"")))),IF(ISNUMBER(Q533),Q533,IF(Q533="","",IFERROR(VALUE(TRIM(SUBSTITUTE(SUBSTITUTE(LOWER(Q533),"hrs",""),"hr",""))),""))))</f>
        <v>199</v>
      </c>
      <c r="S533" s="57" t="n">
        <f aca="false">IFERROR(INDEX(RATES!$E$6:$E$28,MATCH(P533,RATES!$A$6:$A$28,0)),0)</f>
        <v>42.405</v>
      </c>
      <c r="T533" s="61" t="n">
        <f aca="false">IF(ISNUMBER(R533),R533,0)*S533</f>
        <v>8438.595</v>
      </c>
      <c r="U533" s="61" t="n">
        <f aca="false">T533*INDEX(INPUTS!$H$10:$H$14,MATCH(B533,INPUTS!$A$10:$A$14,0))</f>
        <v>1561.140075</v>
      </c>
      <c r="V533" s="61" t="n">
        <f aca="false">N(STACK!K533)</f>
        <v>8350</v>
      </c>
      <c r="W533" s="61" t="n">
        <f aca="false">T533+U533+V533</f>
        <v>18349.735075</v>
      </c>
      <c r="X533" s="61" t="n">
        <f aca="false">N(STACK!L533)</f>
        <v>9440</v>
      </c>
      <c r="Y533" s="61" t="n">
        <f aca="false">W533-X533</f>
        <v>8909.735075</v>
      </c>
      <c r="Z533" s="1" t="n">
        <f aca="false">N(STACK!J533)</f>
        <v>58</v>
      </c>
      <c r="AA533" s="1" t="str">
        <f aca="false">TRIM(IF(D533="UNMAPPED","Program not mapped. ","")&amp;IF(OR(K533="UNMAPPED",K533="UNASSIGNED"),"Category needs review. ","")&amp;IF(P533="UNMAPPED","Title not mapped. ","")&amp;IF(AND(P533&lt;&gt;"No staff time",R533=""),"Missing hours. ","")&amp;IF(M533="","Date not readable. ","")&amp;IF(N533="No","Outside fiscal year. ","")&amp;IF(AND(F533="Event",ISNUMBER(R533)),IF(R533&gt;12,"Event hours look high. ",""),"")&amp;IF(G533&gt;0,"See CONFIRM sheet.",""))</f>
        <v/>
      </c>
      <c r="AB533" s="1" t="n">
        <f aca="false">IF(N533="No",0,IF(REVIEW!O533=0,0,IF(G533&gt;0,IF(INDEX(CONFIRM!$J$5:$J$53,G533)&lt;&gt;"",INDEX(CONFIRM!$J$5:$J$53,G533),1),1)))</f>
        <v>1</v>
      </c>
      <c r="AC533" s="1" t="n">
        <f aca="false">IF(AB533=1,IF(COUNTIFS($B$5:B533,B533,$D$5:D533,D533,$AB$5:AB533,1)=1,1,0),0)</f>
        <v>0</v>
      </c>
    </row>
    <row r="534" customFormat="false" ht="15" hidden="false" customHeight="false" outlineLevel="0" collapsed="false">
      <c r="A534" s="48" t="str">
        <f aca="false">STACK!A534</f>
        <v>ASH-0001</v>
      </c>
      <c r="B534" s="48" t="str">
        <f aca="false">STACK!B534</f>
        <v>ASH</v>
      </c>
      <c r="C534" s="48" t="str">
        <f aca="false">STACK!E534</f>
        <v>DPP Classes</v>
      </c>
      <c r="D534" s="1" t="str">
        <f aca="false">IFERROR(INDEX(MAP!$J$7:$J$101,MATCH(TRIM(C534),MAP!$I$7:$I$101,0)),"UNMAPPED")</f>
        <v>Diabetes Prevention Classes</v>
      </c>
      <c r="E534" s="1" t="str">
        <f aca="false">IFERROR(INDEX(MAP!$K$7:$K$101,MATCH(TRIM(C534),MAP!$I$7:$I$101,0)),"")</f>
        <v>Chronic disease prevention</v>
      </c>
      <c r="F534" s="1" t="str">
        <f aca="false">IFERROR(INDEX(MAP!$L$7:$L$101,MATCH(TRIM(C534),MAP!$I$7:$I$101,0)),"")</f>
        <v>Event</v>
      </c>
      <c r="G534" s="1" t="n">
        <f aca="false">IFERROR(MATCH(A534,CONFIRM!$A$5:$A$53,0),0)</f>
        <v>0</v>
      </c>
      <c r="H534" s="48" t="str">
        <f aca="false">STACK!F534</f>
        <v>Comm Hlth Ed</v>
      </c>
      <c r="I534" s="1" t="str">
        <f aca="false">IF(G534&gt;0,IF(INDEX(CONFIRM!$I$5:$I$53,G534)&lt;&gt;"",INDEX(CONFIRM!$I$5:$I$53,G534),H534),H534)</f>
        <v>Comm Hlth Ed</v>
      </c>
      <c r="J534" s="1" t="str">
        <f aca="false">IFERROR(INDEX(MAP!$F$7:$F$74,MATCH(TRIM(I534),MAP!$E$7:$E$74,0)),"UNMAPPED")</f>
        <v>Community health education</v>
      </c>
      <c r="K534" s="1" t="str">
        <f aca="false">IFERROR(INDEX(MAP!$G$7:$G$74,MATCH(TRIM(I534),MAP!$E$7:$E$74,0)),"UNMAPPED")</f>
        <v>7e</v>
      </c>
      <c r="L534" s="49" t="str">
        <f aca="false">STACK!G534</f>
        <v>07/05/2025</v>
      </c>
      <c r="M534" s="59" t="n">
        <f aca="false">IF(G534&gt;0,IF(INDEX(CONFIRM!$G$5:$G$53,G534)&lt;&gt;"",INDEX(CONFIRM!$G$5:$G$53,G534),IF(ISNUMBER(L534),L534,IFERROR(DATEVALUE(L534),""))),IF(ISNUMBER(L534),L534,IFERROR(DATEVALUE(L534),"")))</f>
        <v>45843</v>
      </c>
      <c r="N534" s="1" t="str">
        <f aca="false">IF(M534="","Check",IF(AND(M534&gt;=INPUTS!$C$6,M534&lt;=INPUTS!$C$7),"Yes","No"))</f>
        <v>Yes</v>
      </c>
      <c r="O534" s="48" t="str">
        <f aca="false">STACK!H534</f>
        <v>Health Ed</v>
      </c>
      <c r="P534" s="1" t="str">
        <f aca="false">IF(G534&gt;0,IF(INDEX(CONFIRM!$H$5:$H$53,G534)&lt;&gt;"",INDEX(CONFIRM!$H$5:$H$53,G534),IFERROR(INDEX(MAP!$B$7:$B$156,MATCH(TRIM(O534),MAP!$A$7:$A$156,0)),"UNMAPPED")),IFERROR(INDEX(MAP!$B$7:$B$156,MATCH(TRIM(O534),MAP!$A$7:$A$156,0)),"UNMAPPED"))</f>
        <v>Health Educator</v>
      </c>
      <c r="Q534" s="48" t="n">
        <f aca="false">STACK!I534</f>
        <v>2</v>
      </c>
      <c r="R534" s="60" t="n">
        <f aca="false">IF(G534&gt;0,IF(INDEX(CONFIRM!$F$5:$F$53,G534)&lt;&gt;"",INDEX(CONFIRM!$F$5:$F$53,G534),IF(ISNUMBER(Q534),Q534,IF(Q534="","",IFERROR(VALUE(TRIM(SUBSTITUTE(SUBSTITUTE(LOWER(Q534),"hrs",""),"hr",""))),"")))),IF(ISNUMBER(Q534),Q534,IF(Q534="","",IFERROR(VALUE(TRIM(SUBSTITUTE(SUBSTITUTE(LOWER(Q534),"hrs",""),"hr",""))),""))))</f>
        <v>2</v>
      </c>
      <c r="S534" s="57" t="n">
        <f aca="false">IFERROR(INDEX(RATES!$E$6:$E$28,MATCH(P534,RATES!$A$6:$A$28,0)),0)</f>
        <v>37.265</v>
      </c>
      <c r="T534" s="61" t="n">
        <f aca="false">IF(ISNUMBER(R534),R534,0)*S534</f>
        <v>74.53</v>
      </c>
      <c r="U534" s="61" t="n">
        <f aca="false">T534*INDEX(INPUTS!$H$10:$H$14,MATCH(B534,INPUTS!$A$10:$A$14,0))</f>
        <v>12.07386</v>
      </c>
      <c r="V534" s="61" t="n">
        <f aca="false">N(STACK!K534)</f>
        <v>95</v>
      </c>
      <c r="W534" s="61" t="n">
        <f aca="false">T534+U534+V534</f>
        <v>181.60386</v>
      </c>
      <c r="X534" s="61" t="n">
        <f aca="false">N(STACK!L534)</f>
        <v>0</v>
      </c>
      <c r="Y534" s="61" t="n">
        <f aca="false">W534-X534</f>
        <v>181.60386</v>
      </c>
      <c r="Z534" s="1" t="n">
        <f aca="false">N(STACK!J534)</f>
        <v>10</v>
      </c>
      <c r="AA534" s="1" t="str">
        <f aca="false">TRIM(IF(D534="UNMAPPED","Program not mapped. ","")&amp;IF(OR(K534="UNMAPPED",K534="UNASSIGNED"),"Category needs review. ","")&amp;IF(P534="UNMAPPED","Title not mapped. ","")&amp;IF(AND(P534&lt;&gt;"No staff time",R534=""),"Missing hours. ","")&amp;IF(M534="","Date not readable. ","")&amp;IF(N534="No","Outside fiscal year. ","")&amp;IF(AND(F534="Event",ISNUMBER(R534)),IF(R534&gt;12,"Event hours look high. ",""),"")&amp;IF(G534&gt;0,"See CONFIRM sheet.",""))</f>
        <v/>
      </c>
      <c r="AB534" s="1" t="n">
        <f aca="false">IF(N534="No",0,IF(REVIEW!O534=0,0,IF(G534&gt;0,IF(INDEX(CONFIRM!$J$5:$J$53,G534)&lt;&gt;"",INDEX(CONFIRM!$J$5:$J$53,G534),1),1)))</f>
        <v>1</v>
      </c>
      <c r="AC534" s="1" t="n">
        <f aca="false">IF(AB534=1,IF(COUNTIFS($B$5:B534,B534,$D$5:D534,D534,$AB$5:AB534,1)=1,1,0),0)</f>
        <v>1</v>
      </c>
    </row>
    <row r="535" customFormat="false" ht="15" hidden="false" customHeight="false" outlineLevel="0" collapsed="false">
      <c r="A535" s="48" t="str">
        <f aca="false">STACK!A535</f>
        <v>ASH-0002</v>
      </c>
      <c r="B535" s="48" t="str">
        <f aca="false">STACK!B535</f>
        <v>ASH</v>
      </c>
      <c r="C535" s="48" t="str">
        <f aca="false">STACK!E535</f>
        <v>DPP Classes</v>
      </c>
      <c r="D535" s="1" t="str">
        <f aca="false">IFERROR(INDEX(MAP!$J$7:$J$101,MATCH(TRIM(C535),MAP!$I$7:$I$101,0)),"UNMAPPED")</f>
        <v>Diabetes Prevention Classes</v>
      </c>
      <c r="E535" s="1" t="str">
        <f aca="false">IFERROR(INDEX(MAP!$K$7:$K$101,MATCH(TRIM(C535),MAP!$I$7:$I$101,0)),"")</f>
        <v>Chronic disease prevention</v>
      </c>
      <c r="F535" s="1" t="str">
        <f aca="false">IFERROR(INDEX(MAP!$L$7:$L$101,MATCH(TRIM(C535),MAP!$I$7:$I$101,0)),"")</f>
        <v>Event</v>
      </c>
      <c r="G535" s="1" t="n">
        <f aca="false">IFERROR(MATCH(A535,CONFIRM!$A$5:$A$53,0),0)</f>
        <v>0</v>
      </c>
      <c r="H535" s="48" t="str">
        <f aca="false">STACK!F535</f>
        <v>Comm Hlth Ed</v>
      </c>
      <c r="I535" s="1" t="str">
        <f aca="false">IF(G535&gt;0,IF(INDEX(CONFIRM!$I$5:$I$53,G535)&lt;&gt;"",INDEX(CONFIRM!$I$5:$I$53,G535),H535),H535)</f>
        <v>Comm Hlth Ed</v>
      </c>
      <c r="J535" s="1" t="str">
        <f aca="false">IFERROR(INDEX(MAP!$F$7:$F$74,MATCH(TRIM(I535),MAP!$E$7:$E$74,0)),"UNMAPPED")</f>
        <v>Community health education</v>
      </c>
      <c r="K535" s="1" t="str">
        <f aca="false">IFERROR(INDEX(MAP!$G$7:$G$74,MATCH(TRIM(I535),MAP!$E$7:$E$74,0)),"UNMAPPED")</f>
        <v>7e</v>
      </c>
      <c r="L535" s="49" t="str">
        <f aca="false">STACK!G535</f>
        <v>07/05/2025</v>
      </c>
      <c r="M535" s="59" t="n">
        <f aca="false">IF(G535&gt;0,IF(INDEX(CONFIRM!$G$5:$G$53,G535)&lt;&gt;"",INDEX(CONFIRM!$G$5:$G$53,G535),IF(ISNUMBER(L535),L535,IFERROR(DATEVALUE(L535),""))),IF(ISNUMBER(L535),L535,IFERROR(DATEVALUE(L535),"")))</f>
        <v>45843</v>
      </c>
      <c r="N535" s="1" t="str">
        <f aca="false">IF(M535="","Check",IF(AND(M535&gt;=INPUTS!$C$6,M535&lt;=INPUTS!$C$7),"Yes","No"))</f>
        <v>Yes</v>
      </c>
      <c r="O535" s="48" t="str">
        <f aca="false">STACK!H535</f>
        <v>RD</v>
      </c>
      <c r="P535" s="1" t="str">
        <f aca="false">IF(G535&gt;0,IF(INDEX(CONFIRM!$H$5:$H$53,G535)&lt;&gt;"",INDEX(CONFIRM!$H$5:$H$53,G535),IFERROR(INDEX(MAP!$B$7:$B$156,MATCH(TRIM(O535),MAP!$A$7:$A$156,0)),"UNMAPPED")),IFERROR(INDEX(MAP!$B$7:$B$156,MATCH(TRIM(O535),MAP!$A$7:$A$156,0)),"UNMAPPED"))</f>
        <v>Registered Dietitian</v>
      </c>
      <c r="Q535" s="48" t="n">
        <f aca="false">STACK!I535</f>
        <v>1.75</v>
      </c>
      <c r="R535" s="60" t="n">
        <f aca="false">IF(G535&gt;0,IF(INDEX(CONFIRM!$F$5:$F$53,G535)&lt;&gt;"",INDEX(CONFIRM!$F$5:$F$53,G535),IF(ISNUMBER(Q535),Q535,IF(Q535="","",IFERROR(VALUE(TRIM(SUBSTITUTE(SUBSTITUTE(LOWER(Q535),"hrs",""),"hr",""))),"")))),IF(ISNUMBER(Q535),Q535,IF(Q535="","",IFERROR(VALUE(TRIM(SUBSTITUTE(SUBSTITUTE(LOWER(Q535),"hrs",""),"hr",""))),""))))</f>
        <v>1.75</v>
      </c>
      <c r="S535" s="57" t="n">
        <f aca="false">IFERROR(INDEX(RATES!$E$6:$E$28,MATCH(P535,RATES!$A$6:$A$28,0)),0)</f>
        <v>46.9025</v>
      </c>
      <c r="T535" s="61" t="n">
        <f aca="false">IF(ISNUMBER(R535),R535,0)*S535</f>
        <v>82.079375</v>
      </c>
      <c r="U535" s="61" t="n">
        <f aca="false">T535*INDEX(INPUTS!$H$10:$H$14,MATCH(B535,INPUTS!$A$10:$A$14,0))</f>
        <v>13.29685875</v>
      </c>
      <c r="V535" s="61" t="n">
        <f aca="false">N(STACK!K535)</f>
        <v>0</v>
      </c>
      <c r="W535" s="61" t="n">
        <f aca="false">T535+U535+V535</f>
        <v>95.37623375</v>
      </c>
      <c r="X535" s="61" t="n">
        <f aca="false">N(STACK!L535)</f>
        <v>0</v>
      </c>
      <c r="Y535" s="61" t="n">
        <f aca="false">W535-X535</f>
        <v>95.37623375</v>
      </c>
      <c r="Z535" s="1" t="n">
        <f aca="false">N(STACK!J535)</f>
        <v>0</v>
      </c>
      <c r="AA535" s="1" t="str">
        <f aca="false">TRIM(IF(D535="UNMAPPED","Program not mapped. ","")&amp;IF(OR(K535="UNMAPPED",K535="UNASSIGNED"),"Category needs review. ","")&amp;IF(P535="UNMAPPED","Title not mapped. ","")&amp;IF(AND(P535&lt;&gt;"No staff time",R535=""),"Missing hours. ","")&amp;IF(M535="","Date not readable. ","")&amp;IF(N535="No","Outside fiscal year. ","")&amp;IF(AND(F535="Event",ISNUMBER(R535)),IF(R535&gt;12,"Event hours look high. ",""),"")&amp;IF(G535&gt;0,"See CONFIRM sheet.",""))</f>
        <v/>
      </c>
      <c r="AB535" s="1" t="n">
        <f aca="false">IF(N535="No",0,IF(REVIEW!O535=0,0,IF(G535&gt;0,IF(INDEX(CONFIRM!$J$5:$J$53,G535)&lt;&gt;"",INDEX(CONFIRM!$J$5:$J$53,G535),1),1)))</f>
        <v>1</v>
      </c>
      <c r="AC535" s="1" t="n">
        <f aca="false">IF(AB535=1,IF(COUNTIFS($B$5:B535,B535,$D$5:D535,D535,$AB$5:AB535,1)=1,1,0),0)</f>
        <v>0</v>
      </c>
    </row>
    <row r="536" customFormat="false" ht="15" hidden="false" customHeight="false" outlineLevel="0" collapsed="false">
      <c r="A536" s="48" t="str">
        <f aca="false">STACK!A536</f>
        <v>ASH-0003</v>
      </c>
      <c r="B536" s="48" t="str">
        <f aca="false">STACK!B536</f>
        <v>ASH</v>
      </c>
      <c r="C536" s="48" t="str">
        <f aca="false">STACK!E536</f>
        <v>DPP Classes</v>
      </c>
      <c r="D536" s="1" t="str">
        <f aca="false">IFERROR(INDEX(MAP!$J$7:$J$101,MATCH(TRIM(C536),MAP!$I$7:$I$101,0)),"UNMAPPED")</f>
        <v>Diabetes Prevention Classes</v>
      </c>
      <c r="E536" s="1" t="str">
        <f aca="false">IFERROR(INDEX(MAP!$K$7:$K$101,MATCH(TRIM(C536),MAP!$I$7:$I$101,0)),"")</f>
        <v>Chronic disease prevention</v>
      </c>
      <c r="F536" s="1" t="str">
        <f aca="false">IFERROR(INDEX(MAP!$L$7:$L$101,MATCH(TRIM(C536),MAP!$I$7:$I$101,0)),"")</f>
        <v>Event</v>
      </c>
      <c r="G536" s="1" t="n">
        <f aca="false">IFERROR(MATCH(A536,CONFIRM!$A$5:$A$53,0),0)</f>
        <v>3</v>
      </c>
      <c r="H536" s="48" t="str">
        <f aca="false">STACK!F536</f>
        <v>Comm Hlth Ed</v>
      </c>
      <c r="I536" s="1" t="str">
        <f aca="false">IF(G536&gt;0,IF(INDEX(CONFIRM!$I$5:$I$53,G536)&lt;&gt;"",INDEX(CONFIRM!$I$5:$I$53,G536),H536),H536)</f>
        <v>Comm Hlth Ed</v>
      </c>
      <c r="J536" s="1" t="str">
        <f aca="false">IFERROR(INDEX(MAP!$F$7:$F$74,MATCH(TRIM(I536),MAP!$E$7:$E$74,0)),"UNMAPPED")</f>
        <v>Community health education</v>
      </c>
      <c r="K536" s="1" t="str">
        <f aca="false">IFERROR(INDEX(MAP!$G$7:$G$74,MATCH(TRIM(I536),MAP!$E$7:$E$74,0)),"UNMAPPED")</f>
        <v>7e</v>
      </c>
      <c r="L536" s="49" t="str">
        <f aca="false">STACK!G536</f>
        <v>07/08/2025</v>
      </c>
      <c r="M536" s="59" t="n">
        <f aca="false">IF(G536&gt;0,IF(INDEX(CONFIRM!$G$5:$G$53,G536)&lt;&gt;"",INDEX(CONFIRM!$G$5:$G$53,G536),IF(ISNUMBER(L536),L536,IFERROR(DATEVALUE(L536),""))),IF(ISNUMBER(L536),L536,IFERROR(DATEVALUE(L536),"")))</f>
        <v>45846</v>
      </c>
      <c r="N536" s="1" t="str">
        <f aca="false">IF(M536="","Check",IF(AND(M536&gt;=INPUTS!$C$6,M536&lt;=INPUTS!$C$7),"Yes","No"))</f>
        <v>Yes</v>
      </c>
      <c r="O536" s="48" t="str">
        <f aca="false">STACK!H536</f>
        <v>Community Educator</v>
      </c>
      <c r="P536" s="1" t="str">
        <f aca="false">IF(G536&gt;0,IF(INDEX(CONFIRM!$H$5:$H$53,G536)&lt;&gt;"",INDEX(CONFIRM!$H$5:$H$53,G536),IFERROR(INDEX(MAP!$B$7:$B$156,MATCH(TRIM(O536),MAP!$A$7:$A$156,0)),"UNMAPPED")),IFERROR(INDEX(MAP!$B$7:$B$156,MATCH(TRIM(O536),MAP!$A$7:$A$156,0)),"UNMAPPED"))</f>
        <v>Health Educator</v>
      </c>
      <c r="Q536" s="48" t="n">
        <f aca="false">STACK!I536</f>
        <v>20</v>
      </c>
      <c r="R536" s="60" t="n">
        <f aca="false">IF(G536&gt;0,IF(INDEX(CONFIRM!$F$5:$F$53,G536)&lt;&gt;"",INDEX(CONFIRM!$F$5:$F$53,G536),IF(ISNUMBER(Q536),Q536,IF(Q536="","",IFERROR(VALUE(TRIM(SUBSTITUTE(SUBSTITUTE(LOWER(Q536),"hrs",""),"hr",""))),"")))),IF(ISNUMBER(Q536),Q536,IF(Q536="","",IFERROR(VALUE(TRIM(SUBSTITUTE(SUBSTITUTE(LOWER(Q536),"hrs",""),"hr",""))),""))))</f>
        <v>2</v>
      </c>
      <c r="S536" s="57" t="n">
        <f aca="false">IFERROR(INDEX(RATES!$E$6:$E$28,MATCH(P536,RATES!$A$6:$A$28,0)),0)</f>
        <v>37.265</v>
      </c>
      <c r="T536" s="61" t="n">
        <f aca="false">IF(ISNUMBER(R536),R536,0)*S536</f>
        <v>74.53</v>
      </c>
      <c r="U536" s="61" t="n">
        <f aca="false">T536*INDEX(INPUTS!$H$10:$H$14,MATCH(B536,INPUTS!$A$10:$A$14,0))</f>
        <v>12.07386</v>
      </c>
      <c r="V536" s="61" t="n">
        <f aca="false">N(STACK!K536)</f>
        <v>70</v>
      </c>
      <c r="W536" s="61" t="n">
        <f aca="false">T536+U536+V536</f>
        <v>156.60386</v>
      </c>
      <c r="X536" s="61" t="n">
        <f aca="false">N(STACK!L536)</f>
        <v>0</v>
      </c>
      <c r="Y536" s="61" t="n">
        <f aca="false">W536-X536</f>
        <v>156.60386</v>
      </c>
      <c r="Z536" s="1" t="n">
        <f aca="false">N(STACK!J536)</f>
        <v>14</v>
      </c>
      <c r="AA536" s="1" t="str">
        <f aca="false">TRIM(IF(D536="UNMAPPED","Program not mapped. ","")&amp;IF(OR(K536="UNMAPPED",K536="UNASSIGNED"),"Category needs review. ","")&amp;IF(P536="UNMAPPED","Title not mapped. ","")&amp;IF(AND(P536&lt;&gt;"No staff time",R536=""),"Missing hours. ","")&amp;IF(M536="","Date not readable. ","")&amp;IF(N536="No","Outside fiscal year. ","")&amp;IF(AND(F536="Event",ISNUMBER(R536)),IF(R536&gt;12,"Event hours look high. ",""),"")&amp;IF(G536&gt;0,"See CONFIRM sheet.",""))</f>
        <v>See CONFIRM sheet.</v>
      </c>
      <c r="AB536" s="1" t="n">
        <f aca="false">IF(N536="No",0,IF(REVIEW!O536=0,0,IF(G536&gt;0,IF(INDEX(CONFIRM!$J$5:$J$53,G536)&lt;&gt;"",INDEX(CONFIRM!$J$5:$J$53,G536),1),1)))</f>
        <v>1</v>
      </c>
      <c r="AC536" s="1" t="n">
        <f aca="false">IF(AB536=1,IF(COUNTIFS($B$5:B536,B536,$D$5:D536,D536,$AB$5:AB536,1)=1,1,0),0)</f>
        <v>0</v>
      </c>
    </row>
    <row r="537" customFormat="false" ht="15" hidden="false" customHeight="false" outlineLevel="0" collapsed="false">
      <c r="A537" s="48" t="str">
        <f aca="false">STACK!A537</f>
        <v>ASH-0004</v>
      </c>
      <c r="B537" s="48" t="str">
        <f aca="false">STACK!B537</f>
        <v>ASH</v>
      </c>
      <c r="C537" s="48" t="str">
        <f aca="false">STACK!E537</f>
        <v>DPP Classes</v>
      </c>
      <c r="D537" s="1" t="str">
        <f aca="false">IFERROR(INDEX(MAP!$J$7:$J$101,MATCH(TRIM(C537),MAP!$I$7:$I$101,0)),"UNMAPPED")</f>
        <v>Diabetes Prevention Classes</v>
      </c>
      <c r="E537" s="1" t="str">
        <f aca="false">IFERROR(INDEX(MAP!$K$7:$K$101,MATCH(TRIM(C537),MAP!$I$7:$I$101,0)),"")</f>
        <v>Chronic disease prevention</v>
      </c>
      <c r="F537" s="1" t="str">
        <f aca="false">IFERROR(INDEX(MAP!$L$7:$L$101,MATCH(TRIM(C537),MAP!$I$7:$I$101,0)),"")</f>
        <v>Event</v>
      </c>
      <c r="G537" s="1" t="n">
        <f aca="false">IFERROR(MATCH(A537,CONFIRM!$A$5:$A$53,0),0)</f>
        <v>0</v>
      </c>
      <c r="H537" s="48" t="str">
        <f aca="false">STACK!F537</f>
        <v>Comm Hlth Ed</v>
      </c>
      <c r="I537" s="1" t="str">
        <f aca="false">IF(G537&gt;0,IF(INDEX(CONFIRM!$I$5:$I$53,G537)&lt;&gt;"",INDEX(CONFIRM!$I$5:$I$53,G537),H537),H537)</f>
        <v>Comm Hlth Ed</v>
      </c>
      <c r="J537" s="1" t="str">
        <f aca="false">IFERROR(INDEX(MAP!$F$7:$F$74,MATCH(TRIM(I537),MAP!$E$7:$E$74,0)),"UNMAPPED")</f>
        <v>Community health education</v>
      </c>
      <c r="K537" s="1" t="str">
        <f aca="false">IFERROR(INDEX(MAP!$G$7:$G$74,MATCH(TRIM(I537),MAP!$E$7:$E$74,0)),"UNMAPPED")</f>
        <v>7e</v>
      </c>
      <c r="L537" s="49" t="str">
        <f aca="false">STACK!G537</f>
        <v>07/08/2025</v>
      </c>
      <c r="M537" s="59" t="n">
        <f aca="false">IF(G537&gt;0,IF(INDEX(CONFIRM!$G$5:$G$53,G537)&lt;&gt;"",INDEX(CONFIRM!$G$5:$G$53,G537),IF(ISNUMBER(L537),L537,IFERROR(DATEVALUE(L537),""))),IF(ISNUMBER(L537),L537,IFERROR(DATEVALUE(L537),"")))</f>
        <v>45846</v>
      </c>
      <c r="N537" s="1" t="str">
        <f aca="false">IF(M537="","Check",IF(AND(M537&gt;=INPUTS!$C$6,M537&lt;=INPUTS!$C$7),"Yes","No"))</f>
        <v>Yes</v>
      </c>
      <c r="O537" s="48" t="str">
        <f aca="false">STACK!H537</f>
        <v>Clinical Dietitian</v>
      </c>
      <c r="P537" s="1" t="str">
        <f aca="false">IF(G537&gt;0,IF(INDEX(CONFIRM!$H$5:$H$53,G537)&lt;&gt;"",INDEX(CONFIRM!$H$5:$H$53,G537),IFERROR(INDEX(MAP!$B$7:$B$156,MATCH(TRIM(O537),MAP!$A$7:$A$156,0)),"UNMAPPED")),IFERROR(INDEX(MAP!$B$7:$B$156,MATCH(TRIM(O537),MAP!$A$7:$A$156,0)),"UNMAPPED"))</f>
        <v>Registered Dietitian</v>
      </c>
      <c r="Q537" s="48" t="n">
        <f aca="false">STACK!I537</f>
        <v>1.75</v>
      </c>
      <c r="R537" s="60" t="n">
        <f aca="false">IF(G537&gt;0,IF(INDEX(CONFIRM!$F$5:$F$53,G537)&lt;&gt;"",INDEX(CONFIRM!$F$5:$F$53,G537),IF(ISNUMBER(Q537),Q537,IF(Q537="","",IFERROR(VALUE(TRIM(SUBSTITUTE(SUBSTITUTE(LOWER(Q537),"hrs",""),"hr",""))),"")))),IF(ISNUMBER(Q537),Q537,IF(Q537="","",IFERROR(VALUE(TRIM(SUBSTITUTE(SUBSTITUTE(LOWER(Q537),"hrs",""),"hr",""))),""))))</f>
        <v>1.75</v>
      </c>
      <c r="S537" s="57" t="n">
        <f aca="false">IFERROR(INDEX(RATES!$E$6:$E$28,MATCH(P537,RATES!$A$6:$A$28,0)),0)</f>
        <v>46.9025</v>
      </c>
      <c r="T537" s="61" t="n">
        <f aca="false">IF(ISNUMBER(R537),R537,0)*S537</f>
        <v>82.079375</v>
      </c>
      <c r="U537" s="61" t="n">
        <f aca="false">T537*INDEX(INPUTS!$H$10:$H$14,MATCH(B537,INPUTS!$A$10:$A$14,0))</f>
        <v>13.29685875</v>
      </c>
      <c r="V537" s="61" t="n">
        <f aca="false">N(STACK!K537)</f>
        <v>0</v>
      </c>
      <c r="W537" s="61" t="n">
        <f aca="false">T537+U537+V537</f>
        <v>95.37623375</v>
      </c>
      <c r="X537" s="61" t="n">
        <f aca="false">N(STACK!L537)</f>
        <v>0</v>
      </c>
      <c r="Y537" s="61" t="n">
        <f aca="false">W537-X537</f>
        <v>95.37623375</v>
      </c>
      <c r="Z537" s="1" t="n">
        <f aca="false">N(STACK!J537)</f>
        <v>0</v>
      </c>
      <c r="AA537" s="1" t="str">
        <f aca="false">TRIM(IF(D537="UNMAPPED","Program not mapped. ","")&amp;IF(OR(K537="UNMAPPED",K537="UNASSIGNED"),"Category needs review. ","")&amp;IF(P537="UNMAPPED","Title not mapped. ","")&amp;IF(AND(P537&lt;&gt;"No staff time",R537=""),"Missing hours. ","")&amp;IF(M537="","Date not readable. ","")&amp;IF(N537="No","Outside fiscal year. ","")&amp;IF(AND(F537="Event",ISNUMBER(R537)),IF(R537&gt;12,"Event hours look high. ",""),"")&amp;IF(G537&gt;0,"See CONFIRM sheet.",""))</f>
        <v/>
      </c>
      <c r="AB537" s="1" t="n">
        <f aca="false">IF(N537="No",0,IF(REVIEW!O537=0,0,IF(G537&gt;0,IF(INDEX(CONFIRM!$J$5:$J$53,G537)&lt;&gt;"",INDEX(CONFIRM!$J$5:$J$53,G537),1),1)))</f>
        <v>1</v>
      </c>
      <c r="AC537" s="1" t="n">
        <f aca="false">IF(AB537=1,IF(COUNTIFS($B$5:B537,B537,$D$5:D537,D537,$AB$5:AB537,1)=1,1,0),0)</f>
        <v>0</v>
      </c>
    </row>
    <row r="538" customFormat="false" ht="15" hidden="false" customHeight="false" outlineLevel="0" collapsed="false">
      <c r="A538" s="48" t="str">
        <f aca="false">STACK!A538</f>
        <v>ASH-0005</v>
      </c>
      <c r="B538" s="48" t="str">
        <f aca="false">STACK!B538</f>
        <v>ASH</v>
      </c>
      <c r="C538" s="48" t="str">
        <f aca="false">STACK!E538</f>
        <v>DPP Classes</v>
      </c>
      <c r="D538" s="1" t="str">
        <f aca="false">IFERROR(INDEX(MAP!$J$7:$J$101,MATCH(TRIM(C538),MAP!$I$7:$I$101,0)),"UNMAPPED")</f>
        <v>Diabetes Prevention Classes</v>
      </c>
      <c r="E538" s="1" t="str">
        <f aca="false">IFERROR(INDEX(MAP!$K$7:$K$101,MATCH(TRIM(C538),MAP!$I$7:$I$101,0)),"")</f>
        <v>Chronic disease prevention</v>
      </c>
      <c r="F538" s="1" t="str">
        <f aca="false">IFERROR(INDEX(MAP!$L$7:$L$101,MATCH(TRIM(C538),MAP!$I$7:$I$101,0)),"")</f>
        <v>Event</v>
      </c>
      <c r="G538" s="1" t="n">
        <f aca="false">IFERROR(MATCH(A538,CONFIRM!$A$5:$A$53,0),0)</f>
        <v>0</v>
      </c>
      <c r="H538" s="48" t="str">
        <f aca="false">STACK!F538</f>
        <v>Comm Hlth Ed</v>
      </c>
      <c r="I538" s="1" t="str">
        <f aca="false">IF(G538&gt;0,IF(INDEX(CONFIRM!$I$5:$I$53,G538)&lt;&gt;"",INDEX(CONFIRM!$I$5:$I$53,G538),H538),H538)</f>
        <v>Comm Hlth Ed</v>
      </c>
      <c r="J538" s="1" t="str">
        <f aca="false">IFERROR(INDEX(MAP!$F$7:$F$74,MATCH(TRIM(I538),MAP!$E$7:$E$74,0)),"UNMAPPED")</f>
        <v>Community health education</v>
      </c>
      <c r="K538" s="1" t="str">
        <f aca="false">IFERROR(INDEX(MAP!$G$7:$G$74,MATCH(TRIM(I538),MAP!$E$7:$E$74,0)),"UNMAPPED")</f>
        <v>7e</v>
      </c>
      <c r="L538" s="49" t="str">
        <f aca="false">STACK!G538</f>
        <v>07/10/2025</v>
      </c>
      <c r="M538" s="59" t="n">
        <f aca="false">IF(G538&gt;0,IF(INDEX(CONFIRM!$G$5:$G$53,G538)&lt;&gt;"",INDEX(CONFIRM!$G$5:$G$53,G538),IF(ISNUMBER(L538),L538,IFERROR(DATEVALUE(L538),""))),IF(ISNUMBER(L538),L538,IFERROR(DATEVALUE(L538),"")))</f>
        <v>45848</v>
      </c>
      <c r="N538" s="1" t="str">
        <f aca="false">IF(M538="","Check",IF(AND(M538&gt;=INPUTS!$C$6,M538&lt;=INPUTS!$C$7),"Yes","No"))</f>
        <v>Yes</v>
      </c>
      <c r="O538" s="48" t="str">
        <f aca="false">STACK!H538</f>
        <v>Hlth Educator</v>
      </c>
      <c r="P538" s="1" t="str">
        <f aca="false">IF(G538&gt;0,IF(INDEX(CONFIRM!$H$5:$H$53,G538)&lt;&gt;"",INDEX(CONFIRM!$H$5:$H$53,G538),IFERROR(INDEX(MAP!$B$7:$B$156,MATCH(TRIM(O538),MAP!$A$7:$A$156,0)),"UNMAPPED")),IFERROR(INDEX(MAP!$B$7:$B$156,MATCH(TRIM(O538),MAP!$A$7:$A$156,0)),"UNMAPPED"))</f>
        <v>Health Educator</v>
      </c>
      <c r="Q538" s="48" t="n">
        <f aca="false">STACK!I538</f>
        <v>2</v>
      </c>
      <c r="R538" s="60" t="n">
        <f aca="false">IF(G538&gt;0,IF(INDEX(CONFIRM!$F$5:$F$53,G538)&lt;&gt;"",INDEX(CONFIRM!$F$5:$F$53,G538),IF(ISNUMBER(Q538),Q538,IF(Q538="","",IFERROR(VALUE(TRIM(SUBSTITUTE(SUBSTITUTE(LOWER(Q538),"hrs",""),"hr",""))),"")))),IF(ISNUMBER(Q538),Q538,IF(Q538="","",IFERROR(VALUE(TRIM(SUBSTITUTE(SUBSTITUTE(LOWER(Q538),"hrs",""),"hr",""))),""))))</f>
        <v>2</v>
      </c>
      <c r="S538" s="57" t="n">
        <f aca="false">IFERROR(INDEX(RATES!$E$6:$E$28,MATCH(P538,RATES!$A$6:$A$28,0)),0)</f>
        <v>37.265</v>
      </c>
      <c r="T538" s="61" t="n">
        <f aca="false">IF(ISNUMBER(R538),R538,0)*S538</f>
        <v>74.53</v>
      </c>
      <c r="U538" s="61" t="n">
        <f aca="false">T538*INDEX(INPUTS!$H$10:$H$14,MATCH(B538,INPUTS!$A$10:$A$14,0))</f>
        <v>12.07386</v>
      </c>
      <c r="V538" s="61" t="n">
        <f aca="false">N(STACK!K538)</f>
        <v>160</v>
      </c>
      <c r="W538" s="61" t="n">
        <f aca="false">T538+U538+V538</f>
        <v>246.60386</v>
      </c>
      <c r="X538" s="61" t="n">
        <f aca="false">N(STACK!L538)</f>
        <v>0</v>
      </c>
      <c r="Y538" s="61" t="n">
        <f aca="false">W538-X538</f>
        <v>246.60386</v>
      </c>
      <c r="Z538" s="1" t="n">
        <f aca="false">N(STACK!J538)</f>
        <v>13</v>
      </c>
      <c r="AA538" s="1" t="str">
        <f aca="false">TRIM(IF(D538="UNMAPPED","Program not mapped. ","")&amp;IF(OR(K538="UNMAPPED",K538="UNASSIGNED"),"Category needs review. ","")&amp;IF(P538="UNMAPPED","Title not mapped. ","")&amp;IF(AND(P538&lt;&gt;"No staff time",R538=""),"Missing hours. ","")&amp;IF(M538="","Date not readable. ","")&amp;IF(N538="No","Outside fiscal year. ","")&amp;IF(AND(F538="Event",ISNUMBER(R538)),IF(R538&gt;12,"Event hours look high. ",""),"")&amp;IF(G538&gt;0,"See CONFIRM sheet.",""))</f>
        <v/>
      </c>
      <c r="AB538" s="1" t="n">
        <f aca="false">IF(N538="No",0,IF(REVIEW!O538=0,0,IF(G538&gt;0,IF(INDEX(CONFIRM!$J$5:$J$53,G538)&lt;&gt;"",INDEX(CONFIRM!$J$5:$J$53,G538),1),1)))</f>
        <v>1</v>
      </c>
      <c r="AC538" s="1" t="n">
        <f aca="false">IF(AB538=1,IF(COUNTIFS($B$5:B538,B538,$D$5:D538,D538,$AB$5:AB538,1)=1,1,0),0)</f>
        <v>0</v>
      </c>
    </row>
    <row r="539" customFormat="false" ht="15" hidden="false" customHeight="false" outlineLevel="0" collapsed="false">
      <c r="A539" s="48" t="str">
        <f aca="false">STACK!A539</f>
        <v>ASH-0006</v>
      </c>
      <c r="B539" s="48" t="str">
        <f aca="false">STACK!B539</f>
        <v>ASH</v>
      </c>
      <c r="C539" s="48" t="str">
        <f aca="false">STACK!E539</f>
        <v>DPP Classes</v>
      </c>
      <c r="D539" s="1" t="str">
        <f aca="false">IFERROR(INDEX(MAP!$J$7:$J$101,MATCH(TRIM(C539),MAP!$I$7:$I$101,0)),"UNMAPPED")</f>
        <v>Diabetes Prevention Classes</v>
      </c>
      <c r="E539" s="1" t="str">
        <f aca="false">IFERROR(INDEX(MAP!$K$7:$K$101,MATCH(TRIM(C539),MAP!$I$7:$I$101,0)),"")</f>
        <v>Chronic disease prevention</v>
      </c>
      <c r="F539" s="1" t="str">
        <f aca="false">IFERROR(INDEX(MAP!$L$7:$L$101,MATCH(TRIM(C539),MAP!$I$7:$I$101,0)),"")</f>
        <v>Event</v>
      </c>
      <c r="G539" s="1" t="n">
        <f aca="false">IFERROR(MATCH(A539,CONFIRM!$A$5:$A$53,0),0)</f>
        <v>0</v>
      </c>
      <c r="H539" s="48" t="str">
        <f aca="false">STACK!F539</f>
        <v>Comm Hlth Ed</v>
      </c>
      <c r="I539" s="1" t="str">
        <f aca="false">IF(G539&gt;0,IF(INDEX(CONFIRM!$I$5:$I$53,G539)&lt;&gt;"",INDEX(CONFIRM!$I$5:$I$53,G539),H539),H539)</f>
        <v>Comm Hlth Ed</v>
      </c>
      <c r="J539" s="1" t="str">
        <f aca="false">IFERROR(INDEX(MAP!$F$7:$F$74,MATCH(TRIM(I539),MAP!$E$7:$E$74,0)),"UNMAPPED")</f>
        <v>Community health education</v>
      </c>
      <c r="K539" s="1" t="str">
        <f aca="false">IFERROR(INDEX(MAP!$G$7:$G$74,MATCH(TRIM(I539),MAP!$E$7:$E$74,0)),"UNMAPPED")</f>
        <v>7e</v>
      </c>
      <c r="L539" s="49" t="str">
        <f aca="false">STACK!G539</f>
        <v>07/10/2025</v>
      </c>
      <c r="M539" s="59" t="n">
        <f aca="false">IF(G539&gt;0,IF(INDEX(CONFIRM!$G$5:$G$53,G539)&lt;&gt;"",INDEX(CONFIRM!$G$5:$G$53,G539),IF(ISNUMBER(L539),L539,IFERROR(DATEVALUE(L539),""))),IF(ISNUMBER(L539),L539,IFERROR(DATEVALUE(L539),"")))</f>
        <v>45848</v>
      </c>
      <c r="N539" s="1" t="str">
        <f aca="false">IF(M539="","Check",IF(AND(M539&gt;=INPUTS!$C$6,M539&lt;=INPUTS!$C$7),"Yes","No"))</f>
        <v>Yes</v>
      </c>
      <c r="O539" s="48" t="str">
        <f aca="false">STACK!H539</f>
        <v>Dietitian</v>
      </c>
      <c r="P539" s="1" t="str">
        <f aca="false">IF(G539&gt;0,IF(INDEX(CONFIRM!$H$5:$H$53,G539)&lt;&gt;"",INDEX(CONFIRM!$H$5:$H$53,G539),IFERROR(INDEX(MAP!$B$7:$B$156,MATCH(TRIM(O539),MAP!$A$7:$A$156,0)),"UNMAPPED")),IFERROR(INDEX(MAP!$B$7:$B$156,MATCH(TRIM(O539),MAP!$A$7:$A$156,0)),"UNMAPPED"))</f>
        <v>Registered Dietitian</v>
      </c>
      <c r="Q539" s="48" t="n">
        <f aca="false">STACK!I539</f>
        <v>1.5</v>
      </c>
      <c r="R539" s="60" t="n">
        <f aca="false">IF(G539&gt;0,IF(INDEX(CONFIRM!$F$5:$F$53,G539)&lt;&gt;"",INDEX(CONFIRM!$F$5:$F$53,G539),IF(ISNUMBER(Q539),Q539,IF(Q539="","",IFERROR(VALUE(TRIM(SUBSTITUTE(SUBSTITUTE(LOWER(Q539),"hrs",""),"hr",""))),"")))),IF(ISNUMBER(Q539),Q539,IF(Q539="","",IFERROR(VALUE(TRIM(SUBSTITUTE(SUBSTITUTE(LOWER(Q539),"hrs",""),"hr",""))),""))))</f>
        <v>1.5</v>
      </c>
      <c r="S539" s="57" t="n">
        <f aca="false">IFERROR(INDEX(RATES!$E$6:$E$28,MATCH(P539,RATES!$A$6:$A$28,0)),0)</f>
        <v>46.9025</v>
      </c>
      <c r="T539" s="61" t="n">
        <f aca="false">IF(ISNUMBER(R539),R539,0)*S539</f>
        <v>70.35375</v>
      </c>
      <c r="U539" s="61" t="n">
        <f aca="false">T539*INDEX(INPUTS!$H$10:$H$14,MATCH(B539,INPUTS!$A$10:$A$14,0))</f>
        <v>11.3973075</v>
      </c>
      <c r="V539" s="61" t="n">
        <f aca="false">N(STACK!K539)</f>
        <v>0</v>
      </c>
      <c r="W539" s="61" t="n">
        <f aca="false">T539+U539+V539</f>
        <v>81.7510575</v>
      </c>
      <c r="X539" s="61" t="n">
        <f aca="false">N(STACK!L539)</f>
        <v>0</v>
      </c>
      <c r="Y539" s="61" t="n">
        <f aca="false">W539-X539</f>
        <v>81.7510575</v>
      </c>
      <c r="Z539" s="1" t="n">
        <f aca="false">N(STACK!J539)</f>
        <v>0</v>
      </c>
      <c r="AA539" s="1" t="str">
        <f aca="false">TRIM(IF(D539="UNMAPPED","Program not mapped. ","")&amp;IF(OR(K539="UNMAPPED",K539="UNASSIGNED"),"Category needs review. ","")&amp;IF(P539="UNMAPPED","Title not mapped. ","")&amp;IF(AND(P539&lt;&gt;"No staff time",R539=""),"Missing hours. ","")&amp;IF(M539="","Date not readable. ","")&amp;IF(N539="No","Outside fiscal year. ","")&amp;IF(AND(F539="Event",ISNUMBER(R539)),IF(R539&gt;12,"Event hours look high. ",""),"")&amp;IF(G539&gt;0,"See CONFIRM sheet.",""))</f>
        <v/>
      </c>
      <c r="AB539" s="1" t="n">
        <f aca="false">IF(N539="No",0,IF(REVIEW!O539=0,0,IF(G539&gt;0,IF(INDEX(CONFIRM!$J$5:$J$53,G539)&lt;&gt;"",INDEX(CONFIRM!$J$5:$J$53,G539),1),1)))</f>
        <v>1</v>
      </c>
      <c r="AC539" s="1" t="n">
        <f aca="false">IF(AB539=1,IF(COUNTIFS($B$5:B539,B539,$D$5:D539,D539,$AB$5:AB539,1)=1,1,0),0)</f>
        <v>0</v>
      </c>
    </row>
    <row r="540" customFormat="false" ht="15" hidden="false" customHeight="false" outlineLevel="0" collapsed="false">
      <c r="A540" s="48" t="str">
        <f aca="false">STACK!A540</f>
        <v>ASH-0007</v>
      </c>
      <c r="B540" s="48" t="str">
        <f aca="false">STACK!B540</f>
        <v>ASH</v>
      </c>
      <c r="C540" s="48" t="str">
        <f aca="false">STACK!E540</f>
        <v>BP Checks</v>
      </c>
      <c r="D540" s="1" t="str">
        <f aca="false">IFERROR(INDEX(MAP!$J$7:$J$101,MATCH(TRIM(C540),MAP!$I$7:$I$101,0)),"UNMAPPED")</f>
        <v>Community Blood Pressure Checks</v>
      </c>
      <c r="E540" s="1" t="str">
        <f aca="false">IFERROR(INDEX(MAP!$K$7:$K$101,MATCH(TRIM(C540),MAP!$I$7:$I$101,0)),"")</f>
        <v>Chronic disease prevention</v>
      </c>
      <c r="F540" s="1" t="str">
        <f aca="false">IFERROR(INDEX(MAP!$L$7:$L$101,MATCH(TRIM(C540),MAP!$I$7:$I$101,0)),"")</f>
        <v>Event</v>
      </c>
      <c r="G540" s="1" t="n">
        <f aca="false">IFERROR(MATCH(A540,CONFIRM!$A$5:$A$53,0),0)</f>
        <v>0</v>
      </c>
      <c r="H540" s="48" t="str">
        <f aca="false">STACK!F540</f>
        <v>Clinical Svcs</v>
      </c>
      <c r="I540" s="1" t="str">
        <f aca="false">IF(G540&gt;0,IF(INDEX(CONFIRM!$I$5:$I$53,G540)&lt;&gt;"",INDEX(CONFIRM!$I$5:$I$53,G540),H540),H540)</f>
        <v>Clinical Svcs</v>
      </c>
      <c r="J540" s="1" t="str">
        <f aca="false">IFERROR(INDEX(MAP!$F$7:$F$74,MATCH(TRIM(I540),MAP!$E$7:$E$74,0)),"UNMAPPED")</f>
        <v>Community-based clinical services</v>
      </c>
      <c r="K540" s="1" t="str">
        <f aca="false">IFERROR(INDEX(MAP!$G$7:$G$74,MATCH(TRIM(I540),MAP!$E$7:$E$74,0)),"UNMAPPED")</f>
        <v>7e</v>
      </c>
      <c r="L540" s="49" t="str">
        <f aca="false">STACK!G540</f>
        <v>07/12/2025</v>
      </c>
      <c r="M540" s="59" t="n">
        <f aca="false">IF(G540&gt;0,IF(INDEX(CONFIRM!$G$5:$G$53,G540)&lt;&gt;"",INDEX(CONFIRM!$G$5:$G$53,G540),IF(ISNUMBER(L540),L540,IFERROR(DATEVALUE(L540),""))),IF(ISNUMBER(L540),L540,IFERROR(DATEVALUE(L540),"")))</f>
        <v>45850</v>
      </c>
      <c r="N540" s="1" t="str">
        <f aca="false">IF(M540="","Check",IF(AND(M540&gt;=INPUTS!$C$6,M540&lt;=INPUTS!$C$7),"Yes","No"))</f>
        <v>Yes</v>
      </c>
      <c r="O540" s="48" t="str">
        <f aca="false">STACK!H540</f>
        <v>RN</v>
      </c>
      <c r="P540" s="1" t="str">
        <f aca="false">IF(G540&gt;0,IF(INDEX(CONFIRM!$H$5:$H$53,G540)&lt;&gt;"",INDEX(CONFIRM!$H$5:$H$53,G540),IFERROR(INDEX(MAP!$B$7:$B$156,MATCH(TRIM(O540),MAP!$A$7:$A$156,0)),"UNMAPPED")),IFERROR(INDEX(MAP!$B$7:$B$156,MATCH(TRIM(O540),MAP!$A$7:$A$156,0)),"UNMAPPED"))</f>
        <v>Registered Nurse</v>
      </c>
      <c r="Q540" s="48" t="n">
        <f aca="false">STACK!I540</f>
        <v>3.75</v>
      </c>
      <c r="R540" s="60" t="n">
        <f aca="false">IF(G540&gt;0,IF(INDEX(CONFIRM!$F$5:$F$53,G540)&lt;&gt;"",INDEX(CONFIRM!$F$5:$F$53,G540),IF(ISNUMBER(Q540),Q540,IF(Q540="","",IFERROR(VALUE(TRIM(SUBSTITUTE(SUBSTITUTE(LOWER(Q540),"hrs",""),"hr",""))),"")))),IF(ISNUMBER(Q540),Q540,IF(Q540="","",IFERROR(VALUE(TRIM(SUBSTITUTE(SUBSTITUTE(LOWER(Q540),"hrs",""),"hr",""))),""))))</f>
        <v>3.75</v>
      </c>
      <c r="S540" s="57" t="n">
        <f aca="false">IFERROR(INDEX(RATES!$E$6:$E$28,MATCH(P540,RATES!$A$6:$A$28,0)),0)</f>
        <v>55.8975</v>
      </c>
      <c r="T540" s="61" t="n">
        <f aca="false">IF(ISNUMBER(R540),R540,0)*S540</f>
        <v>209.615625</v>
      </c>
      <c r="U540" s="61" t="n">
        <f aca="false">T540*INDEX(INPUTS!$H$10:$H$14,MATCH(B540,INPUTS!$A$10:$A$14,0))</f>
        <v>33.95773125</v>
      </c>
      <c r="V540" s="61" t="n">
        <f aca="false">N(STACK!K540)</f>
        <v>105</v>
      </c>
      <c r="W540" s="61" t="n">
        <f aca="false">T540+U540+V540</f>
        <v>348.57335625</v>
      </c>
      <c r="X540" s="61" t="n">
        <f aca="false">N(STACK!L540)</f>
        <v>0</v>
      </c>
      <c r="Y540" s="61" t="n">
        <f aca="false">W540-X540</f>
        <v>348.57335625</v>
      </c>
      <c r="Z540" s="1" t="n">
        <f aca="false">N(STACK!J540)</f>
        <v>41</v>
      </c>
      <c r="AA540" s="1" t="str">
        <f aca="false">TRIM(IF(D540="UNMAPPED","Program not mapped. ","")&amp;IF(OR(K540="UNMAPPED",K540="UNASSIGNED"),"Category needs review. ","")&amp;IF(P540="UNMAPPED","Title not mapped. ","")&amp;IF(AND(P540&lt;&gt;"No staff time",R540=""),"Missing hours. ","")&amp;IF(M540="","Date not readable. ","")&amp;IF(N540="No","Outside fiscal year. ","")&amp;IF(AND(F540="Event",ISNUMBER(R540)),IF(R540&gt;12,"Event hours look high. ",""),"")&amp;IF(G540&gt;0,"See CONFIRM sheet.",""))</f>
        <v/>
      </c>
      <c r="AB540" s="1" t="n">
        <f aca="false">IF(N540="No",0,IF(REVIEW!O540=0,0,IF(G540&gt;0,IF(INDEX(CONFIRM!$J$5:$J$53,G540)&lt;&gt;"",INDEX(CONFIRM!$J$5:$J$53,G540),1),1)))</f>
        <v>1</v>
      </c>
      <c r="AC540" s="1" t="n">
        <f aca="false">IF(AB540=1,IF(COUNTIFS($B$5:B540,B540,$D$5:D540,D540,$AB$5:AB540,1)=1,1,0),0)</f>
        <v>1</v>
      </c>
    </row>
    <row r="541" customFormat="false" ht="15" hidden="false" customHeight="false" outlineLevel="0" collapsed="false">
      <c r="A541" s="48" t="str">
        <f aca="false">STACK!A541</f>
        <v>ASH-0008</v>
      </c>
      <c r="B541" s="48" t="str">
        <f aca="false">STACK!B541</f>
        <v>ASH</v>
      </c>
      <c r="C541" s="48" t="str">
        <f aca="false">STACK!E541</f>
        <v>Fall Prevention</v>
      </c>
      <c r="D541" s="1" t="str">
        <f aca="false">IFERROR(INDEX(MAP!$J$7:$J$101,MATCH(TRIM(C541),MAP!$I$7:$I$101,0)),"UNMAPPED")</f>
        <v>Fall Prevention Classes for Older Adults</v>
      </c>
      <c r="E541" s="1" t="str">
        <f aca="false">IFERROR(INDEX(MAP!$K$7:$K$101,MATCH(TRIM(C541),MAP!$I$7:$I$101,0)),"")</f>
        <v>Chronic disease prevention</v>
      </c>
      <c r="F541" s="1" t="str">
        <f aca="false">IFERROR(INDEX(MAP!$L$7:$L$101,MATCH(TRIM(C541),MAP!$I$7:$I$101,0)),"")</f>
        <v>Event</v>
      </c>
      <c r="G541" s="1" t="n">
        <f aca="false">IFERROR(MATCH(A541,CONFIRM!$A$5:$A$53,0),0)</f>
        <v>0</v>
      </c>
      <c r="H541" s="48" t="str">
        <f aca="false">STACK!F541</f>
        <v>Comm Hlth Ed</v>
      </c>
      <c r="I541" s="1" t="str">
        <f aca="false">IF(G541&gt;0,IF(INDEX(CONFIRM!$I$5:$I$53,G541)&lt;&gt;"",INDEX(CONFIRM!$I$5:$I$53,G541),H541),H541)</f>
        <v>Comm Hlth Ed</v>
      </c>
      <c r="J541" s="1" t="str">
        <f aca="false">IFERROR(INDEX(MAP!$F$7:$F$74,MATCH(TRIM(I541),MAP!$E$7:$E$74,0)),"UNMAPPED")</f>
        <v>Community health education</v>
      </c>
      <c r="K541" s="1" t="str">
        <f aca="false">IFERROR(INDEX(MAP!$G$7:$G$74,MATCH(TRIM(I541),MAP!$E$7:$E$74,0)),"UNMAPPED")</f>
        <v>7e</v>
      </c>
      <c r="L541" s="49" t="str">
        <f aca="false">STACK!G541</f>
        <v>07/19/2025</v>
      </c>
      <c r="M541" s="59" t="n">
        <f aca="false">IF(G541&gt;0,IF(INDEX(CONFIRM!$G$5:$G$53,G541)&lt;&gt;"",INDEX(CONFIRM!$G$5:$G$53,G541),IF(ISNUMBER(L541),L541,IFERROR(DATEVALUE(L541),""))),IF(ISNUMBER(L541),L541,IFERROR(DATEVALUE(L541),"")))</f>
        <v>45857</v>
      </c>
      <c r="N541" s="1" t="str">
        <f aca="false">IF(M541="","Check",IF(AND(M541&gt;=INPUTS!$C$6,M541&lt;=INPUTS!$C$7),"Yes","No"))</f>
        <v>Yes</v>
      </c>
      <c r="O541" s="48" t="str">
        <f aca="false">STACK!H541</f>
        <v>Physical Therapist</v>
      </c>
      <c r="P541" s="1" t="str">
        <f aca="false">IF(G541&gt;0,IF(INDEX(CONFIRM!$H$5:$H$53,G541)&lt;&gt;"",INDEX(CONFIRM!$H$5:$H$53,G541),IFERROR(INDEX(MAP!$B$7:$B$156,MATCH(TRIM(O541),MAP!$A$7:$A$156,0)),"UNMAPPED")),IFERROR(INDEX(MAP!$B$7:$B$156,MATCH(TRIM(O541),MAP!$A$7:$A$156,0)),"UNMAPPED"))</f>
        <v>Licensed Therapist</v>
      </c>
      <c r="Q541" s="48" t="n">
        <f aca="false">STACK!I541</f>
        <v>2</v>
      </c>
      <c r="R541" s="60" t="n">
        <f aca="false">IF(G541&gt;0,IF(INDEX(CONFIRM!$F$5:$F$53,G541)&lt;&gt;"",INDEX(CONFIRM!$F$5:$F$53,G541),IF(ISNUMBER(Q541),Q541,IF(Q541="","",IFERROR(VALUE(TRIM(SUBSTITUTE(SUBSTITUTE(LOWER(Q541),"hrs",""),"hr",""))),"")))),IF(ISNUMBER(Q541),Q541,IF(Q541="","",IFERROR(VALUE(TRIM(SUBSTITUTE(SUBSTITUTE(LOWER(Q541),"hrs",""),"hr",""))),""))))</f>
        <v>2</v>
      </c>
      <c r="S541" s="57" t="n">
        <f aca="false">IFERROR(INDEX(RATES!$E$6:$E$28,MATCH(P541,RATES!$A$6:$A$28,0)),0)</f>
        <v>53.97</v>
      </c>
      <c r="T541" s="61" t="n">
        <f aca="false">IF(ISNUMBER(R541),R541,0)*S541</f>
        <v>107.94</v>
      </c>
      <c r="U541" s="61" t="n">
        <f aca="false">T541*INDEX(INPUTS!$H$10:$H$14,MATCH(B541,INPUTS!$A$10:$A$14,0))</f>
        <v>17.48628</v>
      </c>
      <c r="V541" s="61" t="n">
        <f aca="false">N(STACK!K541)</f>
        <v>65</v>
      </c>
      <c r="W541" s="61" t="n">
        <f aca="false">T541+U541+V541</f>
        <v>190.42628</v>
      </c>
      <c r="X541" s="61" t="n">
        <f aca="false">N(STACK!L541)</f>
        <v>0</v>
      </c>
      <c r="Y541" s="61" t="n">
        <f aca="false">W541-X541</f>
        <v>190.42628</v>
      </c>
      <c r="Z541" s="1" t="n">
        <f aca="false">N(STACK!J541)</f>
        <v>16</v>
      </c>
      <c r="AA541" s="1" t="str">
        <f aca="false">TRIM(IF(D541="UNMAPPED","Program not mapped. ","")&amp;IF(OR(K541="UNMAPPED",K541="UNASSIGNED"),"Category needs review. ","")&amp;IF(P541="UNMAPPED","Title not mapped. ","")&amp;IF(AND(P541&lt;&gt;"No staff time",R541=""),"Missing hours. ","")&amp;IF(M541="","Date not readable. ","")&amp;IF(N541="No","Outside fiscal year. ","")&amp;IF(AND(F541="Event",ISNUMBER(R541)),IF(R541&gt;12,"Event hours look high. ",""),"")&amp;IF(G541&gt;0,"See CONFIRM sheet.",""))</f>
        <v/>
      </c>
      <c r="AB541" s="1" t="n">
        <f aca="false">IF(N541="No",0,IF(REVIEW!O541=0,0,IF(G541&gt;0,IF(INDEX(CONFIRM!$J$5:$J$53,G541)&lt;&gt;"",INDEX(CONFIRM!$J$5:$J$53,G541),1),1)))</f>
        <v>1</v>
      </c>
      <c r="AC541" s="1" t="n">
        <f aca="false">IF(AB541=1,IF(COUNTIFS($B$5:B541,B541,$D$5:D541,D541,$AB$5:AB541,1)=1,1,0),0)</f>
        <v>1</v>
      </c>
    </row>
    <row r="542" customFormat="false" ht="15" hidden="false" customHeight="false" outlineLevel="0" collapsed="false">
      <c r="A542" s="48" t="str">
        <f aca="false">STACK!A542</f>
        <v>ASH-0009</v>
      </c>
      <c r="B542" s="48" t="str">
        <f aca="false">STACK!B542</f>
        <v>ASH</v>
      </c>
      <c r="C542" s="48" t="str">
        <f aca="false">STACK!E542</f>
        <v>Mobile Screening Unit</v>
      </c>
      <c r="D542" s="1" t="str">
        <f aca="false">IFERROR(INDEX(MAP!$J$7:$J$101,MATCH(TRIM(C542),MAP!$I$7:$I$101,0)),"UNMAPPED")</f>
        <v>Mobile Health Screening Unit</v>
      </c>
      <c r="E542" s="1" t="str">
        <f aca="false">IFERROR(INDEX(MAP!$K$7:$K$101,MATCH(TRIM(C542),MAP!$I$7:$I$101,0)),"")</f>
        <v>Access to care</v>
      </c>
      <c r="F542" s="1" t="str">
        <f aca="false">IFERROR(INDEX(MAP!$L$7:$L$101,MATCH(TRIM(C542),MAP!$I$7:$I$101,0)),"")</f>
        <v>Monthly</v>
      </c>
      <c r="G542" s="1" t="n">
        <f aca="false">IFERROR(MATCH(A542,CONFIRM!$A$5:$A$53,0),0)</f>
        <v>0</v>
      </c>
      <c r="H542" s="48" t="str">
        <f aca="false">STACK!F542</f>
        <v>Clinical Svcs</v>
      </c>
      <c r="I542" s="1" t="str">
        <f aca="false">IF(G542&gt;0,IF(INDEX(CONFIRM!$I$5:$I$53,G542)&lt;&gt;"",INDEX(CONFIRM!$I$5:$I$53,G542),H542),H542)</f>
        <v>Clinical Svcs</v>
      </c>
      <c r="J542" s="1" t="str">
        <f aca="false">IFERROR(INDEX(MAP!$F$7:$F$74,MATCH(TRIM(I542),MAP!$E$7:$E$74,0)),"UNMAPPED")</f>
        <v>Community-based clinical services</v>
      </c>
      <c r="K542" s="1" t="str">
        <f aca="false">IFERROR(INDEX(MAP!$G$7:$G$74,MATCH(TRIM(I542),MAP!$E$7:$E$74,0)),"UNMAPPED")</f>
        <v>7e</v>
      </c>
      <c r="L542" s="49" t="str">
        <f aca="false">STACK!G542</f>
        <v>07/31/2025</v>
      </c>
      <c r="M542" s="59" t="n">
        <f aca="false">IF(G542&gt;0,IF(INDEX(CONFIRM!$G$5:$G$53,G542)&lt;&gt;"",INDEX(CONFIRM!$G$5:$G$53,G542),IF(ISNUMBER(L542),L542,IFERROR(DATEVALUE(L542),""))),IF(ISNUMBER(L542),L542,IFERROR(DATEVALUE(L542),"")))</f>
        <v>45869</v>
      </c>
      <c r="N542" s="1" t="str">
        <f aca="false">IF(M542="","Check",IF(AND(M542&gt;=INPUTS!$C$6,M542&lt;=INPUTS!$C$7),"Yes","No"))</f>
        <v>Yes</v>
      </c>
      <c r="O542" s="48" t="str">
        <f aca="false">STACK!H542</f>
        <v>CHW</v>
      </c>
      <c r="P542" s="1" t="str">
        <f aca="false">IF(G542&gt;0,IF(INDEX(CONFIRM!$H$5:$H$53,G542)&lt;&gt;"",INDEX(CONFIRM!$H$5:$H$53,G542),IFERROR(INDEX(MAP!$B$7:$B$156,MATCH(TRIM(O542),MAP!$A$7:$A$156,0)),"UNMAPPED")),IFERROR(INDEX(MAP!$B$7:$B$156,MATCH(TRIM(O542),MAP!$A$7:$A$156,0)),"UNMAPPED"))</f>
        <v>Community Health Worker</v>
      </c>
      <c r="Q542" s="48" t="str">
        <f aca="false">STACK!I542</f>
        <v>87.75 hrs</v>
      </c>
      <c r="R542" s="60" t="n">
        <f aca="false">IF(G542&gt;0,IF(INDEX(CONFIRM!$F$5:$F$53,G542)&lt;&gt;"",INDEX(CONFIRM!$F$5:$F$53,G542),IF(ISNUMBER(Q542),Q542,IF(Q542="","",IFERROR(VALUE(TRIM(SUBSTITUTE(SUBSTITUTE(LOWER(Q542),"hrs",""),"hr",""))),"")))),IF(ISNUMBER(Q542),Q542,IF(Q542="","",IFERROR(VALUE(TRIM(SUBSTITUTE(SUBSTITUTE(LOWER(Q542),"hrs",""),"hr",""))),""))))</f>
        <v>87.75</v>
      </c>
      <c r="S542" s="57" t="n">
        <f aca="false">IFERROR(INDEX(RATES!$E$6:$E$28,MATCH(P542,RATES!$A$6:$A$28,0)),0)</f>
        <v>27.6275</v>
      </c>
      <c r="T542" s="61" t="n">
        <f aca="false">IF(ISNUMBER(R542),R542,0)*S542</f>
        <v>2424.313125</v>
      </c>
      <c r="U542" s="61" t="n">
        <f aca="false">T542*INDEX(INPUTS!$H$10:$H$14,MATCH(B542,INPUTS!$A$10:$A$14,0))</f>
        <v>392.73872625</v>
      </c>
      <c r="V542" s="61" t="n">
        <f aca="false">N(STACK!K542)</f>
        <v>0</v>
      </c>
      <c r="W542" s="61" t="n">
        <f aca="false">T542+U542+V542</f>
        <v>2817.05185125</v>
      </c>
      <c r="X542" s="61" t="n">
        <f aca="false">N(STACK!L542)</f>
        <v>0</v>
      </c>
      <c r="Y542" s="61" t="n">
        <f aca="false">W542-X542</f>
        <v>2817.05185125</v>
      </c>
      <c r="Z542" s="1" t="n">
        <f aca="false">N(STACK!J542)</f>
        <v>0</v>
      </c>
      <c r="AA542" s="1" t="str">
        <f aca="false">TRIM(IF(D542="UNMAPPED","Program not mapped. ","")&amp;IF(OR(K542="UNMAPPED",K542="UNASSIGNED"),"Category needs review. ","")&amp;IF(P542="UNMAPPED","Title not mapped. ","")&amp;IF(AND(P542&lt;&gt;"No staff time",R542=""),"Missing hours. ","")&amp;IF(M542="","Date not readable. ","")&amp;IF(N542="No","Outside fiscal year. ","")&amp;IF(AND(F542="Event",ISNUMBER(R542)),IF(R542&gt;12,"Event hours look high. ",""),"")&amp;IF(G542&gt;0,"See CONFIRM sheet.",""))</f>
        <v/>
      </c>
      <c r="AB542" s="1" t="n">
        <f aca="false">IF(N542="No",0,IF(REVIEW!O542=0,0,IF(G542&gt;0,IF(INDEX(CONFIRM!$J$5:$J$53,G542)&lt;&gt;"",INDEX(CONFIRM!$J$5:$J$53,G542),1),1)))</f>
        <v>1</v>
      </c>
      <c r="AC542" s="1" t="n">
        <f aca="false">IF(AB542=1,IF(COUNTIFS($B$5:B542,B542,$D$5:D542,D542,$AB$5:AB542,1)=1,1,0),0)</f>
        <v>1</v>
      </c>
    </row>
    <row r="543" customFormat="false" ht="15" hidden="false" customHeight="false" outlineLevel="0" collapsed="false">
      <c r="A543" s="48" t="str">
        <f aca="false">STACK!A543</f>
        <v>ASH-0010</v>
      </c>
      <c r="B543" s="48" t="str">
        <f aca="false">STACK!B543</f>
        <v>ASH</v>
      </c>
      <c r="C543" s="48" t="str">
        <f aca="false">STACK!E543</f>
        <v>Mobile Screening Unit</v>
      </c>
      <c r="D543" s="1" t="str">
        <f aca="false">IFERROR(INDEX(MAP!$J$7:$J$101,MATCH(TRIM(C543),MAP!$I$7:$I$101,0)),"UNMAPPED")</f>
        <v>Mobile Health Screening Unit</v>
      </c>
      <c r="E543" s="1" t="str">
        <f aca="false">IFERROR(INDEX(MAP!$K$7:$K$101,MATCH(TRIM(C543),MAP!$I$7:$I$101,0)),"")</f>
        <v>Access to care</v>
      </c>
      <c r="F543" s="1" t="str">
        <f aca="false">IFERROR(INDEX(MAP!$L$7:$L$101,MATCH(TRIM(C543),MAP!$I$7:$I$101,0)),"")</f>
        <v>Monthly</v>
      </c>
      <c r="G543" s="1" t="n">
        <f aca="false">IFERROR(MATCH(A543,CONFIRM!$A$5:$A$53,0),0)</f>
        <v>0</v>
      </c>
      <c r="H543" s="48" t="str">
        <f aca="false">STACK!F543</f>
        <v>Clinical Svcs</v>
      </c>
      <c r="I543" s="1" t="str">
        <f aca="false">IF(G543&gt;0,IF(INDEX(CONFIRM!$I$5:$I$53,G543)&lt;&gt;"",INDEX(CONFIRM!$I$5:$I$53,G543),H543),H543)</f>
        <v>Clinical Svcs</v>
      </c>
      <c r="J543" s="1" t="str">
        <f aca="false">IFERROR(INDEX(MAP!$F$7:$F$74,MATCH(TRIM(I543),MAP!$E$7:$E$74,0)),"UNMAPPED")</f>
        <v>Community-based clinical services</v>
      </c>
      <c r="K543" s="1" t="str">
        <f aca="false">IFERROR(INDEX(MAP!$G$7:$G$74,MATCH(TRIM(I543),MAP!$E$7:$E$74,0)),"UNMAPPED")</f>
        <v>7e</v>
      </c>
      <c r="L543" s="49" t="str">
        <f aca="false">STACK!G543</f>
        <v>07/31/2025</v>
      </c>
      <c r="M543" s="59" t="n">
        <f aca="false">IF(G543&gt;0,IF(INDEX(CONFIRM!$G$5:$G$53,G543)&lt;&gt;"",INDEX(CONFIRM!$G$5:$G$53,G543),IF(ISNUMBER(L543),L543,IFERROR(DATEVALUE(L543),""))),IF(ISNUMBER(L543),L543,IFERROR(DATEVALUE(L543),"")))</f>
        <v>45869</v>
      </c>
      <c r="N543" s="1" t="str">
        <f aca="false">IF(M543="","Check",IF(AND(M543&gt;=INPUTS!$C$6,M543&lt;=INPUTS!$C$7),"Yes","No"))</f>
        <v>Yes</v>
      </c>
      <c r="O543" s="48" t="str">
        <f aca="false">STACK!H543</f>
        <v>CHW</v>
      </c>
      <c r="P543" s="1" t="str">
        <f aca="false">IF(G543&gt;0,IF(INDEX(CONFIRM!$H$5:$H$53,G543)&lt;&gt;"",INDEX(CONFIRM!$H$5:$H$53,G543),IFERROR(INDEX(MAP!$B$7:$B$156,MATCH(TRIM(O543),MAP!$A$7:$A$156,0)),"UNMAPPED")),IFERROR(INDEX(MAP!$B$7:$B$156,MATCH(TRIM(O543),MAP!$A$7:$A$156,0)),"UNMAPPED"))</f>
        <v>Community Health Worker</v>
      </c>
      <c r="Q543" s="48" t="str">
        <f aca="false">STACK!I543</f>
        <v>87.75 hrs</v>
      </c>
      <c r="R543" s="60" t="n">
        <f aca="false">IF(G543&gt;0,IF(INDEX(CONFIRM!$F$5:$F$53,G543)&lt;&gt;"",INDEX(CONFIRM!$F$5:$F$53,G543),IF(ISNUMBER(Q543),Q543,IF(Q543="","",IFERROR(VALUE(TRIM(SUBSTITUTE(SUBSTITUTE(LOWER(Q543),"hrs",""),"hr",""))),"")))),IF(ISNUMBER(Q543),Q543,IF(Q543="","",IFERROR(VALUE(TRIM(SUBSTITUTE(SUBSTITUTE(LOWER(Q543),"hrs",""),"hr",""))),""))))</f>
        <v>87.75</v>
      </c>
      <c r="S543" s="57" t="n">
        <f aca="false">IFERROR(INDEX(RATES!$E$6:$E$28,MATCH(P543,RATES!$A$6:$A$28,0)),0)</f>
        <v>27.6275</v>
      </c>
      <c r="T543" s="61" t="n">
        <f aca="false">IF(ISNUMBER(R543),R543,0)*S543</f>
        <v>2424.313125</v>
      </c>
      <c r="U543" s="61" t="n">
        <f aca="false">T543*INDEX(INPUTS!$H$10:$H$14,MATCH(B543,INPUTS!$A$10:$A$14,0))</f>
        <v>392.73872625</v>
      </c>
      <c r="V543" s="61" t="n">
        <f aca="false">N(STACK!K543)</f>
        <v>0</v>
      </c>
      <c r="W543" s="61" t="n">
        <f aca="false">T543+U543+V543</f>
        <v>2817.05185125</v>
      </c>
      <c r="X543" s="61" t="n">
        <f aca="false">N(STACK!L543)</f>
        <v>0</v>
      </c>
      <c r="Y543" s="61" t="n">
        <f aca="false">W543-X543</f>
        <v>2817.05185125</v>
      </c>
      <c r="Z543" s="1" t="n">
        <f aca="false">N(STACK!J543)</f>
        <v>0</v>
      </c>
      <c r="AA543" s="1" t="str">
        <f aca="false">TRIM(IF(D543="UNMAPPED","Program not mapped. ","")&amp;IF(OR(K543="UNMAPPED",K543="UNASSIGNED"),"Category needs review. ","")&amp;IF(P543="UNMAPPED","Title not mapped. ","")&amp;IF(AND(P543&lt;&gt;"No staff time",R543=""),"Missing hours. ","")&amp;IF(M543="","Date not readable. ","")&amp;IF(N543="No","Outside fiscal year. ","")&amp;IF(AND(F543="Event",ISNUMBER(R543)),IF(R543&gt;12,"Event hours look high. ",""),"")&amp;IF(G543&gt;0,"See CONFIRM sheet.",""))</f>
        <v/>
      </c>
      <c r="AB543" s="1" t="n">
        <f aca="false">IF(N543="No",0,IF(REVIEW!O543=0,0,IF(G543&gt;0,IF(INDEX(CONFIRM!$J$5:$J$53,G543)&lt;&gt;"",INDEX(CONFIRM!$J$5:$J$53,G543),1),1)))</f>
        <v>0</v>
      </c>
      <c r="AC543" s="1" t="n">
        <f aca="false">IF(AB543=1,IF(COUNTIFS($B$5:B543,B543,$D$5:D543,D543,$AB$5:AB543,1)=1,1,0),0)</f>
        <v>0</v>
      </c>
    </row>
    <row r="544" customFormat="false" ht="15" hidden="false" customHeight="false" outlineLevel="0" collapsed="false">
      <c r="A544" s="48" t="str">
        <f aca="false">STACK!A544</f>
        <v>ASH-0011</v>
      </c>
      <c r="B544" s="48" t="str">
        <f aca="false">STACK!B544</f>
        <v>ASH</v>
      </c>
      <c r="C544" s="48" t="str">
        <f aca="false">STACK!E544</f>
        <v>Mobile Screening Unit</v>
      </c>
      <c r="D544" s="1" t="str">
        <f aca="false">IFERROR(INDEX(MAP!$J$7:$J$101,MATCH(TRIM(C544),MAP!$I$7:$I$101,0)),"UNMAPPED")</f>
        <v>Mobile Health Screening Unit</v>
      </c>
      <c r="E544" s="1" t="str">
        <f aca="false">IFERROR(INDEX(MAP!$K$7:$K$101,MATCH(TRIM(C544),MAP!$I$7:$I$101,0)),"")</f>
        <v>Access to care</v>
      </c>
      <c r="F544" s="1" t="str">
        <f aca="false">IFERROR(INDEX(MAP!$L$7:$L$101,MATCH(TRIM(C544),MAP!$I$7:$I$101,0)),"")</f>
        <v>Monthly</v>
      </c>
      <c r="G544" s="1" t="n">
        <f aca="false">IFERROR(MATCH(A544,CONFIRM!$A$5:$A$53,0),0)</f>
        <v>0</v>
      </c>
      <c r="H544" s="48" t="str">
        <f aca="false">STACK!F544</f>
        <v>Clinical Svcs</v>
      </c>
      <c r="I544" s="1" t="str">
        <f aca="false">IF(G544&gt;0,IF(INDEX(CONFIRM!$I$5:$I$53,G544)&lt;&gt;"",INDEX(CONFIRM!$I$5:$I$53,G544),H544),H544)</f>
        <v>Clinical Svcs</v>
      </c>
      <c r="J544" s="1" t="str">
        <f aca="false">IFERROR(INDEX(MAP!$F$7:$F$74,MATCH(TRIM(I544),MAP!$E$7:$E$74,0)),"UNMAPPED")</f>
        <v>Community-based clinical services</v>
      </c>
      <c r="K544" s="1" t="str">
        <f aca="false">IFERROR(INDEX(MAP!$G$7:$G$74,MATCH(TRIM(I544),MAP!$E$7:$E$74,0)),"UNMAPPED")</f>
        <v>7e</v>
      </c>
      <c r="L544" s="49" t="str">
        <f aca="false">STACK!G544</f>
        <v>07/31/2025</v>
      </c>
      <c r="M544" s="59" t="n">
        <f aca="false">IF(G544&gt;0,IF(INDEX(CONFIRM!$G$5:$G$53,G544)&lt;&gt;"",INDEX(CONFIRM!$G$5:$G$53,G544),IF(ISNUMBER(L544),L544,IFERROR(DATEVALUE(L544),""))),IF(ISNUMBER(L544),L544,IFERROR(DATEVALUE(L544),"")))</f>
        <v>45869</v>
      </c>
      <c r="N544" s="1" t="str">
        <f aca="false">IF(M544="","Check",IF(AND(M544&gt;=INPUTS!$C$6,M544&lt;=INPUTS!$C$7),"Yes","No"))</f>
        <v>Yes</v>
      </c>
      <c r="O544" s="48" t="str">
        <f aca="false">STACK!H544</f>
        <v> Med Asst</v>
      </c>
      <c r="P544" s="1" t="str">
        <f aca="false">IF(G544&gt;0,IF(INDEX(CONFIRM!$H$5:$H$53,G544)&lt;&gt;"",INDEX(CONFIRM!$H$5:$H$53,G544),IFERROR(INDEX(MAP!$B$7:$B$156,MATCH(TRIM(O544),MAP!$A$7:$A$156,0)),"UNMAPPED")),IFERROR(INDEX(MAP!$B$7:$B$156,MATCH(TRIM(O544),MAP!$A$7:$A$156,0)),"UNMAPPED"))</f>
        <v>Medical Assistant</v>
      </c>
      <c r="Q544" s="48" t="str">
        <f aca="false">STACK!I544</f>
        <v>105.5 hrs</v>
      </c>
      <c r="R544" s="60" t="n">
        <f aca="false">IF(G544&gt;0,IF(INDEX(CONFIRM!$F$5:$F$53,G544)&lt;&gt;"",INDEX(CONFIRM!$F$5:$F$53,G544),IF(ISNUMBER(Q544),Q544,IF(Q544="","",IFERROR(VALUE(TRIM(SUBSTITUTE(SUBSTITUTE(LOWER(Q544),"hrs",""),"hr",""))),"")))),IF(ISNUMBER(Q544),Q544,IF(Q544="","",IFERROR(VALUE(TRIM(SUBSTITUTE(SUBSTITUTE(LOWER(Q544),"hrs",""),"hr",""))),""))))</f>
        <v>105.5</v>
      </c>
      <c r="S544" s="57" t="n">
        <f aca="false">IFERROR(INDEX(RATES!$E$6:$E$28,MATCH(P544,RATES!$A$6:$A$28,0)),0)</f>
        <v>25.37875</v>
      </c>
      <c r="T544" s="61" t="n">
        <f aca="false">IF(ISNUMBER(R544),R544,0)*S544</f>
        <v>2677.458125</v>
      </c>
      <c r="U544" s="61" t="n">
        <f aca="false">T544*INDEX(INPUTS!$H$10:$H$14,MATCH(B544,INPUTS!$A$10:$A$14,0))</f>
        <v>433.74821625</v>
      </c>
      <c r="V544" s="61" t="n">
        <f aca="false">N(STACK!K544)</f>
        <v>0</v>
      </c>
      <c r="W544" s="61" t="n">
        <f aca="false">T544+U544+V544</f>
        <v>3111.20634125</v>
      </c>
      <c r="X544" s="61" t="n">
        <f aca="false">N(STACK!L544)</f>
        <v>0</v>
      </c>
      <c r="Y544" s="61" t="n">
        <f aca="false">W544-X544</f>
        <v>3111.20634125</v>
      </c>
      <c r="Z544" s="1" t="n">
        <f aca="false">N(STACK!J544)</f>
        <v>0</v>
      </c>
      <c r="AA544" s="1" t="str">
        <f aca="false">TRIM(IF(D544="UNMAPPED","Program not mapped. ","")&amp;IF(OR(K544="UNMAPPED",K544="UNASSIGNED"),"Category needs review. ","")&amp;IF(P544="UNMAPPED","Title not mapped. ","")&amp;IF(AND(P544&lt;&gt;"No staff time",R544=""),"Missing hours. ","")&amp;IF(M544="","Date not readable. ","")&amp;IF(N544="No","Outside fiscal year. ","")&amp;IF(AND(F544="Event",ISNUMBER(R544)),IF(R544&gt;12,"Event hours look high. ",""),"")&amp;IF(G544&gt;0,"See CONFIRM sheet.",""))</f>
        <v/>
      </c>
      <c r="AB544" s="1" t="n">
        <f aca="false">IF(N544="No",0,IF(REVIEW!O544=0,0,IF(G544&gt;0,IF(INDEX(CONFIRM!$J$5:$J$53,G544)&lt;&gt;"",INDEX(CONFIRM!$J$5:$J$53,G544),1),1)))</f>
        <v>1</v>
      </c>
      <c r="AC544" s="1" t="n">
        <f aca="false">IF(AB544=1,IF(COUNTIFS($B$5:B544,B544,$D$5:D544,D544,$AB$5:AB544,1)=1,1,0),0)</f>
        <v>0</v>
      </c>
    </row>
    <row r="545" customFormat="false" ht="15" hidden="false" customHeight="false" outlineLevel="0" collapsed="false">
      <c r="A545" s="48" t="str">
        <f aca="false">STACK!A545</f>
        <v>ASH-0012</v>
      </c>
      <c r="B545" s="48" t="str">
        <f aca="false">STACK!B545</f>
        <v>ASH</v>
      </c>
      <c r="C545" s="48" t="str">
        <f aca="false">STACK!E545</f>
        <v>Mobile Screening Unit</v>
      </c>
      <c r="D545" s="1" t="str">
        <f aca="false">IFERROR(INDEX(MAP!$J$7:$J$101,MATCH(TRIM(C545),MAP!$I$7:$I$101,0)),"UNMAPPED")</f>
        <v>Mobile Health Screening Unit</v>
      </c>
      <c r="E545" s="1" t="str">
        <f aca="false">IFERROR(INDEX(MAP!$K$7:$K$101,MATCH(TRIM(C545),MAP!$I$7:$I$101,0)),"")</f>
        <v>Access to care</v>
      </c>
      <c r="F545" s="1" t="str">
        <f aca="false">IFERROR(INDEX(MAP!$L$7:$L$101,MATCH(TRIM(C545),MAP!$I$7:$I$101,0)),"")</f>
        <v>Monthly</v>
      </c>
      <c r="G545" s="1" t="n">
        <f aca="false">IFERROR(MATCH(A545,CONFIRM!$A$5:$A$53,0),0)</f>
        <v>0</v>
      </c>
      <c r="H545" s="48" t="str">
        <f aca="false">STACK!F545</f>
        <v>Clinical Svcs</v>
      </c>
      <c r="I545" s="1" t="str">
        <f aca="false">IF(G545&gt;0,IF(INDEX(CONFIRM!$I$5:$I$53,G545)&lt;&gt;"",INDEX(CONFIRM!$I$5:$I$53,G545),H545),H545)</f>
        <v>Clinical Svcs</v>
      </c>
      <c r="J545" s="1" t="str">
        <f aca="false">IFERROR(INDEX(MAP!$F$7:$F$74,MATCH(TRIM(I545),MAP!$E$7:$E$74,0)),"UNMAPPED")</f>
        <v>Community-based clinical services</v>
      </c>
      <c r="K545" s="1" t="str">
        <f aca="false">IFERROR(INDEX(MAP!$G$7:$G$74,MATCH(TRIM(I545),MAP!$E$7:$E$74,0)),"UNMAPPED")</f>
        <v>7e</v>
      </c>
      <c r="L545" s="49" t="str">
        <f aca="false">STACK!G545</f>
        <v>07/31/2025</v>
      </c>
      <c r="M545" s="59" t="n">
        <f aca="false">IF(G545&gt;0,IF(INDEX(CONFIRM!$G$5:$G$53,G545)&lt;&gt;"",INDEX(CONFIRM!$G$5:$G$53,G545),IF(ISNUMBER(L545),L545,IFERROR(DATEVALUE(L545),""))),IF(ISNUMBER(L545),L545,IFERROR(DATEVALUE(L545),"")))</f>
        <v>45869</v>
      </c>
      <c r="N545" s="1" t="str">
        <f aca="false">IF(M545="","Check",IF(AND(M545&gt;=INPUTS!$C$6,M545&lt;=INPUTS!$C$7),"Yes","No"))</f>
        <v>Yes</v>
      </c>
      <c r="O545" s="48" t="str">
        <f aca="false">STACK!H545</f>
        <v> Med Asst</v>
      </c>
      <c r="P545" s="1" t="str">
        <f aca="false">IF(G545&gt;0,IF(INDEX(CONFIRM!$H$5:$H$53,G545)&lt;&gt;"",INDEX(CONFIRM!$H$5:$H$53,G545),IFERROR(INDEX(MAP!$B$7:$B$156,MATCH(TRIM(O545),MAP!$A$7:$A$156,0)),"UNMAPPED")),IFERROR(INDEX(MAP!$B$7:$B$156,MATCH(TRIM(O545),MAP!$A$7:$A$156,0)),"UNMAPPED"))</f>
        <v>Medical Assistant</v>
      </c>
      <c r="Q545" s="48" t="str">
        <f aca="false">STACK!I545</f>
        <v>105.5 hrs</v>
      </c>
      <c r="R545" s="60" t="n">
        <f aca="false">IF(G545&gt;0,IF(INDEX(CONFIRM!$F$5:$F$53,G545)&lt;&gt;"",INDEX(CONFIRM!$F$5:$F$53,G545),IF(ISNUMBER(Q545),Q545,IF(Q545="","",IFERROR(VALUE(TRIM(SUBSTITUTE(SUBSTITUTE(LOWER(Q545),"hrs",""),"hr",""))),"")))),IF(ISNUMBER(Q545),Q545,IF(Q545="","",IFERROR(VALUE(TRIM(SUBSTITUTE(SUBSTITUTE(LOWER(Q545),"hrs",""),"hr",""))),""))))</f>
        <v>105.5</v>
      </c>
      <c r="S545" s="57" t="n">
        <f aca="false">IFERROR(INDEX(RATES!$E$6:$E$28,MATCH(P545,RATES!$A$6:$A$28,0)),0)</f>
        <v>25.37875</v>
      </c>
      <c r="T545" s="61" t="n">
        <f aca="false">IF(ISNUMBER(R545),R545,0)*S545</f>
        <v>2677.458125</v>
      </c>
      <c r="U545" s="61" t="n">
        <f aca="false">T545*INDEX(INPUTS!$H$10:$H$14,MATCH(B545,INPUTS!$A$10:$A$14,0))</f>
        <v>433.74821625</v>
      </c>
      <c r="V545" s="61" t="n">
        <f aca="false">N(STACK!K545)</f>
        <v>0</v>
      </c>
      <c r="W545" s="61" t="n">
        <f aca="false">T545+U545+V545</f>
        <v>3111.20634125</v>
      </c>
      <c r="X545" s="61" t="n">
        <f aca="false">N(STACK!L545)</f>
        <v>0</v>
      </c>
      <c r="Y545" s="61" t="n">
        <f aca="false">W545-X545</f>
        <v>3111.20634125</v>
      </c>
      <c r="Z545" s="1" t="n">
        <f aca="false">N(STACK!J545)</f>
        <v>0</v>
      </c>
      <c r="AA545" s="1" t="str">
        <f aca="false">TRIM(IF(D545="UNMAPPED","Program not mapped. ","")&amp;IF(OR(K545="UNMAPPED",K545="UNASSIGNED"),"Category needs review. ","")&amp;IF(P545="UNMAPPED","Title not mapped. ","")&amp;IF(AND(P545&lt;&gt;"No staff time",R545=""),"Missing hours. ","")&amp;IF(M545="","Date not readable. ","")&amp;IF(N545="No","Outside fiscal year. ","")&amp;IF(AND(F545="Event",ISNUMBER(R545)),IF(R545&gt;12,"Event hours look high. ",""),"")&amp;IF(G545&gt;0,"See CONFIRM sheet.",""))</f>
        <v/>
      </c>
      <c r="AB545" s="1" t="n">
        <f aca="false">IF(N545="No",0,IF(REVIEW!O545=0,0,IF(G545&gt;0,IF(INDEX(CONFIRM!$J$5:$J$53,G545)&lt;&gt;"",INDEX(CONFIRM!$J$5:$J$53,G545),1),1)))</f>
        <v>0</v>
      </c>
      <c r="AC545" s="1" t="n">
        <f aca="false">IF(AB545=1,IF(COUNTIFS($B$5:B545,B545,$D$5:D545,D545,$AB$5:AB545,1)=1,1,0),0)</f>
        <v>0</v>
      </c>
    </row>
    <row r="546" customFormat="false" ht="15" hidden="false" customHeight="false" outlineLevel="0" collapsed="false">
      <c r="A546" s="48" t="str">
        <f aca="false">STACK!A546</f>
        <v>ASH-0013</v>
      </c>
      <c r="B546" s="48" t="str">
        <f aca="false">STACK!B546</f>
        <v>ASH</v>
      </c>
      <c r="C546" s="48" t="str">
        <f aca="false">STACK!E546</f>
        <v>Mobile Screening Unit</v>
      </c>
      <c r="D546" s="1" t="str">
        <f aca="false">IFERROR(INDEX(MAP!$J$7:$J$101,MATCH(TRIM(C546),MAP!$I$7:$I$101,0)),"UNMAPPED")</f>
        <v>Mobile Health Screening Unit</v>
      </c>
      <c r="E546" s="1" t="str">
        <f aca="false">IFERROR(INDEX(MAP!$K$7:$K$101,MATCH(TRIM(C546),MAP!$I$7:$I$101,0)),"")</f>
        <v>Access to care</v>
      </c>
      <c r="F546" s="1" t="str">
        <f aca="false">IFERROR(INDEX(MAP!$L$7:$L$101,MATCH(TRIM(C546),MAP!$I$7:$I$101,0)),"")</f>
        <v>Monthly</v>
      </c>
      <c r="G546" s="1" t="n">
        <f aca="false">IFERROR(MATCH(A546,CONFIRM!$A$5:$A$53,0),0)</f>
        <v>0</v>
      </c>
      <c r="H546" s="48" t="str">
        <f aca="false">STACK!F546</f>
        <v>Clinical Svcs</v>
      </c>
      <c r="I546" s="1" t="str">
        <f aca="false">IF(G546&gt;0,IF(INDEX(CONFIRM!$I$5:$I$53,G546)&lt;&gt;"",INDEX(CONFIRM!$I$5:$I$53,G546),H546),H546)</f>
        <v>Clinical Svcs</v>
      </c>
      <c r="J546" s="1" t="str">
        <f aca="false">IFERROR(INDEX(MAP!$F$7:$F$74,MATCH(TRIM(I546),MAP!$E$7:$E$74,0)),"UNMAPPED")</f>
        <v>Community-based clinical services</v>
      </c>
      <c r="K546" s="1" t="str">
        <f aca="false">IFERROR(INDEX(MAP!$G$7:$G$74,MATCH(TRIM(I546),MAP!$E$7:$E$74,0)),"UNMAPPED")</f>
        <v>7e</v>
      </c>
      <c r="L546" s="49" t="str">
        <f aca="false">STACK!G546</f>
        <v>07/31/2025</v>
      </c>
      <c r="M546" s="59" t="n">
        <f aca="false">IF(G546&gt;0,IF(INDEX(CONFIRM!$G$5:$G$53,G546)&lt;&gt;"",INDEX(CONFIRM!$G$5:$G$53,G546),IF(ISNUMBER(L546),L546,IFERROR(DATEVALUE(L546),""))),IF(ISNUMBER(L546),L546,IFERROR(DATEVALUE(L546),"")))</f>
        <v>45869</v>
      </c>
      <c r="N546" s="1" t="str">
        <f aca="false">IF(M546="","Check",IF(AND(M546&gt;=INPUTS!$C$6,M546&lt;=INPUTS!$C$7),"Yes","No"))</f>
        <v>Yes</v>
      </c>
      <c r="O546" s="48" t="str">
        <f aca="false">STACK!H546</f>
        <v>RN</v>
      </c>
      <c r="P546" s="1" t="str">
        <f aca="false">IF(G546&gt;0,IF(INDEX(CONFIRM!$H$5:$H$53,G546)&lt;&gt;"",INDEX(CONFIRM!$H$5:$H$53,G546),IFERROR(INDEX(MAP!$B$7:$B$156,MATCH(TRIM(O546),MAP!$A$7:$A$156,0)),"UNMAPPED")),IFERROR(INDEX(MAP!$B$7:$B$156,MATCH(TRIM(O546),MAP!$A$7:$A$156,0)),"UNMAPPED"))</f>
        <v>Registered Nurse</v>
      </c>
      <c r="Q546" s="48" t="n">
        <f aca="false">STACK!I546</f>
        <v>109.25</v>
      </c>
      <c r="R546" s="60" t="n">
        <f aca="false">IF(G546&gt;0,IF(INDEX(CONFIRM!$F$5:$F$53,G546)&lt;&gt;"",INDEX(CONFIRM!$F$5:$F$53,G546),IF(ISNUMBER(Q546),Q546,IF(Q546="","",IFERROR(VALUE(TRIM(SUBSTITUTE(SUBSTITUTE(LOWER(Q546),"hrs",""),"hr",""))),"")))),IF(ISNUMBER(Q546),Q546,IF(Q546="","",IFERROR(VALUE(TRIM(SUBSTITUTE(SUBSTITUTE(LOWER(Q546),"hrs",""),"hr",""))),""))))</f>
        <v>109.25</v>
      </c>
      <c r="S546" s="57" t="n">
        <f aca="false">IFERROR(INDEX(RATES!$E$6:$E$28,MATCH(P546,RATES!$A$6:$A$28,0)),0)</f>
        <v>55.8975</v>
      </c>
      <c r="T546" s="61" t="n">
        <f aca="false">IF(ISNUMBER(R546),R546,0)*S546</f>
        <v>6106.801875</v>
      </c>
      <c r="U546" s="61" t="n">
        <f aca="false">T546*INDEX(INPUTS!$H$10:$H$14,MATCH(B546,INPUTS!$A$10:$A$14,0))</f>
        <v>989.30190375</v>
      </c>
      <c r="V546" s="61" t="n">
        <f aca="false">N(STACK!K546)</f>
        <v>9610</v>
      </c>
      <c r="W546" s="61" t="n">
        <f aca="false">T546+U546+V546</f>
        <v>16706.10377875</v>
      </c>
      <c r="X546" s="61" t="n">
        <f aca="false">N(STACK!L546)</f>
        <v>0</v>
      </c>
      <c r="Y546" s="61" t="n">
        <f aca="false">W546-X546</f>
        <v>16706.10377875</v>
      </c>
      <c r="Z546" s="1" t="n">
        <f aca="false">N(STACK!J546)</f>
        <v>303</v>
      </c>
      <c r="AA546" s="1" t="str">
        <f aca="false">TRIM(IF(D546="UNMAPPED","Program not mapped. ","")&amp;IF(OR(K546="UNMAPPED",K546="UNASSIGNED"),"Category needs review. ","")&amp;IF(P546="UNMAPPED","Title not mapped. ","")&amp;IF(AND(P546&lt;&gt;"No staff time",R546=""),"Missing hours. ","")&amp;IF(M546="","Date not readable. ","")&amp;IF(N546="No","Outside fiscal year. ","")&amp;IF(AND(F546="Event",ISNUMBER(R546)),IF(R546&gt;12,"Event hours look high. ",""),"")&amp;IF(G546&gt;0,"See CONFIRM sheet.",""))</f>
        <v/>
      </c>
      <c r="AB546" s="1" t="n">
        <f aca="false">IF(N546="No",0,IF(REVIEW!O546=0,0,IF(G546&gt;0,IF(INDEX(CONFIRM!$J$5:$J$53,G546)&lt;&gt;"",INDEX(CONFIRM!$J$5:$J$53,G546),1),1)))</f>
        <v>1</v>
      </c>
      <c r="AC546" s="1" t="n">
        <f aca="false">IF(AB546=1,IF(COUNTIFS($B$5:B546,B546,$D$5:D546,D546,$AB$5:AB546,1)=1,1,0),0)</f>
        <v>0</v>
      </c>
    </row>
    <row r="547" customFormat="false" ht="15" hidden="false" customHeight="false" outlineLevel="0" collapsed="false">
      <c r="A547" s="48" t="str">
        <f aca="false">STACK!A547</f>
        <v>ASH-0014</v>
      </c>
      <c r="B547" s="48" t="str">
        <f aca="false">STACK!B547</f>
        <v>ASH</v>
      </c>
      <c r="C547" s="48" t="str">
        <f aca="false">STACK!E547</f>
        <v>Mobile Screening Unit</v>
      </c>
      <c r="D547" s="1" t="str">
        <f aca="false">IFERROR(INDEX(MAP!$J$7:$J$101,MATCH(TRIM(C547),MAP!$I$7:$I$101,0)),"UNMAPPED")</f>
        <v>Mobile Health Screening Unit</v>
      </c>
      <c r="E547" s="1" t="str">
        <f aca="false">IFERROR(INDEX(MAP!$K$7:$K$101,MATCH(TRIM(C547),MAP!$I$7:$I$101,0)),"")</f>
        <v>Access to care</v>
      </c>
      <c r="F547" s="1" t="str">
        <f aca="false">IFERROR(INDEX(MAP!$L$7:$L$101,MATCH(TRIM(C547),MAP!$I$7:$I$101,0)),"")</f>
        <v>Monthly</v>
      </c>
      <c r="G547" s="1" t="n">
        <f aca="false">IFERROR(MATCH(A547,CONFIRM!$A$5:$A$53,0),0)</f>
        <v>0</v>
      </c>
      <c r="H547" s="48" t="str">
        <f aca="false">STACK!F547</f>
        <v>Clinical Svcs</v>
      </c>
      <c r="I547" s="1" t="str">
        <f aca="false">IF(G547&gt;0,IF(INDEX(CONFIRM!$I$5:$I$53,G547)&lt;&gt;"",INDEX(CONFIRM!$I$5:$I$53,G547),H547),H547)</f>
        <v>Clinical Svcs</v>
      </c>
      <c r="J547" s="1" t="str">
        <f aca="false">IFERROR(INDEX(MAP!$F$7:$F$74,MATCH(TRIM(I547),MAP!$E$7:$E$74,0)),"UNMAPPED")</f>
        <v>Community-based clinical services</v>
      </c>
      <c r="K547" s="1" t="str">
        <f aca="false">IFERROR(INDEX(MAP!$G$7:$G$74,MATCH(TRIM(I547),MAP!$E$7:$E$74,0)),"UNMAPPED")</f>
        <v>7e</v>
      </c>
      <c r="L547" s="49" t="str">
        <f aca="false">STACK!G547</f>
        <v>07/31/2025</v>
      </c>
      <c r="M547" s="59" t="n">
        <f aca="false">IF(G547&gt;0,IF(INDEX(CONFIRM!$G$5:$G$53,G547)&lt;&gt;"",INDEX(CONFIRM!$G$5:$G$53,G547),IF(ISNUMBER(L547),L547,IFERROR(DATEVALUE(L547),""))),IF(ISNUMBER(L547),L547,IFERROR(DATEVALUE(L547),"")))</f>
        <v>45869</v>
      </c>
      <c r="N547" s="1" t="str">
        <f aca="false">IF(M547="","Check",IF(AND(M547&gt;=INPUTS!$C$6,M547&lt;=INPUTS!$C$7),"Yes","No"))</f>
        <v>Yes</v>
      </c>
      <c r="O547" s="48" t="str">
        <f aca="false">STACK!H547</f>
        <v>RN</v>
      </c>
      <c r="P547" s="1" t="str">
        <f aca="false">IF(G547&gt;0,IF(INDEX(CONFIRM!$H$5:$H$53,G547)&lt;&gt;"",INDEX(CONFIRM!$H$5:$H$53,G547),IFERROR(INDEX(MAP!$B$7:$B$156,MATCH(TRIM(O547),MAP!$A$7:$A$156,0)),"UNMAPPED")),IFERROR(INDEX(MAP!$B$7:$B$156,MATCH(TRIM(O547),MAP!$A$7:$A$156,0)),"UNMAPPED"))</f>
        <v>Registered Nurse</v>
      </c>
      <c r="Q547" s="48" t="n">
        <f aca="false">STACK!I547</f>
        <v>109.25</v>
      </c>
      <c r="R547" s="60" t="n">
        <f aca="false">IF(G547&gt;0,IF(INDEX(CONFIRM!$F$5:$F$53,G547)&lt;&gt;"",INDEX(CONFIRM!$F$5:$F$53,G547),IF(ISNUMBER(Q547),Q547,IF(Q547="","",IFERROR(VALUE(TRIM(SUBSTITUTE(SUBSTITUTE(LOWER(Q547),"hrs",""),"hr",""))),"")))),IF(ISNUMBER(Q547),Q547,IF(Q547="","",IFERROR(VALUE(TRIM(SUBSTITUTE(SUBSTITUTE(LOWER(Q547),"hrs",""),"hr",""))),""))))</f>
        <v>109.25</v>
      </c>
      <c r="S547" s="57" t="n">
        <f aca="false">IFERROR(INDEX(RATES!$E$6:$E$28,MATCH(P547,RATES!$A$6:$A$28,0)),0)</f>
        <v>55.8975</v>
      </c>
      <c r="T547" s="61" t="n">
        <f aca="false">IF(ISNUMBER(R547),R547,0)*S547</f>
        <v>6106.801875</v>
      </c>
      <c r="U547" s="61" t="n">
        <f aca="false">T547*INDEX(INPUTS!$H$10:$H$14,MATCH(B547,INPUTS!$A$10:$A$14,0))</f>
        <v>989.30190375</v>
      </c>
      <c r="V547" s="61" t="n">
        <f aca="false">N(STACK!K547)</f>
        <v>9610</v>
      </c>
      <c r="W547" s="61" t="n">
        <f aca="false">T547+U547+V547</f>
        <v>16706.10377875</v>
      </c>
      <c r="X547" s="61" t="n">
        <f aca="false">N(STACK!L547)</f>
        <v>0</v>
      </c>
      <c r="Y547" s="61" t="n">
        <f aca="false">W547-X547</f>
        <v>16706.10377875</v>
      </c>
      <c r="Z547" s="1" t="n">
        <f aca="false">N(STACK!J547)</f>
        <v>303</v>
      </c>
      <c r="AA547" s="1" t="str">
        <f aca="false">TRIM(IF(D547="UNMAPPED","Program not mapped. ","")&amp;IF(OR(K547="UNMAPPED",K547="UNASSIGNED"),"Category needs review. ","")&amp;IF(P547="UNMAPPED","Title not mapped. ","")&amp;IF(AND(P547&lt;&gt;"No staff time",R547=""),"Missing hours. ","")&amp;IF(M547="","Date not readable. ","")&amp;IF(N547="No","Outside fiscal year. ","")&amp;IF(AND(F547="Event",ISNUMBER(R547)),IF(R547&gt;12,"Event hours look high. ",""),"")&amp;IF(G547&gt;0,"See CONFIRM sheet.",""))</f>
        <v/>
      </c>
      <c r="AB547" s="1" t="n">
        <f aca="false">IF(N547="No",0,IF(REVIEW!O547=0,0,IF(G547&gt;0,IF(INDEX(CONFIRM!$J$5:$J$53,G547)&lt;&gt;"",INDEX(CONFIRM!$J$5:$J$53,G547),1),1)))</f>
        <v>0</v>
      </c>
      <c r="AC547" s="1" t="n">
        <f aca="false">IF(AB547=1,IF(COUNTIFS($B$5:B547,B547,$D$5:D547,D547,$AB$5:AB547,1)=1,1,0),0)</f>
        <v>0</v>
      </c>
    </row>
    <row r="548" customFormat="false" ht="15" hidden="false" customHeight="false" outlineLevel="0" collapsed="false">
      <c r="A548" s="48" t="str">
        <f aca="false">STACK!A548</f>
        <v>ASH-0015</v>
      </c>
      <c r="B548" s="48" t="str">
        <f aca="false">STACK!B548</f>
        <v>ASH</v>
      </c>
      <c r="C548" s="48" t="str">
        <f aca="false">STACK!E548</f>
        <v>Grief Support</v>
      </c>
      <c r="D548" s="1" t="str">
        <f aca="false">IFERROR(INDEX(MAP!$J$7:$J$101,MATCH(TRIM(C548),MAP!$I$7:$I$101,0)),"UNMAPPED")</f>
        <v>Grief Support Group</v>
      </c>
      <c r="E548" s="1" t="str">
        <f aca="false">IFERROR(INDEX(MAP!$K$7:$K$101,MATCH(TRIM(C548),MAP!$I$7:$I$101,0)),"")</f>
        <v>Behavioral health</v>
      </c>
      <c r="F548" s="1" t="str">
        <f aca="false">IFERROR(INDEX(MAP!$L$7:$L$101,MATCH(TRIM(C548),MAP!$I$7:$I$101,0)),"")</f>
        <v>Event</v>
      </c>
      <c r="G548" s="1" t="n">
        <f aca="false">IFERROR(MATCH(A548,CONFIRM!$A$5:$A$53,0),0)</f>
        <v>0</v>
      </c>
      <c r="H548" s="48" t="str">
        <f aca="false">STACK!F548</f>
        <v>Support Svcs</v>
      </c>
      <c r="I548" s="1" t="str">
        <f aca="false">IF(G548&gt;0,IF(INDEX(CONFIRM!$I$5:$I$53,G548)&lt;&gt;"",INDEX(CONFIRM!$I$5:$I$53,G548),H548),H548)</f>
        <v>Support Svcs</v>
      </c>
      <c r="J548" s="1" t="str">
        <f aca="false">IFERROR(INDEX(MAP!$F$7:$F$74,MATCH(TRIM(I548),MAP!$E$7:$E$74,0)),"UNMAPPED")</f>
        <v>Health care support services</v>
      </c>
      <c r="K548" s="1" t="str">
        <f aca="false">IFERROR(INDEX(MAP!$G$7:$G$74,MATCH(TRIM(I548),MAP!$E$7:$E$74,0)),"UNMAPPED")</f>
        <v>7e</v>
      </c>
      <c r="L548" s="49" t="str">
        <f aca="false">STACK!G548</f>
        <v>07/31/2025</v>
      </c>
      <c r="M548" s="59" t="n">
        <f aca="false">IF(G548&gt;0,IF(INDEX(CONFIRM!$G$5:$G$53,G548)&lt;&gt;"",INDEX(CONFIRM!$G$5:$G$53,G548),IF(ISNUMBER(L548),L548,IFERROR(DATEVALUE(L548),""))),IF(ISNUMBER(L548),L548,IFERROR(DATEVALUE(L548),"")))</f>
        <v>45869</v>
      </c>
      <c r="N548" s="1" t="str">
        <f aca="false">IF(M548="","Check",IF(AND(M548&gt;=INPUTS!$C$6,M548&lt;=INPUTS!$C$7),"Yes","No"))</f>
        <v>Yes</v>
      </c>
      <c r="O548" s="48" t="str">
        <f aca="false">STACK!H548</f>
        <v>Pastoral Care</v>
      </c>
      <c r="P548" s="1" t="str">
        <f aca="false">IF(G548&gt;0,IF(INDEX(CONFIRM!$H$5:$H$53,G548)&lt;&gt;"",INDEX(CONFIRM!$H$5:$H$53,G548),IFERROR(INDEX(MAP!$B$7:$B$156,MATCH(TRIM(O548),MAP!$A$7:$A$156,0)),"UNMAPPED")),IFERROR(INDEX(MAP!$B$7:$B$156,MATCH(TRIM(O548),MAP!$A$7:$A$156,0)),"UNMAPPED"))</f>
        <v>Chaplain</v>
      </c>
      <c r="Q548" s="48" t="n">
        <f aca="false">STACK!I548</f>
        <v>2.25</v>
      </c>
      <c r="R548" s="60" t="n">
        <f aca="false">IF(G548&gt;0,IF(INDEX(CONFIRM!$F$5:$F$53,G548)&lt;&gt;"",INDEX(CONFIRM!$F$5:$F$53,G548),IF(ISNUMBER(Q548),Q548,IF(Q548="","",IFERROR(VALUE(TRIM(SUBSTITUTE(SUBSTITUTE(LOWER(Q548),"hrs",""),"hr",""))),"")))),IF(ISNUMBER(Q548),Q548,IF(Q548="","",IFERROR(VALUE(TRIM(SUBSTITUTE(SUBSTITUTE(LOWER(Q548),"hrs",""),"hr",""))),""))))</f>
        <v>2.25</v>
      </c>
      <c r="S548" s="57" t="n">
        <f aca="false">IFERROR(INDEX(RATES!$E$6:$E$28,MATCH(P548,RATES!$A$6:$A$28,0)),0)</f>
        <v>39.835</v>
      </c>
      <c r="T548" s="61" t="n">
        <f aca="false">IF(ISNUMBER(R548),R548,0)*S548</f>
        <v>89.62875</v>
      </c>
      <c r="U548" s="61" t="n">
        <f aca="false">T548*INDEX(INPUTS!$H$10:$H$14,MATCH(B548,INPUTS!$A$10:$A$14,0))</f>
        <v>14.5198575</v>
      </c>
      <c r="V548" s="61" t="n">
        <f aca="false">N(STACK!K548)</f>
        <v>35</v>
      </c>
      <c r="W548" s="61" t="n">
        <f aca="false">T548+U548+V548</f>
        <v>139.1486075</v>
      </c>
      <c r="X548" s="61" t="n">
        <f aca="false">N(STACK!L548)</f>
        <v>0</v>
      </c>
      <c r="Y548" s="61" t="n">
        <f aca="false">W548-X548</f>
        <v>139.1486075</v>
      </c>
      <c r="Z548" s="1" t="n">
        <f aca="false">N(STACK!J548)</f>
        <v>8</v>
      </c>
      <c r="AA548" s="1" t="str">
        <f aca="false">TRIM(IF(D548="UNMAPPED","Program not mapped. ","")&amp;IF(OR(K548="UNMAPPED",K548="UNASSIGNED"),"Category needs review. ","")&amp;IF(P548="UNMAPPED","Title not mapped. ","")&amp;IF(AND(P548&lt;&gt;"No staff time",R548=""),"Missing hours. ","")&amp;IF(M548="","Date not readable. ","")&amp;IF(N548="No","Outside fiscal year. ","")&amp;IF(AND(F548="Event",ISNUMBER(R548)),IF(R548&gt;12,"Event hours look high. ",""),"")&amp;IF(G548&gt;0,"See CONFIRM sheet.",""))</f>
        <v/>
      </c>
      <c r="AB548" s="1" t="n">
        <f aca="false">IF(N548="No",0,IF(REVIEW!O548=0,0,IF(G548&gt;0,IF(INDEX(CONFIRM!$J$5:$J$53,G548)&lt;&gt;"",INDEX(CONFIRM!$J$5:$J$53,G548),1),1)))</f>
        <v>1</v>
      </c>
      <c r="AC548" s="1" t="n">
        <f aca="false">IF(AB548=1,IF(COUNTIFS($B$5:B548,B548,$D$5:D548,D548,$AB$5:AB548,1)=1,1,0),0)</f>
        <v>1</v>
      </c>
    </row>
    <row r="549" customFormat="false" ht="15" hidden="false" customHeight="false" outlineLevel="0" collapsed="false">
      <c r="A549" s="48" t="str">
        <f aca="false">STACK!A549</f>
        <v>ASH-0016</v>
      </c>
      <c r="B549" s="48" t="str">
        <f aca="false">STACK!B549</f>
        <v>ASH</v>
      </c>
      <c r="C549" s="48" t="str">
        <f aca="false">STACK!E549</f>
        <v>Grief Support</v>
      </c>
      <c r="D549" s="1" t="str">
        <f aca="false">IFERROR(INDEX(MAP!$J$7:$J$101,MATCH(TRIM(C549),MAP!$I$7:$I$101,0)),"UNMAPPED")</f>
        <v>Grief Support Group</v>
      </c>
      <c r="E549" s="1" t="str">
        <f aca="false">IFERROR(INDEX(MAP!$K$7:$K$101,MATCH(TRIM(C549),MAP!$I$7:$I$101,0)),"")</f>
        <v>Behavioral health</v>
      </c>
      <c r="F549" s="1" t="str">
        <f aca="false">IFERROR(INDEX(MAP!$L$7:$L$101,MATCH(TRIM(C549),MAP!$I$7:$I$101,0)),"")</f>
        <v>Event</v>
      </c>
      <c r="G549" s="1" t="n">
        <f aca="false">IFERROR(MATCH(A549,CONFIRM!$A$5:$A$53,0),0)</f>
        <v>0</v>
      </c>
      <c r="H549" s="48" t="str">
        <f aca="false">STACK!F549</f>
        <v>Support Svcs</v>
      </c>
      <c r="I549" s="1" t="str">
        <f aca="false">IF(G549&gt;0,IF(INDEX(CONFIRM!$I$5:$I$53,G549)&lt;&gt;"",INDEX(CONFIRM!$I$5:$I$53,G549),H549),H549)</f>
        <v>Support Svcs</v>
      </c>
      <c r="J549" s="1" t="str">
        <f aca="false">IFERROR(INDEX(MAP!$F$7:$F$74,MATCH(TRIM(I549),MAP!$E$7:$E$74,0)),"UNMAPPED")</f>
        <v>Health care support services</v>
      </c>
      <c r="K549" s="1" t="str">
        <f aca="false">IFERROR(INDEX(MAP!$G$7:$G$74,MATCH(TRIM(I549),MAP!$E$7:$E$74,0)),"UNMAPPED")</f>
        <v>7e</v>
      </c>
      <c r="L549" s="49" t="str">
        <f aca="false">STACK!G549</f>
        <v>07/31/2025</v>
      </c>
      <c r="M549" s="59" t="n">
        <f aca="false">IF(G549&gt;0,IF(INDEX(CONFIRM!$G$5:$G$53,G549)&lt;&gt;"",INDEX(CONFIRM!$G$5:$G$53,G549),IF(ISNUMBER(L549),L549,IFERROR(DATEVALUE(L549),""))),IF(ISNUMBER(L549),L549,IFERROR(DATEVALUE(L549),"")))</f>
        <v>45869</v>
      </c>
      <c r="N549" s="1" t="str">
        <f aca="false">IF(M549="","Check",IF(AND(M549&gt;=INPUTS!$C$6,M549&lt;=INPUTS!$C$7),"Yes","No"))</f>
        <v>Yes</v>
      </c>
      <c r="O549" s="48" t="str">
        <f aca="false">STACK!H549</f>
        <v>Social Work</v>
      </c>
      <c r="P549" s="1" t="str">
        <f aca="false">IF(G549&gt;0,IF(INDEX(CONFIRM!$H$5:$H$53,G549)&lt;&gt;"",INDEX(CONFIRM!$H$5:$H$53,G549),IFERROR(INDEX(MAP!$B$7:$B$156,MATCH(TRIM(O549),MAP!$A$7:$A$156,0)),"UNMAPPED")),IFERROR(INDEX(MAP!$B$7:$B$156,MATCH(TRIM(O549),MAP!$A$7:$A$156,0)),"UNMAPPED"))</f>
        <v>Social Worker</v>
      </c>
      <c r="Q549" s="48" t="str">
        <f aca="false">STACK!I549</f>
        <v>1.75 hrs</v>
      </c>
      <c r="R549" s="60" t="n">
        <f aca="false">IF(G549&gt;0,IF(INDEX(CONFIRM!$F$5:$F$53,G549)&lt;&gt;"",INDEX(CONFIRM!$F$5:$F$53,G549),IF(ISNUMBER(Q549),Q549,IF(Q549="","",IFERROR(VALUE(TRIM(SUBSTITUTE(SUBSTITUTE(LOWER(Q549),"hrs",""),"hr",""))),"")))),IF(ISNUMBER(Q549),Q549,IF(Q549="","",IFERROR(VALUE(TRIM(SUBSTITUTE(SUBSTITUTE(LOWER(Q549),"hrs",""),"hr",""))),""))))</f>
        <v>1.75</v>
      </c>
      <c r="S549" s="57" t="n">
        <f aca="false">IFERROR(INDEX(RATES!$E$6:$E$28,MATCH(P549,RATES!$A$6:$A$28,0)),0)</f>
        <v>45.6175</v>
      </c>
      <c r="T549" s="61" t="n">
        <f aca="false">IF(ISNUMBER(R549),R549,0)*S549</f>
        <v>79.830625</v>
      </c>
      <c r="U549" s="61" t="n">
        <f aca="false">T549*INDEX(INPUTS!$H$10:$H$14,MATCH(B549,INPUTS!$A$10:$A$14,0))</f>
        <v>12.93256125</v>
      </c>
      <c r="V549" s="61" t="n">
        <f aca="false">N(STACK!K549)</f>
        <v>0</v>
      </c>
      <c r="W549" s="61" t="n">
        <f aca="false">T549+U549+V549</f>
        <v>92.76318625</v>
      </c>
      <c r="X549" s="61" t="n">
        <f aca="false">N(STACK!L549)</f>
        <v>0</v>
      </c>
      <c r="Y549" s="61" t="n">
        <f aca="false">W549-X549</f>
        <v>92.76318625</v>
      </c>
      <c r="Z549" s="1" t="n">
        <f aca="false">N(STACK!J549)</f>
        <v>0</v>
      </c>
      <c r="AA549" s="1" t="str">
        <f aca="false">TRIM(IF(D549="UNMAPPED","Program not mapped. ","")&amp;IF(OR(K549="UNMAPPED",K549="UNASSIGNED"),"Category needs review. ","")&amp;IF(P549="UNMAPPED","Title not mapped. ","")&amp;IF(AND(P549&lt;&gt;"No staff time",R549=""),"Missing hours. ","")&amp;IF(M549="","Date not readable. ","")&amp;IF(N549="No","Outside fiscal year. ","")&amp;IF(AND(F549="Event",ISNUMBER(R549)),IF(R549&gt;12,"Event hours look high. ",""),"")&amp;IF(G549&gt;0,"See CONFIRM sheet.",""))</f>
        <v/>
      </c>
      <c r="AB549" s="1" t="n">
        <f aca="false">IF(N549="No",0,IF(REVIEW!O549=0,0,IF(G549&gt;0,IF(INDEX(CONFIRM!$J$5:$J$53,G549)&lt;&gt;"",INDEX(CONFIRM!$J$5:$J$53,G549),1),1)))</f>
        <v>1</v>
      </c>
      <c r="AC549" s="1" t="n">
        <f aca="false">IF(AB549=1,IF(COUNTIFS($B$5:B549,B549,$D$5:D549,D549,$AB$5:AB549,1)=1,1,0),0)</f>
        <v>0</v>
      </c>
    </row>
    <row r="550" customFormat="false" ht="15" hidden="false" customHeight="false" outlineLevel="0" collapsed="false">
      <c r="A550" s="48" t="str">
        <f aca="false">STACK!A550</f>
        <v>ASH-0017</v>
      </c>
      <c r="B550" s="48" t="str">
        <f aca="false">STACK!B550</f>
        <v>ASH</v>
      </c>
      <c r="C550" s="48" t="str">
        <f aca="false">STACK!E550</f>
        <v>CHW Outreach</v>
      </c>
      <c r="D550" s="1" t="str">
        <f aca="false">IFERROR(INDEX(MAP!$J$7:$J$101,MATCH(TRIM(C550),MAP!$I$7:$I$101,0)),"UNMAPPED")</f>
        <v>Community Health Worker Outreach</v>
      </c>
      <c r="E550" s="1" t="str">
        <f aca="false">IFERROR(INDEX(MAP!$K$7:$K$101,MATCH(TRIM(C550),MAP!$I$7:$I$101,0)),"")</f>
        <v>Access to care</v>
      </c>
      <c r="F550" s="1" t="str">
        <f aca="false">IFERROR(INDEX(MAP!$L$7:$L$101,MATCH(TRIM(C550),MAP!$I$7:$I$101,0)),"")</f>
        <v>Monthly</v>
      </c>
      <c r="G550" s="1" t="n">
        <f aca="false">IFERROR(MATCH(A550,CONFIRM!$A$5:$A$53,0),0)</f>
        <v>0</v>
      </c>
      <c r="H550" s="48" t="str">
        <f aca="false">STACK!F550</f>
        <v>Support Svcs</v>
      </c>
      <c r="I550" s="1" t="str">
        <f aca="false">IF(G550&gt;0,IF(INDEX(CONFIRM!$I$5:$I$53,G550)&lt;&gt;"",INDEX(CONFIRM!$I$5:$I$53,G550),H550),H550)</f>
        <v>Support Svcs</v>
      </c>
      <c r="J550" s="1" t="str">
        <f aca="false">IFERROR(INDEX(MAP!$F$7:$F$74,MATCH(TRIM(I550),MAP!$E$7:$E$74,0)),"UNMAPPED")</f>
        <v>Health care support services</v>
      </c>
      <c r="K550" s="1" t="str">
        <f aca="false">IFERROR(INDEX(MAP!$G$7:$G$74,MATCH(TRIM(I550),MAP!$E$7:$E$74,0)),"UNMAPPED")</f>
        <v>7e</v>
      </c>
      <c r="L550" s="49" t="str">
        <f aca="false">STACK!G550</f>
        <v>07/31/2025</v>
      </c>
      <c r="M550" s="59" t="n">
        <f aca="false">IF(G550&gt;0,IF(INDEX(CONFIRM!$G$5:$G$53,G550)&lt;&gt;"",INDEX(CONFIRM!$G$5:$G$53,G550),IF(ISNUMBER(L550),L550,IFERROR(DATEVALUE(L550),""))),IF(ISNUMBER(L550),L550,IFERROR(DATEVALUE(L550),"")))</f>
        <v>45869</v>
      </c>
      <c r="N550" s="1" t="str">
        <f aca="false">IF(M550="","Check",IF(AND(M550&gt;=INPUTS!$C$6,M550&lt;=INPUTS!$C$7),"Yes","No"))</f>
        <v>Yes</v>
      </c>
      <c r="O550" s="48" t="str">
        <f aca="false">STACK!H550</f>
        <v>CHW </v>
      </c>
      <c r="P550" s="1" t="str">
        <f aca="false">IF(G550&gt;0,IF(INDEX(CONFIRM!$H$5:$H$53,G550)&lt;&gt;"",INDEX(CONFIRM!$H$5:$H$53,G550),IFERROR(INDEX(MAP!$B$7:$B$156,MATCH(TRIM(O550),MAP!$A$7:$A$156,0)),"UNMAPPED")),IFERROR(INDEX(MAP!$B$7:$B$156,MATCH(TRIM(O550),MAP!$A$7:$A$156,0)),"UNMAPPED"))</f>
        <v>Community Health Worker</v>
      </c>
      <c r="Q550" s="48" t="n">
        <f aca="false">STACK!I550</f>
        <v>338.5</v>
      </c>
      <c r="R550" s="60" t="n">
        <f aca="false">IF(G550&gt;0,IF(INDEX(CONFIRM!$F$5:$F$53,G550)&lt;&gt;"",INDEX(CONFIRM!$F$5:$F$53,G550),IF(ISNUMBER(Q550),Q550,IF(Q550="","",IFERROR(VALUE(TRIM(SUBSTITUTE(SUBSTITUTE(LOWER(Q550),"hrs",""),"hr",""))),"")))),IF(ISNUMBER(Q550),Q550,IF(Q550="","",IFERROR(VALUE(TRIM(SUBSTITUTE(SUBSTITUTE(LOWER(Q550),"hrs",""),"hr",""))),""))))</f>
        <v>338.5</v>
      </c>
      <c r="S550" s="57" t="n">
        <f aca="false">IFERROR(INDEX(RATES!$E$6:$E$28,MATCH(P550,RATES!$A$6:$A$28,0)),0)</f>
        <v>27.6275</v>
      </c>
      <c r="T550" s="61" t="n">
        <f aca="false">IF(ISNUMBER(R550),R550,0)*S550</f>
        <v>9351.90875</v>
      </c>
      <c r="U550" s="61" t="n">
        <f aca="false">T550*INDEX(INPUTS!$H$10:$H$14,MATCH(B550,INPUTS!$A$10:$A$14,0))</f>
        <v>1515.0092175</v>
      </c>
      <c r="V550" s="61" t="n">
        <f aca="false">N(STACK!K550)</f>
        <v>1470</v>
      </c>
      <c r="W550" s="61" t="n">
        <f aca="false">T550+U550+V550</f>
        <v>12336.9179675</v>
      </c>
      <c r="X550" s="61" t="n">
        <f aca="false">N(STACK!L550)</f>
        <v>0</v>
      </c>
      <c r="Y550" s="61" t="n">
        <f aca="false">W550-X550</f>
        <v>12336.9179675</v>
      </c>
      <c r="Z550" s="1" t="n">
        <f aca="false">N(STACK!J550)</f>
        <v>446</v>
      </c>
      <c r="AA550" s="1" t="str">
        <f aca="false">TRIM(IF(D550="UNMAPPED","Program not mapped. ","")&amp;IF(OR(K550="UNMAPPED",K550="UNASSIGNED"),"Category needs review. ","")&amp;IF(P550="UNMAPPED","Title not mapped. ","")&amp;IF(AND(P550&lt;&gt;"No staff time",R550=""),"Missing hours. ","")&amp;IF(M550="","Date not readable. ","")&amp;IF(N550="No","Outside fiscal year. ","")&amp;IF(AND(F550="Event",ISNUMBER(R550)),IF(R550&gt;12,"Event hours look high. ",""),"")&amp;IF(G550&gt;0,"See CONFIRM sheet.",""))</f>
        <v/>
      </c>
      <c r="AB550" s="1" t="n">
        <f aca="false">IF(N550="No",0,IF(REVIEW!O550=0,0,IF(G550&gt;0,IF(INDEX(CONFIRM!$J$5:$J$53,G550)&lt;&gt;"",INDEX(CONFIRM!$J$5:$J$53,G550),1),1)))</f>
        <v>1</v>
      </c>
      <c r="AC550" s="1" t="n">
        <f aca="false">IF(AB550=1,IF(COUNTIFS($B$5:B550,B550,$D$5:D550,D550,$AB$5:AB550,1)=1,1,0),0)</f>
        <v>1</v>
      </c>
    </row>
    <row r="551" customFormat="false" ht="15" hidden="false" customHeight="false" outlineLevel="0" collapsed="false">
      <c r="A551" s="48" t="str">
        <f aca="false">STACK!A551</f>
        <v>ASH-0018</v>
      </c>
      <c r="B551" s="48" t="str">
        <f aca="false">STACK!B551</f>
        <v>ASH</v>
      </c>
      <c r="C551" s="48" t="str">
        <f aca="false">STACK!E551</f>
        <v>CHW Outreach</v>
      </c>
      <c r="D551" s="1" t="str">
        <f aca="false">IFERROR(INDEX(MAP!$J$7:$J$101,MATCH(TRIM(C551),MAP!$I$7:$I$101,0)),"UNMAPPED")</f>
        <v>Community Health Worker Outreach</v>
      </c>
      <c r="E551" s="1" t="str">
        <f aca="false">IFERROR(INDEX(MAP!$K$7:$K$101,MATCH(TRIM(C551),MAP!$I$7:$I$101,0)),"")</f>
        <v>Access to care</v>
      </c>
      <c r="F551" s="1" t="str">
        <f aca="false">IFERROR(INDEX(MAP!$L$7:$L$101,MATCH(TRIM(C551),MAP!$I$7:$I$101,0)),"")</f>
        <v>Monthly</v>
      </c>
      <c r="G551" s="1" t="n">
        <f aca="false">IFERROR(MATCH(A551,CONFIRM!$A$5:$A$53,0),0)</f>
        <v>0</v>
      </c>
      <c r="H551" s="48" t="str">
        <f aca="false">STACK!F551</f>
        <v>Support Svcs</v>
      </c>
      <c r="I551" s="1" t="str">
        <f aca="false">IF(G551&gt;0,IF(INDEX(CONFIRM!$I$5:$I$53,G551)&lt;&gt;"",INDEX(CONFIRM!$I$5:$I$53,G551),H551),H551)</f>
        <v>Support Svcs</v>
      </c>
      <c r="J551" s="1" t="str">
        <f aca="false">IFERROR(INDEX(MAP!$F$7:$F$74,MATCH(TRIM(I551),MAP!$E$7:$E$74,0)),"UNMAPPED")</f>
        <v>Health care support services</v>
      </c>
      <c r="K551" s="1" t="str">
        <f aca="false">IFERROR(INDEX(MAP!$G$7:$G$74,MATCH(TRIM(I551),MAP!$E$7:$E$74,0)),"UNMAPPED")</f>
        <v>7e</v>
      </c>
      <c r="L551" s="49" t="str">
        <f aca="false">STACK!G551</f>
        <v>07/31/2025</v>
      </c>
      <c r="M551" s="59" t="n">
        <f aca="false">IF(G551&gt;0,IF(INDEX(CONFIRM!$G$5:$G$53,G551)&lt;&gt;"",INDEX(CONFIRM!$G$5:$G$53,G551),IF(ISNUMBER(L551),L551,IFERROR(DATEVALUE(L551),""))),IF(ISNUMBER(L551),L551,IFERROR(DATEVALUE(L551),"")))</f>
        <v>45869</v>
      </c>
      <c r="N551" s="1" t="str">
        <f aca="false">IF(M551="","Check",IF(AND(M551&gt;=INPUTS!$C$6,M551&lt;=INPUTS!$C$7),"Yes","No"))</f>
        <v>Yes</v>
      </c>
      <c r="O551" s="48" t="str">
        <f aca="false">STACK!H551</f>
        <v>Navigator</v>
      </c>
      <c r="P551" s="1" t="str">
        <f aca="false">IF(G551&gt;0,IF(INDEX(CONFIRM!$H$5:$H$53,G551)&lt;&gt;"",INDEX(CONFIRM!$H$5:$H$53,G551),IFERROR(INDEX(MAP!$B$7:$B$156,MATCH(TRIM(O551),MAP!$A$7:$A$156,0)),"UNMAPPED")),IFERROR(INDEX(MAP!$B$7:$B$156,MATCH(TRIM(O551),MAP!$A$7:$A$156,0)),"UNMAPPED"))</f>
        <v>Patient Navigator</v>
      </c>
      <c r="Q551" s="48" t="n">
        <f aca="false">STACK!I551</f>
        <v>150</v>
      </c>
      <c r="R551" s="60" t="n">
        <f aca="false">IF(G551&gt;0,IF(INDEX(CONFIRM!$F$5:$F$53,G551)&lt;&gt;"",INDEX(CONFIRM!$F$5:$F$53,G551),IF(ISNUMBER(Q551),Q551,IF(Q551="","",IFERROR(VALUE(TRIM(SUBSTITUTE(SUBSTITUTE(LOWER(Q551),"hrs",""),"hr",""))),"")))),IF(ISNUMBER(Q551),Q551,IF(Q551="","",IFERROR(VALUE(TRIM(SUBSTITUTE(SUBSTITUTE(LOWER(Q551),"hrs",""),"hr",""))),""))))</f>
        <v>150</v>
      </c>
      <c r="S551" s="57" t="n">
        <f aca="false">IFERROR(INDEX(RATES!$E$6:$E$28,MATCH(P551,RATES!$A$6:$A$28,0)),0)</f>
        <v>30.84</v>
      </c>
      <c r="T551" s="61" t="n">
        <f aca="false">IF(ISNUMBER(R551),R551,0)*S551</f>
        <v>4626</v>
      </c>
      <c r="U551" s="61" t="n">
        <f aca="false">T551*INDEX(INPUTS!$H$10:$H$14,MATCH(B551,INPUTS!$A$10:$A$14,0))</f>
        <v>749.412</v>
      </c>
      <c r="V551" s="61" t="n">
        <f aca="false">N(STACK!K551)</f>
        <v>0</v>
      </c>
      <c r="W551" s="61" t="n">
        <f aca="false">T551+U551+V551</f>
        <v>5375.412</v>
      </c>
      <c r="X551" s="61" t="n">
        <f aca="false">N(STACK!L551)</f>
        <v>0</v>
      </c>
      <c r="Y551" s="61" t="n">
        <f aca="false">W551-X551</f>
        <v>5375.412</v>
      </c>
      <c r="Z551" s="1" t="n">
        <f aca="false">N(STACK!J551)</f>
        <v>0</v>
      </c>
      <c r="AA551" s="1" t="str">
        <f aca="false">TRIM(IF(D551="UNMAPPED","Program not mapped. ","")&amp;IF(OR(K551="UNMAPPED",K551="UNASSIGNED"),"Category needs review. ","")&amp;IF(P551="UNMAPPED","Title not mapped. ","")&amp;IF(AND(P551&lt;&gt;"No staff time",R551=""),"Missing hours. ","")&amp;IF(M551="","Date not readable. ","")&amp;IF(N551="No","Outside fiscal year. ","")&amp;IF(AND(F551="Event",ISNUMBER(R551)),IF(R551&gt;12,"Event hours look high. ",""),"")&amp;IF(G551&gt;0,"See CONFIRM sheet.",""))</f>
        <v/>
      </c>
      <c r="AB551" s="1" t="n">
        <f aca="false">IF(N551="No",0,IF(REVIEW!O551=0,0,IF(G551&gt;0,IF(INDEX(CONFIRM!$J$5:$J$53,G551)&lt;&gt;"",INDEX(CONFIRM!$J$5:$J$53,G551),1),1)))</f>
        <v>1</v>
      </c>
      <c r="AC551" s="1" t="n">
        <f aca="false">IF(AB551=1,IF(COUNTIFS($B$5:B551,B551,$D$5:D551,D551,$AB$5:AB551,1)=1,1,0),0)</f>
        <v>0</v>
      </c>
    </row>
    <row r="552" customFormat="false" ht="15" hidden="false" customHeight="false" outlineLevel="0" collapsed="false">
      <c r="A552" s="48" t="str">
        <f aca="false">STACK!A552</f>
        <v>ASH-0019</v>
      </c>
      <c r="B552" s="48" t="str">
        <f aca="false">STACK!B552</f>
        <v>ASH</v>
      </c>
      <c r="C552" s="48" t="str">
        <f aca="false">STACK!E552</f>
        <v>Produce Rx</v>
      </c>
      <c r="D552" s="1" t="str">
        <f aca="false">IFERROR(INDEX(MAP!$J$7:$J$101,MATCH(TRIM(C552),MAP!$I$7:$I$101,0)),"UNMAPPED")</f>
        <v>Produce Prescription Program</v>
      </c>
      <c r="E552" s="1" t="str">
        <f aca="false">IFERROR(INDEX(MAP!$K$7:$K$101,MATCH(TRIM(C552),MAP!$I$7:$I$101,0)),"")</f>
        <v>Food and housing security</v>
      </c>
      <c r="F552" s="1" t="str">
        <f aca="false">IFERROR(INDEX(MAP!$L$7:$L$101,MATCH(TRIM(C552),MAP!$I$7:$I$101,0)),"")</f>
        <v>Monthly</v>
      </c>
      <c r="G552" s="1" t="n">
        <f aca="false">IFERROR(MATCH(A552,CONFIRM!$A$5:$A$53,0),0)</f>
        <v>0</v>
      </c>
      <c r="H552" s="48" t="str">
        <f aca="false">STACK!F552</f>
        <v>Support Svcs</v>
      </c>
      <c r="I552" s="1" t="str">
        <f aca="false">IF(G552&gt;0,IF(INDEX(CONFIRM!$I$5:$I$53,G552)&lt;&gt;"",INDEX(CONFIRM!$I$5:$I$53,G552),H552),H552)</f>
        <v>Support Svcs</v>
      </c>
      <c r="J552" s="1" t="str">
        <f aca="false">IFERROR(INDEX(MAP!$F$7:$F$74,MATCH(TRIM(I552),MAP!$E$7:$E$74,0)),"UNMAPPED")</f>
        <v>Health care support services</v>
      </c>
      <c r="K552" s="1" t="str">
        <f aca="false">IFERROR(INDEX(MAP!$G$7:$G$74,MATCH(TRIM(I552),MAP!$E$7:$E$74,0)),"UNMAPPED")</f>
        <v>7e</v>
      </c>
      <c r="L552" s="49" t="str">
        <f aca="false">STACK!G552</f>
        <v>07/31/2025</v>
      </c>
      <c r="M552" s="59" t="n">
        <f aca="false">IF(G552&gt;0,IF(INDEX(CONFIRM!$G$5:$G$53,G552)&lt;&gt;"",INDEX(CONFIRM!$G$5:$G$53,G552),IF(ISNUMBER(L552),L552,IFERROR(DATEVALUE(L552),""))),IF(ISNUMBER(L552),L552,IFERROR(DATEVALUE(L552),"")))</f>
        <v>45869</v>
      </c>
      <c r="N552" s="1" t="str">
        <f aca="false">IF(M552="","Check",IF(AND(M552&gt;=INPUTS!$C$6,M552&lt;=INPUTS!$C$7),"Yes","No"))</f>
        <v>Yes</v>
      </c>
      <c r="O552" s="48" t="str">
        <f aca="false">STACK!H552</f>
        <v>CHW</v>
      </c>
      <c r="P552" s="1" t="str">
        <f aca="false">IF(G552&gt;0,IF(INDEX(CONFIRM!$H$5:$H$53,G552)&lt;&gt;"",INDEX(CONFIRM!$H$5:$H$53,G552),IFERROR(INDEX(MAP!$B$7:$B$156,MATCH(TRIM(O552),MAP!$A$7:$A$156,0)),"UNMAPPED")),IFERROR(INDEX(MAP!$B$7:$B$156,MATCH(TRIM(O552),MAP!$A$7:$A$156,0)),"UNMAPPED"))</f>
        <v>Community Health Worker</v>
      </c>
      <c r="Q552" s="48" t="n">
        <f aca="false">STACK!I552</f>
        <v>43.75</v>
      </c>
      <c r="R552" s="60" t="n">
        <f aca="false">IF(G552&gt;0,IF(INDEX(CONFIRM!$F$5:$F$53,G552)&lt;&gt;"",INDEX(CONFIRM!$F$5:$F$53,G552),IF(ISNUMBER(Q552),Q552,IF(Q552="","",IFERROR(VALUE(TRIM(SUBSTITUTE(SUBSTITUTE(LOWER(Q552),"hrs",""),"hr",""))),"")))),IF(ISNUMBER(Q552),Q552,IF(Q552="","",IFERROR(VALUE(TRIM(SUBSTITUTE(SUBSTITUTE(LOWER(Q552),"hrs",""),"hr",""))),""))))</f>
        <v>43.75</v>
      </c>
      <c r="S552" s="57" t="n">
        <f aca="false">IFERROR(INDEX(RATES!$E$6:$E$28,MATCH(P552,RATES!$A$6:$A$28,0)),0)</f>
        <v>27.6275</v>
      </c>
      <c r="T552" s="61" t="n">
        <f aca="false">IF(ISNUMBER(R552),R552,0)*S552</f>
        <v>1208.703125</v>
      </c>
      <c r="U552" s="61" t="n">
        <f aca="false">T552*INDEX(INPUTS!$H$10:$H$14,MATCH(B552,INPUTS!$A$10:$A$14,0))</f>
        <v>195.80990625</v>
      </c>
      <c r="V552" s="61" t="n">
        <f aca="false">N(STACK!K552)</f>
        <v>0</v>
      </c>
      <c r="W552" s="61" t="n">
        <f aca="false">T552+U552+V552</f>
        <v>1404.51303125</v>
      </c>
      <c r="X552" s="61" t="n">
        <f aca="false">N(STACK!L552)</f>
        <v>0</v>
      </c>
      <c r="Y552" s="61" t="n">
        <f aca="false">W552-X552</f>
        <v>1404.51303125</v>
      </c>
      <c r="Z552" s="1" t="n">
        <f aca="false">N(STACK!J552)</f>
        <v>0</v>
      </c>
      <c r="AA552" s="1" t="str">
        <f aca="false">TRIM(IF(D552="UNMAPPED","Program not mapped. ","")&amp;IF(OR(K552="UNMAPPED",K552="UNASSIGNED"),"Category needs review. ","")&amp;IF(P552="UNMAPPED","Title not mapped. ","")&amp;IF(AND(P552&lt;&gt;"No staff time",R552=""),"Missing hours. ","")&amp;IF(M552="","Date not readable. ","")&amp;IF(N552="No","Outside fiscal year. ","")&amp;IF(AND(F552="Event",ISNUMBER(R552)),IF(R552&gt;12,"Event hours look high. ",""),"")&amp;IF(G552&gt;0,"See CONFIRM sheet.",""))</f>
        <v/>
      </c>
      <c r="AB552" s="1" t="n">
        <f aca="false">IF(N552="No",0,IF(REVIEW!O552=0,0,IF(G552&gt;0,IF(INDEX(CONFIRM!$J$5:$J$53,G552)&lt;&gt;"",INDEX(CONFIRM!$J$5:$J$53,G552),1),1)))</f>
        <v>1</v>
      </c>
      <c r="AC552" s="1" t="n">
        <f aca="false">IF(AB552=1,IF(COUNTIFS($B$5:B552,B552,$D$5:D552,D552,$AB$5:AB552,1)=1,1,0),0)</f>
        <v>1</v>
      </c>
    </row>
    <row r="553" customFormat="false" ht="15" hidden="false" customHeight="false" outlineLevel="0" collapsed="false">
      <c r="A553" s="48" t="str">
        <f aca="false">STACK!A553</f>
        <v>ASH-0020</v>
      </c>
      <c r="B553" s="48" t="str">
        <f aca="false">STACK!B553</f>
        <v>ASH</v>
      </c>
      <c r="C553" s="48" t="str">
        <f aca="false">STACK!E553</f>
        <v>Produce Rx</v>
      </c>
      <c r="D553" s="1" t="str">
        <f aca="false">IFERROR(INDEX(MAP!$J$7:$J$101,MATCH(TRIM(C553),MAP!$I$7:$I$101,0)),"UNMAPPED")</f>
        <v>Produce Prescription Program</v>
      </c>
      <c r="E553" s="1" t="str">
        <f aca="false">IFERROR(INDEX(MAP!$K$7:$K$101,MATCH(TRIM(C553),MAP!$I$7:$I$101,0)),"")</f>
        <v>Food and housing security</v>
      </c>
      <c r="F553" s="1" t="str">
        <f aca="false">IFERROR(INDEX(MAP!$L$7:$L$101,MATCH(TRIM(C553),MAP!$I$7:$I$101,0)),"")</f>
        <v>Monthly</v>
      </c>
      <c r="G553" s="1" t="n">
        <f aca="false">IFERROR(MATCH(A553,CONFIRM!$A$5:$A$53,0),0)</f>
        <v>0</v>
      </c>
      <c r="H553" s="48" t="str">
        <f aca="false">STACK!F553</f>
        <v>Support Svcs</v>
      </c>
      <c r="I553" s="1" t="str">
        <f aca="false">IF(G553&gt;0,IF(INDEX(CONFIRM!$I$5:$I$53,G553)&lt;&gt;"",INDEX(CONFIRM!$I$5:$I$53,G553),H553),H553)</f>
        <v>Support Svcs</v>
      </c>
      <c r="J553" s="1" t="str">
        <f aca="false">IFERROR(INDEX(MAP!$F$7:$F$74,MATCH(TRIM(I553),MAP!$E$7:$E$74,0)),"UNMAPPED")</f>
        <v>Health care support services</v>
      </c>
      <c r="K553" s="1" t="str">
        <f aca="false">IFERROR(INDEX(MAP!$G$7:$G$74,MATCH(TRIM(I553),MAP!$E$7:$E$74,0)),"UNMAPPED")</f>
        <v>7e</v>
      </c>
      <c r="L553" s="49" t="str">
        <f aca="false">STACK!G553</f>
        <v>07/31/2025</v>
      </c>
      <c r="M553" s="59" t="n">
        <f aca="false">IF(G553&gt;0,IF(INDEX(CONFIRM!$G$5:$G$53,G553)&lt;&gt;"",INDEX(CONFIRM!$G$5:$G$53,G553),IF(ISNUMBER(L553),L553,IFERROR(DATEVALUE(L553),""))),IF(ISNUMBER(L553),L553,IFERROR(DATEVALUE(L553),"")))</f>
        <v>45869</v>
      </c>
      <c r="N553" s="1" t="str">
        <f aca="false">IF(M553="","Check",IF(AND(M553&gt;=INPUTS!$C$6,M553&lt;=INPUTS!$C$7),"Yes","No"))</f>
        <v>Yes</v>
      </c>
      <c r="O553" s="48" t="str">
        <f aca="false">STACK!H553</f>
        <v>RDN</v>
      </c>
      <c r="P553" s="1" t="str">
        <f aca="false">IF(G553&gt;0,IF(INDEX(CONFIRM!$H$5:$H$53,G553)&lt;&gt;"",INDEX(CONFIRM!$H$5:$H$53,G553),IFERROR(INDEX(MAP!$B$7:$B$156,MATCH(TRIM(O553),MAP!$A$7:$A$156,0)),"UNMAPPED")),IFERROR(INDEX(MAP!$B$7:$B$156,MATCH(TRIM(O553),MAP!$A$7:$A$156,0)),"UNMAPPED"))</f>
        <v>Registered Dietitian</v>
      </c>
      <c r="Q553" s="48" t="n">
        <f aca="false">STACK!I553</f>
        <v>25</v>
      </c>
      <c r="R553" s="60" t="n">
        <f aca="false">IF(G553&gt;0,IF(INDEX(CONFIRM!$F$5:$F$53,G553)&lt;&gt;"",INDEX(CONFIRM!$F$5:$F$53,G553),IF(ISNUMBER(Q553),Q553,IF(Q553="","",IFERROR(VALUE(TRIM(SUBSTITUTE(SUBSTITUTE(LOWER(Q553),"hrs",""),"hr",""))),"")))),IF(ISNUMBER(Q553),Q553,IF(Q553="","",IFERROR(VALUE(TRIM(SUBSTITUTE(SUBSTITUTE(LOWER(Q553),"hrs",""),"hr",""))),""))))</f>
        <v>25</v>
      </c>
      <c r="S553" s="57" t="n">
        <f aca="false">IFERROR(INDEX(RATES!$E$6:$E$28,MATCH(P553,RATES!$A$6:$A$28,0)),0)</f>
        <v>46.9025</v>
      </c>
      <c r="T553" s="61" t="n">
        <f aca="false">IF(ISNUMBER(R553),R553,0)*S553</f>
        <v>1172.5625</v>
      </c>
      <c r="U553" s="61" t="n">
        <f aca="false">T553*INDEX(INPUTS!$H$10:$H$14,MATCH(B553,INPUTS!$A$10:$A$14,0))</f>
        <v>189.955125</v>
      </c>
      <c r="V553" s="61" t="n">
        <f aca="false">N(STACK!K553)</f>
        <v>12555</v>
      </c>
      <c r="W553" s="61" t="n">
        <f aca="false">T553+U553+V553</f>
        <v>13917.517625</v>
      </c>
      <c r="X553" s="61" t="n">
        <f aca="false">N(STACK!L553)</f>
        <v>3710</v>
      </c>
      <c r="Y553" s="61" t="n">
        <f aca="false">W553-X553</f>
        <v>10207.517625</v>
      </c>
      <c r="Z553" s="1" t="n">
        <f aca="false">N(STACK!J553)</f>
        <v>108</v>
      </c>
      <c r="AA553" s="1" t="str">
        <f aca="false">TRIM(IF(D553="UNMAPPED","Program not mapped. ","")&amp;IF(OR(K553="UNMAPPED",K553="UNASSIGNED"),"Category needs review. ","")&amp;IF(P553="UNMAPPED","Title not mapped. ","")&amp;IF(AND(P553&lt;&gt;"No staff time",R553=""),"Missing hours. ","")&amp;IF(M553="","Date not readable. ","")&amp;IF(N553="No","Outside fiscal year. ","")&amp;IF(AND(F553="Event",ISNUMBER(R553)),IF(R553&gt;12,"Event hours look high. ",""),"")&amp;IF(G553&gt;0,"See CONFIRM sheet.",""))</f>
        <v/>
      </c>
      <c r="AB553" s="1" t="n">
        <f aca="false">IF(N553="No",0,IF(REVIEW!O553=0,0,IF(G553&gt;0,IF(INDEX(CONFIRM!$J$5:$J$53,G553)&lt;&gt;"",INDEX(CONFIRM!$J$5:$J$53,G553),1),1)))</f>
        <v>1</v>
      </c>
      <c r="AC553" s="1" t="n">
        <f aca="false">IF(AB553=1,IF(COUNTIFS($B$5:B553,B553,$D$5:D553,D553,$AB$5:AB553,1)=1,1,0),0)</f>
        <v>0</v>
      </c>
    </row>
    <row r="554" customFormat="false" ht="15" hidden="false" customHeight="false" outlineLevel="0" collapsed="false">
      <c r="A554" s="48" t="str">
        <f aca="false">STACK!A554</f>
        <v>ASH-0021</v>
      </c>
      <c r="B554" s="48" t="str">
        <f aca="false">STACK!B554</f>
        <v>ASH</v>
      </c>
      <c r="C554" s="48" t="str">
        <f aca="false">STACK!E554</f>
        <v>CB Program Admin</v>
      </c>
      <c r="D554" s="1" t="str">
        <f aca="false">IFERROR(INDEX(MAP!$J$7:$J$101,MATCH(TRIM(C554),MAP!$I$7:$I$101,0)),"UNMAPPED")</f>
        <v>Community Benefit Program Administration</v>
      </c>
      <c r="E554" s="1" t="str">
        <f aca="false">IFERROR(INDEX(MAP!$K$7:$K$101,MATCH(TRIM(C554),MAP!$I$7:$I$101,0)),"")</f>
        <v>Community benefit infrastructure</v>
      </c>
      <c r="F554" s="1" t="str">
        <f aca="false">IFERROR(INDEX(MAP!$L$7:$L$101,MATCH(TRIM(C554),MAP!$I$7:$I$101,0)),"")</f>
        <v>Monthly</v>
      </c>
      <c r="G554" s="1" t="n">
        <f aca="false">IFERROR(MATCH(A554,CONFIRM!$A$5:$A$53,0),0)</f>
        <v>0</v>
      </c>
      <c r="H554" s="48" t="str">
        <f aca="false">STACK!F554</f>
        <v>CB Admin</v>
      </c>
      <c r="I554" s="1" t="str">
        <f aca="false">IF(G554&gt;0,IF(INDEX(CONFIRM!$I$5:$I$53,G554)&lt;&gt;"",INDEX(CONFIRM!$I$5:$I$53,G554),H554),H554)</f>
        <v>CB Admin</v>
      </c>
      <c r="J554" s="1" t="str">
        <f aca="false">IFERROR(INDEX(MAP!$F$7:$F$74,MATCH(TRIM(I554),MAP!$E$7:$E$74,0)),"UNMAPPED")</f>
        <v>Community benefit operations</v>
      </c>
      <c r="K554" s="1" t="str">
        <f aca="false">IFERROR(INDEX(MAP!$G$7:$G$74,MATCH(TRIM(I554),MAP!$E$7:$E$74,0)),"UNMAPPED")</f>
        <v>7e</v>
      </c>
      <c r="L554" s="49" t="str">
        <f aca="false">STACK!G554</f>
        <v>07/31/2025</v>
      </c>
      <c r="M554" s="59" t="n">
        <f aca="false">IF(G554&gt;0,IF(INDEX(CONFIRM!$G$5:$G$53,G554)&lt;&gt;"",INDEX(CONFIRM!$G$5:$G$53,G554),IF(ISNUMBER(L554),L554,IFERROR(DATEVALUE(L554),""))),IF(ISNUMBER(L554),L554,IFERROR(DATEVALUE(L554),"")))</f>
        <v>45869</v>
      </c>
      <c r="N554" s="1" t="str">
        <f aca="false">IF(M554="","Check",IF(AND(M554&gt;=INPUTS!$C$6,M554&lt;=INPUTS!$C$7),"Yes","No"))</f>
        <v>Yes</v>
      </c>
      <c r="O554" s="48" t="str">
        <f aca="false">STACK!H554</f>
        <v>Admin Asst</v>
      </c>
      <c r="P554" s="1" t="str">
        <f aca="false">IF(G554&gt;0,IF(INDEX(CONFIRM!$H$5:$H$53,G554)&lt;&gt;"",INDEX(CONFIRM!$H$5:$H$53,G554),IFERROR(INDEX(MAP!$B$7:$B$156,MATCH(TRIM(O554),MAP!$A$7:$A$156,0)),"UNMAPPED")),IFERROR(INDEX(MAP!$B$7:$B$156,MATCH(TRIM(O554),MAP!$A$7:$A$156,0)),"UNMAPPED"))</f>
        <v>Administrative Assistant</v>
      </c>
      <c r="Q554" s="48" t="n">
        <f aca="false">STACK!I554</f>
        <v>57.25</v>
      </c>
      <c r="R554" s="60" t="n">
        <f aca="false">IF(G554&gt;0,IF(INDEX(CONFIRM!$F$5:$F$53,G554)&lt;&gt;"",INDEX(CONFIRM!$F$5:$F$53,G554),IF(ISNUMBER(Q554),Q554,IF(Q554="","",IFERROR(VALUE(TRIM(SUBSTITUTE(SUBSTITUTE(LOWER(Q554),"hrs",""),"hr",""))),"")))),IF(ISNUMBER(Q554),Q554,IF(Q554="","",IFERROR(VALUE(TRIM(SUBSTITUTE(SUBSTITUTE(LOWER(Q554),"hrs",""),"hr",""))),""))))</f>
        <v>57.25</v>
      </c>
      <c r="S554" s="57" t="n">
        <f aca="false">IFERROR(INDEX(RATES!$E$6:$E$28,MATCH(P554,RATES!$A$6:$A$28,0)),0)</f>
        <v>26.985</v>
      </c>
      <c r="T554" s="61" t="n">
        <f aca="false">IF(ISNUMBER(R554),R554,0)*S554</f>
        <v>1544.89125</v>
      </c>
      <c r="U554" s="61" t="n">
        <f aca="false">T554*INDEX(INPUTS!$H$10:$H$14,MATCH(B554,INPUTS!$A$10:$A$14,0))</f>
        <v>250.2723825</v>
      </c>
      <c r="V554" s="61" t="n">
        <f aca="false">N(STACK!K554)</f>
        <v>0</v>
      </c>
      <c r="W554" s="61" t="n">
        <f aca="false">T554+U554+V554</f>
        <v>1795.1636325</v>
      </c>
      <c r="X554" s="61" t="n">
        <f aca="false">N(STACK!L554)</f>
        <v>0</v>
      </c>
      <c r="Y554" s="61" t="n">
        <f aca="false">W554-X554</f>
        <v>1795.1636325</v>
      </c>
      <c r="Z554" s="1" t="n">
        <f aca="false">N(STACK!J554)</f>
        <v>0</v>
      </c>
      <c r="AA554" s="1" t="str">
        <f aca="false">TRIM(IF(D554="UNMAPPED","Program not mapped. ","")&amp;IF(OR(K554="UNMAPPED",K554="UNASSIGNED"),"Category needs review. ","")&amp;IF(P554="UNMAPPED","Title not mapped. ","")&amp;IF(AND(P554&lt;&gt;"No staff time",R554=""),"Missing hours. ","")&amp;IF(M554="","Date not readable. ","")&amp;IF(N554="No","Outside fiscal year. ","")&amp;IF(AND(F554="Event",ISNUMBER(R554)),IF(R554&gt;12,"Event hours look high. ",""),"")&amp;IF(G554&gt;0,"See CONFIRM sheet.",""))</f>
        <v/>
      </c>
      <c r="AB554" s="1" t="n">
        <f aca="false">IF(N554="No",0,IF(REVIEW!O554=0,0,IF(G554&gt;0,IF(INDEX(CONFIRM!$J$5:$J$53,G554)&lt;&gt;"",INDEX(CONFIRM!$J$5:$J$53,G554),1),1)))</f>
        <v>1</v>
      </c>
      <c r="AC554" s="1" t="n">
        <f aca="false">IF(AB554=1,IF(COUNTIFS($B$5:B554,B554,$D$5:D554,D554,$AB$5:AB554,1)=1,1,0),0)</f>
        <v>1</v>
      </c>
    </row>
    <row r="555" customFormat="false" ht="15" hidden="false" customHeight="false" outlineLevel="0" collapsed="false">
      <c r="A555" s="48" t="str">
        <f aca="false">STACK!A555</f>
        <v>ASH-0022</v>
      </c>
      <c r="B555" s="48" t="str">
        <f aca="false">STACK!B555</f>
        <v>ASH</v>
      </c>
      <c r="C555" s="48" t="str">
        <f aca="false">STACK!E555</f>
        <v>CB Program Admin</v>
      </c>
      <c r="D555" s="1" t="str">
        <f aca="false">IFERROR(INDEX(MAP!$J$7:$J$101,MATCH(TRIM(C555),MAP!$I$7:$I$101,0)),"UNMAPPED")</f>
        <v>Community Benefit Program Administration</v>
      </c>
      <c r="E555" s="1" t="str">
        <f aca="false">IFERROR(INDEX(MAP!$K$7:$K$101,MATCH(TRIM(C555),MAP!$I$7:$I$101,0)),"")</f>
        <v>Community benefit infrastructure</v>
      </c>
      <c r="F555" s="1" t="str">
        <f aca="false">IFERROR(INDEX(MAP!$L$7:$L$101,MATCH(TRIM(C555),MAP!$I$7:$I$101,0)),"")</f>
        <v>Monthly</v>
      </c>
      <c r="G555" s="1" t="n">
        <f aca="false">IFERROR(MATCH(A555,CONFIRM!$A$5:$A$53,0),0)</f>
        <v>0</v>
      </c>
      <c r="H555" s="48" t="str">
        <f aca="false">STACK!F555</f>
        <v>CB Admin</v>
      </c>
      <c r="I555" s="1" t="str">
        <f aca="false">IF(G555&gt;0,IF(INDEX(CONFIRM!$I$5:$I$53,G555)&lt;&gt;"",INDEX(CONFIRM!$I$5:$I$53,G555),H555),H555)</f>
        <v>CB Admin</v>
      </c>
      <c r="J555" s="1" t="str">
        <f aca="false">IFERROR(INDEX(MAP!$F$7:$F$74,MATCH(TRIM(I555),MAP!$E$7:$E$74,0)),"UNMAPPED")</f>
        <v>Community benefit operations</v>
      </c>
      <c r="K555" s="1" t="str">
        <f aca="false">IFERROR(INDEX(MAP!$G$7:$G$74,MATCH(TRIM(I555),MAP!$E$7:$E$74,0)),"UNMAPPED")</f>
        <v>7e</v>
      </c>
      <c r="L555" s="49" t="str">
        <f aca="false">STACK!G555</f>
        <v>07/31/2025</v>
      </c>
      <c r="M555" s="59" t="n">
        <f aca="false">IF(G555&gt;0,IF(INDEX(CONFIRM!$G$5:$G$53,G555)&lt;&gt;"",INDEX(CONFIRM!$G$5:$G$53,G555),IF(ISNUMBER(L555),L555,IFERROR(DATEVALUE(L555),""))),IF(ISNUMBER(L555),L555,IFERROR(DATEVALUE(L555),"")))</f>
        <v>45869</v>
      </c>
      <c r="N555" s="1" t="str">
        <f aca="false">IF(M555="","Check",IF(AND(M555&gt;=INPUTS!$C$6,M555&lt;=INPUTS!$C$7),"Yes","No"))</f>
        <v>Yes</v>
      </c>
      <c r="O555" s="48" t="str">
        <f aca="false">STACK!H555</f>
        <v>Mgr, Community Benefit</v>
      </c>
      <c r="P555" s="1" t="str">
        <f aca="false">IF(G555&gt;0,IF(INDEX(CONFIRM!$H$5:$H$53,G555)&lt;&gt;"",INDEX(CONFIRM!$H$5:$H$53,G555),IFERROR(INDEX(MAP!$B$7:$B$156,MATCH(TRIM(O555),MAP!$A$7:$A$156,0)),"UNMAPPED")),IFERROR(INDEX(MAP!$B$7:$B$156,MATCH(TRIM(O555),MAP!$A$7:$A$156,0)),"UNMAPPED"))</f>
        <v>Community Benefit Manager</v>
      </c>
      <c r="Q555" s="48" t="n">
        <f aca="false">STACK!I555</f>
        <v>64</v>
      </c>
      <c r="R555" s="60" t="n">
        <f aca="false">IF(G555&gt;0,IF(INDEX(CONFIRM!$F$5:$F$53,G555)&lt;&gt;"",INDEX(CONFIRM!$F$5:$F$53,G555),IF(ISNUMBER(Q555),Q555,IF(Q555="","",IFERROR(VALUE(TRIM(SUBSTITUTE(SUBSTITUTE(LOWER(Q555),"hrs",""),"hr",""))),"")))),IF(ISNUMBER(Q555),Q555,IF(Q555="","",IFERROR(VALUE(TRIM(SUBSTITUTE(SUBSTITUTE(LOWER(Q555),"hrs",""),"hr",""))),""))))</f>
        <v>64</v>
      </c>
      <c r="S555" s="57" t="n">
        <f aca="false">IFERROR(INDEX(RATES!$E$6:$E$28,MATCH(P555,RATES!$A$6:$A$28,0)),0)</f>
        <v>59.11</v>
      </c>
      <c r="T555" s="61" t="n">
        <f aca="false">IF(ISNUMBER(R555),R555,0)*S555</f>
        <v>3783.04</v>
      </c>
      <c r="U555" s="61" t="n">
        <f aca="false">T555*INDEX(INPUTS!$H$10:$H$14,MATCH(B555,INPUTS!$A$10:$A$14,0))</f>
        <v>612.85248</v>
      </c>
      <c r="V555" s="61" t="n">
        <f aca="false">N(STACK!K555)</f>
        <v>690</v>
      </c>
      <c r="W555" s="61" t="n">
        <f aca="false">T555+U555+V555</f>
        <v>5085.89248</v>
      </c>
      <c r="X555" s="61" t="n">
        <f aca="false">N(STACK!L555)</f>
        <v>0</v>
      </c>
      <c r="Y555" s="61" t="n">
        <f aca="false">W555-X555</f>
        <v>5085.89248</v>
      </c>
      <c r="Z555" s="1" t="n">
        <f aca="false">N(STACK!J555)</f>
        <v>0</v>
      </c>
      <c r="AA555" s="1" t="str">
        <f aca="false">TRIM(IF(D555="UNMAPPED","Program not mapped. ","")&amp;IF(OR(K555="UNMAPPED",K555="UNASSIGNED"),"Category needs review. ","")&amp;IF(P555="UNMAPPED","Title not mapped. ","")&amp;IF(AND(P555&lt;&gt;"No staff time",R555=""),"Missing hours. ","")&amp;IF(M555="","Date not readable. ","")&amp;IF(N555="No","Outside fiscal year. ","")&amp;IF(AND(F555="Event",ISNUMBER(R555)),IF(R555&gt;12,"Event hours look high. ",""),"")&amp;IF(G555&gt;0,"See CONFIRM sheet.",""))</f>
        <v/>
      </c>
      <c r="AB555" s="1" t="n">
        <f aca="false">IF(N555="No",0,IF(REVIEW!O555=0,0,IF(G555&gt;0,IF(INDEX(CONFIRM!$J$5:$J$53,G555)&lt;&gt;"",INDEX(CONFIRM!$J$5:$J$53,G555),1),1)))</f>
        <v>1</v>
      </c>
      <c r="AC555" s="1" t="n">
        <f aca="false">IF(AB555=1,IF(COUNTIFS($B$5:B555,B555,$D$5:D555,D555,$AB$5:AB555,1)=1,1,0),0)</f>
        <v>0</v>
      </c>
    </row>
    <row r="556" customFormat="false" ht="15" hidden="false" customHeight="false" outlineLevel="0" collapsed="false">
      <c r="A556" s="48" t="str">
        <f aca="false">STACK!A556</f>
        <v>ASH-0023</v>
      </c>
      <c r="B556" s="48" t="str">
        <f aca="false">STACK!B556</f>
        <v>ASH</v>
      </c>
      <c r="C556" s="48" t="str">
        <f aca="false">STACK!E556</f>
        <v>Nursing Clinicals</v>
      </c>
      <c r="D556" s="1" t="str">
        <f aca="false">IFERROR(INDEX(MAP!$J$7:$J$101,MATCH(TRIM(C556),MAP!$I$7:$I$101,0)),"UNMAPPED")</f>
        <v>Nursing Student Clinical Rotations</v>
      </c>
      <c r="E556" s="1" t="str">
        <f aca="false">IFERROR(INDEX(MAP!$K$7:$K$101,MATCH(TRIM(C556),MAP!$I$7:$I$101,0)),"")</f>
        <v>Health workforce</v>
      </c>
      <c r="F556" s="1" t="str">
        <f aca="false">IFERROR(INDEX(MAP!$L$7:$L$101,MATCH(TRIM(C556),MAP!$I$7:$I$101,0)),"")</f>
        <v>Monthly</v>
      </c>
      <c r="G556" s="1" t="n">
        <f aca="false">IFERROR(MATCH(A556,CONFIRM!$A$5:$A$53,0),0)</f>
        <v>0</v>
      </c>
      <c r="H556" s="48" t="str">
        <f aca="false">STACK!F556</f>
        <v>HPE</v>
      </c>
      <c r="I556" s="1" t="str">
        <f aca="false">IF(G556&gt;0,IF(INDEX(CONFIRM!$I$5:$I$53,G556)&lt;&gt;"",INDEX(CONFIRM!$I$5:$I$53,G556),H556),H556)</f>
        <v>HPE</v>
      </c>
      <c r="J556" s="1" t="str">
        <f aca="false">IFERROR(INDEX(MAP!$F$7:$F$74,MATCH(TRIM(I556),MAP!$E$7:$E$74,0)),"UNMAPPED")</f>
        <v>Health professions education</v>
      </c>
      <c r="K556" s="1" t="str">
        <f aca="false">IFERROR(INDEX(MAP!$G$7:$G$74,MATCH(TRIM(I556),MAP!$E$7:$E$74,0)),"UNMAPPED")</f>
        <v>7f</v>
      </c>
      <c r="L556" s="49" t="str">
        <f aca="false">STACK!G556</f>
        <v>07/31/2025</v>
      </c>
      <c r="M556" s="59" t="n">
        <f aca="false">IF(G556&gt;0,IF(INDEX(CONFIRM!$G$5:$G$53,G556)&lt;&gt;"",INDEX(CONFIRM!$G$5:$G$53,G556),IF(ISNUMBER(L556),L556,IFERROR(DATEVALUE(L556),""))),IF(ISNUMBER(L556),L556,IFERROR(DATEVALUE(L556),"")))</f>
        <v>45869</v>
      </c>
      <c r="N556" s="1" t="str">
        <f aca="false">IF(M556="","Check",IF(AND(M556&gt;=INPUTS!$C$6,M556&lt;=INPUTS!$C$7),"Yes","No"))</f>
        <v>Yes</v>
      </c>
      <c r="O556" s="48" t="str">
        <f aca="false">STACK!H556</f>
        <v> Preceptor RN </v>
      </c>
      <c r="P556" s="1" t="str">
        <f aca="false">IF(G556&gt;0,IF(INDEX(CONFIRM!$H$5:$H$53,G556)&lt;&gt;"",INDEX(CONFIRM!$H$5:$H$53,G556),IFERROR(INDEX(MAP!$B$7:$B$156,MATCH(TRIM(O556),MAP!$A$7:$A$156,0)),"UNMAPPED")),IFERROR(INDEX(MAP!$B$7:$B$156,MATCH(TRIM(O556),MAP!$A$7:$A$156,0)),"UNMAPPED"))</f>
        <v>Clinical Nurse Educator</v>
      </c>
      <c r="Q556" s="48" t="n">
        <f aca="false">STACK!I556</f>
        <v>55</v>
      </c>
      <c r="R556" s="60" t="n">
        <f aca="false">IF(G556&gt;0,IF(INDEX(CONFIRM!$F$5:$F$53,G556)&lt;&gt;"",INDEX(CONFIRM!$F$5:$F$53,G556),IF(ISNUMBER(Q556),Q556,IF(Q556="","",IFERROR(VALUE(TRIM(SUBSTITUTE(SUBSTITUTE(LOWER(Q556),"hrs",""),"hr",""))),"")))),IF(ISNUMBER(Q556),Q556,IF(Q556="","",IFERROR(VALUE(TRIM(SUBSTITUTE(SUBSTITUTE(LOWER(Q556),"hrs",""),"hr",""))),""))))</f>
        <v>55</v>
      </c>
      <c r="S556" s="57" t="n">
        <f aca="false">IFERROR(INDEX(RATES!$E$6:$E$28,MATCH(P556,RATES!$A$6:$A$28,0)),0)</f>
        <v>62.965</v>
      </c>
      <c r="T556" s="61" t="n">
        <f aca="false">IF(ISNUMBER(R556),R556,0)*S556</f>
        <v>3463.075</v>
      </c>
      <c r="U556" s="61" t="n">
        <f aca="false">T556*INDEX(INPUTS!$H$10:$H$14,MATCH(B556,INPUTS!$A$10:$A$14,0))</f>
        <v>561.01815</v>
      </c>
      <c r="V556" s="61" t="n">
        <f aca="false">N(STACK!K556)</f>
        <v>475</v>
      </c>
      <c r="W556" s="61" t="n">
        <f aca="false">T556+U556+V556</f>
        <v>4499.09315</v>
      </c>
      <c r="X556" s="61" t="n">
        <f aca="false">N(STACK!L556)</f>
        <v>0</v>
      </c>
      <c r="Y556" s="61" t="n">
        <f aca="false">W556-X556</f>
        <v>4499.09315</v>
      </c>
      <c r="Z556" s="1" t="n">
        <f aca="false">N(STACK!J556)</f>
        <v>11</v>
      </c>
      <c r="AA556" s="1" t="str">
        <f aca="false">TRIM(IF(D556="UNMAPPED","Program not mapped. ","")&amp;IF(OR(K556="UNMAPPED",K556="UNASSIGNED"),"Category needs review. ","")&amp;IF(P556="UNMAPPED","Title not mapped. ","")&amp;IF(AND(P556&lt;&gt;"No staff time",R556=""),"Missing hours. ","")&amp;IF(M556="","Date not readable. ","")&amp;IF(N556="No","Outside fiscal year. ","")&amp;IF(AND(F556="Event",ISNUMBER(R556)),IF(R556&gt;12,"Event hours look high. ",""),"")&amp;IF(G556&gt;0,"See CONFIRM sheet.",""))</f>
        <v/>
      </c>
      <c r="AB556" s="1" t="n">
        <f aca="false">IF(N556="No",0,IF(REVIEW!O556=0,0,IF(G556&gt;0,IF(INDEX(CONFIRM!$J$5:$J$53,G556)&lt;&gt;"",INDEX(CONFIRM!$J$5:$J$53,G556),1),1)))</f>
        <v>1</v>
      </c>
      <c r="AC556" s="1" t="n">
        <f aca="false">IF(AB556=1,IF(COUNTIFS($B$5:B556,B556,$D$5:D556,D556,$AB$5:AB556,1)=1,1,0),0)</f>
        <v>1</v>
      </c>
    </row>
    <row r="557" customFormat="false" ht="15" hidden="false" customHeight="false" outlineLevel="0" collapsed="false">
      <c r="A557" s="48" t="str">
        <f aca="false">STACK!A557</f>
        <v>ASH-0024</v>
      </c>
      <c r="B557" s="48" t="str">
        <f aca="false">STACK!B557</f>
        <v>ASH</v>
      </c>
      <c r="C557" s="48" t="str">
        <f aca="false">STACK!E557</f>
        <v>Nursing Clinicals</v>
      </c>
      <c r="D557" s="1" t="str">
        <f aca="false">IFERROR(INDEX(MAP!$J$7:$J$101,MATCH(TRIM(C557),MAP!$I$7:$I$101,0)),"UNMAPPED")</f>
        <v>Nursing Student Clinical Rotations</v>
      </c>
      <c r="E557" s="1" t="str">
        <f aca="false">IFERROR(INDEX(MAP!$K$7:$K$101,MATCH(TRIM(C557),MAP!$I$7:$I$101,0)),"")</f>
        <v>Health workforce</v>
      </c>
      <c r="F557" s="1" t="str">
        <f aca="false">IFERROR(INDEX(MAP!$L$7:$L$101,MATCH(TRIM(C557),MAP!$I$7:$I$101,0)),"")</f>
        <v>Monthly</v>
      </c>
      <c r="G557" s="1" t="n">
        <f aca="false">IFERROR(MATCH(A557,CONFIRM!$A$5:$A$53,0),0)</f>
        <v>0</v>
      </c>
      <c r="H557" s="48" t="str">
        <f aca="false">STACK!F557</f>
        <v>HPE</v>
      </c>
      <c r="I557" s="1" t="str">
        <f aca="false">IF(G557&gt;0,IF(INDEX(CONFIRM!$I$5:$I$53,G557)&lt;&gt;"",INDEX(CONFIRM!$I$5:$I$53,G557),H557),H557)</f>
        <v>HPE</v>
      </c>
      <c r="J557" s="1" t="str">
        <f aca="false">IFERROR(INDEX(MAP!$F$7:$F$74,MATCH(TRIM(I557),MAP!$E$7:$E$74,0)),"UNMAPPED")</f>
        <v>Health professions education</v>
      </c>
      <c r="K557" s="1" t="str">
        <f aca="false">IFERROR(INDEX(MAP!$G$7:$G$74,MATCH(TRIM(I557),MAP!$E$7:$E$74,0)),"UNMAPPED")</f>
        <v>7f</v>
      </c>
      <c r="L557" s="49" t="str">
        <f aca="false">STACK!G557</f>
        <v>07/31/2025</v>
      </c>
      <c r="M557" s="59" t="n">
        <f aca="false">IF(G557&gt;0,IF(INDEX(CONFIRM!$G$5:$G$53,G557)&lt;&gt;"",INDEX(CONFIRM!$G$5:$G$53,G557),IF(ISNUMBER(L557),L557,IFERROR(DATEVALUE(L557),""))),IF(ISNUMBER(L557),L557,IFERROR(DATEVALUE(L557),"")))</f>
        <v>45869</v>
      </c>
      <c r="N557" s="1" t="str">
        <f aca="false">IF(M557="","Check",IF(AND(M557&gt;=INPUTS!$C$6,M557&lt;=INPUTS!$C$7),"Yes","No"))</f>
        <v>Yes</v>
      </c>
      <c r="O557" s="48" t="str">
        <f aca="false">STACK!H557</f>
        <v>RN - Outreach </v>
      </c>
      <c r="P557" s="1" t="str">
        <f aca="false">IF(G557&gt;0,IF(INDEX(CONFIRM!$H$5:$H$53,G557)&lt;&gt;"",INDEX(CONFIRM!$H$5:$H$53,G557),IFERROR(INDEX(MAP!$B$7:$B$156,MATCH(TRIM(O557),MAP!$A$7:$A$156,0)),"UNMAPPED")),IFERROR(INDEX(MAP!$B$7:$B$156,MATCH(TRIM(O557),MAP!$A$7:$A$156,0)),"UNMAPPED"))</f>
        <v>Registered Nurse</v>
      </c>
      <c r="Q557" s="48" t="n">
        <f aca="false">STACK!I557</f>
        <v>81.25</v>
      </c>
      <c r="R557" s="60" t="n">
        <f aca="false">IF(G557&gt;0,IF(INDEX(CONFIRM!$F$5:$F$53,G557)&lt;&gt;"",INDEX(CONFIRM!$F$5:$F$53,G557),IF(ISNUMBER(Q557),Q557,IF(Q557="","",IFERROR(VALUE(TRIM(SUBSTITUTE(SUBSTITUTE(LOWER(Q557),"hrs",""),"hr",""))),"")))),IF(ISNUMBER(Q557),Q557,IF(Q557="","",IFERROR(VALUE(TRIM(SUBSTITUTE(SUBSTITUTE(LOWER(Q557),"hrs",""),"hr",""))),""))))</f>
        <v>81.25</v>
      </c>
      <c r="S557" s="57" t="n">
        <f aca="false">IFERROR(INDEX(RATES!$E$6:$E$28,MATCH(P557,RATES!$A$6:$A$28,0)),0)</f>
        <v>55.8975</v>
      </c>
      <c r="T557" s="61" t="n">
        <f aca="false">IF(ISNUMBER(R557),R557,0)*S557</f>
        <v>4541.671875</v>
      </c>
      <c r="U557" s="61" t="n">
        <f aca="false">T557*INDEX(INPUTS!$H$10:$H$14,MATCH(B557,INPUTS!$A$10:$A$14,0))</f>
        <v>735.75084375</v>
      </c>
      <c r="V557" s="61" t="n">
        <f aca="false">N(STACK!K557)</f>
        <v>0</v>
      </c>
      <c r="W557" s="61" t="n">
        <f aca="false">T557+U557+V557</f>
        <v>5277.42271875</v>
      </c>
      <c r="X557" s="61" t="n">
        <f aca="false">N(STACK!L557)</f>
        <v>0</v>
      </c>
      <c r="Y557" s="61" t="n">
        <f aca="false">W557-X557</f>
        <v>5277.42271875</v>
      </c>
      <c r="Z557" s="1" t="n">
        <f aca="false">N(STACK!J557)</f>
        <v>0</v>
      </c>
      <c r="AA557" s="1" t="str">
        <f aca="false">TRIM(IF(D557="UNMAPPED","Program not mapped. ","")&amp;IF(OR(K557="UNMAPPED",K557="UNASSIGNED"),"Category needs review. ","")&amp;IF(P557="UNMAPPED","Title not mapped. ","")&amp;IF(AND(P557&lt;&gt;"No staff time",R557=""),"Missing hours. ","")&amp;IF(M557="","Date not readable. ","")&amp;IF(N557="No","Outside fiscal year. ","")&amp;IF(AND(F557="Event",ISNUMBER(R557)),IF(R557&gt;12,"Event hours look high. ",""),"")&amp;IF(G557&gt;0,"See CONFIRM sheet.",""))</f>
        <v/>
      </c>
      <c r="AB557" s="1" t="n">
        <f aca="false">IF(N557="No",0,IF(REVIEW!O557=0,0,IF(G557&gt;0,IF(INDEX(CONFIRM!$J$5:$J$53,G557)&lt;&gt;"",INDEX(CONFIRM!$J$5:$J$53,G557),1),1)))</f>
        <v>1</v>
      </c>
      <c r="AC557" s="1" t="n">
        <f aca="false">IF(AB557=1,IF(COUNTIFS($B$5:B557,B557,$D$5:D557,D557,$AB$5:AB557,1)=1,1,0),0)</f>
        <v>0</v>
      </c>
    </row>
    <row r="558" customFormat="false" ht="15" hidden="false" customHeight="false" outlineLevel="0" collapsed="false">
      <c r="A558" s="48" t="str">
        <f aca="false">STACK!A558</f>
        <v>ASH-0025</v>
      </c>
      <c r="B558" s="48" t="str">
        <f aca="false">STACK!B558</f>
        <v>ASH</v>
      </c>
      <c r="C558" s="48" t="str">
        <f aca="false">STACK!E558</f>
        <v>Paramedic Students</v>
      </c>
      <c r="D558" s="1" t="str">
        <f aca="false">IFERROR(INDEX(MAP!$J$7:$J$101,MATCH(TRIM(C558),MAP!$I$7:$I$101,0)),"UNMAPPED")</f>
        <v>Paramedic Student Field Training</v>
      </c>
      <c r="E558" s="1" t="str">
        <f aca="false">IFERROR(INDEX(MAP!$K$7:$K$101,MATCH(TRIM(C558),MAP!$I$7:$I$101,0)),"")</f>
        <v>Health workforce</v>
      </c>
      <c r="F558" s="1" t="str">
        <f aca="false">IFERROR(INDEX(MAP!$L$7:$L$101,MATCH(TRIM(C558),MAP!$I$7:$I$101,0)),"")</f>
        <v>Monthly</v>
      </c>
      <c r="G558" s="1" t="n">
        <f aca="false">IFERROR(MATCH(A558,CONFIRM!$A$5:$A$53,0),0)</f>
        <v>0</v>
      </c>
      <c r="H558" s="48" t="str">
        <f aca="false">STACK!F558</f>
        <v>HPE</v>
      </c>
      <c r="I558" s="1" t="str">
        <f aca="false">IF(G558&gt;0,IF(INDEX(CONFIRM!$I$5:$I$53,G558)&lt;&gt;"",INDEX(CONFIRM!$I$5:$I$53,G558),H558),H558)</f>
        <v>HPE</v>
      </c>
      <c r="J558" s="1" t="str">
        <f aca="false">IFERROR(INDEX(MAP!$F$7:$F$74,MATCH(TRIM(I558),MAP!$E$7:$E$74,0)),"UNMAPPED")</f>
        <v>Health professions education</v>
      </c>
      <c r="K558" s="1" t="str">
        <f aca="false">IFERROR(INDEX(MAP!$G$7:$G$74,MATCH(TRIM(I558),MAP!$E$7:$E$74,0)),"UNMAPPED")</f>
        <v>7f</v>
      </c>
      <c r="L558" s="49" t="str">
        <f aca="false">STACK!G558</f>
        <v>07/31/2025</v>
      </c>
      <c r="M558" s="59" t="n">
        <f aca="false">IF(G558&gt;0,IF(INDEX(CONFIRM!$G$5:$G$53,G558)&lt;&gt;"",INDEX(CONFIRM!$G$5:$G$53,G558),IF(ISNUMBER(L558),L558,IFERROR(DATEVALUE(L558),""))),IF(ISNUMBER(L558),L558,IFERROR(DATEVALUE(L558),"")))</f>
        <v>45869</v>
      </c>
      <c r="N558" s="1" t="str">
        <f aca="false">IF(M558="","Check",IF(AND(M558&gt;=INPUTS!$C$6,M558&lt;=INPUTS!$C$7),"Yes","No"))</f>
        <v>Yes</v>
      </c>
      <c r="O558" s="48" t="str">
        <f aca="false">STACK!H558</f>
        <v>Flight Paramedic</v>
      </c>
      <c r="P558" s="1" t="str">
        <f aca="false">IF(G558&gt;0,IF(INDEX(CONFIRM!$H$5:$H$53,G558)&lt;&gt;"",INDEX(CONFIRM!$H$5:$H$53,G558),IFERROR(INDEX(MAP!$B$7:$B$156,MATCH(TRIM(O558),MAP!$A$7:$A$156,0)),"UNMAPPED")),IFERROR(INDEX(MAP!$B$7:$B$156,MATCH(TRIM(O558),MAP!$A$7:$A$156,0)),"UNMAPPED"))</f>
        <v>Paramedic</v>
      </c>
      <c r="Q558" s="48" t="n">
        <f aca="false">STACK!I558</f>
        <v>63</v>
      </c>
      <c r="R558" s="60" t="n">
        <f aca="false">IF(G558&gt;0,IF(INDEX(CONFIRM!$F$5:$F$53,G558)&lt;&gt;"",INDEX(CONFIRM!$F$5:$F$53,G558),IF(ISNUMBER(Q558),Q558,IF(Q558="","",IFERROR(VALUE(TRIM(SUBSTITUTE(SUBSTITUTE(LOWER(Q558),"hrs",""),"hr",""))),"")))),IF(ISNUMBER(Q558),Q558,IF(Q558="","",IFERROR(VALUE(TRIM(SUBSTITUTE(SUBSTITUTE(LOWER(Q558),"hrs",""),"hr",""))),""))))</f>
        <v>63</v>
      </c>
      <c r="S558" s="57" t="n">
        <f aca="false">IFERROR(INDEX(RATES!$E$6:$E$28,MATCH(P558,RATES!$A$6:$A$28,0)),0)</f>
        <v>34.695</v>
      </c>
      <c r="T558" s="61" t="n">
        <f aca="false">IF(ISNUMBER(R558),R558,0)*S558</f>
        <v>2185.785</v>
      </c>
      <c r="U558" s="61" t="n">
        <f aca="false">T558*INDEX(INPUTS!$H$10:$H$14,MATCH(B558,INPUTS!$A$10:$A$14,0))</f>
        <v>354.09717</v>
      </c>
      <c r="V558" s="61" t="n">
        <f aca="false">N(STACK!K558)</f>
        <v>25</v>
      </c>
      <c r="W558" s="61" t="n">
        <f aca="false">T558+U558+V558</f>
        <v>2564.88217</v>
      </c>
      <c r="X558" s="61" t="n">
        <f aca="false">N(STACK!L558)</f>
        <v>0</v>
      </c>
      <c r="Y558" s="61" t="n">
        <f aca="false">W558-X558</f>
        <v>2564.88217</v>
      </c>
      <c r="Z558" s="1" t="n">
        <f aca="false">N(STACK!J558)</f>
        <v>3</v>
      </c>
      <c r="AA558" s="1" t="str">
        <f aca="false">TRIM(IF(D558="UNMAPPED","Program not mapped. ","")&amp;IF(OR(K558="UNMAPPED",K558="UNASSIGNED"),"Category needs review. ","")&amp;IF(P558="UNMAPPED","Title not mapped. ","")&amp;IF(AND(P558&lt;&gt;"No staff time",R558=""),"Missing hours. ","")&amp;IF(M558="","Date not readable. ","")&amp;IF(N558="No","Outside fiscal year. ","")&amp;IF(AND(F558="Event",ISNUMBER(R558)),IF(R558&gt;12,"Event hours look high. ",""),"")&amp;IF(G558&gt;0,"See CONFIRM sheet.",""))</f>
        <v/>
      </c>
      <c r="AB558" s="1" t="n">
        <f aca="false">IF(N558="No",0,IF(REVIEW!O558=0,0,IF(G558&gt;0,IF(INDEX(CONFIRM!$J$5:$J$53,G558)&lt;&gt;"",INDEX(CONFIRM!$J$5:$J$53,G558),1),1)))</f>
        <v>1</v>
      </c>
      <c r="AC558" s="1" t="n">
        <f aca="false">IF(AB558=1,IF(COUNTIFS($B$5:B558,B558,$D$5:D558,D558,$AB$5:AB558,1)=1,1,0),0)</f>
        <v>1</v>
      </c>
    </row>
    <row r="559" customFormat="false" ht="15" hidden="false" customHeight="false" outlineLevel="0" collapsed="false">
      <c r="A559" s="48" t="str">
        <f aca="false">STACK!A559</f>
        <v>ASH-0026</v>
      </c>
      <c r="B559" s="48" t="str">
        <f aca="false">STACK!B559</f>
        <v>ASH</v>
      </c>
      <c r="C559" s="48" t="str">
        <f aca="false">STACK!E559</f>
        <v>DPP Classes</v>
      </c>
      <c r="D559" s="1" t="str">
        <f aca="false">IFERROR(INDEX(MAP!$J$7:$J$101,MATCH(TRIM(C559),MAP!$I$7:$I$101,0)),"UNMAPPED")</f>
        <v>Diabetes Prevention Classes</v>
      </c>
      <c r="E559" s="1" t="str">
        <f aca="false">IFERROR(INDEX(MAP!$K$7:$K$101,MATCH(TRIM(C559),MAP!$I$7:$I$101,0)),"")</f>
        <v>Chronic disease prevention</v>
      </c>
      <c r="F559" s="1" t="str">
        <f aca="false">IFERROR(INDEX(MAP!$L$7:$L$101,MATCH(TRIM(C559),MAP!$I$7:$I$101,0)),"")</f>
        <v>Event</v>
      </c>
      <c r="G559" s="1" t="n">
        <f aca="false">IFERROR(MATCH(A559,CONFIRM!$A$5:$A$53,0),0)</f>
        <v>0</v>
      </c>
      <c r="H559" s="48" t="str">
        <f aca="false">STACK!F559</f>
        <v>Comm Hlth Ed</v>
      </c>
      <c r="I559" s="1" t="str">
        <f aca="false">IF(G559&gt;0,IF(INDEX(CONFIRM!$I$5:$I$53,G559)&lt;&gt;"",INDEX(CONFIRM!$I$5:$I$53,G559),H559),H559)</f>
        <v>Comm Hlth Ed</v>
      </c>
      <c r="J559" s="1" t="str">
        <f aca="false">IFERROR(INDEX(MAP!$F$7:$F$74,MATCH(TRIM(I559),MAP!$E$7:$E$74,0)),"UNMAPPED")</f>
        <v>Community health education</v>
      </c>
      <c r="K559" s="1" t="str">
        <f aca="false">IFERROR(INDEX(MAP!$G$7:$G$74,MATCH(TRIM(I559),MAP!$E$7:$E$74,0)),"UNMAPPED")</f>
        <v>7e</v>
      </c>
      <c r="L559" s="49" t="str">
        <f aca="false">STACK!G559</f>
        <v>08/06/2025</v>
      </c>
      <c r="M559" s="59" t="n">
        <f aca="false">IF(G559&gt;0,IF(INDEX(CONFIRM!$G$5:$G$53,G559)&lt;&gt;"",INDEX(CONFIRM!$G$5:$G$53,G559),IF(ISNUMBER(L559),L559,IFERROR(DATEVALUE(L559),""))),IF(ISNUMBER(L559),L559,IFERROR(DATEVALUE(L559),"")))</f>
        <v>45875</v>
      </c>
      <c r="N559" s="1" t="str">
        <f aca="false">IF(M559="","Check",IF(AND(M559&gt;=INPUTS!$C$6,M559&lt;=INPUTS!$C$7),"Yes","No"))</f>
        <v>Yes</v>
      </c>
      <c r="O559" s="48" t="str">
        <f aca="false">STACK!H559</f>
        <v>Health Education Specialist</v>
      </c>
      <c r="P559" s="1" t="str">
        <f aca="false">IF(G559&gt;0,IF(INDEX(CONFIRM!$H$5:$H$53,G559)&lt;&gt;"",INDEX(CONFIRM!$H$5:$H$53,G559),IFERROR(INDEX(MAP!$B$7:$B$156,MATCH(TRIM(O559),MAP!$A$7:$A$156,0)),"UNMAPPED")),IFERROR(INDEX(MAP!$B$7:$B$156,MATCH(TRIM(O559),MAP!$A$7:$A$156,0)),"UNMAPPED"))</f>
        <v>Health Educator</v>
      </c>
      <c r="Q559" s="48" t="n">
        <f aca="false">STACK!I559</f>
        <v>2.5</v>
      </c>
      <c r="R559" s="60" t="n">
        <f aca="false">IF(G559&gt;0,IF(INDEX(CONFIRM!$F$5:$F$53,G559)&lt;&gt;"",INDEX(CONFIRM!$F$5:$F$53,G559),IF(ISNUMBER(Q559),Q559,IF(Q559="","",IFERROR(VALUE(TRIM(SUBSTITUTE(SUBSTITUTE(LOWER(Q559),"hrs",""),"hr",""))),"")))),IF(ISNUMBER(Q559),Q559,IF(Q559="","",IFERROR(VALUE(TRIM(SUBSTITUTE(SUBSTITUTE(LOWER(Q559),"hrs",""),"hr",""))),""))))</f>
        <v>2.5</v>
      </c>
      <c r="S559" s="57" t="n">
        <f aca="false">IFERROR(INDEX(RATES!$E$6:$E$28,MATCH(P559,RATES!$A$6:$A$28,0)),0)</f>
        <v>37.265</v>
      </c>
      <c r="T559" s="61" t="n">
        <f aca="false">IF(ISNUMBER(R559),R559,0)*S559</f>
        <v>93.1625</v>
      </c>
      <c r="U559" s="61" t="n">
        <f aca="false">T559*INDEX(INPUTS!$H$10:$H$14,MATCH(B559,INPUTS!$A$10:$A$14,0))</f>
        <v>15.092325</v>
      </c>
      <c r="V559" s="61" t="n">
        <f aca="false">N(STACK!K559)</f>
        <v>120</v>
      </c>
      <c r="W559" s="61" t="n">
        <f aca="false">T559+U559+V559</f>
        <v>228.254825</v>
      </c>
      <c r="X559" s="61" t="n">
        <f aca="false">N(STACK!L559)</f>
        <v>0</v>
      </c>
      <c r="Y559" s="61" t="n">
        <f aca="false">W559-X559</f>
        <v>228.254825</v>
      </c>
      <c r="Z559" s="1" t="n">
        <f aca="false">N(STACK!J559)</f>
        <v>10</v>
      </c>
      <c r="AA559" s="1" t="str">
        <f aca="false">TRIM(IF(D559="UNMAPPED","Program not mapped. ","")&amp;IF(OR(K559="UNMAPPED",K559="UNASSIGNED"),"Category needs review. ","")&amp;IF(P559="UNMAPPED","Title not mapped. ","")&amp;IF(AND(P559&lt;&gt;"No staff time",R559=""),"Missing hours. ","")&amp;IF(M559="","Date not readable. ","")&amp;IF(N559="No","Outside fiscal year. ","")&amp;IF(AND(F559="Event",ISNUMBER(R559)),IF(R559&gt;12,"Event hours look high. ",""),"")&amp;IF(G559&gt;0,"See CONFIRM sheet.",""))</f>
        <v/>
      </c>
      <c r="AB559" s="1" t="n">
        <f aca="false">IF(N559="No",0,IF(REVIEW!O559=0,0,IF(G559&gt;0,IF(INDEX(CONFIRM!$J$5:$J$53,G559)&lt;&gt;"",INDEX(CONFIRM!$J$5:$J$53,G559),1),1)))</f>
        <v>1</v>
      </c>
      <c r="AC559" s="1" t="n">
        <f aca="false">IF(AB559=1,IF(COUNTIFS($B$5:B559,B559,$D$5:D559,D559,$AB$5:AB559,1)=1,1,0),0)</f>
        <v>0</v>
      </c>
    </row>
    <row r="560" customFormat="false" ht="15" hidden="false" customHeight="false" outlineLevel="0" collapsed="false">
      <c r="A560" s="48" t="str">
        <f aca="false">STACK!A560</f>
        <v>ASH-0027</v>
      </c>
      <c r="B560" s="48" t="str">
        <f aca="false">STACK!B560</f>
        <v>ASH</v>
      </c>
      <c r="C560" s="48" t="str">
        <f aca="false">STACK!E560</f>
        <v>DPP Classes</v>
      </c>
      <c r="D560" s="1" t="str">
        <f aca="false">IFERROR(INDEX(MAP!$J$7:$J$101,MATCH(TRIM(C560),MAP!$I$7:$I$101,0)),"UNMAPPED")</f>
        <v>Diabetes Prevention Classes</v>
      </c>
      <c r="E560" s="1" t="str">
        <f aca="false">IFERROR(INDEX(MAP!$K$7:$K$101,MATCH(TRIM(C560),MAP!$I$7:$I$101,0)),"")</f>
        <v>Chronic disease prevention</v>
      </c>
      <c r="F560" s="1" t="str">
        <f aca="false">IFERROR(INDEX(MAP!$L$7:$L$101,MATCH(TRIM(C560),MAP!$I$7:$I$101,0)),"")</f>
        <v>Event</v>
      </c>
      <c r="G560" s="1" t="n">
        <f aca="false">IFERROR(MATCH(A560,CONFIRM!$A$5:$A$53,0),0)</f>
        <v>0</v>
      </c>
      <c r="H560" s="48" t="str">
        <f aca="false">STACK!F560</f>
        <v>Comm Hlth Ed</v>
      </c>
      <c r="I560" s="1" t="str">
        <f aca="false">IF(G560&gt;0,IF(INDEX(CONFIRM!$I$5:$I$53,G560)&lt;&gt;"",INDEX(CONFIRM!$I$5:$I$53,G560),H560),H560)</f>
        <v>Comm Hlth Ed</v>
      </c>
      <c r="J560" s="1" t="str">
        <f aca="false">IFERROR(INDEX(MAP!$F$7:$F$74,MATCH(TRIM(I560),MAP!$E$7:$E$74,0)),"UNMAPPED")</f>
        <v>Community health education</v>
      </c>
      <c r="K560" s="1" t="str">
        <f aca="false">IFERROR(INDEX(MAP!$G$7:$G$74,MATCH(TRIM(I560),MAP!$E$7:$E$74,0)),"UNMAPPED")</f>
        <v>7e</v>
      </c>
      <c r="L560" s="49" t="str">
        <f aca="false">STACK!G560</f>
        <v>08/06/2025</v>
      </c>
      <c r="M560" s="59" t="n">
        <f aca="false">IF(G560&gt;0,IF(INDEX(CONFIRM!$G$5:$G$53,G560)&lt;&gt;"",INDEX(CONFIRM!$G$5:$G$53,G560),IF(ISNUMBER(L560),L560,IFERROR(DATEVALUE(L560),""))),IF(ISNUMBER(L560),L560,IFERROR(DATEVALUE(L560),"")))</f>
        <v>45875</v>
      </c>
      <c r="N560" s="1" t="str">
        <f aca="false">IF(M560="","Check",IF(AND(M560&gt;=INPUTS!$C$6,M560&lt;=INPUTS!$C$7),"Yes","No"))</f>
        <v>Yes</v>
      </c>
      <c r="O560" s="48" t="str">
        <f aca="false">STACK!H560</f>
        <v>RD</v>
      </c>
      <c r="P560" s="1" t="str">
        <f aca="false">IF(G560&gt;0,IF(INDEX(CONFIRM!$H$5:$H$53,G560)&lt;&gt;"",INDEX(CONFIRM!$H$5:$H$53,G560),IFERROR(INDEX(MAP!$B$7:$B$156,MATCH(TRIM(O560),MAP!$A$7:$A$156,0)),"UNMAPPED")),IFERROR(INDEX(MAP!$B$7:$B$156,MATCH(TRIM(O560),MAP!$A$7:$A$156,0)),"UNMAPPED"))</f>
        <v>Registered Dietitian</v>
      </c>
      <c r="Q560" s="48" t="n">
        <f aca="false">STACK!I560</f>
        <v>2</v>
      </c>
      <c r="R560" s="60" t="n">
        <f aca="false">IF(G560&gt;0,IF(INDEX(CONFIRM!$F$5:$F$53,G560)&lt;&gt;"",INDEX(CONFIRM!$F$5:$F$53,G560),IF(ISNUMBER(Q560),Q560,IF(Q560="","",IFERROR(VALUE(TRIM(SUBSTITUTE(SUBSTITUTE(LOWER(Q560),"hrs",""),"hr",""))),"")))),IF(ISNUMBER(Q560),Q560,IF(Q560="","",IFERROR(VALUE(TRIM(SUBSTITUTE(SUBSTITUTE(LOWER(Q560),"hrs",""),"hr",""))),""))))</f>
        <v>2</v>
      </c>
      <c r="S560" s="57" t="n">
        <f aca="false">IFERROR(INDEX(RATES!$E$6:$E$28,MATCH(P560,RATES!$A$6:$A$28,0)),0)</f>
        <v>46.9025</v>
      </c>
      <c r="T560" s="61" t="n">
        <f aca="false">IF(ISNUMBER(R560),R560,0)*S560</f>
        <v>93.805</v>
      </c>
      <c r="U560" s="61" t="n">
        <f aca="false">T560*INDEX(INPUTS!$H$10:$H$14,MATCH(B560,INPUTS!$A$10:$A$14,0))</f>
        <v>15.19641</v>
      </c>
      <c r="V560" s="61" t="n">
        <f aca="false">N(STACK!K560)</f>
        <v>0</v>
      </c>
      <c r="W560" s="61" t="n">
        <f aca="false">T560+U560+V560</f>
        <v>109.00141</v>
      </c>
      <c r="X560" s="61" t="n">
        <f aca="false">N(STACK!L560)</f>
        <v>0</v>
      </c>
      <c r="Y560" s="61" t="n">
        <f aca="false">W560-X560</f>
        <v>109.00141</v>
      </c>
      <c r="Z560" s="1" t="n">
        <f aca="false">N(STACK!J560)</f>
        <v>0</v>
      </c>
      <c r="AA560" s="1" t="str">
        <f aca="false">TRIM(IF(D560="UNMAPPED","Program not mapped. ","")&amp;IF(OR(K560="UNMAPPED",K560="UNASSIGNED"),"Category needs review. ","")&amp;IF(P560="UNMAPPED","Title not mapped. ","")&amp;IF(AND(P560&lt;&gt;"No staff time",R560=""),"Missing hours. ","")&amp;IF(M560="","Date not readable. ","")&amp;IF(N560="No","Outside fiscal year. ","")&amp;IF(AND(F560="Event",ISNUMBER(R560)),IF(R560&gt;12,"Event hours look high. ",""),"")&amp;IF(G560&gt;0,"See CONFIRM sheet.",""))</f>
        <v/>
      </c>
      <c r="AB560" s="1" t="n">
        <f aca="false">IF(N560="No",0,IF(REVIEW!O560=0,0,IF(G560&gt;0,IF(INDEX(CONFIRM!$J$5:$J$53,G560)&lt;&gt;"",INDEX(CONFIRM!$J$5:$J$53,G560),1),1)))</f>
        <v>1</v>
      </c>
      <c r="AC560" s="1" t="n">
        <f aca="false">IF(AB560=1,IF(COUNTIFS($B$5:B560,B560,$D$5:D560,D560,$AB$5:AB560,1)=1,1,0),0)</f>
        <v>0</v>
      </c>
    </row>
    <row r="561" customFormat="false" ht="15" hidden="false" customHeight="false" outlineLevel="0" collapsed="false">
      <c r="A561" s="48" t="str">
        <f aca="false">STACK!A561</f>
        <v>ASH-0028</v>
      </c>
      <c r="B561" s="48" t="str">
        <f aca="false">STACK!B561</f>
        <v>ASH</v>
      </c>
      <c r="C561" s="48" t="str">
        <f aca="false">STACK!E561</f>
        <v>Leadership Academy</v>
      </c>
      <c r="D561" s="1" t="str">
        <f aca="false">IFERROR(INDEX(MAP!$J$7:$J$101,MATCH(TRIM(C561),MAP!$I$7:$I$101,0)),"UNMAPPED")</f>
        <v>Neighborhood Leadership Academy</v>
      </c>
      <c r="E561" s="1" t="str">
        <f aca="false">IFERROR(INDEX(MAP!$K$7:$K$101,MATCH(TRIM(C561),MAP!$I$7:$I$101,0)),"")</f>
        <v>Community benefit infrastructure</v>
      </c>
      <c r="F561" s="1" t="str">
        <f aca="false">IFERROR(INDEX(MAP!$L$7:$L$101,MATCH(TRIM(C561),MAP!$I$7:$I$101,0)),"")</f>
        <v>Event</v>
      </c>
      <c r="G561" s="1" t="n">
        <f aca="false">IFERROR(MATCH(A561,CONFIRM!$A$5:$A$53,0),0)</f>
        <v>0</v>
      </c>
      <c r="H561" s="48" t="str">
        <f aca="false">STACK!F561</f>
        <v>CB-Leadership Dev</v>
      </c>
      <c r="I561" s="1" t="str">
        <f aca="false">IF(G561&gt;0,IF(INDEX(CONFIRM!$I$5:$I$53,G561)&lt;&gt;"",INDEX(CONFIRM!$I$5:$I$53,G561),H561),H561)</f>
        <v>CB-Leadership Dev</v>
      </c>
      <c r="J561" s="1" t="str">
        <f aca="false">IFERROR(INDEX(MAP!$F$7:$F$74,MATCH(TRIM(I561),MAP!$E$7:$E$74,0)),"UNMAPPED")</f>
        <v>Community building: leadership development</v>
      </c>
      <c r="K561" s="1" t="str">
        <f aca="false">IFERROR(INDEX(MAP!$G$7:$G$74,MATCH(TRIM(I561),MAP!$E$7:$E$74,0)),"UNMAPPED")</f>
        <v>II-5</v>
      </c>
      <c r="L561" s="49" t="str">
        <f aca="false">STACK!G561</f>
        <v>08/12/2025</v>
      </c>
      <c r="M561" s="59" t="n">
        <f aca="false">IF(G561&gt;0,IF(INDEX(CONFIRM!$G$5:$G$53,G561)&lt;&gt;"",INDEX(CONFIRM!$G$5:$G$53,G561),IF(ISNUMBER(L561),L561,IFERROR(DATEVALUE(L561),""))),IF(ISNUMBER(L561),L561,IFERROR(DATEVALUE(L561),"")))</f>
        <v>45881</v>
      </c>
      <c r="N561" s="1" t="str">
        <f aca="false">IF(M561="","Check",IF(AND(M561&gt;=INPUTS!$C$6,M561&lt;=INPUTS!$C$7),"Yes","No"))</f>
        <v>Yes</v>
      </c>
      <c r="O561" s="48" t="str">
        <f aca="false">STACK!H561</f>
        <v>Hlth Educator</v>
      </c>
      <c r="P561" s="1" t="str">
        <f aca="false">IF(G561&gt;0,IF(INDEX(CONFIRM!$H$5:$H$53,G561)&lt;&gt;"",INDEX(CONFIRM!$H$5:$H$53,G561),IFERROR(INDEX(MAP!$B$7:$B$156,MATCH(TRIM(O561),MAP!$A$7:$A$156,0)),"UNMAPPED")),IFERROR(INDEX(MAP!$B$7:$B$156,MATCH(TRIM(O561),MAP!$A$7:$A$156,0)),"UNMAPPED"))</f>
        <v>Health Educator</v>
      </c>
      <c r="Q561" s="48" t="n">
        <f aca="false">STACK!I561</f>
        <v>3.75</v>
      </c>
      <c r="R561" s="60" t="n">
        <f aca="false">IF(G561&gt;0,IF(INDEX(CONFIRM!$F$5:$F$53,G561)&lt;&gt;"",INDEX(CONFIRM!$F$5:$F$53,G561),IF(ISNUMBER(Q561),Q561,IF(Q561="","",IFERROR(VALUE(TRIM(SUBSTITUTE(SUBSTITUTE(LOWER(Q561),"hrs",""),"hr",""))),"")))),IF(ISNUMBER(Q561),Q561,IF(Q561="","",IFERROR(VALUE(TRIM(SUBSTITUTE(SUBSTITUTE(LOWER(Q561),"hrs",""),"hr",""))),""))))</f>
        <v>3.75</v>
      </c>
      <c r="S561" s="57" t="n">
        <f aca="false">IFERROR(INDEX(RATES!$E$6:$E$28,MATCH(P561,RATES!$A$6:$A$28,0)),0)</f>
        <v>37.265</v>
      </c>
      <c r="T561" s="61" t="n">
        <f aca="false">IF(ISNUMBER(R561),R561,0)*S561</f>
        <v>139.74375</v>
      </c>
      <c r="U561" s="61" t="n">
        <f aca="false">T561*INDEX(INPUTS!$H$10:$H$14,MATCH(B561,INPUTS!$A$10:$A$14,0))</f>
        <v>22.6384875</v>
      </c>
      <c r="V561" s="61" t="n">
        <f aca="false">N(STACK!K561)</f>
        <v>0</v>
      </c>
      <c r="W561" s="61" t="n">
        <f aca="false">T561+U561+V561</f>
        <v>162.3822375</v>
      </c>
      <c r="X561" s="61" t="n">
        <f aca="false">N(STACK!L561)</f>
        <v>0</v>
      </c>
      <c r="Y561" s="61" t="n">
        <f aca="false">W561-X561</f>
        <v>162.3822375</v>
      </c>
      <c r="Z561" s="1" t="n">
        <f aca="false">N(STACK!J561)</f>
        <v>0</v>
      </c>
      <c r="AA561" s="1" t="str">
        <f aca="false">TRIM(IF(D561="UNMAPPED","Program not mapped. ","")&amp;IF(OR(K561="UNMAPPED",K561="UNASSIGNED"),"Category needs review. ","")&amp;IF(P561="UNMAPPED","Title not mapped. ","")&amp;IF(AND(P561&lt;&gt;"No staff time",R561=""),"Missing hours. ","")&amp;IF(M561="","Date not readable. ","")&amp;IF(N561="No","Outside fiscal year. ","")&amp;IF(AND(F561="Event",ISNUMBER(R561)),IF(R561&gt;12,"Event hours look high. ",""),"")&amp;IF(G561&gt;0,"See CONFIRM sheet.",""))</f>
        <v/>
      </c>
      <c r="AB561" s="1" t="n">
        <f aca="false">IF(N561="No",0,IF(REVIEW!O561=0,0,IF(G561&gt;0,IF(INDEX(CONFIRM!$J$5:$J$53,G561)&lt;&gt;"",INDEX(CONFIRM!$J$5:$J$53,G561),1),1)))</f>
        <v>1</v>
      </c>
      <c r="AC561" s="1" t="n">
        <f aca="false">IF(AB561=1,IF(COUNTIFS($B$5:B561,B561,$D$5:D561,D561,$AB$5:AB561,1)=1,1,0),0)</f>
        <v>1</v>
      </c>
    </row>
    <row r="562" customFormat="false" ht="15" hidden="false" customHeight="false" outlineLevel="0" collapsed="false">
      <c r="A562" s="48" t="str">
        <f aca="false">STACK!A562</f>
        <v>ASH-0029</v>
      </c>
      <c r="B562" s="48" t="str">
        <f aca="false">STACK!B562</f>
        <v>ASH</v>
      </c>
      <c r="C562" s="48" t="str">
        <f aca="false">STACK!E562</f>
        <v>Leadership Academy</v>
      </c>
      <c r="D562" s="1" t="str">
        <f aca="false">IFERROR(INDEX(MAP!$J$7:$J$101,MATCH(TRIM(C562),MAP!$I$7:$I$101,0)),"UNMAPPED")</f>
        <v>Neighborhood Leadership Academy</v>
      </c>
      <c r="E562" s="1" t="str">
        <f aca="false">IFERROR(INDEX(MAP!$K$7:$K$101,MATCH(TRIM(C562),MAP!$I$7:$I$101,0)),"")</f>
        <v>Community benefit infrastructure</v>
      </c>
      <c r="F562" s="1" t="str">
        <f aca="false">IFERROR(INDEX(MAP!$L$7:$L$101,MATCH(TRIM(C562),MAP!$I$7:$I$101,0)),"")</f>
        <v>Event</v>
      </c>
      <c r="G562" s="1" t="n">
        <f aca="false">IFERROR(MATCH(A562,CONFIRM!$A$5:$A$53,0),0)</f>
        <v>0</v>
      </c>
      <c r="H562" s="48" t="str">
        <f aca="false">STACK!F562</f>
        <v>CB-Leadership Dev</v>
      </c>
      <c r="I562" s="1" t="str">
        <f aca="false">IF(G562&gt;0,IF(INDEX(CONFIRM!$I$5:$I$53,G562)&lt;&gt;"",INDEX(CONFIRM!$I$5:$I$53,G562),H562),H562)</f>
        <v>CB-Leadership Dev</v>
      </c>
      <c r="J562" s="1" t="str">
        <f aca="false">IFERROR(INDEX(MAP!$F$7:$F$74,MATCH(TRIM(I562),MAP!$E$7:$E$74,0)),"UNMAPPED")</f>
        <v>Community building: leadership development</v>
      </c>
      <c r="K562" s="1" t="str">
        <f aca="false">IFERROR(INDEX(MAP!$G$7:$G$74,MATCH(TRIM(I562),MAP!$E$7:$E$74,0)),"UNMAPPED")</f>
        <v>II-5</v>
      </c>
      <c r="L562" s="49" t="str">
        <f aca="false">STACK!G562</f>
        <v>08/12/2025</v>
      </c>
      <c r="M562" s="59" t="n">
        <f aca="false">IF(G562&gt;0,IF(INDEX(CONFIRM!$G$5:$G$53,G562)&lt;&gt;"",INDEX(CONFIRM!$G$5:$G$53,G562),IF(ISNUMBER(L562),L562,IFERROR(DATEVALUE(L562),""))),IF(ISNUMBER(L562),L562,IFERROR(DATEVALUE(L562),"")))</f>
        <v>45881</v>
      </c>
      <c r="N562" s="1" t="str">
        <f aca="false">IF(M562="","Check",IF(AND(M562&gt;=INPUTS!$C$6,M562&lt;=INPUTS!$C$7),"Yes","No"))</f>
        <v>Yes</v>
      </c>
      <c r="O562" s="48" t="str">
        <f aca="false">STACK!H562</f>
        <v>Residency Coordinator</v>
      </c>
      <c r="P562" s="1" t="str">
        <f aca="false">IF(G562&gt;0,IF(INDEX(CONFIRM!$H$5:$H$53,G562)&lt;&gt;"",INDEX(CONFIRM!$H$5:$H$53,G562),IFERROR(INDEX(MAP!$B$7:$B$156,MATCH(TRIM(O562),MAP!$A$7:$A$156,0)),"UNMAPPED")),IFERROR(INDEX(MAP!$B$7:$B$156,MATCH(TRIM(O562),MAP!$A$7:$A$156,0)),"UNMAPPED"))</f>
        <v>Program Coordinator</v>
      </c>
      <c r="Q562" s="48" t="n">
        <f aca="false">STACK!I562</f>
        <v>5</v>
      </c>
      <c r="R562" s="60" t="n">
        <f aca="false">IF(G562&gt;0,IF(INDEX(CONFIRM!$F$5:$F$53,G562)&lt;&gt;"",INDEX(CONFIRM!$F$5:$F$53,G562),IF(ISNUMBER(Q562),Q562,IF(Q562="","",IFERROR(VALUE(TRIM(SUBSTITUTE(SUBSTITUTE(LOWER(Q562),"hrs",""),"hr",""))),"")))),IF(ISNUMBER(Q562),Q562,IF(Q562="","",IFERROR(VALUE(TRIM(SUBSTITUTE(SUBSTITUTE(LOWER(Q562),"hrs",""),"hr",""))),""))))</f>
        <v>5</v>
      </c>
      <c r="S562" s="57" t="n">
        <f aca="false">IFERROR(INDEX(RATES!$E$6:$E$28,MATCH(P562,RATES!$A$6:$A$28,0)),0)</f>
        <v>35.3375</v>
      </c>
      <c r="T562" s="61" t="n">
        <f aca="false">IF(ISNUMBER(R562),R562,0)*S562</f>
        <v>176.6875</v>
      </c>
      <c r="U562" s="61" t="n">
        <f aca="false">T562*INDEX(INPUTS!$H$10:$H$14,MATCH(B562,INPUTS!$A$10:$A$14,0))</f>
        <v>28.623375</v>
      </c>
      <c r="V562" s="61" t="n">
        <f aca="false">N(STACK!K562)</f>
        <v>475</v>
      </c>
      <c r="W562" s="61" t="n">
        <f aca="false">T562+U562+V562</f>
        <v>680.310875</v>
      </c>
      <c r="X562" s="61" t="n">
        <f aca="false">N(STACK!L562)</f>
        <v>0</v>
      </c>
      <c r="Y562" s="61" t="n">
        <f aca="false">W562-X562</f>
        <v>680.310875</v>
      </c>
      <c r="Z562" s="1" t="n">
        <f aca="false">N(STACK!J562)</f>
        <v>18</v>
      </c>
      <c r="AA562" s="1" t="str">
        <f aca="false">TRIM(IF(D562="UNMAPPED","Program not mapped. ","")&amp;IF(OR(K562="UNMAPPED",K562="UNASSIGNED"),"Category needs review. ","")&amp;IF(P562="UNMAPPED","Title not mapped. ","")&amp;IF(AND(P562&lt;&gt;"No staff time",R562=""),"Missing hours. ","")&amp;IF(M562="","Date not readable. ","")&amp;IF(N562="No","Outside fiscal year. ","")&amp;IF(AND(F562="Event",ISNUMBER(R562)),IF(R562&gt;12,"Event hours look high. ",""),"")&amp;IF(G562&gt;0,"See CONFIRM sheet.",""))</f>
        <v/>
      </c>
      <c r="AB562" s="1" t="n">
        <f aca="false">IF(N562="No",0,IF(REVIEW!O562=0,0,IF(G562&gt;0,IF(INDEX(CONFIRM!$J$5:$J$53,G562)&lt;&gt;"",INDEX(CONFIRM!$J$5:$J$53,G562),1),1)))</f>
        <v>1</v>
      </c>
      <c r="AC562" s="1" t="n">
        <f aca="false">IF(AB562=1,IF(COUNTIFS($B$5:B562,B562,$D$5:D562,D562,$AB$5:AB562,1)=1,1,0),0)</f>
        <v>0</v>
      </c>
    </row>
    <row r="563" customFormat="false" ht="15" hidden="false" customHeight="false" outlineLevel="0" collapsed="false">
      <c r="A563" s="48" t="str">
        <f aca="false">STACK!A563</f>
        <v>ASH-0030</v>
      </c>
      <c r="B563" s="48" t="str">
        <f aca="false">STACK!B563</f>
        <v>ASH</v>
      </c>
      <c r="C563" s="48" t="str">
        <f aca="false">STACK!E563</f>
        <v>BP Checks</v>
      </c>
      <c r="D563" s="1" t="str">
        <f aca="false">IFERROR(INDEX(MAP!$J$7:$J$101,MATCH(TRIM(C563),MAP!$I$7:$I$101,0)),"UNMAPPED")</f>
        <v>Community Blood Pressure Checks</v>
      </c>
      <c r="E563" s="1" t="str">
        <f aca="false">IFERROR(INDEX(MAP!$K$7:$K$101,MATCH(TRIM(C563),MAP!$I$7:$I$101,0)),"")</f>
        <v>Chronic disease prevention</v>
      </c>
      <c r="F563" s="1" t="str">
        <f aca="false">IFERROR(INDEX(MAP!$L$7:$L$101,MATCH(TRIM(C563),MAP!$I$7:$I$101,0)),"")</f>
        <v>Event</v>
      </c>
      <c r="G563" s="1" t="n">
        <f aca="false">IFERROR(MATCH(A563,CONFIRM!$A$5:$A$53,0),0)</f>
        <v>0</v>
      </c>
      <c r="H563" s="48" t="str">
        <f aca="false">STACK!F563</f>
        <v>Clinical Svcs</v>
      </c>
      <c r="I563" s="1" t="str">
        <f aca="false">IF(G563&gt;0,IF(INDEX(CONFIRM!$I$5:$I$53,G563)&lt;&gt;"",INDEX(CONFIRM!$I$5:$I$53,G563),H563),H563)</f>
        <v>Clinical Svcs</v>
      </c>
      <c r="J563" s="1" t="str">
        <f aca="false">IFERROR(INDEX(MAP!$F$7:$F$74,MATCH(TRIM(I563),MAP!$E$7:$E$74,0)),"UNMAPPED")</f>
        <v>Community-based clinical services</v>
      </c>
      <c r="K563" s="1" t="str">
        <f aca="false">IFERROR(INDEX(MAP!$G$7:$G$74,MATCH(TRIM(I563),MAP!$E$7:$E$74,0)),"UNMAPPED")</f>
        <v>7e</v>
      </c>
      <c r="L563" s="49" t="str">
        <f aca="false">STACK!G563</f>
        <v>08/23/2025</v>
      </c>
      <c r="M563" s="59" t="n">
        <f aca="false">IF(G563&gt;0,IF(INDEX(CONFIRM!$G$5:$G$53,G563)&lt;&gt;"",INDEX(CONFIRM!$G$5:$G$53,G563),IF(ISNUMBER(L563),L563,IFERROR(DATEVALUE(L563),""))),IF(ISNUMBER(L563),L563,IFERROR(DATEVALUE(L563),"")))</f>
        <v>45892</v>
      </c>
      <c r="N563" s="1" t="str">
        <f aca="false">IF(M563="","Check",IF(AND(M563&gt;=INPUTS!$C$6,M563&lt;=INPUTS!$C$7),"Yes","No"))</f>
        <v>Yes</v>
      </c>
      <c r="O563" s="48" t="str">
        <f aca="false">STACK!H563</f>
        <v>R.N.</v>
      </c>
      <c r="P563" s="1" t="str">
        <f aca="false">IF(G563&gt;0,IF(INDEX(CONFIRM!$H$5:$H$53,G563)&lt;&gt;"",INDEX(CONFIRM!$H$5:$H$53,G563),IFERROR(INDEX(MAP!$B$7:$B$156,MATCH(TRIM(O563),MAP!$A$7:$A$156,0)),"UNMAPPED")),IFERROR(INDEX(MAP!$B$7:$B$156,MATCH(TRIM(O563),MAP!$A$7:$A$156,0)),"UNMAPPED"))</f>
        <v>Registered Nurse</v>
      </c>
      <c r="Q563" s="48" t="n">
        <f aca="false">STACK!I563</f>
        <v>4</v>
      </c>
      <c r="R563" s="60" t="n">
        <f aca="false">IF(G563&gt;0,IF(INDEX(CONFIRM!$F$5:$F$53,G563)&lt;&gt;"",INDEX(CONFIRM!$F$5:$F$53,G563),IF(ISNUMBER(Q563),Q563,IF(Q563="","",IFERROR(VALUE(TRIM(SUBSTITUTE(SUBSTITUTE(LOWER(Q563),"hrs",""),"hr",""))),"")))),IF(ISNUMBER(Q563),Q563,IF(Q563="","",IFERROR(VALUE(TRIM(SUBSTITUTE(SUBSTITUTE(LOWER(Q563),"hrs",""),"hr",""))),""))))</f>
        <v>4</v>
      </c>
      <c r="S563" s="57" t="n">
        <f aca="false">IFERROR(INDEX(RATES!$E$6:$E$28,MATCH(P563,RATES!$A$6:$A$28,0)),0)</f>
        <v>55.8975</v>
      </c>
      <c r="T563" s="61" t="n">
        <f aca="false">IF(ISNUMBER(R563),R563,0)*S563</f>
        <v>223.59</v>
      </c>
      <c r="U563" s="61" t="n">
        <f aca="false">T563*INDEX(INPUTS!$H$10:$H$14,MATCH(B563,INPUTS!$A$10:$A$14,0))</f>
        <v>36.22158</v>
      </c>
      <c r="V563" s="61" t="n">
        <f aca="false">N(STACK!K563)</f>
        <v>115</v>
      </c>
      <c r="W563" s="61" t="n">
        <f aca="false">T563+U563+V563</f>
        <v>374.81158</v>
      </c>
      <c r="X563" s="61" t="n">
        <f aca="false">N(STACK!L563)</f>
        <v>0</v>
      </c>
      <c r="Y563" s="61" t="n">
        <f aca="false">W563-X563</f>
        <v>374.81158</v>
      </c>
      <c r="Z563" s="1" t="n">
        <f aca="false">N(STACK!J563)</f>
        <v>50</v>
      </c>
      <c r="AA563" s="1" t="str">
        <f aca="false">TRIM(IF(D563="UNMAPPED","Program not mapped. ","")&amp;IF(OR(K563="UNMAPPED",K563="UNASSIGNED"),"Category needs review. ","")&amp;IF(P563="UNMAPPED","Title not mapped. ","")&amp;IF(AND(P563&lt;&gt;"No staff time",R563=""),"Missing hours. ","")&amp;IF(M563="","Date not readable. ","")&amp;IF(N563="No","Outside fiscal year. ","")&amp;IF(AND(F563="Event",ISNUMBER(R563)),IF(R563&gt;12,"Event hours look high. ",""),"")&amp;IF(G563&gt;0,"See CONFIRM sheet.",""))</f>
        <v/>
      </c>
      <c r="AB563" s="1" t="n">
        <f aca="false">IF(N563="No",0,IF(REVIEW!O563=0,0,IF(G563&gt;0,IF(INDEX(CONFIRM!$J$5:$J$53,G563)&lt;&gt;"",INDEX(CONFIRM!$J$5:$J$53,G563),1),1)))</f>
        <v>1</v>
      </c>
      <c r="AC563" s="1" t="n">
        <f aca="false">IF(AB563=1,IF(COUNTIFS($B$5:B563,B563,$D$5:D563,D563,$AB$5:AB563,1)=1,1,0),0)</f>
        <v>0</v>
      </c>
    </row>
    <row r="564" customFormat="false" ht="15" hidden="false" customHeight="false" outlineLevel="0" collapsed="false">
      <c r="A564" s="48" t="str">
        <f aca="false">STACK!A564</f>
        <v>ASH-0031</v>
      </c>
      <c r="B564" s="48" t="str">
        <f aca="false">STACK!B564</f>
        <v>ASH</v>
      </c>
      <c r="C564" s="48" t="str">
        <f aca="false">STACK!E564</f>
        <v>MH First Aid</v>
      </c>
      <c r="D564" s="1" t="str">
        <f aca="false">IFERROR(INDEX(MAP!$J$7:$J$101,MATCH(TRIM(C564),MAP!$I$7:$I$101,0)),"UNMAPPED")</f>
        <v>Mental Health First Aid Training</v>
      </c>
      <c r="E564" s="1" t="str">
        <f aca="false">IFERROR(INDEX(MAP!$K$7:$K$101,MATCH(TRIM(C564),MAP!$I$7:$I$101,0)),"")</f>
        <v>Behavioral health</v>
      </c>
      <c r="F564" s="1" t="str">
        <f aca="false">IFERROR(INDEX(MAP!$L$7:$L$101,MATCH(TRIM(C564),MAP!$I$7:$I$101,0)),"")</f>
        <v>Event</v>
      </c>
      <c r="G564" s="1" t="n">
        <f aca="false">IFERROR(MATCH(A564,CONFIRM!$A$5:$A$53,0),0)</f>
        <v>0</v>
      </c>
      <c r="H564" s="48" t="str">
        <f aca="false">STACK!F564</f>
        <v>Comm Hlth Ed</v>
      </c>
      <c r="I564" s="1" t="str">
        <f aca="false">IF(G564&gt;0,IF(INDEX(CONFIRM!$I$5:$I$53,G564)&lt;&gt;"",INDEX(CONFIRM!$I$5:$I$53,G564),H564),H564)</f>
        <v>Comm Hlth Ed</v>
      </c>
      <c r="J564" s="1" t="str">
        <f aca="false">IFERROR(INDEX(MAP!$F$7:$F$74,MATCH(TRIM(I564),MAP!$E$7:$E$74,0)),"UNMAPPED")</f>
        <v>Community health education</v>
      </c>
      <c r="K564" s="1" t="str">
        <f aca="false">IFERROR(INDEX(MAP!$G$7:$G$74,MATCH(TRIM(I564),MAP!$E$7:$E$74,0)),"UNMAPPED")</f>
        <v>7e</v>
      </c>
      <c r="L564" s="49" t="str">
        <f aca="false">STACK!G564</f>
        <v>08/23/2025</v>
      </c>
      <c r="M564" s="59" t="n">
        <f aca="false">IF(G564&gt;0,IF(INDEX(CONFIRM!$G$5:$G$53,G564)&lt;&gt;"",INDEX(CONFIRM!$G$5:$G$53,G564),IF(ISNUMBER(L564),L564,IFERROR(DATEVALUE(L564),""))),IF(ISNUMBER(L564),L564,IFERROR(DATEVALUE(L564),"")))</f>
        <v>45892</v>
      </c>
      <c r="N564" s="1" t="str">
        <f aca="false">IF(M564="","Check",IF(AND(M564&gt;=INPUTS!$C$6,M564&lt;=INPUTS!$C$7),"Yes","No"))</f>
        <v>Yes</v>
      </c>
      <c r="O564" s="48" t="str">
        <f aca="false">STACK!H564</f>
        <v>Community Educator</v>
      </c>
      <c r="P564" s="1" t="str">
        <f aca="false">IF(G564&gt;0,IF(INDEX(CONFIRM!$H$5:$H$53,G564)&lt;&gt;"",INDEX(CONFIRM!$H$5:$H$53,G564),IFERROR(INDEX(MAP!$B$7:$B$156,MATCH(TRIM(O564),MAP!$A$7:$A$156,0)),"UNMAPPED")),IFERROR(INDEX(MAP!$B$7:$B$156,MATCH(TRIM(O564),MAP!$A$7:$A$156,0)),"UNMAPPED"))</f>
        <v>Health Educator</v>
      </c>
      <c r="Q564" s="48" t="n">
        <f aca="false">STACK!I564</f>
        <v>8</v>
      </c>
      <c r="R564" s="60" t="n">
        <f aca="false">IF(G564&gt;0,IF(INDEX(CONFIRM!$F$5:$F$53,G564)&lt;&gt;"",INDEX(CONFIRM!$F$5:$F$53,G564),IF(ISNUMBER(Q564),Q564,IF(Q564="","",IFERROR(VALUE(TRIM(SUBSTITUTE(SUBSTITUTE(LOWER(Q564),"hrs",""),"hr",""))),"")))),IF(ISNUMBER(Q564),Q564,IF(Q564="","",IFERROR(VALUE(TRIM(SUBSTITUTE(SUBSTITUTE(LOWER(Q564),"hrs",""),"hr",""))),""))))</f>
        <v>8</v>
      </c>
      <c r="S564" s="57" t="n">
        <f aca="false">IFERROR(INDEX(RATES!$E$6:$E$28,MATCH(P564,RATES!$A$6:$A$28,0)),0)</f>
        <v>37.265</v>
      </c>
      <c r="T564" s="61" t="n">
        <f aca="false">IF(ISNUMBER(R564),R564,0)*S564</f>
        <v>298.12</v>
      </c>
      <c r="U564" s="61" t="n">
        <f aca="false">T564*INDEX(INPUTS!$H$10:$H$14,MATCH(B564,INPUTS!$A$10:$A$14,0))</f>
        <v>48.29544</v>
      </c>
      <c r="V564" s="61" t="n">
        <f aca="false">N(STACK!K564)</f>
        <v>0</v>
      </c>
      <c r="W564" s="61" t="n">
        <f aca="false">T564+U564+V564</f>
        <v>346.41544</v>
      </c>
      <c r="X564" s="61" t="n">
        <f aca="false">N(STACK!L564)</f>
        <v>0</v>
      </c>
      <c r="Y564" s="61" t="n">
        <f aca="false">W564-X564</f>
        <v>346.41544</v>
      </c>
      <c r="Z564" s="1" t="n">
        <f aca="false">N(STACK!J564)</f>
        <v>0</v>
      </c>
      <c r="AA564" s="1" t="str">
        <f aca="false">TRIM(IF(D564="UNMAPPED","Program not mapped. ","")&amp;IF(OR(K564="UNMAPPED",K564="UNASSIGNED"),"Category needs review. ","")&amp;IF(P564="UNMAPPED","Title not mapped. ","")&amp;IF(AND(P564&lt;&gt;"No staff time",R564=""),"Missing hours. ","")&amp;IF(M564="","Date not readable. ","")&amp;IF(N564="No","Outside fiscal year. ","")&amp;IF(AND(F564="Event",ISNUMBER(R564)),IF(R564&gt;12,"Event hours look high. ",""),"")&amp;IF(G564&gt;0,"See CONFIRM sheet.",""))</f>
        <v/>
      </c>
      <c r="AB564" s="1" t="n">
        <f aca="false">IF(N564="No",0,IF(REVIEW!O564=0,0,IF(G564&gt;0,IF(INDEX(CONFIRM!$J$5:$J$53,G564)&lt;&gt;"",INDEX(CONFIRM!$J$5:$J$53,G564),1),1)))</f>
        <v>1</v>
      </c>
      <c r="AC564" s="1" t="n">
        <f aca="false">IF(AB564=1,IF(COUNTIFS($B$5:B564,B564,$D$5:D564,D564,$AB$5:AB564,1)=1,1,0),0)</f>
        <v>1</v>
      </c>
    </row>
    <row r="565" customFormat="false" ht="15" hidden="false" customHeight="false" outlineLevel="0" collapsed="false">
      <c r="A565" s="48" t="str">
        <f aca="false">STACK!A565</f>
        <v>ASH-0032</v>
      </c>
      <c r="B565" s="48" t="str">
        <f aca="false">STACK!B565</f>
        <v>ASH</v>
      </c>
      <c r="C565" s="48" t="str">
        <f aca="false">STACK!E565</f>
        <v>MH First Aid</v>
      </c>
      <c r="D565" s="1" t="str">
        <f aca="false">IFERROR(INDEX(MAP!$J$7:$J$101,MATCH(TRIM(C565),MAP!$I$7:$I$101,0)),"UNMAPPED")</f>
        <v>Mental Health First Aid Training</v>
      </c>
      <c r="E565" s="1" t="str">
        <f aca="false">IFERROR(INDEX(MAP!$K$7:$K$101,MATCH(TRIM(C565),MAP!$I$7:$I$101,0)),"")</f>
        <v>Behavioral health</v>
      </c>
      <c r="F565" s="1" t="str">
        <f aca="false">IFERROR(INDEX(MAP!$L$7:$L$101,MATCH(TRIM(C565),MAP!$I$7:$I$101,0)),"")</f>
        <v>Event</v>
      </c>
      <c r="G565" s="1" t="n">
        <f aca="false">IFERROR(MATCH(A565,CONFIRM!$A$5:$A$53,0),0)</f>
        <v>0</v>
      </c>
      <c r="H565" s="48" t="str">
        <f aca="false">STACK!F565</f>
        <v>Comm Hlth Ed</v>
      </c>
      <c r="I565" s="1" t="str">
        <f aca="false">IF(G565&gt;0,IF(INDEX(CONFIRM!$I$5:$I$53,G565)&lt;&gt;"",INDEX(CONFIRM!$I$5:$I$53,G565),H565),H565)</f>
        <v>Comm Hlth Ed</v>
      </c>
      <c r="J565" s="1" t="str">
        <f aca="false">IFERROR(INDEX(MAP!$F$7:$F$74,MATCH(TRIM(I565),MAP!$E$7:$E$74,0)),"UNMAPPED")</f>
        <v>Community health education</v>
      </c>
      <c r="K565" s="1" t="str">
        <f aca="false">IFERROR(INDEX(MAP!$G$7:$G$74,MATCH(TRIM(I565),MAP!$E$7:$E$74,0)),"UNMAPPED")</f>
        <v>7e</v>
      </c>
      <c r="L565" s="49" t="str">
        <f aca="false">STACK!G565</f>
        <v>08/23/2025</v>
      </c>
      <c r="M565" s="59" t="n">
        <f aca="false">IF(G565&gt;0,IF(INDEX(CONFIRM!$G$5:$G$53,G565)&lt;&gt;"",INDEX(CONFIRM!$G$5:$G$53,G565),IF(ISNUMBER(L565),L565,IFERROR(DATEVALUE(L565),""))),IF(ISNUMBER(L565),L565,IFERROR(DATEVALUE(L565),"")))</f>
        <v>45892</v>
      </c>
      <c r="N565" s="1" t="str">
        <f aca="false">IF(M565="","Check",IF(AND(M565&gt;=INPUTS!$C$6,M565&lt;=INPUTS!$C$7),"Yes","No"))</f>
        <v>Yes</v>
      </c>
      <c r="O565" s="48" t="str">
        <f aca="false">STACK!H565</f>
        <v>LCSW</v>
      </c>
      <c r="P565" s="1" t="str">
        <f aca="false">IF(G565&gt;0,IF(INDEX(CONFIRM!$H$5:$H$53,G565)&lt;&gt;"",INDEX(CONFIRM!$H$5:$H$53,G565),IFERROR(INDEX(MAP!$B$7:$B$156,MATCH(TRIM(O565),MAP!$A$7:$A$156,0)),"UNMAPPED")),IFERROR(INDEX(MAP!$B$7:$B$156,MATCH(TRIM(O565),MAP!$A$7:$A$156,0)),"UNMAPPED"))</f>
        <v>Social Worker</v>
      </c>
      <c r="Q565" s="48" t="n">
        <f aca="false">STACK!I565</f>
        <v>8</v>
      </c>
      <c r="R565" s="60" t="n">
        <f aca="false">IF(G565&gt;0,IF(INDEX(CONFIRM!$F$5:$F$53,G565)&lt;&gt;"",INDEX(CONFIRM!$F$5:$F$53,G565),IF(ISNUMBER(Q565),Q565,IF(Q565="","",IFERROR(VALUE(TRIM(SUBSTITUTE(SUBSTITUTE(LOWER(Q565),"hrs",""),"hr",""))),"")))),IF(ISNUMBER(Q565),Q565,IF(Q565="","",IFERROR(VALUE(TRIM(SUBSTITUTE(SUBSTITUTE(LOWER(Q565),"hrs",""),"hr",""))),""))))</f>
        <v>8</v>
      </c>
      <c r="S565" s="57" t="n">
        <f aca="false">IFERROR(INDEX(RATES!$E$6:$E$28,MATCH(P565,RATES!$A$6:$A$28,0)),0)</f>
        <v>45.6175</v>
      </c>
      <c r="T565" s="61" t="n">
        <f aca="false">IF(ISNUMBER(R565),R565,0)*S565</f>
        <v>364.94</v>
      </c>
      <c r="U565" s="61" t="n">
        <f aca="false">T565*INDEX(INPUTS!$H$10:$H$14,MATCH(B565,INPUTS!$A$10:$A$14,0))</f>
        <v>59.12028</v>
      </c>
      <c r="V565" s="61" t="n">
        <f aca="false">N(STACK!K565)</f>
        <v>435</v>
      </c>
      <c r="W565" s="61" t="n">
        <f aca="false">T565+U565+V565</f>
        <v>859.06028</v>
      </c>
      <c r="X565" s="61" t="n">
        <f aca="false">N(STACK!L565)</f>
        <v>0</v>
      </c>
      <c r="Y565" s="61" t="n">
        <f aca="false">W565-X565</f>
        <v>859.06028</v>
      </c>
      <c r="Z565" s="1" t="n">
        <f aca="false">N(STACK!J565)</f>
        <v>33</v>
      </c>
      <c r="AA565" s="1" t="str">
        <f aca="false">TRIM(IF(D565="UNMAPPED","Program not mapped. ","")&amp;IF(OR(K565="UNMAPPED",K565="UNASSIGNED"),"Category needs review. ","")&amp;IF(P565="UNMAPPED","Title not mapped. ","")&amp;IF(AND(P565&lt;&gt;"No staff time",R565=""),"Missing hours. ","")&amp;IF(M565="","Date not readable. ","")&amp;IF(N565="No","Outside fiscal year. ","")&amp;IF(AND(F565="Event",ISNUMBER(R565)),IF(R565&gt;12,"Event hours look high. ",""),"")&amp;IF(G565&gt;0,"See CONFIRM sheet.",""))</f>
        <v/>
      </c>
      <c r="AB565" s="1" t="n">
        <f aca="false">IF(N565="No",0,IF(REVIEW!O565=0,0,IF(G565&gt;0,IF(INDEX(CONFIRM!$J$5:$J$53,G565)&lt;&gt;"",INDEX(CONFIRM!$J$5:$J$53,G565),1),1)))</f>
        <v>1</v>
      </c>
      <c r="AC565" s="1" t="n">
        <f aca="false">IF(AB565=1,IF(COUNTIFS($B$5:B565,B565,$D$5:D565,D565,$AB$5:AB565,1)=1,1,0),0)</f>
        <v>0</v>
      </c>
    </row>
    <row r="566" customFormat="false" ht="15" hidden="false" customHeight="false" outlineLevel="0" collapsed="false">
      <c r="A566" s="48" t="str">
        <f aca="false">STACK!A566</f>
        <v>ASH-0033</v>
      </c>
      <c r="B566" s="48" t="str">
        <f aca="false">STACK!B566</f>
        <v>ASH</v>
      </c>
      <c r="C566" s="48" t="str">
        <f aca="false">STACK!E566</f>
        <v>In-Kind Supplies</v>
      </c>
      <c r="D566" s="1" t="str">
        <f aca="false">IFERROR(INDEX(MAP!$J$7:$J$101,MATCH(TRIM(C566),MAP!$I$7:$I$101,0)),"UNMAPPED")</f>
        <v>In-Kind Medical Supply Donations</v>
      </c>
      <c r="E566" s="1" t="str">
        <f aca="false">IFERROR(INDEX(MAP!$K$7:$K$101,MATCH(TRIM(C566),MAP!$I$7:$I$101,0)),"")</f>
        <v>Access to care</v>
      </c>
      <c r="F566" s="1" t="str">
        <f aca="false">IFERROR(INDEX(MAP!$L$7:$L$101,MATCH(TRIM(C566),MAP!$I$7:$I$101,0)),"")</f>
        <v>Contribution</v>
      </c>
      <c r="G566" s="1" t="n">
        <f aca="false">IFERROR(MATCH(A566,CONFIRM!$A$5:$A$53,0),0)</f>
        <v>0</v>
      </c>
      <c r="H566" s="48" t="str">
        <f aca="false">STACK!F566</f>
        <v>Contributions</v>
      </c>
      <c r="I566" s="1" t="str">
        <f aca="false">IF(G566&gt;0,IF(INDEX(CONFIRM!$I$5:$I$53,G566)&lt;&gt;"",INDEX(CONFIRM!$I$5:$I$53,G566),H566),H566)</f>
        <v>Contributions</v>
      </c>
      <c r="J566" s="1" t="str">
        <f aca="false">IFERROR(INDEX(MAP!$F$7:$F$74,MATCH(TRIM(I566),MAP!$E$7:$E$74,0)),"UNMAPPED")</f>
        <v>Cash and in-kind contributions</v>
      </c>
      <c r="K566" s="1" t="str">
        <f aca="false">IFERROR(INDEX(MAP!$G$7:$G$74,MATCH(TRIM(I566),MAP!$E$7:$E$74,0)),"UNMAPPED")</f>
        <v>7i</v>
      </c>
      <c r="L566" s="49" t="str">
        <f aca="false">STACK!G566</f>
        <v>08/30/2025</v>
      </c>
      <c r="M566" s="59" t="n">
        <f aca="false">IF(G566&gt;0,IF(INDEX(CONFIRM!$G$5:$G$53,G566)&lt;&gt;"",INDEX(CONFIRM!$G$5:$G$53,G566),IF(ISNUMBER(L566),L566,IFERROR(DATEVALUE(L566),""))),IF(ISNUMBER(L566),L566,IFERROR(DATEVALUE(L566),"")))</f>
        <v>45899</v>
      </c>
      <c r="N566" s="1" t="str">
        <f aca="false">IF(M566="","Check",IF(AND(M566&gt;=INPUTS!$C$6,M566&lt;=INPUTS!$C$7),"Yes","No"))</f>
        <v>Yes</v>
      </c>
      <c r="O566" s="48" t="str">
        <f aca="false">STACK!H566</f>
        <v>none</v>
      </c>
      <c r="P566" s="1" t="str">
        <f aca="false">IF(G566&gt;0,IF(INDEX(CONFIRM!$H$5:$H$53,G566)&lt;&gt;"",INDEX(CONFIRM!$H$5:$H$53,G566),IFERROR(INDEX(MAP!$B$7:$B$156,MATCH(TRIM(O566),MAP!$A$7:$A$156,0)),"UNMAPPED")),IFERROR(INDEX(MAP!$B$7:$B$156,MATCH(TRIM(O566),MAP!$A$7:$A$156,0)),"UNMAPPED"))</f>
        <v>No staff time</v>
      </c>
      <c r="Q566" s="48" t="str">
        <f aca="false">STACK!I566</f>
        <v/>
      </c>
      <c r="R566" s="60" t="str">
        <f aca="false">IF(G566&gt;0,IF(INDEX(CONFIRM!$F$5:$F$53,G566)&lt;&gt;"",INDEX(CONFIRM!$F$5:$F$53,G566),IF(ISNUMBER(Q566),Q566,IF(Q566="","",IFERROR(VALUE(TRIM(SUBSTITUTE(SUBSTITUTE(LOWER(Q566),"hrs",""),"hr",""))),"")))),IF(ISNUMBER(Q566),Q566,IF(Q566="","",IFERROR(VALUE(TRIM(SUBSTITUTE(SUBSTITUTE(LOWER(Q566),"hrs",""),"hr",""))),""))))</f>
        <v/>
      </c>
      <c r="S566" s="57" t="n">
        <f aca="false">IFERROR(INDEX(RATES!$E$6:$E$28,MATCH(P566,RATES!$A$6:$A$28,0)),0)</f>
        <v>0</v>
      </c>
      <c r="T566" s="61" t="n">
        <f aca="false">IF(ISNUMBER(R566),R566,0)*S566</f>
        <v>0</v>
      </c>
      <c r="U566" s="61" t="n">
        <f aca="false">T566*INDEX(INPUTS!$H$10:$H$14,MATCH(B566,INPUTS!$A$10:$A$14,0))</f>
        <v>0</v>
      </c>
      <c r="V566" s="61" t="n">
        <f aca="false">N(STACK!K566)</f>
        <v>7440</v>
      </c>
      <c r="W566" s="61" t="n">
        <f aca="false">T566+U566+V566</f>
        <v>7440</v>
      </c>
      <c r="X566" s="61" t="n">
        <f aca="false">N(STACK!L566)</f>
        <v>0</v>
      </c>
      <c r="Y566" s="61" t="n">
        <f aca="false">W566-X566</f>
        <v>7440</v>
      </c>
      <c r="Z566" s="1" t="n">
        <f aca="false">N(STACK!J566)</f>
        <v>0</v>
      </c>
      <c r="AA566" s="1" t="str">
        <f aca="false">TRIM(IF(D566="UNMAPPED","Program not mapped. ","")&amp;IF(OR(K566="UNMAPPED",K566="UNASSIGNED"),"Category needs review. ","")&amp;IF(P566="UNMAPPED","Title not mapped. ","")&amp;IF(AND(P566&lt;&gt;"No staff time",R566=""),"Missing hours. ","")&amp;IF(M566="","Date not readable. ","")&amp;IF(N566="No","Outside fiscal year. ","")&amp;IF(AND(F566="Event",ISNUMBER(R566)),IF(R566&gt;12,"Event hours look high. ",""),"")&amp;IF(G566&gt;0,"See CONFIRM sheet.",""))</f>
        <v/>
      </c>
      <c r="AB566" s="1" t="n">
        <f aca="false">IF(N566="No",0,IF(REVIEW!O566=0,0,IF(G566&gt;0,IF(INDEX(CONFIRM!$J$5:$J$53,G566)&lt;&gt;"",INDEX(CONFIRM!$J$5:$J$53,G566),1),1)))</f>
        <v>1</v>
      </c>
      <c r="AC566" s="1" t="n">
        <f aca="false">IF(AB566=1,IF(COUNTIFS($B$5:B566,B566,$D$5:D566,D566,$AB$5:AB566,1)=1,1,0),0)</f>
        <v>1</v>
      </c>
    </row>
    <row r="567" customFormat="false" ht="15" hidden="false" customHeight="false" outlineLevel="0" collapsed="false">
      <c r="A567" s="48" t="str">
        <f aca="false">STACK!A567</f>
        <v>ASH-0034</v>
      </c>
      <c r="B567" s="48" t="str">
        <f aca="false">STACK!B567</f>
        <v>ASH</v>
      </c>
      <c r="C567" s="48" t="str">
        <f aca="false">STACK!E567</f>
        <v>Mobile Screening Unit</v>
      </c>
      <c r="D567" s="1" t="str">
        <f aca="false">IFERROR(INDEX(MAP!$J$7:$J$101,MATCH(TRIM(C567),MAP!$I$7:$I$101,0)),"UNMAPPED")</f>
        <v>Mobile Health Screening Unit</v>
      </c>
      <c r="E567" s="1" t="str">
        <f aca="false">IFERROR(INDEX(MAP!$K$7:$K$101,MATCH(TRIM(C567),MAP!$I$7:$I$101,0)),"")</f>
        <v>Access to care</v>
      </c>
      <c r="F567" s="1" t="str">
        <f aca="false">IFERROR(INDEX(MAP!$L$7:$L$101,MATCH(TRIM(C567),MAP!$I$7:$I$101,0)),"")</f>
        <v>Monthly</v>
      </c>
      <c r="G567" s="1" t="n">
        <f aca="false">IFERROR(MATCH(A567,CONFIRM!$A$5:$A$53,0),0)</f>
        <v>0</v>
      </c>
      <c r="H567" s="48" t="str">
        <f aca="false">STACK!F567</f>
        <v>Clinical Svcs</v>
      </c>
      <c r="I567" s="1" t="str">
        <f aca="false">IF(G567&gt;0,IF(INDEX(CONFIRM!$I$5:$I$53,G567)&lt;&gt;"",INDEX(CONFIRM!$I$5:$I$53,G567),H567),H567)</f>
        <v>Clinical Svcs</v>
      </c>
      <c r="J567" s="1" t="str">
        <f aca="false">IFERROR(INDEX(MAP!$F$7:$F$74,MATCH(TRIM(I567),MAP!$E$7:$E$74,0)),"UNMAPPED")</f>
        <v>Community-based clinical services</v>
      </c>
      <c r="K567" s="1" t="str">
        <f aca="false">IFERROR(INDEX(MAP!$G$7:$G$74,MATCH(TRIM(I567),MAP!$E$7:$E$74,0)),"UNMAPPED")</f>
        <v>7e</v>
      </c>
      <c r="L567" s="49" t="str">
        <f aca="false">STACK!G567</f>
        <v>08/31/2025</v>
      </c>
      <c r="M567" s="59" t="n">
        <f aca="false">IF(G567&gt;0,IF(INDEX(CONFIRM!$G$5:$G$53,G567)&lt;&gt;"",INDEX(CONFIRM!$G$5:$G$53,G567),IF(ISNUMBER(L567),L567,IFERROR(DATEVALUE(L567),""))),IF(ISNUMBER(L567),L567,IFERROR(DATEVALUE(L567),"")))</f>
        <v>45900</v>
      </c>
      <c r="N567" s="1" t="str">
        <f aca="false">IF(M567="","Check",IF(AND(M567&gt;=INPUTS!$C$6,M567&lt;=INPUTS!$C$7),"Yes","No"))</f>
        <v>Yes</v>
      </c>
      <c r="O567" s="48" t="str">
        <f aca="false">STACK!H567</f>
        <v>CHW</v>
      </c>
      <c r="P567" s="1" t="str">
        <f aca="false">IF(G567&gt;0,IF(INDEX(CONFIRM!$H$5:$H$53,G567)&lt;&gt;"",INDEX(CONFIRM!$H$5:$H$53,G567),IFERROR(INDEX(MAP!$B$7:$B$156,MATCH(TRIM(O567),MAP!$A$7:$A$156,0)),"UNMAPPED")),IFERROR(INDEX(MAP!$B$7:$B$156,MATCH(TRIM(O567),MAP!$A$7:$A$156,0)),"UNMAPPED"))</f>
        <v>Community Health Worker</v>
      </c>
      <c r="Q567" s="48" t="n">
        <f aca="false">STACK!I567</f>
        <v>66.75</v>
      </c>
      <c r="R567" s="60" t="n">
        <f aca="false">IF(G567&gt;0,IF(INDEX(CONFIRM!$F$5:$F$53,G567)&lt;&gt;"",INDEX(CONFIRM!$F$5:$F$53,G567),IF(ISNUMBER(Q567),Q567,IF(Q567="","",IFERROR(VALUE(TRIM(SUBSTITUTE(SUBSTITUTE(LOWER(Q567),"hrs",""),"hr",""))),"")))),IF(ISNUMBER(Q567),Q567,IF(Q567="","",IFERROR(VALUE(TRIM(SUBSTITUTE(SUBSTITUTE(LOWER(Q567),"hrs",""),"hr",""))),""))))</f>
        <v>66.75</v>
      </c>
      <c r="S567" s="57" t="n">
        <f aca="false">IFERROR(INDEX(RATES!$E$6:$E$28,MATCH(P567,RATES!$A$6:$A$28,0)),0)</f>
        <v>27.6275</v>
      </c>
      <c r="T567" s="61" t="n">
        <f aca="false">IF(ISNUMBER(R567),R567,0)*S567</f>
        <v>1844.135625</v>
      </c>
      <c r="U567" s="61" t="n">
        <f aca="false">T567*INDEX(INPUTS!$H$10:$H$14,MATCH(B567,INPUTS!$A$10:$A$14,0))</f>
        <v>298.74997125</v>
      </c>
      <c r="V567" s="61" t="n">
        <f aca="false">N(STACK!K567)</f>
        <v>0</v>
      </c>
      <c r="W567" s="61" t="n">
        <f aca="false">T567+U567+V567</f>
        <v>2142.88559625</v>
      </c>
      <c r="X567" s="61" t="n">
        <f aca="false">N(STACK!L567)</f>
        <v>0</v>
      </c>
      <c r="Y567" s="61" t="n">
        <f aca="false">W567-X567</f>
        <v>2142.88559625</v>
      </c>
      <c r="Z567" s="1" t="n">
        <f aca="false">N(STACK!J567)</f>
        <v>0</v>
      </c>
      <c r="AA567" s="1" t="str">
        <f aca="false">TRIM(IF(D567="UNMAPPED","Program not mapped. ","")&amp;IF(OR(K567="UNMAPPED",K567="UNASSIGNED"),"Category needs review. ","")&amp;IF(P567="UNMAPPED","Title not mapped. ","")&amp;IF(AND(P567&lt;&gt;"No staff time",R567=""),"Missing hours. ","")&amp;IF(M567="","Date not readable. ","")&amp;IF(N567="No","Outside fiscal year. ","")&amp;IF(AND(F567="Event",ISNUMBER(R567)),IF(R567&gt;12,"Event hours look high. ",""),"")&amp;IF(G567&gt;0,"See CONFIRM sheet.",""))</f>
        <v/>
      </c>
      <c r="AB567" s="1" t="n">
        <f aca="false">IF(N567="No",0,IF(REVIEW!O567=0,0,IF(G567&gt;0,IF(INDEX(CONFIRM!$J$5:$J$53,G567)&lt;&gt;"",INDEX(CONFIRM!$J$5:$J$53,G567),1),1)))</f>
        <v>1</v>
      </c>
      <c r="AC567" s="1" t="n">
        <f aca="false">IF(AB567=1,IF(COUNTIFS($B$5:B567,B567,$D$5:D567,D567,$AB$5:AB567,1)=1,1,0),0)</f>
        <v>0</v>
      </c>
    </row>
    <row r="568" customFormat="false" ht="15" hidden="false" customHeight="false" outlineLevel="0" collapsed="false">
      <c r="A568" s="48" t="str">
        <f aca="false">STACK!A568</f>
        <v>ASH-0035</v>
      </c>
      <c r="B568" s="48" t="str">
        <f aca="false">STACK!B568</f>
        <v>ASH</v>
      </c>
      <c r="C568" s="48" t="str">
        <f aca="false">STACK!E568</f>
        <v>Mobile Screening Unit</v>
      </c>
      <c r="D568" s="1" t="str">
        <f aca="false">IFERROR(INDEX(MAP!$J$7:$J$101,MATCH(TRIM(C568),MAP!$I$7:$I$101,0)),"UNMAPPED")</f>
        <v>Mobile Health Screening Unit</v>
      </c>
      <c r="E568" s="1" t="str">
        <f aca="false">IFERROR(INDEX(MAP!$K$7:$K$101,MATCH(TRIM(C568),MAP!$I$7:$I$101,0)),"")</f>
        <v>Access to care</v>
      </c>
      <c r="F568" s="1" t="str">
        <f aca="false">IFERROR(INDEX(MAP!$L$7:$L$101,MATCH(TRIM(C568),MAP!$I$7:$I$101,0)),"")</f>
        <v>Monthly</v>
      </c>
      <c r="G568" s="1" t="n">
        <f aca="false">IFERROR(MATCH(A568,CONFIRM!$A$5:$A$53,0),0)</f>
        <v>0</v>
      </c>
      <c r="H568" s="48" t="str">
        <f aca="false">STACK!F568</f>
        <v>Clinical Svcs</v>
      </c>
      <c r="I568" s="1" t="str">
        <f aca="false">IF(G568&gt;0,IF(INDEX(CONFIRM!$I$5:$I$53,G568)&lt;&gt;"",INDEX(CONFIRM!$I$5:$I$53,G568),H568),H568)</f>
        <v>Clinical Svcs</v>
      </c>
      <c r="J568" s="1" t="str">
        <f aca="false">IFERROR(INDEX(MAP!$F$7:$F$74,MATCH(TRIM(I568),MAP!$E$7:$E$74,0)),"UNMAPPED")</f>
        <v>Community-based clinical services</v>
      </c>
      <c r="K568" s="1" t="str">
        <f aca="false">IFERROR(INDEX(MAP!$G$7:$G$74,MATCH(TRIM(I568),MAP!$E$7:$E$74,0)),"UNMAPPED")</f>
        <v>7e</v>
      </c>
      <c r="L568" s="49" t="str">
        <f aca="false">STACK!G568</f>
        <v>08/31/2025</v>
      </c>
      <c r="M568" s="59" t="n">
        <f aca="false">IF(G568&gt;0,IF(INDEX(CONFIRM!$G$5:$G$53,G568)&lt;&gt;"",INDEX(CONFIRM!$G$5:$G$53,G568),IF(ISNUMBER(L568),L568,IFERROR(DATEVALUE(L568),""))),IF(ISNUMBER(L568),L568,IFERROR(DATEVALUE(L568),"")))</f>
        <v>45900</v>
      </c>
      <c r="N568" s="1" t="str">
        <f aca="false">IF(M568="","Check",IF(AND(M568&gt;=INPUTS!$C$6,M568&lt;=INPUTS!$C$7),"Yes","No"))</f>
        <v>Yes</v>
      </c>
      <c r="O568" s="48" t="str">
        <f aca="false">STACK!H568</f>
        <v>Medical Assistant</v>
      </c>
      <c r="P568" s="1" t="str">
        <f aca="false">IF(G568&gt;0,IF(INDEX(CONFIRM!$H$5:$H$53,G568)&lt;&gt;"",INDEX(CONFIRM!$H$5:$H$53,G568),IFERROR(INDEX(MAP!$B$7:$B$156,MATCH(TRIM(O568),MAP!$A$7:$A$156,0)),"UNMAPPED")),IFERROR(INDEX(MAP!$B$7:$B$156,MATCH(TRIM(O568),MAP!$A$7:$A$156,0)),"UNMAPPED"))</f>
        <v>Medical Assistant</v>
      </c>
      <c r="Q568" s="48" t="n">
        <f aca="false">STACK!I568</f>
        <v>100.5</v>
      </c>
      <c r="R568" s="60" t="n">
        <f aca="false">IF(G568&gt;0,IF(INDEX(CONFIRM!$F$5:$F$53,G568)&lt;&gt;"",INDEX(CONFIRM!$F$5:$F$53,G568),IF(ISNUMBER(Q568),Q568,IF(Q568="","",IFERROR(VALUE(TRIM(SUBSTITUTE(SUBSTITUTE(LOWER(Q568),"hrs",""),"hr",""))),"")))),IF(ISNUMBER(Q568),Q568,IF(Q568="","",IFERROR(VALUE(TRIM(SUBSTITUTE(SUBSTITUTE(LOWER(Q568),"hrs",""),"hr",""))),""))))</f>
        <v>100.5</v>
      </c>
      <c r="S568" s="57" t="n">
        <f aca="false">IFERROR(INDEX(RATES!$E$6:$E$28,MATCH(P568,RATES!$A$6:$A$28,0)),0)</f>
        <v>25.37875</v>
      </c>
      <c r="T568" s="61" t="n">
        <f aca="false">IF(ISNUMBER(R568),R568,0)*S568</f>
        <v>2550.564375</v>
      </c>
      <c r="U568" s="61" t="n">
        <f aca="false">T568*INDEX(INPUTS!$H$10:$H$14,MATCH(B568,INPUTS!$A$10:$A$14,0))</f>
        <v>413.19142875</v>
      </c>
      <c r="V568" s="61" t="n">
        <f aca="false">N(STACK!K568)</f>
        <v>0</v>
      </c>
      <c r="W568" s="61" t="n">
        <f aca="false">T568+U568+V568</f>
        <v>2963.75580375</v>
      </c>
      <c r="X568" s="61" t="n">
        <f aca="false">N(STACK!L568)</f>
        <v>0</v>
      </c>
      <c r="Y568" s="61" t="n">
        <f aca="false">W568-X568</f>
        <v>2963.75580375</v>
      </c>
      <c r="Z568" s="1" t="n">
        <f aca="false">N(STACK!J568)</f>
        <v>0</v>
      </c>
      <c r="AA568" s="1" t="str">
        <f aca="false">TRIM(IF(D568="UNMAPPED","Program not mapped. ","")&amp;IF(OR(K568="UNMAPPED",K568="UNASSIGNED"),"Category needs review. ","")&amp;IF(P568="UNMAPPED","Title not mapped. ","")&amp;IF(AND(P568&lt;&gt;"No staff time",R568=""),"Missing hours. ","")&amp;IF(M568="","Date not readable. ","")&amp;IF(N568="No","Outside fiscal year. ","")&amp;IF(AND(F568="Event",ISNUMBER(R568)),IF(R568&gt;12,"Event hours look high. ",""),"")&amp;IF(G568&gt;0,"See CONFIRM sheet.",""))</f>
        <v/>
      </c>
      <c r="AB568" s="1" t="n">
        <f aca="false">IF(N568="No",0,IF(REVIEW!O568=0,0,IF(G568&gt;0,IF(INDEX(CONFIRM!$J$5:$J$53,G568)&lt;&gt;"",INDEX(CONFIRM!$J$5:$J$53,G568),1),1)))</f>
        <v>1</v>
      </c>
      <c r="AC568" s="1" t="n">
        <f aca="false">IF(AB568=1,IF(COUNTIFS($B$5:B568,B568,$D$5:D568,D568,$AB$5:AB568,1)=1,1,0),0)</f>
        <v>0</v>
      </c>
    </row>
    <row r="569" customFormat="false" ht="15" hidden="false" customHeight="false" outlineLevel="0" collapsed="false">
      <c r="A569" s="48" t="str">
        <f aca="false">STACK!A569</f>
        <v>ASH-0036</v>
      </c>
      <c r="B569" s="48" t="str">
        <f aca="false">STACK!B569</f>
        <v>ASH</v>
      </c>
      <c r="C569" s="48" t="str">
        <f aca="false">STACK!E569</f>
        <v>Mobile Screening Unit</v>
      </c>
      <c r="D569" s="1" t="str">
        <f aca="false">IFERROR(INDEX(MAP!$J$7:$J$101,MATCH(TRIM(C569),MAP!$I$7:$I$101,0)),"UNMAPPED")</f>
        <v>Mobile Health Screening Unit</v>
      </c>
      <c r="E569" s="1" t="str">
        <f aca="false">IFERROR(INDEX(MAP!$K$7:$K$101,MATCH(TRIM(C569),MAP!$I$7:$I$101,0)),"")</f>
        <v>Access to care</v>
      </c>
      <c r="F569" s="1" t="str">
        <f aca="false">IFERROR(INDEX(MAP!$L$7:$L$101,MATCH(TRIM(C569),MAP!$I$7:$I$101,0)),"")</f>
        <v>Monthly</v>
      </c>
      <c r="G569" s="1" t="n">
        <f aca="false">IFERROR(MATCH(A569,CONFIRM!$A$5:$A$53,0),0)</f>
        <v>0</v>
      </c>
      <c r="H569" s="48" t="str">
        <f aca="false">STACK!F569</f>
        <v>Clinical Svcs</v>
      </c>
      <c r="I569" s="1" t="str">
        <f aca="false">IF(G569&gt;0,IF(INDEX(CONFIRM!$I$5:$I$53,G569)&lt;&gt;"",INDEX(CONFIRM!$I$5:$I$53,G569),H569),H569)</f>
        <v>Clinical Svcs</v>
      </c>
      <c r="J569" s="1" t="str">
        <f aca="false">IFERROR(INDEX(MAP!$F$7:$F$74,MATCH(TRIM(I569),MAP!$E$7:$E$74,0)),"UNMAPPED")</f>
        <v>Community-based clinical services</v>
      </c>
      <c r="K569" s="1" t="str">
        <f aca="false">IFERROR(INDEX(MAP!$G$7:$G$74,MATCH(TRIM(I569),MAP!$E$7:$E$74,0)),"UNMAPPED")</f>
        <v>7e</v>
      </c>
      <c r="L569" s="49" t="str">
        <f aca="false">STACK!G569</f>
        <v>08/31/2025</v>
      </c>
      <c r="M569" s="59" t="n">
        <f aca="false">IF(G569&gt;0,IF(INDEX(CONFIRM!$G$5:$G$53,G569)&lt;&gt;"",INDEX(CONFIRM!$G$5:$G$53,G569),IF(ISNUMBER(L569),L569,IFERROR(DATEVALUE(L569),""))),IF(ISNUMBER(L569),L569,IFERROR(DATEVALUE(L569),"")))</f>
        <v>45900</v>
      </c>
      <c r="N569" s="1" t="str">
        <f aca="false">IF(M569="","Check",IF(AND(M569&gt;=INPUTS!$C$6,M569&lt;=INPUTS!$C$7),"Yes","No"))</f>
        <v>Yes</v>
      </c>
      <c r="O569" s="48" t="str">
        <f aca="false">STACK!H569</f>
        <v>RN II</v>
      </c>
      <c r="P569" s="1" t="str">
        <f aca="false">IF(G569&gt;0,IF(INDEX(CONFIRM!$H$5:$H$53,G569)&lt;&gt;"",INDEX(CONFIRM!$H$5:$H$53,G569),IFERROR(INDEX(MAP!$B$7:$B$156,MATCH(TRIM(O569),MAP!$A$7:$A$156,0)),"UNMAPPED")),IFERROR(INDEX(MAP!$B$7:$B$156,MATCH(TRIM(O569),MAP!$A$7:$A$156,0)),"UNMAPPED"))</f>
        <v>Registered Nurse</v>
      </c>
      <c r="Q569" s="48" t="n">
        <f aca="false">STACK!I569</f>
        <v>104.25</v>
      </c>
      <c r="R569" s="60" t="n">
        <f aca="false">IF(G569&gt;0,IF(INDEX(CONFIRM!$F$5:$F$53,G569)&lt;&gt;"",INDEX(CONFIRM!$F$5:$F$53,G569),IF(ISNUMBER(Q569),Q569,IF(Q569="","",IFERROR(VALUE(TRIM(SUBSTITUTE(SUBSTITUTE(LOWER(Q569),"hrs",""),"hr",""))),"")))),IF(ISNUMBER(Q569),Q569,IF(Q569="","",IFERROR(VALUE(TRIM(SUBSTITUTE(SUBSTITUTE(LOWER(Q569),"hrs",""),"hr",""))),""))))</f>
        <v>104.25</v>
      </c>
      <c r="S569" s="57" t="n">
        <f aca="false">IFERROR(INDEX(RATES!$E$6:$E$28,MATCH(P569,RATES!$A$6:$A$28,0)),0)</f>
        <v>55.8975</v>
      </c>
      <c r="T569" s="61" t="n">
        <f aca="false">IF(ISNUMBER(R569),R569,0)*S569</f>
        <v>5827.314375</v>
      </c>
      <c r="U569" s="61" t="n">
        <f aca="false">T569*INDEX(INPUTS!$H$10:$H$14,MATCH(B569,INPUTS!$A$10:$A$14,0))</f>
        <v>944.02492875</v>
      </c>
      <c r="V569" s="61" t="n">
        <f aca="false">N(STACK!K569)</f>
        <v>6920</v>
      </c>
      <c r="W569" s="61" t="n">
        <f aca="false">T569+U569+V569</f>
        <v>13691.33930375</v>
      </c>
      <c r="X569" s="61" t="n">
        <f aca="false">N(STACK!L569)</f>
        <v>0</v>
      </c>
      <c r="Y569" s="61" t="n">
        <f aca="false">W569-X569</f>
        <v>13691.33930375</v>
      </c>
      <c r="Z569" s="1" t="n">
        <f aca="false">N(STACK!J569)</f>
        <v>345</v>
      </c>
      <c r="AA569" s="1" t="str">
        <f aca="false">TRIM(IF(D569="UNMAPPED","Program not mapped. ","")&amp;IF(OR(K569="UNMAPPED",K569="UNASSIGNED"),"Category needs review. ","")&amp;IF(P569="UNMAPPED","Title not mapped. ","")&amp;IF(AND(P569&lt;&gt;"No staff time",R569=""),"Missing hours. ","")&amp;IF(M569="","Date not readable. ","")&amp;IF(N569="No","Outside fiscal year. ","")&amp;IF(AND(F569="Event",ISNUMBER(R569)),IF(R569&gt;12,"Event hours look high. ",""),"")&amp;IF(G569&gt;0,"See CONFIRM sheet.",""))</f>
        <v/>
      </c>
      <c r="AB569" s="1" t="n">
        <f aca="false">IF(N569="No",0,IF(REVIEW!O569=0,0,IF(G569&gt;0,IF(INDEX(CONFIRM!$J$5:$J$53,G569)&lt;&gt;"",INDEX(CONFIRM!$J$5:$J$53,G569),1),1)))</f>
        <v>1</v>
      </c>
      <c r="AC569" s="1" t="n">
        <f aca="false">IF(AB569=1,IF(COUNTIFS($B$5:B569,B569,$D$5:D569,D569,$AB$5:AB569,1)=1,1,0),0)</f>
        <v>0</v>
      </c>
    </row>
    <row r="570" customFormat="false" ht="15" hidden="false" customHeight="false" outlineLevel="0" collapsed="false">
      <c r="A570" s="48" t="str">
        <f aca="false">STACK!A570</f>
        <v>ASH-0037</v>
      </c>
      <c r="B570" s="48" t="str">
        <f aca="false">STACK!B570</f>
        <v>ASH</v>
      </c>
      <c r="C570" s="48" t="str">
        <f aca="false">STACK!E570</f>
        <v>CHW Outreach</v>
      </c>
      <c r="D570" s="1" t="str">
        <f aca="false">IFERROR(INDEX(MAP!$J$7:$J$101,MATCH(TRIM(C570),MAP!$I$7:$I$101,0)),"UNMAPPED")</f>
        <v>Community Health Worker Outreach</v>
      </c>
      <c r="E570" s="1" t="str">
        <f aca="false">IFERROR(INDEX(MAP!$K$7:$K$101,MATCH(TRIM(C570),MAP!$I$7:$I$101,0)),"")</f>
        <v>Access to care</v>
      </c>
      <c r="F570" s="1" t="str">
        <f aca="false">IFERROR(INDEX(MAP!$L$7:$L$101,MATCH(TRIM(C570),MAP!$I$7:$I$101,0)),"")</f>
        <v>Monthly</v>
      </c>
      <c r="G570" s="1" t="n">
        <f aca="false">IFERROR(MATCH(A570,CONFIRM!$A$5:$A$53,0),0)</f>
        <v>0</v>
      </c>
      <c r="H570" s="48" t="str">
        <f aca="false">STACK!F570</f>
        <v>Support Svcs</v>
      </c>
      <c r="I570" s="1" t="str">
        <f aca="false">IF(G570&gt;0,IF(INDEX(CONFIRM!$I$5:$I$53,G570)&lt;&gt;"",INDEX(CONFIRM!$I$5:$I$53,G570),H570),H570)</f>
        <v>Support Svcs</v>
      </c>
      <c r="J570" s="1" t="str">
        <f aca="false">IFERROR(INDEX(MAP!$F$7:$F$74,MATCH(TRIM(I570),MAP!$E$7:$E$74,0)),"UNMAPPED")</f>
        <v>Health care support services</v>
      </c>
      <c r="K570" s="1" t="str">
        <f aca="false">IFERROR(INDEX(MAP!$G$7:$G$74,MATCH(TRIM(I570),MAP!$E$7:$E$74,0)),"UNMAPPED")</f>
        <v>7e</v>
      </c>
      <c r="L570" s="49" t="str">
        <f aca="false">STACK!G570</f>
        <v>08/31/2025</v>
      </c>
      <c r="M570" s="59" t="n">
        <f aca="false">IF(G570&gt;0,IF(INDEX(CONFIRM!$G$5:$G$53,G570)&lt;&gt;"",INDEX(CONFIRM!$G$5:$G$53,G570),IF(ISNUMBER(L570),L570,IFERROR(DATEVALUE(L570),""))),IF(ISNUMBER(L570),L570,IFERROR(DATEVALUE(L570),"")))</f>
        <v>45900</v>
      </c>
      <c r="N570" s="1" t="str">
        <f aca="false">IF(M570="","Check",IF(AND(M570&gt;=INPUTS!$C$6,M570&lt;=INPUTS!$C$7),"Yes","No"))</f>
        <v>Yes</v>
      </c>
      <c r="O570" s="48" t="str">
        <f aca="false">STACK!H570</f>
        <v>Promotora</v>
      </c>
      <c r="P570" s="1" t="str">
        <f aca="false">IF(G570&gt;0,IF(INDEX(CONFIRM!$H$5:$H$53,G570)&lt;&gt;"",INDEX(CONFIRM!$H$5:$H$53,G570),IFERROR(INDEX(MAP!$B$7:$B$156,MATCH(TRIM(O570),MAP!$A$7:$A$156,0)),"UNMAPPED")),IFERROR(INDEX(MAP!$B$7:$B$156,MATCH(TRIM(O570),MAP!$A$7:$A$156,0)),"UNMAPPED"))</f>
        <v>Community Health Worker</v>
      </c>
      <c r="Q570" s="48" t="n">
        <f aca="false">STACK!I570</f>
        <v>376.5</v>
      </c>
      <c r="R570" s="60" t="n">
        <f aca="false">IF(G570&gt;0,IF(INDEX(CONFIRM!$F$5:$F$53,G570)&lt;&gt;"",INDEX(CONFIRM!$F$5:$F$53,G570),IF(ISNUMBER(Q570),Q570,IF(Q570="","",IFERROR(VALUE(TRIM(SUBSTITUTE(SUBSTITUTE(LOWER(Q570),"hrs",""),"hr",""))),"")))),IF(ISNUMBER(Q570),Q570,IF(Q570="","",IFERROR(VALUE(TRIM(SUBSTITUTE(SUBSTITUTE(LOWER(Q570),"hrs",""),"hr",""))),""))))</f>
        <v>376.5</v>
      </c>
      <c r="S570" s="57" t="n">
        <f aca="false">IFERROR(INDEX(RATES!$E$6:$E$28,MATCH(P570,RATES!$A$6:$A$28,0)),0)</f>
        <v>27.6275</v>
      </c>
      <c r="T570" s="61" t="n">
        <f aca="false">IF(ISNUMBER(R570),R570,0)*S570</f>
        <v>10401.75375</v>
      </c>
      <c r="U570" s="61" t="n">
        <f aca="false">T570*INDEX(INPUTS!$H$10:$H$14,MATCH(B570,INPUTS!$A$10:$A$14,0))</f>
        <v>1685.0841075</v>
      </c>
      <c r="V570" s="61" t="n">
        <f aca="false">N(STACK!K570)</f>
        <v>1425</v>
      </c>
      <c r="W570" s="61" t="n">
        <f aca="false">T570+U570+V570</f>
        <v>13511.8378575</v>
      </c>
      <c r="X570" s="61" t="n">
        <f aca="false">N(STACK!L570)</f>
        <v>0</v>
      </c>
      <c r="Y570" s="61" t="n">
        <f aca="false">W570-X570</f>
        <v>13511.8378575</v>
      </c>
      <c r="Z570" s="1" t="n">
        <f aca="false">N(STACK!J570)</f>
        <v>387</v>
      </c>
      <c r="AA570" s="1" t="str">
        <f aca="false">TRIM(IF(D570="UNMAPPED","Program not mapped. ","")&amp;IF(OR(K570="UNMAPPED",K570="UNASSIGNED"),"Category needs review. ","")&amp;IF(P570="UNMAPPED","Title not mapped. ","")&amp;IF(AND(P570&lt;&gt;"No staff time",R570=""),"Missing hours. ","")&amp;IF(M570="","Date not readable. ","")&amp;IF(N570="No","Outside fiscal year. ","")&amp;IF(AND(F570="Event",ISNUMBER(R570)),IF(R570&gt;12,"Event hours look high. ",""),"")&amp;IF(G570&gt;0,"See CONFIRM sheet.",""))</f>
        <v/>
      </c>
      <c r="AB570" s="1" t="n">
        <f aca="false">IF(N570="No",0,IF(REVIEW!O570=0,0,IF(G570&gt;0,IF(INDEX(CONFIRM!$J$5:$J$53,G570)&lt;&gt;"",INDEX(CONFIRM!$J$5:$J$53,G570),1),1)))</f>
        <v>1</v>
      </c>
      <c r="AC570" s="1" t="n">
        <f aca="false">IF(AB570=1,IF(COUNTIFS($B$5:B570,B570,$D$5:D570,D570,$AB$5:AB570,1)=1,1,0),0)</f>
        <v>0</v>
      </c>
    </row>
    <row r="571" customFormat="false" ht="15" hidden="false" customHeight="false" outlineLevel="0" collapsed="false">
      <c r="A571" s="48" t="str">
        <f aca="false">STACK!A571</f>
        <v>ASH-0038</v>
      </c>
      <c r="B571" s="48" t="str">
        <f aca="false">STACK!B571</f>
        <v>ASH</v>
      </c>
      <c r="C571" s="48" t="str">
        <f aca="false">STACK!E571</f>
        <v>CHW Outreach</v>
      </c>
      <c r="D571" s="1" t="str">
        <f aca="false">IFERROR(INDEX(MAP!$J$7:$J$101,MATCH(TRIM(C571),MAP!$I$7:$I$101,0)),"UNMAPPED")</f>
        <v>Community Health Worker Outreach</v>
      </c>
      <c r="E571" s="1" t="str">
        <f aca="false">IFERROR(INDEX(MAP!$K$7:$K$101,MATCH(TRIM(C571),MAP!$I$7:$I$101,0)),"")</f>
        <v>Access to care</v>
      </c>
      <c r="F571" s="1" t="str">
        <f aca="false">IFERROR(INDEX(MAP!$L$7:$L$101,MATCH(TRIM(C571),MAP!$I$7:$I$101,0)),"")</f>
        <v>Monthly</v>
      </c>
      <c r="G571" s="1" t="n">
        <f aca="false">IFERROR(MATCH(A571,CONFIRM!$A$5:$A$53,0),0)</f>
        <v>0</v>
      </c>
      <c r="H571" s="48" t="str">
        <f aca="false">STACK!F571</f>
        <v>Support Svcs</v>
      </c>
      <c r="I571" s="1" t="str">
        <f aca="false">IF(G571&gt;0,IF(INDEX(CONFIRM!$I$5:$I$53,G571)&lt;&gt;"",INDEX(CONFIRM!$I$5:$I$53,G571),H571),H571)</f>
        <v>Support Svcs</v>
      </c>
      <c r="J571" s="1" t="str">
        <f aca="false">IFERROR(INDEX(MAP!$F$7:$F$74,MATCH(TRIM(I571),MAP!$E$7:$E$74,0)),"UNMAPPED")</f>
        <v>Health care support services</v>
      </c>
      <c r="K571" s="1" t="str">
        <f aca="false">IFERROR(INDEX(MAP!$G$7:$G$74,MATCH(TRIM(I571),MAP!$E$7:$E$74,0)),"UNMAPPED")</f>
        <v>7e</v>
      </c>
      <c r="L571" s="49" t="str">
        <f aca="false">STACK!G571</f>
        <v>08/31/2025</v>
      </c>
      <c r="M571" s="59" t="n">
        <f aca="false">IF(G571&gt;0,IF(INDEX(CONFIRM!$G$5:$G$53,G571)&lt;&gt;"",INDEX(CONFIRM!$G$5:$G$53,G571),IF(ISNUMBER(L571),L571,IFERROR(DATEVALUE(L571),""))),IF(ISNUMBER(L571),L571,IFERROR(DATEVALUE(L571),"")))</f>
        <v>45900</v>
      </c>
      <c r="N571" s="1" t="str">
        <f aca="false">IF(M571="","Check",IF(AND(M571&gt;=INPUTS!$C$6,M571&lt;=INPUTS!$C$7),"Yes","No"))</f>
        <v>Yes</v>
      </c>
      <c r="O571" s="48" t="str">
        <f aca="false">STACK!H571</f>
        <v>Navigator</v>
      </c>
      <c r="P571" s="1" t="str">
        <f aca="false">IF(G571&gt;0,IF(INDEX(CONFIRM!$H$5:$H$53,G571)&lt;&gt;"",INDEX(CONFIRM!$H$5:$H$53,G571),IFERROR(INDEX(MAP!$B$7:$B$156,MATCH(TRIM(O571),MAP!$A$7:$A$156,0)),"UNMAPPED")),IFERROR(INDEX(MAP!$B$7:$B$156,MATCH(TRIM(O571),MAP!$A$7:$A$156,0)),"UNMAPPED"))</f>
        <v>Patient Navigator</v>
      </c>
      <c r="Q571" s="48" t="n">
        <f aca="false">STACK!I571</f>
        <v>170</v>
      </c>
      <c r="R571" s="60" t="n">
        <f aca="false">IF(G571&gt;0,IF(INDEX(CONFIRM!$F$5:$F$53,G571)&lt;&gt;"",INDEX(CONFIRM!$F$5:$F$53,G571),IF(ISNUMBER(Q571),Q571,IF(Q571="","",IFERROR(VALUE(TRIM(SUBSTITUTE(SUBSTITUTE(LOWER(Q571),"hrs",""),"hr",""))),"")))),IF(ISNUMBER(Q571),Q571,IF(Q571="","",IFERROR(VALUE(TRIM(SUBSTITUTE(SUBSTITUTE(LOWER(Q571),"hrs",""),"hr",""))),""))))</f>
        <v>170</v>
      </c>
      <c r="S571" s="57" t="n">
        <f aca="false">IFERROR(INDEX(RATES!$E$6:$E$28,MATCH(P571,RATES!$A$6:$A$28,0)),0)</f>
        <v>30.84</v>
      </c>
      <c r="T571" s="61" t="n">
        <f aca="false">IF(ISNUMBER(R571),R571,0)*S571</f>
        <v>5242.8</v>
      </c>
      <c r="U571" s="61" t="n">
        <f aca="false">T571*INDEX(INPUTS!$H$10:$H$14,MATCH(B571,INPUTS!$A$10:$A$14,0))</f>
        <v>849.3336</v>
      </c>
      <c r="V571" s="61" t="n">
        <f aca="false">N(STACK!K571)</f>
        <v>0</v>
      </c>
      <c r="W571" s="61" t="n">
        <f aca="false">T571+U571+V571</f>
        <v>6092.1336</v>
      </c>
      <c r="X571" s="61" t="n">
        <f aca="false">N(STACK!L571)</f>
        <v>0</v>
      </c>
      <c r="Y571" s="61" t="n">
        <f aca="false">W571-X571</f>
        <v>6092.1336</v>
      </c>
      <c r="Z571" s="1" t="n">
        <f aca="false">N(STACK!J571)</f>
        <v>0</v>
      </c>
      <c r="AA571" s="1" t="str">
        <f aca="false">TRIM(IF(D571="UNMAPPED","Program not mapped. ","")&amp;IF(OR(K571="UNMAPPED",K571="UNASSIGNED"),"Category needs review. ","")&amp;IF(P571="UNMAPPED","Title not mapped. ","")&amp;IF(AND(P571&lt;&gt;"No staff time",R571=""),"Missing hours. ","")&amp;IF(M571="","Date not readable. ","")&amp;IF(N571="No","Outside fiscal year. ","")&amp;IF(AND(F571="Event",ISNUMBER(R571)),IF(R571&gt;12,"Event hours look high. ",""),"")&amp;IF(G571&gt;0,"See CONFIRM sheet.",""))</f>
        <v/>
      </c>
      <c r="AB571" s="1" t="n">
        <f aca="false">IF(N571="No",0,IF(REVIEW!O571=0,0,IF(G571&gt;0,IF(INDEX(CONFIRM!$J$5:$J$53,G571)&lt;&gt;"",INDEX(CONFIRM!$J$5:$J$53,G571),1),1)))</f>
        <v>1</v>
      </c>
      <c r="AC571" s="1" t="n">
        <f aca="false">IF(AB571=1,IF(COUNTIFS($B$5:B571,B571,$D$5:D571,D571,$AB$5:AB571,1)=1,1,0),0)</f>
        <v>0</v>
      </c>
    </row>
    <row r="572" customFormat="false" ht="15" hidden="false" customHeight="false" outlineLevel="0" collapsed="false">
      <c r="A572" s="48" t="str">
        <f aca="false">STACK!A572</f>
        <v>ASH-0039</v>
      </c>
      <c r="B572" s="48" t="str">
        <f aca="false">STACK!B572</f>
        <v>ASH</v>
      </c>
      <c r="C572" s="48" t="str">
        <f aca="false">STACK!E572</f>
        <v>Produce Rx</v>
      </c>
      <c r="D572" s="1" t="str">
        <f aca="false">IFERROR(INDEX(MAP!$J$7:$J$101,MATCH(TRIM(C572),MAP!$I$7:$I$101,0)),"UNMAPPED")</f>
        <v>Produce Prescription Program</v>
      </c>
      <c r="E572" s="1" t="str">
        <f aca="false">IFERROR(INDEX(MAP!$K$7:$K$101,MATCH(TRIM(C572),MAP!$I$7:$I$101,0)),"")</f>
        <v>Food and housing security</v>
      </c>
      <c r="F572" s="1" t="str">
        <f aca="false">IFERROR(INDEX(MAP!$L$7:$L$101,MATCH(TRIM(C572),MAP!$I$7:$I$101,0)),"")</f>
        <v>Monthly</v>
      </c>
      <c r="G572" s="1" t="n">
        <f aca="false">IFERROR(MATCH(A572,CONFIRM!$A$5:$A$53,0),0)</f>
        <v>0</v>
      </c>
      <c r="H572" s="48" t="str">
        <f aca="false">STACK!F572</f>
        <v>Support Svcs</v>
      </c>
      <c r="I572" s="1" t="str">
        <f aca="false">IF(G572&gt;0,IF(INDEX(CONFIRM!$I$5:$I$53,G572)&lt;&gt;"",INDEX(CONFIRM!$I$5:$I$53,G572),H572),H572)</f>
        <v>Support Svcs</v>
      </c>
      <c r="J572" s="1" t="str">
        <f aca="false">IFERROR(INDEX(MAP!$F$7:$F$74,MATCH(TRIM(I572),MAP!$E$7:$E$74,0)),"UNMAPPED")</f>
        <v>Health care support services</v>
      </c>
      <c r="K572" s="1" t="str">
        <f aca="false">IFERROR(INDEX(MAP!$G$7:$G$74,MATCH(TRIM(I572),MAP!$E$7:$E$74,0)),"UNMAPPED")</f>
        <v>7e</v>
      </c>
      <c r="L572" s="49" t="str">
        <f aca="false">STACK!G572</f>
        <v>08/31/2025</v>
      </c>
      <c r="M572" s="59" t="n">
        <f aca="false">IF(G572&gt;0,IF(INDEX(CONFIRM!$G$5:$G$53,G572)&lt;&gt;"",INDEX(CONFIRM!$G$5:$G$53,G572),IF(ISNUMBER(L572),L572,IFERROR(DATEVALUE(L572),""))),IF(ISNUMBER(L572),L572,IFERROR(DATEVALUE(L572),"")))</f>
        <v>45900</v>
      </c>
      <c r="N572" s="1" t="str">
        <f aca="false">IF(M572="","Check",IF(AND(M572&gt;=INPUTS!$C$6,M572&lt;=INPUTS!$C$7),"Yes","No"))</f>
        <v>Yes</v>
      </c>
      <c r="O572" s="48" t="str">
        <f aca="false">STACK!H572</f>
        <v>CHW</v>
      </c>
      <c r="P572" s="1" t="str">
        <f aca="false">IF(G572&gt;0,IF(INDEX(CONFIRM!$H$5:$H$53,G572)&lt;&gt;"",INDEX(CONFIRM!$H$5:$H$53,G572),IFERROR(INDEX(MAP!$B$7:$B$156,MATCH(TRIM(O572),MAP!$A$7:$A$156,0)),"UNMAPPED")),IFERROR(INDEX(MAP!$B$7:$B$156,MATCH(TRIM(O572),MAP!$A$7:$A$156,0)),"UNMAPPED"))</f>
        <v>Community Health Worker</v>
      </c>
      <c r="Q572" s="48" t="n">
        <f aca="false">STACK!I572</f>
        <v>40.25</v>
      </c>
      <c r="R572" s="60" t="n">
        <f aca="false">IF(G572&gt;0,IF(INDEX(CONFIRM!$F$5:$F$53,G572)&lt;&gt;"",INDEX(CONFIRM!$F$5:$F$53,G572),IF(ISNUMBER(Q572),Q572,IF(Q572="","",IFERROR(VALUE(TRIM(SUBSTITUTE(SUBSTITUTE(LOWER(Q572),"hrs",""),"hr",""))),"")))),IF(ISNUMBER(Q572),Q572,IF(Q572="","",IFERROR(VALUE(TRIM(SUBSTITUTE(SUBSTITUTE(LOWER(Q572),"hrs",""),"hr",""))),""))))</f>
        <v>40.25</v>
      </c>
      <c r="S572" s="57" t="n">
        <f aca="false">IFERROR(INDEX(RATES!$E$6:$E$28,MATCH(P572,RATES!$A$6:$A$28,0)),0)</f>
        <v>27.6275</v>
      </c>
      <c r="T572" s="61" t="n">
        <f aca="false">IF(ISNUMBER(R572),R572,0)*S572</f>
        <v>1112.006875</v>
      </c>
      <c r="U572" s="61" t="n">
        <f aca="false">T572*INDEX(INPUTS!$H$10:$H$14,MATCH(B572,INPUTS!$A$10:$A$14,0))</f>
        <v>180.14511375</v>
      </c>
      <c r="V572" s="61" t="n">
        <f aca="false">N(STACK!K572)</f>
        <v>0</v>
      </c>
      <c r="W572" s="61" t="n">
        <f aca="false">T572+U572+V572</f>
        <v>1292.15198875</v>
      </c>
      <c r="X572" s="61" t="n">
        <f aca="false">N(STACK!L572)</f>
        <v>0</v>
      </c>
      <c r="Y572" s="61" t="n">
        <f aca="false">W572-X572</f>
        <v>1292.15198875</v>
      </c>
      <c r="Z572" s="1" t="n">
        <f aca="false">N(STACK!J572)</f>
        <v>0</v>
      </c>
      <c r="AA572" s="1" t="str">
        <f aca="false">TRIM(IF(D572="UNMAPPED","Program not mapped. ","")&amp;IF(OR(K572="UNMAPPED",K572="UNASSIGNED"),"Category needs review. ","")&amp;IF(P572="UNMAPPED","Title not mapped. ","")&amp;IF(AND(P572&lt;&gt;"No staff time",R572=""),"Missing hours. ","")&amp;IF(M572="","Date not readable. ","")&amp;IF(N572="No","Outside fiscal year. ","")&amp;IF(AND(F572="Event",ISNUMBER(R572)),IF(R572&gt;12,"Event hours look high. ",""),"")&amp;IF(G572&gt;0,"See CONFIRM sheet.",""))</f>
        <v/>
      </c>
      <c r="AB572" s="1" t="n">
        <f aca="false">IF(N572="No",0,IF(REVIEW!O572=0,0,IF(G572&gt;0,IF(INDEX(CONFIRM!$J$5:$J$53,G572)&lt;&gt;"",INDEX(CONFIRM!$J$5:$J$53,G572),1),1)))</f>
        <v>1</v>
      </c>
      <c r="AC572" s="1" t="n">
        <f aca="false">IF(AB572=1,IF(COUNTIFS($B$5:B572,B572,$D$5:D572,D572,$AB$5:AB572,1)=1,1,0),0)</f>
        <v>0</v>
      </c>
    </row>
    <row r="573" customFormat="false" ht="15" hidden="false" customHeight="false" outlineLevel="0" collapsed="false">
      <c r="A573" s="48" t="str">
        <f aca="false">STACK!A573</f>
        <v>ASH-0040</v>
      </c>
      <c r="B573" s="48" t="str">
        <f aca="false">STACK!B573</f>
        <v>ASH</v>
      </c>
      <c r="C573" s="48" t="str">
        <f aca="false">STACK!E573</f>
        <v>Produce Rx</v>
      </c>
      <c r="D573" s="1" t="str">
        <f aca="false">IFERROR(INDEX(MAP!$J$7:$J$101,MATCH(TRIM(C573),MAP!$I$7:$I$101,0)),"UNMAPPED")</f>
        <v>Produce Prescription Program</v>
      </c>
      <c r="E573" s="1" t="str">
        <f aca="false">IFERROR(INDEX(MAP!$K$7:$K$101,MATCH(TRIM(C573),MAP!$I$7:$I$101,0)),"")</f>
        <v>Food and housing security</v>
      </c>
      <c r="F573" s="1" t="str">
        <f aca="false">IFERROR(INDEX(MAP!$L$7:$L$101,MATCH(TRIM(C573),MAP!$I$7:$I$101,0)),"")</f>
        <v>Monthly</v>
      </c>
      <c r="G573" s="1" t="n">
        <f aca="false">IFERROR(MATCH(A573,CONFIRM!$A$5:$A$53,0),0)</f>
        <v>0</v>
      </c>
      <c r="H573" s="48" t="str">
        <f aca="false">STACK!F573</f>
        <v>Support Svcs</v>
      </c>
      <c r="I573" s="1" t="str">
        <f aca="false">IF(G573&gt;0,IF(INDEX(CONFIRM!$I$5:$I$53,G573)&lt;&gt;"",INDEX(CONFIRM!$I$5:$I$53,G573),H573),H573)</f>
        <v>Support Svcs</v>
      </c>
      <c r="J573" s="1" t="str">
        <f aca="false">IFERROR(INDEX(MAP!$F$7:$F$74,MATCH(TRIM(I573),MAP!$E$7:$E$74,0)),"UNMAPPED")</f>
        <v>Health care support services</v>
      </c>
      <c r="K573" s="1" t="str">
        <f aca="false">IFERROR(INDEX(MAP!$G$7:$G$74,MATCH(TRIM(I573),MAP!$E$7:$E$74,0)),"UNMAPPED")</f>
        <v>7e</v>
      </c>
      <c r="L573" s="49" t="str">
        <f aca="false">STACK!G573</f>
        <v>08/31/2025</v>
      </c>
      <c r="M573" s="59" t="n">
        <f aca="false">IF(G573&gt;0,IF(INDEX(CONFIRM!$G$5:$G$53,G573)&lt;&gt;"",INDEX(CONFIRM!$G$5:$G$53,G573),IF(ISNUMBER(L573),L573,IFERROR(DATEVALUE(L573),""))),IF(ISNUMBER(L573),L573,IFERROR(DATEVALUE(L573),"")))</f>
        <v>45900</v>
      </c>
      <c r="N573" s="1" t="str">
        <f aca="false">IF(M573="","Check",IF(AND(M573&gt;=INPUTS!$C$6,M573&lt;=INPUTS!$C$7),"Yes","No"))</f>
        <v>Yes</v>
      </c>
      <c r="O573" s="48" t="str">
        <f aca="false">STACK!H573</f>
        <v>Clinical Dietitian</v>
      </c>
      <c r="P573" s="1" t="str">
        <f aca="false">IF(G573&gt;0,IF(INDEX(CONFIRM!$H$5:$H$53,G573)&lt;&gt;"",INDEX(CONFIRM!$H$5:$H$53,G573),IFERROR(INDEX(MAP!$B$7:$B$156,MATCH(TRIM(O573),MAP!$A$7:$A$156,0)),"UNMAPPED")),IFERROR(INDEX(MAP!$B$7:$B$156,MATCH(TRIM(O573),MAP!$A$7:$A$156,0)),"UNMAPPED"))</f>
        <v>Registered Dietitian</v>
      </c>
      <c r="Q573" s="48" t="str">
        <f aca="false">STACK!I573</f>
        <v>24.75 hrs</v>
      </c>
      <c r="R573" s="60" t="n">
        <f aca="false">IF(G573&gt;0,IF(INDEX(CONFIRM!$F$5:$F$53,G573)&lt;&gt;"",INDEX(CONFIRM!$F$5:$F$53,G573),IF(ISNUMBER(Q573),Q573,IF(Q573="","",IFERROR(VALUE(TRIM(SUBSTITUTE(SUBSTITUTE(LOWER(Q573),"hrs",""),"hr",""))),"")))),IF(ISNUMBER(Q573),Q573,IF(Q573="","",IFERROR(VALUE(TRIM(SUBSTITUTE(SUBSTITUTE(LOWER(Q573),"hrs",""),"hr",""))),""))))</f>
        <v>24.75</v>
      </c>
      <c r="S573" s="57" t="n">
        <f aca="false">IFERROR(INDEX(RATES!$E$6:$E$28,MATCH(P573,RATES!$A$6:$A$28,0)),0)</f>
        <v>46.9025</v>
      </c>
      <c r="T573" s="61" t="n">
        <f aca="false">IF(ISNUMBER(R573),R573,0)*S573</f>
        <v>1160.836875</v>
      </c>
      <c r="U573" s="61" t="n">
        <f aca="false">T573*INDEX(INPUTS!$H$10:$H$14,MATCH(B573,INPUTS!$A$10:$A$14,0))</f>
        <v>188.05557375</v>
      </c>
      <c r="V573" s="61" t="n">
        <f aca="false">N(STACK!K573)</f>
        <v>11955</v>
      </c>
      <c r="W573" s="61" t="n">
        <f aca="false">T573+U573+V573</f>
        <v>13303.89244875</v>
      </c>
      <c r="X573" s="61" t="n">
        <f aca="false">N(STACK!L573)</f>
        <v>4030</v>
      </c>
      <c r="Y573" s="61" t="n">
        <f aca="false">W573-X573</f>
        <v>9273.89244875</v>
      </c>
      <c r="Z573" s="1" t="n">
        <f aca="false">N(STACK!J573)</f>
        <v>156</v>
      </c>
      <c r="AA573" s="1" t="str">
        <f aca="false">TRIM(IF(D573="UNMAPPED","Program not mapped. ","")&amp;IF(OR(K573="UNMAPPED",K573="UNASSIGNED"),"Category needs review. ","")&amp;IF(P573="UNMAPPED","Title not mapped. ","")&amp;IF(AND(P573&lt;&gt;"No staff time",R573=""),"Missing hours. ","")&amp;IF(M573="","Date not readable. ","")&amp;IF(N573="No","Outside fiscal year. ","")&amp;IF(AND(F573="Event",ISNUMBER(R573)),IF(R573&gt;12,"Event hours look high. ",""),"")&amp;IF(G573&gt;0,"See CONFIRM sheet.",""))</f>
        <v/>
      </c>
      <c r="AB573" s="1" t="n">
        <f aca="false">IF(N573="No",0,IF(REVIEW!O573=0,0,IF(G573&gt;0,IF(INDEX(CONFIRM!$J$5:$J$53,G573)&lt;&gt;"",INDEX(CONFIRM!$J$5:$J$53,G573),1),1)))</f>
        <v>1</v>
      </c>
      <c r="AC573" s="1" t="n">
        <f aca="false">IF(AB573=1,IF(COUNTIFS($B$5:B573,B573,$D$5:D573,D573,$AB$5:AB573,1)=1,1,0),0)</f>
        <v>0</v>
      </c>
    </row>
    <row r="574" customFormat="false" ht="15" hidden="false" customHeight="false" outlineLevel="0" collapsed="false">
      <c r="A574" s="48" t="str">
        <f aca="false">STACK!A574</f>
        <v>ASH-0041</v>
      </c>
      <c r="B574" s="48" t="str">
        <f aca="false">STACK!B574</f>
        <v>ASH</v>
      </c>
      <c r="C574" s="48" t="str">
        <f aca="false">STACK!E574</f>
        <v>CB Program Admin</v>
      </c>
      <c r="D574" s="1" t="str">
        <f aca="false">IFERROR(INDEX(MAP!$J$7:$J$101,MATCH(TRIM(C574),MAP!$I$7:$I$101,0)),"UNMAPPED")</f>
        <v>Community Benefit Program Administration</v>
      </c>
      <c r="E574" s="1" t="str">
        <f aca="false">IFERROR(INDEX(MAP!$K$7:$K$101,MATCH(TRIM(C574),MAP!$I$7:$I$101,0)),"")</f>
        <v>Community benefit infrastructure</v>
      </c>
      <c r="F574" s="1" t="str">
        <f aca="false">IFERROR(INDEX(MAP!$L$7:$L$101,MATCH(TRIM(C574),MAP!$I$7:$I$101,0)),"")</f>
        <v>Monthly</v>
      </c>
      <c r="G574" s="1" t="n">
        <f aca="false">IFERROR(MATCH(A574,CONFIRM!$A$5:$A$53,0),0)</f>
        <v>0</v>
      </c>
      <c r="H574" s="48" t="str">
        <f aca="false">STACK!F574</f>
        <v>CB Admin</v>
      </c>
      <c r="I574" s="1" t="str">
        <f aca="false">IF(G574&gt;0,IF(INDEX(CONFIRM!$I$5:$I$53,G574)&lt;&gt;"",INDEX(CONFIRM!$I$5:$I$53,G574),H574),H574)</f>
        <v>CB Admin</v>
      </c>
      <c r="J574" s="1" t="str">
        <f aca="false">IFERROR(INDEX(MAP!$F$7:$F$74,MATCH(TRIM(I574),MAP!$E$7:$E$74,0)),"UNMAPPED")</f>
        <v>Community benefit operations</v>
      </c>
      <c r="K574" s="1" t="str">
        <f aca="false">IFERROR(INDEX(MAP!$G$7:$G$74,MATCH(TRIM(I574),MAP!$E$7:$E$74,0)),"UNMAPPED")</f>
        <v>7e</v>
      </c>
      <c r="L574" s="49" t="str">
        <f aca="false">STACK!G574</f>
        <v>08/31/2025</v>
      </c>
      <c r="M574" s="59" t="n">
        <f aca="false">IF(G574&gt;0,IF(INDEX(CONFIRM!$G$5:$G$53,G574)&lt;&gt;"",INDEX(CONFIRM!$G$5:$G$53,G574),IF(ISNUMBER(L574),L574,IFERROR(DATEVALUE(L574),""))),IF(ISNUMBER(L574),L574,IFERROR(DATEVALUE(L574),"")))</f>
        <v>45900</v>
      </c>
      <c r="N574" s="1" t="str">
        <f aca="false">IF(M574="","Check",IF(AND(M574&gt;=INPUTS!$C$6,M574&lt;=INPUTS!$C$7),"Yes","No"))</f>
        <v>Yes</v>
      </c>
      <c r="O574" s="48" t="str">
        <f aca="false">STACK!H574</f>
        <v>Admin Asst</v>
      </c>
      <c r="P574" s="1" t="str">
        <f aca="false">IF(G574&gt;0,IF(INDEX(CONFIRM!$H$5:$H$53,G574)&lt;&gt;"",INDEX(CONFIRM!$H$5:$H$53,G574),IFERROR(INDEX(MAP!$B$7:$B$156,MATCH(TRIM(O574),MAP!$A$7:$A$156,0)),"UNMAPPED")),IFERROR(INDEX(MAP!$B$7:$B$156,MATCH(TRIM(O574),MAP!$A$7:$A$156,0)),"UNMAPPED"))</f>
        <v>Administrative Assistant</v>
      </c>
      <c r="Q574" s="48" t="str">
        <f aca="false">STACK!I574</f>
        <v>41.25 hrs</v>
      </c>
      <c r="R574" s="60" t="n">
        <f aca="false">IF(G574&gt;0,IF(INDEX(CONFIRM!$F$5:$F$53,G574)&lt;&gt;"",INDEX(CONFIRM!$F$5:$F$53,G574),IF(ISNUMBER(Q574),Q574,IF(Q574="","",IFERROR(VALUE(TRIM(SUBSTITUTE(SUBSTITUTE(LOWER(Q574),"hrs",""),"hr",""))),"")))),IF(ISNUMBER(Q574),Q574,IF(Q574="","",IFERROR(VALUE(TRIM(SUBSTITUTE(SUBSTITUTE(LOWER(Q574),"hrs",""),"hr",""))),""))))</f>
        <v>41.25</v>
      </c>
      <c r="S574" s="57" t="n">
        <f aca="false">IFERROR(INDEX(RATES!$E$6:$E$28,MATCH(P574,RATES!$A$6:$A$28,0)),0)</f>
        <v>26.985</v>
      </c>
      <c r="T574" s="61" t="n">
        <f aca="false">IF(ISNUMBER(R574),R574,0)*S574</f>
        <v>1113.13125</v>
      </c>
      <c r="U574" s="61" t="n">
        <f aca="false">T574*INDEX(INPUTS!$H$10:$H$14,MATCH(B574,INPUTS!$A$10:$A$14,0))</f>
        <v>180.3272625</v>
      </c>
      <c r="V574" s="61" t="n">
        <f aca="false">N(STACK!K574)</f>
        <v>0</v>
      </c>
      <c r="W574" s="61" t="n">
        <f aca="false">T574+U574+V574</f>
        <v>1293.4585125</v>
      </c>
      <c r="X574" s="61" t="n">
        <f aca="false">N(STACK!L574)</f>
        <v>0</v>
      </c>
      <c r="Y574" s="61" t="n">
        <f aca="false">W574-X574</f>
        <v>1293.4585125</v>
      </c>
      <c r="Z574" s="1" t="n">
        <f aca="false">N(STACK!J574)</f>
        <v>0</v>
      </c>
      <c r="AA574" s="1" t="str">
        <f aca="false">TRIM(IF(D574="UNMAPPED","Program not mapped. ","")&amp;IF(OR(K574="UNMAPPED",K574="UNASSIGNED"),"Category needs review. ","")&amp;IF(P574="UNMAPPED","Title not mapped. ","")&amp;IF(AND(P574&lt;&gt;"No staff time",R574=""),"Missing hours. ","")&amp;IF(M574="","Date not readable. ","")&amp;IF(N574="No","Outside fiscal year. ","")&amp;IF(AND(F574="Event",ISNUMBER(R574)),IF(R574&gt;12,"Event hours look high. ",""),"")&amp;IF(G574&gt;0,"See CONFIRM sheet.",""))</f>
        <v/>
      </c>
      <c r="AB574" s="1" t="n">
        <f aca="false">IF(N574="No",0,IF(REVIEW!O574=0,0,IF(G574&gt;0,IF(INDEX(CONFIRM!$J$5:$J$53,G574)&lt;&gt;"",INDEX(CONFIRM!$J$5:$J$53,G574),1),1)))</f>
        <v>1</v>
      </c>
      <c r="AC574" s="1" t="n">
        <f aca="false">IF(AB574=1,IF(COUNTIFS($B$5:B574,B574,$D$5:D574,D574,$AB$5:AB574,1)=1,1,0),0)</f>
        <v>0</v>
      </c>
    </row>
    <row r="575" customFormat="false" ht="15" hidden="false" customHeight="false" outlineLevel="0" collapsed="false">
      <c r="A575" s="48" t="str">
        <f aca="false">STACK!A575</f>
        <v>ASH-0042</v>
      </c>
      <c r="B575" s="48" t="str">
        <f aca="false">STACK!B575</f>
        <v>ASH</v>
      </c>
      <c r="C575" s="48" t="str">
        <f aca="false">STACK!E575</f>
        <v>CB Program Admin</v>
      </c>
      <c r="D575" s="1" t="str">
        <f aca="false">IFERROR(INDEX(MAP!$J$7:$J$101,MATCH(TRIM(C575),MAP!$I$7:$I$101,0)),"UNMAPPED")</f>
        <v>Community Benefit Program Administration</v>
      </c>
      <c r="E575" s="1" t="str">
        <f aca="false">IFERROR(INDEX(MAP!$K$7:$K$101,MATCH(TRIM(C575),MAP!$I$7:$I$101,0)),"")</f>
        <v>Community benefit infrastructure</v>
      </c>
      <c r="F575" s="1" t="str">
        <f aca="false">IFERROR(INDEX(MAP!$L$7:$L$101,MATCH(TRIM(C575),MAP!$I$7:$I$101,0)),"")</f>
        <v>Monthly</v>
      </c>
      <c r="G575" s="1" t="n">
        <f aca="false">IFERROR(MATCH(A575,CONFIRM!$A$5:$A$53,0),0)</f>
        <v>0</v>
      </c>
      <c r="H575" s="48" t="str">
        <f aca="false">STACK!F575</f>
        <v>CB Admin</v>
      </c>
      <c r="I575" s="1" t="str">
        <f aca="false">IF(G575&gt;0,IF(INDEX(CONFIRM!$I$5:$I$53,G575)&lt;&gt;"",INDEX(CONFIRM!$I$5:$I$53,G575),H575),H575)</f>
        <v>CB Admin</v>
      </c>
      <c r="J575" s="1" t="str">
        <f aca="false">IFERROR(INDEX(MAP!$F$7:$F$74,MATCH(TRIM(I575),MAP!$E$7:$E$74,0)),"UNMAPPED")</f>
        <v>Community benefit operations</v>
      </c>
      <c r="K575" s="1" t="str">
        <f aca="false">IFERROR(INDEX(MAP!$G$7:$G$74,MATCH(TRIM(I575),MAP!$E$7:$E$74,0)),"UNMAPPED")</f>
        <v>7e</v>
      </c>
      <c r="L575" s="49" t="str">
        <f aca="false">STACK!G575</f>
        <v>08/31/2025</v>
      </c>
      <c r="M575" s="59" t="n">
        <f aca="false">IF(G575&gt;0,IF(INDEX(CONFIRM!$G$5:$G$53,G575)&lt;&gt;"",INDEX(CONFIRM!$G$5:$G$53,G575),IF(ISNUMBER(L575),L575,IFERROR(DATEVALUE(L575),""))),IF(ISNUMBER(L575),L575,IFERROR(DATEVALUE(L575),"")))</f>
        <v>45900</v>
      </c>
      <c r="N575" s="1" t="str">
        <f aca="false">IF(M575="","Check",IF(AND(M575&gt;=INPUTS!$C$6,M575&lt;=INPUTS!$C$7),"Yes","No"))</f>
        <v>Yes</v>
      </c>
      <c r="O575" s="48" t="str">
        <f aca="false">STACK!H575</f>
        <v>Community Benefit Mgr</v>
      </c>
      <c r="P575" s="1" t="str">
        <f aca="false">IF(G575&gt;0,IF(INDEX(CONFIRM!$H$5:$H$53,G575)&lt;&gt;"",INDEX(CONFIRM!$H$5:$H$53,G575),IFERROR(INDEX(MAP!$B$7:$B$156,MATCH(TRIM(O575),MAP!$A$7:$A$156,0)),"UNMAPPED")),IFERROR(INDEX(MAP!$B$7:$B$156,MATCH(TRIM(O575),MAP!$A$7:$A$156,0)),"UNMAPPED"))</f>
        <v>Community Benefit Manager</v>
      </c>
      <c r="Q575" s="48" t="n">
        <f aca="false">STACK!I575</f>
        <v>54.5</v>
      </c>
      <c r="R575" s="60" t="n">
        <f aca="false">IF(G575&gt;0,IF(INDEX(CONFIRM!$F$5:$F$53,G575)&lt;&gt;"",INDEX(CONFIRM!$F$5:$F$53,G575),IF(ISNUMBER(Q575),Q575,IF(Q575="","",IFERROR(VALUE(TRIM(SUBSTITUTE(SUBSTITUTE(LOWER(Q575),"hrs",""),"hr",""))),"")))),IF(ISNUMBER(Q575),Q575,IF(Q575="","",IFERROR(VALUE(TRIM(SUBSTITUTE(SUBSTITUTE(LOWER(Q575),"hrs",""),"hr",""))),""))))</f>
        <v>54.5</v>
      </c>
      <c r="S575" s="57" t="n">
        <f aca="false">IFERROR(INDEX(RATES!$E$6:$E$28,MATCH(P575,RATES!$A$6:$A$28,0)),0)</f>
        <v>59.11</v>
      </c>
      <c r="T575" s="61" t="n">
        <f aca="false">IF(ISNUMBER(R575),R575,0)*S575</f>
        <v>3221.495</v>
      </c>
      <c r="U575" s="61" t="n">
        <f aca="false">T575*INDEX(INPUTS!$H$10:$H$14,MATCH(B575,INPUTS!$A$10:$A$14,0))</f>
        <v>521.88219</v>
      </c>
      <c r="V575" s="61" t="n">
        <f aca="false">N(STACK!K575)</f>
        <v>885</v>
      </c>
      <c r="W575" s="61" t="n">
        <f aca="false">T575+U575+V575</f>
        <v>4628.37719</v>
      </c>
      <c r="X575" s="61" t="n">
        <f aca="false">N(STACK!L575)</f>
        <v>0</v>
      </c>
      <c r="Y575" s="61" t="n">
        <f aca="false">W575-X575</f>
        <v>4628.37719</v>
      </c>
      <c r="Z575" s="1" t="n">
        <f aca="false">N(STACK!J575)</f>
        <v>0</v>
      </c>
      <c r="AA575" s="1" t="str">
        <f aca="false">TRIM(IF(D575="UNMAPPED","Program not mapped. ","")&amp;IF(OR(K575="UNMAPPED",K575="UNASSIGNED"),"Category needs review. ","")&amp;IF(P575="UNMAPPED","Title not mapped. ","")&amp;IF(AND(P575&lt;&gt;"No staff time",R575=""),"Missing hours. ","")&amp;IF(M575="","Date not readable. ","")&amp;IF(N575="No","Outside fiscal year. ","")&amp;IF(AND(F575="Event",ISNUMBER(R575)),IF(R575&gt;12,"Event hours look high. ",""),"")&amp;IF(G575&gt;0,"See CONFIRM sheet.",""))</f>
        <v/>
      </c>
      <c r="AB575" s="1" t="n">
        <f aca="false">IF(N575="No",0,IF(REVIEW!O575=0,0,IF(G575&gt;0,IF(INDEX(CONFIRM!$J$5:$J$53,G575)&lt;&gt;"",INDEX(CONFIRM!$J$5:$J$53,G575),1),1)))</f>
        <v>1</v>
      </c>
      <c r="AC575" s="1" t="n">
        <f aca="false">IF(AB575=1,IF(COUNTIFS($B$5:B575,B575,$D$5:D575,D575,$AB$5:AB575,1)=1,1,0),0)</f>
        <v>0</v>
      </c>
    </row>
    <row r="576" customFormat="false" ht="15" hidden="false" customHeight="false" outlineLevel="0" collapsed="false">
      <c r="A576" s="48" t="str">
        <f aca="false">STACK!A576</f>
        <v>ASH-0043</v>
      </c>
      <c r="B576" s="48" t="str">
        <f aca="false">STACK!B576</f>
        <v>ASH</v>
      </c>
      <c r="C576" s="48" t="str">
        <f aca="false">STACK!E576</f>
        <v>Nursing Clinicals</v>
      </c>
      <c r="D576" s="1" t="str">
        <f aca="false">IFERROR(INDEX(MAP!$J$7:$J$101,MATCH(TRIM(C576),MAP!$I$7:$I$101,0)),"UNMAPPED")</f>
        <v>Nursing Student Clinical Rotations</v>
      </c>
      <c r="E576" s="1" t="str">
        <f aca="false">IFERROR(INDEX(MAP!$K$7:$K$101,MATCH(TRIM(C576),MAP!$I$7:$I$101,0)),"")</f>
        <v>Health workforce</v>
      </c>
      <c r="F576" s="1" t="str">
        <f aca="false">IFERROR(INDEX(MAP!$L$7:$L$101,MATCH(TRIM(C576),MAP!$I$7:$I$101,0)),"")</f>
        <v>Monthly</v>
      </c>
      <c r="G576" s="1" t="n">
        <f aca="false">IFERROR(MATCH(A576,CONFIRM!$A$5:$A$53,0),0)</f>
        <v>0</v>
      </c>
      <c r="H576" s="48" t="str">
        <f aca="false">STACK!F576</f>
        <v>HPE</v>
      </c>
      <c r="I576" s="1" t="str">
        <f aca="false">IF(G576&gt;0,IF(INDEX(CONFIRM!$I$5:$I$53,G576)&lt;&gt;"",INDEX(CONFIRM!$I$5:$I$53,G576),H576),H576)</f>
        <v>HPE</v>
      </c>
      <c r="J576" s="1" t="str">
        <f aca="false">IFERROR(INDEX(MAP!$F$7:$F$74,MATCH(TRIM(I576),MAP!$E$7:$E$74,0)),"UNMAPPED")</f>
        <v>Health professions education</v>
      </c>
      <c r="K576" s="1" t="str">
        <f aca="false">IFERROR(INDEX(MAP!$G$7:$G$74,MATCH(TRIM(I576),MAP!$E$7:$E$74,0)),"UNMAPPED")</f>
        <v>7f</v>
      </c>
      <c r="L576" s="49" t="str">
        <f aca="false">STACK!G576</f>
        <v>08/31/2025</v>
      </c>
      <c r="M576" s="59" t="n">
        <f aca="false">IF(G576&gt;0,IF(INDEX(CONFIRM!$G$5:$G$53,G576)&lt;&gt;"",INDEX(CONFIRM!$G$5:$G$53,G576),IF(ISNUMBER(L576),L576,IFERROR(DATEVALUE(L576),""))),IF(ISNUMBER(L576),L576,IFERROR(DATEVALUE(L576),"")))</f>
        <v>45900</v>
      </c>
      <c r="N576" s="1" t="str">
        <f aca="false">IF(M576="","Check",IF(AND(M576&gt;=INPUTS!$C$6,M576&lt;=INPUTS!$C$7),"Yes","No"))</f>
        <v>Yes</v>
      </c>
      <c r="O576" s="48" t="str">
        <f aca="false">STACK!H576</f>
        <v>Educator, Nursing</v>
      </c>
      <c r="P576" s="1" t="str">
        <f aca="false">IF(G576&gt;0,IF(INDEX(CONFIRM!$H$5:$H$53,G576)&lt;&gt;"",INDEX(CONFIRM!$H$5:$H$53,G576),IFERROR(INDEX(MAP!$B$7:$B$156,MATCH(TRIM(O576),MAP!$A$7:$A$156,0)),"UNMAPPED")),IFERROR(INDEX(MAP!$B$7:$B$156,MATCH(TRIM(O576),MAP!$A$7:$A$156,0)),"UNMAPPED"))</f>
        <v>Clinical Nurse Educator</v>
      </c>
      <c r="Q576" s="48" t="n">
        <f aca="false">STACK!I576</f>
        <v>147.75</v>
      </c>
      <c r="R576" s="60" t="n">
        <f aca="false">IF(G576&gt;0,IF(INDEX(CONFIRM!$F$5:$F$53,G576)&lt;&gt;"",INDEX(CONFIRM!$F$5:$F$53,G576),IF(ISNUMBER(Q576),Q576,IF(Q576="","",IFERROR(VALUE(TRIM(SUBSTITUTE(SUBSTITUTE(LOWER(Q576),"hrs",""),"hr",""))),"")))),IF(ISNUMBER(Q576),Q576,IF(Q576="","",IFERROR(VALUE(TRIM(SUBSTITUTE(SUBSTITUTE(LOWER(Q576),"hrs",""),"hr",""))),""))))</f>
        <v>147.75</v>
      </c>
      <c r="S576" s="57" t="n">
        <f aca="false">IFERROR(INDEX(RATES!$E$6:$E$28,MATCH(P576,RATES!$A$6:$A$28,0)),0)</f>
        <v>62.965</v>
      </c>
      <c r="T576" s="61" t="n">
        <f aca="false">IF(ISNUMBER(R576),R576,0)*S576</f>
        <v>9303.07875</v>
      </c>
      <c r="U576" s="61" t="n">
        <f aca="false">T576*INDEX(INPUTS!$H$10:$H$14,MATCH(B576,INPUTS!$A$10:$A$14,0))</f>
        <v>1507.0987575</v>
      </c>
      <c r="V576" s="61" t="n">
        <f aca="false">N(STACK!K576)</f>
        <v>315</v>
      </c>
      <c r="W576" s="61" t="n">
        <f aca="false">T576+U576+V576</f>
        <v>11125.1775075</v>
      </c>
      <c r="X576" s="61" t="n">
        <f aca="false">N(STACK!L576)</f>
        <v>0</v>
      </c>
      <c r="Y576" s="61" t="n">
        <f aca="false">W576-X576</f>
        <v>11125.1775075</v>
      </c>
      <c r="Z576" s="1" t="n">
        <f aca="false">N(STACK!J576)</f>
        <v>27</v>
      </c>
      <c r="AA576" s="1" t="str">
        <f aca="false">TRIM(IF(D576="UNMAPPED","Program not mapped. ","")&amp;IF(OR(K576="UNMAPPED",K576="UNASSIGNED"),"Category needs review. ","")&amp;IF(P576="UNMAPPED","Title not mapped. ","")&amp;IF(AND(P576&lt;&gt;"No staff time",R576=""),"Missing hours. ","")&amp;IF(M576="","Date not readable. ","")&amp;IF(N576="No","Outside fiscal year. ","")&amp;IF(AND(F576="Event",ISNUMBER(R576)),IF(R576&gt;12,"Event hours look high. ",""),"")&amp;IF(G576&gt;0,"See CONFIRM sheet.",""))</f>
        <v/>
      </c>
      <c r="AB576" s="1" t="n">
        <f aca="false">IF(N576="No",0,IF(REVIEW!O576=0,0,IF(G576&gt;0,IF(INDEX(CONFIRM!$J$5:$J$53,G576)&lt;&gt;"",INDEX(CONFIRM!$J$5:$J$53,G576),1),1)))</f>
        <v>1</v>
      </c>
      <c r="AC576" s="1" t="n">
        <f aca="false">IF(AB576=1,IF(COUNTIFS($B$5:B576,B576,$D$5:D576,D576,$AB$5:AB576,1)=1,1,0),0)</f>
        <v>0</v>
      </c>
    </row>
    <row r="577" customFormat="false" ht="15" hidden="false" customHeight="false" outlineLevel="0" collapsed="false">
      <c r="A577" s="48" t="str">
        <f aca="false">STACK!A577</f>
        <v>ASH-0044</v>
      </c>
      <c r="B577" s="48" t="str">
        <f aca="false">STACK!B577</f>
        <v>ASH</v>
      </c>
      <c r="C577" s="48" t="str">
        <f aca="false">STACK!E577</f>
        <v>Nursing Clinicals</v>
      </c>
      <c r="D577" s="1" t="str">
        <f aca="false">IFERROR(INDEX(MAP!$J$7:$J$101,MATCH(TRIM(C577),MAP!$I$7:$I$101,0)),"UNMAPPED")</f>
        <v>Nursing Student Clinical Rotations</v>
      </c>
      <c r="E577" s="1" t="str">
        <f aca="false">IFERROR(INDEX(MAP!$K$7:$K$101,MATCH(TRIM(C577),MAP!$I$7:$I$101,0)),"")</f>
        <v>Health workforce</v>
      </c>
      <c r="F577" s="1" t="str">
        <f aca="false">IFERROR(INDEX(MAP!$L$7:$L$101,MATCH(TRIM(C577),MAP!$I$7:$I$101,0)),"")</f>
        <v>Monthly</v>
      </c>
      <c r="G577" s="1" t="n">
        <f aca="false">IFERROR(MATCH(A577,CONFIRM!$A$5:$A$53,0),0)</f>
        <v>0</v>
      </c>
      <c r="H577" s="48" t="str">
        <f aca="false">STACK!F577</f>
        <v>HPE</v>
      </c>
      <c r="I577" s="1" t="str">
        <f aca="false">IF(G577&gt;0,IF(INDEX(CONFIRM!$I$5:$I$53,G577)&lt;&gt;"",INDEX(CONFIRM!$I$5:$I$53,G577),H577),H577)</f>
        <v>HPE</v>
      </c>
      <c r="J577" s="1" t="str">
        <f aca="false">IFERROR(INDEX(MAP!$F$7:$F$74,MATCH(TRIM(I577),MAP!$E$7:$E$74,0)),"UNMAPPED")</f>
        <v>Health professions education</v>
      </c>
      <c r="K577" s="1" t="str">
        <f aca="false">IFERROR(INDEX(MAP!$G$7:$G$74,MATCH(TRIM(I577),MAP!$E$7:$E$74,0)),"UNMAPPED")</f>
        <v>7f</v>
      </c>
      <c r="L577" s="49" t="str">
        <f aca="false">STACK!G577</f>
        <v>08/31/2025</v>
      </c>
      <c r="M577" s="59" t="n">
        <f aca="false">IF(G577&gt;0,IF(INDEX(CONFIRM!$G$5:$G$53,G577)&lt;&gt;"",INDEX(CONFIRM!$G$5:$G$53,G577),IF(ISNUMBER(L577),L577,IFERROR(DATEVALUE(L577),""))),IF(ISNUMBER(L577),L577,IFERROR(DATEVALUE(L577),"")))</f>
        <v>45900</v>
      </c>
      <c r="N577" s="1" t="str">
        <f aca="false">IF(M577="","Check",IF(AND(M577&gt;=INPUTS!$C$6,M577&lt;=INPUTS!$C$7),"Yes","No"))</f>
        <v>Yes</v>
      </c>
      <c r="O577" s="48" t="str">
        <f aca="false">STACK!H577</f>
        <v>Staff RN </v>
      </c>
      <c r="P577" s="1" t="str">
        <f aca="false">IF(G577&gt;0,IF(INDEX(CONFIRM!$H$5:$H$53,G577)&lt;&gt;"",INDEX(CONFIRM!$H$5:$H$53,G577),IFERROR(INDEX(MAP!$B$7:$B$156,MATCH(TRIM(O577),MAP!$A$7:$A$156,0)),"UNMAPPED")),IFERROR(INDEX(MAP!$B$7:$B$156,MATCH(TRIM(O577),MAP!$A$7:$A$156,0)),"UNMAPPED"))</f>
        <v>Registered Nurse</v>
      </c>
      <c r="Q577" s="48" t="n">
        <f aca="false">STACK!I577</f>
        <v>195.75</v>
      </c>
      <c r="R577" s="60" t="n">
        <f aca="false">IF(G577&gt;0,IF(INDEX(CONFIRM!$F$5:$F$53,G577)&lt;&gt;"",INDEX(CONFIRM!$F$5:$F$53,G577),IF(ISNUMBER(Q577),Q577,IF(Q577="","",IFERROR(VALUE(TRIM(SUBSTITUTE(SUBSTITUTE(LOWER(Q577),"hrs",""),"hr",""))),"")))),IF(ISNUMBER(Q577),Q577,IF(Q577="","",IFERROR(VALUE(TRIM(SUBSTITUTE(SUBSTITUTE(LOWER(Q577),"hrs",""),"hr",""))),""))))</f>
        <v>195.75</v>
      </c>
      <c r="S577" s="57" t="n">
        <f aca="false">IFERROR(INDEX(RATES!$E$6:$E$28,MATCH(P577,RATES!$A$6:$A$28,0)),0)</f>
        <v>55.8975</v>
      </c>
      <c r="T577" s="61" t="n">
        <f aca="false">IF(ISNUMBER(R577),R577,0)*S577</f>
        <v>10941.935625</v>
      </c>
      <c r="U577" s="61" t="n">
        <f aca="false">T577*INDEX(INPUTS!$H$10:$H$14,MATCH(B577,INPUTS!$A$10:$A$14,0))</f>
        <v>1772.59357125</v>
      </c>
      <c r="V577" s="61" t="n">
        <f aca="false">N(STACK!K577)</f>
        <v>0</v>
      </c>
      <c r="W577" s="61" t="n">
        <f aca="false">T577+U577+V577</f>
        <v>12714.52919625</v>
      </c>
      <c r="X577" s="61" t="n">
        <f aca="false">N(STACK!L577)</f>
        <v>0</v>
      </c>
      <c r="Y577" s="61" t="n">
        <f aca="false">W577-X577</f>
        <v>12714.52919625</v>
      </c>
      <c r="Z577" s="1" t="n">
        <f aca="false">N(STACK!J577)</f>
        <v>0</v>
      </c>
      <c r="AA577" s="1" t="str">
        <f aca="false">TRIM(IF(D577="UNMAPPED","Program not mapped. ","")&amp;IF(OR(K577="UNMAPPED",K577="UNASSIGNED"),"Category needs review. ","")&amp;IF(P577="UNMAPPED","Title not mapped. ","")&amp;IF(AND(P577&lt;&gt;"No staff time",R577=""),"Missing hours. ","")&amp;IF(M577="","Date not readable. ","")&amp;IF(N577="No","Outside fiscal year. ","")&amp;IF(AND(F577="Event",ISNUMBER(R577)),IF(R577&gt;12,"Event hours look high. ",""),"")&amp;IF(G577&gt;0,"See CONFIRM sheet.",""))</f>
        <v/>
      </c>
      <c r="AB577" s="1" t="n">
        <f aca="false">IF(N577="No",0,IF(REVIEW!O577=0,0,IF(G577&gt;0,IF(INDEX(CONFIRM!$J$5:$J$53,G577)&lt;&gt;"",INDEX(CONFIRM!$J$5:$J$53,G577),1),1)))</f>
        <v>1</v>
      </c>
      <c r="AC577" s="1" t="n">
        <f aca="false">IF(AB577=1,IF(COUNTIFS($B$5:B577,B577,$D$5:D577,D577,$AB$5:AB577,1)=1,1,0),0)</f>
        <v>0</v>
      </c>
    </row>
    <row r="578" customFormat="false" ht="15" hidden="false" customHeight="false" outlineLevel="0" collapsed="false">
      <c r="A578" s="48" t="str">
        <f aca="false">STACK!A578</f>
        <v>ASH-0045</v>
      </c>
      <c r="B578" s="48" t="str">
        <f aca="false">STACK!B578</f>
        <v>ASH</v>
      </c>
      <c r="C578" s="48" t="str">
        <f aca="false">STACK!E578</f>
        <v>Paramedic Students</v>
      </c>
      <c r="D578" s="1" t="str">
        <f aca="false">IFERROR(INDEX(MAP!$J$7:$J$101,MATCH(TRIM(C578),MAP!$I$7:$I$101,0)),"UNMAPPED")</f>
        <v>Paramedic Student Field Training</v>
      </c>
      <c r="E578" s="1" t="str">
        <f aca="false">IFERROR(INDEX(MAP!$K$7:$K$101,MATCH(TRIM(C578),MAP!$I$7:$I$101,0)),"")</f>
        <v>Health workforce</v>
      </c>
      <c r="F578" s="1" t="str">
        <f aca="false">IFERROR(INDEX(MAP!$L$7:$L$101,MATCH(TRIM(C578),MAP!$I$7:$I$101,0)),"")</f>
        <v>Monthly</v>
      </c>
      <c r="G578" s="1" t="n">
        <f aca="false">IFERROR(MATCH(A578,CONFIRM!$A$5:$A$53,0),0)</f>
        <v>0</v>
      </c>
      <c r="H578" s="48" t="str">
        <f aca="false">STACK!F578</f>
        <v>HPE</v>
      </c>
      <c r="I578" s="1" t="str">
        <f aca="false">IF(G578&gt;0,IF(INDEX(CONFIRM!$I$5:$I$53,G578)&lt;&gt;"",INDEX(CONFIRM!$I$5:$I$53,G578),H578),H578)</f>
        <v>HPE</v>
      </c>
      <c r="J578" s="1" t="str">
        <f aca="false">IFERROR(INDEX(MAP!$F$7:$F$74,MATCH(TRIM(I578),MAP!$E$7:$E$74,0)),"UNMAPPED")</f>
        <v>Health professions education</v>
      </c>
      <c r="K578" s="1" t="str">
        <f aca="false">IFERROR(INDEX(MAP!$G$7:$G$74,MATCH(TRIM(I578),MAP!$E$7:$E$74,0)),"UNMAPPED")</f>
        <v>7f</v>
      </c>
      <c r="L578" s="49" t="str">
        <f aca="false">STACK!G578</f>
        <v>08/31/2025</v>
      </c>
      <c r="M578" s="59" t="n">
        <f aca="false">IF(G578&gt;0,IF(INDEX(CONFIRM!$G$5:$G$53,G578)&lt;&gt;"",INDEX(CONFIRM!$G$5:$G$53,G578),IF(ISNUMBER(L578),L578,IFERROR(DATEVALUE(L578),""))),IF(ISNUMBER(L578),L578,IFERROR(DATEVALUE(L578),"")))</f>
        <v>45900</v>
      </c>
      <c r="N578" s="1" t="str">
        <f aca="false">IF(M578="","Check",IF(AND(M578&gt;=INPUTS!$C$6,M578&lt;=INPUTS!$C$7),"Yes","No"))</f>
        <v>Yes</v>
      </c>
      <c r="O578" s="48" t="str">
        <f aca="false">STACK!H578</f>
        <v>Paramedic</v>
      </c>
      <c r="P578" s="1" t="str">
        <f aca="false">IF(G578&gt;0,IF(INDEX(CONFIRM!$H$5:$H$53,G578)&lt;&gt;"",INDEX(CONFIRM!$H$5:$H$53,G578),IFERROR(INDEX(MAP!$B$7:$B$156,MATCH(TRIM(O578),MAP!$A$7:$A$156,0)),"UNMAPPED")),IFERROR(INDEX(MAP!$B$7:$B$156,MATCH(TRIM(O578),MAP!$A$7:$A$156,0)),"UNMAPPED"))</f>
        <v>Paramedic</v>
      </c>
      <c r="Q578" s="48" t="n">
        <f aca="false">STACK!I578</f>
        <v>56</v>
      </c>
      <c r="R578" s="60" t="n">
        <f aca="false">IF(G578&gt;0,IF(INDEX(CONFIRM!$F$5:$F$53,G578)&lt;&gt;"",INDEX(CONFIRM!$F$5:$F$53,G578),IF(ISNUMBER(Q578),Q578,IF(Q578="","",IFERROR(VALUE(TRIM(SUBSTITUTE(SUBSTITUTE(LOWER(Q578),"hrs",""),"hr",""))),"")))),IF(ISNUMBER(Q578),Q578,IF(Q578="","",IFERROR(VALUE(TRIM(SUBSTITUTE(SUBSTITUTE(LOWER(Q578),"hrs",""),"hr",""))),""))))</f>
        <v>56</v>
      </c>
      <c r="S578" s="57" t="n">
        <f aca="false">IFERROR(INDEX(RATES!$E$6:$E$28,MATCH(P578,RATES!$A$6:$A$28,0)),0)</f>
        <v>34.695</v>
      </c>
      <c r="T578" s="61" t="n">
        <f aca="false">IF(ISNUMBER(R578),R578,0)*S578</f>
        <v>1942.92</v>
      </c>
      <c r="U578" s="61" t="n">
        <f aca="false">T578*INDEX(INPUTS!$H$10:$H$14,MATCH(B578,INPUTS!$A$10:$A$14,0))</f>
        <v>314.75304</v>
      </c>
      <c r="V578" s="61" t="n">
        <f aca="false">N(STACK!K578)</f>
        <v>10</v>
      </c>
      <c r="W578" s="61" t="n">
        <f aca="false">T578+U578+V578</f>
        <v>2267.67304</v>
      </c>
      <c r="X578" s="61" t="n">
        <f aca="false">N(STACK!L578)</f>
        <v>0</v>
      </c>
      <c r="Y578" s="61" t="n">
        <f aca="false">W578-X578</f>
        <v>2267.67304</v>
      </c>
      <c r="Z578" s="1" t="n">
        <f aca="false">N(STACK!J578)</f>
        <v>6</v>
      </c>
      <c r="AA578" s="1" t="str">
        <f aca="false">TRIM(IF(D578="UNMAPPED","Program not mapped. ","")&amp;IF(OR(K578="UNMAPPED",K578="UNASSIGNED"),"Category needs review. ","")&amp;IF(P578="UNMAPPED","Title not mapped. ","")&amp;IF(AND(P578&lt;&gt;"No staff time",R578=""),"Missing hours. ","")&amp;IF(M578="","Date not readable. ","")&amp;IF(N578="No","Outside fiscal year. ","")&amp;IF(AND(F578="Event",ISNUMBER(R578)),IF(R578&gt;12,"Event hours look high. ",""),"")&amp;IF(G578&gt;0,"See CONFIRM sheet.",""))</f>
        <v/>
      </c>
      <c r="AB578" s="1" t="n">
        <f aca="false">IF(N578="No",0,IF(REVIEW!O578=0,0,IF(G578&gt;0,IF(INDEX(CONFIRM!$J$5:$J$53,G578)&lt;&gt;"",INDEX(CONFIRM!$J$5:$J$53,G578),1),1)))</f>
        <v>1</v>
      </c>
      <c r="AC578" s="1" t="n">
        <f aca="false">IF(AB578=1,IF(COUNTIFS($B$5:B578,B578,$D$5:D578,D578,$AB$5:AB578,1)=1,1,0),0)</f>
        <v>0</v>
      </c>
    </row>
    <row r="579" customFormat="false" ht="15" hidden="false" customHeight="false" outlineLevel="0" collapsed="false">
      <c r="A579" s="48" t="str">
        <f aca="false">STACK!A579</f>
        <v>ASH-0046</v>
      </c>
      <c r="B579" s="48" t="str">
        <f aca="false">STACK!B579</f>
        <v>ASH</v>
      </c>
      <c r="C579" s="48" t="str">
        <f aca="false">STACK!E579</f>
        <v>Housing Partnership</v>
      </c>
      <c r="D579" s="1" t="str">
        <f aca="false">IFERROR(INDEX(MAP!$J$7:$J$101,MATCH(TRIM(C579),MAP!$I$7:$I$101,0)),"UNMAPPED")</f>
        <v>Affordable Housing Partnership</v>
      </c>
      <c r="E579" s="1" t="str">
        <f aca="false">IFERROR(INDEX(MAP!$K$7:$K$101,MATCH(TRIM(C579),MAP!$I$7:$I$101,0)),"")</f>
        <v>Food and housing security</v>
      </c>
      <c r="F579" s="1" t="str">
        <f aca="false">IFERROR(INDEX(MAP!$L$7:$L$101,MATCH(TRIM(C579),MAP!$I$7:$I$101,0)),"")</f>
        <v>Event</v>
      </c>
      <c r="G579" s="1" t="n">
        <f aca="false">IFERROR(MATCH(A579,CONFIRM!$A$5:$A$53,0),0)</f>
        <v>0</v>
      </c>
      <c r="H579" s="48" t="str">
        <f aca="false">STACK!F579</f>
        <v>CB-Housing</v>
      </c>
      <c r="I579" s="1" t="str">
        <f aca="false">IF(G579&gt;0,IF(INDEX(CONFIRM!$I$5:$I$53,G579)&lt;&gt;"",INDEX(CONFIRM!$I$5:$I$53,G579),H579),H579)</f>
        <v>CB-Housing</v>
      </c>
      <c r="J579" s="1" t="str">
        <f aca="false">IFERROR(INDEX(MAP!$F$7:$F$74,MATCH(TRIM(I579),MAP!$E$7:$E$74,0)),"UNMAPPED")</f>
        <v>Community building: physical improvements and housing</v>
      </c>
      <c r="K579" s="1" t="str">
        <f aca="false">IFERROR(INDEX(MAP!$G$7:$G$74,MATCH(TRIM(I579),MAP!$E$7:$E$74,0)),"UNMAPPED")</f>
        <v>II-1</v>
      </c>
      <c r="L579" s="49" t="str">
        <f aca="false">STACK!G579</f>
        <v>09/03/2025</v>
      </c>
      <c r="M579" s="59" t="n">
        <f aca="false">IF(G579&gt;0,IF(INDEX(CONFIRM!$G$5:$G$53,G579)&lt;&gt;"",INDEX(CONFIRM!$G$5:$G$53,G579),IF(ISNUMBER(L579),L579,IFERROR(DATEVALUE(L579),""))),IF(ISNUMBER(L579),L579,IFERROR(DATEVALUE(L579),"")))</f>
        <v>45903</v>
      </c>
      <c r="N579" s="1" t="str">
        <f aca="false">IF(M579="","Check",IF(AND(M579&gt;=INPUTS!$C$6,M579&lt;=INPUTS!$C$7),"Yes","No"))</f>
        <v>Yes</v>
      </c>
      <c r="O579" s="48" t="str">
        <f aca="false">STACK!H579</f>
        <v>Director, Mission</v>
      </c>
      <c r="P579" s="1" t="str">
        <f aca="false">IF(G579&gt;0,IF(INDEX(CONFIRM!$H$5:$H$53,G579)&lt;&gt;"",INDEX(CONFIRM!$H$5:$H$53,G579),IFERROR(INDEX(MAP!$B$7:$B$156,MATCH(TRIM(O579),MAP!$A$7:$A$156,0)),"UNMAPPED")),IFERROR(INDEX(MAP!$B$7:$B$156,MATCH(TRIM(O579),MAP!$A$7:$A$156,0)),"UNMAPPED"))</f>
        <v>Director</v>
      </c>
      <c r="Q579" s="48" t="n">
        <f aca="false">STACK!I579</f>
        <v>5</v>
      </c>
      <c r="R579" s="60" t="n">
        <f aca="false">IF(G579&gt;0,IF(INDEX(CONFIRM!$F$5:$F$53,G579)&lt;&gt;"",INDEX(CONFIRM!$F$5:$F$53,G579),IF(ISNUMBER(Q579),Q579,IF(Q579="","",IFERROR(VALUE(TRIM(SUBSTITUTE(SUBSTITUTE(LOWER(Q579),"hrs",""),"hr",""))),"")))),IF(ISNUMBER(Q579),Q579,IF(Q579="","",IFERROR(VALUE(TRIM(SUBSTITUTE(SUBSTITUTE(LOWER(Q579),"hrs",""),"hr",""))),""))))</f>
        <v>5</v>
      </c>
      <c r="S579" s="57" t="n">
        <f aca="false">IFERROR(INDEX(RATES!$E$6:$E$28,MATCH(P579,RATES!$A$6:$A$28,0)),0)</f>
        <v>92.52</v>
      </c>
      <c r="T579" s="61" t="n">
        <f aca="false">IF(ISNUMBER(R579),R579,0)*S579</f>
        <v>462.6</v>
      </c>
      <c r="U579" s="61" t="n">
        <f aca="false">T579*INDEX(INPUTS!$H$10:$H$14,MATCH(B579,INPUTS!$A$10:$A$14,0))</f>
        <v>74.9412</v>
      </c>
      <c r="V579" s="61" t="n">
        <f aca="false">N(STACK!K579)</f>
        <v>74640</v>
      </c>
      <c r="W579" s="61" t="n">
        <f aca="false">T579+U579+V579</f>
        <v>75177.5412</v>
      </c>
      <c r="X579" s="61" t="n">
        <f aca="false">N(STACK!L579)</f>
        <v>0</v>
      </c>
      <c r="Y579" s="61" t="n">
        <f aca="false">W579-X579</f>
        <v>75177.5412</v>
      </c>
      <c r="Z579" s="1" t="n">
        <f aca="false">N(STACK!J579)</f>
        <v>0</v>
      </c>
      <c r="AA579" s="1" t="str">
        <f aca="false">TRIM(IF(D579="UNMAPPED","Program not mapped. ","")&amp;IF(OR(K579="UNMAPPED",K579="UNASSIGNED"),"Category needs review. ","")&amp;IF(P579="UNMAPPED","Title not mapped. ","")&amp;IF(AND(P579&lt;&gt;"No staff time",R579=""),"Missing hours. ","")&amp;IF(M579="","Date not readable. ","")&amp;IF(N579="No","Outside fiscal year. ","")&amp;IF(AND(F579="Event",ISNUMBER(R579)),IF(R579&gt;12,"Event hours look high. ",""),"")&amp;IF(G579&gt;0,"See CONFIRM sheet.",""))</f>
        <v/>
      </c>
      <c r="AB579" s="1" t="n">
        <f aca="false">IF(N579="No",0,IF(REVIEW!O579=0,0,IF(G579&gt;0,IF(INDEX(CONFIRM!$J$5:$J$53,G579)&lt;&gt;"",INDEX(CONFIRM!$J$5:$J$53,G579),1),1)))</f>
        <v>1</v>
      </c>
      <c r="AC579" s="1" t="n">
        <f aca="false">IF(AB579=1,IF(COUNTIFS($B$5:B579,B579,$D$5:D579,D579,$AB$5:AB579,1)=1,1,0),0)</f>
        <v>1</v>
      </c>
    </row>
    <row r="580" customFormat="false" ht="15" hidden="false" customHeight="false" outlineLevel="0" collapsed="false">
      <c r="A580" s="48" t="str">
        <f aca="false">STACK!A580</f>
        <v>ASH-0047</v>
      </c>
      <c r="B580" s="48" t="str">
        <f aca="false">STACK!B580</f>
        <v>ASH</v>
      </c>
      <c r="C580" s="48" t="str">
        <f aca="false">STACK!E580</f>
        <v>Housing Partnership</v>
      </c>
      <c r="D580" s="1" t="str">
        <f aca="false">IFERROR(INDEX(MAP!$J$7:$J$101,MATCH(TRIM(C580),MAP!$I$7:$I$101,0)),"UNMAPPED")</f>
        <v>Affordable Housing Partnership</v>
      </c>
      <c r="E580" s="1" t="str">
        <f aca="false">IFERROR(INDEX(MAP!$K$7:$K$101,MATCH(TRIM(C580),MAP!$I$7:$I$101,0)),"")</f>
        <v>Food and housing security</v>
      </c>
      <c r="F580" s="1" t="str">
        <f aca="false">IFERROR(INDEX(MAP!$L$7:$L$101,MATCH(TRIM(C580),MAP!$I$7:$I$101,0)),"")</f>
        <v>Event</v>
      </c>
      <c r="G580" s="1" t="n">
        <f aca="false">IFERROR(MATCH(A580,CONFIRM!$A$5:$A$53,0),0)</f>
        <v>0</v>
      </c>
      <c r="H580" s="48" t="str">
        <f aca="false">STACK!F580</f>
        <v>CB-Housing</v>
      </c>
      <c r="I580" s="1" t="str">
        <f aca="false">IF(G580&gt;0,IF(INDEX(CONFIRM!$I$5:$I$53,G580)&lt;&gt;"",INDEX(CONFIRM!$I$5:$I$53,G580),H580),H580)</f>
        <v>CB-Housing</v>
      </c>
      <c r="J580" s="1" t="str">
        <f aca="false">IFERROR(INDEX(MAP!$F$7:$F$74,MATCH(TRIM(I580),MAP!$E$7:$E$74,0)),"UNMAPPED")</f>
        <v>Community building: physical improvements and housing</v>
      </c>
      <c r="K580" s="1" t="str">
        <f aca="false">IFERROR(INDEX(MAP!$G$7:$G$74,MATCH(TRIM(I580),MAP!$E$7:$E$74,0)),"UNMAPPED")</f>
        <v>II-1</v>
      </c>
      <c r="L580" s="49" t="str">
        <f aca="false">STACK!G580</f>
        <v>09/03/2025</v>
      </c>
      <c r="M580" s="59" t="n">
        <f aca="false">IF(G580&gt;0,IF(INDEX(CONFIRM!$G$5:$G$53,G580)&lt;&gt;"",INDEX(CONFIRM!$G$5:$G$53,G580),IF(ISNUMBER(L580),L580,IFERROR(DATEVALUE(L580),""))),IF(ISNUMBER(L580),L580,IFERROR(DATEVALUE(L580),"")))</f>
        <v>45903</v>
      </c>
      <c r="N580" s="1" t="str">
        <f aca="false">IF(M580="","Check",IF(AND(M580&gt;=INPUTS!$C$6,M580&lt;=INPUTS!$C$7),"Yes","No"))</f>
        <v>Yes</v>
      </c>
      <c r="O580" s="48" t="str">
        <f aca="false">STACK!H580</f>
        <v>Residency Coordinator</v>
      </c>
      <c r="P580" s="1" t="str">
        <f aca="false">IF(G580&gt;0,IF(INDEX(CONFIRM!$H$5:$H$53,G580)&lt;&gt;"",INDEX(CONFIRM!$H$5:$H$53,G580),IFERROR(INDEX(MAP!$B$7:$B$156,MATCH(TRIM(O580),MAP!$A$7:$A$156,0)),"UNMAPPED")),IFERROR(INDEX(MAP!$B$7:$B$156,MATCH(TRIM(O580),MAP!$A$7:$A$156,0)),"UNMAPPED"))</f>
        <v>Program Coordinator</v>
      </c>
      <c r="Q580" s="48" t="n">
        <f aca="false">STACK!I580</f>
        <v>9.25</v>
      </c>
      <c r="R580" s="60" t="n">
        <f aca="false">IF(G580&gt;0,IF(INDEX(CONFIRM!$F$5:$F$53,G580)&lt;&gt;"",INDEX(CONFIRM!$F$5:$F$53,G580),IF(ISNUMBER(Q580),Q580,IF(Q580="","",IFERROR(VALUE(TRIM(SUBSTITUTE(SUBSTITUTE(LOWER(Q580),"hrs",""),"hr",""))),"")))),IF(ISNUMBER(Q580),Q580,IF(Q580="","",IFERROR(VALUE(TRIM(SUBSTITUTE(SUBSTITUTE(LOWER(Q580),"hrs",""),"hr",""))),""))))</f>
        <v>9.25</v>
      </c>
      <c r="S580" s="57" t="n">
        <f aca="false">IFERROR(INDEX(RATES!$E$6:$E$28,MATCH(P580,RATES!$A$6:$A$28,0)),0)</f>
        <v>35.3375</v>
      </c>
      <c r="T580" s="61" t="n">
        <f aca="false">IF(ISNUMBER(R580),R580,0)*S580</f>
        <v>326.871875</v>
      </c>
      <c r="U580" s="61" t="n">
        <f aca="false">T580*INDEX(INPUTS!$H$10:$H$14,MATCH(B580,INPUTS!$A$10:$A$14,0))</f>
        <v>52.95324375</v>
      </c>
      <c r="V580" s="61" t="n">
        <f aca="false">N(STACK!K580)</f>
        <v>0</v>
      </c>
      <c r="W580" s="61" t="n">
        <f aca="false">T580+U580+V580</f>
        <v>379.82511875</v>
      </c>
      <c r="X580" s="61" t="n">
        <f aca="false">N(STACK!L580)</f>
        <v>0</v>
      </c>
      <c r="Y580" s="61" t="n">
        <f aca="false">W580-X580</f>
        <v>379.82511875</v>
      </c>
      <c r="Z580" s="1" t="n">
        <f aca="false">N(STACK!J580)</f>
        <v>0</v>
      </c>
      <c r="AA580" s="1" t="str">
        <f aca="false">TRIM(IF(D580="UNMAPPED","Program not mapped. ","")&amp;IF(OR(K580="UNMAPPED",K580="UNASSIGNED"),"Category needs review. ","")&amp;IF(P580="UNMAPPED","Title not mapped. ","")&amp;IF(AND(P580&lt;&gt;"No staff time",R580=""),"Missing hours. ","")&amp;IF(M580="","Date not readable. ","")&amp;IF(N580="No","Outside fiscal year. ","")&amp;IF(AND(F580="Event",ISNUMBER(R580)),IF(R580&gt;12,"Event hours look high. ",""),"")&amp;IF(G580&gt;0,"See CONFIRM sheet.",""))</f>
        <v/>
      </c>
      <c r="AB580" s="1" t="n">
        <f aca="false">IF(N580="No",0,IF(REVIEW!O580=0,0,IF(G580&gt;0,IF(INDEX(CONFIRM!$J$5:$J$53,G580)&lt;&gt;"",INDEX(CONFIRM!$J$5:$J$53,G580),1),1)))</f>
        <v>1</v>
      </c>
      <c r="AC580" s="1" t="n">
        <f aca="false">IF(AB580=1,IF(COUNTIFS($B$5:B580,B580,$D$5:D580,D580,$AB$5:AB580,1)=1,1,0),0)</f>
        <v>0</v>
      </c>
    </row>
    <row r="581" customFormat="false" ht="15" hidden="false" customHeight="false" outlineLevel="0" collapsed="false">
      <c r="A581" s="48" t="str">
        <f aca="false">STACK!A581</f>
        <v>ASH-0048</v>
      </c>
      <c r="B581" s="48" t="str">
        <f aca="false">STACK!B581</f>
        <v>ASH</v>
      </c>
      <c r="C581" s="48" t="str">
        <f aca="false">STACK!E581</f>
        <v>Grief Support</v>
      </c>
      <c r="D581" s="1" t="str">
        <f aca="false">IFERROR(INDEX(MAP!$J$7:$J$101,MATCH(TRIM(C581),MAP!$I$7:$I$101,0)),"UNMAPPED")</f>
        <v>Grief Support Group</v>
      </c>
      <c r="E581" s="1" t="str">
        <f aca="false">IFERROR(INDEX(MAP!$K$7:$K$101,MATCH(TRIM(C581),MAP!$I$7:$I$101,0)),"")</f>
        <v>Behavioral health</v>
      </c>
      <c r="F581" s="1" t="str">
        <f aca="false">IFERROR(INDEX(MAP!$L$7:$L$101,MATCH(TRIM(C581),MAP!$I$7:$I$101,0)),"")</f>
        <v>Event</v>
      </c>
      <c r="G581" s="1" t="n">
        <f aca="false">IFERROR(MATCH(A581,CONFIRM!$A$5:$A$53,0),0)</f>
        <v>0</v>
      </c>
      <c r="H581" s="48" t="str">
        <f aca="false">STACK!F581</f>
        <v>Support Svcs</v>
      </c>
      <c r="I581" s="1" t="str">
        <f aca="false">IF(G581&gt;0,IF(INDEX(CONFIRM!$I$5:$I$53,G581)&lt;&gt;"",INDEX(CONFIRM!$I$5:$I$53,G581),H581),H581)</f>
        <v>Support Svcs</v>
      </c>
      <c r="J581" s="1" t="str">
        <f aca="false">IFERROR(INDEX(MAP!$F$7:$F$74,MATCH(TRIM(I581),MAP!$E$7:$E$74,0)),"UNMAPPED")</f>
        <v>Health care support services</v>
      </c>
      <c r="K581" s="1" t="str">
        <f aca="false">IFERROR(INDEX(MAP!$G$7:$G$74,MATCH(TRIM(I581),MAP!$E$7:$E$74,0)),"UNMAPPED")</f>
        <v>7e</v>
      </c>
      <c r="L581" s="49" t="str">
        <f aca="false">STACK!G581</f>
        <v>09/06/2025</v>
      </c>
      <c r="M581" s="59" t="n">
        <f aca="false">IF(G581&gt;0,IF(INDEX(CONFIRM!$G$5:$G$53,G581)&lt;&gt;"",INDEX(CONFIRM!$G$5:$G$53,G581),IF(ISNUMBER(L581),L581,IFERROR(DATEVALUE(L581),""))),IF(ISNUMBER(L581),L581,IFERROR(DATEVALUE(L581),"")))</f>
        <v>45906</v>
      </c>
      <c r="N581" s="1" t="str">
        <f aca="false">IF(M581="","Check",IF(AND(M581&gt;=INPUTS!$C$6,M581&lt;=INPUTS!$C$7),"Yes","No"))</f>
        <v>Yes</v>
      </c>
      <c r="O581" s="48" t="str">
        <f aca="false">STACK!H581</f>
        <v>STAFF CHAPLAIN</v>
      </c>
      <c r="P581" s="1" t="str">
        <f aca="false">IF(G581&gt;0,IF(INDEX(CONFIRM!$H$5:$H$53,G581)&lt;&gt;"",INDEX(CONFIRM!$H$5:$H$53,G581),IFERROR(INDEX(MAP!$B$7:$B$156,MATCH(TRIM(O581),MAP!$A$7:$A$156,0)),"UNMAPPED")),IFERROR(INDEX(MAP!$B$7:$B$156,MATCH(TRIM(O581),MAP!$A$7:$A$156,0)),"UNMAPPED"))</f>
        <v>Chaplain</v>
      </c>
      <c r="Q581" s="48" t="n">
        <f aca="false">STACK!I581</f>
        <v>2.25</v>
      </c>
      <c r="R581" s="60" t="n">
        <f aca="false">IF(G581&gt;0,IF(INDEX(CONFIRM!$F$5:$F$53,G581)&lt;&gt;"",INDEX(CONFIRM!$F$5:$F$53,G581),IF(ISNUMBER(Q581),Q581,IF(Q581="","",IFERROR(VALUE(TRIM(SUBSTITUTE(SUBSTITUTE(LOWER(Q581),"hrs",""),"hr",""))),"")))),IF(ISNUMBER(Q581),Q581,IF(Q581="","",IFERROR(VALUE(TRIM(SUBSTITUTE(SUBSTITUTE(LOWER(Q581),"hrs",""),"hr",""))),""))))</f>
        <v>2.25</v>
      </c>
      <c r="S581" s="57" t="n">
        <f aca="false">IFERROR(INDEX(RATES!$E$6:$E$28,MATCH(P581,RATES!$A$6:$A$28,0)),0)</f>
        <v>39.835</v>
      </c>
      <c r="T581" s="61" t="n">
        <f aca="false">IF(ISNUMBER(R581),R581,0)*S581</f>
        <v>89.62875</v>
      </c>
      <c r="U581" s="61" t="n">
        <f aca="false">T581*INDEX(INPUTS!$H$10:$H$14,MATCH(B581,INPUTS!$A$10:$A$14,0))</f>
        <v>14.5198575</v>
      </c>
      <c r="V581" s="61" t="n">
        <f aca="false">N(STACK!K581)</f>
        <v>45</v>
      </c>
      <c r="W581" s="61" t="n">
        <f aca="false">T581+U581+V581</f>
        <v>149.1486075</v>
      </c>
      <c r="X581" s="61" t="n">
        <f aca="false">N(STACK!L581)</f>
        <v>0</v>
      </c>
      <c r="Y581" s="61" t="n">
        <f aca="false">W581-X581</f>
        <v>149.1486075</v>
      </c>
      <c r="Z581" s="1" t="n">
        <f aca="false">N(STACK!J581)</f>
        <v>9</v>
      </c>
      <c r="AA581" s="1" t="str">
        <f aca="false">TRIM(IF(D581="UNMAPPED","Program not mapped. ","")&amp;IF(OR(K581="UNMAPPED",K581="UNASSIGNED"),"Category needs review. ","")&amp;IF(P581="UNMAPPED","Title not mapped. ","")&amp;IF(AND(P581&lt;&gt;"No staff time",R581=""),"Missing hours. ","")&amp;IF(M581="","Date not readable. ","")&amp;IF(N581="No","Outside fiscal year. ","")&amp;IF(AND(F581="Event",ISNUMBER(R581)),IF(R581&gt;12,"Event hours look high. ",""),"")&amp;IF(G581&gt;0,"See CONFIRM sheet.",""))</f>
        <v/>
      </c>
      <c r="AB581" s="1" t="n">
        <f aca="false">IF(N581="No",0,IF(REVIEW!O581=0,0,IF(G581&gt;0,IF(INDEX(CONFIRM!$J$5:$J$53,G581)&lt;&gt;"",INDEX(CONFIRM!$J$5:$J$53,G581),1),1)))</f>
        <v>1</v>
      </c>
      <c r="AC581" s="1" t="n">
        <f aca="false">IF(AB581=1,IF(COUNTIFS($B$5:B581,B581,$D$5:D581,D581,$AB$5:AB581,1)=1,1,0),0)</f>
        <v>0</v>
      </c>
    </row>
    <row r="582" customFormat="false" ht="15" hidden="false" customHeight="false" outlineLevel="0" collapsed="false">
      <c r="A582" s="48" t="str">
        <f aca="false">STACK!A582</f>
        <v>ASH-0049</v>
      </c>
      <c r="B582" s="48" t="str">
        <f aca="false">STACK!B582</f>
        <v>ASH</v>
      </c>
      <c r="C582" s="48" t="str">
        <f aca="false">STACK!E582</f>
        <v>Grief Support</v>
      </c>
      <c r="D582" s="1" t="str">
        <f aca="false">IFERROR(INDEX(MAP!$J$7:$J$101,MATCH(TRIM(C582),MAP!$I$7:$I$101,0)),"UNMAPPED")</f>
        <v>Grief Support Group</v>
      </c>
      <c r="E582" s="1" t="str">
        <f aca="false">IFERROR(INDEX(MAP!$K$7:$K$101,MATCH(TRIM(C582),MAP!$I$7:$I$101,0)),"")</f>
        <v>Behavioral health</v>
      </c>
      <c r="F582" s="1" t="str">
        <f aca="false">IFERROR(INDEX(MAP!$L$7:$L$101,MATCH(TRIM(C582),MAP!$I$7:$I$101,0)),"")</f>
        <v>Event</v>
      </c>
      <c r="G582" s="1" t="n">
        <f aca="false">IFERROR(MATCH(A582,CONFIRM!$A$5:$A$53,0),0)</f>
        <v>0</v>
      </c>
      <c r="H582" s="48" t="str">
        <f aca="false">STACK!F582</f>
        <v>Support Svcs</v>
      </c>
      <c r="I582" s="1" t="str">
        <f aca="false">IF(G582&gt;0,IF(INDEX(CONFIRM!$I$5:$I$53,G582)&lt;&gt;"",INDEX(CONFIRM!$I$5:$I$53,G582),H582),H582)</f>
        <v>Support Svcs</v>
      </c>
      <c r="J582" s="1" t="str">
        <f aca="false">IFERROR(INDEX(MAP!$F$7:$F$74,MATCH(TRIM(I582),MAP!$E$7:$E$74,0)),"UNMAPPED")</f>
        <v>Health care support services</v>
      </c>
      <c r="K582" s="1" t="str">
        <f aca="false">IFERROR(INDEX(MAP!$G$7:$G$74,MATCH(TRIM(I582),MAP!$E$7:$E$74,0)),"UNMAPPED")</f>
        <v>7e</v>
      </c>
      <c r="L582" s="49" t="str">
        <f aca="false">STACK!G582</f>
        <v>09/06/2025</v>
      </c>
      <c r="M582" s="59" t="n">
        <f aca="false">IF(G582&gt;0,IF(INDEX(CONFIRM!$G$5:$G$53,G582)&lt;&gt;"",INDEX(CONFIRM!$G$5:$G$53,G582),IF(ISNUMBER(L582),L582,IFERROR(DATEVALUE(L582),""))),IF(ISNUMBER(L582),L582,IFERROR(DATEVALUE(L582),"")))</f>
        <v>45906</v>
      </c>
      <c r="N582" s="1" t="str">
        <f aca="false">IF(M582="","Check",IF(AND(M582&gt;=INPUTS!$C$6,M582&lt;=INPUTS!$C$7),"Yes","No"))</f>
        <v>Yes</v>
      </c>
      <c r="O582" s="48" t="str">
        <f aca="false">STACK!H582</f>
        <v>LCSW</v>
      </c>
      <c r="P582" s="1" t="str">
        <f aca="false">IF(G582&gt;0,IF(INDEX(CONFIRM!$H$5:$H$53,G582)&lt;&gt;"",INDEX(CONFIRM!$H$5:$H$53,G582),IFERROR(INDEX(MAP!$B$7:$B$156,MATCH(TRIM(O582),MAP!$A$7:$A$156,0)),"UNMAPPED")),IFERROR(INDEX(MAP!$B$7:$B$156,MATCH(TRIM(O582),MAP!$A$7:$A$156,0)),"UNMAPPED"))</f>
        <v>Social Worker</v>
      </c>
      <c r="Q582" s="48" t="n">
        <f aca="false">STACK!I582</f>
        <v>1.5</v>
      </c>
      <c r="R582" s="60" t="n">
        <f aca="false">IF(G582&gt;0,IF(INDEX(CONFIRM!$F$5:$F$53,G582)&lt;&gt;"",INDEX(CONFIRM!$F$5:$F$53,G582),IF(ISNUMBER(Q582),Q582,IF(Q582="","",IFERROR(VALUE(TRIM(SUBSTITUTE(SUBSTITUTE(LOWER(Q582),"hrs",""),"hr",""))),"")))),IF(ISNUMBER(Q582),Q582,IF(Q582="","",IFERROR(VALUE(TRIM(SUBSTITUTE(SUBSTITUTE(LOWER(Q582),"hrs",""),"hr",""))),""))))</f>
        <v>1.5</v>
      </c>
      <c r="S582" s="57" t="n">
        <f aca="false">IFERROR(INDEX(RATES!$E$6:$E$28,MATCH(P582,RATES!$A$6:$A$28,0)),0)</f>
        <v>45.6175</v>
      </c>
      <c r="T582" s="61" t="n">
        <f aca="false">IF(ISNUMBER(R582),R582,0)*S582</f>
        <v>68.42625</v>
      </c>
      <c r="U582" s="61" t="n">
        <f aca="false">T582*INDEX(INPUTS!$H$10:$H$14,MATCH(B582,INPUTS!$A$10:$A$14,0))</f>
        <v>11.0850525</v>
      </c>
      <c r="V582" s="61" t="n">
        <f aca="false">N(STACK!K582)</f>
        <v>0</v>
      </c>
      <c r="W582" s="61" t="n">
        <f aca="false">T582+U582+V582</f>
        <v>79.5113025</v>
      </c>
      <c r="X582" s="61" t="n">
        <f aca="false">N(STACK!L582)</f>
        <v>0</v>
      </c>
      <c r="Y582" s="61" t="n">
        <f aca="false">W582-X582</f>
        <v>79.5113025</v>
      </c>
      <c r="Z582" s="1" t="n">
        <f aca="false">N(STACK!J582)</f>
        <v>0</v>
      </c>
      <c r="AA582" s="1" t="str">
        <f aca="false">TRIM(IF(D582="UNMAPPED","Program not mapped. ","")&amp;IF(OR(K582="UNMAPPED",K582="UNASSIGNED"),"Category needs review. ","")&amp;IF(P582="UNMAPPED","Title not mapped. ","")&amp;IF(AND(P582&lt;&gt;"No staff time",R582=""),"Missing hours. ","")&amp;IF(M582="","Date not readable. ","")&amp;IF(N582="No","Outside fiscal year. ","")&amp;IF(AND(F582="Event",ISNUMBER(R582)),IF(R582&gt;12,"Event hours look high. ",""),"")&amp;IF(G582&gt;0,"See CONFIRM sheet.",""))</f>
        <v/>
      </c>
      <c r="AB582" s="1" t="n">
        <f aca="false">IF(N582="No",0,IF(REVIEW!O582=0,0,IF(G582&gt;0,IF(INDEX(CONFIRM!$J$5:$J$53,G582)&lt;&gt;"",INDEX(CONFIRM!$J$5:$J$53,G582),1),1)))</f>
        <v>1</v>
      </c>
      <c r="AC582" s="1" t="n">
        <f aca="false">IF(AB582=1,IF(COUNTIFS($B$5:B582,B582,$D$5:D582,D582,$AB$5:AB582,1)=1,1,0),0)</f>
        <v>0</v>
      </c>
    </row>
    <row r="583" customFormat="false" ht="15" hidden="false" customHeight="false" outlineLevel="0" collapsed="false">
      <c r="A583" s="48" t="str">
        <f aca="false">STACK!A583</f>
        <v>ASH-0050</v>
      </c>
      <c r="B583" s="48" t="str">
        <f aca="false">STACK!B583</f>
        <v>ASH</v>
      </c>
      <c r="C583" s="48" t="str">
        <f aca="false">STACK!E583</f>
        <v>Regional Health Coalition Mtg</v>
      </c>
      <c r="D583" s="1" t="str">
        <f aca="false">IFERROR(INDEX(MAP!$J$7:$J$101,MATCH(TRIM(C583),MAP!$I$7:$I$101,0)),"UNMAPPED")</f>
        <v>Regional Health Coalition</v>
      </c>
      <c r="E583" s="1" t="str">
        <f aca="false">IFERROR(INDEX(MAP!$K$7:$K$101,MATCH(TRIM(C583),MAP!$I$7:$I$101,0)),"")</f>
        <v>Community benefit infrastructure</v>
      </c>
      <c r="F583" s="1" t="str">
        <f aca="false">IFERROR(INDEX(MAP!$L$7:$L$101,MATCH(TRIM(C583),MAP!$I$7:$I$101,0)),"")</f>
        <v>Event</v>
      </c>
      <c r="G583" s="1" t="n">
        <f aca="false">IFERROR(MATCH(A583,CONFIRM!$A$5:$A$53,0),0)</f>
        <v>0</v>
      </c>
      <c r="H583" s="48" t="str">
        <f aca="false">STACK!F583</f>
        <v>CB-Coalition Bldg</v>
      </c>
      <c r="I583" s="1" t="str">
        <f aca="false">IF(G583&gt;0,IF(INDEX(CONFIRM!$I$5:$I$53,G583)&lt;&gt;"",INDEX(CONFIRM!$I$5:$I$53,G583),H583),H583)</f>
        <v>CB-Coalition Bldg</v>
      </c>
      <c r="J583" s="1" t="str">
        <f aca="false">IFERROR(INDEX(MAP!$F$7:$F$74,MATCH(TRIM(I583),MAP!$E$7:$E$74,0)),"UNMAPPED")</f>
        <v>Community building: coalition building</v>
      </c>
      <c r="K583" s="1" t="str">
        <f aca="false">IFERROR(INDEX(MAP!$G$7:$G$74,MATCH(TRIM(I583),MAP!$E$7:$E$74,0)),"UNMAPPED")</f>
        <v>II-6</v>
      </c>
      <c r="L583" s="49" t="str">
        <f aca="false">STACK!G583</f>
        <v>09/06/2025</v>
      </c>
      <c r="M583" s="59" t="n">
        <f aca="false">IF(G583&gt;0,IF(INDEX(CONFIRM!$G$5:$G$53,G583)&lt;&gt;"",INDEX(CONFIRM!$G$5:$G$53,G583),IF(ISNUMBER(L583),L583,IFERROR(DATEVALUE(L583),""))),IF(ISNUMBER(L583),L583,IFERROR(DATEVALUE(L583),"")))</f>
        <v>45906</v>
      </c>
      <c r="N583" s="1" t="str">
        <f aca="false">IF(M583="","Check",IF(AND(M583&gt;=INPUTS!$C$6,M583&lt;=INPUTS!$C$7),"Yes","No"))</f>
        <v>Yes</v>
      </c>
      <c r="O583" s="48" t="str">
        <f aca="false">STACK!H583</f>
        <v>Community Benefit Mgr</v>
      </c>
      <c r="P583" s="1" t="str">
        <f aca="false">IF(G583&gt;0,IF(INDEX(CONFIRM!$H$5:$H$53,G583)&lt;&gt;"",INDEX(CONFIRM!$H$5:$H$53,G583),IFERROR(INDEX(MAP!$B$7:$B$156,MATCH(TRIM(O583),MAP!$A$7:$A$156,0)),"UNMAPPED")),IFERROR(INDEX(MAP!$B$7:$B$156,MATCH(TRIM(O583),MAP!$A$7:$A$156,0)),"UNMAPPED"))</f>
        <v>Community Benefit Manager</v>
      </c>
      <c r="Q583" s="48" t="n">
        <f aca="false">STACK!I583</f>
        <v>2</v>
      </c>
      <c r="R583" s="60" t="n">
        <f aca="false">IF(G583&gt;0,IF(INDEX(CONFIRM!$F$5:$F$53,G583)&lt;&gt;"",INDEX(CONFIRM!$F$5:$F$53,G583),IF(ISNUMBER(Q583),Q583,IF(Q583="","",IFERROR(VALUE(TRIM(SUBSTITUTE(SUBSTITUTE(LOWER(Q583),"hrs",""),"hr",""))),"")))),IF(ISNUMBER(Q583),Q583,IF(Q583="","",IFERROR(VALUE(TRIM(SUBSTITUTE(SUBSTITUTE(LOWER(Q583),"hrs",""),"hr",""))),""))))</f>
        <v>2</v>
      </c>
      <c r="S583" s="57" t="n">
        <f aca="false">IFERROR(INDEX(RATES!$E$6:$E$28,MATCH(P583,RATES!$A$6:$A$28,0)),0)</f>
        <v>59.11</v>
      </c>
      <c r="T583" s="61" t="n">
        <f aca="false">IF(ISNUMBER(R583),R583,0)*S583</f>
        <v>118.22</v>
      </c>
      <c r="U583" s="61" t="n">
        <f aca="false">T583*INDEX(INPUTS!$H$10:$H$14,MATCH(B583,INPUTS!$A$10:$A$14,0))</f>
        <v>19.15164</v>
      </c>
      <c r="V583" s="61" t="n">
        <f aca="false">N(STACK!K583)</f>
        <v>0</v>
      </c>
      <c r="W583" s="61" t="n">
        <f aca="false">T583+U583+V583</f>
        <v>137.37164</v>
      </c>
      <c r="X583" s="61" t="n">
        <f aca="false">N(STACK!L583)</f>
        <v>0</v>
      </c>
      <c r="Y583" s="61" t="n">
        <f aca="false">W583-X583</f>
        <v>137.37164</v>
      </c>
      <c r="Z583" s="1" t="n">
        <f aca="false">N(STACK!J583)</f>
        <v>0</v>
      </c>
      <c r="AA583" s="1" t="str">
        <f aca="false">TRIM(IF(D583="UNMAPPED","Program not mapped. ","")&amp;IF(OR(K583="UNMAPPED",K583="UNASSIGNED"),"Category needs review. ","")&amp;IF(P583="UNMAPPED","Title not mapped. ","")&amp;IF(AND(P583&lt;&gt;"No staff time",R583=""),"Missing hours. ","")&amp;IF(M583="","Date not readable. ","")&amp;IF(N583="No","Outside fiscal year. ","")&amp;IF(AND(F583="Event",ISNUMBER(R583)),IF(R583&gt;12,"Event hours look high. ",""),"")&amp;IF(G583&gt;0,"See CONFIRM sheet.",""))</f>
        <v/>
      </c>
      <c r="AB583" s="1" t="n">
        <f aca="false">IF(N583="No",0,IF(REVIEW!O583=0,0,IF(G583&gt;0,IF(INDEX(CONFIRM!$J$5:$J$53,G583)&lt;&gt;"",INDEX(CONFIRM!$J$5:$J$53,G583),1),1)))</f>
        <v>1</v>
      </c>
      <c r="AC583" s="1" t="n">
        <f aca="false">IF(AB583=1,IF(COUNTIFS($B$5:B583,B583,$D$5:D583,D583,$AB$5:AB583,1)=1,1,0),0)</f>
        <v>1</v>
      </c>
    </row>
    <row r="584" customFormat="false" ht="15" hidden="false" customHeight="false" outlineLevel="0" collapsed="false">
      <c r="A584" s="48" t="str">
        <f aca="false">STACK!A584</f>
        <v>ASH-0051</v>
      </c>
      <c r="B584" s="48" t="str">
        <f aca="false">STACK!B584</f>
        <v>ASH</v>
      </c>
      <c r="C584" s="48" t="str">
        <f aca="false">STACK!E584</f>
        <v>Regional Health Coalition Mtg</v>
      </c>
      <c r="D584" s="1" t="str">
        <f aca="false">IFERROR(INDEX(MAP!$J$7:$J$101,MATCH(TRIM(C584),MAP!$I$7:$I$101,0)),"UNMAPPED")</f>
        <v>Regional Health Coalition</v>
      </c>
      <c r="E584" s="1" t="str">
        <f aca="false">IFERROR(INDEX(MAP!$K$7:$K$101,MATCH(TRIM(C584),MAP!$I$7:$I$101,0)),"")</f>
        <v>Community benefit infrastructure</v>
      </c>
      <c r="F584" s="1" t="str">
        <f aca="false">IFERROR(INDEX(MAP!$L$7:$L$101,MATCH(TRIM(C584),MAP!$I$7:$I$101,0)),"")</f>
        <v>Event</v>
      </c>
      <c r="G584" s="1" t="n">
        <f aca="false">IFERROR(MATCH(A584,CONFIRM!$A$5:$A$53,0),0)</f>
        <v>0</v>
      </c>
      <c r="H584" s="48" t="str">
        <f aca="false">STACK!F584</f>
        <v>CB-Coalition Bldg</v>
      </c>
      <c r="I584" s="1" t="str">
        <f aca="false">IF(G584&gt;0,IF(INDEX(CONFIRM!$I$5:$I$53,G584)&lt;&gt;"",INDEX(CONFIRM!$I$5:$I$53,G584),H584),H584)</f>
        <v>CB-Coalition Bldg</v>
      </c>
      <c r="J584" s="1" t="str">
        <f aca="false">IFERROR(INDEX(MAP!$F$7:$F$74,MATCH(TRIM(I584),MAP!$E$7:$E$74,0)),"UNMAPPED")</f>
        <v>Community building: coalition building</v>
      </c>
      <c r="K584" s="1" t="str">
        <f aca="false">IFERROR(INDEX(MAP!$G$7:$G$74,MATCH(TRIM(I584),MAP!$E$7:$E$74,0)),"UNMAPPED")</f>
        <v>II-6</v>
      </c>
      <c r="L584" s="49" t="str">
        <f aca="false">STACK!G584</f>
        <v>09/06/2025</v>
      </c>
      <c r="M584" s="59" t="n">
        <f aca="false">IF(G584&gt;0,IF(INDEX(CONFIRM!$G$5:$G$53,G584)&lt;&gt;"",INDEX(CONFIRM!$G$5:$G$53,G584),IF(ISNUMBER(L584),L584,IFERROR(DATEVALUE(L584),""))),IF(ISNUMBER(L584),L584,IFERROR(DATEVALUE(L584),"")))</f>
        <v>45906</v>
      </c>
      <c r="N584" s="1" t="str">
        <f aca="false">IF(M584="","Check",IF(AND(M584&gt;=INPUTS!$C$6,M584&lt;=INPUTS!$C$7),"Yes","No"))</f>
        <v>Yes</v>
      </c>
      <c r="O584" s="48" t="str">
        <f aca="false">STACK!H584</f>
        <v>Dir.</v>
      </c>
      <c r="P584" s="1" t="str">
        <f aca="false">IF(G584&gt;0,IF(INDEX(CONFIRM!$H$5:$H$53,G584)&lt;&gt;"",INDEX(CONFIRM!$H$5:$H$53,G584),IFERROR(INDEX(MAP!$B$7:$B$156,MATCH(TRIM(O584),MAP!$A$7:$A$156,0)),"UNMAPPED")),IFERROR(INDEX(MAP!$B$7:$B$156,MATCH(TRIM(O584),MAP!$A$7:$A$156,0)),"UNMAPPED"))</f>
        <v>Director</v>
      </c>
      <c r="Q584" s="48" t="n">
        <f aca="false">STACK!I584</f>
        <v>2.5</v>
      </c>
      <c r="R584" s="60" t="n">
        <f aca="false">IF(G584&gt;0,IF(INDEX(CONFIRM!$F$5:$F$53,G584)&lt;&gt;"",INDEX(CONFIRM!$F$5:$F$53,G584),IF(ISNUMBER(Q584),Q584,IF(Q584="","",IFERROR(VALUE(TRIM(SUBSTITUTE(SUBSTITUTE(LOWER(Q584),"hrs",""),"hr",""))),"")))),IF(ISNUMBER(Q584),Q584,IF(Q584="","",IFERROR(VALUE(TRIM(SUBSTITUTE(SUBSTITUTE(LOWER(Q584),"hrs",""),"hr",""))),""))))</f>
        <v>2.5</v>
      </c>
      <c r="S584" s="57" t="n">
        <f aca="false">IFERROR(INDEX(RATES!$E$6:$E$28,MATCH(P584,RATES!$A$6:$A$28,0)),0)</f>
        <v>92.52</v>
      </c>
      <c r="T584" s="61" t="n">
        <f aca="false">IF(ISNUMBER(R584),R584,0)*S584</f>
        <v>231.3</v>
      </c>
      <c r="U584" s="61" t="n">
        <f aca="false">T584*INDEX(INPUTS!$H$10:$H$14,MATCH(B584,INPUTS!$A$10:$A$14,0))</f>
        <v>37.4706</v>
      </c>
      <c r="V584" s="61" t="n">
        <f aca="false">N(STACK!K584)</f>
        <v>5</v>
      </c>
      <c r="W584" s="61" t="n">
        <f aca="false">T584+U584+V584</f>
        <v>273.7706</v>
      </c>
      <c r="X584" s="61" t="n">
        <f aca="false">N(STACK!L584)</f>
        <v>0</v>
      </c>
      <c r="Y584" s="61" t="n">
        <f aca="false">W584-X584</f>
        <v>273.7706</v>
      </c>
      <c r="Z584" s="1" t="n">
        <f aca="false">N(STACK!J584)</f>
        <v>0</v>
      </c>
      <c r="AA584" s="1" t="str">
        <f aca="false">TRIM(IF(D584="UNMAPPED","Program not mapped. ","")&amp;IF(OR(K584="UNMAPPED",K584="UNASSIGNED"),"Category needs review. ","")&amp;IF(P584="UNMAPPED","Title not mapped. ","")&amp;IF(AND(P584&lt;&gt;"No staff time",R584=""),"Missing hours. ","")&amp;IF(M584="","Date not readable. ","")&amp;IF(N584="No","Outside fiscal year. ","")&amp;IF(AND(F584="Event",ISNUMBER(R584)),IF(R584&gt;12,"Event hours look high. ",""),"")&amp;IF(G584&gt;0,"See CONFIRM sheet.",""))</f>
        <v/>
      </c>
      <c r="AB584" s="1" t="n">
        <f aca="false">IF(N584="No",0,IF(REVIEW!O584=0,0,IF(G584&gt;0,IF(INDEX(CONFIRM!$J$5:$J$53,G584)&lt;&gt;"",INDEX(CONFIRM!$J$5:$J$53,G584),1),1)))</f>
        <v>1</v>
      </c>
      <c r="AC584" s="1" t="n">
        <f aca="false">IF(AB584=1,IF(COUNTIFS($B$5:B584,B584,$D$5:D584,D584,$AB$5:AB584,1)=1,1,0),0)</f>
        <v>0</v>
      </c>
    </row>
    <row r="585" customFormat="false" ht="15" hidden="false" customHeight="false" outlineLevel="0" collapsed="false">
      <c r="A585" s="48" t="str">
        <f aca="false">STACK!A585</f>
        <v>ASH-0052</v>
      </c>
      <c r="B585" s="48" t="str">
        <f aca="false">STACK!B585</f>
        <v>ASH</v>
      </c>
      <c r="C585" s="48" t="str">
        <f aca="false">STACK!E585</f>
        <v>Grief Support</v>
      </c>
      <c r="D585" s="1" t="str">
        <f aca="false">IFERROR(INDEX(MAP!$J$7:$J$101,MATCH(TRIM(C585),MAP!$I$7:$I$101,0)),"UNMAPPED")</f>
        <v>Grief Support Group</v>
      </c>
      <c r="E585" s="1" t="str">
        <f aca="false">IFERROR(INDEX(MAP!$K$7:$K$101,MATCH(TRIM(C585),MAP!$I$7:$I$101,0)),"")</f>
        <v>Behavioral health</v>
      </c>
      <c r="F585" s="1" t="str">
        <f aca="false">IFERROR(INDEX(MAP!$L$7:$L$101,MATCH(TRIM(C585),MAP!$I$7:$I$101,0)),"")</f>
        <v>Event</v>
      </c>
      <c r="G585" s="1" t="n">
        <f aca="false">IFERROR(MATCH(A585,CONFIRM!$A$5:$A$53,0),0)</f>
        <v>0</v>
      </c>
      <c r="H585" s="48" t="str">
        <f aca="false">STACK!F585</f>
        <v>Support Svcs</v>
      </c>
      <c r="I585" s="1" t="str">
        <f aca="false">IF(G585&gt;0,IF(INDEX(CONFIRM!$I$5:$I$53,G585)&lt;&gt;"",INDEX(CONFIRM!$I$5:$I$53,G585),H585),H585)</f>
        <v>Support Svcs</v>
      </c>
      <c r="J585" s="1" t="str">
        <f aca="false">IFERROR(INDEX(MAP!$F$7:$F$74,MATCH(TRIM(I585),MAP!$E$7:$E$74,0)),"UNMAPPED")</f>
        <v>Health care support services</v>
      </c>
      <c r="K585" s="1" t="str">
        <f aca="false">IFERROR(INDEX(MAP!$G$7:$G$74,MATCH(TRIM(I585),MAP!$E$7:$E$74,0)),"UNMAPPED")</f>
        <v>7e</v>
      </c>
      <c r="L585" s="49" t="str">
        <f aca="false">STACK!G585</f>
        <v>09/13/2025</v>
      </c>
      <c r="M585" s="59" t="n">
        <f aca="false">IF(G585&gt;0,IF(INDEX(CONFIRM!$G$5:$G$53,G585)&lt;&gt;"",INDEX(CONFIRM!$G$5:$G$53,G585),IF(ISNUMBER(L585),L585,IFERROR(DATEVALUE(L585),""))),IF(ISNUMBER(L585),L585,IFERROR(DATEVALUE(L585),"")))</f>
        <v>45913</v>
      </c>
      <c r="N585" s="1" t="str">
        <f aca="false">IF(M585="","Check",IF(AND(M585&gt;=INPUTS!$C$6,M585&lt;=INPUTS!$C$7),"Yes","No"))</f>
        <v>Yes</v>
      </c>
      <c r="O585" s="48" t="str">
        <f aca="false">STACK!H585</f>
        <v>Staff Chaplain</v>
      </c>
      <c r="P585" s="1" t="str">
        <f aca="false">IF(G585&gt;0,IF(INDEX(CONFIRM!$H$5:$H$53,G585)&lt;&gt;"",INDEX(CONFIRM!$H$5:$H$53,G585),IFERROR(INDEX(MAP!$B$7:$B$156,MATCH(TRIM(O585),MAP!$A$7:$A$156,0)),"UNMAPPED")),IFERROR(INDEX(MAP!$B$7:$B$156,MATCH(TRIM(O585),MAP!$A$7:$A$156,0)),"UNMAPPED"))</f>
        <v>Chaplain</v>
      </c>
      <c r="Q585" s="48" t="n">
        <f aca="false">STACK!I585</f>
        <v>2.25</v>
      </c>
      <c r="R585" s="60" t="n">
        <f aca="false">IF(G585&gt;0,IF(INDEX(CONFIRM!$F$5:$F$53,G585)&lt;&gt;"",INDEX(CONFIRM!$F$5:$F$53,G585),IF(ISNUMBER(Q585),Q585,IF(Q585="","",IFERROR(VALUE(TRIM(SUBSTITUTE(SUBSTITUTE(LOWER(Q585),"hrs",""),"hr",""))),"")))),IF(ISNUMBER(Q585),Q585,IF(Q585="","",IFERROR(VALUE(TRIM(SUBSTITUTE(SUBSTITUTE(LOWER(Q585),"hrs",""),"hr",""))),""))))</f>
        <v>2.25</v>
      </c>
      <c r="S585" s="57" t="n">
        <f aca="false">IFERROR(INDEX(RATES!$E$6:$E$28,MATCH(P585,RATES!$A$6:$A$28,0)),0)</f>
        <v>39.835</v>
      </c>
      <c r="T585" s="61" t="n">
        <f aca="false">IF(ISNUMBER(R585),R585,0)*S585</f>
        <v>89.62875</v>
      </c>
      <c r="U585" s="61" t="n">
        <f aca="false">T585*INDEX(INPUTS!$H$10:$H$14,MATCH(B585,INPUTS!$A$10:$A$14,0))</f>
        <v>14.5198575</v>
      </c>
      <c r="V585" s="61" t="n">
        <f aca="false">N(STACK!K585)</f>
        <v>60</v>
      </c>
      <c r="W585" s="61" t="n">
        <f aca="false">T585+U585+V585</f>
        <v>164.1486075</v>
      </c>
      <c r="X585" s="61" t="n">
        <f aca="false">N(STACK!L585)</f>
        <v>0</v>
      </c>
      <c r="Y585" s="61" t="n">
        <f aca="false">W585-X585</f>
        <v>164.1486075</v>
      </c>
      <c r="Z585" s="1" t="n">
        <f aca="false">N(STACK!J585)</f>
        <v>15</v>
      </c>
      <c r="AA585" s="1" t="str">
        <f aca="false">TRIM(IF(D585="UNMAPPED","Program not mapped. ","")&amp;IF(OR(K585="UNMAPPED",K585="UNASSIGNED"),"Category needs review. ","")&amp;IF(P585="UNMAPPED","Title not mapped. ","")&amp;IF(AND(P585&lt;&gt;"No staff time",R585=""),"Missing hours. ","")&amp;IF(M585="","Date not readable. ","")&amp;IF(N585="No","Outside fiscal year. ","")&amp;IF(AND(F585="Event",ISNUMBER(R585)),IF(R585&gt;12,"Event hours look high. ",""),"")&amp;IF(G585&gt;0,"See CONFIRM sheet.",""))</f>
        <v/>
      </c>
      <c r="AB585" s="1" t="n">
        <f aca="false">IF(N585="No",0,IF(REVIEW!O585=0,0,IF(G585&gt;0,IF(INDEX(CONFIRM!$J$5:$J$53,G585)&lt;&gt;"",INDEX(CONFIRM!$J$5:$J$53,G585),1),1)))</f>
        <v>1</v>
      </c>
      <c r="AC585" s="1" t="n">
        <f aca="false">IF(AB585=1,IF(COUNTIFS($B$5:B585,B585,$D$5:D585,D585,$AB$5:AB585,1)=1,1,0),0)</f>
        <v>0</v>
      </c>
    </row>
    <row r="586" customFormat="false" ht="15" hidden="false" customHeight="false" outlineLevel="0" collapsed="false">
      <c r="A586" s="48" t="str">
        <f aca="false">STACK!A586</f>
        <v>ASH-0053</v>
      </c>
      <c r="B586" s="48" t="str">
        <f aca="false">STACK!B586</f>
        <v>ASH</v>
      </c>
      <c r="C586" s="48" t="str">
        <f aca="false">STACK!E586</f>
        <v>Grief Support</v>
      </c>
      <c r="D586" s="1" t="str">
        <f aca="false">IFERROR(INDEX(MAP!$J$7:$J$101,MATCH(TRIM(C586),MAP!$I$7:$I$101,0)),"UNMAPPED")</f>
        <v>Grief Support Group</v>
      </c>
      <c r="E586" s="1" t="str">
        <f aca="false">IFERROR(INDEX(MAP!$K$7:$K$101,MATCH(TRIM(C586),MAP!$I$7:$I$101,0)),"")</f>
        <v>Behavioral health</v>
      </c>
      <c r="F586" s="1" t="str">
        <f aca="false">IFERROR(INDEX(MAP!$L$7:$L$101,MATCH(TRIM(C586),MAP!$I$7:$I$101,0)),"")</f>
        <v>Event</v>
      </c>
      <c r="G586" s="1" t="n">
        <f aca="false">IFERROR(MATCH(A586,CONFIRM!$A$5:$A$53,0),0)</f>
        <v>0</v>
      </c>
      <c r="H586" s="48" t="str">
        <f aca="false">STACK!F586</f>
        <v>Support Svcs</v>
      </c>
      <c r="I586" s="1" t="str">
        <f aca="false">IF(G586&gt;0,IF(INDEX(CONFIRM!$I$5:$I$53,G586)&lt;&gt;"",INDEX(CONFIRM!$I$5:$I$53,G586),H586),H586)</f>
        <v>Support Svcs</v>
      </c>
      <c r="J586" s="1" t="str">
        <f aca="false">IFERROR(INDEX(MAP!$F$7:$F$74,MATCH(TRIM(I586),MAP!$E$7:$E$74,0)),"UNMAPPED")</f>
        <v>Health care support services</v>
      </c>
      <c r="K586" s="1" t="str">
        <f aca="false">IFERROR(INDEX(MAP!$G$7:$G$74,MATCH(TRIM(I586),MAP!$E$7:$E$74,0)),"UNMAPPED")</f>
        <v>7e</v>
      </c>
      <c r="L586" s="49" t="str">
        <f aca="false">STACK!G586</f>
        <v>09/13/2025</v>
      </c>
      <c r="M586" s="59" t="n">
        <f aca="false">IF(G586&gt;0,IF(INDEX(CONFIRM!$G$5:$G$53,G586)&lt;&gt;"",INDEX(CONFIRM!$G$5:$G$53,G586),IF(ISNUMBER(L586),L586,IFERROR(DATEVALUE(L586),""))),IF(ISNUMBER(L586),L586,IFERROR(DATEVALUE(L586),"")))</f>
        <v>45913</v>
      </c>
      <c r="N586" s="1" t="str">
        <f aca="false">IF(M586="","Check",IF(AND(M586&gt;=INPUTS!$C$6,M586&lt;=INPUTS!$C$7),"Yes","No"))</f>
        <v>Yes</v>
      </c>
      <c r="O586" s="48" t="str">
        <f aca="false">STACK!H586</f>
        <v>Social Worker</v>
      </c>
      <c r="P586" s="1" t="str">
        <f aca="false">IF(G586&gt;0,IF(INDEX(CONFIRM!$H$5:$H$53,G586)&lt;&gt;"",INDEX(CONFIRM!$H$5:$H$53,G586),IFERROR(INDEX(MAP!$B$7:$B$156,MATCH(TRIM(O586),MAP!$A$7:$A$156,0)),"UNMAPPED")),IFERROR(INDEX(MAP!$B$7:$B$156,MATCH(TRIM(O586),MAP!$A$7:$A$156,0)),"UNMAPPED"))</f>
        <v>Social Worker</v>
      </c>
      <c r="Q586" s="48" t="str">
        <f aca="false">STACK!I586</f>
        <v>1.75 hrs</v>
      </c>
      <c r="R586" s="60" t="n">
        <f aca="false">IF(G586&gt;0,IF(INDEX(CONFIRM!$F$5:$F$53,G586)&lt;&gt;"",INDEX(CONFIRM!$F$5:$F$53,G586),IF(ISNUMBER(Q586),Q586,IF(Q586="","",IFERROR(VALUE(TRIM(SUBSTITUTE(SUBSTITUTE(LOWER(Q586),"hrs",""),"hr",""))),"")))),IF(ISNUMBER(Q586),Q586,IF(Q586="","",IFERROR(VALUE(TRIM(SUBSTITUTE(SUBSTITUTE(LOWER(Q586),"hrs",""),"hr",""))),""))))</f>
        <v>1.75</v>
      </c>
      <c r="S586" s="57" t="n">
        <f aca="false">IFERROR(INDEX(RATES!$E$6:$E$28,MATCH(P586,RATES!$A$6:$A$28,0)),0)</f>
        <v>45.6175</v>
      </c>
      <c r="T586" s="61" t="n">
        <f aca="false">IF(ISNUMBER(R586),R586,0)*S586</f>
        <v>79.830625</v>
      </c>
      <c r="U586" s="61" t="n">
        <f aca="false">T586*INDEX(INPUTS!$H$10:$H$14,MATCH(B586,INPUTS!$A$10:$A$14,0))</f>
        <v>12.93256125</v>
      </c>
      <c r="V586" s="61" t="n">
        <f aca="false">N(STACK!K586)</f>
        <v>0</v>
      </c>
      <c r="W586" s="61" t="n">
        <f aca="false">T586+U586+V586</f>
        <v>92.76318625</v>
      </c>
      <c r="X586" s="61" t="n">
        <f aca="false">N(STACK!L586)</f>
        <v>0</v>
      </c>
      <c r="Y586" s="61" t="n">
        <f aca="false">W586-X586</f>
        <v>92.76318625</v>
      </c>
      <c r="Z586" s="1" t="n">
        <f aca="false">N(STACK!J586)</f>
        <v>0</v>
      </c>
      <c r="AA586" s="1" t="str">
        <f aca="false">TRIM(IF(D586="UNMAPPED","Program not mapped. ","")&amp;IF(OR(K586="UNMAPPED",K586="UNASSIGNED"),"Category needs review. ","")&amp;IF(P586="UNMAPPED","Title not mapped. ","")&amp;IF(AND(P586&lt;&gt;"No staff time",R586=""),"Missing hours. ","")&amp;IF(M586="","Date not readable. ","")&amp;IF(N586="No","Outside fiscal year. ","")&amp;IF(AND(F586="Event",ISNUMBER(R586)),IF(R586&gt;12,"Event hours look high. ",""),"")&amp;IF(G586&gt;0,"See CONFIRM sheet.",""))</f>
        <v/>
      </c>
      <c r="AB586" s="1" t="n">
        <f aca="false">IF(N586="No",0,IF(REVIEW!O586=0,0,IF(G586&gt;0,IF(INDEX(CONFIRM!$J$5:$J$53,G586)&lt;&gt;"",INDEX(CONFIRM!$J$5:$J$53,G586),1),1)))</f>
        <v>1</v>
      </c>
      <c r="AC586" s="1" t="n">
        <f aca="false">IF(AB586=1,IF(COUNTIFS($B$5:B586,B586,$D$5:D586,D586,$AB$5:AB586,1)=1,1,0),0)</f>
        <v>0</v>
      </c>
    </row>
    <row r="587" customFormat="false" ht="15" hidden="false" customHeight="false" outlineLevel="0" collapsed="false">
      <c r="A587" s="48" t="str">
        <f aca="false">STACK!A587</f>
        <v>ASH-0054</v>
      </c>
      <c r="B587" s="48" t="str">
        <f aca="false">STACK!B587</f>
        <v>ASH</v>
      </c>
      <c r="C587" s="48" t="str">
        <f aca="false">STACK!E587</f>
        <v>Grief Support</v>
      </c>
      <c r="D587" s="1" t="str">
        <f aca="false">IFERROR(INDEX(MAP!$J$7:$J$101,MATCH(TRIM(C587),MAP!$I$7:$I$101,0)),"UNMAPPED")</f>
        <v>Grief Support Group</v>
      </c>
      <c r="E587" s="1" t="str">
        <f aca="false">IFERROR(INDEX(MAP!$K$7:$K$101,MATCH(TRIM(C587),MAP!$I$7:$I$101,0)),"")</f>
        <v>Behavioral health</v>
      </c>
      <c r="F587" s="1" t="str">
        <f aca="false">IFERROR(INDEX(MAP!$L$7:$L$101,MATCH(TRIM(C587),MAP!$I$7:$I$101,0)),"")</f>
        <v>Event</v>
      </c>
      <c r="G587" s="1" t="n">
        <f aca="false">IFERROR(MATCH(A587,CONFIRM!$A$5:$A$53,0),0)</f>
        <v>0</v>
      </c>
      <c r="H587" s="48" t="str">
        <f aca="false">STACK!F587</f>
        <v>Support Svcs</v>
      </c>
      <c r="I587" s="1" t="str">
        <f aca="false">IF(G587&gt;0,IF(INDEX(CONFIRM!$I$5:$I$53,G587)&lt;&gt;"",INDEX(CONFIRM!$I$5:$I$53,G587),H587),H587)</f>
        <v>Support Svcs</v>
      </c>
      <c r="J587" s="1" t="str">
        <f aca="false">IFERROR(INDEX(MAP!$F$7:$F$74,MATCH(TRIM(I587),MAP!$E$7:$E$74,0)),"UNMAPPED")</f>
        <v>Health care support services</v>
      </c>
      <c r="K587" s="1" t="str">
        <f aca="false">IFERROR(INDEX(MAP!$G$7:$G$74,MATCH(TRIM(I587),MAP!$E$7:$E$74,0)),"UNMAPPED")</f>
        <v>7e</v>
      </c>
      <c r="L587" s="49" t="str">
        <f aca="false">STACK!G587</f>
        <v>09/18/2025</v>
      </c>
      <c r="M587" s="59" t="n">
        <f aca="false">IF(G587&gt;0,IF(INDEX(CONFIRM!$G$5:$G$53,G587)&lt;&gt;"",INDEX(CONFIRM!$G$5:$G$53,G587),IF(ISNUMBER(L587),L587,IFERROR(DATEVALUE(L587),""))),IF(ISNUMBER(L587),L587,IFERROR(DATEVALUE(L587),"")))</f>
        <v>45918</v>
      </c>
      <c r="N587" s="1" t="str">
        <f aca="false">IF(M587="","Check",IF(AND(M587&gt;=INPUTS!$C$6,M587&lt;=INPUTS!$C$7),"Yes","No"))</f>
        <v>Yes</v>
      </c>
      <c r="O587" s="48" t="str">
        <f aca="false">STACK!H587</f>
        <v>Spiritual Care</v>
      </c>
      <c r="P587" s="1" t="str">
        <f aca="false">IF(G587&gt;0,IF(INDEX(CONFIRM!$H$5:$H$53,G587)&lt;&gt;"",INDEX(CONFIRM!$H$5:$H$53,G587),IFERROR(INDEX(MAP!$B$7:$B$156,MATCH(TRIM(O587),MAP!$A$7:$A$156,0)),"UNMAPPED")),IFERROR(INDEX(MAP!$B$7:$B$156,MATCH(TRIM(O587),MAP!$A$7:$A$156,0)),"UNMAPPED"))</f>
        <v>Chaplain</v>
      </c>
      <c r="Q587" s="48" t="n">
        <f aca="false">STACK!I587</f>
        <v>2.5</v>
      </c>
      <c r="R587" s="60" t="n">
        <f aca="false">IF(G587&gt;0,IF(INDEX(CONFIRM!$F$5:$F$53,G587)&lt;&gt;"",INDEX(CONFIRM!$F$5:$F$53,G587),IF(ISNUMBER(Q587),Q587,IF(Q587="","",IFERROR(VALUE(TRIM(SUBSTITUTE(SUBSTITUTE(LOWER(Q587),"hrs",""),"hr",""))),"")))),IF(ISNUMBER(Q587),Q587,IF(Q587="","",IFERROR(VALUE(TRIM(SUBSTITUTE(SUBSTITUTE(LOWER(Q587),"hrs",""),"hr",""))),""))))</f>
        <v>2.5</v>
      </c>
      <c r="S587" s="57" t="n">
        <f aca="false">IFERROR(INDEX(RATES!$E$6:$E$28,MATCH(P587,RATES!$A$6:$A$28,0)),0)</f>
        <v>39.835</v>
      </c>
      <c r="T587" s="61" t="n">
        <f aca="false">IF(ISNUMBER(R587),R587,0)*S587</f>
        <v>99.5875</v>
      </c>
      <c r="U587" s="61" t="n">
        <f aca="false">T587*INDEX(INPUTS!$H$10:$H$14,MATCH(B587,INPUTS!$A$10:$A$14,0))</f>
        <v>16.133175</v>
      </c>
      <c r="V587" s="61" t="n">
        <f aca="false">N(STACK!K587)</f>
        <v>45</v>
      </c>
      <c r="W587" s="61" t="n">
        <f aca="false">T587+U587+V587</f>
        <v>160.720675</v>
      </c>
      <c r="X587" s="61" t="n">
        <f aca="false">N(STACK!L587)</f>
        <v>0</v>
      </c>
      <c r="Y587" s="61" t="n">
        <f aca="false">W587-X587</f>
        <v>160.720675</v>
      </c>
      <c r="Z587" s="1" t="n">
        <f aca="false">N(STACK!J587)</f>
        <v>15</v>
      </c>
      <c r="AA587" s="1" t="str">
        <f aca="false">TRIM(IF(D587="UNMAPPED","Program not mapped. ","")&amp;IF(OR(K587="UNMAPPED",K587="UNASSIGNED"),"Category needs review. ","")&amp;IF(P587="UNMAPPED","Title not mapped. ","")&amp;IF(AND(P587&lt;&gt;"No staff time",R587=""),"Missing hours. ","")&amp;IF(M587="","Date not readable. ","")&amp;IF(N587="No","Outside fiscal year. ","")&amp;IF(AND(F587="Event",ISNUMBER(R587)),IF(R587&gt;12,"Event hours look high. ",""),"")&amp;IF(G587&gt;0,"See CONFIRM sheet.",""))</f>
        <v/>
      </c>
      <c r="AB587" s="1" t="n">
        <f aca="false">IF(N587="No",0,IF(REVIEW!O587=0,0,IF(G587&gt;0,IF(INDEX(CONFIRM!$J$5:$J$53,G587)&lt;&gt;"",INDEX(CONFIRM!$J$5:$J$53,G587),1),1)))</f>
        <v>1</v>
      </c>
      <c r="AC587" s="1" t="n">
        <f aca="false">IF(AB587=1,IF(COUNTIFS($B$5:B587,B587,$D$5:D587,D587,$AB$5:AB587,1)=1,1,0),0)</f>
        <v>0</v>
      </c>
    </row>
    <row r="588" customFormat="false" ht="15" hidden="false" customHeight="false" outlineLevel="0" collapsed="false">
      <c r="A588" s="48" t="str">
        <f aca="false">STACK!A588</f>
        <v>ASH-0055</v>
      </c>
      <c r="B588" s="48" t="str">
        <f aca="false">STACK!B588</f>
        <v>ASH</v>
      </c>
      <c r="C588" s="48" t="str">
        <f aca="false">STACK!E588</f>
        <v>Grief Support</v>
      </c>
      <c r="D588" s="1" t="str">
        <f aca="false">IFERROR(INDEX(MAP!$J$7:$J$101,MATCH(TRIM(C588),MAP!$I$7:$I$101,0)),"UNMAPPED")</f>
        <v>Grief Support Group</v>
      </c>
      <c r="E588" s="1" t="str">
        <f aca="false">IFERROR(INDEX(MAP!$K$7:$K$101,MATCH(TRIM(C588),MAP!$I$7:$I$101,0)),"")</f>
        <v>Behavioral health</v>
      </c>
      <c r="F588" s="1" t="str">
        <f aca="false">IFERROR(INDEX(MAP!$L$7:$L$101,MATCH(TRIM(C588),MAP!$I$7:$I$101,0)),"")</f>
        <v>Event</v>
      </c>
      <c r="G588" s="1" t="n">
        <f aca="false">IFERROR(MATCH(A588,CONFIRM!$A$5:$A$53,0),0)</f>
        <v>0</v>
      </c>
      <c r="H588" s="48" t="str">
        <f aca="false">STACK!F588</f>
        <v>Support Svcs</v>
      </c>
      <c r="I588" s="1" t="str">
        <f aca="false">IF(G588&gt;0,IF(INDEX(CONFIRM!$I$5:$I$53,G588)&lt;&gt;"",INDEX(CONFIRM!$I$5:$I$53,G588),H588),H588)</f>
        <v>Support Svcs</v>
      </c>
      <c r="J588" s="1" t="str">
        <f aca="false">IFERROR(INDEX(MAP!$F$7:$F$74,MATCH(TRIM(I588),MAP!$E$7:$E$74,0)),"UNMAPPED")</f>
        <v>Health care support services</v>
      </c>
      <c r="K588" s="1" t="str">
        <f aca="false">IFERROR(INDEX(MAP!$G$7:$G$74,MATCH(TRIM(I588),MAP!$E$7:$E$74,0)),"UNMAPPED")</f>
        <v>7e</v>
      </c>
      <c r="L588" s="49" t="str">
        <f aca="false">STACK!G588</f>
        <v>09/18/2025</v>
      </c>
      <c r="M588" s="59" t="n">
        <f aca="false">IF(G588&gt;0,IF(INDEX(CONFIRM!$G$5:$G$53,G588)&lt;&gt;"",INDEX(CONFIRM!$G$5:$G$53,G588),IF(ISNUMBER(L588),L588,IFERROR(DATEVALUE(L588),""))),IF(ISNUMBER(L588),L588,IFERROR(DATEVALUE(L588),"")))</f>
        <v>45918</v>
      </c>
      <c r="N588" s="1" t="str">
        <f aca="false">IF(M588="","Check",IF(AND(M588&gt;=INPUTS!$C$6,M588&lt;=INPUTS!$C$7),"Yes","No"))</f>
        <v>Yes</v>
      </c>
      <c r="O588" s="48" t="str">
        <f aca="false">STACK!H588</f>
        <v>LCSW</v>
      </c>
      <c r="P588" s="1" t="str">
        <f aca="false">IF(G588&gt;0,IF(INDEX(CONFIRM!$H$5:$H$53,G588)&lt;&gt;"",INDEX(CONFIRM!$H$5:$H$53,G588),IFERROR(INDEX(MAP!$B$7:$B$156,MATCH(TRIM(O588),MAP!$A$7:$A$156,0)),"UNMAPPED")),IFERROR(INDEX(MAP!$B$7:$B$156,MATCH(TRIM(O588),MAP!$A$7:$A$156,0)),"UNMAPPED"))</f>
        <v>Social Worker</v>
      </c>
      <c r="Q588" s="48" t="n">
        <f aca="false">STACK!I588</f>
        <v>1.75</v>
      </c>
      <c r="R588" s="60" t="n">
        <f aca="false">IF(G588&gt;0,IF(INDEX(CONFIRM!$F$5:$F$53,G588)&lt;&gt;"",INDEX(CONFIRM!$F$5:$F$53,G588),IF(ISNUMBER(Q588),Q588,IF(Q588="","",IFERROR(VALUE(TRIM(SUBSTITUTE(SUBSTITUTE(LOWER(Q588),"hrs",""),"hr",""))),"")))),IF(ISNUMBER(Q588),Q588,IF(Q588="","",IFERROR(VALUE(TRIM(SUBSTITUTE(SUBSTITUTE(LOWER(Q588),"hrs",""),"hr",""))),""))))</f>
        <v>1.75</v>
      </c>
      <c r="S588" s="57" t="n">
        <f aca="false">IFERROR(INDEX(RATES!$E$6:$E$28,MATCH(P588,RATES!$A$6:$A$28,0)),0)</f>
        <v>45.6175</v>
      </c>
      <c r="T588" s="61" t="n">
        <f aca="false">IF(ISNUMBER(R588),R588,0)*S588</f>
        <v>79.830625</v>
      </c>
      <c r="U588" s="61" t="n">
        <f aca="false">T588*INDEX(INPUTS!$H$10:$H$14,MATCH(B588,INPUTS!$A$10:$A$14,0))</f>
        <v>12.93256125</v>
      </c>
      <c r="V588" s="61" t="n">
        <f aca="false">N(STACK!K588)</f>
        <v>0</v>
      </c>
      <c r="W588" s="61" t="n">
        <f aca="false">T588+U588+V588</f>
        <v>92.76318625</v>
      </c>
      <c r="X588" s="61" t="n">
        <f aca="false">N(STACK!L588)</f>
        <v>0</v>
      </c>
      <c r="Y588" s="61" t="n">
        <f aca="false">W588-X588</f>
        <v>92.76318625</v>
      </c>
      <c r="Z588" s="1" t="n">
        <f aca="false">N(STACK!J588)</f>
        <v>0</v>
      </c>
      <c r="AA588" s="1" t="str">
        <f aca="false">TRIM(IF(D588="UNMAPPED","Program not mapped. ","")&amp;IF(OR(K588="UNMAPPED",K588="UNASSIGNED"),"Category needs review. ","")&amp;IF(P588="UNMAPPED","Title not mapped. ","")&amp;IF(AND(P588&lt;&gt;"No staff time",R588=""),"Missing hours. ","")&amp;IF(M588="","Date not readable. ","")&amp;IF(N588="No","Outside fiscal year. ","")&amp;IF(AND(F588="Event",ISNUMBER(R588)),IF(R588&gt;12,"Event hours look high. ",""),"")&amp;IF(G588&gt;0,"See CONFIRM sheet.",""))</f>
        <v/>
      </c>
      <c r="AB588" s="1" t="n">
        <f aca="false">IF(N588="No",0,IF(REVIEW!O588=0,0,IF(G588&gt;0,IF(INDEX(CONFIRM!$J$5:$J$53,G588)&lt;&gt;"",INDEX(CONFIRM!$J$5:$J$53,G588),1),1)))</f>
        <v>1</v>
      </c>
      <c r="AC588" s="1" t="n">
        <f aca="false">IF(AB588=1,IF(COUNTIFS($B$5:B588,B588,$D$5:D588,D588,$AB$5:AB588,1)=1,1,0),0)</f>
        <v>0</v>
      </c>
    </row>
    <row r="589" customFormat="false" ht="15" hidden="false" customHeight="false" outlineLevel="0" collapsed="false">
      <c r="A589" s="48" t="str">
        <f aca="false">STACK!A589</f>
        <v>ASH-0056</v>
      </c>
      <c r="B589" s="48" t="str">
        <f aca="false">STACK!B589</f>
        <v>ASH</v>
      </c>
      <c r="C589" s="48" t="str">
        <f aca="false">STACK!E589</f>
        <v>Fall Prevention</v>
      </c>
      <c r="D589" s="1" t="str">
        <f aca="false">IFERROR(INDEX(MAP!$J$7:$J$101,MATCH(TRIM(C589),MAP!$I$7:$I$101,0)),"UNMAPPED")</f>
        <v>Fall Prevention Classes for Older Adults</v>
      </c>
      <c r="E589" s="1" t="str">
        <f aca="false">IFERROR(INDEX(MAP!$K$7:$K$101,MATCH(TRIM(C589),MAP!$I$7:$I$101,0)),"")</f>
        <v>Chronic disease prevention</v>
      </c>
      <c r="F589" s="1" t="str">
        <f aca="false">IFERROR(INDEX(MAP!$L$7:$L$101,MATCH(TRIM(C589),MAP!$I$7:$I$101,0)),"")</f>
        <v>Event</v>
      </c>
      <c r="G589" s="1" t="n">
        <f aca="false">IFERROR(MATCH(A589,CONFIRM!$A$5:$A$53,0),0)</f>
        <v>0</v>
      </c>
      <c r="H589" s="48" t="str">
        <f aca="false">STACK!F589</f>
        <v>Comm Hlth Ed</v>
      </c>
      <c r="I589" s="1" t="str">
        <f aca="false">IF(G589&gt;0,IF(INDEX(CONFIRM!$I$5:$I$53,G589)&lt;&gt;"",INDEX(CONFIRM!$I$5:$I$53,G589),H589),H589)</f>
        <v>Comm Hlth Ed</v>
      </c>
      <c r="J589" s="1" t="str">
        <f aca="false">IFERROR(INDEX(MAP!$F$7:$F$74,MATCH(TRIM(I589),MAP!$E$7:$E$74,0)),"UNMAPPED")</f>
        <v>Community health education</v>
      </c>
      <c r="K589" s="1" t="str">
        <f aca="false">IFERROR(INDEX(MAP!$G$7:$G$74,MATCH(TRIM(I589),MAP!$E$7:$E$74,0)),"UNMAPPED")</f>
        <v>7e</v>
      </c>
      <c r="L589" s="49" t="str">
        <f aca="false">STACK!G589</f>
        <v>09/25/2025</v>
      </c>
      <c r="M589" s="59" t="n">
        <f aca="false">IF(G589&gt;0,IF(INDEX(CONFIRM!$G$5:$G$53,G589)&lt;&gt;"",INDEX(CONFIRM!$G$5:$G$53,G589),IF(ISNUMBER(L589),L589,IFERROR(DATEVALUE(L589),""))),IF(ISNUMBER(L589),L589,IFERROR(DATEVALUE(L589),"")))</f>
        <v>45925</v>
      </c>
      <c r="N589" s="1" t="str">
        <f aca="false">IF(M589="","Check",IF(AND(M589&gt;=INPUTS!$C$6,M589&lt;=INPUTS!$C$7),"Yes","No"))</f>
        <v>Yes</v>
      </c>
      <c r="O589" s="48" t="str">
        <f aca="false">STACK!H589</f>
        <v>DPT</v>
      </c>
      <c r="P589" s="1" t="str">
        <f aca="false">IF(G589&gt;0,IF(INDEX(CONFIRM!$H$5:$H$53,G589)&lt;&gt;"",INDEX(CONFIRM!$H$5:$H$53,G589),IFERROR(INDEX(MAP!$B$7:$B$156,MATCH(TRIM(O589),MAP!$A$7:$A$156,0)),"UNMAPPED")),IFERROR(INDEX(MAP!$B$7:$B$156,MATCH(TRIM(O589),MAP!$A$7:$A$156,0)),"UNMAPPED"))</f>
        <v>Licensed Therapist</v>
      </c>
      <c r="Q589" s="48" t="n">
        <f aca="false">STACK!I589</f>
        <v>2</v>
      </c>
      <c r="R589" s="60" t="n">
        <f aca="false">IF(G589&gt;0,IF(INDEX(CONFIRM!$F$5:$F$53,G589)&lt;&gt;"",INDEX(CONFIRM!$F$5:$F$53,G589),IF(ISNUMBER(Q589),Q589,IF(Q589="","",IFERROR(VALUE(TRIM(SUBSTITUTE(SUBSTITUTE(LOWER(Q589),"hrs",""),"hr",""))),"")))),IF(ISNUMBER(Q589),Q589,IF(Q589="","",IFERROR(VALUE(TRIM(SUBSTITUTE(SUBSTITUTE(LOWER(Q589),"hrs",""),"hr",""))),""))))</f>
        <v>2</v>
      </c>
      <c r="S589" s="57" t="n">
        <f aca="false">IFERROR(INDEX(RATES!$E$6:$E$28,MATCH(P589,RATES!$A$6:$A$28,0)),0)</f>
        <v>53.97</v>
      </c>
      <c r="T589" s="61" t="n">
        <f aca="false">IF(ISNUMBER(R589),R589,0)*S589</f>
        <v>107.94</v>
      </c>
      <c r="U589" s="61" t="n">
        <f aca="false">T589*INDEX(INPUTS!$H$10:$H$14,MATCH(B589,INPUTS!$A$10:$A$14,0))</f>
        <v>17.48628</v>
      </c>
      <c r="V589" s="61" t="n">
        <f aca="false">N(STACK!K589)</f>
        <v>45</v>
      </c>
      <c r="W589" s="61" t="n">
        <f aca="false">T589+U589+V589</f>
        <v>170.42628</v>
      </c>
      <c r="X589" s="61" t="n">
        <f aca="false">N(STACK!L589)</f>
        <v>0</v>
      </c>
      <c r="Y589" s="61" t="n">
        <f aca="false">W589-X589</f>
        <v>170.42628</v>
      </c>
      <c r="Z589" s="1" t="n">
        <f aca="false">N(STACK!J589)</f>
        <v>17</v>
      </c>
      <c r="AA589" s="1" t="str">
        <f aca="false">TRIM(IF(D589="UNMAPPED","Program not mapped. ","")&amp;IF(OR(K589="UNMAPPED",K589="UNASSIGNED"),"Category needs review. ","")&amp;IF(P589="UNMAPPED","Title not mapped. ","")&amp;IF(AND(P589&lt;&gt;"No staff time",R589=""),"Missing hours. ","")&amp;IF(M589="","Date not readable. ","")&amp;IF(N589="No","Outside fiscal year. ","")&amp;IF(AND(F589="Event",ISNUMBER(R589)),IF(R589&gt;12,"Event hours look high. ",""),"")&amp;IF(G589&gt;0,"See CONFIRM sheet.",""))</f>
        <v/>
      </c>
      <c r="AB589" s="1" t="n">
        <f aca="false">IF(N589="No",0,IF(REVIEW!O589=0,0,IF(G589&gt;0,IF(INDEX(CONFIRM!$J$5:$J$53,G589)&lt;&gt;"",INDEX(CONFIRM!$J$5:$J$53,G589),1),1)))</f>
        <v>1</v>
      </c>
      <c r="AC589" s="1" t="n">
        <f aca="false">IF(AB589=1,IF(COUNTIFS($B$5:B589,B589,$D$5:D589,D589,$AB$5:AB589,1)=1,1,0),0)</f>
        <v>0</v>
      </c>
    </row>
    <row r="590" customFormat="false" ht="15" hidden="false" customHeight="false" outlineLevel="0" collapsed="false">
      <c r="A590" s="48" t="str">
        <f aca="false">STACK!A590</f>
        <v>ASH-0057</v>
      </c>
      <c r="B590" s="48" t="str">
        <f aca="false">STACK!B590</f>
        <v>ASH</v>
      </c>
      <c r="C590" s="48" t="str">
        <f aca="false">STACK!E590</f>
        <v>Regional Health Coalition Mtg</v>
      </c>
      <c r="D590" s="1" t="str">
        <f aca="false">IFERROR(INDEX(MAP!$J$7:$J$101,MATCH(TRIM(C590),MAP!$I$7:$I$101,0)),"UNMAPPED")</f>
        <v>Regional Health Coalition</v>
      </c>
      <c r="E590" s="1" t="str">
        <f aca="false">IFERROR(INDEX(MAP!$K$7:$K$101,MATCH(TRIM(C590),MAP!$I$7:$I$101,0)),"")</f>
        <v>Community benefit infrastructure</v>
      </c>
      <c r="F590" s="1" t="str">
        <f aca="false">IFERROR(INDEX(MAP!$L$7:$L$101,MATCH(TRIM(C590),MAP!$I$7:$I$101,0)),"")</f>
        <v>Event</v>
      </c>
      <c r="G590" s="1" t="n">
        <f aca="false">IFERROR(MATCH(A590,CONFIRM!$A$5:$A$53,0),0)</f>
        <v>0</v>
      </c>
      <c r="H590" s="48" t="str">
        <f aca="false">STACK!F590</f>
        <v>CB-Coalition Bldg</v>
      </c>
      <c r="I590" s="1" t="str">
        <f aca="false">IF(G590&gt;0,IF(INDEX(CONFIRM!$I$5:$I$53,G590)&lt;&gt;"",INDEX(CONFIRM!$I$5:$I$53,G590),H590),H590)</f>
        <v>CB-Coalition Bldg</v>
      </c>
      <c r="J590" s="1" t="str">
        <f aca="false">IFERROR(INDEX(MAP!$F$7:$F$74,MATCH(TRIM(I590),MAP!$E$7:$E$74,0)),"UNMAPPED")</f>
        <v>Community building: coalition building</v>
      </c>
      <c r="K590" s="1" t="str">
        <f aca="false">IFERROR(INDEX(MAP!$G$7:$G$74,MATCH(TRIM(I590),MAP!$E$7:$E$74,0)),"UNMAPPED")</f>
        <v>II-6</v>
      </c>
      <c r="L590" s="49" t="str">
        <f aca="false">STACK!G590</f>
        <v>09/29/2025</v>
      </c>
      <c r="M590" s="59" t="n">
        <f aca="false">IF(G590&gt;0,IF(INDEX(CONFIRM!$G$5:$G$53,G590)&lt;&gt;"",INDEX(CONFIRM!$G$5:$G$53,G590),IF(ISNUMBER(L590),L590,IFERROR(DATEVALUE(L590),""))),IF(ISNUMBER(L590),L590,IFERROR(DATEVALUE(L590),"")))</f>
        <v>45929</v>
      </c>
      <c r="N590" s="1" t="str">
        <f aca="false">IF(M590="","Check",IF(AND(M590&gt;=INPUTS!$C$6,M590&lt;=INPUTS!$C$7),"Yes","No"))</f>
        <v>Yes</v>
      </c>
      <c r="O590" s="48" t="str">
        <f aca="false">STACK!H590</f>
        <v>Community Benefit Mgr </v>
      </c>
      <c r="P590" s="1" t="str">
        <f aca="false">IF(G590&gt;0,IF(INDEX(CONFIRM!$H$5:$H$53,G590)&lt;&gt;"",INDEX(CONFIRM!$H$5:$H$53,G590),IFERROR(INDEX(MAP!$B$7:$B$156,MATCH(TRIM(O590),MAP!$A$7:$A$156,0)),"UNMAPPED")),IFERROR(INDEX(MAP!$B$7:$B$156,MATCH(TRIM(O590),MAP!$A$7:$A$156,0)),"UNMAPPED"))</f>
        <v>Community Benefit Manager</v>
      </c>
      <c r="Q590" s="48" t="str">
        <f aca="false">STACK!I590</f>
        <v>2 hrs</v>
      </c>
      <c r="R590" s="60" t="n">
        <f aca="false">IF(G590&gt;0,IF(INDEX(CONFIRM!$F$5:$F$53,G590)&lt;&gt;"",INDEX(CONFIRM!$F$5:$F$53,G590),IF(ISNUMBER(Q590),Q590,IF(Q590="","",IFERROR(VALUE(TRIM(SUBSTITUTE(SUBSTITUTE(LOWER(Q590),"hrs",""),"hr",""))),"")))),IF(ISNUMBER(Q590),Q590,IF(Q590="","",IFERROR(VALUE(TRIM(SUBSTITUTE(SUBSTITUTE(LOWER(Q590),"hrs",""),"hr",""))),""))))</f>
        <v>2</v>
      </c>
      <c r="S590" s="57" t="n">
        <f aca="false">IFERROR(INDEX(RATES!$E$6:$E$28,MATCH(P590,RATES!$A$6:$A$28,0)),0)</f>
        <v>59.11</v>
      </c>
      <c r="T590" s="61" t="n">
        <f aca="false">IF(ISNUMBER(R590),R590,0)*S590</f>
        <v>118.22</v>
      </c>
      <c r="U590" s="61" t="n">
        <f aca="false">T590*INDEX(INPUTS!$H$10:$H$14,MATCH(B590,INPUTS!$A$10:$A$14,0))</f>
        <v>19.15164</v>
      </c>
      <c r="V590" s="61" t="n">
        <f aca="false">N(STACK!K590)</f>
        <v>0</v>
      </c>
      <c r="W590" s="61" t="n">
        <f aca="false">T590+U590+V590</f>
        <v>137.37164</v>
      </c>
      <c r="X590" s="61" t="n">
        <f aca="false">N(STACK!L590)</f>
        <v>0</v>
      </c>
      <c r="Y590" s="61" t="n">
        <f aca="false">W590-X590</f>
        <v>137.37164</v>
      </c>
      <c r="Z590" s="1" t="n">
        <f aca="false">N(STACK!J590)</f>
        <v>0</v>
      </c>
      <c r="AA590" s="1" t="str">
        <f aca="false">TRIM(IF(D590="UNMAPPED","Program not mapped. ","")&amp;IF(OR(K590="UNMAPPED",K590="UNASSIGNED"),"Category needs review. ","")&amp;IF(P590="UNMAPPED","Title not mapped. ","")&amp;IF(AND(P590&lt;&gt;"No staff time",R590=""),"Missing hours. ","")&amp;IF(M590="","Date not readable. ","")&amp;IF(N590="No","Outside fiscal year. ","")&amp;IF(AND(F590="Event",ISNUMBER(R590)),IF(R590&gt;12,"Event hours look high. ",""),"")&amp;IF(G590&gt;0,"See CONFIRM sheet.",""))</f>
        <v/>
      </c>
      <c r="AB590" s="1" t="n">
        <f aca="false">IF(N590="No",0,IF(REVIEW!O590=0,0,IF(G590&gt;0,IF(INDEX(CONFIRM!$J$5:$J$53,G590)&lt;&gt;"",INDEX(CONFIRM!$J$5:$J$53,G590),1),1)))</f>
        <v>1</v>
      </c>
      <c r="AC590" s="1" t="n">
        <f aca="false">IF(AB590=1,IF(COUNTIFS($B$5:B590,B590,$D$5:D590,D590,$AB$5:AB590,1)=1,1,0),0)</f>
        <v>0</v>
      </c>
    </row>
    <row r="591" customFormat="false" ht="15" hidden="false" customHeight="false" outlineLevel="0" collapsed="false">
      <c r="A591" s="48" t="str">
        <f aca="false">STACK!A591</f>
        <v>ASH-0058</v>
      </c>
      <c r="B591" s="48" t="str">
        <f aca="false">STACK!B591</f>
        <v>ASH</v>
      </c>
      <c r="C591" s="48" t="str">
        <f aca="false">STACK!E591</f>
        <v>Regional Health Coalition Mtg</v>
      </c>
      <c r="D591" s="1" t="str">
        <f aca="false">IFERROR(INDEX(MAP!$J$7:$J$101,MATCH(TRIM(C591),MAP!$I$7:$I$101,0)),"UNMAPPED")</f>
        <v>Regional Health Coalition</v>
      </c>
      <c r="E591" s="1" t="str">
        <f aca="false">IFERROR(INDEX(MAP!$K$7:$K$101,MATCH(TRIM(C591),MAP!$I$7:$I$101,0)),"")</f>
        <v>Community benefit infrastructure</v>
      </c>
      <c r="F591" s="1" t="str">
        <f aca="false">IFERROR(INDEX(MAP!$L$7:$L$101,MATCH(TRIM(C591),MAP!$I$7:$I$101,0)),"")</f>
        <v>Event</v>
      </c>
      <c r="G591" s="1" t="n">
        <f aca="false">IFERROR(MATCH(A591,CONFIRM!$A$5:$A$53,0),0)</f>
        <v>0</v>
      </c>
      <c r="H591" s="48" t="str">
        <f aca="false">STACK!F591</f>
        <v>CB-Coalition Bldg</v>
      </c>
      <c r="I591" s="1" t="str">
        <f aca="false">IF(G591&gt;0,IF(INDEX(CONFIRM!$I$5:$I$53,G591)&lt;&gt;"",INDEX(CONFIRM!$I$5:$I$53,G591),H591),H591)</f>
        <v>CB-Coalition Bldg</v>
      </c>
      <c r="J591" s="1" t="str">
        <f aca="false">IFERROR(INDEX(MAP!$F$7:$F$74,MATCH(TRIM(I591),MAP!$E$7:$E$74,0)),"UNMAPPED")</f>
        <v>Community building: coalition building</v>
      </c>
      <c r="K591" s="1" t="str">
        <f aca="false">IFERROR(INDEX(MAP!$G$7:$G$74,MATCH(TRIM(I591),MAP!$E$7:$E$74,0)),"UNMAPPED")</f>
        <v>II-6</v>
      </c>
      <c r="L591" s="49" t="str">
        <f aca="false">STACK!G591</f>
        <v>09/29/2025</v>
      </c>
      <c r="M591" s="59" t="n">
        <f aca="false">IF(G591&gt;0,IF(INDEX(CONFIRM!$G$5:$G$53,G591)&lt;&gt;"",INDEX(CONFIRM!$G$5:$G$53,G591),IF(ISNUMBER(L591),L591,IFERROR(DATEVALUE(L591),""))),IF(ISNUMBER(L591),L591,IFERROR(DATEVALUE(L591),"")))</f>
        <v>45929</v>
      </c>
      <c r="N591" s="1" t="str">
        <f aca="false">IF(M591="","Check",IF(AND(M591&gt;=INPUTS!$C$6,M591&lt;=INPUTS!$C$7),"Yes","No"))</f>
        <v>Yes</v>
      </c>
      <c r="O591" s="48" t="str">
        <f aca="false">STACK!H591</f>
        <v>Director, Mission</v>
      </c>
      <c r="P591" s="1" t="str">
        <f aca="false">IF(G591&gt;0,IF(INDEX(CONFIRM!$H$5:$H$53,G591)&lt;&gt;"",INDEX(CONFIRM!$H$5:$H$53,G591),IFERROR(INDEX(MAP!$B$7:$B$156,MATCH(TRIM(O591),MAP!$A$7:$A$156,0)),"UNMAPPED")),IFERROR(INDEX(MAP!$B$7:$B$156,MATCH(TRIM(O591),MAP!$A$7:$A$156,0)),"UNMAPPED"))</f>
        <v>Director</v>
      </c>
      <c r="Q591" s="48" t="n">
        <f aca="false">STACK!I591</f>
        <v>2.5</v>
      </c>
      <c r="R591" s="60" t="n">
        <f aca="false">IF(G591&gt;0,IF(INDEX(CONFIRM!$F$5:$F$53,G591)&lt;&gt;"",INDEX(CONFIRM!$F$5:$F$53,G591),IF(ISNUMBER(Q591),Q591,IF(Q591="","",IFERROR(VALUE(TRIM(SUBSTITUTE(SUBSTITUTE(LOWER(Q591),"hrs",""),"hr",""))),"")))),IF(ISNUMBER(Q591),Q591,IF(Q591="","",IFERROR(VALUE(TRIM(SUBSTITUTE(SUBSTITUTE(LOWER(Q591),"hrs",""),"hr",""))),""))))</f>
        <v>2.5</v>
      </c>
      <c r="S591" s="57" t="n">
        <f aca="false">IFERROR(INDEX(RATES!$E$6:$E$28,MATCH(P591,RATES!$A$6:$A$28,0)),0)</f>
        <v>92.52</v>
      </c>
      <c r="T591" s="61" t="n">
        <f aca="false">IF(ISNUMBER(R591),R591,0)*S591</f>
        <v>231.3</v>
      </c>
      <c r="U591" s="61" t="n">
        <f aca="false">T591*INDEX(INPUTS!$H$10:$H$14,MATCH(B591,INPUTS!$A$10:$A$14,0))</f>
        <v>37.4706</v>
      </c>
      <c r="V591" s="61" t="n">
        <f aca="false">N(STACK!K591)</f>
        <v>95</v>
      </c>
      <c r="W591" s="61" t="n">
        <f aca="false">T591+U591+V591</f>
        <v>363.7706</v>
      </c>
      <c r="X591" s="61" t="n">
        <f aca="false">N(STACK!L591)</f>
        <v>0</v>
      </c>
      <c r="Y591" s="61" t="n">
        <f aca="false">W591-X591</f>
        <v>363.7706</v>
      </c>
      <c r="Z591" s="1" t="n">
        <f aca="false">N(STACK!J591)</f>
        <v>0</v>
      </c>
      <c r="AA591" s="1" t="str">
        <f aca="false">TRIM(IF(D591="UNMAPPED","Program not mapped. ","")&amp;IF(OR(K591="UNMAPPED",K591="UNASSIGNED"),"Category needs review. ","")&amp;IF(P591="UNMAPPED","Title not mapped. ","")&amp;IF(AND(P591&lt;&gt;"No staff time",R591=""),"Missing hours. ","")&amp;IF(M591="","Date not readable. ","")&amp;IF(N591="No","Outside fiscal year. ","")&amp;IF(AND(F591="Event",ISNUMBER(R591)),IF(R591&gt;12,"Event hours look high. ",""),"")&amp;IF(G591&gt;0,"See CONFIRM sheet.",""))</f>
        <v/>
      </c>
      <c r="AB591" s="1" t="n">
        <f aca="false">IF(N591="No",0,IF(REVIEW!O591=0,0,IF(G591&gt;0,IF(INDEX(CONFIRM!$J$5:$J$53,G591)&lt;&gt;"",INDEX(CONFIRM!$J$5:$J$53,G591),1),1)))</f>
        <v>1</v>
      </c>
      <c r="AC591" s="1" t="n">
        <f aca="false">IF(AB591=1,IF(COUNTIFS($B$5:B591,B591,$D$5:D591,D591,$AB$5:AB591,1)=1,1,0),0)</f>
        <v>0</v>
      </c>
    </row>
    <row r="592" customFormat="false" ht="15" hidden="false" customHeight="false" outlineLevel="0" collapsed="false">
      <c r="A592" s="48" t="str">
        <f aca="false">STACK!A592</f>
        <v>ASH-0059</v>
      </c>
      <c r="B592" s="48" t="str">
        <f aca="false">STACK!B592</f>
        <v>ASH</v>
      </c>
      <c r="C592" s="48" t="str">
        <f aca="false">STACK!E592</f>
        <v>Mobile Screening Unit</v>
      </c>
      <c r="D592" s="1" t="str">
        <f aca="false">IFERROR(INDEX(MAP!$J$7:$J$101,MATCH(TRIM(C592),MAP!$I$7:$I$101,0)),"UNMAPPED")</f>
        <v>Mobile Health Screening Unit</v>
      </c>
      <c r="E592" s="1" t="str">
        <f aca="false">IFERROR(INDEX(MAP!$K$7:$K$101,MATCH(TRIM(C592),MAP!$I$7:$I$101,0)),"")</f>
        <v>Access to care</v>
      </c>
      <c r="F592" s="1" t="str">
        <f aca="false">IFERROR(INDEX(MAP!$L$7:$L$101,MATCH(TRIM(C592),MAP!$I$7:$I$101,0)),"")</f>
        <v>Monthly</v>
      </c>
      <c r="G592" s="1" t="n">
        <f aca="false">IFERROR(MATCH(A592,CONFIRM!$A$5:$A$53,0),0)</f>
        <v>0</v>
      </c>
      <c r="H592" s="48" t="str">
        <f aca="false">STACK!F592</f>
        <v>Clinical Svcs</v>
      </c>
      <c r="I592" s="1" t="str">
        <f aca="false">IF(G592&gt;0,IF(INDEX(CONFIRM!$I$5:$I$53,G592)&lt;&gt;"",INDEX(CONFIRM!$I$5:$I$53,G592),H592),H592)</f>
        <v>Clinical Svcs</v>
      </c>
      <c r="J592" s="1" t="str">
        <f aca="false">IFERROR(INDEX(MAP!$F$7:$F$74,MATCH(TRIM(I592),MAP!$E$7:$E$74,0)),"UNMAPPED")</f>
        <v>Community-based clinical services</v>
      </c>
      <c r="K592" s="1" t="str">
        <f aca="false">IFERROR(INDEX(MAP!$G$7:$G$74,MATCH(TRIM(I592),MAP!$E$7:$E$74,0)),"UNMAPPED")</f>
        <v>7e</v>
      </c>
      <c r="L592" s="49" t="str">
        <f aca="false">STACK!G592</f>
        <v>09/30/2025</v>
      </c>
      <c r="M592" s="59" t="n">
        <f aca="false">IF(G592&gt;0,IF(INDEX(CONFIRM!$G$5:$G$53,G592)&lt;&gt;"",INDEX(CONFIRM!$G$5:$G$53,G592),IF(ISNUMBER(L592),L592,IFERROR(DATEVALUE(L592),""))),IF(ISNUMBER(L592),L592,IFERROR(DATEVALUE(L592),"")))</f>
        <v>45930</v>
      </c>
      <c r="N592" s="1" t="str">
        <f aca="false">IF(M592="","Check",IF(AND(M592&gt;=INPUTS!$C$6,M592&lt;=INPUTS!$C$7),"Yes","No"))</f>
        <v>Yes</v>
      </c>
      <c r="O592" s="48" t="str">
        <f aca="false">STACK!H592</f>
        <v>CHW II</v>
      </c>
      <c r="P592" s="1" t="str">
        <f aca="false">IF(G592&gt;0,IF(INDEX(CONFIRM!$H$5:$H$53,G592)&lt;&gt;"",INDEX(CONFIRM!$H$5:$H$53,G592),IFERROR(INDEX(MAP!$B$7:$B$156,MATCH(TRIM(O592),MAP!$A$7:$A$156,0)),"UNMAPPED")),IFERROR(INDEX(MAP!$B$7:$B$156,MATCH(TRIM(O592),MAP!$A$7:$A$156,0)),"UNMAPPED"))</f>
        <v>Community Health Worker</v>
      </c>
      <c r="Q592" s="48" t="n">
        <f aca="false">STACK!I592</f>
        <v>90.5</v>
      </c>
      <c r="R592" s="60" t="n">
        <f aca="false">IF(G592&gt;0,IF(INDEX(CONFIRM!$F$5:$F$53,G592)&lt;&gt;"",INDEX(CONFIRM!$F$5:$F$53,G592),IF(ISNUMBER(Q592),Q592,IF(Q592="","",IFERROR(VALUE(TRIM(SUBSTITUTE(SUBSTITUTE(LOWER(Q592),"hrs",""),"hr",""))),"")))),IF(ISNUMBER(Q592),Q592,IF(Q592="","",IFERROR(VALUE(TRIM(SUBSTITUTE(SUBSTITUTE(LOWER(Q592),"hrs",""),"hr",""))),""))))</f>
        <v>90.5</v>
      </c>
      <c r="S592" s="57" t="n">
        <f aca="false">IFERROR(INDEX(RATES!$E$6:$E$28,MATCH(P592,RATES!$A$6:$A$28,0)),0)</f>
        <v>27.6275</v>
      </c>
      <c r="T592" s="61" t="n">
        <f aca="false">IF(ISNUMBER(R592),R592,0)*S592</f>
        <v>2500.28875</v>
      </c>
      <c r="U592" s="61" t="n">
        <f aca="false">T592*INDEX(INPUTS!$H$10:$H$14,MATCH(B592,INPUTS!$A$10:$A$14,0))</f>
        <v>405.0467775</v>
      </c>
      <c r="V592" s="61" t="n">
        <f aca="false">N(STACK!K592)</f>
        <v>0</v>
      </c>
      <c r="W592" s="61" t="n">
        <f aca="false">T592+U592+V592</f>
        <v>2905.3355275</v>
      </c>
      <c r="X592" s="61" t="n">
        <f aca="false">N(STACK!L592)</f>
        <v>0</v>
      </c>
      <c r="Y592" s="61" t="n">
        <f aca="false">W592-X592</f>
        <v>2905.3355275</v>
      </c>
      <c r="Z592" s="1" t="n">
        <f aca="false">N(STACK!J592)</f>
        <v>0</v>
      </c>
      <c r="AA592" s="1" t="str">
        <f aca="false">TRIM(IF(D592="UNMAPPED","Program not mapped. ","")&amp;IF(OR(K592="UNMAPPED",K592="UNASSIGNED"),"Category needs review. ","")&amp;IF(P592="UNMAPPED","Title not mapped. ","")&amp;IF(AND(P592&lt;&gt;"No staff time",R592=""),"Missing hours. ","")&amp;IF(M592="","Date not readable. ","")&amp;IF(N592="No","Outside fiscal year. ","")&amp;IF(AND(F592="Event",ISNUMBER(R592)),IF(R592&gt;12,"Event hours look high. ",""),"")&amp;IF(G592&gt;0,"See CONFIRM sheet.",""))</f>
        <v/>
      </c>
      <c r="AB592" s="1" t="n">
        <f aca="false">IF(N592="No",0,IF(REVIEW!O592=0,0,IF(G592&gt;0,IF(INDEX(CONFIRM!$J$5:$J$53,G592)&lt;&gt;"",INDEX(CONFIRM!$J$5:$J$53,G592),1),1)))</f>
        <v>1</v>
      </c>
      <c r="AC592" s="1" t="n">
        <f aca="false">IF(AB592=1,IF(COUNTIFS($B$5:B592,B592,$D$5:D592,D592,$AB$5:AB592,1)=1,1,0),0)</f>
        <v>0</v>
      </c>
    </row>
    <row r="593" customFormat="false" ht="15" hidden="false" customHeight="false" outlineLevel="0" collapsed="false">
      <c r="A593" s="48" t="str">
        <f aca="false">STACK!A593</f>
        <v>ASH-0060</v>
      </c>
      <c r="B593" s="48" t="str">
        <f aca="false">STACK!B593</f>
        <v>ASH</v>
      </c>
      <c r="C593" s="48" t="str">
        <f aca="false">STACK!E593</f>
        <v>Mobile Screening Unit</v>
      </c>
      <c r="D593" s="1" t="str">
        <f aca="false">IFERROR(INDEX(MAP!$J$7:$J$101,MATCH(TRIM(C593),MAP!$I$7:$I$101,0)),"UNMAPPED")</f>
        <v>Mobile Health Screening Unit</v>
      </c>
      <c r="E593" s="1" t="str">
        <f aca="false">IFERROR(INDEX(MAP!$K$7:$K$101,MATCH(TRIM(C593),MAP!$I$7:$I$101,0)),"")</f>
        <v>Access to care</v>
      </c>
      <c r="F593" s="1" t="str">
        <f aca="false">IFERROR(INDEX(MAP!$L$7:$L$101,MATCH(TRIM(C593),MAP!$I$7:$I$101,0)),"")</f>
        <v>Monthly</v>
      </c>
      <c r="G593" s="1" t="n">
        <f aca="false">IFERROR(MATCH(A593,CONFIRM!$A$5:$A$53,0),0)</f>
        <v>0</v>
      </c>
      <c r="H593" s="48" t="str">
        <f aca="false">STACK!F593</f>
        <v>Clinical Svcs</v>
      </c>
      <c r="I593" s="1" t="str">
        <f aca="false">IF(G593&gt;0,IF(INDEX(CONFIRM!$I$5:$I$53,G593)&lt;&gt;"",INDEX(CONFIRM!$I$5:$I$53,G593),H593),H593)</f>
        <v>Clinical Svcs</v>
      </c>
      <c r="J593" s="1" t="str">
        <f aca="false">IFERROR(INDEX(MAP!$F$7:$F$74,MATCH(TRIM(I593),MAP!$E$7:$E$74,0)),"UNMAPPED")</f>
        <v>Community-based clinical services</v>
      </c>
      <c r="K593" s="1" t="str">
        <f aca="false">IFERROR(INDEX(MAP!$G$7:$G$74,MATCH(TRIM(I593),MAP!$E$7:$E$74,0)),"UNMAPPED")</f>
        <v>7e</v>
      </c>
      <c r="L593" s="49" t="str">
        <f aca="false">STACK!G593</f>
        <v>09/30/2025</v>
      </c>
      <c r="M593" s="59" t="n">
        <f aca="false">IF(G593&gt;0,IF(INDEX(CONFIRM!$G$5:$G$53,G593)&lt;&gt;"",INDEX(CONFIRM!$G$5:$G$53,G593),IF(ISNUMBER(L593),L593,IFERROR(DATEVALUE(L593),""))),IF(ISNUMBER(L593),L593,IFERROR(DATEVALUE(L593),"")))</f>
        <v>45930</v>
      </c>
      <c r="N593" s="1" t="str">
        <f aca="false">IF(M593="","Check",IF(AND(M593&gt;=INPUTS!$C$6,M593&lt;=INPUTS!$C$7),"Yes","No"))</f>
        <v>Yes</v>
      </c>
      <c r="O593" s="48" t="str">
        <f aca="false">STACK!H593</f>
        <v>CMA</v>
      </c>
      <c r="P593" s="1" t="str">
        <f aca="false">IF(G593&gt;0,IF(INDEX(CONFIRM!$H$5:$H$53,G593)&lt;&gt;"",INDEX(CONFIRM!$H$5:$H$53,G593),IFERROR(INDEX(MAP!$B$7:$B$156,MATCH(TRIM(O593),MAP!$A$7:$A$156,0)),"UNMAPPED")),IFERROR(INDEX(MAP!$B$7:$B$156,MATCH(TRIM(O593),MAP!$A$7:$A$156,0)),"UNMAPPED"))</f>
        <v>Medical Assistant</v>
      </c>
      <c r="Q593" s="48" t="n">
        <f aca="false">STACK!I593</f>
        <v>116.5</v>
      </c>
      <c r="R593" s="60" t="n">
        <f aca="false">IF(G593&gt;0,IF(INDEX(CONFIRM!$F$5:$F$53,G593)&lt;&gt;"",INDEX(CONFIRM!$F$5:$F$53,G593),IF(ISNUMBER(Q593),Q593,IF(Q593="","",IFERROR(VALUE(TRIM(SUBSTITUTE(SUBSTITUTE(LOWER(Q593),"hrs",""),"hr",""))),"")))),IF(ISNUMBER(Q593),Q593,IF(Q593="","",IFERROR(VALUE(TRIM(SUBSTITUTE(SUBSTITUTE(LOWER(Q593),"hrs",""),"hr",""))),""))))</f>
        <v>116.5</v>
      </c>
      <c r="S593" s="57" t="n">
        <f aca="false">IFERROR(INDEX(RATES!$E$6:$E$28,MATCH(P593,RATES!$A$6:$A$28,0)),0)</f>
        <v>25.37875</v>
      </c>
      <c r="T593" s="61" t="n">
        <f aca="false">IF(ISNUMBER(R593),R593,0)*S593</f>
        <v>2956.624375</v>
      </c>
      <c r="U593" s="61" t="n">
        <f aca="false">T593*INDEX(INPUTS!$H$10:$H$14,MATCH(B593,INPUTS!$A$10:$A$14,0))</f>
        <v>478.97314875</v>
      </c>
      <c r="V593" s="61" t="n">
        <f aca="false">N(STACK!K593)</f>
        <v>0</v>
      </c>
      <c r="W593" s="61" t="n">
        <f aca="false">T593+U593+V593</f>
        <v>3435.59752375</v>
      </c>
      <c r="X593" s="61" t="n">
        <f aca="false">N(STACK!L593)</f>
        <v>0</v>
      </c>
      <c r="Y593" s="61" t="n">
        <f aca="false">W593-X593</f>
        <v>3435.59752375</v>
      </c>
      <c r="Z593" s="1" t="n">
        <f aca="false">N(STACK!J593)</f>
        <v>0</v>
      </c>
      <c r="AA593" s="1" t="str">
        <f aca="false">TRIM(IF(D593="UNMAPPED","Program not mapped. ","")&amp;IF(OR(K593="UNMAPPED",K593="UNASSIGNED"),"Category needs review. ","")&amp;IF(P593="UNMAPPED","Title not mapped. ","")&amp;IF(AND(P593&lt;&gt;"No staff time",R593=""),"Missing hours. ","")&amp;IF(M593="","Date not readable. ","")&amp;IF(N593="No","Outside fiscal year. ","")&amp;IF(AND(F593="Event",ISNUMBER(R593)),IF(R593&gt;12,"Event hours look high. ",""),"")&amp;IF(G593&gt;0,"See CONFIRM sheet.",""))</f>
        <v/>
      </c>
      <c r="AB593" s="1" t="n">
        <f aca="false">IF(N593="No",0,IF(REVIEW!O593=0,0,IF(G593&gt;0,IF(INDEX(CONFIRM!$J$5:$J$53,G593)&lt;&gt;"",INDEX(CONFIRM!$J$5:$J$53,G593),1),1)))</f>
        <v>1</v>
      </c>
      <c r="AC593" s="1" t="n">
        <f aca="false">IF(AB593=1,IF(COUNTIFS($B$5:B593,B593,$D$5:D593,D593,$AB$5:AB593,1)=1,1,0),0)</f>
        <v>0</v>
      </c>
    </row>
    <row r="594" customFormat="false" ht="15" hidden="false" customHeight="false" outlineLevel="0" collapsed="false">
      <c r="A594" s="48" t="str">
        <f aca="false">STACK!A594</f>
        <v>ASH-0061</v>
      </c>
      <c r="B594" s="48" t="str">
        <f aca="false">STACK!B594</f>
        <v>ASH</v>
      </c>
      <c r="C594" s="48" t="str">
        <f aca="false">STACK!E594</f>
        <v>Mobile Screening Unit</v>
      </c>
      <c r="D594" s="1" t="str">
        <f aca="false">IFERROR(INDEX(MAP!$J$7:$J$101,MATCH(TRIM(C594),MAP!$I$7:$I$101,0)),"UNMAPPED")</f>
        <v>Mobile Health Screening Unit</v>
      </c>
      <c r="E594" s="1" t="str">
        <f aca="false">IFERROR(INDEX(MAP!$K$7:$K$101,MATCH(TRIM(C594),MAP!$I$7:$I$101,0)),"")</f>
        <v>Access to care</v>
      </c>
      <c r="F594" s="1" t="str">
        <f aca="false">IFERROR(INDEX(MAP!$L$7:$L$101,MATCH(TRIM(C594),MAP!$I$7:$I$101,0)),"")</f>
        <v>Monthly</v>
      </c>
      <c r="G594" s="1" t="n">
        <f aca="false">IFERROR(MATCH(A594,CONFIRM!$A$5:$A$53,0),0)</f>
        <v>0</v>
      </c>
      <c r="H594" s="48" t="str">
        <f aca="false">STACK!F594</f>
        <v>Clinical Svcs</v>
      </c>
      <c r="I594" s="1" t="str">
        <f aca="false">IF(G594&gt;0,IF(INDEX(CONFIRM!$I$5:$I$53,G594)&lt;&gt;"",INDEX(CONFIRM!$I$5:$I$53,G594),H594),H594)</f>
        <v>Clinical Svcs</v>
      </c>
      <c r="J594" s="1" t="str">
        <f aca="false">IFERROR(INDEX(MAP!$F$7:$F$74,MATCH(TRIM(I594),MAP!$E$7:$E$74,0)),"UNMAPPED")</f>
        <v>Community-based clinical services</v>
      </c>
      <c r="K594" s="1" t="str">
        <f aca="false">IFERROR(INDEX(MAP!$G$7:$G$74,MATCH(TRIM(I594),MAP!$E$7:$E$74,0)),"UNMAPPED")</f>
        <v>7e</v>
      </c>
      <c r="L594" s="49" t="str">
        <f aca="false">STACK!G594</f>
        <v>09/30/2025</v>
      </c>
      <c r="M594" s="59" t="n">
        <f aca="false">IF(G594&gt;0,IF(INDEX(CONFIRM!$G$5:$G$53,G594)&lt;&gt;"",INDEX(CONFIRM!$G$5:$G$53,G594),IF(ISNUMBER(L594),L594,IFERROR(DATEVALUE(L594),""))),IF(ISNUMBER(L594),L594,IFERROR(DATEVALUE(L594),"")))</f>
        <v>45930</v>
      </c>
      <c r="N594" s="1" t="str">
        <f aca="false">IF(M594="","Check",IF(AND(M594&gt;=INPUTS!$C$6,M594&lt;=INPUTS!$C$7),"Yes","No"))</f>
        <v>Yes</v>
      </c>
      <c r="O594" s="48" t="str">
        <f aca="false">STACK!H594</f>
        <v>R.N.</v>
      </c>
      <c r="P594" s="1" t="str">
        <f aca="false">IF(G594&gt;0,IF(INDEX(CONFIRM!$H$5:$H$53,G594)&lt;&gt;"",INDEX(CONFIRM!$H$5:$H$53,G594),IFERROR(INDEX(MAP!$B$7:$B$156,MATCH(TRIM(O594),MAP!$A$7:$A$156,0)),"UNMAPPED")),IFERROR(INDEX(MAP!$B$7:$B$156,MATCH(TRIM(O594),MAP!$A$7:$A$156,0)),"UNMAPPED"))</f>
        <v>Registered Nurse</v>
      </c>
      <c r="Q594" s="48" t="n">
        <f aca="false">STACK!I594</f>
        <v>100</v>
      </c>
      <c r="R594" s="60" t="n">
        <f aca="false">IF(G594&gt;0,IF(INDEX(CONFIRM!$F$5:$F$53,G594)&lt;&gt;"",INDEX(CONFIRM!$F$5:$F$53,G594),IF(ISNUMBER(Q594),Q594,IF(Q594="","",IFERROR(VALUE(TRIM(SUBSTITUTE(SUBSTITUTE(LOWER(Q594),"hrs",""),"hr",""))),"")))),IF(ISNUMBER(Q594),Q594,IF(Q594="","",IFERROR(VALUE(TRIM(SUBSTITUTE(SUBSTITUTE(LOWER(Q594),"hrs",""),"hr",""))),""))))</f>
        <v>100</v>
      </c>
      <c r="S594" s="57" t="n">
        <f aca="false">IFERROR(INDEX(RATES!$E$6:$E$28,MATCH(P594,RATES!$A$6:$A$28,0)),0)</f>
        <v>55.8975</v>
      </c>
      <c r="T594" s="61" t="n">
        <f aca="false">IF(ISNUMBER(R594),R594,0)*S594</f>
        <v>5589.75</v>
      </c>
      <c r="U594" s="61" t="n">
        <f aca="false">T594*INDEX(INPUTS!$H$10:$H$14,MATCH(B594,INPUTS!$A$10:$A$14,0))</f>
        <v>905.5395</v>
      </c>
      <c r="V594" s="61" t="n">
        <f aca="false">N(STACK!K594)</f>
        <v>10760</v>
      </c>
      <c r="W594" s="61" t="n">
        <f aca="false">T594+U594+V594</f>
        <v>17255.2895</v>
      </c>
      <c r="X594" s="61" t="n">
        <f aca="false">N(STACK!L594)</f>
        <v>0</v>
      </c>
      <c r="Y594" s="61" t="n">
        <f aca="false">W594-X594</f>
        <v>17255.2895</v>
      </c>
      <c r="Z594" s="1" t="n">
        <f aca="false">N(STACK!J594)</f>
        <v>321</v>
      </c>
      <c r="AA594" s="1" t="str">
        <f aca="false">TRIM(IF(D594="UNMAPPED","Program not mapped. ","")&amp;IF(OR(K594="UNMAPPED",K594="UNASSIGNED"),"Category needs review. ","")&amp;IF(P594="UNMAPPED","Title not mapped. ","")&amp;IF(AND(P594&lt;&gt;"No staff time",R594=""),"Missing hours. ","")&amp;IF(M594="","Date not readable. ","")&amp;IF(N594="No","Outside fiscal year. ","")&amp;IF(AND(F594="Event",ISNUMBER(R594)),IF(R594&gt;12,"Event hours look high. ",""),"")&amp;IF(G594&gt;0,"See CONFIRM sheet.",""))</f>
        <v/>
      </c>
      <c r="AB594" s="1" t="n">
        <f aca="false">IF(N594="No",0,IF(REVIEW!O594=0,0,IF(G594&gt;0,IF(INDEX(CONFIRM!$J$5:$J$53,G594)&lt;&gt;"",INDEX(CONFIRM!$J$5:$J$53,G594),1),1)))</f>
        <v>1</v>
      </c>
      <c r="AC594" s="1" t="n">
        <f aca="false">IF(AB594=1,IF(COUNTIFS($B$5:B594,B594,$D$5:D594,D594,$AB$5:AB594,1)=1,1,0),0)</f>
        <v>0</v>
      </c>
    </row>
    <row r="595" customFormat="false" ht="15" hidden="false" customHeight="false" outlineLevel="0" collapsed="false">
      <c r="A595" s="48" t="str">
        <f aca="false">STACK!A595</f>
        <v>ASH-0062</v>
      </c>
      <c r="B595" s="48" t="str">
        <f aca="false">STACK!B595</f>
        <v>ASH</v>
      </c>
      <c r="C595" s="48" t="str">
        <f aca="false">STACK!E595</f>
        <v>CHW Outreach</v>
      </c>
      <c r="D595" s="1" t="str">
        <f aca="false">IFERROR(INDEX(MAP!$J$7:$J$101,MATCH(TRIM(C595),MAP!$I$7:$I$101,0)),"UNMAPPED")</f>
        <v>Community Health Worker Outreach</v>
      </c>
      <c r="E595" s="1" t="str">
        <f aca="false">IFERROR(INDEX(MAP!$K$7:$K$101,MATCH(TRIM(C595),MAP!$I$7:$I$101,0)),"")</f>
        <v>Access to care</v>
      </c>
      <c r="F595" s="1" t="str">
        <f aca="false">IFERROR(INDEX(MAP!$L$7:$L$101,MATCH(TRIM(C595),MAP!$I$7:$I$101,0)),"")</f>
        <v>Monthly</v>
      </c>
      <c r="G595" s="1" t="n">
        <f aca="false">IFERROR(MATCH(A595,CONFIRM!$A$5:$A$53,0),0)</f>
        <v>0</v>
      </c>
      <c r="H595" s="48" t="str">
        <f aca="false">STACK!F595</f>
        <v>Support Svcs</v>
      </c>
      <c r="I595" s="1" t="str">
        <f aca="false">IF(G595&gt;0,IF(INDEX(CONFIRM!$I$5:$I$53,G595)&lt;&gt;"",INDEX(CONFIRM!$I$5:$I$53,G595),H595),H595)</f>
        <v>Support Svcs</v>
      </c>
      <c r="J595" s="1" t="str">
        <f aca="false">IFERROR(INDEX(MAP!$F$7:$F$74,MATCH(TRIM(I595),MAP!$E$7:$E$74,0)),"UNMAPPED")</f>
        <v>Health care support services</v>
      </c>
      <c r="K595" s="1" t="str">
        <f aca="false">IFERROR(INDEX(MAP!$G$7:$G$74,MATCH(TRIM(I595),MAP!$E$7:$E$74,0)),"UNMAPPED")</f>
        <v>7e</v>
      </c>
      <c r="L595" s="49" t="str">
        <f aca="false">STACK!G595</f>
        <v>09/30/2025</v>
      </c>
      <c r="M595" s="59" t="n">
        <f aca="false">IF(G595&gt;0,IF(INDEX(CONFIRM!$G$5:$G$53,G595)&lt;&gt;"",INDEX(CONFIRM!$G$5:$G$53,G595),IF(ISNUMBER(L595),L595,IFERROR(DATEVALUE(L595),""))),IF(ISNUMBER(L595),L595,IFERROR(DATEVALUE(L595),"")))</f>
        <v>45930</v>
      </c>
      <c r="N595" s="1" t="str">
        <f aca="false">IF(M595="","Check",IF(AND(M595&gt;=INPUTS!$C$6,M595&lt;=INPUTS!$C$7),"Yes","No"))</f>
        <v>Yes</v>
      </c>
      <c r="O595" s="48" t="str">
        <f aca="false">STACK!H595</f>
        <v>CHW II</v>
      </c>
      <c r="P595" s="1" t="str">
        <f aca="false">IF(G595&gt;0,IF(INDEX(CONFIRM!$H$5:$H$53,G595)&lt;&gt;"",INDEX(CONFIRM!$H$5:$H$53,G595),IFERROR(INDEX(MAP!$B$7:$B$156,MATCH(TRIM(O595),MAP!$A$7:$A$156,0)),"UNMAPPED")),IFERROR(INDEX(MAP!$B$7:$B$156,MATCH(TRIM(O595),MAP!$A$7:$A$156,0)),"UNMAPPED"))</f>
        <v>Community Health Worker</v>
      </c>
      <c r="Q595" s="48" t="n">
        <f aca="false">STACK!I595</f>
        <v>396.5</v>
      </c>
      <c r="R595" s="60" t="n">
        <f aca="false">IF(G595&gt;0,IF(INDEX(CONFIRM!$F$5:$F$53,G595)&lt;&gt;"",INDEX(CONFIRM!$F$5:$F$53,G595),IF(ISNUMBER(Q595),Q595,IF(Q595="","",IFERROR(VALUE(TRIM(SUBSTITUTE(SUBSTITUTE(LOWER(Q595),"hrs",""),"hr",""))),"")))),IF(ISNUMBER(Q595),Q595,IF(Q595="","",IFERROR(VALUE(TRIM(SUBSTITUTE(SUBSTITUTE(LOWER(Q595),"hrs",""),"hr",""))),""))))</f>
        <v>396.5</v>
      </c>
      <c r="S595" s="57" t="n">
        <f aca="false">IFERROR(INDEX(RATES!$E$6:$E$28,MATCH(P595,RATES!$A$6:$A$28,0)),0)</f>
        <v>27.6275</v>
      </c>
      <c r="T595" s="61" t="n">
        <f aca="false">IF(ISNUMBER(R595),R595,0)*S595</f>
        <v>10954.30375</v>
      </c>
      <c r="U595" s="61" t="n">
        <f aca="false">T595*INDEX(INPUTS!$H$10:$H$14,MATCH(B595,INPUTS!$A$10:$A$14,0))</f>
        <v>1774.5972075</v>
      </c>
      <c r="V595" s="61" t="n">
        <f aca="false">N(STACK!K595)</f>
        <v>1925</v>
      </c>
      <c r="W595" s="61" t="n">
        <f aca="false">T595+U595+V595</f>
        <v>14653.9009575</v>
      </c>
      <c r="X595" s="61" t="n">
        <f aca="false">N(STACK!L595)</f>
        <v>7500</v>
      </c>
      <c r="Y595" s="61" t="n">
        <f aca="false">W595-X595</f>
        <v>7153.9009575</v>
      </c>
      <c r="Z595" s="1" t="n">
        <f aca="false">N(STACK!J595)</f>
        <v>358</v>
      </c>
      <c r="AA595" s="1" t="str">
        <f aca="false">TRIM(IF(D595="UNMAPPED","Program not mapped. ","")&amp;IF(OR(K595="UNMAPPED",K595="UNASSIGNED"),"Category needs review. ","")&amp;IF(P595="UNMAPPED","Title not mapped. ","")&amp;IF(AND(P595&lt;&gt;"No staff time",R595=""),"Missing hours. ","")&amp;IF(M595="","Date not readable. ","")&amp;IF(N595="No","Outside fiscal year. ","")&amp;IF(AND(F595="Event",ISNUMBER(R595)),IF(R595&gt;12,"Event hours look high. ",""),"")&amp;IF(G595&gt;0,"See CONFIRM sheet.",""))</f>
        <v/>
      </c>
      <c r="AB595" s="1" t="n">
        <f aca="false">IF(N595="No",0,IF(REVIEW!O595=0,0,IF(G595&gt;0,IF(INDEX(CONFIRM!$J$5:$J$53,G595)&lt;&gt;"",INDEX(CONFIRM!$J$5:$J$53,G595),1),1)))</f>
        <v>1</v>
      </c>
      <c r="AC595" s="1" t="n">
        <f aca="false">IF(AB595=1,IF(COUNTIFS($B$5:B595,B595,$D$5:D595,D595,$AB$5:AB595,1)=1,1,0),0)</f>
        <v>0</v>
      </c>
    </row>
    <row r="596" customFormat="false" ht="15" hidden="false" customHeight="false" outlineLevel="0" collapsed="false">
      <c r="A596" s="48" t="str">
        <f aca="false">STACK!A596</f>
        <v>ASH-0063</v>
      </c>
      <c r="B596" s="48" t="str">
        <f aca="false">STACK!B596</f>
        <v>ASH</v>
      </c>
      <c r="C596" s="48" t="str">
        <f aca="false">STACK!E596</f>
        <v>CHW Outreach</v>
      </c>
      <c r="D596" s="1" t="str">
        <f aca="false">IFERROR(INDEX(MAP!$J$7:$J$101,MATCH(TRIM(C596),MAP!$I$7:$I$101,0)),"UNMAPPED")</f>
        <v>Community Health Worker Outreach</v>
      </c>
      <c r="E596" s="1" t="str">
        <f aca="false">IFERROR(INDEX(MAP!$K$7:$K$101,MATCH(TRIM(C596),MAP!$I$7:$I$101,0)),"")</f>
        <v>Access to care</v>
      </c>
      <c r="F596" s="1" t="str">
        <f aca="false">IFERROR(INDEX(MAP!$L$7:$L$101,MATCH(TRIM(C596),MAP!$I$7:$I$101,0)),"")</f>
        <v>Monthly</v>
      </c>
      <c r="G596" s="1" t="n">
        <f aca="false">IFERROR(MATCH(A596,CONFIRM!$A$5:$A$53,0),0)</f>
        <v>0</v>
      </c>
      <c r="H596" s="48" t="str">
        <f aca="false">STACK!F596</f>
        <v>Support Svcs</v>
      </c>
      <c r="I596" s="1" t="str">
        <f aca="false">IF(G596&gt;0,IF(INDEX(CONFIRM!$I$5:$I$53,G596)&lt;&gt;"",INDEX(CONFIRM!$I$5:$I$53,G596),H596),H596)</f>
        <v>Support Svcs</v>
      </c>
      <c r="J596" s="1" t="str">
        <f aca="false">IFERROR(INDEX(MAP!$F$7:$F$74,MATCH(TRIM(I596),MAP!$E$7:$E$74,0)),"UNMAPPED")</f>
        <v>Health care support services</v>
      </c>
      <c r="K596" s="1" t="str">
        <f aca="false">IFERROR(INDEX(MAP!$G$7:$G$74,MATCH(TRIM(I596),MAP!$E$7:$E$74,0)),"UNMAPPED")</f>
        <v>7e</v>
      </c>
      <c r="L596" s="49" t="str">
        <f aca="false">STACK!G596</f>
        <v>09/30/2025</v>
      </c>
      <c r="M596" s="59" t="n">
        <f aca="false">IF(G596&gt;0,IF(INDEX(CONFIRM!$G$5:$G$53,G596)&lt;&gt;"",INDEX(CONFIRM!$G$5:$G$53,G596),IF(ISNUMBER(L596),L596,IFERROR(DATEVALUE(L596),""))),IF(ISNUMBER(L596),L596,IFERROR(DATEVALUE(L596),"")))</f>
        <v>45930</v>
      </c>
      <c r="N596" s="1" t="str">
        <f aca="false">IF(M596="","Check",IF(AND(M596&gt;=INPUTS!$C$6,M596&lt;=INPUTS!$C$7),"Yes","No"))</f>
        <v>Yes</v>
      </c>
      <c r="O596" s="48" t="str">
        <f aca="false">STACK!H596</f>
        <v>CARE NAVIGATOR</v>
      </c>
      <c r="P596" s="1" t="str">
        <f aca="false">IF(G596&gt;0,IF(INDEX(CONFIRM!$H$5:$H$53,G596)&lt;&gt;"",INDEX(CONFIRM!$H$5:$H$53,G596),IFERROR(INDEX(MAP!$B$7:$B$156,MATCH(TRIM(O596),MAP!$A$7:$A$156,0)),"UNMAPPED")),IFERROR(INDEX(MAP!$B$7:$B$156,MATCH(TRIM(O596),MAP!$A$7:$A$156,0)),"UNMAPPED"))</f>
        <v>Patient Navigator</v>
      </c>
      <c r="Q596" s="48" t="n">
        <f aca="false">STACK!I596</f>
        <v>136</v>
      </c>
      <c r="R596" s="60" t="n">
        <f aca="false">IF(G596&gt;0,IF(INDEX(CONFIRM!$F$5:$F$53,G596)&lt;&gt;"",INDEX(CONFIRM!$F$5:$F$53,G596),IF(ISNUMBER(Q596),Q596,IF(Q596="","",IFERROR(VALUE(TRIM(SUBSTITUTE(SUBSTITUTE(LOWER(Q596),"hrs",""),"hr",""))),"")))),IF(ISNUMBER(Q596),Q596,IF(Q596="","",IFERROR(VALUE(TRIM(SUBSTITUTE(SUBSTITUTE(LOWER(Q596),"hrs",""),"hr",""))),""))))</f>
        <v>136</v>
      </c>
      <c r="S596" s="57" t="n">
        <f aca="false">IFERROR(INDEX(RATES!$E$6:$E$28,MATCH(P596,RATES!$A$6:$A$28,0)),0)</f>
        <v>30.84</v>
      </c>
      <c r="T596" s="61" t="n">
        <f aca="false">IF(ISNUMBER(R596),R596,0)*S596</f>
        <v>4194.24</v>
      </c>
      <c r="U596" s="61" t="n">
        <f aca="false">T596*INDEX(INPUTS!$H$10:$H$14,MATCH(B596,INPUTS!$A$10:$A$14,0))</f>
        <v>679.46688</v>
      </c>
      <c r="V596" s="61" t="n">
        <f aca="false">N(STACK!K596)</f>
        <v>0</v>
      </c>
      <c r="W596" s="61" t="n">
        <f aca="false">T596+U596+V596</f>
        <v>4873.70688</v>
      </c>
      <c r="X596" s="61" t="n">
        <f aca="false">N(STACK!L596)</f>
        <v>0</v>
      </c>
      <c r="Y596" s="61" t="n">
        <f aca="false">W596-X596</f>
        <v>4873.70688</v>
      </c>
      <c r="Z596" s="1" t="n">
        <f aca="false">N(STACK!J596)</f>
        <v>0</v>
      </c>
      <c r="AA596" s="1" t="str">
        <f aca="false">TRIM(IF(D596="UNMAPPED","Program not mapped. ","")&amp;IF(OR(K596="UNMAPPED",K596="UNASSIGNED"),"Category needs review. ","")&amp;IF(P596="UNMAPPED","Title not mapped. ","")&amp;IF(AND(P596&lt;&gt;"No staff time",R596=""),"Missing hours. ","")&amp;IF(M596="","Date not readable. ","")&amp;IF(N596="No","Outside fiscal year. ","")&amp;IF(AND(F596="Event",ISNUMBER(R596)),IF(R596&gt;12,"Event hours look high. ",""),"")&amp;IF(G596&gt;0,"See CONFIRM sheet.",""))</f>
        <v/>
      </c>
      <c r="AB596" s="1" t="n">
        <f aca="false">IF(N596="No",0,IF(REVIEW!O596=0,0,IF(G596&gt;0,IF(INDEX(CONFIRM!$J$5:$J$53,G596)&lt;&gt;"",INDEX(CONFIRM!$J$5:$J$53,G596),1),1)))</f>
        <v>1</v>
      </c>
      <c r="AC596" s="1" t="n">
        <f aca="false">IF(AB596=1,IF(COUNTIFS($B$5:B596,B596,$D$5:D596,D596,$AB$5:AB596,1)=1,1,0),0)</f>
        <v>0</v>
      </c>
    </row>
    <row r="597" customFormat="false" ht="15" hidden="false" customHeight="false" outlineLevel="0" collapsed="false">
      <c r="A597" s="48" t="str">
        <f aca="false">STACK!A597</f>
        <v>ASH-0064</v>
      </c>
      <c r="B597" s="48" t="str">
        <f aca="false">STACK!B597</f>
        <v>ASH</v>
      </c>
      <c r="C597" s="48" t="str">
        <f aca="false">STACK!E597</f>
        <v>Produce Rx</v>
      </c>
      <c r="D597" s="1" t="str">
        <f aca="false">IFERROR(INDEX(MAP!$J$7:$J$101,MATCH(TRIM(C597),MAP!$I$7:$I$101,0)),"UNMAPPED")</f>
        <v>Produce Prescription Program</v>
      </c>
      <c r="E597" s="1" t="str">
        <f aca="false">IFERROR(INDEX(MAP!$K$7:$K$101,MATCH(TRIM(C597),MAP!$I$7:$I$101,0)),"")</f>
        <v>Food and housing security</v>
      </c>
      <c r="F597" s="1" t="str">
        <f aca="false">IFERROR(INDEX(MAP!$L$7:$L$101,MATCH(TRIM(C597),MAP!$I$7:$I$101,0)),"")</f>
        <v>Monthly</v>
      </c>
      <c r="G597" s="1" t="n">
        <f aca="false">IFERROR(MATCH(A597,CONFIRM!$A$5:$A$53,0),0)</f>
        <v>0</v>
      </c>
      <c r="H597" s="48" t="str">
        <f aca="false">STACK!F597</f>
        <v>Support Svcs</v>
      </c>
      <c r="I597" s="1" t="str">
        <f aca="false">IF(G597&gt;0,IF(INDEX(CONFIRM!$I$5:$I$53,G597)&lt;&gt;"",INDEX(CONFIRM!$I$5:$I$53,G597),H597),H597)</f>
        <v>Support Svcs</v>
      </c>
      <c r="J597" s="1" t="str">
        <f aca="false">IFERROR(INDEX(MAP!$F$7:$F$74,MATCH(TRIM(I597),MAP!$E$7:$E$74,0)),"UNMAPPED")</f>
        <v>Health care support services</v>
      </c>
      <c r="K597" s="1" t="str">
        <f aca="false">IFERROR(INDEX(MAP!$G$7:$G$74,MATCH(TRIM(I597),MAP!$E$7:$E$74,0)),"UNMAPPED")</f>
        <v>7e</v>
      </c>
      <c r="L597" s="49" t="str">
        <f aca="false">STACK!G597</f>
        <v>09/30/2025</v>
      </c>
      <c r="M597" s="59" t="n">
        <f aca="false">IF(G597&gt;0,IF(INDEX(CONFIRM!$G$5:$G$53,G597)&lt;&gt;"",INDEX(CONFIRM!$G$5:$G$53,G597),IF(ISNUMBER(L597),L597,IFERROR(DATEVALUE(L597),""))),IF(ISNUMBER(L597),L597,IFERROR(DATEVALUE(L597),"")))</f>
        <v>45930</v>
      </c>
      <c r="N597" s="1" t="str">
        <f aca="false">IF(M597="","Check",IF(AND(M597&gt;=INPUTS!$C$6,M597&lt;=INPUTS!$C$7),"Yes","No"))</f>
        <v>Yes</v>
      </c>
      <c r="O597" s="48" t="str">
        <f aca="false">STACK!H597</f>
        <v>Community Health Worker</v>
      </c>
      <c r="P597" s="1" t="str">
        <f aca="false">IF(G597&gt;0,IF(INDEX(CONFIRM!$H$5:$H$53,G597)&lt;&gt;"",INDEX(CONFIRM!$H$5:$H$53,G597),IFERROR(INDEX(MAP!$B$7:$B$156,MATCH(TRIM(O597),MAP!$A$7:$A$156,0)),"UNMAPPED")),IFERROR(INDEX(MAP!$B$7:$B$156,MATCH(TRIM(O597),MAP!$A$7:$A$156,0)),"UNMAPPED"))</f>
        <v>Community Health Worker</v>
      </c>
      <c r="Q597" s="48" t="n">
        <f aca="false">STACK!I597</f>
        <v>59.5</v>
      </c>
      <c r="R597" s="60" t="n">
        <f aca="false">IF(G597&gt;0,IF(INDEX(CONFIRM!$F$5:$F$53,G597)&lt;&gt;"",INDEX(CONFIRM!$F$5:$F$53,G597),IF(ISNUMBER(Q597),Q597,IF(Q597="","",IFERROR(VALUE(TRIM(SUBSTITUTE(SUBSTITUTE(LOWER(Q597),"hrs",""),"hr",""))),"")))),IF(ISNUMBER(Q597),Q597,IF(Q597="","",IFERROR(VALUE(TRIM(SUBSTITUTE(SUBSTITUTE(LOWER(Q597),"hrs",""),"hr",""))),""))))</f>
        <v>59.5</v>
      </c>
      <c r="S597" s="57" t="n">
        <f aca="false">IFERROR(INDEX(RATES!$E$6:$E$28,MATCH(P597,RATES!$A$6:$A$28,0)),0)</f>
        <v>27.6275</v>
      </c>
      <c r="T597" s="61" t="n">
        <f aca="false">IF(ISNUMBER(R597),R597,0)*S597</f>
        <v>1643.83625</v>
      </c>
      <c r="U597" s="61" t="n">
        <f aca="false">T597*INDEX(INPUTS!$H$10:$H$14,MATCH(B597,INPUTS!$A$10:$A$14,0))</f>
        <v>266.3014725</v>
      </c>
      <c r="V597" s="61" t="n">
        <f aca="false">N(STACK!K597)</f>
        <v>0</v>
      </c>
      <c r="W597" s="61" t="n">
        <f aca="false">T597+U597+V597</f>
        <v>1910.1377225</v>
      </c>
      <c r="X597" s="61" t="n">
        <f aca="false">N(STACK!L597)</f>
        <v>0</v>
      </c>
      <c r="Y597" s="61" t="n">
        <f aca="false">W597-X597</f>
        <v>1910.1377225</v>
      </c>
      <c r="Z597" s="1" t="n">
        <f aca="false">N(STACK!J597)</f>
        <v>0</v>
      </c>
      <c r="AA597" s="1" t="str">
        <f aca="false">TRIM(IF(D597="UNMAPPED","Program not mapped. ","")&amp;IF(OR(K597="UNMAPPED",K597="UNASSIGNED"),"Category needs review. ","")&amp;IF(P597="UNMAPPED","Title not mapped. ","")&amp;IF(AND(P597&lt;&gt;"No staff time",R597=""),"Missing hours. ","")&amp;IF(M597="","Date not readable. ","")&amp;IF(N597="No","Outside fiscal year. ","")&amp;IF(AND(F597="Event",ISNUMBER(R597)),IF(R597&gt;12,"Event hours look high. ",""),"")&amp;IF(G597&gt;0,"See CONFIRM sheet.",""))</f>
        <v/>
      </c>
      <c r="AB597" s="1" t="n">
        <f aca="false">IF(N597="No",0,IF(REVIEW!O597=0,0,IF(G597&gt;0,IF(INDEX(CONFIRM!$J$5:$J$53,G597)&lt;&gt;"",INDEX(CONFIRM!$J$5:$J$53,G597),1),1)))</f>
        <v>1</v>
      </c>
      <c r="AC597" s="1" t="n">
        <f aca="false">IF(AB597=1,IF(COUNTIFS($B$5:B597,B597,$D$5:D597,D597,$AB$5:AB597,1)=1,1,0),0)</f>
        <v>0</v>
      </c>
    </row>
    <row r="598" customFormat="false" ht="15" hidden="false" customHeight="false" outlineLevel="0" collapsed="false">
      <c r="A598" s="48" t="str">
        <f aca="false">STACK!A598</f>
        <v>ASH-0065</v>
      </c>
      <c r="B598" s="48" t="str">
        <f aca="false">STACK!B598</f>
        <v>ASH</v>
      </c>
      <c r="C598" s="48" t="str">
        <f aca="false">STACK!E598</f>
        <v>Produce Rx</v>
      </c>
      <c r="D598" s="1" t="str">
        <f aca="false">IFERROR(INDEX(MAP!$J$7:$J$101,MATCH(TRIM(C598),MAP!$I$7:$I$101,0)),"UNMAPPED")</f>
        <v>Produce Prescription Program</v>
      </c>
      <c r="E598" s="1" t="str">
        <f aca="false">IFERROR(INDEX(MAP!$K$7:$K$101,MATCH(TRIM(C598),MAP!$I$7:$I$101,0)),"")</f>
        <v>Food and housing security</v>
      </c>
      <c r="F598" s="1" t="str">
        <f aca="false">IFERROR(INDEX(MAP!$L$7:$L$101,MATCH(TRIM(C598),MAP!$I$7:$I$101,0)),"")</f>
        <v>Monthly</v>
      </c>
      <c r="G598" s="1" t="n">
        <f aca="false">IFERROR(MATCH(A598,CONFIRM!$A$5:$A$53,0),0)</f>
        <v>0</v>
      </c>
      <c r="H598" s="48" t="str">
        <f aca="false">STACK!F598</f>
        <v>Support Svcs</v>
      </c>
      <c r="I598" s="1" t="str">
        <f aca="false">IF(G598&gt;0,IF(INDEX(CONFIRM!$I$5:$I$53,G598)&lt;&gt;"",INDEX(CONFIRM!$I$5:$I$53,G598),H598),H598)</f>
        <v>Support Svcs</v>
      </c>
      <c r="J598" s="1" t="str">
        <f aca="false">IFERROR(INDEX(MAP!$F$7:$F$74,MATCH(TRIM(I598),MAP!$E$7:$E$74,0)),"UNMAPPED")</f>
        <v>Health care support services</v>
      </c>
      <c r="K598" s="1" t="str">
        <f aca="false">IFERROR(INDEX(MAP!$G$7:$G$74,MATCH(TRIM(I598),MAP!$E$7:$E$74,0)),"UNMAPPED")</f>
        <v>7e</v>
      </c>
      <c r="L598" s="49" t="str">
        <f aca="false">STACK!G598</f>
        <v>09/30/2025</v>
      </c>
      <c r="M598" s="59" t="n">
        <f aca="false">IF(G598&gt;0,IF(INDEX(CONFIRM!$G$5:$G$53,G598)&lt;&gt;"",INDEX(CONFIRM!$G$5:$G$53,G598),IF(ISNUMBER(L598),L598,IFERROR(DATEVALUE(L598),""))),IF(ISNUMBER(L598),L598,IFERROR(DATEVALUE(L598),"")))</f>
        <v>45930</v>
      </c>
      <c r="N598" s="1" t="str">
        <f aca="false">IF(M598="","Check",IF(AND(M598&gt;=INPUTS!$C$6,M598&lt;=INPUTS!$C$7),"Yes","No"))</f>
        <v>Yes</v>
      </c>
      <c r="O598" s="48" t="str">
        <f aca="false">STACK!H598</f>
        <v>Nutritionist</v>
      </c>
      <c r="P598" s="1" t="str">
        <f aca="false">IF(G598&gt;0,IF(INDEX(CONFIRM!$H$5:$H$53,G598)&lt;&gt;"",INDEX(CONFIRM!$H$5:$H$53,G598),IFERROR(INDEX(MAP!$B$7:$B$156,MATCH(TRIM(O598),MAP!$A$7:$A$156,0)),"UNMAPPED")),IFERROR(INDEX(MAP!$B$7:$B$156,MATCH(TRIM(O598),MAP!$A$7:$A$156,0)),"UNMAPPED"))</f>
        <v>Registered Dietitian</v>
      </c>
      <c r="Q598" s="48" t="n">
        <f aca="false">STACK!I598</f>
        <v>26.75</v>
      </c>
      <c r="R598" s="60" t="n">
        <f aca="false">IF(G598&gt;0,IF(INDEX(CONFIRM!$F$5:$F$53,G598)&lt;&gt;"",INDEX(CONFIRM!$F$5:$F$53,G598),IF(ISNUMBER(Q598),Q598,IF(Q598="","",IFERROR(VALUE(TRIM(SUBSTITUTE(SUBSTITUTE(LOWER(Q598),"hrs",""),"hr",""))),"")))),IF(ISNUMBER(Q598),Q598,IF(Q598="","",IFERROR(VALUE(TRIM(SUBSTITUTE(SUBSTITUTE(LOWER(Q598),"hrs",""),"hr",""))),""))))</f>
        <v>26.75</v>
      </c>
      <c r="S598" s="57" t="n">
        <f aca="false">IFERROR(INDEX(RATES!$E$6:$E$28,MATCH(P598,RATES!$A$6:$A$28,0)),0)</f>
        <v>46.9025</v>
      </c>
      <c r="T598" s="61" t="n">
        <f aca="false">IF(ISNUMBER(R598),R598,0)*S598</f>
        <v>1254.641875</v>
      </c>
      <c r="U598" s="61" t="n">
        <f aca="false">T598*INDEX(INPUTS!$H$10:$H$14,MATCH(B598,INPUTS!$A$10:$A$14,0))</f>
        <v>203.25198375</v>
      </c>
      <c r="V598" s="61" t="n">
        <f aca="false">N(STACK!K598)</f>
        <v>12215</v>
      </c>
      <c r="W598" s="61" t="n">
        <f aca="false">T598+U598+V598</f>
        <v>13672.89385875</v>
      </c>
      <c r="X598" s="61" t="n">
        <f aca="false">N(STACK!L598)</f>
        <v>3410</v>
      </c>
      <c r="Y598" s="61" t="n">
        <f aca="false">W598-X598</f>
        <v>10262.89385875</v>
      </c>
      <c r="Z598" s="1" t="n">
        <f aca="false">N(STACK!J598)</f>
        <v>136</v>
      </c>
      <c r="AA598" s="1" t="str">
        <f aca="false">TRIM(IF(D598="UNMAPPED","Program not mapped. ","")&amp;IF(OR(K598="UNMAPPED",K598="UNASSIGNED"),"Category needs review. ","")&amp;IF(P598="UNMAPPED","Title not mapped. ","")&amp;IF(AND(P598&lt;&gt;"No staff time",R598=""),"Missing hours. ","")&amp;IF(M598="","Date not readable. ","")&amp;IF(N598="No","Outside fiscal year. ","")&amp;IF(AND(F598="Event",ISNUMBER(R598)),IF(R598&gt;12,"Event hours look high. ",""),"")&amp;IF(G598&gt;0,"See CONFIRM sheet.",""))</f>
        <v/>
      </c>
      <c r="AB598" s="1" t="n">
        <f aca="false">IF(N598="No",0,IF(REVIEW!O598=0,0,IF(G598&gt;0,IF(INDEX(CONFIRM!$J$5:$J$53,G598)&lt;&gt;"",INDEX(CONFIRM!$J$5:$J$53,G598),1),1)))</f>
        <v>1</v>
      </c>
      <c r="AC598" s="1" t="n">
        <f aca="false">IF(AB598=1,IF(COUNTIFS($B$5:B598,B598,$D$5:D598,D598,$AB$5:AB598,1)=1,1,0),0)</f>
        <v>0</v>
      </c>
    </row>
    <row r="599" customFormat="false" ht="15" hidden="false" customHeight="false" outlineLevel="0" collapsed="false">
      <c r="A599" s="48" t="str">
        <f aca="false">STACK!A599</f>
        <v>ASH-0066</v>
      </c>
      <c r="B599" s="48" t="str">
        <f aca="false">STACK!B599</f>
        <v>ASH</v>
      </c>
      <c r="C599" s="48" t="str">
        <f aca="false">STACK!E599</f>
        <v>CB Program Admin</v>
      </c>
      <c r="D599" s="1" t="str">
        <f aca="false">IFERROR(INDEX(MAP!$J$7:$J$101,MATCH(TRIM(C599),MAP!$I$7:$I$101,0)),"UNMAPPED")</f>
        <v>Community Benefit Program Administration</v>
      </c>
      <c r="E599" s="1" t="str">
        <f aca="false">IFERROR(INDEX(MAP!$K$7:$K$101,MATCH(TRIM(C599),MAP!$I$7:$I$101,0)),"")</f>
        <v>Community benefit infrastructure</v>
      </c>
      <c r="F599" s="1" t="str">
        <f aca="false">IFERROR(INDEX(MAP!$L$7:$L$101,MATCH(TRIM(C599),MAP!$I$7:$I$101,0)),"")</f>
        <v>Monthly</v>
      </c>
      <c r="G599" s="1" t="n">
        <f aca="false">IFERROR(MATCH(A599,CONFIRM!$A$5:$A$53,0),0)</f>
        <v>0</v>
      </c>
      <c r="H599" s="48" t="str">
        <f aca="false">STACK!F599</f>
        <v>CB Admin</v>
      </c>
      <c r="I599" s="1" t="str">
        <f aca="false">IF(G599&gt;0,IF(INDEX(CONFIRM!$I$5:$I$53,G599)&lt;&gt;"",INDEX(CONFIRM!$I$5:$I$53,G599),H599),H599)</f>
        <v>CB Admin</v>
      </c>
      <c r="J599" s="1" t="str">
        <f aca="false">IFERROR(INDEX(MAP!$F$7:$F$74,MATCH(TRIM(I599),MAP!$E$7:$E$74,0)),"UNMAPPED")</f>
        <v>Community benefit operations</v>
      </c>
      <c r="K599" s="1" t="str">
        <f aca="false">IFERROR(INDEX(MAP!$G$7:$G$74,MATCH(TRIM(I599),MAP!$E$7:$E$74,0)),"UNMAPPED")</f>
        <v>7e</v>
      </c>
      <c r="L599" s="49" t="str">
        <f aca="false">STACK!G599</f>
        <v>09/30/2025</v>
      </c>
      <c r="M599" s="59" t="n">
        <f aca="false">IF(G599&gt;0,IF(INDEX(CONFIRM!$G$5:$G$53,G599)&lt;&gt;"",INDEX(CONFIRM!$G$5:$G$53,G599),IF(ISNUMBER(L599),L599,IFERROR(DATEVALUE(L599),""))),IF(ISNUMBER(L599),L599,IFERROR(DATEVALUE(L599),"")))</f>
        <v>45930</v>
      </c>
      <c r="N599" s="1" t="str">
        <f aca="false">IF(M599="","Check",IF(AND(M599&gt;=INPUTS!$C$6,M599&lt;=INPUTS!$C$7),"Yes","No"))</f>
        <v>Yes</v>
      </c>
      <c r="O599" s="48" t="str">
        <f aca="false">STACK!H599</f>
        <v>Administrative Assistant</v>
      </c>
      <c r="P599" s="1" t="str">
        <f aca="false">IF(G599&gt;0,IF(INDEX(CONFIRM!$H$5:$H$53,G599)&lt;&gt;"",INDEX(CONFIRM!$H$5:$H$53,G599),IFERROR(INDEX(MAP!$B$7:$B$156,MATCH(TRIM(O599),MAP!$A$7:$A$156,0)),"UNMAPPED")),IFERROR(INDEX(MAP!$B$7:$B$156,MATCH(TRIM(O599),MAP!$A$7:$A$156,0)),"UNMAPPED"))</f>
        <v>Administrative Assistant</v>
      </c>
      <c r="Q599" s="48" t="n">
        <f aca="false">STACK!I599</f>
        <v>44</v>
      </c>
      <c r="R599" s="60" t="n">
        <f aca="false">IF(G599&gt;0,IF(INDEX(CONFIRM!$F$5:$F$53,G599)&lt;&gt;"",INDEX(CONFIRM!$F$5:$F$53,G599),IF(ISNUMBER(Q599),Q599,IF(Q599="","",IFERROR(VALUE(TRIM(SUBSTITUTE(SUBSTITUTE(LOWER(Q599),"hrs",""),"hr",""))),"")))),IF(ISNUMBER(Q599),Q599,IF(Q599="","",IFERROR(VALUE(TRIM(SUBSTITUTE(SUBSTITUTE(LOWER(Q599),"hrs",""),"hr",""))),""))))</f>
        <v>44</v>
      </c>
      <c r="S599" s="57" t="n">
        <f aca="false">IFERROR(INDEX(RATES!$E$6:$E$28,MATCH(P599,RATES!$A$6:$A$28,0)),0)</f>
        <v>26.985</v>
      </c>
      <c r="T599" s="61" t="n">
        <f aca="false">IF(ISNUMBER(R599),R599,0)*S599</f>
        <v>1187.34</v>
      </c>
      <c r="U599" s="61" t="n">
        <f aca="false">T599*INDEX(INPUTS!$H$10:$H$14,MATCH(B599,INPUTS!$A$10:$A$14,0))</f>
        <v>192.34908</v>
      </c>
      <c r="V599" s="61" t="n">
        <f aca="false">N(STACK!K599)</f>
        <v>0</v>
      </c>
      <c r="W599" s="61" t="n">
        <f aca="false">T599+U599+V599</f>
        <v>1379.68908</v>
      </c>
      <c r="X599" s="61" t="n">
        <f aca="false">N(STACK!L599)</f>
        <v>0</v>
      </c>
      <c r="Y599" s="61" t="n">
        <f aca="false">W599-X599</f>
        <v>1379.68908</v>
      </c>
      <c r="Z599" s="1" t="n">
        <f aca="false">N(STACK!J599)</f>
        <v>0</v>
      </c>
      <c r="AA599" s="1" t="str">
        <f aca="false">TRIM(IF(D599="UNMAPPED","Program not mapped. ","")&amp;IF(OR(K599="UNMAPPED",K599="UNASSIGNED"),"Category needs review. ","")&amp;IF(P599="UNMAPPED","Title not mapped. ","")&amp;IF(AND(P599&lt;&gt;"No staff time",R599=""),"Missing hours. ","")&amp;IF(M599="","Date not readable. ","")&amp;IF(N599="No","Outside fiscal year. ","")&amp;IF(AND(F599="Event",ISNUMBER(R599)),IF(R599&gt;12,"Event hours look high. ",""),"")&amp;IF(G599&gt;0,"See CONFIRM sheet.",""))</f>
        <v/>
      </c>
      <c r="AB599" s="1" t="n">
        <f aca="false">IF(N599="No",0,IF(REVIEW!O599=0,0,IF(G599&gt;0,IF(INDEX(CONFIRM!$J$5:$J$53,G599)&lt;&gt;"",INDEX(CONFIRM!$J$5:$J$53,G599),1),1)))</f>
        <v>1</v>
      </c>
      <c r="AC599" s="1" t="n">
        <f aca="false">IF(AB599=1,IF(COUNTIFS($B$5:B599,B599,$D$5:D599,D599,$AB$5:AB599,1)=1,1,0),0)</f>
        <v>0</v>
      </c>
    </row>
    <row r="600" customFormat="false" ht="15" hidden="false" customHeight="false" outlineLevel="0" collapsed="false">
      <c r="A600" s="48" t="str">
        <f aca="false">STACK!A600</f>
        <v>ASH-0067</v>
      </c>
      <c r="B600" s="48" t="str">
        <f aca="false">STACK!B600</f>
        <v>ASH</v>
      </c>
      <c r="C600" s="48" t="str">
        <f aca="false">STACK!E600</f>
        <v>CB Program Admin</v>
      </c>
      <c r="D600" s="1" t="str">
        <f aca="false">IFERROR(INDEX(MAP!$J$7:$J$101,MATCH(TRIM(C600),MAP!$I$7:$I$101,0)),"UNMAPPED")</f>
        <v>Community Benefit Program Administration</v>
      </c>
      <c r="E600" s="1" t="str">
        <f aca="false">IFERROR(INDEX(MAP!$K$7:$K$101,MATCH(TRIM(C600),MAP!$I$7:$I$101,0)),"")</f>
        <v>Community benefit infrastructure</v>
      </c>
      <c r="F600" s="1" t="str">
        <f aca="false">IFERROR(INDEX(MAP!$L$7:$L$101,MATCH(TRIM(C600),MAP!$I$7:$I$101,0)),"")</f>
        <v>Monthly</v>
      </c>
      <c r="G600" s="1" t="n">
        <f aca="false">IFERROR(MATCH(A600,CONFIRM!$A$5:$A$53,0),0)</f>
        <v>0</v>
      </c>
      <c r="H600" s="48" t="str">
        <f aca="false">STACK!F600</f>
        <v>CB Admin</v>
      </c>
      <c r="I600" s="1" t="str">
        <f aca="false">IF(G600&gt;0,IF(INDEX(CONFIRM!$I$5:$I$53,G600)&lt;&gt;"",INDEX(CONFIRM!$I$5:$I$53,G600),H600),H600)</f>
        <v>CB Admin</v>
      </c>
      <c r="J600" s="1" t="str">
        <f aca="false">IFERROR(INDEX(MAP!$F$7:$F$74,MATCH(TRIM(I600),MAP!$E$7:$E$74,0)),"UNMAPPED")</f>
        <v>Community benefit operations</v>
      </c>
      <c r="K600" s="1" t="str">
        <f aca="false">IFERROR(INDEX(MAP!$G$7:$G$74,MATCH(TRIM(I600),MAP!$E$7:$E$74,0)),"UNMAPPED")</f>
        <v>7e</v>
      </c>
      <c r="L600" s="49" t="str">
        <f aca="false">STACK!G600</f>
        <v>09/30/2025</v>
      </c>
      <c r="M600" s="59" t="n">
        <f aca="false">IF(G600&gt;0,IF(INDEX(CONFIRM!$G$5:$G$53,G600)&lt;&gt;"",INDEX(CONFIRM!$G$5:$G$53,G600),IF(ISNUMBER(L600),L600,IFERROR(DATEVALUE(L600),""))),IF(ISNUMBER(L600),L600,IFERROR(DATEVALUE(L600),"")))</f>
        <v>45930</v>
      </c>
      <c r="N600" s="1" t="str">
        <f aca="false">IF(M600="","Check",IF(AND(M600&gt;=INPUTS!$C$6,M600&lt;=INPUTS!$C$7),"Yes","No"))</f>
        <v>Yes</v>
      </c>
      <c r="O600" s="48" t="str">
        <f aca="false">STACK!H600</f>
        <v>CB Manager</v>
      </c>
      <c r="P600" s="1" t="str">
        <f aca="false">IF(G600&gt;0,IF(INDEX(CONFIRM!$H$5:$H$53,G600)&lt;&gt;"",INDEX(CONFIRM!$H$5:$H$53,G600),IFERROR(INDEX(MAP!$B$7:$B$156,MATCH(TRIM(O600),MAP!$A$7:$A$156,0)),"UNMAPPED")),IFERROR(INDEX(MAP!$B$7:$B$156,MATCH(TRIM(O600),MAP!$A$7:$A$156,0)),"UNMAPPED"))</f>
        <v>Community Benefit Manager</v>
      </c>
      <c r="Q600" s="48" t="n">
        <f aca="false">STACK!I600</f>
        <v>68</v>
      </c>
      <c r="R600" s="60" t="n">
        <f aca="false">IF(G600&gt;0,IF(INDEX(CONFIRM!$F$5:$F$53,G600)&lt;&gt;"",INDEX(CONFIRM!$F$5:$F$53,G600),IF(ISNUMBER(Q600),Q600,IF(Q600="","",IFERROR(VALUE(TRIM(SUBSTITUTE(SUBSTITUTE(LOWER(Q600),"hrs",""),"hr",""))),"")))),IF(ISNUMBER(Q600),Q600,IF(Q600="","",IFERROR(VALUE(TRIM(SUBSTITUTE(SUBSTITUTE(LOWER(Q600),"hrs",""),"hr",""))),""))))</f>
        <v>68</v>
      </c>
      <c r="S600" s="57" t="n">
        <f aca="false">IFERROR(INDEX(RATES!$E$6:$E$28,MATCH(P600,RATES!$A$6:$A$28,0)),0)</f>
        <v>59.11</v>
      </c>
      <c r="T600" s="61" t="n">
        <f aca="false">IF(ISNUMBER(R600),R600,0)*S600</f>
        <v>4019.48</v>
      </c>
      <c r="U600" s="61" t="n">
        <f aca="false">T600*INDEX(INPUTS!$H$10:$H$14,MATCH(B600,INPUTS!$A$10:$A$14,0))</f>
        <v>651.15576</v>
      </c>
      <c r="V600" s="61" t="n">
        <f aca="false">N(STACK!K600)</f>
        <v>690</v>
      </c>
      <c r="W600" s="61" t="n">
        <f aca="false">T600+U600+V600</f>
        <v>5360.63576</v>
      </c>
      <c r="X600" s="61" t="n">
        <f aca="false">N(STACK!L600)</f>
        <v>0</v>
      </c>
      <c r="Y600" s="61" t="n">
        <f aca="false">W600-X600</f>
        <v>5360.63576</v>
      </c>
      <c r="Z600" s="1" t="n">
        <f aca="false">N(STACK!J600)</f>
        <v>0</v>
      </c>
      <c r="AA600" s="1" t="str">
        <f aca="false">TRIM(IF(D600="UNMAPPED","Program not mapped. ","")&amp;IF(OR(K600="UNMAPPED",K600="UNASSIGNED"),"Category needs review. ","")&amp;IF(P600="UNMAPPED","Title not mapped. ","")&amp;IF(AND(P600&lt;&gt;"No staff time",R600=""),"Missing hours. ","")&amp;IF(M600="","Date not readable. ","")&amp;IF(N600="No","Outside fiscal year. ","")&amp;IF(AND(F600="Event",ISNUMBER(R600)),IF(R600&gt;12,"Event hours look high. ",""),"")&amp;IF(G600&gt;0,"See CONFIRM sheet.",""))</f>
        <v/>
      </c>
      <c r="AB600" s="1" t="n">
        <f aca="false">IF(N600="No",0,IF(REVIEW!O600=0,0,IF(G600&gt;0,IF(INDEX(CONFIRM!$J$5:$J$53,G600)&lt;&gt;"",INDEX(CONFIRM!$J$5:$J$53,G600),1),1)))</f>
        <v>1</v>
      </c>
      <c r="AC600" s="1" t="n">
        <f aca="false">IF(AB600=1,IF(COUNTIFS($B$5:B600,B600,$D$5:D600,D600,$AB$5:AB600,1)=1,1,0),0)</f>
        <v>0</v>
      </c>
    </row>
    <row r="601" customFormat="false" ht="15" hidden="false" customHeight="false" outlineLevel="0" collapsed="false">
      <c r="A601" s="48" t="str">
        <f aca="false">STACK!A601</f>
        <v>ASH-0068</v>
      </c>
      <c r="B601" s="48" t="str">
        <f aca="false">STACK!B601</f>
        <v>ASH</v>
      </c>
      <c r="C601" s="48" t="str">
        <f aca="false">STACK!E601</f>
        <v>Nursing Clinicals</v>
      </c>
      <c r="D601" s="1" t="str">
        <f aca="false">IFERROR(INDEX(MAP!$J$7:$J$101,MATCH(TRIM(C601),MAP!$I$7:$I$101,0)),"UNMAPPED")</f>
        <v>Nursing Student Clinical Rotations</v>
      </c>
      <c r="E601" s="1" t="str">
        <f aca="false">IFERROR(INDEX(MAP!$K$7:$K$101,MATCH(TRIM(C601),MAP!$I$7:$I$101,0)),"")</f>
        <v>Health workforce</v>
      </c>
      <c r="F601" s="1" t="str">
        <f aca="false">IFERROR(INDEX(MAP!$L$7:$L$101,MATCH(TRIM(C601),MAP!$I$7:$I$101,0)),"")</f>
        <v>Monthly</v>
      </c>
      <c r="G601" s="1" t="n">
        <f aca="false">IFERROR(MATCH(A601,CONFIRM!$A$5:$A$53,0),0)</f>
        <v>0</v>
      </c>
      <c r="H601" s="48" t="str">
        <f aca="false">STACK!F601</f>
        <v>HPE</v>
      </c>
      <c r="I601" s="1" t="str">
        <f aca="false">IF(G601&gt;0,IF(INDEX(CONFIRM!$I$5:$I$53,G601)&lt;&gt;"",INDEX(CONFIRM!$I$5:$I$53,G601),H601),H601)</f>
        <v>HPE</v>
      </c>
      <c r="J601" s="1" t="str">
        <f aca="false">IFERROR(INDEX(MAP!$F$7:$F$74,MATCH(TRIM(I601),MAP!$E$7:$E$74,0)),"UNMAPPED")</f>
        <v>Health professions education</v>
      </c>
      <c r="K601" s="1" t="str">
        <f aca="false">IFERROR(INDEX(MAP!$G$7:$G$74,MATCH(TRIM(I601),MAP!$E$7:$E$74,0)),"UNMAPPED")</f>
        <v>7f</v>
      </c>
      <c r="L601" s="49" t="str">
        <f aca="false">STACK!G601</f>
        <v>09/30/2025</v>
      </c>
      <c r="M601" s="59" t="n">
        <f aca="false">IF(G601&gt;0,IF(INDEX(CONFIRM!$G$5:$G$53,G601)&lt;&gt;"",INDEX(CONFIRM!$G$5:$G$53,G601),IF(ISNUMBER(L601),L601,IFERROR(DATEVALUE(L601),""))),IF(ISNUMBER(L601),L601,IFERROR(DATEVALUE(L601),"")))</f>
        <v>45930</v>
      </c>
      <c r="N601" s="1" t="str">
        <f aca="false">IF(M601="","Check",IF(AND(M601&gt;=INPUTS!$C$6,M601&lt;=INPUTS!$C$7),"Yes","No"))</f>
        <v>Yes</v>
      </c>
      <c r="O601" s="48" t="str">
        <f aca="false">STACK!H601</f>
        <v>Nurse Educator</v>
      </c>
      <c r="P601" s="1" t="str">
        <f aca="false">IF(G601&gt;0,IF(INDEX(CONFIRM!$H$5:$H$53,G601)&lt;&gt;"",INDEX(CONFIRM!$H$5:$H$53,G601),IFERROR(INDEX(MAP!$B$7:$B$156,MATCH(TRIM(O601),MAP!$A$7:$A$156,0)),"UNMAPPED")),IFERROR(INDEX(MAP!$B$7:$B$156,MATCH(TRIM(O601),MAP!$A$7:$A$156,0)),"UNMAPPED"))</f>
        <v>Clinical Nurse Educator</v>
      </c>
      <c r="Q601" s="48" t="n">
        <f aca="false">STACK!I601</f>
        <v>120</v>
      </c>
      <c r="R601" s="60" t="n">
        <f aca="false">IF(G601&gt;0,IF(INDEX(CONFIRM!$F$5:$F$53,G601)&lt;&gt;"",INDEX(CONFIRM!$F$5:$F$53,G601),IF(ISNUMBER(Q601),Q601,IF(Q601="","",IFERROR(VALUE(TRIM(SUBSTITUTE(SUBSTITUTE(LOWER(Q601),"hrs",""),"hr",""))),"")))),IF(ISNUMBER(Q601),Q601,IF(Q601="","",IFERROR(VALUE(TRIM(SUBSTITUTE(SUBSTITUTE(LOWER(Q601),"hrs",""),"hr",""))),""))))</f>
        <v>120</v>
      </c>
      <c r="S601" s="57" t="n">
        <f aca="false">IFERROR(INDEX(RATES!$E$6:$E$28,MATCH(P601,RATES!$A$6:$A$28,0)),0)</f>
        <v>62.965</v>
      </c>
      <c r="T601" s="61" t="n">
        <f aca="false">IF(ISNUMBER(R601),R601,0)*S601</f>
        <v>7555.8</v>
      </c>
      <c r="U601" s="61" t="n">
        <f aca="false">T601*INDEX(INPUTS!$H$10:$H$14,MATCH(B601,INPUTS!$A$10:$A$14,0))</f>
        <v>1224.0396</v>
      </c>
      <c r="V601" s="61" t="n">
        <f aca="false">N(STACK!K601)</f>
        <v>400</v>
      </c>
      <c r="W601" s="61" t="n">
        <f aca="false">T601+U601+V601</f>
        <v>9179.8396</v>
      </c>
      <c r="X601" s="61" t="n">
        <f aca="false">N(STACK!L601)</f>
        <v>0</v>
      </c>
      <c r="Y601" s="61" t="n">
        <f aca="false">W601-X601</f>
        <v>9179.8396</v>
      </c>
      <c r="Z601" s="1" t="n">
        <f aca="false">N(STACK!J601)</f>
        <v>30</v>
      </c>
      <c r="AA601" s="1" t="str">
        <f aca="false">TRIM(IF(D601="UNMAPPED","Program not mapped. ","")&amp;IF(OR(K601="UNMAPPED",K601="UNASSIGNED"),"Category needs review. ","")&amp;IF(P601="UNMAPPED","Title not mapped. ","")&amp;IF(AND(P601&lt;&gt;"No staff time",R601=""),"Missing hours. ","")&amp;IF(M601="","Date not readable. ","")&amp;IF(N601="No","Outside fiscal year. ","")&amp;IF(AND(F601="Event",ISNUMBER(R601)),IF(R601&gt;12,"Event hours look high. ",""),"")&amp;IF(G601&gt;0,"See CONFIRM sheet.",""))</f>
        <v/>
      </c>
      <c r="AB601" s="1" t="n">
        <f aca="false">IF(N601="No",0,IF(REVIEW!O601=0,0,IF(G601&gt;0,IF(INDEX(CONFIRM!$J$5:$J$53,G601)&lt;&gt;"",INDEX(CONFIRM!$J$5:$J$53,G601),1),1)))</f>
        <v>1</v>
      </c>
      <c r="AC601" s="1" t="n">
        <f aca="false">IF(AB601=1,IF(COUNTIFS($B$5:B601,B601,$D$5:D601,D601,$AB$5:AB601,1)=1,1,0),0)</f>
        <v>0</v>
      </c>
    </row>
    <row r="602" customFormat="false" ht="15" hidden="false" customHeight="false" outlineLevel="0" collapsed="false">
      <c r="A602" s="48" t="str">
        <f aca="false">STACK!A602</f>
        <v>ASH-0069</v>
      </c>
      <c r="B602" s="48" t="str">
        <f aca="false">STACK!B602</f>
        <v>ASH</v>
      </c>
      <c r="C602" s="48" t="str">
        <f aca="false">STACK!E602</f>
        <v>Nursing Clinicals</v>
      </c>
      <c r="D602" s="1" t="str">
        <f aca="false">IFERROR(INDEX(MAP!$J$7:$J$101,MATCH(TRIM(C602),MAP!$I$7:$I$101,0)),"UNMAPPED")</f>
        <v>Nursing Student Clinical Rotations</v>
      </c>
      <c r="E602" s="1" t="str">
        <f aca="false">IFERROR(INDEX(MAP!$K$7:$K$101,MATCH(TRIM(C602),MAP!$I$7:$I$101,0)),"")</f>
        <v>Health workforce</v>
      </c>
      <c r="F602" s="1" t="str">
        <f aca="false">IFERROR(INDEX(MAP!$L$7:$L$101,MATCH(TRIM(C602),MAP!$I$7:$I$101,0)),"")</f>
        <v>Monthly</v>
      </c>
      <c r="G602" s="1" t="n">
        <f aca="false">IFERROR(MATCH(A602,CONFIRM!$A$5:$A$53,0),0)</f>
        <v>0</v>
      </c>
      <c r="H602" s="48" t="str">
        <f aca="false">STACK!F602</f>
        <v>HPE</v>
      </c>
      <c r="I602" s="1" t="str">
        <f aca="false">IF(G602&gt;0,IF(INDEX(CONFIRM!$I$5:$I$53,G602)&lt;&gt;"",INDEX(CONFIRM!$I$5:$I$53,G602),H602),H602)</f>
        <v>HPE</v>
      </c>
      <c r="J602" s="1" t="str">
        <f aca="false">IFERROR(INDEX(MAP!$F$7:$F$74,MATCH(TRIM(I602),MAP!$E$7:$E$74,0)),"UNMAPPED")</f>
        <v>Health professions education</v>
      </c>
      <c r="K602" s="1" t="str">
        <f aca="false">IFERROR(INDEX(MAP!$G$7:$G$74,MATCH(TRIM(I602),MAP!$E$7:$E$74,0)),"UNMAPPED")</f>
        <v>7f</v>
      </c>
      <c r="L602" s="49" t="str">
        <f aca="false">STACK!G602</f>
        <v>09/30/2025</v>
      </c>
      <c r="M602" s="59" t="n">
        <f aca="false">IF(G602&gt;0,IF(INDEX(CONFIRM!$G$5:$G$53,G602)&lt;&gt;"",INDEX(CONFIRM!$G$5:$G$53,G602),IF(ISNUMBER(L602),L602,IFERROR(DATEVALUE(L602),""))),IF(ISNUMBER(L602),L602,IFERROR(DATEVALUE(L602),"")))</f>
        <v>45930</v>
      </c>
      <c r="N602" s="1" t="str">
        <f aca="false">IF(M602="","Check",IF(AND(M602&gt;=INPUTS!$C$6,M602&lt;=INPUTS!$C$7),"Yes","No"))</f>
        <v>Yes</v>
      </c>
      <c r="O602" s="48" t="str">
        <f aca="false">STACK!H602</f>
        <v>R.N.</v>
      </c>
      <c r="P602" s="1" t="str">
        <f aca="false">IF(G602&gt;0,IF(INDEX(CONFIRM!$H$5:$H$53,G602)&lt;&gt;"",INDEX(CONFIRM!$H$5:$H$53,G602),IFERROR(INDEX(MAP!$B$7:$B$156,MATCH(TRIM(O602),MAP!$A$7:$A$156,0)),"UNMAPPED")),IFERROR(INDEX(MAP!$B$7:$B$156,MATCH(TRIM(O602),MAP!$A$7:$A$156,0)),"UNMAPPED"))</f>
        <v>Registered Nurse</v>
      </c>
      <c r="Q602" s="48" t="n">
        <f aca="false">STACK!I602</f>
        <v>245.5</v>
      </c>
      <c r="R602" s="60" t="n">
        <f aca="false">IF(G602&gt;0,IF(INDEX(CONFIRM!$F$5:$F$53,G602)&lt;&gt;"",INDEX(CONFIRM!$F$5:$F$53,G602),IF(ISNUMBER(Q602),Q602,IF(Q602="","",IFERROR(VALUE(TRIM(SUBSTITUTE(SUBSTITUTE(LOWER(Q602),"hrs",""),"hr",""))),"")))),IF(ISNUMBER(Q602),Q602,IF(Q602="","",IFERROR(VALUE(TRIM(SUBSTITUTE(SUBSTITUTE(LOWER(Q602),"hrs",""),"hr",""))),""))))</f>
        <v>245.5</v>
      </c>
      <c r="S602" s="57" t="n">
        <f aca="false">IFERROR(INDEX(RATES!$E$6:$E$28,MATCH(P602,RATES!$A$6:$A$28,0)),0)</f>
        <v>55.8975</v>
      </c>
      <c r="T602" s="61" t="n">
        <f aca="false">IF(ISNUMBER(R602),R602,0)*S602</f>
        <v>13722.83625</v>
      </c>
      <c r="U602" s="61" t="n">
        <f aca="false">T602*INDEX(INPUTS!$H$10:$H$14,MATCH(B602,INPUTS!$A$10:$A$14,0))</f>
        <v>2223.0994725</v>
      </c>
      <c r="V602" s="61" t="n">
        <f aca="false">N(STACK!K602)</f>
        <v>0</v>
      </c>
      <c r="W602" s="61" t="n">
        <f aca="false">T602+U602+V602</f>
        <v>15945.9357225</v>
      </c>
      <c r="X602" s="61" t="n">
        <f aca="false">N(STACK!L602)</f>
        <v>0</v>
      </c>
      <c r="Y602" s="61" t="n">
        <f aca="false">W602-X602</f>
        <v>15945.9357225</v>
      </c>
      <c r="Z602" s="1" t="n">
        <f aca="false">N(STACK!J602)</f>
        <v>0</v>
      </c>
      <c r="AA602" s="1" t="str">
        <f aca="false">TRIM(IF(D602="UNMAPPED","Program not mapped. ","")&amp;IF(OR(K602="UNMAPPED",K602="UNASSIGNED"),"Category needs review. ","")&amp;IF(P602="UNMAPPED","Title not mapped. ","")&amp;IF(AND(P602&lt;&gt;"No staff time",R602=""),"Missing hours. ","")&amp;IF(M602="","Date not readable. ","")&amp;IF(N602="No","Outside fiscal year. ","")&amp;IF(AND(F602="Event",ISNUMBER(R602)),IF(R602&gt;12,"Event hours look high. ",""),"")&amp;IF(G602&gt;0,"See CONFIRM sheet.",""))</f>
        <v/>
      </c>
      <c r="AB602" s="1" t="n">
        <f aca="false">IF(N602="No",0,IF(REVIEW!O602=0,0,IF(G602&gt;0,IF(INDEX(CONFIRM!$J$5:$J$53,G602)&lt;&gt;"",INDEX(CONFIRM!$J$5:$J$53,G602),1),1)))</f>
        <v>1</v>
      </c>
      <c r="AC602" s="1" t="n">
        <f aca="false">IF(AB602=1,IF(COUNTIFS($B$5:B602,B602,$D$5:D602,D602,$AB$5:AB602,1)=1,1,0),0)</f>
        <v>0</v>
      </c>
    </row>
    <row r="603" customFormat="false" ht="15" hidden="false" customHeight="false" outlineLevel="0" collapsed="false">
      <c r="A603" s="48" t="str">
        <f aca="false">STACK!A603</f>
        <v>ASH-0070</v>
      </c>
      <c r="B603" s="48" t="str">
        <f aca="false">STACK!B603</f>
        <v>ASH</v>
      </c>
      <c r="C603" s="48" t="str">
        <f aca="false">STACK!E603</f>
        <v>Paramedic Students</v>
      </c>
      <c r="D603" s="1" t="str">
        <f aca="false">IFERROR(INDEX(MAP!$J$7:$J$101,MATCH(TRIM(C603),MAP!$I$7:$I$101,0)),"UNMAPPED")</f>
        <v>Paramedic Student Field Training</v>
      </c>
      <c r="E603" s="1" t="str">
        <f aca="false">IFERROR(INDEX(MAP!$K$7:$K$101,MATCH(TRIM(C603),MAP!$I$7:$I$101,0)),"")</f>
        <v>Health workforce</v>
      </c>
      <c r="F603" s="1" t="str">
        <f aca="false">IFERROR(INDEX(MAP!$L$7:$L$101,MATCH(TRIM(C603),MAP!$I$7:$I$101,0)),"")</f>
        <v>Monthly</v>
      </c>
      <c r="G603" s="1" t="n">
        <f aca="false">IFERROR(MATCH(A603,CONFIRM!$A$5:$A$53,0),0)</f>
        <v>0</v>
      </c>
      <c r="H603" s="48" t="str">
        <f aca="false">STACK!F603</f>
        <v>HPE</v>
      </c>
      <c r="I603" s="1" t="str">
        <f aca="false">IF(G603&gt;0,IF(INDEX(CONFIRM!$I$5:$I$53,G603)&lt;&gt;"",INDEX(CONFIRM!$I$5:$I$53,G603),H603),H603)</f>
        <v>HPE</v>
      </c>
      <c r="J603" s="1" t="str">
        <f aca="false">IFERROR(INDEX(MAP!$F$7:$F$74,MATCH(TRIM(I603),MAP!$E$7:$E$74,0)),"UNMAPPED")</f>
        <v>Health professions education</v>
      </c>
      <c r="K603" s="1" t="str">
        <f aca="false">IFERROR(INDEX(MAP!$G$7:$G$74,MATCH(TRIM(I603),MAP!$E$7:$E$74,0)),"UNMAPPED")</f>
        <v>7f</v>
      </c>
      <c r="L603" s="49" t="str">
        <f aca="false">STACK!G603</f>
        <v>09/30/2025</v>
      </c>
      <c r="M603" s="59" t="n">
        <f aca="false">IF(G603&gt;0,IF(INDEX(CONFIRM!$G$5:$G$53,G603)&lt;&gt;"",INDEX(CONFIRM!$G$5:$G$53,G603),IF(ISNUMBER(L603),L603,IFERROR(DATEVALUE(L603),""))),IF(ISNUMBER(L603),L603,IFERROR(DATEVALUE(L603),"")))</f>
        <v>45930</v>
      </c>
      <c r="N603" s="1" t="str">
        <f aca="false">IF(M603="","Check",IF(AND(M603&gt;=INPUTS!$C$6,M603&lt;=INPUTS!$C$7),"Yes","No"))</f>
        <v>Yes</v>
      </c>
      <c r="O603" s="48" t="str">
        <f aca="false">STACK!H603</f>
        <v>EMT-P</v>
      </c>
      <c r="P603" s="1" t="str">
        <f aca="false">IF(G603&gt;0,IF(INDEX(CONFIRM!$H$5:$H$53,G603)&lt;&gt;"",INDEX(CONFIRM!$H$5:$H$53,G603),IFERROR(INDEX(MAP!$B$7:$B$156,MATCH(TRIM(O603),MAP!$A$7:$A$156,0)),"UNMAPPED")),IFERROR(INDEX(MAP!$B$7:$B$156,MATCH(TRIM(O603),MAP!$A$7:$A$156,0)),"UNMAPPED"))</f>
        <v>Paramedic</v>
      </c>
      <c r="Q603" s="48" t="n">
        <f aca="false">STACK!I603</f>
        <v>64</v>
      </c>
      <c r="R603" s="60" t="n">
        <f aca="false">IF(G603&gt;0,IF(INDEX(CONFIRM!$F$5:$F$53,G603)&lt;&gt;"",INDEX(CONFIRM!$F$5:$F$53,G603),IF(ISNUMBER(Q603),Q603,IF(Q603="","",IFERROR(VALUE(TRIM(SUBSTITUTE(SUBSTITUTE(LOWER(Q603),"hrs",""),"hr",""))),"")))),IF(ISNUMBER(Q603),Q603,IF(Q603="","",IFERROR(VALUE(TRIM(SUBSTITUTE(SUBSTITUTE(LOWER(Q603),"hrs",""),"hr",""))),""))))</f>
        <v>64</v>
      </c>
      <c r="S603" s="57" t="n">
        <f aca="false">IFERROR(INDEX(RATES!$E$6:$E$28,MATCH(P603,RATES!$A$6:$A$28,0)),0)</f>
        <v>34.695</v>
      </c>
      <c r="T603" s="61" t="n">
        <f aca="false">IF(ISNUMBER(R603),R603,0)*S603</f>
        <v>2220.48</v>
      </c>
      <c r="U603" s="61" t="n">
        <f aca="false">T603*INDEX(INPUTS!$H$10:$H$14,MATCH(B603,INPUTS!$A$10:$A$14,0))</f>
        <v>359.71776</v>
      </c>
      <c r="V603" s="61" t="n">
        <f aca="false">N(STACK!K603)</f>
        <v>45</v>
      </c>
      <c r="W603" s="61" t="n">
        <f aca="false">T603+U603+V603</f>
        <v>2625.19776</v>
      </c>
      <c r="X603" s="61" t="n">
        <f aca="false">N(STACK!L603)</f>
        <v>0</v>
      </c>
      <c r="Y603" s="61" t="n">
        <f aca="false">W603-X603</f>
        <v>2625.19776</v>
      </c>
      <c r="Z603" s="1" t="n">
        <f aca="false">N(STACK!J603)</f>
        <v>6</v>
      </c>
      <c r="AA603" s="1" t="str">
        <f aca="false">TRIM(IF(D603="UNMAPPED","Program not mapped. ","")&amp;IF(OR(K603="UNMAPPED",K603="UNASSIGNED"),"Category needs review. ","")&amp;IF(P603="UNMAPPED","Title not mapped. ","")&amp;IF(AND(P603&lt;&gt;"No staff time",R603=""),"Missing hours. ","")&amp;IF(M603="","Date not readable. ","")&amp;IF(N603="No","Outside fiscal year. ","")&amp;IF(AND(F603="Event",ISNUMBER(R603)),IF(R603&gt;12,"Event hours look high. ",""),"")&amp;IF(G603&gt;0,"See CONFIRM sheet.",""))</f>
        <v/>
      </c>
      <c r="AB603" s="1" t="n">
        <f aca="false">IF(N603="No",0,IF(REVIEW!O603=0,0,IF(G603&gt;0,IF(INDEX(CONFIRM!$J$5:$J$53,G603)&lt;&gt;"",INDEX(CONFIRM!$J$5:$J$53,G603),1),1)))</f>
        <v>1</v>
      </c>
      <c r="AC603" s="1" t="n">
        <f aca="false">IF(AB603=1,IF(COUNTIFS($B$5:B603,B603,$D$5:D603,D603,$AB$5:AB603,1)=1,1,0),0)</f>
        <v>0</v>
      </c>
    </row>
    <row r="604" customFormat="false" ht="15" hidden="false" customHeight="false" outlineLevel="0" collapsed="false">
      <c r="A604" s="48" t="str">
        <f aca="false">STACK!A604</f>
        <v>ASH-0071</v>
      </c>
      <c r="B604" s="48" t="str">
        <f aca="false">STACK!B604</f>
        <v>ASH</v>
      </c>
      <c r="C604" s="48" t="str">
        <f aca="false">STACK!E604</f>
        <v>BP Checks</v>
      </c>
      <c r="D604" s="1" t="str">
        <f aca="false">IFERROR(INDEX(MAP!$J$7:$J$101,MATCH(TRIM(C604),MAP!$I$7:$I$101,0)),"UNMAPPED")</f>
        <v>Community Blood Pressure Checks</v>
      </c>
      <c r="E604" s="1" t="str">
        <f aca="false">IFERROR(INDEX(MAP!$K$7:$K$101,MATCH(TRIM(C604),MAP!$I$7:$I$101,0)),"")</f>
        <v>Chronic disease prevention</v>
      </c>
      <c r="F604" s="1" t="str">
        <f aca="false">IFERROR(INDEX(MAP!$L$7:$L$101,MATCH(TRIM(C604),MAP!$I$7:$I$101,0)),"")</f>
        <v>Event</v>
      </c>
      <c r="G604" s="1" t="n">
        <f aca="false">IFERROR(MATCH(A604,CONFIRM!$A$5:$A$53,0),0)</f>
        <v>0</v>
      </c>
      <c r="H604" s="48" t="str">
        <f aca="false">STACK!F604</f>
        <v>Clinical Svcs</v>
      </c>
      <c r="I604" s="1" t="str">
        <f aca="false">IF(G604&gt;0,IF(INDEX(CONFIRM!$I$5:$I$53,G604)&lt;&gt;"",INDEX(CONFIRM!$I$5:$I$53,G604),H604),H604)</f>
        <v>Clinical Svcs</v>
      </c>
      <c r="J604" s="1" t="str">
        <f aca="false">IFERROR(INDEX(MAP!$F$7:$F$74,MATCH(TRIM(I604),MAP!$E$7:$E$74,0)),"UNMAPPED")</f>
        <v>Community-based clinical services</v>
      </c>
      <c r="K604" s="1" t="str">
        <f aca="false">IFERROR(INDEX(MAP!$G$7:$G$74,MATCH(TRIM(I604),MAP!$E$7:$E$74,0)),"UNMAPPED")</f>
        <v>7e</v>
      </c>
      <c r="L604" s="49" t="str">
        <f aca="false">STACK!G604</f>
        <v>10/08/2025</v>
      </c>
      <c r="M604" s="59" t="n">
        <f aca="false">IF(G604&gt;0,IF(INDEX(CONFIRM!$G$5:$G$53,G604)&lt;&gt;"",INDEX(CONFIRM!$G$5:$G$53,G604),IF(ISNUMBER(L604),L604,IFERROR(DATEVALUE(L604),""))),IF(ISNUMBER(L604),L604,IFERROR(DATEVALUE(L604),"")))</f>
        <v>45938</v>
      </c>
      <c r="N604" s="1" t="str">
        <f aca="false">IF(M604="","Check",IF(AND(M604&gt;=INPUTS!$C$6,M604&lt;=INPUTS!$C$7),"Yes","No"))</f>
        <v>Yes</v>
      </c>
      <c r="O604" s="48" t="str">
        <f aca="false">STACK!H604</f>
        <v>R.N.</v>
      </c>
      <c r="P604" s="1" t="str">
        <f aca="false">IF(G604&gt;0,IF(INDEX(CONFIRM!$H$5:$H$53,G604)&lt;&gt;"",INDEX(CONFIRM!$H$5:$H$53,G604),IFERROR(INDEX(MAP!$B$7:$B$156,MATCH(TRIM(O604),MAP!$A$7:$A$156,0)),"UNMAPPED")),IFERROR(INDEX(MAP!$B$7:$B$156,MATCH(TRIM(O604),MAP!$A$7:$A$156,0)),"UNMAPPED"))</f>
        <v>Registered Nurse</v>
      </c>
      <c r="Q604" s="48" t="n">
        <f aca="false">STACK!I604</f>
        <v>4.25</v>
      </c>
      <c r="R604" s="60" t="n">
        <f aca="false">IF(G604&gt;0,IF(INDEX(CONFIRM!$F$5:$F$53,G604)&lt;&gt;"",INDEX(CONFIRM!$F$5:$F$53,G604),IF(ISNUMBER(Q604),Q604,IF(Q604="","",IFERROR(VALUE(TRIM(SUBSTITUTE(SUBSTITUTE(LOWER(Q604),"hrs",""),"hr",""))),"")))),IF(ISNUMBER(Q604),Q604,IF(Q604="","",IFERROR(VALUE(TRIM(SUBSTITUTE(SUBSTITUTE(LOWER(Q604),"hrs",""),"hr",""))),""))))</f>
        <v>4.25</v>
      </c>
      <c r="S604" s="57" t="n">
        <f aca="false">IFERROR(INDEX(RATES!$E$6:$E$28,MATCH(P604,RATES!$A$6:$A$28,0)),0)</f>
        <v>55.8975</v>
      </c>
      <c r="T604" s="61" t="n">
        <f aca="false">IF(ISNUMBER(R604),R604,0)*S604</f>
        <v>237.564375</v>
      </c>
      <c r="U604" s="61" t="n">
        <f aca="false">T604*INDEX(INPUTS!$H$10:$H$14,MATCH(B604,INPUTS!$A$10:$A$14,0))</f>
        <v>38.48542875</v>
      </c>
      <c r="V604" s="61" t="n">
        <f aca="false">N(STACK!K604)</f>
        <v>70</v>
      </c>
      <c r="W604" s="61" t="n">
        <f aca="false">T604+U604+V604</f>
        <v>346.04980375</v>
      </c>
      <c r="X604" s="61" t="n">
        <f aca="false">N(STACK!L604)</f>
        <v>0</v>
      </c>
      <c r="Y604" s="61" t="n">
        <f aca="false">W604-X604</f>
        <v>346.04980375</v>
      </c>
      <c r="Z604" s="1" t="n">
        <f aca="false">N(STACK!J604)</f>
        <v>29</v>
      </c>
      <c r="AA604" s="1" t="str">
        <f aca="false">TRIM(IF(D604="UNMAPPED","Program not mapped. ","")&amp;IF(OR(K604="UNMAPPED",K604="UNASSIGNED"),"Category needs review. ","")&amp;IF(P604="UNMAPPED","Title not mapped. ","")&amp;IF(AND(P604&lt;&gt;"No staff time",R604=""),"Missing hours. ","")&amp;IF(M604="","Date not readable. ","")&amp;IF(N604="No","Outside fiscal year. ","")&amp;IF(AND(F604="Event",ISNUMBER(R604)),IF(R604&gt;12,"Event hours look high. ",""),"")&amp;IF(G604&gt;0,"See CONFIRM sheet.",""))</f>
        <v/>
      </c>
      <c r="AB604" s="1" t="n">
        <f aca="false">IF(N604="No",0,IF(REVIEW!O604=0,0,IF(G604&gt;0,IF(INDEX(CONFIRM!$J$5:$J$53,G604)&lt;&gt;"",INDEX(CONFIRM!$J$5:$J$53,G604),1),1)))</f>
        <v>1</v>
      </c>
      <c r="AC604" s="1" t="n">
        <f aca="false">IF(AB604=1,IF(COUNTIFS($B$5:B604,B604,$D$5:D604,D604,$AB$5:AB604,1)=1,1,0),0)</f>
        <v>0</v>
      </c>
    </row>
    <row r="605" customFormat="false" ht="15" hidden="false" customHeight="false" outlineLevel="0" collapsed="false">
      <c r="A605" s="48" t="str">
        <f aca="false">STACK!A605</f>
        <v>ASH-0072</v>
      </c>
      <c r="B605" s="48" t="str">
        <f aca="false">STACK!B605</f>
        <v>ASH</v>
      </c>
      <c r="C605" s="48" t="str">
        <f aca="false">STACK!E605</f>
        <v>MH First Aid</v>
      </c>
      <c r="D605" s="1" t="str">
        <f aca="false">IFERROR(INDEX(MAP!$J$7:$J$101,MATCH(TRIM(C605),MAP!$I$7:$I$101,0)),"UNMAPPED")</f>
        <v>Mental Health First Aid Training</v>
      </c>
      <c r="E605" s="1" t="str">
        <f aca="false">IFERROR(INDEX(MAP!$K$7:$K$101,MATCH(TRIM(C605),MAP!$I$7:$I$101,0)),"")</f>
        <v>Behavioral health</v>
      </c>
      <c r="F605" s="1" t="str">
        <f aca="false">IFERROR(INDEX(MAP!$L$7:$L$101,MATCH(TRIM(C605),MAP!$I$7:$I$101,0)),"")</f>
        <v>Event</v>
      </c>
      <c r="G605" s="1" t="n">
        <f aca="false">IFERROR(MATCH(A605,CONFIRM!$A$5:$A$53,0),0)</f>
        <v>0</v>
      </c>
      <c r="H605" s="48" t="str">
        <f aca="false">STACK!F605</f>
        <v>Comm Hlth Ed</v>
      </c>
      <c r="I605" s="1" t="str">
        <f aca="false">IF(G605&gt;0,IF(INDEX(CONFIRM!$I$5:$I$53,G605)&lt;&gt;"",INDEX(CONFIRM!$I$5:$I$53,G605),H605),H605)</f>
        <v>Comm Hlth Ed</v>
      </c>
      <c r="J605" s="1" t="str">
        <f aca="false">IFERROR(INDEX(MAP!$F$7:$F$74,MATCH(TRIM(I605),MAP!$E$7:$E$74,0)),"UNMAPPED")</f>
        <v>Community health education</v>
      </c>
      <c r="K605" s="1" t="str">
        <f aca="false">IFERROR(INDEX(MAP!$G$7:$G$74,MATCH(TRIM(I605),MAP!$E$7:$E$74,0)),"UNMAPPED")</f>
        <v>7e</v>
      </c>
      <c r="L605" s="49" t="str">
        <f aca="false">STACK!G605</f>
        <v>10/10/2025</v>
      </c>
      <c r="M605" s="59" t="n">
        <f aca="false">IF(G605&gt;0,IF(INDEX(CONFIRM!$G$5:$G$53,G605)&lt;&gt;"",INDEX(CONFIRM!$G$5:$G$53,G605),IF(ISNUMBER(L605),L605,IFERROR(DATEVALUE(L605),""))),IF(ISNUMBER(L605),L605,IFERROR(DATEVALUE(L605),"")))</f>
        <v>45940</v>
      </c>
      <c r="N605" s="1" t="str">
        <f aca="false">IF(M605="","Check",IF(AND(M605&gt;=INPUTS!$C$6,M605&lt;=INPUTS!$C$7),"Yes","No"))</f>
        <v>Yes</v>
      </c>
      <c r="O605" s="48" t="str">
        <f aca="false">STACK!H605</f>
        <v>Health Education Specialist</v>
      </c>
      <c r="P605" s="1" t="str">
        <f aca="false">IF(G605&gt;0,IF(INDEX(CONFIRM!$H$5:$H$53,G605)&lt;&gt;"",INDEX(CONFIRM!$H$5:$H$53,G605),IFERROR(INDEX(MAP!$B$7:$B$156,MATCH(TRIM(O605),MAP!$A$7:$A$156,0)),"UNMAPPED")),IFERROR(INDEX(MAP!$B$7:$B$156,MATCH(TRIM(O605),MAP!$A$7:$A$156,0)),"UNMAPPED"))</f>
        <v>Health Educator</v>
      </c>
      <c r="Q605" s="48" t="n">
        <f aca="false">STACK!I605</f>
        <v>8</v>
      </c>
      <c r="R605" s="60" t="n">
        <f aca="false">IF(G605&gt;0,IF(INDEX(CONFIRM!$F$5:$F$53,G605)&lt;&gt;"",INDEX(CONFIRM!$F$5:$F$53,G605),IF(ISNUMBER(Q605),Q605,IF(Q605="","",IFERROR(VALUE(TRIM(SUBSTITUTE(SUBSTITUTE(LOWER(Q605),"hrs",""),"hr",""))),"")))),IF(ISNUMBER(Q605),Q605,IF(Q605="","",IFERROR(VALUE(TRIM(SUBSTITUTE(SUBSTITUTE(LOWER(Q605),"hrs",""),"hr",""))),""))))</f>
        <v>8</v>
      </c>
      <c r="S605" s="57" t="n">
        <f aca="false">IFERROR(INDEX(RATES!$E$6:$E$28,MATCH(P605,RATES!$A$6:$A$28,0)),0)</f>
        <v>37.265</v>
      </c>
      <c r="T605" s="61" t="n">
        <f aca="false">IF(ISNUMBER(R605),R605,0)*S605</f>
        <v>298.12</v>
      </c>
      <c r="U605" s="61" t="n">
        <f aca="false">T605*INDEX(INPUTS!$H$10:$H$14,MATCH(B605,INPUTS!$A$10:$A$14,0))</f>
        <v>48.29544</v>
      </c>
      <c r="V605" s="61" t="n">
        <f aca="false">N(STACK!K605)</f>
        <v>0</v>
      </c>
      <c r="W605" s="61" t="n">
        <f aca="false">T605+U605+V605</f>
        <v>346.41544</v>
      </c>
      <c r="X605" s="61" t="n">
        <f aca="false">N(STACK!L605)</f>
        <v>0</v>
      </c>
      <c r="Y605" s="61" t="n">
        <f aca="false">W605-X605</f>
        <v>346.41544</v>
      </c>
      <c r="Z605" s="1" t="n">
        <f aca="false">N(STACK!J605)</f>
        <v>0</v>
      </c>
      <c r="AA605" s="1" t="str">
        <f aca="false">TRIM(IF(D605="UNMAPPED","Program not mapped. ","")&amp;IF(OR(K605="UNMAPPED",K605="UNASSIGNED"),"Category needs review. ","")&amp;IF(P605="UNMAPPED","Title not mapped. ","")&amp;IF(AND(P605&lt;&gt;"No staff time",R605=""),"Missing hours. ","")&amp;IF(M605="","Date not readable. ","")&amp;IF(N605="No","Outside fiscal year. ","")&amp;IF(AND(F605="Event",ISNUMBER(R605)),IF(R605&gt;12,"Event hours look high. ",""),"")&amp;IF(G605&gt;0,"See CONFIRM sheet.",""))</f>
        <v/>
      </c>
      <c r="AB605" s="1" t="n">
        <f aca="false">IF(N605="No",0,IF(REVIEW!O605=0,0,IF(G605&gt;0,IF(INDEX(CONFIRM!$J$5:$J$53,G605)&lt;&gt;"",INDEX(CONFIRM!$J$5:$J$53,G605),1),1)))</f>
        <v>1</v>
      </c>
      <c r="AC605" s="1" t="n">
        <f aca="false">IF(AB605=1,IF(COUNTIFS($B$5:B605,B605,$D$5:D605,D605,$AB$5:AB605,1)=1,1,0),0)</f>
        <v>0</v>
      </c>
    </row>
    <row r="606" customFormat="false" ht="15" hidden="false" customHeight="false" outlineLevel="0" collapsed="false">
      <c r="A606" s="48" t="str">
        <f aca="false">STACK!A606</f>
        <v>ASH-0073</v>
      </c>
      <c r="B606" s="48" t="str">
        <f aca="false">STACK!B606</f>
        <v>ASH</v>
      </c>
      <c r="C606" s="48" t="str">
        <f aca="false">STACK!E606</f>
        <v>MH First Aid</v>
      </c>
      <c r="D606" s="1" t="str">
        <f aca="false">IFERROR(INDEX(MAP!$J$7:$J$101,MATCH(TRIM(C606),MAP!$I$7:$I$101,0)),"UNMAPPED")</f>
        <v>Mental Health First Aid Training</v>
      </c>
      <c r="E606" s="1" t="str">
        <f aca="false">IFERROR(INDEX(MAP!$K$7:$K$101,MATCH(TRIM(C606),MAP!$I$7:$I$101,0)),"")</f>
        <v>Behavioral health</v>
      </c>
      <c r="F606" s="1" t="str">
        <f aca="false">IFERROR(INDEX(MAP!$L$7:$L$101,MATCH(TRIM(C606),MAP!$I$7:$I$101,0)),"")</f>
        <v>Event</v>
      </c>
      <c r="G606" s="1" t="n">
        <f aca="false">IFERROR(MATCH(A606,CONFIRM!$A$5:$A$53,0),0)</f>
        <v>0</v>
      </c>
      <c r="H606" s="48" t="str">
        <f aca="false">STACK!F606</f>
        <v>Comm Hlth Ed</v>
      </c>
      <c r="I606" s="1" t="str">
        <f aca="false">IF(G606&gt;0,IF(INDEX(CONFIRM!$I$5:$I$53,G606)&lt;&gt;"",INDEX(CONFIRM!$I$5:$I$53,G606),H606),H606)</f>
        <v>Comm Hlth Ed</v>
      </c>
      <c r="J606" s="1" t="str">
        <f aca="false">IFERROR(INDEX(MAP!$F$7:$F$74,MATCH(TRIM(I606),MAP!$E$7:$E$74,0)),"UNMAPPED")</f>
        <v>Community health education</v>
      </c>
      <c r="K606" s="1" t="str">
        <f aca="false">IFERROR(INDEX(MAP!$G$7:$G$74,MATCH(TRIM(I606),MAP!$E$7:$E$74,0)),"UNMAPPED")</f>
        <v>7e</v>
      </c>
      <c r="L606" s="49" t="str">
        <f aca="false">STACK!G606</f>
        <v>10/10/2025</v>
      </c>
      <c r="M606" s="59" t="n">
        <f aca="false">IF(G606&gt;0,IF(INDEX(CONFIRM!$G$5:$G$53,G606)&lt;&gt;"",INDEX(CONFIRM!$G$5:$G$53,G606),IF(ISNUMBER(L606),L606,IFERROR(DATEVALUE(L606),""))),IF(ISNUMBER(L606),L606,IFERROR(DATEVALUE(L606),"")))</f>
        <v>45940</v>
      </c>
      <c r="N606" s="1" t="str">
        <f aca="false">IF(M606="","Check",IF(AND(M606&gt;=INPUTS!$C$6,M606&lt;=INPUTS!$C$7),"Yes","No"))</f>
        <v>Yes</v>
      </c>
      <c r="O606" s="48" t="str">
        <f aca="false">STACK!H606</f>
        <v>Social Worker</v>
      </c>
      <c r="P606" s="1" t="str">
        <f aca="false">IF(G606&gt;0,IF(INDEX(CONFIRM!$H$5:$H$53,G606)&lt;&gt;"",INDEX(CONFIRM!$H$5:$H$53,G606),IFERROR(INDEX(MAP!$B$7:$B$156,MATCH(TRIM(O606),MAP!$A$7:$A$156,0)),"UNMAPPED")),IFERROR(INDEX(MAP!$B$7:$B$156,MATCH(TRIM(O606),MAP!$A$7:$A$156,0)),"UNMAPPED"))</f>
        <v>Social Worker</v>
      </c>
      <c r="Q606" s="48" t="n">
        <f aca="false">STACK!I606</f>
        <v>8</v>
      </c>
      <c r="R606" s="60" t="n">
        <f aca="false">IF(G606&gt;0,IF(INDEX(CONFIRM!$F$5:$F$53,G606)&lt;&gt;"",INDEX(CONFIRM!$F$5:$F$53,G606),IF(ISNUMBER(Q606),Q606,IF(Q606="","",IFERROR(VALUE(TRIM(SUBSTITUTE(SUBSTITUTE(LOWER(Q606),"hrs",""),"hr",""))),"")))),IF(ISNUMBER(Q606),Q606,IF(Q606="","",IFERROR(VALUE(TRIM(SUBSTITUTE(SUBSTITUTE(LOWER(Q606),"hrs",""),"hr",""))),""))))</f>
        <v>8</v>
      </c>
      <c r="S606" s="57" t="n">
        <f aca="false">IFERROR(INDEX(RATES!$E$6:$E$28,MATCH(P606,RATES!$A$6:$A$28,0)),0)</f>
        <v>45.6175</v>
      </c>
      <c r="T606" s="61" t="n">
        <f aca="false">IF(ISNUMBER(R606),R606,0)*S606</f>
        <v>364.94</v>
      </c>
      <c r="U606" s="61" t="n">
        <f aca="false">T606*INDEX(INPUTS!$H$10:$H$14,MATCH(B606,INPUTS!$A$10:$A$14,0))</f>
        <v>59.12028</v>
      </c>
      <c r="V606" s="61" t="n">
        <f aca="false">N(STACK!K606)</f>
        <v>340</v>
      </c>
      <c r="W606" s="61" t="n">
        <f aca="false">T606+U606+V606</f>
        <v>764.06028</v>
      </c>
      <c r="X606" s="61" t="n">
        <f aca="false">N(STACK!L606)</f>
        <v>0</v>
      </c>
      <c r="Y606" s="61" t="n">
        <f aca="false">W606-X606</f>
        <v>764.06028</v>
      </c>
      <c r="Z606" s="1" t="n">
        <f aca="false">N(STACK!J606)</f>
        <v>21</v>
      </c>
      <c r="AA606" s="1" t="str">
        <f aca="false">TRIM(IF(D606="UNMAPPED","Program not mapped. ","")&amp;IF(OR(K606="UNMAPPED",K606="UNASSIGNED"),"Category needs review. ","")&amp;IF(P606="UNMAPPED","Title not mapped. ","")&amp;IF(AND(P606&lt;&gt;"No staff time",R606=""),"Missing hours. ","")&amp;IF(M606="","Date not readable. ","")&amp;IF(N606="No","Outside fiscal year. ","")&amp;IF(AND(F606="Event",ISNUMBER(R606)),IF(R606&gt;12,"Event hours look high. ",""),"")&amp;IF(G606&gt;0,"See CONFIRM sheet.",""))</f>
        <v/>
      </c>
      <c r="AB606" s="1" t="n">
        <f aca="false">IF(N606="No",0,IF(REVIEW!O606=0,0,IF(G606&gt;0,IF(INDEX(CONFIRM!$J$5:$J$53,G606)&lt;&gt;"",INDEX(CONFIRM!$J$5:$J$53,G606),1),1)))</f>
        <v>1</v>
      </c>
      <c r="AC606" s="1" t="n">
        <f aca="false">IF(AB606=1,IF(COUNTIFS($B$5:B606,B606,$D$5:D606,D606,$AB$5:AB606,1)=1,1,0),0)</f>
        <v>0</v>
      </c>
    </row>
    <row r="607" customFormat="false" ht="15" hidden="false" customHeight="false" outlineLevel="0" collapsed="false">
      <c r="A607" s="48" t="str">
        <f aca="false">STACK!A607</f>
        <v>ASH-0074</v>
      </c>
      <c r="B607" s="48" t="str">
        <f aca="false">STACK!B607</f>
        <v>ASH</v>
      </c>
      <c r="C607" s="48" t="str">
        <f aca="false">STACK!E607</f>
        <v>Fall Prevention</v>
      </c>
      <c r="D607" s="1" t="str">
        <f aca="false">IFERROR(INDEX(MAP!$J$7:$J$101,MATCH(TRIM(C607),MAP!$I$7:$I$101,0)),"UNMAPPED")</f>
        <v>Fall Prevention Classes for Older Adults</v>
      </c>
      <c r="E607" s="1" t="str">
        <f aca="false">IFERROR(INDEX(MAP!$K$7:$K$101,MATCH(TRIM(C607),MAP!$I$7:$I$101,0)),"")</f>
        <v>Chronic disease prevention</v>
      </c>
      <c r="F607" s="1" t="str">
        <f aca="false">IFERROR(INDEX(MAP!$L$7:$L$101,MATCH(TRIM(C607),MAP!$I$7:$I$101,0)),"")</f>
        <v>Event</v>
      </c>
      <c r="G607" s="1" t="n">
        <f aca="false">IFERROR(MATCH(A607,CONFIRM!$A$5:$A$53,0),0)</f>
        <v>0</v>
      </c>
      <c r="H607" s="48" t="str">
        <f aca="false">STACK!F607</f>
        <v>Comm Hlth Ed</v>
      </c>
      <c r="I607" s="1" t="str">
        <f aca="false">IF(G607&gt;0,IF(INDEX(CONFIRM!$I$5:$I$53,G607)&lt;&gt;"",INDEX(CONFIRM!$I$5:$I$53,G607),H607),H607)</f>
        <v>Comm Hlth Ed</v>
      </c>
      <c r="J607" s="1" t="str">
        <f aca="false">IFERROR(INDEX(MAP!$F$7:$F$74,MATCH(TRIM(I607),MAP!$E$7:$E$74,0)),"UNMAPPED")</f>
        <v>Community health education</v>
      </c>
      <c r="K607" s="1" t="str">
        <f aca="false">IFERROR(INDEX(MAP!$G$7:$G$74,MATCH(TRIM(I607),MAP!$E$7:$E$74,0)),"UNMAPPED")</f>
        <v>7e</v>
      </c>
      <c r="L607" s="49" t="str">
        <f aca="false">STACK!G607</f>
        <v>10/13/2025</v>
      </c>
      <c r="M607" s="59" t="n">
        <f aca="false">IF(G607&gt;0,IF(INDEX(CONFIRM!$G$5:$G$53,G607)&lt;&gt;"",INDEX(CONFIRM!$G$5:$G$53,G607),IF(ISNUMBER(L607),L607,IFERROR(DATEVALUE(L607),""))),IF(ISNUMBER(L607),L607,IFERROR(DATEVALUE(L607),"")))</f>
        <v>45943</v>
      </c>
      <c r="N607" s="1" t="str">
        <f aca="false">IF(M607="","Check",IF(AND(M607&gt;=INPUTS!$C$6,M607&lt;=INPUTS!$C$7),"Yes","No"))</f>
        <v>Yes</v>
      </c>
      <c r="O607" s="48" t="str">
        <f aca="false">STACK!H607</f>
        <v>RRT</v>
      </c>
      <c r="P607" s="1" t="str">
        <f aca="false">IF(G607&gt;0,IF(INDEX(CONFIRM!$H$5:$H$53,G607)&lt;&gt;"",INDEX(CONFIRM!$H$5:$H$53,G607),IFERROR(INDEX(MAP!$B$7:$B$156,MATCH(TRIM(O607),MAP!$A$7:$A$156,0)),"UNMAPPED")),IFERROR(INDEX(MAP!$B$7:$B$156,MATCH(TRIM(O607),MAP!$A$7:$A$156,0)),"UNMAPPED"))</f>
        <v>Licensed Therapist</v>
      </c>
      <c r="Q607" s="48" t="n">
        <f aca="false">STACK!I607</f>
        <v>2</v>
      </c>
      <c r="R607" s="60" t="n">
        <f aca="false">IF(G607&gt;0,IF(INDEX(CONFIRM!$F$5:$F$53,G607)&lt;&gt;"",INDEX(CONFIRM!$F$5:$F$53,G607),IF(ISNUMBER(Q607),Q607,IF(Q607="","",IFERROR(VALUE(TRIM(SUBSTITUTE(SUBSTITUTE(LOWER(Q607),"hrs",""),"hr",""))),"")))),IF(ISNUMBER(Q607),Q607,IF(Q607="","",IFERROR(VALUE(TRIM(SUBSTITUTE(SUBSTITUTE(LOWER(Q607),"hrs",""),"hr",""))),""))))</f>
        <v>2</v>
      </c>
      <c r="S607" s="57" t="n">
        <f aca="false">IFERROR(INDEX(RATES!$E$6:$E$28,MATCH(P607,RATES!$A$6:$A$28,0)),0)</f>
        <v>53.97</v>
      </c>
      <c r="T607" s="61" t="n">
        <f aca="false">IF(ISNUMBER(R607),R607,0)*S607</f>
        <v>107.94</v>
      </c>
      <c r="U607" s="61" t="n">
        <f aca="false">T607*INDEX(INPUTS!$H$10:$H$14,MATCH(B607,INPUTS!$A$10:$A$14,0))</f>
        <v>17.48628</v>
      </c>
      <c r="V607" s="61" t="n">
        <f aca="false">N(STACK!K607)</f>
        <v>45</v>
      </c>
      <c r="W607" s="61" t="n">
        <f aca="false">T607+U607+V607</f>
        <v>170.42628</v>
      </c>
      <c r="X607" s="61" t="n">
        <f aca="false">N(STACK!L607)</f>
        <v>0</v>
      </c>
      <c r="Y607" s="61" t="n">
        <f aca="false">W607-X607</f>
        <v>170.42628</v>
      </c>
      <c r="Z607" s="1" t="n">
        <f aca="false">N(STACK!J607)</f>
        <v>15</v>
      </c>
      <c r="AA607" s="1" t="str">
        <f aca="false">TRIM(IF(D607="UNMAPPED","Program not mapped. ","")&amp;IF(OR(K607="UNMAPPED",K607="UNASSIGNED"),"Category needs review. ","")&amp;IF(P607="UNMAPPED","Title not mapped. ","")&amp;IF(AND(P607&lt;&gt;"No staff time",R607=""),"Missing hours. ","")&amp;IF(M607="","Date not readable. ","")&amp;IF(N607="No","Outside fiscal year. ","")&amp;IF(AND(F607="Event",ISNUMBER(R607)),IF(R607&gt;12,"Event hours look high. ",""),"")&amp;IF(G607&gt;0,"See CONFIRM sheet.",""))</f>
        <v/>
      </c>
      <c r="AB607" s="1" t="n">
        <f aca="false">IF(N607="No",0,IF(REVIEW!O607=0,0,IF(G607&gt;0,IF(INDEX(CONFIRM!$J$5:$J$53,G607)&lt;&gt;"",INDEX(CONFIRM!$J$5:$J$53,G607),1),1)))</f>
        <v>1</v>
      </c>
      <c r="AC607" s="1" t="n">
        <f aca="false">IF(AB607=1,IF(COUNTIFS($B$5:B607,B607,$D$5:D607,D607,$AB$5:AB607,1)=1,1,0),0)</f>
        <v>0</v>
      </c>
    </row>
    <row r="608" customFormat="false" ht="15" hidden="false" customHeight="false" outlineLevel="0" collapsed="false">
      <c r="A608" s="48" t="str">
        <f aca="false">STACK!A608</f>
        <v>ASH-0075</v>
      </c>
      <c r="B608" s="48" t="str">
        <f aca="false">STACK!B608</f>
        <v>ASH</v>
      </c>
      <c r="C608" s="48" t="str">
        <f aca="false">STACK!E608</f>
        <v>Leadership Academy</v>
      </c>
      <c r="D608" s="1" t="str">
        <f aca="false">IFERROR(INDEX(MAP!$J$7:$J$101,MATCH(TRIM(C608),MAP!$I$7:$I$101,0)),"UNMAPPED")</f>
        <v>Neighborhood Leadership Academy</v>
      </c>
      <c r="E608" s="1" t="str">
        <f aca="false">IFERROR(INDEX(MAP!$K$7:$K$101,MATCH(TRIM(C608),MAP!$I$7:$I$101,0)),"")</f>
        <v>Community benefit infrastructure</v>
      </c>
      <c r="F608" s="1" t="str">
        <f aca="false">IFERROR(INDEX(MAP!$L$7:$L$101,MATCH(TRIM(C608),MAP!$I$7:$I$101,0)),"")</f>
        <v>Event</v>
      </c>
      <c r="G608" s="1" t="n">
        <f aca="false">IFERROR(MATCH(A608,CONFIRM!$A$5:$A$53,0),0)</f>
        <v>0</v>
      </c>
      <c r="H608" s="48" t="str">
        <f aca="false">STACK!F608</f>
        <v>CB-Leadership Dev</v>
      </c>
      <c r="I608" s="1" t="str">
        <f aca="false">IF(G608&gt;0,IF(INDEX(CONFIRM!$I$5:$I$53,G608)&lt;&gt;"",INDEX(CONFIRM!$I$5:$I$53,G608),H608),H608)</f>
        <v>CB-Leadership Dev</v>
      </c>
      <c r="J608" s="1" t="str">
        <f aca="false">IFERROR(INDEX(MAP!$F$7:$F$74,MATCH(TRIM(I608),MAP!$E$7:$E$74,0)),"UNMAPPED")</f>
        <v>Community building: leadership development</v>
      </c>
      <c r="K608" s="1" t="str">
        <f aca="false">IFERROR(INDEX(MAP!$G$7:$G$74,MATCH(TRIM(I608),MAP!$E$7:$E$74,0)),"UNMAPPED")</f>
        <v>II-5</v>
      </c>
      <c r="L608" s="49" t="str">
        <f aca="false">STACK!G608</f>
        <v>10/20/2025</v>
      </c>
      <c r="M608" s="59" t="n">
        <f aca="false">IF(G608&gt;0,IF(INDEX(CONFIRM!$G$5:$G$53,G608)&lt;&gt;"",INDEX(CONFIRM!$G$5:$G$53,G608),IF(ISNUMBER(L608),L608,IFERROR(DATEVALUE(L608),""))),IF(ISNUMBER(L608),L608,IFERROR(DATEVALUE(L608),"")))</f>
        <v>45950</v>
      </c>
      <c r="N608" s="1" t="str">
        <f aca="false">IF(M608="","Check",IF(AND(M608&gt;=INPUTS!$C$6,M608&lt;=INPUTS!$C$7),"Yes","No"))</f>
        <v>Yes</v>
      </c>
      <c r="O608" s="48" t="str">
        <f aca="false">STACK!H608</f>
        <v>Health Education Specialist</v>
      </c>
      <c r="P608" s="1" t="str">
        <f aca="false">IF(G608&gt;0,IF(INDEX(CONFIRM!$H$5:$H$53,G608)&lt;&gt;"",INDEX(CONFIRM!$H$5:$H$53,G608),IFERROR(INDEX(MAP!$B$7:$B$156,MATCH(TRIM(O608),MAP!$A$7:$A$156,0)),"UNMAPPED")),IFERROR(INDEX(MAP!$B$7:$B$156,MATCH(TRIM(O608),MAP!$A$7:$A$156,0)),"UNMAPPED"))</f>
        <v>Health Educator</v>
      </c>
      <c r="Q608" s="48" t="n">
        <f aca="false">STACK!I608</f>
        <v>3.75</v>
      </c>
      <c r="R608" s="60" t="n">
        <f aca="false">IF(G608&gt;0,IF(INDEX(CONFIRM!$F$5:$F$53,G608)&lt;&gt;"",INDEX(CONFIRM!$F$5:$F$53,G608),IF(ISNUMBER(Q608),Q608,IF(Q608="","",IFERROR(VALUE(TRIM(SUBSTITUTE(SUBSTITUTE(LOWER(Q608),"hrs",""),"hr",""))),"")))),IF(ISNUMBER(Q608),Q608,IF(Q608="","",IFERROR(VALUE(TRIM(SUBSTITUTE(SUBSTITUTE(LOWER(Q608),"hrs",""),"hr",""))),""))))</f>
        <v>3.75</v>
      </c>
      <c r="S608" s="57" t="n">
        <f aca="false">IFERROR(INDEX(RATES!$E$6:$E$28,MATCH(P608,RATES!$A$6:$A$28,0)),0)</f>
        <v>37.265</v>
      </c>
      <c r="T608" s="61" t="n">
        <f aca="false">IF(ISNUMBER(R608),R608,0)*S608</f>
        <v>139.74375</v>
      </c>
      <c r="U608" s="61" t="n">
        <f aca="false">T608*INDEX(INPUTS!$H$10:$H$14,MATCH(B608,INPUTS!$A$10:$A$14,0))</f>
        <v>22.6384875</v>
      </c>
      <c r="V608" s="61" t="n">
        <f aca="false">N(STACK!K608)</f>
        <v>0</v>
      </c>
      <c r="W608" s="61" t="n">
        <f aca="false">T608+U608+V608</f>
        <v>162.3822375</v>
      </c>
      <c r="X608" s="61" t="n">
        <f aca="false">N(STACK!L608)</f>
        <v>0</v>
      </c>
      <c r="Y608" s="61" t="n">
        <f aca="false">W608-X608</f>
        <v>162.3822375</v>
      </c>
      <c r="Z608" s="1" t="n">
        <f aca="false">N(STACK!J608)</f>
        <v>0</v>
      </c>
      <c r="AA608" s="1" t="str">
        <f aca="false">TRIM(IF(D608="UNMAPPED","Program not mapped. ","")&amp;IF(OR(K608="UNMAPPED",K608="UNASSIGNED"),"Category needs review. ","")&amp;IF(P608="UNMAPPED","Title not mapped. ","")&amp;IF(AND(P608&lt;&gt;"No staff time",R608=""),"Missing hours. ","")&amp;IF(M608="","Date not readable. ","")&amp;IF(N608="No","Outside fiscal year. ","")&amp;IF(AND(F608="Event",ISNUMBER(R608)),IF(R608&gt;12,"Event hours look high. ",""),"")&amp;IF(G608&gt;0,"See CONFIRM sheet.",""))</f>
        <v/>
      </c>
      <c r="AB608" s="1" t="n">
        <f aca="false">IF(N608="No",0,IF(REVIEW!O608=0,0,IF(G608&gt;0,IF(INDEX(CONFIRM!$J$5:$J$53,G608)&lt;&gt;"",INDEX(CONFIRM!$J$5:$J$53,G608),1),1)))</f>
        <v>1</v>
      </c>
      <c r="AC608" s="1" t="n">
        <f aca="false">IF(AB608=1,IF(COUNTIFS($B$5:B608,B608,$D$5:D608,D608,$AB$5:AB608,1)=1,1,0),0)</f>
        <v>0</v>
      </c>
    </row>
    <row r="609" customFormat="false" ht="15" hidden="false" customHeight="false" outlineLevel="0" collapsed="false">
      <c r="A609" s="48" t="str">
        <f aca="false">STACK!A609</f>
        <v>ASH-0076</v>
      </c>
      <c r="B609" s="48" t="str">
        <f aca="false">STACK!B609</f>
        <v>ASH</v>
      </c>
      <c r="C609" s="48" t="str">
        <f aca="false">STACK!E609</f>
        <v>Leadership Academy</v>
      </c>
      <c r="D609" s="1" t="str">
        <f aca="false">IFERROR(INDEX(MAP!$J$7:$J$101,MATCH(TRIM(C609),MAP!$I$7:$I$101,0)),"UNMAPPED")</f>
        <v>Neighborhood Leadership Academy</v>
      </c>
      <c r="E609" s="1" t="str">
        <f aca="false">IFERROR(INDEX(MAP!$K$7:$K$101,MATCH(TRIM(C609),MAP!$I$7:$I$101,0)),"")</f>
        <v>Community benefit infrastructure</v>
      </c>
      <c r="F609" s="1" t="str">
        <f aca="false">IFERROR(INDEX(MAP!$L$7:$L$101,MATCH(TRIM(C609),MAP!$I$7:$I$101,0)),"")</f>
        <v>Event</v>
      </c>
      <c r="G609" s="1" t="n">
        <f aca="false">IFERROR(MATCH(A609,CONFIRM!$A$5:$A$53,0),0)</f>
        <v>0</v>
      </c>
      <c r="H609" s="48" t="str">
        <f aca="false">STACK!F609</f>
        <v>CB-Leadership Dev</v>
      </c>
      <c r="I609" s="1" t="str">
        <f aca="false">IF(G609&gt;0,IF(INDEX(CONFIRM!$I$5:$I$53,G609)&lt;&gt;"",INDEX(CONFIRM!$I$5:$I$53,G609),H609),H609)</f>
        <v>CB-Leadership Dev</v>
      </c>
      <c r="J609" s="1" t="str">
        <f aca="false">IFERROR(INDEX(MAP!$F$7:$F$74,MATCH(TRIM(I609),MAP!$E$7:$E$74,0)),"UNMAPPED")</f>
        <v>Community building: leadership development</v>
      </c>
      <c r="K609" s="1" t="str">
        <f aca="false">IFERROR(INDEX(MAP!$G$7:$G$74,MATCH(TRIM(I609),MAP!$E$7:$E$74,0)),"UNMAPPED")</f>
        <v>II-5</v>
      </c>
      <c r="L609" s="49" t="str">
        <f aca="false">STACK!G609</f>
        <v>10/20/2025</v>
      </c>
      <c r="M609" s="59" t="n">
        <f aca="false">IF(G609&gt;0,IF(INDEX(CONFIRM!$G$5:$G$53,G609)&lt;&gt;"",INDEX(CONFIRM!$G$5:$G$53,G609),IF(ISNUMBER(L609),L609,IFERROR(DATEVALUE(L609),""))),IF(ISNUMBER(L609),L609,IFERROR(DATEVALUE(L609),"")))</f>
        <v>45950</v>
      </c>
      <c r="N609" s="1" t="str">
        <f aca="false">IF(M609="","Check",IF(AND(M609&gt;=INPUTS!$C$6,M609&lt;=INPUTS!$C$7),"Yes","No"))</f>
        <v>Yes</v>
      </c>
      <c r="O609" s="48" t="str">
        <f aca="false">STACK!H609</f>
        <v>Program Coordinator</v>
      </c>
      <c r="P609" s="1" t="str">
        <f aca="false">IF(G609&gt;0,IF(INDEX(CONFIRM!$H$5:$H$53,G609)&lt;&gt;"",INDEX(CONFIRM!$H$5:$H$53,G609),IFERROR(INDEX(MAP!$B$7:$B$156,MATCH(TRIM(O609),MAP!$A$7:$A$156,0)),"UNMAPPED")),IFERROR(INDEX(MAP!$B$7:$B$156,MATCH(TRIM(O609),MAP!$A$7:$A$156,0)),"UNMAPPED"))</f>
        <v>Program Coordinator</v>
      </c>
      <c r="Q609" s="48" t="n">
        <f aca="false">STACK!I609</f>
        <v>5</v>
      </c>
      <c r="R609" s="60" t="n">
        <f aca="false">IF(G609&gt;0,IF(INDEX(CONFIRM!$F$5:$F$53,G609)&lt;&gt;"",INDEX(CONFIRM!$F$5:$F$53,G609),IF(ISNUMBER(Q609),Q609,IF(Q609="","",IFERROR(VALUE(TRIM(SUBSTITUTE(SUBSTITUTE(LOWER(Q609),"hrs",""),"hr",""))),"")))),IF(ISNUMBER(Q609),Q609,IF(Q609="","",IFERROR(VALUE(TRIM(SUBSTITUTE(SUBSTITUTE(LOWER(Q609),"hrs",""),"hr",""))),""))))</f>
        <v>5</v>
      </c>
      <c r="S609" s="57" t="n">
        <f aca="false">IFERROR(INDEX(RATES!$E$6:$E$28,MATCH(P609,RATES!$A$6:$A$28,0)),0)</f>
        <v>35.3375</v>
      </c>
      <c r="T609" s="61" t="n">
        <f aca="false">IF(ISNUMBER(R609),R609,0)*S609</f>
        <v>176.6875</v>
      </c>
      <c r="U609" s="61" t="n">
        <f aca="false">T609*INDEX(INPUTS!$H$10:$H$14,MATCH(B609,INPUTS!$A$10:$A$14,0))</f>
        <v>28.623375</v>
      </c>
      <c r="V609" s="61" t="n">
        <f aca="false">N(STACK!K609)</f>
        <v>705</v>
      </c>
      <c r="W609" s="61" t="n">
        <f aca="false">T609+U609+V609</f>
        <v>910.310875</v>
      </c>
      <c r="X609" s="61" t="n">
        <f aca="false">N(STACK!L609)</f>
        <v>0</v>
      </c>
      <c r="Y609" s="61" t="n">
        <f aca="false">W609-X609</f>
        <v>910.310875</v>
      </c>
      <c r="Z609" s="1" t="n">
        <f aca="false">N(STACK!J609)</f>
        <v>19</v>
      </c>
      <c r="AA609" s="1" t="str">
        <f aca="false">TRIM(IF(D609="UNMAPPED","Program not mapped. ","")&amp;IF(OR(K609="UNMAPPED",K609="UNASSIGNED"),"Category needs review. ","")&amp;IF(P609="UNMAPPED","Title not mapped. ","")&amp;IF(AND(P609&lt;&gt;"No staff time",R609=""),"Missing hours. ","")&amp;IF(M609="","Date not readable. ","")&amp;IF(N609="No","Outside fiscal year. ","")&amp;IF(AND(F609="Event",ISNUMBER(R609)),IF(R609&gt;12,"Event hours look high. ",""),"")&amp;IF(G609&gt;0,"See CONFIRM sheet.",""))</f>
        <v/>
      </c>
      <c r="AB609" s="1" t="n">
        <f aca="false">IF(N609="No",0,IF(REVIEW!O609=0,0,IF(G609&gt;0,IF(INDEX(CONFIRM!$J$5:$J$53,G609)&lt;&gt;"",INDEX(CONFIRM!$J$5:$J$53,G609),1),1)))</f>
        <v>1</v>
      </c>
      <c r="AC609" s="1" t="n">
        <f aca="false">IF(AB609=1,IF(COUNTIFS($B$5:B609,B609,$D$5:D609,D609,$AB$5:AB609,1)=1,1,0),0)</f>
        <v>0</v>
      </c>
    </row>
    <row r="610" customFormat="false" ht="15" hidden="false" customHeight="false" outlineLevel="0" collapsed="false">
      <c r="A610" s="48" t="str">
        <f aca="false">STACK!A610</f>
        <v>ASH-0077</v>
      </c>
      <c r="B610" s="48" t="str">
        <f aca="false">STACK!B610</f>
        <v>ASH</v>
      </c>
      <c r="C610" s="48" t="str">
        <f aca="false">STACK!E610</f>
        <v>Grief Support</v>
      </c>
      <c r="D610" s="1" t="str">
        <f aca="false">IFERROR(INDEX(MAP!$J$7:$J$101,MATCH(TRIM(C610),MAP!$I$7:$I$101,0)),"UNMAPPED")</f>
        <v>Grief Support Group</v>
      </c>
      <c r="E610" s="1" t="str">
        <f aca="false">IFERROR(INDEX(MAP!$K$7:$K$101,MATCH(TRIM(C610),MAP!$I$7:$I$101,0)),"")</f>
        <v>Behavioral health</v>
      </c>
      <c r="F610" s="1" t="str">
        <f aca="false">IFERROR(INDEX(MAP!$L$7:$L$101,MATCH(TRIM(C610),MAP!$I$7:$I$101,0)),"")</f>
        <v>Event</v>
      </c>
      <c r="G610" s="1" t="n">
        <f aca="false">IFERROR(MATCH(A610,CONFIRM!$A$5:$A$53,0),0)</f>
        <v>0</v>
      </c>
      <c r="H610" s="48" t="str">
        <f aca="false">STACK!F610</f>
        <v>Support Svcs</v>
      </c>
      <c r="I610" s="1" t="str">
        <f aca="false">IF(G610&gt;0,IF(INDEX(CONFIRM!$I$5:$I$53,G610)&lt;&gt;"",INDEX(CONFIRM!$I$5:$I$53,G610),H610),H610)</f>
        <v>Support Svcs</v>
      </c>
      <c r="J610" s="1" t="str">
        <f aca="false">IFERROR(INDEX(MAP!$F$7:$F$74,MATCH(TRIM(I610),MAP!$E$7:$E$74,0)),"UNMAPPED")</f>
        <v>Health care support services</v>
      </c>
      <c r="K610" s="1" t="str">
        <f aca="false">IFERROR(INDEX(MAP!$G$7:$G$74,MATCH(TRIM(I610),MAP!$E$7:$E$74,0)),"UNMAPPED")</f>
        <v>7e</v>
      </c>
      <c r="L610" s="49" t="str">
        <f aca="false">STACK!G610</f>
        <v>10/27/2025</v>
      </c>
      <c r="M610" s="59" t="n">
        <f aca="false">IF(G610&gt;0,IF(INDEX(CONFIRM!$G$5:$G$53,G610)&lt;&gt;"",INDEX(CONFIRM!$G$5:$G$53,G610),IF(ISNUMBER(L610),L610,IFERROR(DATEVALUE(L610),""))),IF(ISNUMBER(L610),L610,IFERROR(DATEVALUE(L610),"")))</f>
        <v>45957</v>
      </c>
      <c r="N610" s="1" t="str">
        <f aca="false">IF(M610="","Check",IF(AND(M610&gt;=INPUTS!$C$6,M610&lt;=INPUTS!$C$7),"Yes","No"))</f>
        <v>Yes</v>
      </c>
      <c r="O610" s="48" t="str">
        <f aca="false">STACK!H610</f>
        <v>Pastoral Care</v>
      </c>
      <c r="P610" s="1" t="str">
        <f aca="false">IF(G610&gt;0,IF(INDEX(CONFIRM!$H$5:$H$53,G610)&lt;&gt;"",INDEX(CONFIRM!$H$5:$H$53,G610),IFERROR(INDEX(MAP!$B$7:$B$156,MATCH(TRIM(O610),MAP!$A$7:$A$156,0)),"UNMAPPED")),IFERROR(INDEX(MAP!$B$7:$B$156,MATCH(TRIM(O610),MAP!$A$7:$A$156,0)),"UNMAPPED"))</f>
        <v>Chaplain</v>
      </c>
      <c r="Q610" s="48" t="n">
        <f aca="false">STACK!I610</f>
        <v>2.5</v>
      </c>
      <c r="R610" s="60" t="n">
        <f aca="false">IF(G610&gt;0,IF(INDEX(CONFIRM!$F$5:$F$53,G610)&lt;&gt;"",INDEX(CONFIRM!$F$5:$F$53,G610),IF(ISNUMBER(Q610),Q610,IF(Q610="","",IFERROR(VALUE(TRIM(SUBSTITUTE(SUBSTITUTE(LOWER(Q610),"hrs",""),"hr",""))),"")))),IF(ISNUMBER(Q610),Q610,IF(Q610="","",IFERROR(VALUE(TRIM(SUBSTITUTE(SUBSTITUTE(LOWER(Q610),"hrs",""),"hr",""))),""))))</f>
        <v>2.5</v>
      </c>
      <c r="S610" s="57" t="n">
        <f aca="false">IFERROR(INDEX(RATES!$E$6:$E$28,MATCH(P610,RATES!$A$6:$A$28,0)),0)</f>
        <v>39.835</v>
      </c>
      <c r="T610" s="61" t="n">
        <f aca="false">IF(ISNUMBER(R610),R610,0)*S610</f>
        <v>99.5875</v>
      </c>
      <c r="U610" s="61" t="n">
        <f aca="false">T610*INDEX(INPUTS!$H$10:$H$14,MATCH(B610,INPUTS!$A$10:$A$14,0))</f>
        <v>16.133175</v>
      </c>
      <c r="V610" s="61" t="n">
        <f aca="false">N(STACK!K610)</f>
        <v>25</v>
      </c>
      <c r="W610" s="61" t="n">
        <f aca="false">T610+U610+V610</f>
        <v>140.720675</v>
      </c>
      <c r="X610" s="61" t="n">
        <f aca="false">N(STACK!L610)</f>
        <v>0</v>
      </c>
      <c r="Y610" s="61" t="n">
        <f aca="false">W610-X610</f>
        <v>140.720675</v>
      </c>
      <c r="Z610" s="1" t="n">
        <f aca="false">N(STACK!J610)</f>
        <v>8</v>
      </c>
      <c r="AA610" s="1" t="str">
        <f aca="false">TRIM(IF(D610="UNMAPPED","Program not mapped. ","")&amp;IF(OR(K610="UNMAPPED",K610="UNASSIGNED"),"Category needs review. ","")&amp;IF(P610="UNMAPPED","Title not mapped. ","")&amp;IF(AND(P610&lt;&gt;"No staff time",R610=""),"Missing hours. ","")&amp;IF(M610="","Date not readable. ","")&amp;IF(N610="No","Outside fiscal year. ","")&amp;IF(AND(F610="Event",ISNUMBER(R610)),IF(R610&gt;12,"Event hours look high. ",""),"")&amp;IF(G610&gt;0,"See CONFIRM sheet.",""))</f>
        <v/>
      </c>
      <c r="AB610" s="1" t="n">
        <f aca="false">IF(N610="No",0,IF(REVIEW!O610=0,0,IF(G610&gt;0,IF(INDEX(CONFIRM!$J$5:$J$53,G610)&lt;&gt;"",INDEX(CONFIRM!$J$5:$J$53,G610),1),1)))</f>
        <v>1</v>
      </c>
      <c r="AC610" s="1" t="n">
        <f aca="false">IF(AB610=1,IF(COUNTIFS($B$5:B610,B610,$D$5:D610,D610,$AB$5:AB610,1)=1,1,0),0)</f>
        <v>0</v>
      </c>
    </row>
    <row r="611" customFormat="false" ht="15" hidden="false" customHeight="false" outlineLevel="0" collapsed="false">
      <c r="A611" s="48" t="str">
        <f aca="false">STACK!A611</f>
        <v>ASH-0078</v>
      </c>
      <c r="B611" s="48" t="str">
        <f aca="false">STACK!B611</f>
        <v>ASH</v>
      </c>
      <c r="C611" s="48" t="str">
        <f aca="false">STACK!E611</f>
        <v>Grief Support</v>
      </c>
      <c r="D611" s="1" t="str">
        <f aca="false">IFERROR(INDEX(MAP!$J$7:$J$101,MATCH(TRIM(C611),MAP!$I$7:$I$101,0)),"UNMAPPED")</f>
        <v>Grief Support Group</v>
      </c>
      <c r="E611" s="1" t="str">
        <f aca="false">IFERROR(INDEX(MAP!$K$7:$K$101,MATCH(TRIM(C611),MAP!$I$7:$I$101,0)),"")</f>
        <v>Behavioral health</v>
      </c>
      <c r="F611" s="1" t="str">
        <f aca="false">IFERROR(INDEX(MAP!$L$7:$L$101,MATCH(TRIM(C611),MAP!$I$7:$I$101,0)),"")</f>
        <v>Event</v>
      </c>
      <c r="G611" s="1" t="n">
        <f aca="false">IFERROR(MATCH(A611,CONFIRM!$A$5:$A$53,0),0)</f>
        <v>0</v>
      </c>
      <c r="H611" s="48" t="str">
        <f aca="false">STACK!F611</f>
        <v>Support Svcs</v>
      </c>
      <c r="I611" s="1" t="str">
        <f aca="false">IF(G611&gt;0,IF(INDEX(CONFIRM!$I$5:$I$53,G611)&lt;&gt;"",INDEX(CONFIRM!$I$5:$I$53,G611),H611),H611)</f>
        <v>Support Svcs</v>
      </c>
      <c r="J611" s="1" t="str">
        <f aca="false">IFERROR(INDEX(MAP!$F$7:$F$74,MATCH(TRIM(I611),MAP!$E$7:$E$74,0)),"UNMAPPED")</f>
        <v>Health care support services</v>
      </c>
      <c r="K611" s="1" t="str">
        <f aca="false">IFERROR(INDEX(MAP!$G$7:$G$74,MATCH(TRIM(I611),MAP!$E$7:$E$74,0)),"UNMAPPED")</f>
        <v>7e</v>
      </c>
      <c r="L611" s="49" t="str">
        <f aca="false">STACK!G611</f>
        <v>10/27/2025</v>
      </c>
      <c r="M611" s="59" t="n">
        <f aca="false">IF(G611&gt;0,IF(INDEX(CONFIRM!$G$5:$G$53,G611)&lt;&gt;"",INDEX(CONFIRM!$G$5:$G$53,G611),IF(ISNUMBER(L611),L611,IFERROR(DATEVALUE(L611),""))),IF(ISNUMBER(L611),L611,IFERROR(DATEVALUE(L611),"")))</f>
        <v>45957</v>
      </c>
      <c r="N611" s="1" t="str">
        <f aca="false">IF(M611="","Check",IF(AND(M611&gt;=INPUTS!$C$6,M611&lt;=INPUTS!$C$7),"Yes","No"))</f>
        <v>Yes</v>
      </c>
      <c r="O611" s="48" t="str">
        <f aca="false">STACK!H611</f>
        <v>LCSW</v>
      </c>
      <c r="P611" s="1" t="str">
        <f aca="false">IF(G611&gt;0,IF(INDEX(CONFIRM!$H$5:$H$53,G611)&lt;&gt;"",INDEX(CONFIRM!$H$5:$H$53,G611),IFERROR(INDEX(MAP!$B$7:$B$156,MATCH(TRIM(O611),MAP!$A$7:$A$156,0)),"UNMAPPED")),IFERROR(INDEX(MAP!$B$7:$B$156,MATCH(TRIM(O611),MAP!$A$7:$A$156,0)),"UNMAPPED"))</f>
        <v>Social Worker</v>
      </c>
      <c r="Q611" s="48" t="n">
        <f aca="false">STACK!I611</f>
        <v>1.5</v>
      </c>
      <c r="R611" s="60" t="n">
        <f aca="false">IF(G611&gt;0,IF(INDEX(CONFIRM!$F$5:$F$53,G611)&lt;&gt;"",INDEX(CONFIRM!$F$5:$F$53,G611),IF(ISNUMBER(Q611),Q611,IF(Q611="","",IFERROR(VALUE(TRIM(SUBSTITUTE(SUBSTITUTE(LOWER(Q611),"hrs",""),"hr",""))),"")))),IF(ISNUMBER(Q611),Q611,IF(Q611="","",IFERROR(VALUE(TRIM(SUBSTITUTE(SUBSTITUTE(LOWER(Q611),"hrs",""),"hr",""))),""))))</f>
        <v>1.5</v>
      </c>
      <c r="S611" s="57" t="n">
        <f aca="false">IFERROR(INDEX(RATES!$E$6:$E$28,MATCH(P611,RATES!$A$6:$A$28,0)),0)</f>
        <v>45.6175</v>
      </c>
      <c r="T611" s="61" t="n">
        <f aca="false">IF(ISNUMBER(R611),R611,0)*S611</f>
        <v>68.42625</v>
      </c>
      <c r="U611" s="61" t="n">
        <f aca="false">T611*INDEX(INPUTS!$H$10:$H$14,MATCH(B611,INPUTS!$A$10:$A$14,0))</f>
        <v>11.0850525</v>
      </c>
      <c r="V611" s="61" t="n">
        <f aca="false">N(STACK!K611)</f>
        <v>0</v>
      </c>
      <c r="W611" s="61" t="n">
        <f aca="false">T611+U611+V611</f>
        <v>79.5113025</v>
      </c>
      <c r="X611" s="61" t="n">
        <f aca="false">N(STACK!L611)</f>
        <v>0</v>
      </c>
      <c r="Y611" s="61" t="n">
        <f aca="false">W611-X611</f>
        <v>79.5113025</v>
      </c>
      <c r="Z611" s="1" t="n">
        <f aca="false">N(STACK!J611)</f>
        <v>0</v>
      </c>
      <c r="AA611" s="1" t="str">
        <f aca="false">TRIM(IF(D611="UNMAPPED","Program not mapped. ","")&amp;IF(OR(K611="UNMAPPED",K611="UNASSIGNED"),"Category needs review. ","")&amp;IF(P611="UNMAPPED","Title not mapped. ","")&amp;IF(AND(P611&lt;&gt;"No staff time",R611=""),"Missing hours. ","")&amp;IF(M611="","Date not readable. ","")&amp;IF(N611="No","Outside fiscal year. ","")&amp;IF(AND(F611="Event",ISNUMBER(R611)),IF(R611&gt;12,"Event hours look high. ",""),"")&amp;IF(G611&gt;0,"See CONFIRM sheet.",""))</f>
        <v/>
      </c>
      <c r="AB611" s="1" t="n">
        <f aca="false">IF(N611="No",0,IF(REVIEW!O611=0,0,IF(G611&gt;0,IF(INDEX(CONFIRM!$J$5:$J$53,G611)&lt;&gt;"",INDEX(CONFIRM!$J$5:$J$53,G611),1),1)))</f>
        <v>1</v>
      </c>
      <c r="AC611" s="1" t="n">
        <f aca="false">IF(AB611=1,IF(COUNTIFS($B$5:B611,B611,$D$5:D611,D611,$AB$5:AB611,1)=1,1,0),0)</f>
        <v>0</v>
      </c>
    </row>
    <row r="612" customFormat="false" ht="15" hidden="false" customHeight="false" outlineLevel="0" collapsed="false">
      <c r="A612" s="48" t="str">
        <f aca="false">STACK!A612</f>
        <v>ASH-0079</v>
      </c>
      <c r="B612" s="48" t="str">
        <f aca="false">STACK!B612</f>
        <v>ASH</v>
      </c>
      <c r="C612" s="48" t="str">
        <f aca="false">STACK!E612</f>
        <v>Mobile Screening Unit</v>
      </c>
      <c r="D612" s="1" t="str">
        <f aca="false">IFERROR(INDEX(MAP!$J$7:$J$101,MATCH(TRIM(C612),MAP!$I$7:$I$101,0)),"UNMAPPED")</f>
        <v>Mobile Health Screening Unit</v>
      </c>
      <c r="E612" s="1" t="str">
        <f aca="false">IFERROR(INDEX(MAP!$K$7:$K$101,MATCH(TRIM(C612),MAP!$I$7:$I$101,0)),"")</f>
        <v>Access to care</v>
      </c>
      <c r="F612" s="1" t="str">
        <f aca="false">IFERROR(INDEX(MAP!$L$7:$L$101,MATCH(TRIM(C612),MAP!$I$7:$I$101,0)),"")</f>
        <v>Monthly</v>
      </c>
      <c r="G612" s="1" t="n">
        <f aca="false">IFERROR(MATCH(A612,CONFIRM!$A$5:$A$53,0),0)</f>
        <v>0</v>
      </c>
      <c r="H612" s="48" t="str">
        <f aca="false">STACK!F612</f>
        <v>Clinical Svcs</v>
      </c>
      <c r="I612" s="1" t="str">
        <f aca="false">IF(G612&gt;0,IF(INDEX(CONFIRM!$I$5:$I$53,G612)&lt;&gt;"",INDEX(CONFIRM!$I$5:$I$53,G612),H612),H612)</f>
        <v>Clinical Svcs</v>
      </c>
      <c r="J612" s="1" t="str">
        <f aca="false">IFERROR(INDEX(MAP!$F$7:$F$74,MATCH(TRIM(I612),MAP!$E$7:$E$74,0)),"UNMAPPED")</f>
        <v>Community-based clinical services</v>
      </c>
      <c r="K612" s="1" t="str">
        <f aca="false">IFERROR(INDEX(MAP!$G$7:$G$74,MATCH(TRIM(I612),MAP!$E$7:$E$74,0)),"UNMAPPED")</f>
        <v>7e</v>
      </c>
      <c r="L612" s="49" t="str">
        <f aca="false">STACK!G612</f>
        <v>10/31/2025</v>
      </c>
      <c r="M612" s="59" t="n">
        <f aca="false">IF(G612&gt;0,IF(INDEX(CONFIRM!$G$5:$G$53,G612)&lt;&gt;"",INDEX(CONFIRM!$G$5:$G$53,G612),IF(ISNUMBER(L612),L612,IFERROR(DATEVALUE(L612),""))),IF(ISNUMBER(L612),L612,IFERROR(DATEVALUE(L612),"")))</f>
        <v>45961</v>
      </c>
      <c r="N612" s="1" t="str">
        <f aca="false">IF(M612="","Check",IF(AND(M612&gt;=INPUTS!$C$6,M612&lt;=INPUTS!$C$7),"Yes","No"))</f>
        <v>Yes</v>
      </c>
      <c r="O612" s="48" t="str">
        <f aca="false">STACK!H612</f>
        <v>CHW II</v>
      </c>
      <c r="P612" s="1" t="str">
        <f aca="false">IF(G612&gt;0,IF(INDEX(CONFIRM!$H$5:$H$53,G612)&lt;&gt;"",INDEX(CONFIRM!$H$5:$H$53,G612),IFERROR(INDEX(MAP!$B$7:$B$156,MATCH(TRIM(O612),MAP!$A$7:$A$156,0)),"UNMAPPED")),IFERROR(INDEX(MAP!$B$7:$B$156,MATCH(TRIM(O612),MAP!$A$7:$A$156,0)),"UNMAPPED"))</f>
        <v>Community Health Worker</v>
      </c>
      <c r="Q612" s="48" t="n">
        <f aca="false">STACK!I612</f>
        <v>60.25</v>
      </c>
      <c r="R612" s="60" t="n">
        <f aca="false">IF(G612&gt;0,IF(INDEX(CONFIRM!$F$5:$F$53,G612)&lt;&gt;"",INDEX(CONFIRM!$F$5:$F$53,G612),IF(ISNUMBER(Q612),Q612,IF(Q612="","",IFERROR(VALUE(TRIM(SUBSTITUTE(SUBSTITUTE(LOWER(Q612),"hrs",""),"hr",""))),"")))),IF(ISNUMBER(Q612),Q612,IF(Q612="","",IFERROR(VALUE(TRIM(SUBSTITUTE(SUBSTITUTE(LOWER(Q612),"hrs",""),"hr",""))),""))))</f>
        <v>60.25</v>
      </c>
      <c r="S612" s="57" t="n">
        <f aca="false">IFERROR(INDEX(RATES!$E$6:$E$28,MATCH(P612,RATES!$A$6:$A$28,0)),0)</f>
        <v>27.6275</v>
      </c>
      <c r="T612" s="61" t="n">
        <f aca="false">IF(ISNUMBER(R612),R612,0)*S612</f>
        <v>1664.556875</v>
      </c>
      <c r="U612" s="61" t="n">
        <f aca="false">T612*INDEX(INPUTS!$H$10:$H$14,MATCH(B612,INPUTS!$A$10:$A$14,0))</f>
        <v>269.65821375</v>
      </c>
      <c r="V612" s="61" t="n">
        <f aca="false">N(STACK!K612)</f>
        <v>0</v>
      </c>
      <c r="W612" s="61" t="n">
        <f aca="false">T612+U612+V612</f>
        <v>1934.21508875</v>
      </c>
      <c r="X612" s="61" t="n">
        <f aca="false">N(STACK!L612)</f>
        <v>0</v>
      </c>
      <c r="Y612" s="61" t="n">
        <f aca="false">W612-X612</f>
        <v>1934.21508875</v>
      </c>
      <c r="Z612" s="1" t="n">
        <f aca="false">N(STACK!J612)</f>
        <v>0</v>
      </c>
      <c r="AA612" s="1" t="str">
        <f aca="false">TRIM(IF(D612="UNMAPPED","Program not mapped. ","")&amp;IF(OR(K612="UNMAPPED",K612="UNASSIGNED"),"Category needs review. ","")&amp;IF(P612="UNMAPPED","Title not mapped. ","")&amp;IF(AND(P612&lt;&gt;"No staff time",R612=""),"Missing hours. ","")&amp;IF(M612="","Date not readable. ","")&amp;IF(N612="No","Outside fiscal year. ","")&amp;IF(AND(F612="Event",ISNUMBER(R612)),IF(R612&gt;12,"Event hours look high. ",""),"")&amp;IF(G612&gt;0,"See CONFIRM sheet.",""))</f>
        <v/>
      </c>
      <c r="AB612" s="1" t="n">
        <f aca="false">IF(N612="No",0,IF(REVIEW!O612=0,0,IF(G612&gt;0,IF(INDEX(CONFIRM!$J$5:$J$53,G612)&lt;&gt;"",INDEX(CONFIRM!$J$5:$J$53,G612),1),1)))</f>
        <v>1</v>
      </c>
      <c r="AC612" s="1" t="n">
        <f aca="false">IF(AB612=1,IF(COUNTIFS($B$5:B612,B612,$D$5:D612,D612,$AB$5:AB612,1)=1,1,0),0)</f>
        <v>0</v>
      </c>
    </row>
    <row r="613" customFormat="false" ht="15" hidden="false" customHeight="false" outlineLevel="0" collapsed="false">
      <c r="A613" s="48" t="str">
        <f aca="false">STACK!A613</f>
        <v>ASH-0080</v>
      </c>
      <c r="B613" s="48" t="str">
        <f aca="false">STACK!B613</f>
        <v>ASH</v>
      </c>
      <c r="C613" s="48" t="str">
        <f aca="false">STACK!E613</f>
        <v>Mobile Screening Unit</v>
      </c>
      <c r="D613" s="1" t="str">
        <f aca="false">IFERROR(INDEX(MAP!$J$7:$J$101,MATCH(TRIM(C613),MAP!$I$7:$I$101,0)),"UNMAPPED")</f>
        <v>Mobile Health Screening Unit</v>
      </c>
      <c r="E613" s="1" t="str">
        <f aca="false">IFERROR(INDEX(MAP!$K$7:$K$101,MATCH(TRIM(C613),MAP!$I$7:$I$101,0)),"")</f>
        <v>Access to care</v>
      </c>
      <c r="F613" s="1" t="str">
        <f aca="false">IFERROR(INDEX(MAP!$L$7:$L$101,MATCH(TRIM(C613),MAP!$I$7:$I$101,0)),"")</f>
        <v>Monthly</v>
      </c>
      <c r="G613" s="1" t="n">
        <f aca="false">IFERROR(MATCH(A613,CONFIRM!$A$5:$A$53,0),0)</f>
        <v>0</v>
      </c>
      <c r="H613" s="48" t="str">
        <f aca="false">STACK!F613</f>
        <v>Clinical Svcs</v>
      </c>
      <c r="I613" s="1" t="str">
        <f aca="false">IF(G613&gt;0,IF(INDEX(CONFIRM!$I$5:$I$53,G613)&lt;&gt;"",INDEX(CONFIRM!$I$5:$I$53,G613),H613),H613)</f>
        <v>Clinical Svcs</v>
      </c>
      <c r="J613" s="1" t="str">
        <f aca="false">IFERROR(INDEX(MAP!$F$7:$F$74,MATCH(TRIM(I613),MAP!$E$7:$E$74,0)),"UNMAPPED")</f>
        <v>Community-based clinical services</v>
      </c>
      <c r="K613" s="1" t="str">
        <f aca="false">IFERROR(INDEX(MAP!$G$7:$G$74,MATCH(TRIM(I613),MAP!$E$7:$E$74,0)),"UNMAPPED")</f>
        <v>7e</v>
      </c>
      <c r="L613" s="49" t="str">
        <f aca="false">STACK!G613</f>
        <v>10/31/2025</v>
      </c>
      <c r="M613" s="59" t="n">
        <f aca="false">IF(G613&gt;0,IF(INDEX(CONFIRM!$G$5:$G$53,G613)&lt;&gt;"",INDEX(CONFIRM!$G$5:$G$53,G613),IF(ISNUMBER(L613),L613,IFERROR(DATEVALUE(L613),""))),IF(ISNUMBER(L613),L613,IFERROR(DATEVALUE(L613),"")))</f>
        <v>45961</v>
      </c>
      <c r="N613" s="1" t="str">
        <f aca="false">IF(M613="","Check",IF(AND(M613&gt;=INPUTS!$C$6,M613&lt;=INPUTS!$C$7),"Yes","No"))</f>
        <v>Yes</v>
      </c>
      <c r="O613" s="48" t="str">
        <f aca="false">STACK!H613</f>
        <v>MA</v>
      </c>
      <c r="P613" s="1" t="str">
        <f aca="false">IF(G613&gt;0,IF(INDEX(CONFIRM!$H$5:$H$53,G613)&lt;&gt;"",INDEX(CONFIRM!$H$5:$H$53,G613),IFERROR(INDEX(MAP!$B$7:$B$156,MATCH(TRIM(O613),MAP!$A$7:$A$156,0)),"UNMAPPED")),IFERROR(INDEX(MAP!$B$7:$B$156,MATCH(TRIM(O613),MAP!$A$7:$A$156,0)),"UNMAPPED"))</f>
        <v>Medical Assistant</v>
      </c>
      <c r="Q613" s="48" t="n">
        <f aca="false">STACK!I613</f>
        <v>106</v>
      </c>
      <c r="R613" s="60" t="n">
        <f aca="false">IF(G613&gt;0,IF(INDEX(CONFIRM!$F$5:$F$53,G613)&lt;&gt;"",INDEX(CONFIRM!$F$5:$F$53,G613),IF(ISNUMBER(Q613),Q613,IF(Q613="","",IFERROR(VALUE(TRIM(SUBSTITUTE(SUBSTITUTE(LOWER(Q613),"hrs",""),"hr",""))),"")))),IF(ISNUMBER(Q613),Q613,IF(Q613="","",IFERROR(VALUE(TRIM(SUBSTITUTE(SUBSTITUTE(LOWER(Q613),"hrs",""),"hr",""))),""))))</f>
        <v>106</v>
      </c>
      <c r="S613" s="57" t="n">
        <f aca="false">IFERROR(INDEX(RATES!$E$6:$E$28,MATCH(P613,RATES!$A$6:$A$28,0)),0)</f>
        <v>25.37875</v>
      </c>
      <c r="T613" s="61" t="n">
        <f aca="false">IF(ISNUMBER(R613),R613,0)*S613</f>
        <v>2690.1475</v>
      </c>
      <c r="U613" s="61" t="n">
        <f aca="false">T613*INDEX(INPUTS!$H$10:$H$14,MATCH(B613,INPUTS!$A$10:$A$14,0))</f>
        <v>435.803895</v>
      </c>
      <c r="V613" s="61" t="n">
        <f aca="false">N(STACK!K613)</f>
        <v>0</v>
      </c>
      <c r="W613" s="61" t="n">
        <f aca="false">T613+U613+V613</f>
        <v>3125.951395</v>
      </c>
      <c r="X613" s="61" t="n">
        <f aca="false">N(STACK!L613)</f>
        <v>0</v>
      </c>
      <c r="Y613" s="61" t="n">
        <f aca="false">W613-X613</f>
        <v>3125.951395</v>
      </c>
      <c r="Z613" s="1" t="n">
        <f aca="false">N(STACK!J613)</f>
        <v>0</v>
      </c>
      <c r="AA613" s="1" t="str">
        <f aca="false">TRIM(IF(D613="UNMAPPED","Program not mapped. ","")&amp;IF(OR(K613="UNMAPPED",K613="UNASSIGNED"),"Category needs review. ","")&amp;IF(P613="UNMAPPED","Title not mapped. ","")&amp;IF(AND(P613&lt;&gt;"No staff time",R613=""),"Missing hours. ","")&amp;IF(M613="","Date not readable. ","")&amp;IF(N613="No","Outside fiscal year. ","")&amp;IF(AND(F613="Event",ISNUMBER(R613)),IF(R613&gt;12,"Event hours look high. ",""),"")&amp;IF(G613&gt;0,"See CONFIRM sheet.",""))</f>
        <v/>
      </c>
      <c r="AB613" s="1" t="n">
        <f aca="false">IF(N613="No",0,IF(REVIEW!O613=0,0,IF(G613&gt;0,IF(INDEX(CONFIRM!$J$5:$J$53,G613)&lt;&gt;"",INDEX(CONFIRM!$J$5:$J$53,G613),1),1)))</f>
        <v>1</v>
      </c>
      <c r="AC613" s="1" t="n">
        <f aca="false">IF(AB613=1,IF(COUNTIFS($B$5:B613,B613,$D$5:D613,D613,$AB$5:AB613,1)=1,1,0),0)</f>
        <v>0</v>
      </c>
    </row>
    <row r="614" customFormat="false" ht="15" hidden="false" customHeight="false" outlineLevel="0" collapsed="false">
      <c r="A614" s="48" t="str">
        <f aca="false">STACK!A614</f>
        <v>ASH-0081</v>
      </c>
      <c r="B614" s="48" t="str">
        <f aca="false">STACK!B614</f>
        <v>ASH</v>
      </c>
      <c r="C614" s="48" t="str">
        <f aca="false">STACK!E614</f>
        <v>Mobile Screening Unit</v>
      </c>
      <c r="D614" s="1" t="str">
        <f aca="false">IFERROR(INDEX(MAP!$J$7:$J$101,MATCH(TRIM(C614),MAP!$I$7:$I$101,0)),"UNMAPPED")</f>
        <v>Mobile Health Screening Unit</v>
      </c>
      <c r="E614" s="1" t="str">
        <f aca="false">IFERROR(INDEX(MAP!$K$7:$K$101,MATCH(TRIM(C614),MAP!$I$7:$I$101,0)),"")</f>
        <v>Access to care</v>
      </c>
      <c r="F614" s="1" t="str">
        <f aca="false">IFERROR(INDEX(MAP!$L$7:$L$101,MATCH(TRIM(C614),MAP!$I$7:$I$101,0)),"")</f>
        <v>Monthly</v>
      </c>
      <c r="G614" s="1" t="n">
        <f aca="false">IFERROR(MATCH(A614,CONFIRM!$A$5:$A$53,0),0)</f>
        <v>0</v>
      </c>
      <c r="H614" s="48" t="str">
        <f aca="false">STACK!F614</f>
        <v>Clinical Svcs</v>
      </c>
      <c r="I614" s="1" t="str">
        <f aca="false">IF(G614&gt;0,IF(INDEX(CONFIRM!$I$5:$I$53,G614)&lt;&gt;"",INDEX(CONFIRM!$I$5:$I$53,G614),H614),H614)</f>
        <v>Clinical Svcs</v>
      </c>
      <c r="J614" s="1" t="str">
        <f aca="false">IFERROR(INDEX(MAP!$F$7:$F$74,MATCH(TRIM(I614),MAP!$E$7:$E$74,0)),"UNMAPPED")</f>
        <v>Community-based clinical services</v>
      </c>
      <c r="K614" s="1" t="str">
        <f aca="false">IFERROR(INDEX(MAP!$G$7:$G$74,MATCH(TRIM(I614),MAP!$E$7:$E$74,0)),"UNMAPPED")</f>
        <v>7e</v>
      </c>
      <c r="L614" s="49" t="str">
        <f aca="false">STACK!G614</f>
        <v>10/31/2025</v>
      </c>
      <c r="M614" s="59" t="n">
        <f aca="false">IF(G614&gt;0,IF(INDEX(CONFIRM!$G$5:$G$53,G614)&lt;&gt;"",INDEX(CONFIRM!$G$5:$G$53,G614),IF(ISNUMBER(L614),L614,IFERROR(DATEVALUE(L614),""))),IF(ISNUMBER(L614),L614,IFERROR(DATEVALUE(L614),"")))</f>
        <v>45961</v>
      </c>
      <c r="N614" s="1" t="str">
        <f aca="false">IF(M614="","Check",IF(AND(M614&gt;=INPUTS!$C$6,M614&lt;=INPUTS!$C$7),"Yes","No"))</f>
        <v>Yes</v>
      </c>
      <c r="O614" s="48" t="str">
        <f aca="false">STACK!H614</f>
        <v>Staff RN</v>
      </c>
      <c r="P614" s="1" t="str">
        <f aca="false">IF(G614&gt;0,IF(INDEX(CONFIRM!$H$5:$H$53,G614)&lt;&gt;"",INDEX(CONFIRM!$H$5:$H$53,G614),IFERROR(INDEX(MAP!$B$7:$B$156,MATCH(TRIM(O614),MAP!$A$7:$A$156,0)),"UNMAPPED")),IFERROR(INDEX(MAP!$B$7:$B$156,MATCH(TRIM(O614),MAP!$A$7:$A$156,0)),"UNMAPPED"))</f>
        <v>Registered Nurse</v>
      </c>
      <c r="Q614" s="48" t="n">
        <f aca="false">STACK!I614</f>
        <v>83</v>
      </c>
      <c r="R614" s="60" t="n">
        <f aca="false">IF(G614&gt;0,IF(INDEX(CONFIRM!$F$5:$F$53,G614)&lt;&gt;"",INDEX(CONFIRM!$F$5:$F$53,G614),IF(ISNUMBER(Q614),Q614,IF(Q614="","",IFERROR(VALUE(TRIM(SUBSTITUTE(SUBSTITUTE(LOWER(Q614),"hrs",""),"hr",""))),"")))),IF(ISNUMBER(Q614),Q614,IF(Q614="","",IFERROR(VALUE(TRIM(SUBSTITUTE(SUBSTITUTE(LOWER(Q614),"hrs",""),"hr",""))),""))))</f>
        <v>83</v>
      </c>
      <c r="S614" s="57" t="n">
        <f aca="false">IFERROR(INDEX(RATES!$E$6:$E$28,MATCH(P614,RATES!$A$6:$A$28,0)),0)</f>
        <v>55.8975</v>
      </c>
      <c r="T614" s="61" t="n">
        <f aca="false">IF(ISNUMBER(R614),R614,0)*S614</f>
        <v>4639.4925</v>
      </c>
      <c r="U614" s="61" t="n">
        <f aca="false">T614*INDEX(INPUTS!$H$10:$H$14,MATCH(B614,INPUTS!$A$10:$A$14,0))</f>
        <v>751.597785</v>
      </c>
      <c r="V614" s="61" t="n">
        <f aca="false">N(STACK!K614)</f>
        <v>9745</v>
      </c>
      <c r="W614" s="61" t="n">
        <f aca="false">T614+U614+V614</f>
        <v>15136.090285</v>
      </c>
      <c r="X614" s="61" t="n">
        <f aca="false">N(STACK!L614)</f>
        <v>0</v>
      </c>
      <c r="Y614" s="61" t="n">
        <f aca="false">W614-X614</f>
        <v>15136.090285</v>
      </c>
      <c r="Z614" s="1" t="n">
        <f aca="false">N(STACK!J614)</f>
        <v>292</v>
      </c>
      <c r="AA614" s="1" t="str">
        <f aca="false">TRIM(IF(D614="UNMAPPED","Program not mapped. ","")&amp;IF(OR(K614="UNMAPPED",K614="UNASSIGNED"),"Category needs review. ","")&amp;IF(P614="UNMAPPED","Title not mapped. ","")&amp;IF(AND(P614&lt;&gt;"No staff time",R614=""),"Missing hours. ","")&amp;IF(M614="","Date not readable. ","")&amp;IF(N614="No","Outside fiscal year. ","")&amp;IF(AND(F614="Event",ISNUMBER(R614)),IF(R614&gt;12,"Event hours look high. ",""),"")&amp;IF(G614&gt;0,"See CONFIRM sheet.",""))</f>
        <v/>
      </c>
      <c r="AB614" s="1" t="n">
        <f aca="false">IF(N614="No",0,IF(REVIEW!O614=0,0,IF(G614&gt;0,IF(INDEX(CONFIRM!$J$5:$J$53,G614)&lt;&gt;"",INDEX(CONFIRM!$J$5:$J$53,G614),1),1)))</f>
        <v>1</v>
      </c>
      <c r="AC614" s="1" t="n">
        <f aca="false">IF(AB614=1,IF(COUNTIFS($B$5:B614,B614,$D$5:D614,D614,$AB$5:AB614,1)=1,1,0),0)</f>
        <v>0</v>
      </c>
    </row>
    <row r="615" customFormat="false" ht="15" hidden="false" customHeight="false" outlineLevel="0" collapsed="false">
      <c r="A615" s="48" t="str">
        <f aca="false">STACK!A615</f>
        <v>ASH-0082</v>
      </c>
      <c r="B615" s="48" t="str">
        <f aca="false">STACK!B615</f>
        <v>ASH</v>
      </c>
      <c r="C615" s="48" t="str">
        <f aca="false">STACK!E615</f>
        <v>CHW Outreach</v>
      </c>
      <c r="D615" s="1" t="str">
        <f aca="false">IFERROR(INDEX(MAP!$J$7:$J$101,MATCH(TRIM(C615),MAP!$I$7:$I$101,0)),"UNMAPPED")</f>
        <v>Community Health Worker Outreach</v>
      </c>
      <c r="E615" s="1" t="str">
        <f aca="false">IFERROR(INDEX(MAP!$K$7:$K$101,MATCH(TRIM(C615),MAP!$I$7:$I$101,0)),"")</f>
        <v>Access to care</v>
      </c>
      <c r="F615" s="1" t="str">
        <f aca="false">IFERROR(INDEX(MAP!$L$7:$L$101,MATCH(TRIM(C615),MAP!$I$7:$I$101,0)),"")</f>
        <v>Monthly</v>
      </c>
      <c r="G615" s="1" t="n">
        <f aca="false">IFERROR(MATCH(A615,CONFIRM!$A$5:$A$53,0),0)</f>
        <v>0</v>
      </c>
      <c r="H615" s="48" t="str">
        <f aca="false">STACK!F615</f>
        <v>Support Svcs</v>
      </c>
      <c r="I615" s="1" t="str">
        <f aca="false">IF(G615&gt;0,IF(INDEX(CONFIRM!$I$5:$I$53,G615)&lt;&gt;"",INDEX(CONFIRM!$I$5:$I$53,G615),H615),H615)</f>
        <v>Support Svcs</v>
      </c>
      <c r="J615" s="1" t="str">
        <f aca="false">IFERROR(INDEX(MAP!$F$7:$F$74,MATCH(TRIM(I615),MAP!$E$7:$E$74,0)),"UNMAPPED")</f>
        <v>Health care support services</v>
      </c>
      <c r="K615" s="1" t="str">
        <f aca="false">IFERROR(INDEX(MAP!$G$7:$G$74,MATCH(TRIM(I615),MAP!$E$7:$E$74,0)),"UNMAPPED")</f>
        <v>7e</v>
      </c>
      <c r="L615" s="49" t="str">
        <f aca="false">STACK!G615</f>
        <v>10/31/2025</v>
      </c>
      <c r="M615" s="59" t="n">
        <f aca="false">IF(G615&gt;0,IF(INDEX(CONFIRM!$G$5:$G$53,G615)&lt;&gt;"",INDEX(CONFIRM!$G$5:$G$53,G615),IF(ISNUMBER(L615),L615,IFERROR(DATEVALUE(L615),""))),IF(ISNUMBER(L615),L615,IFERROR(DATEVALUE(L615),"")))</f>
        <v>45961</v>
      </c>
      <c r="N615" s="1" t="str">
        <f aca="false">IF(M615="","Check",IF(AND(M615&gt;=INPUTS!$C$6,M615&lt;=INPUTS!$C$7),"Yes","No"))</f>
        <v>Yes</v>
      </c>
      <c r="O615" s="48" t="str">
        <f aca="false">STACK!H615</f>
        <v>CHW</v>
      </c>
      <c r="P615" s="1" t="str">
        <f aca="false">IF(G615&gt;0,IF(INDEX(CONFIRM!$H$5:$H$53,G615)&lt;&gt;"",INDEX(CONFIRM!$H$5:$H$53,G615),IFERROR(INDEX(MAP!$B$7:$B$156,MATCH(TRIM(O615),MAP!$A$7:$A$156,0)),"UNMAPPED")),IFERROR(INDEX(MAP!$B$7:$B$156,MATCH(TRIM(O615),MAP!$A$7:$A$156,0)),"UNMAPPED"))</f>
        <v>Community Health Worker</v>
      </c>
      <c r="Q615" s="48" t="n">
        <f aca="false">STACK!I615</f>
        <v>339.75</v>
      </c>
      <c r="R615" s="60" t="n">
        <f aca="false">IF(G615&gt;0,IF(INDEX(CONFIRM!$F$5:$F$53,G615)&lt;&gt;"",INDEX(CONFIRM!$F$5:$F$53,G615),IF(ISNUMBER(Q615),Q615,IF(Q615="","",IFERROR(VALUE(TRIM(SUBSTITUTE(SUBSTITUTE(LOWER(Q615),"hrs",""),"hr",""))),"")))),IF(ISNUMBER(Q615),Q615,IF(Q615="","",IFERROR(VALUE(TRIM(SUBSTITUTE(SUBSTITUTE(LOWER(Q615),"hrs",""),"hr",""))),""))))</f>
        <v>339.75</v>
      </c>
      <c r="S615" s="57" t="n">
        <f aca="false">IFERROR(INDEX(RATES!$E$6:$E$28,MATCH(P615,RATES!$A$6:$A$28,0)),0)</f>
        <v>27.6275</v>
      </c>
      <c r="T615" s="61" t="n">
        <f aca="false">IF(ISNUMBER(R615),R615,0)*S615</f>
        <v>9386.443125</v>
      </c>
      <c r="U615" s="61" t="n">
        <f aca="false">T615*INDEX(INPUTS!$H$10:$H$14,MATCH(B615,INPUTS!$A$10:$A$14,0))</f>
        <v>1520.60378625</v>
      </c>
      <c r="V615" s="61" t="n">
        <f aca="false">N(STACK!K615)</f>
        <v>1490</v>
      </c>
      <c r="W615" s="61" t="n">
        <f aca="false">T615+U615+V615</f>
        <v>12397.04691125</v>
      </c>
      <c r="X615" s="61" t="n">
        <f aca="false">N(STACK!L615)</f>
        <v>0</v>
      </c>
      <c r="Y615" s="61" t="n">
        <f aca="false">W615-X615</f>
        <v>12397.04691125</v>
      </c>
      <c r="Z615" s="1" t="n">
        <f aca="false">N(STACK!J615)</f>
        <v>365</v>
      </c>
      <c r="AA615" s="1" t="str">
        <f aca="false">TRIM(IF(D615="UNMAPPED","Program not mapped. ","")&amp;IF(OR(K615="UNMAPPED",K615="UNASSIGNED"),"Category needs review. ","")&amp;IF(P615="UNMAPPED","Title not mapped. ","")&amp;IF(AND(P615&lt;&gt;"No staff time",R615=""),"Missing hours. ","")&amp;IF(M615="","Date not readable. ","")&amp;IF(N615="No","Outside fiscal year. ","")&amp;IF(AND(F615="Event",ISNUMBER(R615)),IF(R615&gt;12,"Event hours look high. ",""),"")&amp;IF(G615&gt;0,"See CONFIRM sheet.",""))</f>
        <v/>
      </c>
      <c r="AB615" s="1" t="n">
        <f aca="false">IF(N615="No",0,IF(REVIEW!O615=0,0,IF(G615&gt;0,IF(INDEX(CONFIRM!$J$5:$J$53,G615)&lt;&gt;"",INDEX(CONFIRM!$J$5:$J$53,G615),1),1)))</f>
        <v>1</v>
      </c>
      <c r="AC615" s="1" t="n">
        <f aca="false">IF(AB615=1,IF(COUNTIFS($B$5:B615,B615,$D$5:D615,D615,$AB$5:AB615,1)=1,1,0),0)</f>
        <v>0</v>
      </c>
    </row>
    <row r="616" customFormat="false" ht="15" hidden="false" customHeight="false" outlineLevel="0" collapsed="false">
      <c r="A616" s="48" t="str">
        <f aca="false">STACK!A616</f>
        <v>ASH-0083</v>
      </c>
      <c r="B616" s="48" t="str">
        <f aca="false">STACK!B616</f>
        <v>ASH</v>
      </c>
      <c r="C616" s="48" t="str">
        <f aca="false">STACK!E616</f>
        <v>CHW Outreach</v>
      </c>
      <c r="D616" s="1" t="str">
        <f aca="false">IFERROR(INDEX(MAP!$J$7:$J$101,MATCH(TRIM(C616),MAP!$I$7:$I$101,0)),"UNMAPPED")</f>
        <v>Community Health Worker Outreach</v>
      </c>
      <c r="E616" s="1" t="str">
        <f aca="false">IFERROR(INDEX(MAP!$K$7:$K$101,MATCH(TRIM(C616),MAP!$I$7:$I$101,0)),"")</f>
        <v>Access to care</v>
      </c>
      <c r="F616" s="1" t="str">
        <f aca="false">IFERROR(INDEX(MAP!$L$7:$L$101,MATCH(TRIM(C616),MAP!$I$7:$I$101,0)),"")</f>
        <v>Monthly</v>
      </c>
      <c r="G616" s="1" t="n">
        <f aca="false">IFERROR(MATCH(A616,CONFIRM!$A$5:$A$53,0),0)</f>
        <v>0</v>
      </c>
      <c r="H616" s="48" t="str">
        <f aca="false">STACK!F616</f>
        <v>Support Svcs</v>
      </c>
      <c r="I616" s="1" t="str">
        <f aca="false">IF(G616&gt;0,IF(INDEX(CONFIRM!$I$5:$I$53,G616)&lt;&gt;"",INDEX(CONFIRM!$I$5:$I$53,G616),H616),H616)</f>
        <v>Support Svcs</v>
      </c>
      <c r="J616" s="1" t="str">
        <f aca="false">IFERROR(INDEX(MAP!$F$7:$F$74,MATCH(TRIM(I616),MAP!$E$7:$E$74,0)),"UNMAPPED")</f>
        <v>Health care support services</v>
      </c>
      <c r="K616" s="1" t="str">
        <f aca="false">IFERROR(INDEX(MAP!$G$7:$G$74,MATCH(TRIM(I616),MAP!$E$7:$E$74,0)),"UNMAPPED")</f>
        <v>7e</v>
      </c>
      <c r="L616" s="49" t="str">
        <f aca="false">STACK!G616</f>
        <v>10/31/2025</v>
      </c>
      <c r="M616" s="59" t="n">
        <f aca="false">IF(G616&gt;0,IF(INDEX(CONFIRM!$G$5:$G$53,G616)&lt;&gt;"",INDEX(CONFIRM!$G$5:$G$53,G616),IF(ISNUMBER(L616),L616,IFERROR(DATEVALUE(L616),""))),IF(ISNUMBER(L616),L616,IFERROR(DATEVALUE(L616),"")))</f>
        <v>45961</v>
      </c>
      <c r="N616" s="1" t="str">
        <f aca="false">IF(M616="","Check",IF(AND(M616&gt;=INPUTS!$C$6,M616&lt;=INPUTS!$C$7),"Yes","No"))</f>
        <v>Yes</v>
      </c>
      <c r="O616" s="48" t="str">
        <f aca="false">STACK!H616</f>
        <v>Financial Navigator</v>
      </c>
      <c r="P616" s="1" t="str">
        <f aca="false">IF(G616&gt;0,IF(INDEX(CONFIRM!$H$5:$H$53,G616)&lt;&gt;"",INDEX(CONFIRM!$H$5:$H$53,G616),IFERROR(INDEX(MAP!$B$7:$B$156,MATCH(TRIM(O616),MAP!$A$7:$A$156,0)),"UNMAPPED")),IFERROR(INDEX(MAP!$B$7:$B$156,MATCH(TRIM(O616),MAP!$A$7:$A$156,0)),"UNMAPPED"))</f>
        <v>Patient Navigator</v>
      </c>
      <c r="Q616" s="48" t="n">
        <f aca="false">STACK!I616</f>
        <v>180.25</v>
      </c>
      <c r="R616" s="60" t="n">
        <f aca="false">IF(G616&gt;0,IF(INDEX(CONFIRM!$F$5:$F$53,G616)&lt;&gt;"",INDEX(CONFIRM!$F$5:$F$53,G616),IF(ISNUMBER(Q616),Q616,IF(Q616="","",IFERROR(VALUE(TRIM(SUBSTITUTE(SUBSTITUTE(LOWER(Q616),"hrs",""),"hr",""))),"")))),IF(ISNUMBER(Q616),Q616,IF(Q616="","",IFERROR(VALUE(TRIM(SUBSTITUTE(SUBSTITUTE(LOWER(Q616),"hrs",""),"hr",""))),""))))</f>
        <v>180.25</v>
      </c>
      <c r="S616" s="57" t="n">
        <f aca="false">IFERROR(INDEX(RATES!$E$6:$E$28,MATCH(P616,RATES!$A$6:$A$28,0)),0)</f>
        <v>30.84</v>
      </c>
      <c r="T616" s="61" t="n">
        <f aca="false">IF(ISNUMBER(R616),R616,0)*S616</f>
        <v>5558.91</v>
      </c>
      <c r="U616" s="61" t="n">
        <f aca="false">T616*INDEX(INPUTS!$H$10:$H$14,MATCH(B616,INPUTS!$A$10:$A$14,0))</f>
        <v>900.54342</v>
      </c>
      <c r="V616" s="61" t="n">
        <f aca="false">N(STACK!K616)</f>
        <v>0</v>
      </c>
      <c r="W616" s="61" t="n">
        <f aca="false">T616+U616+V616</f>
        <v>6459.45342</v>
      </c>
      <c r="X616" s="61" t="n">
        <f aca="false">N(STACK!L616)</f>
        <v>0</v>
      </c>
      <c r="Y616" s="61" t="n">
        <f aca="false">W616-X616</f>
        <v>6459.45342</v>
      </c>
      <c r="Z616" s="1" t="n">
        <f aca="false">N(STACK!J616)</f>
        <v>0</v>
      </c>
      <c r="AA616" s="1" t="str">
        <f aca="false">TRIM(IF(D616="UNMAPPED","Program not mapped. ","")&amp;IF(OR(K616="UNMAPPED",K616="UNASSIGNED"),"Category needs review. ","")&amp;IF(P616="UNMAPPED","Title not mapped. ","")&amp;IF(AND(P616&lt;&gt;"No staff time",R616=""),"Missing hours. ","")&amp;IF(M616="","Date not readable. ","")&amp;IF(N616="No","Outside fiscal year. ","")&amp;IF(AND(F616="Event",ISNUMBER(R616)),IF(R616&gt;12,"Event hours look high. ",""),"")&amp;IF(G616&gt;0,"See CONFIRM sheet.",""))</f>
        <v/>
      </c>
      <c r="AB616" s="1" t="n">
        <f aca="false">IF(N616="No",0,IF(REVIEW!O616=0,0,IF(G616&gt;0,IF(INDEX(CONFIRM!$J$5:$J$53,G616)&lt;&gt;"",INDEX(CONFIRM!$J$5:$J$53,G616),1),1)))</f>
        <v>1</v>
      </c>
      <c r="AC616" s="1" t="n">
        <f aca="false">IF(AB616=1,IF(COUNTIFS($B$5:B616,B616,$D$5:D616,D616,$AB$5:AB616,1)=1,1,0),0)</f>
        <v>0</v>
      </c>
    </row>
    <row r="617" customFormat="false" ht="15" hidden="false" customHeight="false" outlineLevel="0" collapsed="false">
      <c r="A617" s="48" t="str">
        <f aca="false">STACK!A617</f>
        <v>ASH-0084</v>
      </c>
      <c r="B617" s="48" t="str">
        <f aca="false">STACK!B617</f>
        <v>ASH</v>
      </c>
      <c r="C617" s="48" t="str">
        <f aca="false">STACK!E617</f>
        <v>Produce Rx</v>
      </c>
      <c r="D617" s="1" t="str">
        <f aca="false">IFERROR(INDEX(MAP!$J$7:$J$101,MATCH(TRIM(C617),MAP!$I$7:$I$101,0)),"UNMAPPED")</f>
        <v>Produce Prescription Program</v>
      </c>
      <c r="E617" s="1" t="str">
        <f aca="false">IFERROR(INDEX(MAP!$K$7:$K$101,MATCH(TRIM(C617),MAP!$I$7:$I$101,0)),"")</f>
        <v>Food and housing security</v>
      </c>
      <c r="F617" s="1" t="str">
        <f aca="false">IFERROR(INDEX(MAP!$L$7:$L$101,MATCH(TRIM(C617),MAP!$I$7:$I$101,0)),"")</f>
        <v>Monthly</v>
      </c>
      <c r="G617" s="1" t="n">
        <f aca="false">IFERROR(MATCH(A617,CONFIRM!$A$5:$A$53,0),0)</f>
        <v>0</v>
      </c>
      <c r="H617" s="48" t="str">
        <f aca="false">STACK!F617</f>
        <v>Support Svcs</v>
      </c>
      <c r="I617" s="1" t="str">
        <f aca="false">IF(G617&gt;0,IF(INDEX(CONFIRM!$I$5:$I$53,G617)&lt;&gt;"",INDEX(CONFIRM!$I$5:$I$53,G617),H617),H617)</f>
        <v>Support Svcs</v>
      </c>
      <c r="J617" s="1" t="str">
        <f aca="false">IFERROR(INDEX(MAP!$F$7:$F$74,MATCH(TRIM(I617),MAP!$E$7:$E$74,0)),"UNMAPPED")</f>
        <v>Health care support services</v>
      </c>
      <c r="K617" s="1" t="str">
        <f aca="false">IFERROR(INDEX(MAP!$G$7:$G$74,MATCH(TRIM(I617),MAP!$E$7:$E$74,0)),"UNMAPPED")</f>
        <v>7e</v>
      </c>
      <c r="L617" s="49" t="str">
        <f aca="false">STACK!G617</f>
        <v>10/31/2025</v>
      </c>
      <c r="M617" s="59" t="n">
        <f aca="false">IF(G617&gt;0,IF(INDEX(CONFIRM!$G$5:$G$53,G617)&lt;&gt;"",INDEX(CONFIRM!$G$5:$G$53,G617),IF(ISNUMBER(L617),L617,IFERROR(DATEVALUE(L617),""))),IF(ISNUMBER(L617),L617,IFERROR(DATEVALUE(L617),"")))</f>
        <v>45961</v>
      </c>
      <c r="N617" s="1" t="str">
        <f aca="false">IF(M617="","Check",IF(AND(M617&gt;=INPUTS!$C$6,M617&lt;=INPUTS!$C$7),"Yes","No"))</f>
        <v>Yes</v>
      </c>
      <c r="O617" s="48" t="str">
        <f aca="false">STACK!H617</f>
        <v>Comm Health Worker</v>
      </c>
      <c r="P617" s="1" t="str">
        <f aca="false">IF(G617&gt;0,IF(INDEX(CONFIRM!$H$5:$H$53,G617)&lt;&gt;"",INDEX(CONFIRM!$H$5:$H$53,G617),IFERROR(INDEX(MAP!$B$7:$B$156,MATCH(TRIM(O617),MAP!$A$7:$A$156,0)),"UNMAPPED")),IFERROR(INDEX(MAP!$B$7:$B$156,MATCH(TRIM(O617),MAP!$A$7:$A$156,0)),"UNMAPPED"))</f>
        <v>Community Health Worker</v>
      </c>
      <c r="Q617" s="48" t="n">
        <f aca="false">STACK!I617</f>
        <v>66.5</v>
      </c>
      <c r="R617" s="60" t="n">
        <f aca="false">IF(G617&gt;0,IF(INDEX(CONFIRM!$F$5:$F$53,G617)&lt;&gt;"",INDEX(CONFIRM!$F$5:$F$53,G617),IF(ISNUMBER(Q617),Q617,IF(Q617="","",IFERROR(VALUE(TRIM(SUBSTITUTE(SUBSTITUTE(LOWER(Q617),"hrs",""),"hr",""))),"")))),IF(ISNUMBER(Q617),Q617,IF(Q617="","",IFERROR(VALUE(TRIM(SUBSTITUTE(SUBSTITUTE(LOWER(Q617),"hrs",""),"hr",""))),""))))</f>
        <v>66.5</v>
      </c>
      <c r="S617" s="57" t="n">
        <f aca="false">IFERROR(INDEX(RATES!$E$6:$E$28,MATCH(P617,RATES!$A$6:$A$28,0)),0)</f>
        <v>27.6275</v>
      </c>
      <c r="T617" s="61" t="n">
        <f aca="false">IF(ISNUMBER(R617),R617,0)*S617</f>
        <v>1837.22875</v>
      </c>
      <c r="U617" s="61" t="n">
        <f aca="false">T617*INDEX(INPUTS!$H$10:$H$14,MATCH(B617,INPUTS!$A$10:$A$14,0))</f>
        <v>297.6310575</v>
      </c>
      <c r="V617" s="61" t="n">
        <f aca="false">N(STACK!K617)</f>
        <v>0</v>
      </c>
      <c r="W617" s="61" t="n">
        <f aca="false">T617+U617+V617</f>
        <v>2134.8598075</v>
      </c>
      <c r="X617" s="61" t="n">
        <f aca="false">N(STACK!L617)</f>
        <v>0</v>
      </c>
      <c r="Y617" s="61" t="n">
        <f aca="false">W617-X617</f>
        <v>2134.8598075</v>
      </c>
      <c r="Z617" s="1" t="n">
        <f aca="false">N(STACK!J617)</f>
        <v>0</v>
      </c>
      <c r="AA617" s="1" t="str">
        <f aca="false">TRIM(IF(D617="UNMAPPED","Program not mapped. ","")&amp;IF(OR(K617="UNMAPPED",K617="UNASSIGNED"),"Category needs review. ","")&amp;IF(P617="UNMAPPED","Title not mapped. ","")&amp;IF(AND(P617&lt;&gt;"No staff time",R617=""),"Missing hours. ","")&amp;IF(M617="","Date not readable. ","")&amp;IF(N617="No","Outside fiscal year. ","")&amp;IF(AND(F617="Event",ISNUMBER(R617)),IF(R617&gt;12,"Event hours look high. ",""),"")&amp;IF(G617&gt;0,"See CONFIRM sheet.",""))</f>
        <v/>
      </c>
      <c r="AB617" s="1" t="n">
        <f aca="false">IF(N617="No",0,IF(REVIEW!O617=0,0,IF(G617&gt;0,IF(INDEX(CONFIRM!$J$5:$J$53,G617)&lt;&gt;"",INDEX(CONFIRM!$J$5:$J$53,G617),1),1)))</f>
        <v>1</v>
      </c>
      <c r="AC617" s="1" t="n">
        <f aca="false">IF(AB617=1,IF(COUNTIFS($B$5:B617,B617,$D$5:D617,D617,$AB$5:AB617,1)=1,1,0),0)</f>
        <v>0</v>
      </c>
    </row>
    <row r="618" customFormat="false" ht="15" hidden="false" customHeight="false" outlineLevel="0" collapsed="false">
      <c r="A618" s="48" t="str">
        <f aca="false">STACK!A618</f>
        <v>ASH-0085</v>
      </c>
      <c r="B618" s="48" t="str">
        <f aca="false">STACK!B618</f>
        <v>ASH</v>
      </c>
      <c r="C618" s="48" t="str">
        <f aca="false">STACK!E618</f>
        <v>Produce Rx</v>
      </c>
      <c r="D618" s="1" t="str">
        <f aca="false">IFERROR(INDEX(MAP!$J$7:$J$101,MATCH(TRIM(C618),MAP!$I$7:$I$101,0)),"UNMAPPED")</f>
        <v>Produce Prescription Program</v>
      </c>
      <c r="E618" s="1" t="str">
        <f aca="false">IFERROR(INDEX(MAP!$K$7:$K$101,MATCH(TRIM(C618),MAP!$I$7:$I$101,0)),"")</f>
        <v>Food and housing security</v>
      </c>
      <c r="F618" s="1" t="str">
        <f aca="false">IFERROR(INDEX(MAP!$L$7:$L$101,MATCH(TRIM(C618),MAP!$I$7:$I$101,0)),"")</f>
        <v>Monthly</v>
      </c>
      <c r="G618" s="1" t="n">
        <f aca="false">IFERROR(MATCH(A618,CONFIRM!$A$5:$A$53,0),0)</f>
        <v>0</v>
      </c>
      <c r="H618" s="48" t="str">
        <f aca="false">STACK!F618</f>
        <v>Support Svcs</v>
      </c>
      <c r="I618" s="1" t="str">
        <f aca="false">IF(G618&gt;0,IF(INDEX(CONFIRM!$I$5:$I$53,G618)&lt;&gt;"",INDEX(CONFIRM!$I$5:$I$53,G618),H618),H618)</f>
        <v>Support Svcs</v>
      </c>
      <c r="J618" s="1" t="str">
        <f aca="false">IFERROR(INDEX(MAP!$F$7:$F$74,MATCH(TRIM(I618),MAP!$E$7:$E$74,0)),"UNMAPPED")</f>
        <v>Health care support services</v>
      </c>
      <c r="K618" s="1" t="str">
        <f aca="false">IFERROR(INDEX(MAP!$G$7:$G$74,MATCH(TRIM(I618),MAP!$E$7:$E$74,0)),"UNMAPPED")</f>
        <v>7e</v>
      </c>
      <c r="L618" s="49" t="str">
        <f aca="false">STACK!G618</f>
        <v>10/31/2025</v>
      </c>
      <c r="M618" s="59" t="n">
        <f aca="false">IF(G618&gt;0,IF(INDEX(CONFIRM!$G$5:$G$53,G618)&lt;&gt;"",INDEX(CONFIRM!$G$5:$G$53,G618),IF(ISNUMBER(L618),L618,IFERROR(DATEVALUE(L618),""))),IF(ISNUMBER(L618),L618,IFERROR(DATEVALUE(L618),"")))</f>
        <v>45961</v>
      </c>
      <c r="N618" s="1" t="str">
        <f aca="false">IF(M618="","Check",IF(AND(M618&gt;=INPUTS!$C$6,M618&lt;=INPUTS!$C$7),"Yes","No"))</f>
        <v>Yes</v>
      </c>
      <c r="O618" s="48" t="str">
        <f aca="false">STACK!H618</f>
        <v>RDN </v>
      </c>
      <c r="P618" s="1" t="str">
        <f aca="false">IF(G618&gt;0,IF(INDEX(CONFIRM!$H$5:$H$53,G618)&lt;&gt;"",INDEX(CONFIRM!$H$5:$H$53,G618),IFERROR(INDEX(MAP!$B$7:$B$156,MATCH(TRIM(O618),MAP!$A$7:$A$156,0)),"UNMAPPED")),IFERROR(INDEX(MAP!$B$7:$B$156,MATCH(TRIM(O618),MAP!$A$7:$A$156,0)),"UNMAPPED"))</f>
        <v>Registered Dietitian</v>
      </c>
      <c r="Q618" s="48" t="n">
        <f aca="false">STACK!I618</f>
        <v>32.25</v>
      </c>
      <c r="R618" s="60" t="n">
        <f aca="false">IF(G618&gt;0,IF(INDEX(CONFIRM!$F$5:$F$53,G618)&lt;&gt;"",INDEX(CONFIRM!$F$5:$F$53,G618),IF(ISNUMBER(Q618),Q618,IF(Q618="","",IFERROR(VALUE(TRIM(SUBSTITUTE(SUBSTITUTE(LOWER(Q618),"hrs",""),"hr",""))),"")))),IF(ISNUMBER(Q618),Q618,IF(Q618="","",IFERROR(VALUE(TRIM(SUBSTITUTE(SUBSTITUTE(LOWER(Q618),"hrs",""),"hr",""))),""))))</f>
        <v>32.25</v>
      </c>
      <c r="S618" s="57" t="n">
        <f aca="false">IFERROR(INDEX(RATES!$E$6:$E$28,MATCH(P618,RATES!$A$6:$A$28,0)),0)</f>
        <v>46.9025</v>
      </c>
      <c r="T618" s="61" t="n">
        <f aca="false">IF(ISNUMBER(R618),R618,0)*S618</f>
        <v>1512.605625</v>
      </c>
      <c r="U618" s="61" t="n">
        <f aca="false">T618*INDEX(INPUTS!$H$10:$H$14,MATCH(B618,INPUTS!$A$10:$A$14,0))</f>
        <v>245.04211125</v>
      </c>
      <c r="V618" s="61" t="n">
        <f aca="false">N(STACK!K618)</f>
        <v>14080</v>
      </c>
      <c r="W618" s="61" t="n">
        <f aca="false">T618+U618+V618</f>
        <v>15837.64773625</v>
      </c>
      <c r="X618" s="61" t="n">
        <f aca="false">N(STACK!L618)</f>
        <v>3685</v>
      </c>
      <c r="Y618" s="61" t="n">
        <f aca="false">W618-X618</f>
        <v>12152.64773625</v>
      </c>
      <c r="Z618" s="1" t="n">
        <f aca="false">N(STACK!J618)</f>
        <v>122</v>
      </c>
      <c r="AA618" s="1" t="str">
        <f aca="false">TRIM(IF(D618="UNMAPPED","Program not mapped. ","")&amp;IF(OR(K618="UNMAPPED",K618="UNASSIGNED"),"Category needs review. ","")&amp;IF(P618="UNMAPPED","Title not mapped. ","")&amp;IF(AND(P618&lt;&gt;"No staff time",R618=""),"Missing hours. ","")&amp;IF(M618="","Date not readable. ","")&amp;IF(N618="No","Outside fiscal year. ","")&amp;IF(AND(F618="Event",ISNUMBER(R618)),IF(R618&gt;12,"Event hours look high. ",""),"")&amp;IF(G618&gt;0,"See CONFIRM sheet.",""))</f>
        <v/>
      </c>
      <c r="AB618" s="1" t="n">
        <f aca="false">IF(N618="No",0,IF(REVIEW!O618=0,0,IF(G618&gt;0,IF(INDEX(CONFIRM!$J$5:$J$53,G618)&lt;&gt;"",INDEX(CONFIRM!$J$5:$J$53,G618),1),1)))</f>
        <v>1</v>
      </c>
      <c r="AC618" s="1" t="n">
        <f aca="false">IF(AB618=1,IF(COUNTIFS($B$5:B618,B618,$D$5:D618,D618,$AB$5:AB618,1)=1,1,0),0)</f>
        <v>0</v>
      </c>
    </row>
    <row r="619" customFormat="false" ht="15" hidden="false" customHeight="false" outlineLevel="0" collapsed="false">
      <c r="A619" s="48" t="str">
        <f aca="false">STACK!A619</f>
        <v>ASH-0086</v>
      </c>
      <c r="B619" s="48" t="str">
        <f aca="false">STACK!B619</f>
        <v>ASH</v>
      </c>
      <c r="C619" s="48" t="str">
        <f aca="false">STACK!E619</f>
        <v>CB Program Admin</v>
      </c>
      <c r="D619" s="1" t="str">
        <f aca="false">IFERROR(INDEX(MAP!$J$7:$J$101,MATCH(TRIM(C619),MAP!$I$7:$I$101,0)),"UNMAPPED")</f>
        <v>Community Benefit Program Administration</v>
      </c>
      <c r="E619" s="1" t="str">
        <f aca="false">IFERROR(INDEX(MAP!$K$7:$K$101,MATCH(TRIM(C619),MAP!$I$7:$I$101,0)),"")</f>
        <v>Community benefit infrastructure</v>
      </c>
      <c r="F619" s="1" t="str">
        <f aca="false">IFERROR(INDEX(MAP!$L$7:$L$101,MATCH(TRIM(C619),MAP!$I$7:$I$101,0)),"")</f>
        <v>Monthly</v>
      </c>
      <c r="G619" s="1" t="n">
        <f aca="false">IFERROR(MATCH(A619,CONFIRM!$A$5:$A$53,0),0)</f>
        <v>0</v>
      </c>
      <c r="H619" s="48" t="str">
        <f aca="false">STACK!F619</f>
        <v>CB Admin</v>
      </c>
      <c r="I619" s="1" t="str">
        <f aca="false">IF(G619&gt;0,IF(INDEX(CONFIRM!$I$5:$I$53,G619)&lt;&gt;"",INDEX(CONFIRM!$I$5:$I$53,G619),H619),H619)</f>
        <v>CB Admin</v>
      </c>
      <c r="J619" s="1" t="str">
        <f aca="false">IFERROR(INDEX(MAP!$F$7:$F$74,MATCH(TRIM(I619),MAP!$E$7:$E$74,0)),"UNMAPPED")</f>
        <v>Community benefit operations</v>
      </c>
      <c r="K619" s="1" t="str">
        <f aca="false">IFERROR(INDEX(MAP!$G$7:$G$74,MATCH(TRIM(I619),MAP!$E$7:$E$74,0)),"UNMAPPED")</f>
        <v>7e</v>
      </c>
      <c r="L619" s="49" t="str">
        <f aca="false">STACK!G619</f>
        <v>10/31/2025</v>
      </c>
      <c r="M619" s="59" t="n">
        <f aca="false">IF(G619&gt;0,IF(INDEX(CONFIRM!$G$5:$G$53,G619)&lt;&gt;"",INDEX(CONFIRM!$G$5:$G$53,G619),IF(ISNUMBER(L619),L619,IFERROR(DATEVALUE(L619),""))),IF(ISNUMBER(L619),L619,IFERROR(DATEVALUE(L619),"")))</f>
        <v>45961</v>
      </c>
      <c r="N619" s="1" t="str">
        <f aca="false">IF(M619="","Check",IF(AND(M619&gt;=INPUTS!$C$6,M619&lt;=INPUTS!$C$7),"Yes","No"))</f>
        <v>Yes</v>
      </c>
      <c r="O619" s="48" t="str">
        <f aca="false">STACK!H619</f>
        <v>admin asst</v>
      </c>
      <c r="P619" s="1" t="str">
        <f aca="false">IF(G619&gt;0,IF(INDEX(CONFIRM!$H$5:$H$53,G619)&lt;&gt;"",INDEX(CONFIRM!$H$5:$H$53,G619),IFERROR(INDEX(MAP!$B$7:$B$156,MATCH(TRIM(O619),MAP!$A$7:$A$156,0)),"UNMAPPED")),IFERROR(INDEX(MAP!$B$7:$B$156,MATCH(TRIM(O619),MAP!$A$7:$A$156,0)),"UNMAPPED"))</f>
        <v>Administrative Assistant</v>
      </c>
      <c r="Q619" s="48" t="n">
        <f aca="false">STACK!I619</f>
        <v>51.5</v>
      </c>
      <c r="R619" s="60" t="n">
        <f aca="false">IF(G619&gt;0,IF(INDEX(CONFIRM!$F$5:$F$53,G619)&lt;&gt;"",INDEX(CONFIRM!$F$5:$F$53,G619),IF(ISNUMBER(Q619),Q619,IF(Q619="","",IFERROR(VALUE(TRIM(SUBSTITUTE(SUBSTITUTE(LOWER(Q619),"hrs",""),"hr",""))),"")))),IF(ISNUMBER(Q619),Q619,IF(Q619="","",IFERROR(VALUE(TRIM(SUBSTITUTE(SUBSTITUTE(LOWER(Q619),"hrs",""),"hr",""))),""))))</f>
        <v>51.5</v>
      </c>
      <c r="S619" s="57" t="n">
        <f aca="false">IFERROR(INDEX(RATES!$E$6:$E$28,MATCH(P619,RATES!$A$6:$A$28,0)),0)</f>
        <v>26.985</v>
      </c>
      <c r="T619" s="61" t="n">
        <f aca="false">IF(ISNUMBER(R619),R619,0)*S619</f>
        <v>1389.7275</v>
      </c>
      <c r="U619" s="61" t="n">
        <f aca="false">T619*INDEX(INPUTS!$H$10:$H$14,MATCH(B619,INPUTS!$A$10:$A$14,0))</f>
        <v>225.135855</v>
      </c>
      <c r="V619" s="61" t="n">
        <f aca="false">N(STACK!K619)</f>
        <v>0</v>
      </c>
      <c r="W619" s="61" t="n">
        <f aca="false">T619+U619+V619</f>
        <v>1614.863355</v>
      </c>
      <c r="X619" s="61" t="n">
        <f aca="false">N(STACK!L619)</f>
        <v>0</v>
      </c>
      <c r="Y619" s="61" t="n">
        <f aca="false">W619-X619</f>
        <v>1614.863355</v>
      </c>
      <c r="Z619" s="1" t="n">
        <f aca="false">N(STACK!J619)</f>
        <v>0</v>
      </c>
      <c r="AA619" s="1" t="str">
        <f aca="false">TRIM(IF(D619="UNMAPPED","Program not mapped. ","")&amp;IF(OR(K619="UNMAPPED",K619="UNASSIGNED"),"Category needs review. ","")&amp;IF(P619="UNMAPPED","Title not mapped. ","")&amp;IF(AND(P619&lt;&gt;"No staff time",R619=""),"Missing hours. ","")&amp;IF(M619="","Date not readable. ","")&amp;IF(N619="No","Outside fiscal year. ","")&amp;IF(AND(F619="Event",ISNUMBER(R619)),IF(R619&gt;12,"Event hours look high. ",""),"")&amp;IF(G619&gt;0,"See CONFIRM sheet.",""))</f>
        <v/>
      </c>
      <c r="AB619" s="1" t="n">
        <f aca="false">IF(N619="No",0,IF(REVIEW!O619=0,0,IF(G619&gt;0,IF(INDEX(CONFIRM!$J$5:$J$53,G619)&lt;&gt;"",INDEX(CONFIRM!$J$5:$J$53,G619),1),1)))</f>
        <v>1</v>
      </c>
      <c r="AC619" s="1" t="n">
        <f aca="false">IF(AB619=1,IF(COUNTIFS($B$5:B619,B619,$D$5:D619,D619,$AB$5:AB619,1)=1,1,0),0)</f>
        <v>0</v>
      </c>
    </row>
    <row r="620" customFormat="false" ht="15" hidden="false" customHeight="false" outlineLevel="0" collapsed="false">
      <c r="A620" s="48" t="str">
        <f aca="false">STACK!A620</f>
        <v>ASH-0087</v>
      </c>
      <c r="B620" s="48" t="str">
        <f aca="false">STACK!B620</f>
        <v>ASH</v>
      </c>
      <c r="C620" s="48" t="str">
        <f aca="false">STACK!E620</f>
        <v>CB Program Admin</v>
      </c>
      <c r="D620" s="1" t="str">
        <f aca="false">IFERROR(INDEX(MAP!$J$7:$J$101,MATCH(TRIM(C620),MAP!$I$7:$I$101,0)),"UNMAPPED")</f>
        <v>Community Benefit Program Administration</v>
      </c>
      <c r="E620" s="1" t="str">
        <f aca="false">IFERROR(INDEX(MAP!$K$7:$K$101,MATCH(TRIM(C620),MAP!$I$7:$I$101,0)),"")</f>
        <v>Community benefit infrastructure</v>
      </c>
      <c r="F620" s="1" t="str">
        <f aca="false">IFERROR(INDEX(MAP!$L$7:$L$101,MATCH(TRIM(C620),MAP!$I$7:$I$101,0)),"")</f>
        <v>Monthly</v>
      </c>
      <c r="G620" s="1" t="n">
        <f aca="false">IFERROR(MATCH(A620,CONFIRM!$A$5:$A$53,0),0)</f>
        <v>4</v>
      </c>
      <c r="H620" s="48" t="str">
        <f aca="false">STACK!F620</f>
        <v>CB Admin</v>
      </c>
      <c r="I620" s="1" t="str">
        <f aca="false">IF(G620&gt;0,IF(INDEX(CONFIRM!$I$5:$I$53,G620)&lt;&gt;"",INDEX(CONFIRM!$I$5:$I$53,G620),H620),H620)</f>
        <v>CB Admin</v>
      </c>
      <c r="J620" s="1" t="str">
        <f aca="false">IFERROR(INDEX(MAP!$F$7:$F$74,MATCH(TRIM(I620),MAP!$E$7:$E$74,0)),"UNMAPPED")</f>
        <v>Community benefit operations</v>
      </c>
      <c r="K620" s="1" t="str">
        <f aca="false">IFERROR(INDEX(MAP!$G$7:$G$74,MATCH(TRIM(I620),MAP!$E$7:$E$74,0)),"UNMAPPED")</f>
        <v>7e</v>
      </c>
      <c r="L620" s="49" t="str">
        <f aca="false">STACK!G620</f>
        <v>10/31/2025</v>
      </c>
      <c r="M620" s="59" t="n">
        <f aca="false">IF(G620&gt;0,IF(INDEX(CONFIRM!$G$5:$G$53,G620)&lt;&gt;"",INDEX(CONFIRM!$G$5:$G$53,G620),IF(ISNUMBER(L620),L620,IFERROR(DATEVALUE(L620),""))),IF(ISNUMBER(L620),L620,IFERROR(DATEVALUE(L620),"")))</f>
        <v>45961</v>
      </c>
      <c r="N620" s="1" t="str">
        <f aca="false">IF(M620="","Check",IF(AND(M620&gt;=INPUTS!$C$6,M620&lt;=INPUTS!$C$7),"Yes","No"))</f>
        <v>Yes</v>
      </c>
      <c r="O620" s="48" t="str">
        <f aca="false">STACK!H620</f>
        <v>Mgr, Community Benefit</v>
      </c>
      <c r="P620" s="1" t="str">
        <f aca="false">IF(G620&gt;0,IF(INDEX(CONFIRM!$H$5:$H$53,G620)&lt;&gt;"",INDEX(CONFIRM!$H$5:$H$53,G620),IFERROR(INDEX(MAP!$B$7:$B$156,MATCH(TRIM(O620),MAP!$A$7:$A$156,0)),"UNMAPPED")),IFERROR(INDEX(MAP!$B$7:$B$156,MATCH(TRIM(O620),MAP!$A$7:$A$156,0)),"UNMAPPED"))</f>
        <v>Community Benefit Manager</v>
      </c>
      <c r="Q620" s="48" t="str">
        <f aca="false">STACK!I620</f>
        <v/>
      </c>
      <c r="R620" s="60" t="n">
        <f aca="false">IF(G620&gt;0,IF(INDEX(CONFIRM!$F$5:$F$53,G620)&lt;&gt;"",INDEX(CONFIRM!$F$5:$F$53,G620),IF(ISNUMBER(Q620),Q620,IF(Q620="","",IFERROR(VALUE(TRIM(SUBSTITUTE(SUBSTITUTE(LOWER(Q620),"hrs",""),"hr",""))),"")))),IF(ISNUMBER(Q620),Q620,IF(Q620="","",IFERROR(VALUE(TRIM(SUBSTITUTE(SUBSTITUTE(LOWER(Q620),"hrs",""),"hr",""))),""))))</f>
        <v>60.75</v>
      </c>
      <c r="S620" s="57" t="n">
        <f aca="false">IFERROR(INDEX(RATES!$E$6:$E$28,MATCH(P620,RATES!$A$6:$A$28,0)),0)</f>
        <v>59.11</v>
      </c>
      <c r="T620" s="61" t="n">
        <f aca="false">IF(ISNUMBER(R620),R620,0)*S620</f>
        <v>3590.9325</v>
      </c>
      <c r="U620" s="61" t="n">
        <f aca="false">T620*INDEX(INPUTS!$H$10:$H$14,MATCH(B620,INPUTS!$A$10:$A$14,0))</f>
        <v>581.731065</v>
      </c>
      <c r="V620" s="61" t="n">
        <f aca="false">N(STACK!K620)</f>
        <v>215</v>
      </c>
      <c r="W620" s="61" t="n">
        <f aca="false">T620+U620+V620</f>
        <v>4387.663565</v>
      </c>
      <c r="X620" s="61" t="n">
        <f aca="false">N(STACK!L620)</f>
        <v>0</v>
      </c>
      <c r="Y620" s="61" t="n">
        <f aca="false">W620-X620</f>
        <v>4387.663565</v>
      </c>
      <c r="Z620" s="1" t="n">
        <f aca="false">N(STACK!J620)</f>
        <v>0</v>
      </c>
      <c r="AA620" s="1" t="str">
        <f aca="false">TRIM(IF(D620="UNMAPPED","Program not mapped. ","")&amp;IF(OR(K620="UNMAPPED",K620="UNASSIGNED"),"Category needs review. ","")&amp;IF(P620="UNMAPPED","Title not mapped. ","")&amp;IF(AND(P620&lt;&gt;"No staff time",R620=""),"Missing hours. ","")&amp;IF(M620="","Date not readable. ","")&amp;IF(N620="No","Outside fiscal year. ","")&amp;IF(AND(F620="Event",ISNUMBER(R620)),IF(R620&gt;12,"Event hours look high. ",""),"")&amp;IF(G620&gt;0,"See CONFIRM sheet.",""))</f>
        <v>See CONFIRM sheet.</v>
      </c>
      <c r="AB620" s="1" t="n">
        <f aca="false">IF(N620="No",0,IF(REVIEW!O620=0,0,IF(G620&gt;0,IF(INDEX(CONFIRM!$J$5:$J$53,G620)&lt;&gt;"",INDEX(CONFIRM!$J$5:$J$53,G620),1),1)))</f>
        <v>1</v>
      </c>
      <c r="AC620" s="1" t="n">
        <f aca="false">IF(AB620=1,IF(COUNTIFS($B$5:B620,B620,$D$5:D620,D620,$AB$5:AB620,1)=1,1,0),0)</f>
        <v>0</v>
      </c>
    </row>
    <row r="621" customFormat="false" ht="15" hidden="false" customHeight="false" outlineLevel="0" collapsed="false">
      <c r="A621" s="48" t="str">
        <f aca="false">STACK!A621</f>
        <v>ASH-0088</v>
      </c>
      <c r="B621" s="48" t="str">
        <f aca="false">STACK!B621</f>
        <v>ASH</v>
      </c>
      <c r="C621" s="48" t="str">
        <f aca="false">STACK!E621</f>
        <v>Nursing Clinicals</v>
      </c>
      <c r="D621" s="1" t="str">
        <f aca="false">IFERROR(INDEX(MAP!$J$7:$J$101,MATCH(TRIM(C621),MAP!$I$7:$I$101,0)),"UNMAPPED")</f>
        <v>Nursing Student Clinical Rotations</v>
      </c>
      <c r="E621" s="1" t="str">
        <f aca="false">IFERROR(INDEX(MAP!$K$7:$K$101,MATCH(TRIM(C621),MAP!$I$7:$I$101,0)),"")</f>
        <v>Health workforce</v>
      </c>
      <c r="F621" s="1" t="str">
        <f aca="false">IFERROR(INDEX(MAP!$L$7:$L$101,MATCH(TRIM(C621),MAP!$I$7:$I$101,0)),"")</f>
        <v>Monthly</v>
      </c>
      <c r="G621" s="1" t="n">
        <f aca="false">IFERROR(MATCH(A621,CONFIRM!$A$5:$A$53,0),0)</f>
        <v>0</v>
      </c>
      <c r="H621" s="48" t="str">
        <f aca="false">STACK!F621</f>
        <v>HPE</v>
      </c>
      <c r="I621" s="1" t="str">
        <f aca="false">IF(G621&gt;0,IF(INDEX(CONFIRM!$I$5:$I$53,G621)&lt;&gt;"",INDEX(CONFIRM!$I$5:$I$53,G621),H621),H621)</f>
        <v>HPE</v>
      </c>
      <c r="J621" s="1" t="str">
        <f aca="false">IFERROR(INDEX(MAP!$F$7:$F$74,MATCH(TRIM(I621),MAP!$E$7:$E$74,0)),"UNMAPPED")</f>
        <v>Health professions education</v>
      </c>
      <c r="K621" s="1" t="str">
        <f aca="false">IFERROR(INDEX(MAP!$G$7:$G$74,MATCH(TRIM(I621),MAP!$E$7:$E$74,0)),"UNMAPPED")</f>
        <v>7f</v>
      </c>
      <c r="L621" s="49" t="str">
        <f aca="false">STACK!G621</f>
        <v>10/31/2025</v>
      </c>
      <c r="M621" s="59" t="n">
        <f aca="false">IF(G621&gt;0,IF(INDEX(CONFIRM!$G$5:$G$53,G621)&lt;&gt;"",INDEX(CONFIRM!$G$5:$G$53,G621),IF(ISNUMBER(L621),L621,IFERROR(DATEVALUE(L621),""))),IF(ISNUMBER(L621),L621,IFERROR(DATEVALUE(L621),"")))</f>
        <v>45961</v>
      </c>
      <c r="N621" s="1" t="str">
        <f aca="false">IF(M621="","Check",IF(AND(M621&gt;=INPUTS!$C$6,M621&lt;=INPUTS!$C$7),"Yes","No"))</f>
        <v>Yes</v>
      </c>
      <c r="O621" s="48" t="str">
        <f aca="false">STACK!H621</f>
        <v>Educator, Nursing</v>
      </c>
      <c r="P621" s="1" t="str">
        <f aca="false">IF(G621&gt;0,IF(INDEX(CONFIRM!$H$5:$H$53,G621)&lt;&gt;"",INDEX(CONFIRM!$H$5:$H$53,G621),IFERROR(INDEX(MAP!$B$7:$B$156,MATCH(TRIM(O621),MAP!$A$7:$A$156,0)),"UNMAPPED")),IFERROR(INDEX(MAP!$B$7:$B$156,MATCH(TRIM(O621),MAP!$A$7:$A$156,0)),"UNMAPPED"))</f>
        <v>Clinical Nurse Educator</v>
      </c>
      <c r="Q621" s="48" t="n">
        <f aca="false">STACK!I621</f>
        <v>111.25</v>
      </c>
      <c r="R621" s="60" t="n">
        <f aca="false">IF(G621&gt;0,IF(INDEX(CONFIRM!$F$5:$F$53,G621)&lt;&gt;"",INDEX(CONFIRM!$F$5:$F$53,G621),IF(ISNUMBER(Q621),Q621,IF(Q621="","",IFERROR(VALUE(TRIM(SUBSTITUTE(SUBSTITUTE(LOWER(Q621),"hrs",""),"hr",""))),"")))),IF(ISNUMBER(Q621),Q621,IF(Q621="","",IFERROR(VALUE(TRIM(SUBSTITUTE(SUBSTITUTE(LOWER(Q621),"hrs",""),"hr",""))),""))))</f>
        <v>111.25</v>
      </c>
      <c r="S621" s="57" t="n">
        <f aca="false">IFERROR(INDEX(RATES!$E$6:$E$28,MATCH(P621,RATES!$A$6:$A$28,0)),0)</f>
        <v>62.965</v>
      </c>
      <c r="T621" s="61" t="n">
        <f aca="false">IF(ISNUMBER(R621),R621,0)*S621</f>
        <v>7004.85625</v>
      </c>
      <c r="U621" s="61" t="n">
        <f aca="false">T621*INDEX(INPUTS!$H$10:$H$14,MATCH(B621,INPUTS!$A$10:$A$14,0))</f>
        <v>1134.7867125</v>
      </c>
      <c r="V621" s="61" t="n">
        <f aca="false">N(STACK!K621)</f>
        <v>715</v>
      </c>
      <c r="W621" s="61" t="n">
        <f aca="false">T621+U621+V621</f>
        <v>8854.6429625</v>
      </c>
      <c r="X621" s="61" t="n">
        <f aca="false">N(STACK!L621)</f>
        <v>0</v>
      </c>
      <c r="Y621" s="61" t="n">
        <f aca="false">W621-X621</f>
        <v>8854.6429625</v>
      </c>
      <c r="Z621" s="1" t="n">
        <f aca="false">N(STACK!J621)</f>
        <v>29</v>
      </c>
      <c r="AA621" s="1" t="str">
        <f aca="false">TRIM(IF(D621="UNMAPPED","Program not mapped. ","")&amp;IF(OR(K621="UNMAPPED",K621="UNASSIGNED"),"Category needs review. ","")&amp;IF(P621="UNMAPPED","Title not mapped. ","")&amp;IF(AND(P621&lt;&gt;"No staff time",R621=""),"Missing hours. ","")&amp;IF(M621="","Date not readable. ","")&amp;IF(N621="No","Outside fiscal year. ","")&amp;IF(AND(F621="Event",ISNUMBER(R621)),IF(R621&gt;12,"Event hours look high. ",""),"")&amp;IF(G621&gt;0,"See CONFIRM sheet.",""))</f>
        <v/>
      </c>
      <c r="AB621" s="1" t="n">
        <f aca="false">IF(N621="No",0,IF(REVIEW!O621=0,0,IF(G621&gt;0,IF(INDEX(CONFIRM!$J$5:$J$53,G621)&lt;&gt;"",INDEX(CONFIRM!$J$5:$J$53,G621),1),1)))</f>
        <v>1</v>
      </c>
      <c r="AC621" s="1" t="n">
        <f aca="false">IF(AB621=1,IF(COUNTIFS($B$5:B621,B621,$D$5:D621,D621,$AB$5:AB621,1)=1,1,0),0)</f>
        <v>0</v>
      </c>
    </row>
    <row r="622" customFormat="false" ht="15" hidden="false" customHeight="false" outlineLevel="0" collapsed="false">
      <c r="A622" s="48" t="str">
        <f aca="false">STACK!A622</f>
        <v>ASH-0089</v>
      </c>
      <c r="B622" s="48" t="str">
        <f aca="false">STACK!B622</f>
        <v>ASH</v>
      </c>
      <c r="C622" s="48" t="str">
        <f aca="false">STACK!E622</f>
        <v>Nursing Clinicals</v>
      </c>
      <c r="D622" s="1" t="str">
        <f aca="false">IFERROR(INDEX(MAP!$J$7:$J$101,MATCH(TRIM(C622),MAP!$I$7:$I$101,0)),"UNMAPPED")</f>
        <v>Nursing Student Clinical Rotations</v>
      </c>
      <c r="E622" s="1" t="str">
        <f aca="false">IFERROR(INDEX(MAP!$K$7:$K$101,MATCH(TRIM(C622),MAP!$I$7:$I$101,0)),"")</f>
        <v>Health workforce</v>
      </c>
      <c r="F622" s="1" t="str">
        <f aca="false">IFERROR(INDEX(MAP!$L$7:$L$101,MATCH(TRIM(C622),MAP!$I$7:$I$101,0)),"")</f>
        <v>Monthly</v>
      </c>
      <c r="G622" s="1" t="n">
        <f aca="false">IFERROR(MATCH(A622,CONFIRM!$A$5:$A$53,0),0)</f>
        <v>0</v>
      </c>
      <c r="H622" s="48" t="str">
        <f aca="false">STACK!F622</f>
        <v>HPE</v>
      </c>
      <c r="I622" s="1" t="str">
        <f aca="false">IF(G622&gt;0,IF(INDEX(CONFIRM!$I$5:$I$53,G622)&lt;&gt;"",INDEX(CONFIRM!$I$5:$I$53,G622),H622),H622)</f>
        <v>HPE</v>
      </c>
      <c r="J622" s="1" t="str">
        <f aca="false">IFERROR(INDEX(MAP!$F$7:$F$74,MATCH(TRIM(I622),MAP!$E$7:$E$74,0)),"UNMAPPED")</f>
        <v>Health professions education</v>
      </c>
      <c r="K622" s="1" t="str">
        <f aca="false">IFERROR(INDEX(MAP!$G$7:$G$74,MATCH(TRIM(I622),MAP!$E$7:$E$74,0)),"UNMAPPED")</f>
        <v>7f</v>
      </c>
      <c r="L622" s="49" t="str">
        <f aca="false">STACK!G622</f>
        <v>10/31/2025</v>
      </c>
      <c r="M622" s="59" t="n">
        <f aca="false">IF(G622&gt;0,IF(INDEX(CONFIRM!$G$5:$G$53,G622)&lt;&gt;"",INDEX(CONFIRM!$G$5:$G$53,G622),IF(ISNUMBER(L622),L622,IFERROR(DATEVALUE(L622),""))),IF(ISNUMBER(L622),L622,IFERROR(DATEVALUE(L622),"")))</f>
        <v>45961</v>
      </c>
      <c r="N622" s="1" t="str">
        <f aca="false">IF(M622="","Check",IF(AND(M622&gt;=INPUTS!$C$6,M622&lt;=INPUTS!$C$7),"Yes","No"))</f>
        <v>Yes</v>
      </c>
      <c r="O622" s="48" t="str">
        <f aca="false">STACK!H622</f>
        <v>Staff RN</v>
      </c>
      <c r="P622" s="1" t="str">
        <f aca="false">IF(G622&gt;0,IF(INDEX(CONFIRM!$H$5:$H$53,G622)&lt;&gt;"",INDEX(CONFIRM!$H$5:$H$53,G622),IFERROR(INDEX(MAP!$B$7:$B$156,MATCH(TRIM(O622),MAP!$A$7:$A$156,0)),"UNMAPPED")),IFERROR(INDEX(MAP!$B$7:$B$156,MATCH(TRIM(O622),MAP!$A$7:$A$156,0)),"UNMAPPED"))</f>
        <v>Registered Nurse</v>
      </c>
      <c r="Q622" s="48" t="n">
        <f aca="false">STACK!I622</f>
        <v>203.75</v>
      </c>
      <c r="R622" s="60" t="n">
        <f aca="false">IF(G622&gt;0,IF(INDEX(CONFIRM!$F$5:$F$53,G622)&lt;&gt;"",INDEX(CONFIRM!$F$5:$F$53,G622),IF(ISNUMBER(Q622),Q622,IF(Q622="","",IFERROR(VALUE(TRIM(SUBSTITUTE(SUBSTITUTE(LOWER(Q622),"hrs",""),"hr",""))),"")))),IF(ISNUMBER(Q622),Q622,IF(Q622="","",IFERROR(VALUE(TRIM(SUBSTITUTE(SUBSTITUTE(LOWER(Q622),"hrs",""),"hr",""))),""))))</f>
        <v>203.75</v>
      </c>
      <c r="S622" s="57" t="n">
        <f aca="false">IFERROR(INDEX(RATES!$E$6:$E$28,MATCH(P622,RATES!$A$6:$A$28,0)),0)</f>
        <v>55.8975</v>
      </c>
      <c r="T622" s="61" t="n">
        <f aca="false">IF(ISNUMBER(R622),R622,0)*S622</f>
        <v>11389.115625</v>
      </c>
      <c r="U622" s="61" t="n">
        <f aca="false">T622*INDEX(INPUTS!$H$10:$H$14,MATCH(B622,INPUTS!$A$10:$A$14,0))</f>
        <v>1845.03673125</v>
      </c>
      <c r="V622" s="61" t="n">
        <f aca="false">N(STACK!K622)</f>
        <v>0</v>
      </c>
      <c r="W622" s="61" t="n">
        <f aca="false">T622+U622+V622</f>
        <v>13234.15235625</v>
      </c>
      <c r="X622" s="61" t="n">
        <f aca="false">N(STACK!L622)</f>
        <v>0</v>
      </c>
      <c r="Y622" s="61" t="n">
        <f aca="false">W622-X622</f>
        <v>13234.15235625</v>
      </c>
      <c r="Z622" s="1" t="n">
        <f aca="false">N(STACK!J622)</f>
        <v>0</v>
      </c>
      <c r="AA622" s="1" t="str">
        <f aca="false">TRIM(IF(D622="UNMAPPED","Program not mapped. ","")&amp;IF(OR(K622="UNMAPPED",K622="UNASSIGNED"),"Category needs review. ","")&amp;IF(P622="UNMAPPED","Title not mapped. ","")&amp;IF(AND(P622&lt;&gt;"No staff time",R622=""),"Missing hours. ","")&amp;IF(M622="","Date not readable. ","")&amp;IF(N622="No","Outside fiscal year. ","")&amp;IF(AND(F622="Event",ISNUMBER(R622)),IF(R622&gt;12,"Event hours look high. ",""),"")&amp;IF(G622&gt;0,"See CONFIRM sheet.",""))</f>
        <v/>
      </c>
      <c r="AB622" s="1" t="n">
        <f aca="false">IF(N622="No",0,IF(REVIEW!O622=0,0,IF(G622&gt;0,IF(INDEX(CONFIRM!$J$5:$J$53,G622)&lt;&gt;"",INDEX(CONFIRM!$J$5:$J$53,G622),1),1)))</f>
        <v>1</v>
      </c>
      <c r="AC622" s="1" t="n">
        <f aca="false">IF(AB622=1,IF(COUNTIFS($B$5:B622,B622,$D$5:D622,D622,$AB$5:AB622,1)=1,1,0),0)</f>
        <v>0</v>
      </c>
    </row>
    <row r="623" customFormat="false" ht="15" hidden="false" customHeight="false" outlineLevel="0" collapsed="false">
      <c r="A623" s="48" t="str">
        <f aca="false">STACK!A623</f>
        <v>ASH-0090</v>
      </c>
      <c r="B623" s="48" t="str">
        <f aca="false">STACK!B623</f>
        <v>ASH</v>
      </c>
      <c r="C623" s="48" t="str">
        <f aca="false">STACK!E623</f>
        <v>Paramedic Students</v>
      </c>
      <c r="D623" s="1" t="str">
        <f aca="false">IFERROR(INDEX(MAP!$J$7:$J$101,MATCH(TRIM(C623),MAP!$I$7:$I$101,0)),"UNMAPPED")</f>
        <v>Paramedic Student Field Training</v>
      </c>
      <c r="E623" s="1" t="str">
        <f aca="false">IFERROR(INDEX(MAP!$K$7:$K$101,MATCH(TRIM(C623),MAP!$I$7:$I$101,0)),"")</f>
        <v>Health workforce</v>
      </c>
      <c r="F623" s="1" t="str">
        <f aca="false">IFERROR(INDEX(MAP!$L$7:$L$101,MATCH(TRIM(C623),MAP!$I$7:$I$101,0)),"")</f>
        <v>Monthly</v>
      </c>
      <c r="G623" s="1" t="n">
        <f aca="false">IFERROR(MATCH(A623,CONFIRM!$A$5:$A$53,0),0)</f>
        <v>0</v>
      </c>
      <c r="H623" s="48" t="str">
        <f aca="false">STACK!F623</f>
        <v>HPE</v>
      </c>
      <c r="I623" s="1" t="str">
        <f aca="false">IF(G623&gt;0,IF(INDEX(CONFIRM!$I$5:$I$53,G623)&lt;&gt;"",INDEX(CONFIRM!$I$5:$I$53,G623),H623),H623)</f>
        <v>HPE</v>
      </c>
      <c r="J623" s="1" t="str">
        <f aca="false">IFERROR(INDEX(MAP!$F$7:$F$74,MATCH(TRIM(I623),MAP!$E$7:$E$74,0)),"UNMAPPED")</f>
        <v>Health professions education</v>
      </c>
      <c r="K623" s="1" t="str">
        <f aca="false">IFERROR(INDEX(MAP!$G$7:$G$74,MATCH(TRIM(I623),MAP!$E$7:$E$74,0)),"UNMAPPED")</f>
        <v>7f</v>
      </c>
      <c r="L623" s="49" t="str">
        <f aca="false">STACK!G623</f>
        <v>10/31/2025</v>
      </c>
      <c r="M623" s="59" t="n">
        <f aca="false">IF(G623&gt;0,IF(INDEX(CONFIRM!$G$5:$G$53,G623)&lt;&gt;"",INDEX(CONFIRM!$G$5:$G$53,G623),IF(ISNUMBER(L623),L623,IFERROR(DATEVALUE(L623),""))),IF(ISNUMBER(L623),L623,IFERROR(DATEVALUE(L623),"")))</f>
        <v>45961</v>
      </c>
      <c r="N623" s="1" t="str">
        <f aca="false">IF(M623="","Check",IF(AND(M623&gt;=INPUTS!$C$6,M623&lt;=INPUTS!$C$7),"Yes","No"))</f>
        <v>Yes</v>
      </c>
      <c r="O623" s="48" t="str">
        <f aca="false">STACK!H623</f>
        <v>EMT</v>
      </c>
      <c r="P623" s="1" t="str">
        <f aca="false">IF(G623&gt;0,IF(INDEX(CONFIRM!$H$5:$H$53,G623)&lt;&gt;"",INDEX(CONFIRM!$H$5:$H$53,G623),IFERROR(INDEX(MAP!$B$7:$B$156,MATCH(TRIM(O623),MAP!$A$7:$A$156,0)),"UNMAPPED")),IFERROR(INDEX(MAP!$B$7:$B$156,MATCH(TRIM(O623),MAP!$A$7:$A$156,0)),"UNMAPPED"))</f>
        <v>Paramedic</v>
      </c>
      <c r="Q623" s="48" t="n">
        <f aca="false">STACK!I623</f>
        <v>70.25</v>
      </c>
      <c r="R623" s="60" t="n">
        <f aca="false">IF(G623&gt;0,IF(INDEX(CONFIRM!$F$5:$F$53,G623)&lt;&gt;"",INDEX(CONFIRM!$F$5:$F$53,G623),IF(ISNUMBER(Q623),Q623,IF(Q623="","",IFERROR(VALUE(TRIM(SUBSTITUTE(SUBSTITUTE(LOWER(Q623),"hrs",""),"hr",""))),"")))),IF(ISNUMBER(Q623),Q623,IF(Q623="","",IFERROR(VALUE(TRIM(SUBSTITUTE(SUBSTITUTE(LOWER(Q623),"hrs",""),"hr",""))),""))))</f>
        <v>70.25</v>
      </c>
      <c r="S623" s="57" t="n">
        <f aca="false">IFERROR(INDEX(RATES!$E$6:$E$28,MATCH(P623,RATES!$A$6:$A$28,0)),0)</f>
        <v>34.695</v>
      </c>
      <c r="T623" s="61" t="n">
        <f aca="false">IF(ISNUMBER(R623),R623,0)*S623</f>
        <v>2437.32375</v>
      </c>
      <c r="U623" s="61" t="n">
        <f aca="false">T623*INDEX(INPUTS!$H$10:$H$14,MATCH(B623,INPUTS!$A$10:$A$14,0))</f>
        <v>394.8464475</v>
      </c>
      <c r="V623" s="61" t="n">
        <f aca="false">N(STACK!K623)</f>
        <v>5</v>
      </c>
      <c r="W623" s="61" t="n">
        <f aca="false">T623+U623+V623</f>
        <v>2837.1701975</v>
      </c>
      <c r="X623" s="61" t="n">
        <f aca="false">N(STACK!L623)</f>
        <v>0</v>
      </c>
      <c r="Y623" s="61" t="n">
        <f aca="false">W623-X623</f>
        <v>2837.1701975</v>
      </c>
      <c r="Z623" s="1" t="n">
        <f aca="false">N(STACK!J623)</f>
        <v>4</v>
      </c>
      <c r="AA623" s="1" t="str">
        <f aca="false">TRIM(IF(D623="UNMAPPED","Program not mapped. ","")&amp;IF(OR(K623="UNMAPPED",K623="UNASSIGNED"),"Category needs review. ","")&amp;IF(P623="UNMAPPED","Title not mapped. ","")&amp;IF(AND(P623&lt;&gt;"No staff time",R623=""),"Missing hours. ","")&amp;IF(M623="","Date not readable. ","")&amp;IF(N623="No","Outside fiscal year. ","")&amp;IF(AND(F623="Event",ISNUMBER(R623)),IF(R623&gt;12,"Event hours look high. ",""),"")&amp;IF(G623&gt;0,"See CONFIRM sheet.",""))</f>
        <v/>
      </c>
      <c r="AB623" s="1" t="n">
        <f aca="false">IF(N623="No",0,IF(REVIEW!O623=0,0,IF(G623&gt;0,IF(INDEX(CONFIRM!$J$5:$J$53,G623)&lt;&gt;"",INDEX(CONFIRM!$J$5:$J$53,G623),1),1)))</f>
        <v>1</v>
      </c>
      <c r="AC623" s="1" t="n">
        <f aca="false">IF(AB623=1,IF(COUNTIFS($B$5:B623,B623,$D$5:D623,D623,$AB$5:AB623,1)=1,1,0),0)</f>
        <v>0</v>
      </c>
    </row>
    <row r="624" customFormat="false" ht="15" hidden="false" customHeight="false" outlineLevel="0" collapsed="false">
      <c r="A624" s="48" t="str">
        <f aca="false">STACK!A624</f>
        <v>ASH-0091</v>
      </c>
      <c r="B624" s="48" t="str">
        <f aca="false">STACK!B624</f>
        <v>ASH</v>
      </c>
      <c r="C624" s="48" t="str">
        <f aca="false">STACK!E624</f>
        <v>DPP Classes</v>
      </c>
      <c r="D624" s="1" t="str">
        <f aca="false">IFERROR(INDEX(MAP!$J$7:$J$101,MATCH(TRIM(C624),MAP!$I$7:$I$101,0)),"UNMAPPED")</f>
        <v>Diabetes Prevention Classes</v>
      </c>
      <c r="E624" s="1" t="str">
        <f aca="false">IFERROR(INDEX(MAP!$K$7:$K$101,MATCH(TRIM(C624),MAP!$I$7:$I$101,0)),"")</f>
        <v>Chronic disease prevention</v>
      </c>
      <c r="F624" s="1" t="str">
        <f aca="false">IFERROR(INDEX(MAP!$L$7:$L$101,MATCH(TRIM(C624),MAP!$I$7:$I$101,0)),"")</f>
        <v>Event</v>
      </c>
      <c r="G624" s="1" t="n">
        <f aca="false">IFERROR(MATCH(A624,CONFIRM!$A$5:$A$53,0),0)</f>
        <v>0</v>
      </c>
      <c r="H624" s="48" t="str">
        <f aca="false">STACK!F624</f>
        <v>Comm Hlth Ed</v>
      </c>
      <c r="I624" s="1" t="str">
        <f aca="false">IF(G624&gt;0,IF(INDEX(CONFIRM!$I$5:$I$53,G624)&lt;&gt;"",INDEX(CONFIRM!$I$5:$I$53,G624),H624),H624)</f>
        <v>Comm Hlth Ed</v>
      </c>
      <c r="J624" s="1" t="str">
        <f aca="false">IFERROR(INDEX(MAP!$F$7:$F$74,MATCH(TRIM(I624),MAP!$E$7:$E$74,0)),"UNMAPPED")</f>
        <v>Community health education</v>
      </c>
      <c r="K624" s="1" t="str">
        <f aca="false">IFERROR(INDEX(MAP!$G$7:$G$74,MATCH(TRIM(I624),MAP!$E$7:$E$74,0)),"UNMAPPED")</f>
        <v>7e</v>
      </c>
      <c r="L624" s="49" t="str">
        <f aca="false">STACK!G624</f>
        <v>11/17/2025</v>
      </c>
      <c r="M624" s="59" t="n">
        <f aca="false">IF(G624&gt;0,IF(INDEX(CONFIRM!$G$5:$G$53,G624)&lt;&gt;"",INDEX(CONFIRM!$G$5:$G$53,G624),IF(ISNUMBER(L624),L624,IFERROR(DATEVALUE(L624),""))),IF(ISNUMBER(L624),L624,IFERROR(DATEVALUE(L624),"")))</f>
        <v>45978</v>
      </c>
      <c r="N624" s="1" t="str">
        <f aca="false">IF(M624="","Check",IF(AND(M624&gt;=INPUTS!$C$6,M624&lt;=INPUTS!$C$7),"Yes","No"))</f>
        <v>Yes</v>
      </c>
      <c r="O624" s="48" t="str">
        <f aca="false">STACK!H624</f>
        <v> Hlth Educator</v>
      </c>
      <c r="P624" s="1" t="str">
        <f aca="false">IF(G624&gt;0,IF(INDEX(CONFIRM!$H$5:$H$53,G624)&lt;&gt;"",INDEX(CONFIRM!$H$5:$H$53,G624),IFERROR(INDEX(MAP!$B$7:$B$156,MATCH(TRIM(O624),MAP!$A$7:$A$156,0)),"UNMAPPED")),IFERROR(INDEX(MAP!$B$7:$B$156,MATCH(TRIM(O624),MAP!$A$7:$A$156,0)),"UNMAPPED"))</f>
        <v>Health Educator</v>
      </c>
      <c r="Q624" s="48" t="n">
        <f aca="false">STACK!I624</f>
        <v>3</v>
      </c>
      <c r="R624" s="60" t="n">
        <f aca="false">IF(G624&gt;0,IF(INDEX(CONFIRM!$F$5:$F$53,G624)&lt;&gt;"",INDEX(CONFIRM!$F$5:$F$53,G624),IF(ISNUMBER(Q624),Q624,IF(Q624="","",IFERROR(VALUE(TRIM(SUBSTITUTE(SUBSTITUTE(LOWER(Q624),"hrs",""),"hr",""))),"")))),IF(ISNUMBER(Q624),Q624,IF(Q624="","",IFERROR(VALUE(TRIM(SUBSTITUTE(SUBSTITUTE(LOWER(Q624),"hrs",""),"hr",""))),""))))</f>
        <v>3</v>
      </c>
      <c r="S624" s="57" t="n">
        <f aca="false">IFERROR(INDEX(RATES!$E$6:$E$28,MATCH(P624,RATES!$A$6:$A$28,0)),0)</f>
        <v>37.265</v>
      </c>
      <c r="T624" s="61" t="n">
        <f aca="false">IF(ISNUMBER(R624),R624,0)*S624</f>
        <v>111.795</v>
      </c>
      <c r="U624" s="61" t="n">
        <f aca="false">T624*INDEX(INPUTS!$H$10:$H$14,MATCH(B624,INPUTS!$A$10:$A$14,0))</f>
        <v>18.11079</v>
      </c>
      <c r="V624" s="61" t="n">
        <f aca="false">N(STACK!K624)</f>
        <v>70</v>
      </c>
      <c r="W624" s="61" t="n">
        <f aca="false">T624+U624+V624</f>
        <v>199.90579</v>
      </c>
      <c r="X624" s="61" t="n">
        <f aca="false">N(STACK!L624)</f>
        <v>0</v>
      </c>
      <c r="Y624" s="61" t="n">
        <f aca="false">W624-X624</f>
        <v>199.90579</v>
      </c>
      <c r="Z624" s="1" t="n">
        <f aca="false">N(STACK!J624)</f>
        <v>19</v>
      </c>
      <c r="AA624" s="1" t="str">
        <f aca="false">TRIM(IF(D624="UNMAPPED","Program not mapped. ","")&amp;IF(OR(K624="UNMAPPED",K624="UNASSIGNED"),"Category needs review. ","")&amp;IF(P624="UNMAPPED","Title not mapped. ","")&amp;IF(AND(P624&lt;&gt;"No staff time",R624=""),"Missing hours. ","")&amp;IF(M624="","Date not readable. ","")&amp;IF(N624="No","Outside fiscal year. ","")&amp;IF(AND(F624="Event",ISNUMBER(R624)),IF(R624&gt;12,"Event hours look high. ",""),"")&amp;IF(G624&gt;0,"See CONFIRM sheet.",""))</f>
        <v/>
      </c>
      <c r="AB624" s="1" t="n">
        <f aca="false">IF(N624="No",0,IF(REVIEW!O624=0,0,IF(G624&gt;0,IF(INDEX(CONFIRM!$J$5:$J$53,G624)&lt;&gt;"",INDEX(CONFIRM!$J$5:$J$53,G624),1),1)))</f>
        <v>1</v>
      </c>
      <c r="AC624" s="1" t="n">
        <f aca="false">IF(AB624=1,IF(COUNTIFS($B$5:B624,B624,$D$5:D624,D624,$AB$5:AB624,1)=1,1,0),0)</f>
        <v>0</v>
      </c>
    </row>
    <row r="625" customFormat="false" ht="15" hidden="false" customHeight="false" outlineLevel="0" collapsed="false">
      <c r="A625" s="48" t="str">
        <f aca="false">STACK!A625</f>
        <v>ASH-0092</v>
      </c>
      <c r="B625" s="48" t="str">
        <f aca="false">STACK!B625</f>
        <v>ASH</v>
      </c>
      <c r="C625" s="48" t="str">
        <f aca="false">STACK!E625</f>
        <v>DPP Classes</v>
      </c>
      <c r="D625" s="1" t="str">
        <f aca="false">IFERROR(INDEX(MAP!$J$7:$J$101,MATCH(TRIM(C625),MAP!$I$7:$I$101,0)),"UNMAPPED")</f>
        <v>Diabetes Prevention Classes</v>
      </c>
      <c r="E625" s="1" t="str">
        <f aca="false">IFERROR(INDEX(MAP!$K$7:$K$101,MATCH(TRIM(C625),MAP!$I$7:$I$101,0)),"")</f>
        <v>Chronic disease prevention</v>
      </c>
      <c r="F625" s="1" t="str">
        <f aca="false">IFERROR(INDEX(MAP!$L$7:$L$101,MATCH(TRIM(C625),MAP!$I$7:$I$101,0)),"")</f>
        <v>Event</v>
      </c>
      <c r="G625" s="1" t="n">
        <f aca="false">IFERROR(MATCH(A625,CONFIRM!$A$5:$A$53,0),0)</f>
        <v>0</v>
      </c>
      <c r="H625" s="48" t="str">
        <f aca="false">STACK!F625</f>
        <v>Comm Hlth Ed</v>
      </c>
      <c r="I625" s="1" t="str">
        <f aca="false">IF(G625&gt;0,IF(INDEX(CONFIRM!$I$5:$I$53,G625)&lt;&gt;"",INDEX(CONFIRM!$I$5:$I$53,G625),H625),H625)</f>
        <v>Comm Hlth Ed</v>
      </c>
      <c r="J625" s="1" t="str">
        <f aca="false">IFERROR(INDEX(MAP!$F$7:$F$74,MATCH(TRIM(I625),MAP!$E$7:$E$74,0)),"UNMAPPED")</f>
        <v>Community health education</v>
      </c>
      <c r="K625" s="1" t="str">
        <f aca="false">IFERROR(INDEX(MAP!$G$7:$G$74,MATCH(TRIM(I625),MAP!$E$7:$E$74,0)),"UNMAPPED")</f>
        <v>7e</v>
      </c>
      <c r="L625" s="49" t="str">
        <f aca="false">STACK!G625</f>
        <v>11/17/2025</v>
      </c>
      <c r="M625" s="59" t="n">
        <f aca="false">IF(G625&gt;0,IF(INDEX(CONFIRM!$G$5:$G$53,G625)&lt;&gt;"",INDEX(CONFIRM!$G$5:$G$53,G625),IF(ISNUMBER(L625),L625,IFERROR(DATEVALUE(L625),""))),IF(ISNUMBER(L625),L625,IFERROR(DATEVALUE(L625),"")))</f>
        <v>45978</v>
      </c>
      <c r="N625" s="1" t="str">
        <f aca="false">IF(M625="","Check",IF(AND(M625&gt;=INPUTS!$C$6,M625&lt;=INPUTS!$C$7),"Yes","No"))</f>
        <v>Yes</v>
      </c>
      <c r="O625" s="48" t="str">
        <f aca="false">STACK!H625</f>
        <v>Dietitian</v>
      </c>
      <c r="P625" s="1" t="str">
        <f aca="false">IF(G625&gt;0,IF(INDEX(CONFIRM!$H$5:$H$53,G625)&lt;&gt;"",INDEX(CONFIRM!$H$5:$H$53,G625),IFERROR(INDEX(MAP!$B$7:$B$156,MATCH(TRIM(O625),MAP!$A$7:$A$156,0)),"UNMAPPED")),IFERROR(INDEX(MAP!$B$7:$B$156,MATCH(TRIM(O625),MAP!$A$7:$A$156,0)),"UNMAPPED"))</f>
        <v>Registered Dietitian</v>
      </c>
      <c r="Q625" s="48" t="n">
        <f aca="false">STACK!I625</f>
        <v>1.75</v>
      </c>
      <c r="R625" s="60" t="n">
        <f aca="false">IF(G625&gt;0,IF(INDEX(CONFIRM!$F$5:$F$53,G625)&lt;&gt;"",INDEX(CONFIRM!$F$5:$F$53,G625),IF(ISNUMBER(Q625),Q625,IF(Q625="","",IFERROR(VALUE(TRIM(SUBSTITUTE(SUBSTITUTE(LOWER(Q625),"hrs",""),"hr",""))),"")))),IF(ISNUMBER(Q625),Q625,IF(Q625="","",IFERROR(VALUE(TRIM(SUBSTITUTE(SUBSTITUTE(LOWER(Q625),"hrs",""),"hr",""))),""))))</f>
        <v>1.75</v>
      </c>
      <c r="S625" s="57" t="n">
        <f aca="false">IFERROR(INDEX(RATES!$E$6:$E$28,MATCH(P625,RATES!$A$6:$A$28,0)),0)</f>
        <v>46.9025</v>
      </c>
      <c r="T625" s="61" t="n">
        <f aca="false">IF(ISNUMBER(R625),R625,0)*S625</f>
        <v>82.079375</v>
      </c>
      <c r="U625" s="61" t="n">
        <f aca="false">T625*INDEX(INPUTS!$H$10:$H$14,MATCH(B625,INPUTS!$A$10:$A$14,0))</f>
        <v>13.29685875</v>
      </c>
      <c r="V625" s="61" t="n">
        <f aca="false">N(STACK!K625)</f>
        <v>0</v>
      </c>
      <c r="W625" s="61" t="n">
        <f aca="false">T625+U625+V625</f>
        <v>95.37623375</v>
      </c>
      <c r="X625" s="61" t="n">
        <f aca="false">N(STACK!L625)</f>
        <v>0</v>
      </c>
      <c r="Y625" s="61" t="n">
        <f aca="false">W625-X625</f>
        <v>95.37623375</v>
      </c>
      <c r="Z625" s="1" t="n">
        <f aca="false">N(STACK!J625)</f>
        <v>0</v>
      </c>
      <c r="AA625" s="1" t="str">
        <f aca="false">TRIM(IF(D625="UNMAPPED","Program not mapped. ","")&amp;IF(OR(K625="UNMAPPED",K625="UNASSIGNED"),"Category needs review. ","")&amp;IF(P625="UNMAPPED","Title not mapped. ","")&amp;IF(AND(P625&lt;&gt;"No staff time",R625=""),"Missing hours. ","")&amp;IF(M625="","Date not readable. ","")&amp;IF(N625="No","Outside fiscal year. ","")&amp;IF(AND(F625="Event",ISNUMBER(R625)),IF(R625&gt;12,"Event hours look high. ",""),"")&amp;IF(G625&gt;0,"See CONFIRM sheet.",""))</f>
        <v/>
      </c>
      <c r="AB625" s="1" t="n">
        <f aca="false">IF(N625="No",0,IF(REVIEW!O625=0,0,IF(G625&gt;0,IF(INDEX(CONFIRM!$J$5:$J$53,G625)&lt;&gt;"",INDEX(CONFIRM!$J$5:$J$53,G625),1),1)))</f>
        <v>1</v>
      </c>
      <c r="AC625" s="1" t="n">
        <f aca="false">IF(AB625=1,IF(COUNTIFS($B$5:B625,B625,$D$5:D625,D625,$AB$5:AB625,1)=1,1,0),0)</f>
        <v>0</v>
      </c>
    </row>
    <row r="626" customFormat="false" ht="15" hidden="false" customHeight="false" outlineLevel="0" collapsed="false">
      <c r="A626" s="48" t="str">
        <f aca="false">STACK!A626</f>
        <v>ASH-0093</v>
      </c>
      <c r="B626" s="48" t="str">
        <f aca="false">STACK!B626</f>
        <v>ASH</v>
      </c>
      <c r="C626" s="48" t="str">
        <f aca="false">STACK!E626</f>
        <v>DPP Classes</v>
      </c>
      <c r="D626" s="1" t="str">
        <f aca="false">IFERROR(INDEX(MAP!$J$7:$J$101,MATCH(TRIM(C626),MAP!$I$7:$I$101,0)),"UNMAPPED")</f>
        <v>Diabetes Prevention Classes</v>
      </c>
      <c r="E626" s="1" t="str">
        <f aca="false">IFERROR(INDEX(MAP!$K$7:$K$101,MATCH(TRIM(C626),MAP!$I$7:$I$101,0)),"")</f>
        <v>Chronic disease prevention</v>
      </c>
      <c r="F626" s="1" t="str">
        <f aca="false">IFERROR(INDEX(MAP!$L$7:$L$101,MATCH(TRIM(C626),MAP!$I$7:$I$101,0)),"")</f>
        <v>Event</v>
      </c>
      <c r="G626" s="1" t="n">
        <f aca="false">IFERROR(MATCH(A626,CONFIRM!$A$5:$A$53,0),0)</f>
        <v>0</v>
      </c>
      <c r="H626" s="48" t="str">
        <f aca="false">STACK!F626</f>
        <v>Comm Hlth Ed</v>
      </c>
      <c r="I626" s="1" t="str">
        <f aca="false">IF(G626&gt;0,IF(INDEX(CONFIRM!$I$5:$I$53,G626)&lt;&gt;"",INDEX(CONFIRM!$I$5:$I$53,G626),H626),H626)</f>
        <v>Comm Hlth Ed</v>
      </c>
      <c r="J626" s="1" t="str">
        <f aca="false">IFERROR(INDEX(MAP!$F$7:$F$74,MATCH(TRIM(I626),MAP!$E$7:$E$74,0)),"UNMAPPED")</f>
        <v>Community health education</v>
      </c>
      <c r="K626" s="1" t="str">
        <f aca="false">IFERROR(INDEX(MAP!$G$7:$G$74,MATCH(TRIM(I626),MAP!$E$7:$E$74,0)),"UNMAPPED")</f>
        <v>7e</v>
      </c>
      <c r="L626" s="49" t="str">
        <f aca="false">STACK!G626</f>
        <v>11/26/2025</v>
      </c>
      <c r="M626" s="59" t="n">
        <f aca="false">IF(G626&gt;0,IF(INDEX(CONFIRM!$G$5:$G$53,G626)&lt;&gt;"",INDEX(CONFIRM!$G$5:$G$53,G626),IF(ISNUMBER(L626),L626,IFERROR(DATEVALUE(L626),""))),IF(ISNUMBER(L626),L626,IFERROR(DATEVALUE(L626),"")))</f>
        <v>45987</v>
      </c>
      <c r="N626" s="1" t="str">
        <f aca="false">IF(M626="","Check",IF(AND(M626&gt;=INPUTS!$C$6,M626&lt;=INPUTS!$C$7),"Yes","No"))</f>
        <v>Yes</v>
      </c>
      <c r="O626" s="48" t="str">
        <f aca="false">STACK!H626</f>
        <v>Health Ed</v>
      </c>
      <c r="P626" s="1" t="str">
        <f aca="false">IF(G626&gt;0,IF(INDEX(CONFIRM!$H$5:$H$53,G626)&lt;&gt;"",INDEX(CONFIRM!$H$5:$H$53,G626),IFERROR(INDEX(MAP!$B$7:$B$156,MATCH(TRIM(O626),MAP!$A$7:$A$156,0)),"UNMAPPED")),IFERROR(INDEX(MAP!$B$7:$B$156,MATCH(TRIM(O626),MAP!$A$7:$A$156,0)),"UNMAPPED"))</f>
        <v>Health Educator</v>
      </c>
      <c r="Q626" s="48" t="n">
        <f aca="false">STACK!I626</f>
        <v>3</v>
      </c>
      <c r="R626" s="60" t="n">
        <f aca="false">IF(G626&gt;0,IF(INDEX(CONFIRM!$F$5:$F$53,G626)&lt;&gt;"",INDEX(CONFIRM!$F$5:$F$53,G626),IF(ISNUMBER(Q626),Q626,IF(Q626="","",IFERROR(VALUE(TRIM(SUBSTITUTE(SUBSTITUTE(LOWER(Q626),"hrs",""),"hr",""))),"")))),IF(ISNUMBER(Q626),Q626,IF(Q626="","",IFERROR(VALUE(TRIM(SUBSTITUTE(SUBSTITUTE(LOWER(Q626),"hrs",""),"hr",""))),""))))</f>
        <v>3</v>
      </c>
      <c r="S626" s="57" t="n">
        <f aca="false">IFERROR(INDEX(RATES!$E$6:$E$28,MATCH(P626,RATES!$A$6:$A$28,0)),0)</f>
        <v>37.265</v>
      </c>
      <c r="T626" s="61" t="n">
        <f aca="false">IF(ISNUMBER(R626),R626,0)*S626</f>
        <v>111.795</v>
      </c>
      <c r="U626" s="61" t="n">
        <f aca="false">T626*INDEX(INPUTS!$H$10:$H$14,MATCH(B626,INPUTS!$A$10:$A$14,0))</f>
        <v>18.11079</v>
      </c>
      <c r="V626" s="61" t="n">
        <f aca="false">N(STACK!K626)</f>
        <v>95</v>
      </c>
      <c r="W626" s="61" t="n">
        <f aca="false">T626+U626+V626</f>
        <v>224.90579</v>
      </c>
      <c r="X626" s="61" t="n">
        <f aca="false">N(STACK!L626)</f>
        <v>0</v>
      </c>
      <c r="Y626" s="61" t="n">
        <f aca="false">W626-X626</f>
        <v>224.90579</v>
      </c>
      <c r="Z626" s="1" t="n">
        <f aca="false">N(STACK!J626)</f>
        <v>15</v>
      </c>
      <c r="AA626" s="1" t="str">
        <f aca="false">TRIM(IF(D626="UNMAPPED","Program not mapped. ","")&amp;IF(OR(K626="UNMAPPED",K626="UNASSIGNED"),"Category needs review. ","")&amp;IF(P626="UNMAPPED","Title not mapped. ","")&amp;IF(AND(P626&lt;&gt;"No staff time",R626=""),"Missing hours. ","")&amp;IF(M626="","Date not readable. ","")&amp;IF(N626="No","Outside fiscal year. ","")&amp;IF(AND(F626="Event",ISNUMBER(R626)),IF(R626&gt;12,"Event hours look high. ",""),"")&amp;IF(G626&gt;0,"See CONFIRM sheet.",""))</f>
        <v/>
      </c>
      <c r="AB626" s="1" t="n">
        <f aca="false">IF(N626="No",0,IF(REVIEW!O626=0,0,IF(G626&gt;0,IF(INDEX(CONFIRM!$J$5:$J$53,G626)&lt;&gt;"",INDEX(CONFIRM!$J$5:$J$53,G626),1),1)))</f>
        <v>1</v>
      </c>
      <c r="AC626" s="1" t="n">
        <f aca="false">IF(AB626=1,IF(COUNTIFS($B$5:B626,B626,$D$5:D626,D626,$AB$5:AB626,1)=1,1,0),0)</f>
        <v>0</v>
      </c>
    </row>
    <row r="627" customFormat="false" ht="15" hidden="false" customHeight="false" outlineLevel="0" collapsed="false">
      <c r="A627" s="48" t="str">
        <f aca="false">STACK!A627</f>
        <v>ASH-0094</v>
      </c>
      <c r="B627" s="48" t="str">
        <f aca="false">STACK!B627</f>
        <v>ASH</v>
      </c>
      <c r="C627" s="48" t="str">
        <f aca="false">STACK!E627</f>
        <v>DPP Classes</v>
      </c>
      <c r="D627" s="1" t="str">
        <f aca="false">IFERROR(INDEX(MAP!$J$7:$J$101,MATCH(TRIM(C627),MAP!$I$7:$I$101,0)),"UNMAPPED")</f>
        <v>Diabetes Prevention Classes</v>
      </c>
      <c r="E627" s="1" t="str">
        <f aca="false">IFERROR(INDEX(MAP!$K$7:$K$101,MATCH(TRIM(C627),MAP!$I$7:$I$101,0)),"")</f>
        <v>Chronic disease prevention</v>
      </c>
      <c r="F627" s="1" t="str">
        <f aca="false">IFERROR(INDEX(MAP!$L$7:$L$101,MATCH(TRIM(C627),MAP!$I$7:$I$101,0)),"")</f>
        <v>Event</v>
      </c>
      <c r="G627" s="1" t="n">
        <f aca="false">IFERROR(MATCH(A627,CONFIRM!$A$5:$A$53,0),0)</f>
        <v>0</v>
      </c>
      <c r="H627" s="48" t="str">
        <f aca="false">STACK!F627</f>
        <v>Comm Hlth Ed</v>
      </c>
      <c r="I627" s="1" t="str">
        <f aca="false">IF(G627&gt;0,IF(INDEX(CONFIRM!$I$5:$I$53,G627)&lt;&gt;"",INDEX(CONFIRM!$I$5:$I$53,G627),H627),H627)</f>
        <v>Comm Hlth Ed</v>
      </c>
      <c r="J627" s="1" t="str">
        <f aca="false">IFERROR(INDEX(MAP!$F$7:$F$74,MATCH(TRIM(I627),MAP!$E$7:$E$74,0)),"UNMAPPED")</f>
        <v>Community health education</v>
      </c>
      <c r="K627" s="1" t="str">
        <f aca="false">IFERROR(INDEX(MAP!$G$7:$G$74,MATCH(TRIM(I627),MAP!$E$7:$E$74,0)),"UNMAPPED")</f>
        <v>7e</v>
      </c>
      <c r="L627" s="49" t="str">
        <f aca="false">STACK!G627</f>
        <v>11/26/2025</v>
      </c>
      <c r="M627" s="59" t="n">
        <f aca="false">IF(G627&gt;0,IF(INDEX(CONFIRM!$G$5:$G$53,G627)&lt;&gt;"",INDEX(CONFIRM!$G$5:$G$53,G627),IF(ISNUMBER(L627),L627,IFERROR(DATEVALUE(L627),""))),IF(ISNUMBER(L627),L627,IFERROR(DATEVALUE(L627),"")))</f>
        <v>45987</v>
      </c>
      <c r="N627" s="1" t="str">
        <f aca="false">IF(M627="","Check",IF(AND(M627&gt;=INPUTS!$C$6,M627&lt;=INPUTS!$C$7),"Yes","No"))</f>
        <v>Yes</v>
      </c>
      <c r="O627" s="48" t="str">
        <f aca="false">STACK!H627</f>
        <v>Dietitian</v>
      </c>
      <c r="P627" s="1" t="str">
        <f aca="false">IF(G627&gt;0,IF(INDEX(CONFIRM!$H$5:$H$53,G627)&lt;&gt;"",INDEX(CONFIRM!$H$5:$H$53,G627),IFERROR(INDEX(MAP!$B$7:$B$156,MATCH(TRIM(O627),MAP!$A$7:$A$156,0)),"UNMAPPED")),IFERROR(INDEX(MAP!$B$7:$B$156,MATCH(TRIM(O627),MAP!$A$7:$A$156,0)),"UNMAPPED"))</f>
        <v>Registered Dietitian</v>
      </c>
      <c r="Q627" s="48" t="n">
        <f aca="false">STACK!I627</f>
        <v>2</v>
      </c>
      <c r="R627" s="60" t="n">
        <f aca="false">IF(G627&gt;0,IF(INDEX(CONFIRM!$F$5:$F$53,G627)&lt;&gt;"",INDEX(CONFIRM!$F$5:$F$53,G627),IF(ISNUMBER(Q627),Q627,IF(Q627="","",IFERROR(VALUE(TRIM(SUBSTITUTE(SUBSTITUTE(LOWER(Q627),"hrs",""),"hr",""))),"")))),IF(ISNUMBER(Q627),Q627,IF(Q627="","",IFERROR(VALUE(TRIM(SUBSTITUTE(SUBSTITUTE(LOWER(Q627),"hrs",""),"hr",""))),""))))</f>
        <v>2</v>
      </c>
      <c r="S627" s="57" t="n">
        <f aca="false">IFERROR(INDEX(RATES!$E$6:$E$28,MATCH(P627,RATES!$A$6:$A$28,0)),0)</f>
        <v>46.9025</v>
      </c>
      <c r="T627" s="61" t="n">
        <f aca="false">IF(ISNUMBER(R627),R627,0)*S627</f>
        <v>93.805</v>
      </c>
      <c r="U627" s="61" t="n">
        <f aca="false">T627*INDEX(INPUTS!$H$10:$H$14,MATCH(B627,INPUTS!$A$10:$A$14,0))</f>
        <v>15.19641</v>
      </c>
      <c r="V627" s="61" t="n">
        <f aca="false">N(STACK!K627)</f>
        <v>0</v>
      </c>
      <c r="W627" s="61" t="n">
        <f aca="false">T627+U627+V627</f>
        <v>109.00141</v>
      </c>
      <c r="X627" s="61" t="n">
        <f aca="false">N(STACK!L627)</f>
        <v>0</v>
      </c>
      <c r="Y627" s="61" t="n">
        <f aca="false">W627-X627</f>
        <v>109.00141</v>
      </c>
      <c r="Z627" s="1" t="n">
        <f aca="false">N(STACK!J627)</f>
        <v>0</v>
      </c>
      <c r="AA627" s="1" t="str">
        <f aca="false">TRIM(IF(D627="UNMAPPED","Program not mapped. ","")&amp;IF(OR(K627="UNMAPPED",K627="UNASSIGNED"),"Category needs review. ","")&amp;IF(P627="UNMAPPED","Title not mapped. ","")&amp;IF(AND(P627&lt;&gt;"No staff time",R627=""),"Missing hours. ","")&amp;IF(M627="","Date not readable. ","")&amp;IF(N627="No","Outside fiscal year. ","")&amp;IF(AND(F627="Event",ISNUMBER(R627)),IF(R627&gt;12,"Event hours look high. ",""),"")&amp;IF(G627&gt;0,"See CONFIRM sheet.",""))</f>
        <v/>
      </c>
      <c r="AB627" s="1" t="n">
        <f aca="false">IF(N627="No",0,IF(REVIEW!O627=0,0,IF(G627&gt;0,IF(INDEX(CONFIRM!$J$5:$J$53,G627)&lt;&gt;"",INDEX(CONFIRM!$J$5:$J$53,G627),1),1)))</f>
        <v>1</v>
      </c>
      <c r="AC627" s="1" t="n">
        <f aca="false">IF(AB627=1,IF(COUNTIFS($B$5:B627,B627,$D$5:D627,D627,$AB$5:AB627,1)=1,1,0),0)</f>
        <v>0</v>
      </c>
    </row>
    <row r="628" customFormat="false" ht="15" hidden="false" customHeight="false" outlineLevel="0" collapsed="false">
      <c r="A628" s="48" t="str">
        <f aca="false">STACK!A628</f>
        <v>ASH-0095</v>
      </c>
      <c r="B628" s="48" t="str">
        <f aca="false">STACK!B628</f>
        <v>ASH</v>
      </c>
      <c r="C628" s="48" t="str">
        <f aca="false">STACK!E628</f>
        <v>Car Seat Checks</v>
      </c>
      <c r="D628" s="1" t="str">
        <f aca="false">IFERROR(INDEX(MAP!$J$7:$J$101,MATCH(TRIM(C628),MAP!$I$7:$I$101,0)),"UNMAPPED")</f>
        <v>Car Seat Safety Checks</v>
      </c>
      <c r="E628" s="1" t="str">
        <f aca="false">IFERROR(INDEX(MAP!$K$7:$K$101,MATCH(TRIM(C628),MAP!$I$7:$I$101,0)),"")</f>
        <v>Maternal and child health</v>
      </c>
      <c r="F628" s="1" t="str">
        <f aca="false">IFERROR(INDEX(MAP!$L$7:$L$101,MATCH(TRIM(C628),MAP!$I$7:$I$101,0)),"")</f>
        <v>Event</v>
      </c>
      <c r="G628" s="1" t="n">
        <f aca="false">IFERROR(MATCH(A628,CONFIRM!$A$5:$A$53,0),0)</f>
        <v>0</v>
      </c>
      <c r="H628" s="48" t="str">
        <f aca="false">STACK!F628</f>
        <v>Comm Hlth Ed</v>
      </c>
      <c r="I628" s="1" t="str">
        <f aca="false">IF(G628&gt;0,IF(INDEX(CONFIRM!$I$5:$I$53,G628)&lt;&gt;"",INDEX(CONFIRM!$I$5:$I$53,G628),H628),H628)</f>
        <v>Comm Hlth Ed</v>
      </c>
      <c r="J628" s="1" t="str">
        <f aca="false">IFERROR(INDEX(MAP!$F$7:$F$74,MATCH(TRIM(I628),MAP!$E$7:$E$74,0)),"UNMAPPED")</f>
        <v>Community health education</v>
      </c>
      <c r="K628" s="1" t="str">
        <f aca="false">IFERROR(INDEX(MAP!$G$7:$G$74,MATCH(TRIM(I628),MAP!$E$7:$E$74,0)),"UNMAPPED")</f>
        <v>7e</v>
      </c>
      <c r="L628" s="49" t="str">
        <f aca="false">STACK!G628</f>
        <v>11/27/2025</v>
      </c>
      <c r="M628" s="59" t="n">
        <f aca="false">IF(G628&gt;0,IF(INDEX(CONFIRM!$G$5:$G$53,G628)&lt;&gt;"",INDEX(CONFIRM!$G$5:$G$53,G628),IF(ISNUMBER(L628),L628,IFERROR(DATEVALUE(L628),""))),IF(ISNUMBER(L628),L628,IFERROR(DATEVALUE(L628),"")))</f>
        <v>45988</v>
      </c>
      <c r="N628" s="1" t="str">
        <f aca="false">IF(M628="","Check",IF(AND(M628&gt;=INPUTS!$C$6,M628&lt;=INPUTS!$C$7),"Yes","No"))</f>
        <v>Yes</v>
      </c>
      <c r="O628" s="48" t="str">
        <f aca="false">STACK!H628</f>
        <v>EMT</v>
      </c>
      <c r="P628" s="1" t="str">
        <f aca="false">IF(G628&gt;0,IF(INDEX(CONFIRM!$H$5:$H$53,G628)&lt;&gt;"",INDEX(CONFIRM!$H$5:$H$53,G628),IFERROR(INDEX(MAP!$B$7:$B$156,MATCH(TRIM(O628),MAP!$A$7:$A$156,0)),"UNMAPPED")),IFERROR(INDEX(MAP!$B$7:$B$156,MATCH(TRIM(O628),MAP!$A$7:$A$156,0)),"UNMAPPED"))</f>
        <v>Paramedic</v>
      </c>
      <c r="Q628" s="48" t="n">
        <f aca="false">STACK!I628</f>
        <v>3.75</v>
      </c>
      <c r="R628" s="60" t="n">
        <f aca="false">IF(G628&gt;0,IF(INDEX(CONFIRM!$F$5:$F$53,G628)&lt;&gt;"",INDEX(CONFIRM!$F$5:$F$53,G628),IF(ISNUMBER(Q628),Q628,IF(Q628="","",IFERROR(VALUE(TRIM(SUBSTITUTE(SUBSTITUTE(LOWER(Q628),"hrs",""),"hr",""))),"")))),IF(ISNUMBER(Q628),Q628,IF(Q628="","",IFERROR(VALUE(TRIM(SUBSTITUTE(SUBSTITUTE(LOWER(Q628),"hrs",""),"hr",""))),""))))</f>
        <v>3.75</v>
      </c>
      <c r="S628" s="57" t="n">
        <f aca="false">IFERROR(INDEX(RATES!$E$6:$E$28,MATCH(P628,RATES!$A$6:$A$28,0)),0)</f>
        <v>34.695</v>
      </c>
      <c r="T628" s="61" t="n">
        <f aca="false">IF(ISNUMBER(R628),R628,0)*S628</f>
        <v>130.10625</v>
      </c>
      <c r="U628" s="61" t="n">
        <f aca="false">T628*INDEX(INPUTS!$H$10:$H$14,MATCH(B628,INPUTS!$A$10:$A$14,0))</f>
        <v>21.0772125</v>
      </c>
      <c r="V628" s="61" t="n">
        <f aca="false">N(STACK!K628)</f>
        <v>705</v>
      </c>
      <c r="W628" s="61" t="n">
        <f aca="false">T628+U628+V628</f>
        <v>856.1834625</v>
      </c>
      <c r="X628" s="61" t="n">
        <f aca="false">N(STACK!L628)</f>
        <v>85</v>
      </c>
      <c r="Y628" s="61" t="n">
        <f aca="false">W628-X628</f>
        <v>771.1834625</v>
      </c>
      <c r="Z628" s="1" t="n">
        <f aca="false">N(STACK!J628)</f>
        <v>14</v>
      </c>
      <c r="AA628" s="1" t="str">
        <f aca="false">TRIM(IF(D628="UNMAPPED","Program not mapped. ","")&amp;IF(OR(K628="UNMAPPED",K628="UNASSIGNED"),"Category needs review. ","")&amp;IF(P628="UNMAPPED","Title not mapped. ","")&amp;IF(AND(P628&lt;&gt;"No staff time",R628=""),"Missing hours. ","")&amp;IF(M628="","Date not readable. ","")&amp;IF(N628="No","Outside fiscal year. ","")&amp;IF(AND(F628="Event",ISNUMBER(R628)),IF(R628&gt;12,"Event hours look high. ",""),"")&amp;IF(G628&gt;0,"See CONFIRM sheet.",""))</f>
        <v/>
      </c>
      <c r="AB628" s="1" t="n">
        <f aca="false">IF(N628="No",0,IF(REVIEW!O628=0,0,IF(G628&gt;0,IF(INDEX(CONFIRM!$J$5:$J$53,G628)&lt;&gt;"",INDEX(CONFIRM!$J$5:$J$53,G628),1),1)))</f>
        <v>1</v>
      </c>
      <c r="AC628" s="1" t="n">
        <f aca="false">IF(AB628=1,IF(COUNTIFS($B$5:B628,B628,$D$5:D628,D628,$AB$5:AB628,1)=1,1,0),0)</f>
        <v>1</v>
      </c>
    </row>
    <row r="629" customFormat="false" ht="15" hidden="false" customHeight="false" outlineLevel="0" collapsed="false">
      <c r="A629" s="48" t="str">
        <f aca="false">STACK!A629</f>
        <v>ASH-0096</v>
      </c>
      <c r="B629" s="48" t="str">
        <f aca="false">STACK!B629</f>
        <v>ASH</v>
      </c>
      <c r="C629" s="48" t="str">
        <f aca="false">STACK!E629</f>
        <v>Car Seat Checks</v>
      </c>
      <c r="D629" s="1" t="str">
        <f aca="false">IFERROR(INDEX(MAP!$J$7:$J$101,MATCH(TRIM(C629),MAP!$I$7:$I$101,0)),"UNMAPPED")</f>
        <v>Car Seat Safety Checks</v>
      </c>
      <c r="E629" s="1" t="str">
        <f aca="false">IFERROR(INDEX(MAP!$K$7:$K$101,MATCH(TRIM(C629),MAP!$I$7:$I$101,0)),"")</f>
        <v>Maternal and child health</v>
      </c>
      <c r="F629" s="1" t="str">
        <f aca="false">IFERROR(INDEX(MAP!$L$7:$L$101,MATCH(TRIM(C629),MAP!$I$7:$I$101,0)),"")</f>
        <v>Event</v>
      </c>
      <c r="G629" s="1" t="n">
        <f aca="false">IFERROR(MATCH(A629,CONFIRM!$A$5:$A$53,0),0)</f>
        <v>0</v>
      </c>
      <c r="H629" s="48" t="str">
        <f aca="false">STACK!F629</f>
        <v>Comm Hlth Ed</v>
      </c>
      <c r="I629" s="1" t="str">
        <f aca="false">IF(G629&gt;0,IF(INDEX(CONFIRM!$I$5:$I$53,G629)&lt;&gt;"",INDEX(CONFIRM!$I$5:$I$53,G629),H629),H629)</f>
        <v>Comm Hlth Ed</v>
      </c>
      <c r="J629" s="1" t="str">
        <f aca="false">IFERROR(INDEX(MAP!$F$7:$F$74,MATCH(TRIM(I629),MAP!$E$7:$E$74,0)),"UNMAPPED")</f>
        <v>Community health education</v>
      </c>
      <c r="K629" s="1" t="str">
        <f aca="false">IFERROR(INDEX(MAP!$G$7:$G$74,MATCH(TRIM(I629),MAP!$E$7:$E$74,0)),"UNMAPPED")</f>
        <v>7e</v>
      </c>
      <c r="L629" s="49" t="str">
        <f aca="false">STACK!G629</f>
        <v>11/27/2025</v>
      </c>
      <c r="M629" s="59" t="n">
        <f aca="false">IF(G629&gt;0,IF(INDEX(CONFIRM!$G$5:$G$53,G629)&lt;&gt;"",INDEX(CONFIRM!$G$5:$G$53,G629),IF(ISNUMBER(L629),L629,IFERROR(DATEVALUE(L629),""))),IF(ISNUMBER(L629),L629,IFERROR(DATEVALUE(L629),"")))</f>
        <v>45988</v>
      </c>
      <c r="N629" s="1" t="str">
        <f aca="false">IF(M629="","Check",IF(AND(M629&gt;=INPUTS!$C$6,M629&lt;=INPUTS!$C$7),"Yes","No"))</f>
        <v>Yes</v>
      </c>
      <c r="O629" s="48" t="str">
        <f aca="false">STACK!H629</f>
        <v>Reg Nurse</v>
      </c>
      <c r="P629" s="1" t="str">
        <f aca="false">IF(G629&gt;0,IF(INDEX(CONFIRM!$H$5:$H$53,G629)&lt;&gt;"",INDEX(CONFIRM!$H$5:$H$53,G629),IFERROR(INDEX(MAP!$B$7:$B$156,MATCH(TRIM(O629),MAP!$A$7:$A$156,0)),"UNMAPPED")),IFERROR(INDEX(MAP!$B$7:$B$156,MATCH(TRIM(O629),MAP!$A$7:$A$156,0)),"UNMAPPED"))</f>
        <v>Registered Nurse</v>
      </c>
      <c r="Q629" s="48" t="n">
        <f aca="false">STACK!I629</f>
        <v>4</v>
      </c>
      <c r="R629" s="60" t="n">
        <f aca="false">IF(G629&gt;0,IF(INDEX(CONFIRM!$F$5:$F$53,G629)&lt;&gt;"",INDEX(CONFIRM!$F$5:$F$53,G629),IF(ISNUMBER(Q629),Q629,IF(Q629="","",IFERROR(VALUE(TRIM(SUBSTITUTE(SUBSTITUTE(LOWER(Q629),"hrs",""),"hr",""))),"")))),IF(ISNUMBER(Q629),Q629,IF(Q629="","",IFERROR(VALUE(TRIM(SUBSTITUTE(SUBSTITUTE(LOWER(Q629),"hrs",""),"hr",""))),""))))</f>
        <v>4</v>
      </c>
      <c r="S629" s="57" t="n">
        <f aca="false">IFERROR(INDEX(RATES!$E$6:$E$28,MATCH(P629,RATES!$A$6:$A$28,0)),0)</f>
        <v>55.8975</v>
      </c>
      <c r="T629" s="61" t="n">
        <f aca="false">IF(ISNUMBER(R629),R629,0)*S629</f>
        <v>223.59</v>
      </c>
      <c r="U629" s="61" t="n">
        <f aca="false">T629*INDEX(INPUTS!$H$10:$H$14,MATCH(B629,INPUTS!$A$10:$A$14,0))</f>
        <v>36.22158</v>
      </c>
      <c r="V629" s="61" t="n">
        <f aca="false">N(STACK!K629)</f>
        <v>0</v>
      </c>
      <c r="W629" s="61" t="n">
        <f aca="false">T629+U629+V629</f>
        <v>259.81158</v>
      </c>
      <c r="X629" s="61" t="n">
        <f aca="false">N(STACK!L629)</f>
        <v>0</v>
      </c>
      <c r="Y629" s="61" t="n">
        <f aca="false">W629-X629</f>
        <v>259.81158</v>
      </c>
      <c r="Z629" s="1" t="n">
        <f aca="false">N(STACK!J629)</f>
        <v>0</v>
      </c>
      <c r="AA629" s="1" t="str">
        <f aca="false">TRIM(IF(D629="UNMAPPED","Program not mapped. ","")&amp;IF(OR(K629="UNMAPPED",K629="UNASSIGNED"),"Category needs review. ","")&amp;IF(P629="UNMAPPED","Title not mapped. ","")&amp;IF(AND(P629&lt;&gt;"No staff time",R629=""),"Missing hours. ","")&amp;IF(M629="","Date not readable. ","")&amp;IF(N629="No","Outside fiscal year. ","")&amp;IF(AND(F629="Event",ISNUMBER(R629)),IF(R629&gt;12,"Event hours look high. ",""),"")&amp;IF(G629&gt;0,"See CONFIRM sheet.",""))</f>
        <v/>
      </c>
      <c r="AB629" s="1" t="n">
        <f aca="false">IF(N629="No",0,IF(REVIEW!O629=0,0,IF(G629&gt;0,IF(INDEX(CONFIRM!$J$5:$J$53,G629)&lt;&gt;"",INDEX(CONFIRM!$J$5:$J$53,G629),1),1)))</f>
        <v>1</v>
      </c>
      <c r="AC629" s="1" t="n">
        <f aca="false">IF(AB629=1,IF(COUNTIFS($B$5:B629,B629,$D$5:D629,D629,$AB$5:AB629,1)=1,1,0),0)</f>
        <v>0</v>
      </c>
    </row>
    <row r="630" customFormat="false" ht="15" hidden="false" customHeight="false" outlineLevel="0" collapsed="false">
      <c r="A630" s="48" t="str">
        <f aca="false">STACK!A630</f>
        <v>ASH-0097</v>
      </c>
      <c r="B630" s="48" t="str">
        <f aca="false">STACK!B630</f>
        <v>ASH</v>
      </c>
      <c r="C630" s="48" t="str">
        <f aca="false">STACK!E630</f>
        <v>Mobile Screening Unit</v>
      </c>
      <c r="D630" s="1" t="str">
        <f aca="false">IFERROR(INDEX(MAP!$J$7:$J$101,MATCH(TRIM(C630),MAP!$I$7:$I$101,0)),"UNMAPPED")</f>
        <v>Mobile Health Screening Unit</v>
      </c>
      <c r="E630" s="1" t="str">
        <f aca="false">IFERROR(INDEX(MAP!$K$7:$K$101,MATCH(TRIM(C630),MAP!$I$7:$I$101,0)),"")</f>
        <v>Access to care</v>
      </c>
      <c r="F630" s="1" t="str">
        <f aca="false">IFERROR(INDEX(MAP!$L$7:$L$101,MATCH(TRIM(C630),MAP!$I$7:$I$101,0)),"")</f>
        <v>Monthly</v>
      </c>
      <c r="G630" s="1" t="n">
        <f aca="false">IFERROR(MATCH(A630,CONFIRM!$A$5:$A$53,0),0)</f>
        <v>0</v>
      </c>
      <c r="H630" s="48" t="str">
        <f aca="false">STACK!F630</f>
        <v>Clinical Svcs</v>
      </c>
      <c r="I630" s="1" t="str">
        <f aca="false">IF(G630&gt;0,IF(INDEX(CONFIRM!$I$5:$I$53,G630)&lt;&gt;"",INDEX(CONFIRM!$I$5:$I$53,G630),H630),H630)</f>
        <v>Clinical Svcs</v>
      </c>
      <c r="J630" s="1" t="str">
        <f aca="false">IFERROR(INDEX(MAP!$F$7:$F$74,MATCH(TRIM(I630),MAP!$E$7:$E$74,0)),"UNMAPPED")</f>
        <v>Community-based clinical services</v>
      </c>
      <c r="K630" s="1" t="str">
        <f aca="false">IFERROR(INDEX(MAP!$G$7:$G$74,MATCH(TRIM(I630),MAP!$E$7:$E$74,0)),"UNMAPPED")</f>
        <v>7e</v>
      </c>
      <c r="L630" s="49" t="str">
        <f aca="false">STACK!G630</f>
        <v>11/30/2025</v>
      </c>
      <c r="M630" s="59" t="n">
        <f aca="false">IF(G630&gt;0,IF(INDEX(CONFIRM!$G$5:$G$53,G630)&lt;&gt;"",INDEX(CONFIRM!$G$5:$G$53,G630),IF(ISNUMBER(L630),L630,IFERROR(DATEVALUE(L630),""))),IF(ISNUMBER(L630),L630,IFERROR(DATEVALUE(L630),"")))</f>
        <v>45991</v>
      </c>
      <c r="N630" s="1" t="str">
        <f aca="false">IF(M630="","Check",IF(AND(M630&gt;=INPUTS!$C$6,M630&lt;=INPUTS!$C$7),"Yes","No"))</f>
        <v>Yes</v>
      </c>
      <c r="O630" s="48" t="str">
        <f aca="false">STACK!H630</f>
        <v>Community Health Worker</v>
      </c>
      <c r="P630" s="1" t="str">
        <f aca="false">IF(G630&gt;0,IF(INDEX(CONFIRM!$H$5:$H$53,G630)&lt;&gt;"",INDEX(CONFIRM!$H$5:$H$53,G630),IFERROR(INDEX(MAP!$B$7:$B$156,MATCH(TRIM(O630),MAP!$A$7:$A$156,0)),"UNMAPPED")),IFERROR(INDEX(MAP!$B$7:$B$156,MATCH(TRIM(O630),MAP!$A$7:$A$156,0)),"UNMAPPED"))</f>
        <v>Community Health Worker</v>
      </c>
      <c r="Q630" s="48" t="n">
        <f aca="false">STACK!I630</f>
        <v>85.5</v>
      </c>
      <c r="R630" s="60" t="n">
        <f aca="false">IF(G630&gt;0,IF(INDEX(CONFIRM!$F$5:$F$53,G630)&lt;&gt;"",INDEX(CONFIRM!$F$5:$F$53,G630),IF(ISNUMBER(Q630),Q630,IF(Q630="","",IFERROR(VALUE(TRIM(SUBSTITUTE(SUBSTITUTE(LOWER(Q630),"hrs",""),"hr",""))),"")))),IF(ISNUMBER(Q630),Q630,IF(Q630="","",IFERROR(VALUE(TRIM(SUBSTITUTE(SUBSTITUTE(LOWER(Q630),"hrs",""),"hr",""))),""))))</f>
        <v>85.5</v>
      </c>
      <c r="S630" s="57" t="n">
        <f aca="false">IFERROR(INDEX(RATES!$E$6:$E$28,MATCH(P630,RATES!$A$6:$A$28,0)),0)</f>
        <v>27.6275</v>
      </c>
      <c r="T630" s="61" t="n">
        <f aca="false">IF(ISNUMBER(R630),R630,0)*S630</f>
        <v>2362.15125</v>
      </c>
      <c r="U630" s="61" t="n">
        <f aca="false">T630*INDEX(INPUTS!$H$10:$H$14,MATCH(B630,INPUTS!$A$10:$A$14,0))</f>
        <v>382.6685025</v>
      </c>
      <c r="V630" s="61" t="n">
        <f aca="false">N(STACK!K630)</f>
        <v>0</v>
      </c>
      <c r="W630" s="61" t="n">
        <f aca="false">T630+U630+V630</f>
        <v>2744.8197525</v>
      </c>
      <c r="X630" s="61" t="n">
        <f aca="false">N(STACK!L630)</f>
        <v>0</v>
      </c>
      <c r="Y630" s="61" t="n">
        <f aca="false">W630-X630</f>
        <v>2744.8197525</v>
      </c>
      <c r="Z630" s="1" t="n">
        <f aca="false">N(STACK!J630)</f>
        <v>0</v>
      </c>
      <c r="AA630" s="1" t="str">
        <f aca="false">TRIM(IF(D630="UNMAPPED","Program not mapped. ","")&amp;IF(OR(K630="UNMAPPED",K630="UNASSIGNED"),"Category needs review. ","")&amp;IF(P630="UNMAPPED","Title not mapped. ","")&amp;IF(AND(P630&lt;&gt;"No staff time",R630=""),"Missing hours. ","")&amp;IF(M630="","Date not readable. ","")&amp;IF(N630="No","Outside fiscal year. ","")&amp;IF(AND(F630="Event",ISNUMBER(R630)),IF(R630&gt;12,"Event hours look high. ",""),"")&amp;IF(G630&gt;0,"See CONFIRM sheet.",""))</f>
        <v/>
      </c>
      <c r="AB630" s="1" t="n">
        <f aca="false">IF(N630="No",0,IF(REVIEW!O630=0,0,IF(G630&gt;0,IF(INDEX(CONFIRM!$J$5:$J$53,G630)&lt;&gt;"",INDEX(CONFIRM!$J$5:$J$53,G630),1),1)))</f>
        <v>1</v>
      </c>
      <c r="AC630" s="1" t="n">
        <f aca="false">IF(AB630=1,IF(COUNTIFS($B$5:B630,B630,$D$5:D630,D630,$AB$5:AB630,1)=1,1,0),0)</f>
        <v>0</v>
      </c>
    </row>
    <row r="631" customFormat="false" ht="15" hidden="false" customHeight="false" outlineLevel="0" collapsed="false">
      <c r="A631" s="48" t="str">
        <f aca="false">STACK!A631</f>
        <v>ASH-0098</v>
      </c>
      <c r="B631" s="48" t="str">
        <f aca="false">STACK!B631</f>
        <v>ASH</v>
      </c>
      <c r="C631" s="48" t="str">
        <f aca="false">STACK!E631</f>
        <v>Mobile Screening Unit</v>
      </c>
      <c r="D631" s="1" t="str">
        <f aca="false">IFERROR(INDEX(MAP!$J$7:$J$101,MATCH(TRIM(C631),MAP!$I$7:$I$101,0)),"UNMAPPED")</f>
        <v>Mobile Health Screening Unit</v>
      </c>
      <c r="E631" s="1" t="str">
        <f aca="false">IFERROR(INDEX(MAP!$K$7:$K$101,MATCH(TRIM(C631),MAP!$I$7:$I$101,0)),"")</f>
        <v>Access to care</v>
      </c>
      <c r="F631" s="1" t="str">
        <f aca="false">IFERROR(INDEX(MAP!$L$7:$L$101,MATCH(TRIM(C631),MAP!$I$7:$I$101,0)),"")</f>
        <v>Monthly</v>
      </c>
      <c r="G631" s="1" t="n">
        <f aca="false">IFERROR(MATCH(A631,CONFIRM!$A$5:$A$53,0),0)</f>
        <v>0</v>
      </c>
      <c r="H631" s="48" t="str">
        <f aca="false">STACK!F631</f>
        <v>Clinical Svcs</v>
      </c>
      <c r="I631" s="1" t="str">
        <f aca="false">IF(G631&gt;0,IF(INDEX(CONFIRM!$I$5:$I$53,G631)&lt;&gt;"",INDEX(CONFIRM!$I$5:$I$53,G631),H631),H631)</f>
        <v>Clinical Svcs</v>
      </c>
      <c r="J631" s="1" t="str">
        <f aca="false">IFERROR(INDEX(MAP!$F$7:$F$74,MATCH(TRIM(I631),MAP!$E$7:$E$74,0)),"UNMAPPED")</f>
        <v>Community-based clinical services</v>
      </c>
      <c r="K631" s="1" t="str">
        <f aca="false">IFERROR(INDEX(MAP!$G$7:$G$74,MATCH(TRIM(I631),MAP!$E$7:$E$74,0)),"UNMAPPED")</f>
        <v>7e</v>
      </c>
      <c r="L631" s="49" t="str">
        <f aca="false">STACK!G631</f>
        <v>11/30/2025</v>
      </c>
      <c r="M631" s="59" t="n">
        <f aca="false">IF(G631&gt;0,IF(INDEX(CONFIRM!$G$5:$G$53,G631)&lt;&gt;"",INDEX(CONFIRM!$G$5:$G$53,G631),IF(ISNUMBER(L631),L631,IFERROR(DATEVALUE(L631),""))),IF(ISNUMBER(L631),L631,IFERROR(DATEVALUE(L631),"")))</f>
        <v>45991</v>
      </c>
      <c r="N631" s="1" t="str">
        <f aca="false">IF(M631="","Check",IF(AND(M631&gt;=INPUTS!$C$6,M631&lt;=INPUTS!$C$7),"Yes","No"))</f>
        <v>Yes</v>
      </c>
      <c r="O631" s="48" t="str">
        <f aca="false">STACK!H631</f>
        <v>Certified Medical Assistant</v>
      </c>
      <c r="P631" s="1" t="str">
        <f aca="false">IF(G631&gt;0,IF(INDEX(CONFIRM!$H$5:$H$53,G631)&lt;&gt;"",INDEX(CONFIRM!$H$5:$H$53,G631),IFERROR(INDEX(MAP!$B$7:$B$156,MATCH(TRIM(O631),MAP!$A$7:$A$156,0)),"UNMAPPED")),IFERROR(INDEX(MAP!$B$7:$B$156,MATCH(TRIM(O631),MAP!$A$7:$A$156,0)),"UNMAPPED"))</f>
        <v>Medical Assistant</v>
      </c>
      <c r="Q631" s="48" t="n">
        <f aca="false">STACK!I631</f>
        <v>95.25</v>
      </c>
      <c r="R631" s="60" t="n">
        <f aca="false">IF(G631&gt;0,IF(INDEX(CONFIRM!$F$5:$F$53,G631)&lt;&gt;"",INDEX(CONFIRM!$F$5:$F$53,G631),IF(ISNUMBER(Q631),Q631,IF(Q631="","",IFERROR(VALUE(TRIM(SUBSTITUTE(SUBSTITUTE(LOWER(Q631),"hrs",""),"hr",""))),"")))),IF(ISNUMBER(Q631),Q631,IF(Q631="","",IFERROR(VALUE(TRIM(SUBSTITUTE(SUBSTITUTE(LOWER(Q631),"hrs",""),"hr",""))),""))))</f>
        <v>95.25</v>
      </c>
      <c r="S631" s="57" t="n">
        <f aca="false">IFERROR(INDEX(RATES!$E$6:$E$28,MATCH(P631,RATES!$A$6:$A$28,0)),0)</f>
        <v>25.37875</v>
      </c>
      <c r="T631" s="61" t="n">
        <f aca="false">IF(ISNUMBER(R631),R631,0)*S631</f>
        <v>2417.3259375</v>
      </c>
      <c r="U631" s="61" t="n">
        <f aca="false">T631*INDEX(INPUTS!$H$10:$H$14,MATCH(B631,INPUTS!$A$10:$A$14,0))</f>
        <v>391.606801875</v>
      </c>
      <c r="V631" s="61" t="n">
        <f aca="false">N(STACK!K631)</f>
        <v>0</v>
      </c>
      <c r="W631" s="61" t="n">
        <f aca="false">T631+U631+V631</f>
        <v>2808.932739375</v>
      </c>
      <c r="X631" s="61" t="n">
        <f aca="false">N(STACK!L631)</f>
        <v>0</v>
      </c>
      <c r="Y631" s="61" t="n">
        <f aca="false">W631-X631</f>
        <v>2808.932739375</v>
      </c>
      <c r="Z631" s="1" t="n">
        <f aca="false">N(STACK!J631)</f>
        <v>0</v>
      </c>
      <c r="AA631" s="1" t="str">
        <f aca="false">TRIM(IF(D631="UNMAPPED","Program not mapped. ","")&amp;IF(OR(K631="UNMAPPED",K631="UNASSIGNED"),"Category needs review. ","")&amp;IF(P631="UNMAPPED","Title not mapped. ","")&amp;IF(AND(P631&lt;&gt;"No staff time",R631=""),"Missing hours. ","")&amp;IF(M631="","Date not readable. ","")&amp;IF(N631="No","Outside fiscal year. ","")&amp;IF(AND(F631="Event",ISNUMBER(R631)),IF(R631&gt;12,"Event hours look high. ",""),"")&amp;IF(G631&gt;0,"See CONFIRM sheet.",""))</f>
        <v/>
      </c>
      <c r="AB631" s="1" t="n">
        <f aca="false">IF(N631="No",0,IF(REVIEW!O631=0,0,IF(G631&gt;0,IF(INDEX(CONFIRM!$J$5:$J$53,G631)&lt;&gt;"",INDEX(CONFIRM!$J$5:$J$53,G631),1),1)))</f>
        <v>1</v>
      </c>
      <c r="AC631" s="1" t="n">
        <f aca="false">IF(AB631=1,IF(COUNTIFS($B$5:B631,B631,$D$5:D631,D631,$AB$5:AB631,1)=1,1,0),0)</f>
        <v>0</v>
      </c>
    </row>
    <row r="632" customFormat="false" ht="15" hidden="false" customHeight="false" outlineLevel="0" collapsed="false">
      <c r="A632" s="48" t="str">
        <f aca="false">STACK!A632</f>
        <v>ASH-0099</v>
      </c>
      <c r="B632" s="48" t="str">
        <f aca="false">STACK!B632</f>
        <v>ASH</v>
      </c>
      <c r="C632" s="48" t="str">
        <f aca="false">STACK!E632</f>
        <v>Mobile Screening Unit</v>
      </c>
      <c r="D632" s="1" t="str">
        <f aca="false">IFERROR(INDEX(MAP!$J$7:$J$101,MATCH(TRIM(C632),MAP!$I$7:$I$101,0)),"UNMAPPED")</f>
        <v>Mobile Health Screening Unit</v>
      </c>
      <c r="E632" s="1" t="str">
        <f aca="false">IFERROR(INDEX(MAP!$K$7:$K$101,MATCH(TRIM(C632),MAP!$I$7:$I$101,0)),"")</f>
        <v>Access to care</v>
      </c>
      <c r="F632" s="1" t="str">
        <f aca="false">IFERROR(INDEX(MAP!$L$7:$L$101,MATCH(TRIM(C632),MAP!$I$7:$I$101,0)),"")</f>
        <v>Monthly</v>
      </c>
      <c r="G632" s="1" t="n">
        <f aca="false">IFERROR(MATCH(A632,CONFIRM!$A$5:$A$53,0),0)</f>
        <v>0</v>
      </c>
      <c r="H632" s="48" t="str">
        <f aca="false">STACK!F632</f>
        <v>Clinical Svcs</v>
      </c>
      <c r="I632" s="1" t="str">
        <f aca="false">IF(G632&gt;0,IF(INDEX(CONFIRM!$I$5:$I$53,G632)&lt;&gt;"",INDEX(CONFIRM!$I$5:$I$53,G632),H632),H632)</f>
        <v>Clinical Svcs</v>
      </c>
      <c r="J632" s="1" t="str">
        <f aca="false">IFERROR(INDEX(MAP!$F$7:$F$74,MATCH(TRIM(I632),MAP!$E$7:$E$74,0)),"UNMAPPED")</f>
        <v>Community-based clinical services</v>
      </c>
      <c r="K632" s="1" t="str">
        <f aca="false">IFERROR(INDEX(MAP!$G$7:$G$74,MATCH(TRIM(I632),MAP!$E$7:$E$74,0)),"UNMAPPED")</f>
        <v>7e</v>
      </c>
      <c r="L632" s="49" t="str">
        <f aca="false">STACK!G632</f>
        <v>11/30/2025</v>
      </c>
      <c r="M632" s="59" t="n">
        <f aca="false">IF(G632&gt;0,IF(INDEX(CONFIRM!$G$5:$G$53,G632)&lt;&gt;"",INDEX(CONFIRM!$G$5:$G$53,G632),IF(ISNUMBER(L632),L632,IFERROR(DATEVALUE(L632),""))),IF(ISNUMBER(L632),L632,IFERROR(DATEVALUE(L632),"")))</f>
        <v>45991</v>
      </c>
      <c r="N632" s="1" t="str">
        <f aca="false">IF(M632="","Check",IF(AND(M632&gt;=INPUTS!$C$6,M632&lt;=INPUTS!$C$7),"Yes","No"))</f>
        <v>Yes</v>
      </c>
      <c r="O632" s="48" t="str">
        <f aca="false">STACK!H632</f>
        <v>RN</v>
      </c>
      <c r="P632" s="1" t="str">
        <f aca="false">IF(G632&gt;0,IF(INDEX(CONFIRM!$H$5:$H$53,G632)&lt;&gt;"",INDEX(CONFIRM!$H$5:$H$53,G632),IFERROR(INDEX(MAP!$B$7:$B$156,MATCH(TRIM(O632),MAP!$A$7:$A$156,0)),"UNMAPPED")),IFERROR(INDEX(MAP!$B$7:$B$156,MATCH(TRIM(O632),MAP!$A$7:$A$156,0)),"UNMAPPED"))</f>
        <v>Registered Nurse</v>
      </c>
      <c r="Q632" s="48" t="n">
        <f aca="false">STACK!I632</f>
        <v>108.75</v>
      </c>
      <c r="R632" s="60" t="n">
        <f aca="false">IF(G632&gt;0,IF(INDEX(CONFIRM!$F$5:$F$53,G632)&lt;&gt;"",INDEX(CONFIRM!$F$5:$F$53,G632),IF(ISNUMBER(Q632),Q632,IF(Q632="","",IFERROR(VALUE(TRIM(SUBSTITUTE(SUBSTITUTE(LOWER(Q632),"hrs",""),"hr",""))),"")))),IF(ISNUMBER(Q632),Q632,IF(Q632="","",IFERROR(VALUE(TRIM(SUBSTITUTE(SUBSTITUTE(LOWER(Q632),"hrs",""),"hr",""))),""))))</f>
        <v>108.75</v>
      </c>
      <c r="S632" s="57" t="n">
        <f aca="false">IFERROR(INDEX(RATES!$E$6:$E$28,MATCH(P632,RATES!$A$6:$A$28,0)),0)</f>
        <v>55.8975</v>
      </c>
      <c r="T632" s="61" t="n">
        <f aca="false">IF(ISNUMBER(R632),R632,0)*S632</f>
        <v>6078.853125</v>
      </c>
      <c r="U632" s="61" t="n">
        <f aca="false">T632*INDEX(INPUTS!$H$10:$H$14,MATCH(B632,INPUTS!$A$10:$A$14,0))</f>
        <v>984.77420625</v>
      </c>
      <c r="V632" s="61" t="n">
        <f aca="false">N(STACK!K632)</f>
        <v>6465</v>
      </c>
      <c r="W632" s="61" t="n">
        <f aca="false">T632+U632+V632</f>
        <v>13528.62733125</v>
      </c>
      <c r="X632" s="61" t="n">
        <f aca="false">N(STACK!L632)</f>
        <v>0</v>
      </c>
      <c r="Y632" s="61" t="n">
        <f aca="false">W632-X632</f>
        <v>13528.62733125</v>
      </c>
      <c r="Z632" s="1" t="n">
        <f aca="false">N(STACK!J632)</f>
        <v>145</v>
      </c>
      <c r="AA632" s="1" t="str">
        <f aca="false">TRIM(IF(D632="UNMAPPED","Program not mapped. ","")&amp;IF(OR(K632="UNMAPPED",K632="UNASSIGNED"),"Category needs review. ","")&amp;IF(P632="UNMAPPED","Title not mapped. ","")&amp;IF(AND(P632&lt;&gt;"No staff time",R632=""),"Missing hours. ","")&amp;IF(M632="","Date not readable. ","")&amp;IF(N632="No","Outside fiscal year. ","")&amp;IF(AND(F632="Event",ISNUMBER(R632)),IF(R632&gt;12,"Event hours look high. ",""),"")&amp;IF(G632&gt;0,"See CONFIRM sheet.",""))</f>
        <v/>
      </c>
      <c r="AB632" s="1" t="n">
        <f aca="false">IF(N632="No",0,IF(REVIEW!O632=0,0,IF(G632&gt;0,IF(INDEX(CONFIRM!$J$5:$J$53,G632)&lt;&gt;"",INDEX(CONFIRM!$J$5:$J$53,G632),1),1)))</f>
        <v>1</v>
      </c>
      <c r="AC632" s="1" t="n">
        <f aca="false">IF(AB632=1,IF(COUNTIFS($B$5:B632,B632,$D$5:D632,D632,$AB$5:AB632,1)=1,1,0),0)</f>
        <v>0</v>
      </c>
    </row>
    <row r="633" customFormat="false" ht="15" hidden="false" customHeight="false" outlineLevel="0" collapsed="false">
      <c r="A633" s="48" t="str">
        <f aca="false">STACK!A633</f>
        <v>ASH-0100</v>
      </c>
      <c r="B633" s="48" t="str">
        <f aca="false">STACK!B633</f>
        <v>ASH</v>
      </c>
      <c r="C633" s="48" t="str">
        <f aca="false">STACK!E633</f>
        <v>CHW Outreach</v>
      </c>
      <c r="D633" s="1" t="str">
        <f aca="false">IFERROR(INDEX(MAP!$J$7:$J$101,MATCH(TRIM(C633),MAP!$I$7:$I$101,0)),"UNMAPPED")</f>
        <v>Community Health Worker Outreach</v>
      </c>
      <c r="E633" s="1" t="str">
        <f aca="false">IFERROR(INDEX(MAP!$K$7:$K$101,MATCH(TRIM(C633),MAP!$I$7:$I$101,0)),"")</f>
        <v>Access to care</v>
      </c>
      <c r="F633" s="1" t="str">
        <f aca="false">IFERROR(INDEX(MAP!$L$7:$L$101,MATCH(TRIM(C633),MAP!$I$7:$I$101,0)),"")</f>
        <v>Monthly</v>
      </c>
      <c r="G633" s="1" t="n">
        <f aca="false">IFERROR(MATCH(A633,CONFIRM!$A$5:$A$53,0),0)</f>
        <v>0</v>
      </c>
      <c r="H633" s="48" t="str">
        <f aca="false">STACK!F633</f>
        <v>Support Svcs</v>
      </c>
      <c r="I633" s="1" t="str">
        <f aca="false">IF(G633&gt;0,IF(INDEX(CONFIRM!$I$5:$I$53,G633)&lt;&gt;"",INDEX(CONFIRM!$I$5:$I$53,G633),H633),H633)</f>
        <v>Support Svcs</v>
      </c>
      <c r="J633" s="1" t="str">
        <f aca="false">IFERROR(INDEX(MAP!$F$7:$F$74,MATCH(TRIM(I633),MAP!$E$7:$E$74,0)),"UNMAPPED")</f>
        <v>Health care support services</v>
      </c>
      <c r="K633" s="1" t="str">
        <f aca="false">IFERROR(INDEX(MAP!$G$7:$G$74,MATCH(TRIM(I633),MAP!$E$7:$E$74,0)),"UNMAPPED")</f>
        <v>7e</v>
      </c>
      <c r="L633" s="49" t="str">
        <f aca="false">STACK!G633</f>
        <v>11/30/2025</v>
      </c>
      <c r="M633" s="59" t="n">
        <f aca="false">IF(G633&gt;0,IF(INDEX(CONFIRM!$G$5:$G$53,G633)&lt;&gt;"",INDEX(CONFIRM!$G$5:$G$53,G633),IF(ISNUMBER(L633),L633,IFERROR(DATEVALUE(L633),""))),IF(ISNUMBER(L633),L633,IFERROR(DATEVALUE(L633),"")))</f>
        <v>45991</v>
      </c>
      <c r="N633" s="1" t="str">
        <f aca="false">IF(M633="","Check",IF(AND(M633&gt;=INPUTS!$C$6,M633&lt;=INPUTS!$C$7),"Yes","No"))</f>
        <v>Yes</v>
      </c>
      <c r="O633" s="48" t="str">
        <f aca="false">STACK!H633</f>
        <v>CHW</v>
      </c>
      <c r="P633" s="1" t="str">
        <f aca="false">IF(G633&gt;0,IF(INDEX(CONFIRM!$H$5:$H$53,G633)&lt;&gt;"",INDEX(CONFIRM!$H$5:$H$53,G633),IFERROR(INDEX(MAP!$B$7:$B$156,MATCH(TRIM(O633),MAP!$A$7:$A$156,0)),"UNMAPPED")),IFERROR(INDEX(MAP!$B$7:$B$156,MATCH(TRIM(O633),MAP!$A$7:$A$156,0)),"UNMAPPED"))</f>
        <v>Community Health Worker</v>
      </c>
      <c r="Q633" s="48" t="n">
        <f aca="false">STACK!I633</f>
        <v>347.5</v>
      </c>
      <c r="R633" s="60" t="n">
        <f aca="false">IF(G633&gt;0,IF(INDEX(CONFIRM!$F$5:$F$53,G633)&lt;&gt;"",INDEX(CONFIRM!$F$5:$F$53,G633),IF(ISNUMBER(Q633),Q633,IF(Q633="","",IFERROR(VALUE(TRIM(SUBSTITUTE(SUBSTITUTE(LOWER(Q633),"hrs",""),"hr",""))),"")))),IF(ISNUMBER(Q633),Q633,IF(Q633="","",IFERROR(VALUE(TRIM(SUBSTITUTE(SUBSTITUTE(LOWER(Q633),"hrs",""),"hr",""))),""))))</f>
        <v>347.5</v>
      </c>
      <c r="S633" s="57" t="n">
        <f aca="false">IFERROR(INDEX(RATES!$E$6:$E$28,MATCH(P633,RATES!$A$6:$A$28,0)),0)</f>
        <v>27.6275</v>
      </c>
      <c r="T633" s="61" t="n">
        <f aca="false">IF(ISNUMBER(R633),R633,0)*S633</f>
        <v>9600.55625</v>
      </c>
      <c r="U633" s="61" t="n">
        <f aca="false">T633*INDEX(INPUTS!$H$10:$H$14,MATCH(B633,INPUTS!$A$10:$A$14,0))</f>
        <v>1555.2901125</v>
      </c>
      <c r="V633" s="61" t="n">
        <f aca="false">N(STACK!K633)</f>
        <v>1530</v>
      </c>
      <c r="W633" s="61" t="n">
        <f aca="false">T633+U633+V633</f>
        <v>12685.8463625</v>
      </c>
      <c r="X633" s="61" t="n">
        <f aca="false">N(STACK!L633)</f>
        <v>0</v>
      </c>
      <c r="Y633" s="61" t="n">
        <f aca="false">W633-X633</f>
        <v>12685.8463625</v>
      </c>
      <c r="Z633" s="1" t="n">
        <f aca="false">N(STACK!J633)</f>
        <v>408</v>
      </c>
      <c r="AA633" s="1" t="str">
        <f aca="false">TRIM(IF(D633="UNMAPPED","Program not mapped. ","")&amp;IF(OR(K633="UNMAPPED",K633="UNASSIGNED"),"Category needs review. ","")&amp;IF(P633="UNMAPPED","Title not mapped. ","")&amp;IF(AND(P633&lt;&gt;"No staff time",R633=""),"Missing hours. ","")&amp;IF(M633="","Date not readable. ","")&amp;IF(N633="No","Outside fiscal year. ","")&amp;IF(AND(F633="Event",ISNUMBER(R633)),IF(R633&gt;12,"Event hours look high. ",""),"")&amp;IF(G633&gt;0,"See CONFIRM sheet.",""))</f>
        <v/>
      </c>
      <c r="AB633" s="1" t="n">
        <f aca="false">IF(N633="No",0,IF(REVIEW!O633=0,0,IF(G633&gt;0,IF(INDEX(CONFIRM!$J$5:$J$53,G633)&lt;&gt;"",INDEX(CONFIRM!$J$5:$J$53,G633),1),1)))</f>
        <v>1</v>
      </c>
      <c r="AC633" s="1" t="n">
        <f aca="false">IF(AB633=1,IF(COUNTIFS($B$5:B633,B633,$D$5:D633,D633,$AB$5:AB633,1)=1,1,0),0)</f>
        <v>0</v>
      </c>
    </row>
    <row r="634" customFormat="false" ht="15" hidden="false" customHeight="false" outlineLevel="0" collapsed="false">
      <c r="A634" s="48" t="str">
        <f aca="false">STACK!A634</f>
        <v>ASH-0101</v>
      </c>
      <c r="B634" s="48" t="str">
        <f aca="false">STACK!B634</f>
        <v>ASH</v>
      </c>
      <c r="C634" s="48" t="str">
        <f aca="false">STACK!E634</f>
        <v>CHW Outreach</v>
      </c>
      <c r="D634" s="1" t="str">
        <f aca="false">IFERROR(INDEX(MAP!$J$7:$J$101,MATCH(TRIM(C634),MAP!$I$7:$I$101,0)),"UNMAPPED")</f>
        <v>Community Health Worker Outreach</v>
      </c>
      <c r="E634" s="1" t="str">
        <f aca="false">IFERROR(INDEX(MAP!$K$7:$K$101,MATCH(TRIM(C634),MAP!$I$7:$I$101,0)),"")</f>
        <v>Access to care</v>
      </c>
      <c r="F634" s="1" t="str">
        <f aca="false">IFERROR(INDEX(MAP!$L$7:$L$101,MATCH(TRIM(C634),MAP!$I$7:$I$101,0)),"")</f>
        <v>Monthly</v>
      </c>
      <c r="G634" s="1" t="n">
        <f aca="false">IFERROR(MATCH(A634,CONFIRM!$A$5:$A$53,0),0)</f>
        <v>0</v>
      </c>
      <c r="H634" s="48" t="str">
        <f aca="false">STACK!F634</f>
        <v>Support Svcs</v>
      </c>
      <c r="I634" s="1" t="str">
        <f aca="false">IF(G634&gt;0,IF(INDEX(CONFIRM!$I$5:$I$53,G634)&lt;&gt;"",INDEX(CONFIRM!$I$5:$I$53,G634),H634),H634)</f>
        <v>Support Svcs</v>
      </c>
      <c r="J634" s="1" t="str">
        <f aca="false">IFERROR(INDEX(MAP!$F$7:$F$74,MATCH(TRIM(I634),MAP!$E$7:$E$74,0)),"UNMAPPED")</f>
        <v>Health care support services</v>
      </c>
      <c r="K634" s="1" t="str">
        <f aca="false">IFERROR(INDEX(MAP!$G$7:$G$74,MATCH(TRIM(I634),MAP!$E$7:$E$74,0)),"UNMAPPED")</f>
        <v>7e</v>
      </c>
      <c r="L634" s="49" t="str">
        <f aca="false">STACK!G634</f>
        <v>11/30/2025</v>
      </c>
      <c r="M634" s="59" t="n">
        <f aca="false">IF(G634&gt;0,IF(INDEX(CONFIRM!$G$5:$G$53,G634)&lt;&gt;"",INDEX(CONFIRM!$G$5:$G$53,G634),IF(ISNUMBER(L634),L634,IFERROR(DATEVALUE(L634),""))),IF(ISNUMBER(L634),L634,IFERROR(DATEVALUE(L634),"")))</f>
        <v>45991</v>
      </c>
      <c r="N634" s="1" t="str">
        <f aca="false">IF(M634="","Check",IF(AND(M634&gt;=INPUTS!$C$6,M634&lt;=INPUTS!$C$7),"Yes","No"))</f>
        <v>Yes</v>
      </c>
      <c r="O634" s="48" t="str">
        <f aca="false">STACK!H634</f>
        <v>Navigator</v>
      </c>
      <c r="P634" s="1" t="str">
        <f aca="false">IF(G634&gt;0,IF(INDEX(CONFIRM!$H$5:$H$53,G634)&lt;&gt;"",INDEX(CONFIRM!$H$5:$H$53,G634),IFERROR(INDEX(MAP!$B$7:$B$156,MATCH(TRIM(O634),MAP!$A$7:$A$156,0)),"UNMAPPED")),IFERROR(INDEX(MAP!$B$7:$B$156,MATCH(TRIM(O634),MAP!$A$7:$A$156,0)),"UNMAPPED"))</f>
        <v>Patient Navigator</v>
      </c>
      <c r="Q634" s="48" t="n">
        <f aca="false">STACK!I634</f>
        <v>152</v>
      </c>
      <c r="R634" s="60" t="n">
        <f aca="false">IF(G634&gt;0,IF(INDEX(CONFIRM!$F$5:$F$53,G634)&lt;&gt;"",INDEX(CONFIRM!$F$5:$F$53,G634),IF(ISNUMBER(Q634),Q634,IF(Q634="","",IFERROR(VALUE(TRIM(SUBSTITUTE(SUBSTITUTE(LOWER(Q634),"hrs",""),"hr",""))),"")))),IF(ISNUMBER(Q634),Q634,IF(Q634="","",IFERROR(VALUE(TRIM(SUBSTITUTE(SUBSTITUTE(LOWER(Q634),"hrs",""),"hr",""))),""))))</f>
        <v>152</v>
      </c>
      <c r="S634" s="57" t="n">
        <f aca="false">IFERROR(INDEX(RATES!$E$6:$E$28,MATCH(P634,RATES!$A$6:$A$28,0)),0)</f>
        <v>30.84</v>
      </c>
      <c r="T634" s="61" t="n">
        <f aca="false">IF(ISNUMBER(R634),R634,0)*S634</f>
        <v>4687.68</v>
      </c>
      <c r="U634" s="61" t="n">
        <f aca="false">T634*INDEX(INPUTS!$H$10:$H$14,MATCH(B634,INPUTS!$A$10:$A$14,0))</f>
        <v>759.40416</v>
      </c>
      <c r="V634" s="61" t="n">
        <f aca="false">N(STACK!K634)</f>
        <v>0</v>
      </c>
      <c r="W634" s="61" t="n">
        <f aca="false">T634+U634+V634</f>
        <v>5447.08416</v>
      </c>
      <c r="X634" s="61" t="n">
        <f aca="false">N(STACK!L634)</f>
        <v>0</v>
      </c>
      <c r="Y634" s="61" t="n">
        <f aca="false">W634-X634</f>
        <v>5447.08416</v>
      </c>
      <c r="Z634" s="1" t="n">
        <f aca="false">N(STACK!J634)</f>
        <v>0</v>
      </c>
      <c r="AA634" s="1" t="str">
        <f aca="false">TRIM(IF(D634="UNMAPPED","Program not mapped. ","")&amp;IF(OR(K634="UNMAPPED",K634="UNASSIGNED"),"Category needs review. ","")&amp;IF(P634="UNMAPPED","Title not mapped. ","")&amp;IF(AND(P634&lt;&gt;"No staff time",R634=""),"Missing hours. ","")&amp;IF(M634="","Date not readable. ","")&amp;IF(N634="No","Outside fiscal year. ","")&amp;IF(AND(F634="Event",ISNUMBER(R634)),IF(R634&gt;12,"Event hours look high. ",""),"")&amp;IF(G634&gt;0,"See CONFIRM sheet.",""))</f>
        <v/>
      </c>
      <c r="AB634" s="1" t="n">
        <f aca="false">IF(N634="No",0,IF(REVIEW!O634=0,0,IF(G634&gt;0,IF(INDEX(CONFIRM!$J$5:$J$53,G634)&lt;&gt;"",INDEX(CONFIRM!$J$5:$J$53,G634),1),1)))</f>
        <v>1</v>
      </c>
      <c r="AC634" s="1" t="n">
        <f aca="false">IF(AB634=1,IF(COUNTIFS($B$5:B634,B634,$D$5:D634,D634,$AB$5:AB634,1)=1,1,0),0)</f>
        <v>0</v>
      </c>
    </row>
    <row r="635" customFormat="false" ht="15" hidden="false" customHeight="false" outlineLevel="0" collapsed="false">
      <c r="A635" s="48" t="str">
        <f aca="false">STACK!A635</f>
        <v>ASH-0102</v>
      </c>
      <c r="B635" s="48" t="str">
        <f aca="false">STACK!B635</f>
        <v>ASH</v>
      </c>
      <c r="C635" s="48" t="str">
        <f aca="false">STACK!E635</f>
        <v>Produce Rx</v>
      </c>
      <c r="D635" s="1" t="str">
        <f aca="false">IFERROR(INDEX(MAP!$J$7:$J$101,MATCH(TRIM(C635),MAP!$I$7:$I$101,0)),"UNMAPPED")</f>
        <v>Produce Prescription Program</v>
      </c>
      <c r="E635" s="1" t="str">
        <f aca="false">IFERROR(INDEX(MAP!$K$7:$K$101,MATCH(TRIM(C635),MAP!$I$7:$I$101,0)),"")</f>
        <v>Food and housing security</v>
      </c>
      <c r="F635" s="1" t="str">
        <f aca="false">IFERROR(INDEX(MAP!$L$7:$L$101,MATCH(TRIM(C635),MAP!$I$7:$I$101,0)),"")</f>
        <v>Monthly</v>
      </c>
      <c r="G635" s="1" t="n">
        <f aca="false">IFERROR(MATCH(A635,CONFIRM!$A$5:$A$53,0),0)</f>
        <v>0</v>
      </c>
      <c r="H635" s="48" t="str">
        <f aca="false">STACK!F635</f>
        <v>Support Svcs</v>
      </c>
      <c r="I635" s="1" t="str">
        <f aca="false">IF(G635&gt;0,IF(INDEX(CONFIRM!$I$5:$I$53,G635)&lt;&gt;"",INDEX(CONFIRM!$I$5:$I$53,G635),H635),H635)</f>
        <v>Support Svcs</v>
      </c>
      <c r="J635" s="1" t="str">
        <f aca="false">IFERROR(INDEX(MAP!$F$7:$F$74,MATCH(TRIM(I635),MAP!$E$7:$E$74,0)),"UNMAPPED")</f>
        <v>Health care support services</v>
      </c>
      <c r="K635" s="1" t="str">
        <f aca="false">IFERROR(INDEX(MAP!$G$7:$G$74,MATCH(TRIM(I635),MAP!$E$7:$E$74,0)),"UNMAPPED")</f>
        <v>7e</v>
      </c>
      <c r="L635" s="49" t="str">
        <f aca="false">STACK!G635</f>
        <v>11/30/2025</v>
      </c>
      <c r="M635" s="59" t="n">
        <f aca="false">IF(G635&gt;0,IF(INDEX(CONFIRM!$G$5:$G$53,G635)&lt;&gt;"",INDEX(CONFIRM!$G$5:$G$53,G635),IF(ISNUMBER(L635),L635,IFERROR(DATEVALUE(L635),""))),IF(ISNUMBER(L635),L635,IFERROR(DATEVALUE(L635),"")))</f>
        <v>45991</v>
      </c>
      <c r="N635" s="1" t="str">
        <f aca="false">IF(M635="","Check",IF(AND(M635&gt;=INPUTS!$C$6,M635&lt;=INPUTS!$C$7),"Yes","No"))</f>
        <v>Yes</v>
      </c>
      <c r="O635" s="48" t="str">
        <f aca="false">STACK!H635</f>
        <v>CHW II</v>
      </c>
      <c r="P635" s="1" t="str">
        <f aca="false">IF(G635&gt;0,IF(INDEX(CONFIRM!$H$5:$H$53,G635)&lt;&gt;"",INDEX(CONFIRM!$H$5:$H$53,G635),IFERROR(INDEX(MAP!$B$7:$B$156,MATCH(TRIM(O635),MAP!$A$7:$A$156,0)),"UNMAPPED")),IFERROR(INDEX(MAP!$B$7:$B$156,MATCH(TRIM(O635),MAP!$A$7:$A$156,0)),"UNMAPPED"))</f>
        <v>Community Health Worker</v>
      </c>
      <c r="Q635" s="48" t="n">
        <f aca="false">STACK!I635</f>
        <v>62.25</v>
      </c>
      <c r="R635" s="60" t="n">
        <f aca="false">IF(G635&gt;0,IF(INDEX(CONFIRM!$F$5:$F$53,G635)&lt;&gt;"",INDEX(CONFIRM!$F$5:$F$53,G635),IF(ISNUMBER(Q635),Q635,IF(Q635="","",IFERROR(VALUE(TRIM(SUBSTITUTE(SUBSTITUTE(LOWER(Q635),"hrs",""),"hr",""))),"")))),IF(ISNUMBER(Q635),Q635,IF(Q635="","",IFERROR(VALUE(TRIM(SUBSTITUTE(SUBSTITUTE(LOWER(Q635),"hrs",""),"hr",""))),""))))</f>
        <v>62.25</v>
      </c>
      <c r="S635" s="57" t="n">
        <f aca="false">IFERROR(INDEX(RATES!$E$6:$E$28,MATCH(P635,RATES!$A$6:$A$28,0)),0)</f>
        <v>27.6275</v>
      </c>
      <c r="T635" s="61" t="n">
        <f aca="false">IF(ISNUMBER(R635),R635,0)*S635</f>
        <v>1719.811875</v>
      </c>
      <c r="U635" s="61" t="n">
        <f aca="false">T635*INDEX(INPUTS!$H$10:$H$14,MATCH(B635,INPUTS!$A$10:$A$14,0))</f>
        <v>278.60952375</v>
      </c>
      <c r="V635" s="61" t="n">
        <f aca="false">N(STACK!K635)</f>
        <v>0</v>
      </c>
      <c r="W635" s="61" t="n">
        <f aca="false">T635+U635+V635</f>
        <v>1998.42139875</v>
      </c>
      <c r="X635" s="61" t="n">
        <f aca="false">N(STACK!L635)</f>
        <v>0</v>
      </c>
      <c r="Y635" s="61" t="n">
        <f aca="false">W635-X635</f>
        <v>1998.42139875</v>
      </c>
      <c r="Z635" s="1" t="n">
        <f aca="false">N(STACK!J635)</f>
        <v>0</v>
      </c>
      <c r="AA635" s="1" t="str">
        <f aca="false">TRIM(IF(D635="UNMAPPED","Program not mapped. ","")&amp;IF(OR(K635="UNMAPPED",K635="UNASSIGNED"),"Category needs review. ","")&amp;IF(P635="UNMAPPED","Title not mapped. ","")&amp;IF(AND(P635&lt;&gt;"No staff time",R635=""),"Missing hours. ","")&amp;IF(M635="","Date not readable. ","")&amp;IF(N635="No","Outside fiscal year. ","")&amp;IF(AND(F635="Event",ISNUMBER(R635)),IF(R635&gt;12,"Event hours look high. ",""),"")&amp;IF(G635&gt;0,"See CONFIRM sheet.",""))</f>
        <v/>
      </c>
      <c r="AB635" s="1" t="n">
        <f aca="false">IF(N635="No",0,IF(REVIEW!O635=0,0,IF(G635&gt;0,IF(INDEX(CONFIRM!$J$5:$J$53,G635)&lt;&gt;"",INDEX(CONFIRM!$J$5:$J$53,G635),1),1)))</f>
        <v>1</v>
      </c>
      <c r="AC635" s="1" t="n">
        <f aca="false">IF(AB635=1,IF(COUNTIFS($B$5:B635,B635,$D$5:D635,D635,$AB$5:AB635,1)=1,1,0),0)</f>
        <v>0</v>
      </c>
    </row>
    <row r="636" customFormat="false" ht="15" hidden="false" customHeight="false" outlineLevel="0" collapsed="false">
      <c r="A636" s="48" t="str">
        <f aca="false">STACK!A636</f>
        <v>ASH-0103</v>
      </c>
      <c r="B636" s="48" t="str">
        <f aca="false">STACK!B636</f>
        <v>ASH</v>
      </c>
      <c r="C636" s="48" t="str">
        <f aca="false">STACK!E636</f>
        <v>Produce Rx</v>
      </c>
      <c r="D636" s="1" t="str">
        <f aca="false">IFERROR(INDEX(MAP!$J$7:$J$101,MATCH(TRIM(C636),MAP!$I$7:$I$101,0)),"UNMAPPED")</f>
        <v>Produce Prescription Program</v>
      </c>
      <c r="E636" s="1" t="str">
        <f aca="false">IFERROR(INDEX(MAP!$K$7:$K$101,MATCH(TRIM(C636),MAP!$I$7:$I$101,0)),"")</f>
        <v>Food and housing security</v>
      </c>
      <c r="F636" s="1" t="str">
        <f aca="false">IFERROR(INDEX(MAP!$L$7:$L$101,MATCH(TRIM(C636),MAP!$I$7:$I$101,0)),"")</f>
        <v>Monthly</v>
      </c>
      <c r="G636" s="1" t="n">
        <f aca="false">IFERROR(MATCH(A636,CONFIRM!$A$5:$A$53,0),0)</f>
        <v>0</v>
      </c>
      <c r="H636" s="48" t="str">
        <f aca="false">STACK!F636</f>
        <v>Support Svcs</v>
      </c>
      <c r="I636" s="1" t="str">
        <f aca="false">IF(G636&gt;0,IF(INDEX(CONFIRM!$I$5:$I$53,G636)&lt;&gt;"",INDEX(CONFIRM!$I$5:$I$53,G636),H636),H636)</f>
        <v>Support Svcs</v>
      </c>
      <c r="J636" s="1" t="str">
        <f aca="false">IFERROR(INDEX(MAP!$F$7:$F$74,MATCH(TRIM(I636),MAP!$E$7:$E$74,0)),"UNMAPPED")</f>
        <v>Health care support services</v>
      </c>
      <c r="K636" s="1" t="str">
        <f aca="false">IFERROR(INDEX(MAP!$G$7:$G$74,MATCH(TRIM(I636),MAP!$E$7:$E$74,0)),"UNMAPPED")</f>
        <v>7e</v>
      </c>
      <c r="L636" s="49" t="str">
        <f aca="false">STACK!G636</f>
        <v>11/30/2025</v>
      </c>
      <c r="M636" s="59" t="n">
        <f aca="false">IF(G636&gt;0,IF(INDEX(CONFIRM!$G$5:$G$53,G636)&lt;&gt;"",INDEX(CONFIRM!$G$5:$G$53,G636),IF(ISNUMBER(L636),L636,IFERROR(DATEVALUE(L636),""))),IF(ISNUMBER(L636),L636,IFERROR(DATEVALUE(L636),"")))</f>
        <v>45991</v>
      </c>
      <c r="N636" s="1" t="str">
        <f aca="false">IF(M636="","Check",IF(AND(M636&gt;=INPUTS!$C$6,M636&lt;=INPUTS!$C$7),"Yes","No"))</f>
        <v>Yes</v>
      </c>
      <c r="O636" s="48" t="str">
        <f aca="false">STACK!H636</f>
        <v>Clinical Dietitian</v>
      </c>
      <c r="P636" s="1" t="str">
        <f aca="false">IF(G636&gt;0,IF(INDEX(CONFIRM!$H$5:$H$53,G636)&lt;&gt;"",INDEX(CONFIRM!$H$5:$H$53,G636),IFERROR(INDEX(MAP!$B$7:$B$156,MATCH(TRIM(O636),MAP!$A$7:$A$156,0)),"UNMAPPED")),IFERROR(INDEX(MAP!$B$7:$B$156,MATCH(TRIM(O636),MAP!$A$7:$A$156,0)),"UNMAPPED"))</f>
        <v>Registered Dietitian</v>
      </c>
      <c r="Q636" s="48" t="n">
        <f aca="false">STACK!I636</f>
        <v>29.75</v>
      </c>
      <c r="R636" s="60" t="n">
        <f aca="false">IF(G636&gt;0,IF(INDEX(CONFIRM!$F$5:$F$53,G636)&lt;&gt;"",INDEX(CONFIRM!$F$5:$F$53,G636),IF(ISNUMBER(Q636),Q636,IF(Q636="","",IFERROR(VALUE(TRIM(SUBSTITUTE(SUBSTITUTE(LOWER(Q636),"hrs",""),"hr",""))),"")))),IF(ISNUMBER(Q636),Q636,IF(Q636="","",IFERROR(VALUE(TRIM(SUBSTITUTE(SUBSTITUTE(LOWER(Q636),"hrs",""),"hr",""))),""))))</f>
        <v>29.75</v>
      </c>
      <c r="S636" s="57" t="n">
        <f aca="false">IFERROR(INDEX(RATES!$E$6:$E$28,MATCH(P636,RATES!$A$6:$A$28,0)),0)</f>
        <v>46.9025</v>
      </c>
      <c r="T636" s="61" t="n">
        <f aca="false">IF(ISNUMBER(R636),R636,0)*S636</f>
        <v>1395.349375</v>
      </c>
      <c r="U636" s="61" t="n">
        <f aca="false">T636*INDEX(INPUTS!$H$10:$H$14,MATCH(B636,INPUTS!$A$10:$A$14,0))</f>
        <v>226.04659875</v>
      </c>
      <c r="V636" s="61" t="n">
        <f aca="false">N(STACK!K636)</f>
        <v>12470</v>
      </c>
      <c r="W636" s="61" t="n">
        <f aca="false">T636+U636+V636</f>
        <v>14091.39597375</v>
      </c>
      <c r="X636" s="61" t="n">
        <f aca="false">N(STACK!L636)</f>
        <v>7775</v>
      </c>
      <c r="Y636" s="61" t="n">
        <f aca="false">W636-X636</f>
        <v>6316.39597375</v>
      </c>
      <c r="Z636" s="1" t="n">
        <f aca="false">N(STACK!J636)</f>
        <v>102</v>
      </c>
      <c r="AA636" s="1" t="str">
        <f aca="false">TRIM(IF(D636="UNMAPPED","Program not mapped. ","")&amp;IF(OR(K636="UNMAPPED",K636="UNASSIGNED"),"Category needs review. ","")&amp;IF(P636="UNMAPPED","Title not mapped. ","")&amp;IF(AND(P636&lt;&gt;"No staff time",R636=""),"Missing hours. ","")&amp;IF(M636="","Date not readable. ","")&amp;IF(N636="No","Outside fiscal year. ","")&amp;IF(AND(F636="Event",ISNUMBER(R636)),IF(R636&gt;12,"Event hours look high. ",""),"")&amp;IF(G636&gt;0,"See CONFIRM sheet.",""))</f>
        <v/>
      </c>
      <c r="AB636" s="1" t="n">
        <f aca="false">IF(N636="No",0,IF(REVIEW!O636=0,0,IF(G636&gt;0,IF(INDEX(CONFIRM!$J$5:$J$53,G636)&lt;&gt;"",INDEX(CONFIRM!$J$5:$J$53,G636),1),1)))</f>
        <v>1</v>
      </c>
      <c r="AC636" s="1" t="n">
        <f aca="false">IF(AB636=1,IF(COUNTIFS($B$5:B636,B636,$D$5:D636,D636,$AB$5:AB636,1)=1,1,0),0)</f>
        <v>0</v>
      </c>
    </row>
    <row r="637" customFormat="false" ht="15" hidden="false" customHeight="false" outlineLevel="0" collapsed="false">
      <c r="A637" s="48" t="str">
        <f aca="false">STACK!A637</f>
        <v>ASH-0104</v>
      </c>
      <c r="B637" s="48" t="str">
        <f aca="false">STACK!B637</f>
        <v>ASH</v>
      </c>
      <c r="C637" s="48" t="str">
        <f aca="false">STACK!E637</f>
        <v>CB Program Admin</v>
      </c>
      <c r="D637" s="1" t="str">
        <f aca="false">IFERROR(INDEX(MAP!$J$7:$J$101,MATCH(TRIM(C637),MAP!$I$7:$I$101,0)),"UNMAPPED")</f>
        <v>Community Benefit Program Administration</v>
      </c>
      <c r="E637" s="1" t="str">
        <f aca="false">IFERROR(INDEX(MAP!$K$7:$K$101,MATCH(TRIM(C637),MAP!$I$7:$I$101,0)),"")</f>
        <v>Community benefit infrastructure</v>
      </c>
      <c r="F637" s="1" t="str">
        <f aca="false">IFERROR(INDEX(MAP!$L$7:$L$101,MATCH(TRIM(C637),MAP!$I$7:$I$101,0)),"")</f>
        <v>Monthly</v>
      </c>
      <c r="G637" s="1" t="n">
        <f aca="false">IFERROR(MATCH(A637,CONFIRM!$A$5:$A$53,0),0)</f>
        <v>0</v>
      </c>
      <c r="H637" s="48" t="str">
        <f aca="false">STACK!F637</f>
        <v>CB Admin</v>
      </c>
      <c r="I637" s="1" t="str">
        <f aca="false">IF(G637&gt;0,IF(INDEX(CONFIRM!$I$5:$I$53,G637)&lt;&gt;"",INDEX(CONFIRM!$I$5:$I$53,G637),H637),H637)</f>
        <v>CB Admin</v>
      </c>
      <c r="J637" s="1" t="str">
        <f aca="false">IFERROR(INDEX(MAP!$F$7:$F$74,MATCH(TRIM(I637),MAP!$E$7:$E$74,0)),"UNMAPPED")</f>
        <v>Community benefit operations</v>
      </c>
      <c r="K637" s="1" t="str">
        <f aca="false">IFERROR(INDEX(MAP!$G$7:$G$74,MATCH(TRIM(I637),MAP!$E$7:$E$74,0)),"UNMAPPED")</f>
        <v>7e</v>
      </c>
      <c r="L637" s="49" t="str">
        <f aca="false">STACK!G637</f>
        <v>11/30/2025</v>
      </c>
      <c r="M637" s="59" t="n">
        <f aca="false">IF(G637&gt;0,IF(INDEX(CONFIRM!$G$5:$G$53,G637)&lt;&gt;"",INDEX(CONFIRM!$G$5:$G$53,G637),IF(ISNUMBER(L637),L637,IFERROR(DATEVALUE(L637),""))),IF(ISNUMBER(L637),L637,IFERROR(DATEVALUE(L637),"")))</f>
        <v>45991</v>
      </c>
      <c r="N637" s="1" t="str">
        <f aca="false">IF(M637="","Check",IF(AND(M637&gt;=INPUTS!$C$6,M637&lt;=INPUTS!$C$7),"Yes","No"))</f>
        <v>Yes</v>
      </c>
      <c r="O637" s="48" t="str">
        <f aca="false">STACK!H637</f>
        <v>Unit Secretary</v>
      </c>
      <c r="P637" s="1" t="str">
        <f aca="false">IF(G637&gt;0,IF(INDEX(CONFIRM!$H$5:$H$53,G637)&lt;&gt;"",INDEX(CONFIRM!$H$5:$H$53,G637),IFERROR(INDEX(MAP!$B$7:$B$156,MATCH(TRIM(O637),MAP!$A$7:$A$156,0)),"UNMAPPED")),IFERROR(INDEX(MAP!$B$7:$B$156,MATCH(TRIM(O637),MAP!$A$7:$A$156,0)),"UNMAPPED"))</f>
        <v>Administrative Assistant</v>
      </c>
      <c r="Q637" s="48" t="n">
        <f aca="false">STACK!I637</f>
        <v>57.75</v>
      </c>
      <c r="R637" s="60" t="n">
        <f aca="false">IF(G637&gt;0,IF(INDEX(CONFIRM!$F$5:$F$53,G637)&lt;&gt;"",INDEX(CONFIRM!$F$5:$F$53,G637),IF(ISNUMBER(Q637),Q637,IF(Q637="","",IFERROR(VALUE(TRIM(SUBSTITUTE(SUBSTITUTE(LOWER(Q637),"hrs",""),"hr",""))),"")))),IF(ISNUMBER(Q637),Q637,IF(Q637="","",IFERROR(VALUE(TRIM(SUBSTITUTE(SUBSTITUTE(LOWER(Q637),"hrs",""),"hr",""))),""))))</f>
        <v>57.75</v>
      </c>
      <c r="S637" s="57" t="n">
        <f aca="false">IFERROR(INDEX(RATES!$E$6:$E$28,MATCH(P637,RATES!$A$6:$A$28,0)),0)</f>
        <v>26.985</v>
      </c>
      <c r="T637" s="61" t="n">
        <f aca="false">IF(ISNUMBER(R637),R637,0)*S637</f>
        <v>1558.38375</v>
      </c>
      <c r="U637" s="61" t="n">
        <f aca="false">T637*INDEX(INPUTS!$H$10:$H$14,MATCH(B637,INPUTS!$A$10:$A$14,0))</f>
        <v>252.4581675</v>
      </c>
      <c r="V637" s="61" t="n">
        <f aca="false">N(STACK!K637)</f>
        <v>0</v>
      </c>
      <c r="W637" s="61" t="n">
        <f aca="false">T637+U637+V637</f>
        <v>1810.8419175</v>
      </c>
      <c r="X637" s="61" t="n">
        <f aca="false">N(STACK!L637)</f>
        <v>0</v>
      </c>
      <c r="Y637" s="61" t="n">
        <f aca="false">W637-X637</f>
        <v>1810.8419175</v>
      </c>
      <c r="Z637" s="1" t="n">
        <f aca="false">N(STACK!J637)</f>
        <v>0</v>
      </c>
      <c r="AA637" s="1" t="str">
        <f aca="false">TRIM(IF(D637="UNMAPPED","Program not mapped. ","")&amp;IF(OR(K637="UNMAPPED",K637="UNASSIGNED"),"Category needs review. ","")&amp;IF(P637="UNMAPPED","Title not mapped. ","")&amp;IF(AND(P637&lt;&gt;"No staff time",R637=""),"Missing hours. ","")&amp;IF(M637="","Date not readable. ","")&amp;IF(N637="No","Outside fiscal year. ","")&amp;IF(AND(F637="Event",ISNUMBER(R637)),IF(R637&gt;12,"Event hours look high. ",""),"")&amp;IF(G637&gt;0,"See CONFIRM sheet.",""))</f>
        <v/>
      </c>
      <c r="AB637" s="1" t="n">
        <f aca="false">IF(N637="No",0,IF(REVIEW!O637=0,0,IF(G637&gt;0,IF(INDEX(CONFIRM!$J$5:$J$53,G637)&lt;&gt;"",INDEX(CONFIRM!$J$5:$J$53,G637),1),1)))</f>
        <v>1</v>
      </c>
      <c r="AC637" s="1" t="n">
        <f aca="false">IF(AB637=1,IF(COUNTIFS($B$5:B637,B637,$D$5:D637,D637,$AB$5:AB637,1)=1,1,0),0)</f>
        <v>0</v>
      </c>
    </row>
    <row r="638" customFormat="false" ht="15" hidden="false" customHeight="false" outlineLevel="0" collapsed="false">
      <c r="A638" s="48" t="str">
        <f aca="false">STACK!A638</f>
        <v>ASH-0105</v>
      </c>
      <c r="B638" s="48" t="str">
        <f aca="false">STACK!B638</f>
        <v>ASH</v>
      </c>
      <c r="C638" s="48" t="str">
        <f aca="false">STACK!E638</f>
        <v>CB Program Admin</v>
      </c>
      <c r="D638" s="1" t="str">
        <f aca="false">IFERROR(INDEX(MAP!$J$7:$J$101,MATCH(TRIM(C638),MAP!$I$7:$I$101,0)),"UNMAPPED")</f>
        <v>Community Benefit Program Administration</v>
      </c>
      <c r="E638" s="1" t="str">
        <f aca="false">IFERROR(INDEX(MAP!$K$7:$K$101,MATCH(TRIM(C638),MAP!$I$7:$I$101,0)),"")</f>
        <v>Community benefit infrastructure</v>
      </c>
      <c r="F638" s="1" t="str">
        <f aca="false">IFERROR(INDEX(MAP!$L$7:$L$101,MATCH(TRIM(C638),MAP!$I$7:$I$101,0)),"")</f>
        <v>Monthly</v>
      </c>
      <c r="G638" s="1" t="n">
        <f aca="false">IFERROR(MATCH(A638,CONFIRM!$A$5:$A$53,0),0)</f>
        <v>0</v>
      </c>
      <c r="H638" s="48" t="str">
        <f aca="false">STACK!F638</f>
        <v>CB Admin</v>
      </c>
      <c r="I638" s="1" t="str">
        <f aca="false">IF(G638&gt;0,IF(INDEX(CONFIRM!$I$5:$I$53,G638)&lt;&gt;"",INDEX(CONFIRM!$I$5:$I$53,G638),H638),H638)</f>
        <v>CB Admin</v>
      </c>
      <c r="J638" s="1" t="str">
        <f aca="false">IFERROR(INDEX(MAP!$F$7:$F$74,MATCH(TRIM(I638),MAP!$E$7:$E$74,0)),"UNMAPPED")</f>
        <v>Community benefit operations</v>
      </c>
      <c r="K638" s="1" t="str">
        <f aca="false">IFERROR(INDEX(MAP!$G$7:$G$74,MATCH(TRIM(I638),MAP!$E$7:$E$74,0)),"UNMAPPED")</f>
        <v>7e</v>
      </c>
      <c r="L638" s="49" t="str">
        <f aca="false">STACK!G638</f>
        <v>11/30/2025</v>
      </c>
      <c r="M638" s="59" t="n">
        <f aca="false">IF(G638&gt;0,IF(INDEX(CONFIRM!$G$5:$G$53,G638)&lt;&gt;"",INDEX(CONFIRM!$G$5:$G$53,G638),IF(ISNUMBER(L638),L638,IFERROR(DATEVALUE(L638),""))),IF(ISNUMBER(L638),L638,IFERROR(DATEVALUE(L638),"")))</f>
        <v>45991</v>
      </c>
      <c r="N638" s="1" t="str">
        <f aca="false">IF(M638="","Check",IF(AND(M638&gt;=INPUTS!$C$6,M638&lt;=INPUTS!$C$7),"Yes","No"))</f>
        <v>Yes</v>
      </c>
      <c r="O638" s="48" t="str">
        <f aca="false">STACK!H638</f>
        <v>Community Benefit Mgr</v>
      </c>
      <c r="P638" s="1" t="str">
        <f aca="false">IF(G638&gt;0,IF(INDEX(CONFIRM!$H$5:$H$53,G638)&lt;&gt;"",INDEX(CONFIRM!$H$5:$H$53,G638),IFERROR(INDEX(MAP!$B$7:$B$156,MATCH(TRIM(O638),MAP!$A$7:$A$156,0)),"UNMAPPED")),IFERROR(INDEX(MAP!$B$7:$B$156,MATCH(TRIM(O638),MAP!$A$7:$A$156,0)),"UNMAPPED"))</f>
        <v>Community Benefit Manager</v>
      </c>
      <c r="Q638" s="48" t="n">
        <f aca="false">STACK!I638</f>
        <v>64.25</v>
      </c>
      <c r="R638" s="60" t="n">
        <f aca="false">IF(G638&gt;0,IF(INDEX(CONFIRM!$F$5:$F$53,G638)&lt;&gt;"",INDEX(CONFIRM!$F$5:$F$53,G638),IF(ISNUMBER(Q638),Q638,IF(Q638="","",IFERROR(VALUE(TRIM(SUBSTITUTE(SUBSTITUTE(LOWER(Q638),"hrs",""),"hr",""))),"")))),IF(ISNUMBER(Q638),Q638,IF(Q638="","",IFERROR(VALUE(TRIM(SUBSTITUTE(SUBSTITUTE(LOWER(Q638),"hrs",""),"hr",""))),""))))</f>
        <v>64.25</v>
      </c>
      <c r="S638" s="57" t="n">
        <f aca="false">IFERROR(INDEX(RATES!$E$6:$E$28,MATCH(P638,RATES!$A$6:$A$28,0)),0)</f>
        <v>59.11</v>
      </c>
      <c r="T638" s="61" t="n">
        <f aca="false">IF(ISNUMBER(R638),R638,0)*S638</f>
        <v>3797.8175</v>
      </c>
      <c r="U638" s="61" t="n">
        <f aca="false">T638*INDEX(INPUTS!$H$10:$H$14,MATCH(B638,INPUTS!$A$10:$A$14,0))</f>
        <v>615.246435</v>
      </c>
      <c r="V638" s="61" t="n">
        <f aca="false">N(STACK!K638)</f>
        <v>680</v>
      </c>
      <c r="W638" s="61" t="n">
        <f aca="false">T638+U638+V638</f>
        <v>5093.063935</v>
      </c>
      <c r="X638" s="61" t="n">
        <f aca="false">N(STACK!L638)</f>
        <v>0</v>
      </c>
      <c r="Y638" s="61" t="n">
        <f aca="false">W638-X638</f>
        <v>5093.063935</v>
      </c>
      <c r="Z638" s="1" t="n">
        <f aca="false">N(STACK!J638)</f>
        <v>0</v>
      </c>
      <c r="AA638" s="1" t="str">
        <f aca="false">TRIM(IF(D638="UNMAPPED","Program not mapped. ","")&amp;IF(OR(K638="UNMAPPED",K638="UNASSIGNED"),"Category needs review. ","")&amp;IF(P638="UNMAPPED","Title not mapped. ","")&amp;IF(AND(P638&lt;&gt;"No staff time",R638=""),"Missing hours. ","")&amp;IF(M638="","Date not readable. ","")&amp;IF(N638="No","Outside fiscal year. ","")&amp;IF(AND(F638="Event",ISNUMBER(R638)),IF(R638&gt;12,"Event hours look high. ",""),"")&amp;IF(G638&gt;0,"See CONFIRM sheet.",""))</f>
        <v/>
      </c>
      <c r="AB638" s="1" t="n">
        <f aca="false">IF(N638="No",0,IF(REVIEW!O638=0,0,IF(G638&gt;0,IF(INDEX(CONFIRM!$J$5:$J$53,G638)&lt;&gt;"",INDEX(CONFIRM!$J$5:$J$53,G638),1),1)))</f>
        <v>1</v>
      </c>
      <c r="AC638" s="1" t="n">
        <f aca="false">IF(AB638=1,IF(COUNTIFS($B$5:B638,B638,$D$5:D638,D638,$AB$5:AB638,1)=1,1,0),0)</f>
        <v>0</v>
      </c>
    </row>
    <row r="639" customFormat="false" ht="15" hidden="false" customHeight="false" outlineLevel="0" collapsed="false">
      <c r="A639" s="48" t="str">
        <f aca="false">STACK!A639</f>
        <v>ASH-0106</v>
      </c>
      <c r="B639" s="48" t="str">
        <f aca="false">STACK!B639</f>
        <v>ASH</v>
      </c>
      <c r="C639" s="48" t="str">
        <f aca="false">STACK!E639</f>
        <v>Nursing Clinicals</v>
      </c>
      <c r="D639" s="1" t="str">
        <f aca="false">IFERROR(INDEX(MAP!$J$7:$J$101,MATCH(TRIM(C639),MAP!$I$7:$I$101,0)),"UNMAPPED")</f>
        <v>Nursing Student Clinical Rotations</v>
      </c>
      <c r="E639" s="1" t="str">
        <f aca="false">IFERROR(INDEX(MAP!$K$7:$K$101,MATCH(TRIM(C639),MAP!$I$7:$I$101,0)),"")</f>
        <v>Health workforce</v>
      </c>
      <c r="F639" s="1" t="str">
        <f aca="false">IFERROR(INDEX(MAP!$L$7:$L$101,MATCH(TRIM(C639),MAP!$I$7:$I$101,0)),"")</f>
        <v>Monthly</v>
      </c>
      <c r="G639" s="1" t="n">
        <f aca="false">IFERROR(MATCH(A639,CONFIRM!$A$5:$A$53,0),0)</f>
        <v>0</v>
      </c>
      <c r="H639" s="48" t="str">
        <f aca="false">STACK!F639</f>
        <v>HPE</v>
      </c>
      <c r="I639" s="1" t="str">
        <f aca="false">IF(G639&gt;0,IF(INDEX(CONFIRM!$I$5:$I$53,G639)&lt;&gt;"",INDEX(CONFIRM!$I$5:$I$53,G639),H639),H639)</f>
        <v>HPE</v>
      </c>
      <c r="J639" s="1" t="str">
        <f aca="false">IFERROR(INDEX(MAP!$F$7:$F$74,MATCH(TRIM(I639),MAP!$E$7:$E$74,0)),"UNMAPPED")</f>
        <v>Health professions education</v>
      </c>
      <c r="K639" s="1" t="str">
        <f aca="false">IFERROR(INDEX(MAP!$G$7:$G$74,MATCH(TRIM(I639),MAP!$E$7:$E$74,0)),"UNMAPPED")</f>
        <v>7f</v>
      </c>
      <c r="L639" s="49" t="str">
        <f aca="false">STACK!G639</f>
        <v>11/30/2025</v>
      </c>
      <c r="M639" s="59" t="n">
        <f aca="false">IF(G639&gt;0,IF(INDEX(CONFIRM!$G$5:$G$53,G639)&lt;&gt;"",INDEX(CONFIRM!$G$5:$G$53,G639),IF(ISNUMBER(L639),L639,IFERROR(DATEVALUE(L639),""))),IF(ISNUMBER(L639),L639,IFERROR(DATEVALUE(L639),"")))</f>
        <v>45991</v>
      </c>
      <c r="N639" s="1" t="str">
        <f aca="false">IF(M639="","Check",IF(AND(M639&gt;=INPUTS!$C$6,M639&lt;=INPUTS!$C$7),"Yes","No"))</f>
        <v>Yes</v>
      </c>
      <c r="O639" s="48" t="str">
        <f aca="false">STACK!H639</f>
        <v>Nurse Educator</v>
      </c>
      <c r="P639" s="1" t="str">
        <f aca="false">IF(G639&gt;0,IF(INDEX(CONFIRM!$H$5:$H$53,G639)&lt;&gt;"",INDEX(CONFIRM!$H$5:$H$53,G639),IFERROR(INDEX(MAP!$B$7:$B$156,MATCH(TRIM(O639),MAP!$A$7:$A$156,0)),"UNMAPPED")),IFERROR(INDEX(MAP!$B$7:$B$156,MATCH(TRIM(O639),MAP!$A$7:$A$156,0)),"UNMAPPED"))</f>
        <v>Clinical Nurse Educator</v>
      </c>
      <c r="Q639" s="48" t="n">
        <f aca="false">STACK!I639</f>
        <v>130.25</v>
      </c>
      <c r="R639" s="60" t="n">
        <f aca="false">IF(G639&gt;0,IF(INDEX(CONFIRM!$F$5:$F$53,G639)&lt;&gt;"",INDEX(CONFIRM!$F$5:$F$53,G639),IF(ISNUMBER(Q639),Q639,IF(Q639="","",IFERROR(VALUE(TRIM(SUBSTITUTE(SUBSTITUTE(LOWER(Q639),"hrs",""),"hr",""))),"")))),IF(ISNUMBER(Q639),Q639,IF(Q639="","",IFERROR(VALUE(TRIM(SUBSTITUTE(SUBSTITUTE(LOWER(Q639),"hrs",""),"hr",""))),""))))</f>
        <v>130.25</v>
      </c>
      <c r="S639" s="57" t="n">
        <f aca="false">IFERROR(INDEX(RATES!$E$6:$E$28,MATCH(P639,RATES!$A$6:$A$28,0)),0)</f>
        <v>62.965</v>
      </c>
      <c r="T639" s="61" t="n">
        <f aca="false">IF(ISNUMBER(R639),R639,0)*S639</f>
        <v>8201.19125</v>
      </c>
      <c r="U639" s="61" t="n">
        <f aca="false">T639*INDEX(INPUTS!$H$10:$H$14,MATCH(B639,INPUTS!$A$10:$A$14,0))</f>
        <v>1328.5929825</v>
      </c>
      <c r="V639" s="61" t="n">
        <f aca="false">N(STACK!K639)</f>
        <v>590</v>
      </c>
      <c r="W639" s="61" t="n">
        <f aca="false">T639+U639+V639</f>
        <v>10119.7842325</v>
      </c>
      <c r="X639" s="61" t="n">
        <f aca="false">N(STACK!L639)</f>
        <v>0</v>
      </c>
      <c r="Y639" s="61" t="n">
        <f aca="false">W639-X639</f>
        <v>10119.7842325</v>
      </c>
      <c r="Z639" s="1" t="n">
        <f aca="false">N(STACK!J639)</f>
        <v>36</v>
      </c>
      <c r="AA639" s="1" t="str">
        <f aca="false">TRIM(IF(D639="UNMAPPED","Program not mapped. ","")&amp;IF(OR(K639="UNMAPPED",K639="UNASSIGNED"),"Category needs review. ","")&amp;IF(P639="UNMAPPED","Title not mapped. ","")&amp;IF(AND(P639&lt;&gt;"No staff time",R639=""),"Missing hours. ","")&amp;IF(M639="","Date not readable. ","")&amp;IF(N639="No","Outside fiscal year. ","")&amp;IF(AND(F639="Event",ISNUMBER(R639)),IF(R639&gt;12,"Event hours look high. ",""),"")&amp;IF(G639&gt;0,"See CONFIRM sheet.",""))</f>
        <v/>
      </c>
      <c r="AB639" s="1" t="n">
        <f aca="false">IF(N639="No",0,IF(REVIEW!O639=0,0,IF(G639&gt;0,IF(INDEX(CONFIRM!$J$5:$J$53,G639)&lt;&gt;"",INDEX(CONFIRM!$J$5:$J$53,G639),1),1)))</f>
        <v>1</v>
      </c>
      <c r="AC639" s="1" t="n">
        <f aca="false">IF(AB639=1,IF(COUNTIFS($B$5:B639,B639,$D$5:D639,D639,$AB$5:AB639,1)=1,1,0),0)</f>
        <v>0</v>
      </c>
    </row>
    <row r="640" customFormat="false" ht="15" hidden="false" customHeight="false" outlineLevel="0" collapsed="false">
      <c r="A640" s="48" t="str">
        <f aca="false">STACK!A640</f>
        <v>ASH-0107</v>
      </c>
      <c r="B640" s="48" t="str">
        <f aca="false">STACK!B640</f>
        <v>ASH</v>
      </c>
      <c r="C640" s="48" t="str">
        <f aca="false">STACK!E640</f>
        <v>Nursing Clinicals</v>
      </c>
      <c r="D640" s="1" t="str">
        <f aca="false">IFERROR(INDEX(MAP!$J$7:$J$101,MATCH(TRIM(C640),MAP!$I$7:$I$101,0)),"UNMAPPED")</f>
        <v>Nursing Student Clinical Rotations</v>
      </c>
      <c r="E640" s="1" t="str">
        <f aca="false">IFERROR(INDEX(MAP!$K$7:$K$101,MATCH(TRIM(C640),MAP!$I$7:$I$101,0)),"")</f>
        <v>Health workforce</v>
      </c>
      <c r="F640" s="1" t="str">
        <f aca="false">IFERROR(INDEX(MAP!$L$7:$L$101,MATCH(TRIM(C640),MAP!$I$7:$I$101,0)),"")</f>
        <v>Monthly</v>
      </c>
      <c r="G640" s="1" t="n">
        <f aca="false">IFERROR(MATCH(A640,CONFIRM!$A$5:$A$53,0),0)</f>
        <v>0</v>
      </c>
      <c r="H640" s="48" t="str">
        <f aca="false">STACK!F640</f>
        <v>HPE</v>
      </c>
      <c r="I640" s="1" t="str">
        <f aca="false">IF(G640&gt;0,IF(INDEX(CONFIRM!$I$5:$I$53,G640)&lt;&gt;"",INDEX(CONFIRM!$I$5:$I$53,G640),H640),H640)</f>
        <v>HPE</v>
      </c>
      <c r="J640" s="1" t="str">
        <f aca="false">IFERROR(INDEX(MAP!$F$7:$F$74,MATCH(TRIM(I640),MAP!$E$7:$E$74,0)),"UNMAPPED")</f>
        <v>Health professions education</v>
      </c>
      <c r="K640" s="1" t="str">
        <f aca="false">IFERROR(INDEX(MAP!$G$7:$G$74,MATCH(TRIM(I640),MAP!$E$7:$E$74,0)),"UNMAPPED")</f>
        <v>7f</v>
      </c>
      <c r="L640" s="49" t="str">
        <f aca="false">STACK!G640</f>
        <v>11/30/2025</v>
      </c>
      <c r="M640" s="59" t="n">
        <f aca="false">IF(G640&gt;0,IF(INDEX(CONFIRM!$G$5:$G$53,G640)&lt;&gt;"",INDEX(CONFIRM!$G$5:$G$53,G640),IF(ISNUMBER(L640),L640,IFERROR(DATEVALUE(L640),""))),IF(ISNUMBER(L640),L640,IFERROR(DATEVALUE(L640),"")))</f>
        <v>45991</v>
      </c>
      <c r="N640" s="1" t="str">
        <f aca="false">IF(M640="","Check",IF(AND(M640&gt;=INPUTS!$C$6,M640&lt;=INPUTS!$C$7),"Yes","No"))</f>
        <v>Yes</v>
      </c>
      <c r="O640" s="48" t="str">
        <f aca="false">STACK!H640</f>
        <v>RN</v>
      </c>
      <c r="P640" s="1" t="str">
        <f aca="false">IF(G640&gt;0,IF(INDEX(CONFIRM!$H$5:$H$53,G640)&lt;&gt;"",INDEX(CONFIRM!$H$5:$H$53,G640),IFERROR(INDEX(MAP!$B$7:$B$156,MATCH(TRIM(O640),MAP!$A$7:$A$156,0)),"UNMAPPED")),IFERROR(INDEX(MAP!$B$7:$B$156,MATCH(TRIM(O640),MAP!$A$7:$A$156,0)),"UNMAPPED"))</f>
        <v>Registered Nurse</v>
      </c>
      <c r="Q640" s="48" t="n">
        <f aca="false">STACK!I640</f>
        <v>229.5</v>
      </c>
      <c r="R640" s="60" t="n">
        <f aca="false">IF(G640&gt;0,IF(INDEX(CONFIRM!$F$5:$F$53,G640)&lt;&gt;"",INDEX(CONFIRM!$F$5:$F$53,G640),IF(ISNUMBER(Q640),Q640,IF(Q640="","",IFERROR(VALUE(TRIM(SUBSTITUTE(SUBSTITUTE(LOWER(Q640),"hrs",""),"hr",""))),"")))),IF(ISNUMBER(Q640),Q640,IF(Q640="","",IFERROR(VALUE(TRIM(SUBSTITUTE(SUBSTITUTE(LOWER(Q640),"hrs",""),"hr",""))),""))))</f>
        <v>229.5</v>
      </c>
      <c r="S640" s="57" t="n">
        <f aca="false">IFERROR(INDEX(RATES!$E$6:$E$28,MATCH(P640,RATES!$A$6:$A$28,0)),0)</f>
        <v>55.8975</v>
      </c>
      <c r="T640" s="61" t="n">
        <f aca="false">IF(ISNUMBER(R640),R640,0)*S640</f>
        <v>12828.47625</v>
      </c>
      <c r="U640" s="61" t="n">
        <f aca="false">T640*INDEX(INPUTS!$H$10:$H$14,MATCH(B640,INPUTS!$A$10:$A$14,0))</f>
        <v>2078.2131525</v>
      </c>
      <c r="V640" s="61" t="n">
        <f aca="false">N(STACK!K640)</f>
        <v>0</v>
      </c>
      <c r="W640" s="61" t="n">
        <f aca="false">T640+U640+V640</f>
        <v>14906.6894025</v>
      </c>
      <c r="X640" s="61" t="n">
        <f aca="false">N(STACK!L640)</f>
        <v>0</v>
      </c>
      <c r="Y640" s="61" t="n">
        <f aca="false">W640-X640</f>
        <v>14906.6894025</v>
      </c>
      <c r="Z640" s="1" t="n">
        <f aca="false">N(STACK!J640)</f>
        <v>0</v>
      </c>
      <c r="AA640" s="1" t="str">
        <f aca="false">TRIM(IF(D640="UNMAPPED","Program not mapped. ","")&amp;IF(OR(K640="UNMAPPED",K640="UNASSIGNED"),"Category needs review. ","")&amp;IF(P640="UNMAPPED","Title not mapped. ","")&amp;IF(AND(P640&lt;&gt;"No staff time",R640=""),"Missing hours. ","")&amp;IF(M640="","Date not readable. ","")&amp;IF(N640="No","Outside fiscal year. ","")&amp;IF(AND(F640="Event",ISNUMBER(R640)),IF(R640&gt;12,"Event hours look high. ",""),"")&amp;IF(G640&gt;0,"See CONFIRM sheet.",""))</f>
        <v/>
      </c>
      <c r="AB640" s="1" t="n">
        <f aca="false">IF(N640="No",0,IF(REVIEW!O640=0,0,IF(G640&gt;0,IF(INDEX(CONFIRM!$J$5:$J$53,G640)&lt;&gt;"",INDEX(CONFIRM!$J$5:$J$53,G640),1),1)))</f>
        <v>1</v>
      </c>
      <c r="AC640" s="1" t="n">
        <f aca="false">IF(AB640=1,IF(COUNTIFS($B$5:B640,B640,$D$5:D640,D640,$AB$5:AB640,1)=1,1,0),0)</f>
        <v>0</v>
      </c>
    </row>
    <row r="641" customFormat="false" ht="15" hidden="false" customHeight="false" outlineLevel="0" collapsed="false">
      <c r="A641" s="48" t="str">
        <f aca="false">STACK!A641</f>
        <v>ASH-0108</v>
      </c>
      <c r="B641" s="48" t="str">
        <f aca="false">STACK!B641</f>
        <v>ASH</v>
      </c>
      <c r="C641" s="48" t="str">
        <f aca="false">STACK!E641</f>
        <v>Paramedic Students</v>
      </c>
      <c r="D641" s="1" t="str">
        <f aca="false">IFERROR(INDEX(MAP!$J$7:$J$101,MATCH(TRIM(C641),MAP!$I$7:$I$101,0)),"UNMAPPED")</f>
        <v>Paramedic Student Field Training</v>
      </c>
      <c r="E641" s="1" t="str">
        <f aca="false">IFERROR(INDEX(MAP!$K$7:$K$101,MATCH(TRIM(C641),MAP!$I$7:$I$101,0)),"")</f>
        <v>Health workforce</v>
      </c>
      <c r="F641" s="1" t="str">
        <f aca="false">IFERROR(INDEX(MAP!$L$7:$L$101,MATCH(TRIM(C641),MAP!$I$7:$I$101,0)),"")</f>
        <v>Monthly</v>
      </c>
      <c r="G641" s="1" t="n">
        <f aca="false">IFERROR(MATCH(A641,CONFIRM!$A$5:$A$53,0),0)</f>
        <v>0</v>
      </c>
      <c r="H641" s="48" t="str">
        <f aca="false">STACK!F641</f>
        <v>HPE</v>
      </c>
      <c r="I641" s="1" t="str">
        <f aca="false">IF(G641&gt;0,IF(INDEX(CONFIRM!$I$5:$I$53,G641)&lt;&gt;"",INDEX(CONFIRM!$I$5:$I$53,G641),H641),H641)</f>
        <v>HPE</v>
      </c>
      <c r="J641" s="1" t="str">
        <f aca="false">IFERROR(INDEX(MAP!$F$7:$F$74,MATCH(TRIM(I641),MAP!$E$7:$E$74,0)),"UNMAPPED")</f>
        <v>Health professions education</v>
      </c>
      <c r="K641" s="1" t="str">
        <f aca="false">IFERROR(INDEX(MAP!$G$7:$G$74,MATCH(TRIM(I641),MAP!$E$7:$E$74,0)),"UNMAPPED")</f>
        <v>7f</v>
      </c>
      <c r="L641" s="49" t="str">
        <f aca="false">STACK!G641</f>
        <v>11/30/2025</v>
      </c>
      <c r="M641" s="59" t="n">
        <f aca="false">IF(G641&gt;0,IF(INDEX(CONFIRM!$G$5:$G$53,G641)&lt;&gt;"",INDEX(CONFIRM!$G$5:$G$53,G641),IF(ISNUMBER(L641),L641,IFERROR(DATEVALUE(L641),""))),IF(ISNUMBER(L641),L641,IFERROR(DATEVALUE(L641),"")))</f>
        <v>45991</v>
      </c>
      <c r="N641" s="1" t="str">
        <f aca="false">IF(M641="","Check",IF(AND(M641&gt;=INPUTS!$C$6,M641&lt;=INPUTS!$C$7),"Yes","No"))</f>
        <v>Yes</v>
      </c>
      <c r="O641" s="48" t="str">
        <f aca="false">STACK!H641</f>
        <v>EMT-P</v>
      </c>
      <c r="P641" s="1" t="str">
        <f aca="false">IF(G641&gt;0,IF(INDEX(CONFIRM!$H$5:$H$53,G641)&lt;&gt;"",INDEX(CONFIRM!$H$5:$H$53,G641),IFERROR(INDEX(MAP!$B$7:$B$156,MATCH(TRIM(O641),MAP!$A$7:$A$156,0)),"UNMAPPED")),IFERROR(INDEX(MAP!$B$7:$B$156,MATCH(TRIM(O641),MAP!$A$7:$A$156,0)),"UNMAPPED"))</f>
        <v>Paramedic</v>
      </c>
      <c r="Q641" s="48" t="n">
        <f aca="false">STACK!I641</f>
        <v>66.75</v>
      </c>
      <c r="R641" s="60" t="n">
        <f aca="false">IF(G641&gt;0,IF(INDEX(CONFIRM!$F$5:$F$53,G641)&lt;&gt;"",INDEX(CONFIRM!$F$5:$F$53,G641),IF(ISNUMBER(Q641),Q641,IF(Q641="","",IFERROR(VALUE(TRIM(SUBSTITUTE(SUBSTITUTE(LOWER(Q641),"hrs",""),"hr",""))),"")))),IF(ISNUMBER(Q641),Q641,IF(Q641="","",IFERROR(VALUE(TRIM(SUBSTITUTE(SUBSTITUTE(LOWER(Q641),"hrs",""),"hr",""))),""))))</f>
        <v>66.75</v>
      </c>
      <c r="S641" s="57" t="n">
        <f aca="false">IFERROR(INDEX(RATES!$E$6:$E$28,MATCH(P641,RATES!$A$6:$A$28,0)),0)</f>
        <v>34.695</v>
      </c>
      <c r="T641" s="61" t="n">
        <f aca="false">IF(ISNUMBER(R641),R641,0)*S641</f>
        <v>2315.89125</v>
      </c>
      <c r="U641" s="61" t="n">
        <f aca="false">T641*INDEX(INPUTS!$H$10:$H$14,MATCH(B641,INPUTS!$A$10:$A$14,0))</f>
        <v>375.1743825</v>
      </c>
      <c r="V641" s="61" t="n">
        <f aca="false">N(STACK!K641)</f>
        <v>130</v>
      </c>
      <c r="W641" s="61" t="n">
        <f aca="false">T641+U641+V641</f>
        <v>2821.0656325</v>
      </c>
      <c r="X641" s="61" t="n">
        <f aca="false">N(STACK!L641)</f>
        <v>0</v>
      </c>
      <c r="Y641" s="61" t="n">
        <f aca="false">W641-X641</f>
        <v>2821.0656325</v>
      </c>
      <c r="Z641" s="1" t="n">
        <f aca="false">N(STACK!J641)</f>
        <v>4</v>
      </c>
      <c r="AA641" s="1" t="str">
        <f aca="false">TRIM(IF(D641="UNMAPPED","Program not mapped. ","")&amp;IF(OR(K641="UNMAPPED",K641="UNASSIGNED"),"Category needs review. ","")&amp;IF(P641="UNMAPPED","Title not mapped. ","")&amp;IF(AND(P641&lt;&gt;"No staff time",R641=""),"Missing hours. ","")&amp;IF(M641="","Date not readable. ","")&amp;IF(N641="No","Outside fiscal year. ","")&amp;IF(AND(F641="Event",ISNUMBER(R641)),IF(R641&gt;12,"Event hours look high. ",""),"")&amp;IF(G641&gt;0,"See CONFIRM sheet.",""))</f>
        <v/>
      </c>
      <c r="AB641" s="1" t="n">
        <f aca="false">IF(N641="No",0,IF(REVIEW!O641=0,0,IF(G641&gt;0,IF(INDEX(CONFIRM!$J$5:$J$53,G641)&lt;&gt;"",INDEX(CONFIRM!$J$5:$J$53,G641),1),1)))</f>
        <v>1</v>
      </c>
      <c r="AC641" s="1" t="n">
        <f aca="false">IF(AB641=1,IF(COUNTIFS($B$5:B641,B641,$D$5:D641,D641,$AB$5:AB641,1)=1,1,0),0)</f>
        <v>0</v>
      </c>
    </row>
    <row r="642" customFormat="false" ht="15" hidden="false" customHeight="false" outlineLevel="0" collapsed="false">
      <c r="A642" s="48" t="str">
        <f aca="false">STACK!A642</f>
        <v>ASH-0109</v>
      </c>
      <c r="B642" s="48" t="str">
        <f aca="false">STACK!B642</f>
        <v>ASH</v>
      </c>
      <c r="C642" s="48" t="str">
        <f aca="false">STACK!E642</f>
        <v>MH First Aid</v>
      </c>
      <c r="D642" s="1" t="str">
        <f aca="false">IFERROR(INDEX(MAP!$J$7:$J$101,MATCH(TRIM(C642),MAP!$I$7:$I$101,0)),"UNMAPPED")</f>
        <v>Mental Health First Aid Training</v>
      </c>
      <c r="E642" s="1" t="str">
        <f aca="false">IFERROR(INDEX(MAP!$K$7:$K$101,MATCH(TRIM(C642),MAP!$I$7:$I$101,0)),"")</f>
        <v>Behavioral health</v>
      </c>
      <c r="F642" s="1" t="str">
        <f aca="false">IFERROR(INDEX(MAP!$L$7:$L$101,MATCH(TRIM(C642),MAP!$I$7:$I$101,0)),"")</f>
        <v>Event</v>
      </c>
      <c r="G642" s="1" t="n">
        <f aca="false">IFERROR(MATCH(A642,CONFIRM!$A$5:$A$53,0),0)</f>
        <v>0</v>
      </c>
      <c r="H642" s="48" t="str">
        <f aca="false">STACK!F642</f>
        <v>Comm Hlth Ed</v>
      </c>
      <c r="I642" s="1" t="str">
        <f aca="false">IF(G642&gt;0,IF(INDEX(CONFIRM!$I$5:$I$53,G642)&lt;&gt;"",INDEX(CONFIRM!$I$5:$I$53,G642),H642),H642)</f>
        <v>Comm Hlth Ed</v>
      </c>
      <c r="J642" s="1" t="str">
        <f aca="false">IFERROR(INDEX(MAP!$F$7:$F$74,MATCH(TRIM(I642),MAP!$E$7:$E$74,0)),"UNMAPPED")</f>
        <v>Community health education</v>
      </c>
      <c r="K642" s="1" t="str">
        <f aca="false">IFERROR(INDEX(MAP!$G$7:$G$74,MATCH(TRIM(I642),MAP!$E$7:$E$74,0)),"UNMAPPED")</f>
        <v>7e</v>
      </c>
      <c r="L642" s="49" t="str">
        <f aca="false">STACK!G642</f>
        <v>12/06/2025</v>
      </c>
      <c r="M642" s="59" t="n">
        <f aca="false">IF(G642&gt;0,IF(INDEX(CONFIRM!$G$5:$G$53,G642)&lt;&gt;"",INDEX(CONFIRM!$G$5:$G$53,G642),IF(ISNUMBER(L642),L642,IFERROR(DATEVALUE(L642),""))),IF(ISNUMBER(L642),L642,IFERROR(DATEVALUE(L642),"")))</f>
        <v>45997</v>
      </c>
      <c r="N642" s="1" t="str">
        <f aca="false">IF(M642="","Check",IF(AND(M642&gt;=INPUTS!$C$6,M642&lt;=INPUTS!$C$7),"Yes","No"))</f>
        <v>Yes</v>
      </c>
      <c r="O642" s="48" t="str">
        <f aca="false">STACK!H642</f>
        <v>Hlth Educator</v>
      </c>
      <c r="P642" s="1" t="str">
        <f aca="false">IF(G642&gt;0,IF(INDEX(CONFIRM!$H$5:$H$53,G642)&lt;&gt;"",INDEX(CONFIRM!$H$5:$H$53,G642),IFERROR(INDEX(MAP!$B$7:$B$156,MATCH(TRIM(O642),MAP!$A$7:$A$156,0)),"UNMAPPED")),IFERROR(INDEX(MAP!$B$7:$B$156,MATCH(TRIM(O642),MAP!$A$7:$A$156,0)),"UNMAPPED"))</f>
        <v>Health Educator</v>
      </c>
      <c r="Q642" s="48" t="n">
        <f aca="false">STACK!I642</f>
        <v>8</v>
      </c>
      <c r="R642" s="60" t="n">
        <f aca="false">IF(G642&gt;0,IF(INDEX(CONFIRM!$F$5:$F$53,G642)&lt;&gt;"",INDEX(CONFIRM!$F$5:$F$53,G642),IF(ISNUMBER(Q642),Q642,IF(Q642="","",IFERROR(VALUE(TRIM(SUBSTITUTE(SUBSTITUTE(LOWER(Q642),"hrs",""),"hr",""))),"")))),IF(ISNUMBER(Q642),Q642,IF(Q642="","",IFERROR(VALUE(TRIM(SUBSTITUTE(SUBSTITUTE(LOWER(Q642),"hrs",""),"hr",""))),""))))</f>
        <v>8</v>
      </c>
      <c r="S642" s="57" t="n">
        <f aca="false">IFERROR(INDEX(RATES!$E$6:$E$28,MATCH(P642,RATES!$A$6:$A$28,0)),0)</f>
        <v>37.265</v>
      </c>
      <c r="T642" s="61" t="n">
        <f aca="false">IF(ISNUMBER(R642),R642,0)*S642</f>
        <v>298.12</v>
      </c>
      <c r="U642" s="61" t="n">
        <f aca="false">T642*INDEX(INPUTS!$H$10:$H$14,MATCH(B642,INPUTS!$A$10:$A$14,0))</f>
        <v>48.29544</v>
      </c>
      <c r="V642" s="61" t="n">
        <f aca="false">N(STACK!K642)</f>
        <v>0</v>
      </c>
      <c r="W642" s="61" t="n">
        <f aca="false">T642+U642+V642</f>
        <v>346.41544</v>
      </c>
      <c r="X642" s="61" t="n">
        <f aca="false">N(STACK!L642)</f>
        <v>0</v>
      </c>
      <c r="Y642" s="61" t="n">
        <f aca="false">W642-X642</f>
        <v>346.41544</v>
      </c>
      <c r="Z642" s="1" t="n">
        <f aca="false">N(STACK!J642)</f>
        <v>0</v>
      </c>
      <c r="AA642" s="1" t="str">
        <f aca="false">TRIM(IF(D642="UNMAPPED","Program not mapped. ","")&amp;IF(OR(K642="UNMAPPED",K642="UNASSIGNED"),"Category needs review. ","")&amp;IF(P642="UNMAPPED","Title not mapped. ","")&amp;IF(AND(P642&lt;&gt;"No staff time",R642=""),"Missing hours. ","")&amp;IF(M642="","Date not readable. ","")&amp;IF(N642="No","Outside fiscal year. ","")&amp;IF(AND(F642="Event",ISNUMBER(R642)),IF(R642&gt;12,"Event hours look high. ",""),"")&amp;IF(G642&gt;0,"See CONFIRM sheet.",""))</f>
        <v/>
      </c>
      <c r="AB642" s="1" t="n">
        <f aca="false">IF(N642="No",0,IF(REVIEW!O642=0,0,IF(G642&gt;0,IF(INDEX(CONFIRM!$J$5:$J$53,G642)&lt;&gt;"",INDEX(CONFIRM!$J$5:$J$53,G642),1),1)))</f>
        <v>1</v>
      </c>
      <c r="AC642" s="1" t="n">
        <f aca="false">IF(AB642=1,IF(COUNTIFS($B$5:B642,B642,$D$5:D642,D642,$AB$5:AB642,1)=1,1,0),0)</f>
        <v>0</v>
      </c>
    </row>
    <row r="643" customFormat="false" ht="15" hidden="false" customHeight="false" outlineLevel="0" collapsed="false">
      <c r="A643" s="48" t="str">
        <f aca="false">STACK!A643</f>
        <v>ASH-0110</v>
      </c>
      <c r="B643" s="48" t="str">
        <f aca="false">STACK!B643</f>
        <v>ASH</v>
      </c>
      <c r="C643" s="48" t="str">
        <f aca="false">STACK!E643</f>
        <v>MH First Aid</v>
      </c>
      <c r="D643" s="1" t="str">
        <f aca="false">IFERROR(INDEX(MAP!$J$7:$J$101,MATCH(TRIM(C643),MAP!$I$7:$I$101,0)),"UNMAPPED")</f>
        <v>Mental Health First Aid Training</v>
      </c>
      <c r="E643" s="1" t="str">
        <f aca="false">IFERROR(INDEX(MAP!$K$7:$K$101,MATCH(TRIM(C643),MAP!$I$7:$I$101,0)),"")</f>
        <v>Behavioral health</v>
      </c>
      <c r="F643" s="1" t="str">
        <f aca="false">IFERROR(INDEX(MAP!$L$7:$L$101,MATCH(TRIM(C643),MAP!$I$7:$I$101,0)),"")</f>
        <v>Event</v>
      </c>
      <c r="G643" s="1" t="n">
        <f aca="false">IFERROR(MATCH(A643,CONFIRM!$A$5:$A$53,0),0)</f>
        <v>0</v>
      </c>
      <c r="H643" s="48" t="str">
        <f aca="false">STACK!F643</f>
        <v>Comm Hlth Ed</v>
      </c>
      <c r="I643" s="1" t="str">
        <f aca="false">IF(G643&gt;0,IF(INDEX(CONFIRM!$I$5:$I$53,G643)&lt;&gt;"",INDEX(CONFIRM!$I$5:$I$53,G643),H643),H643)</f>
        <v>Comm Hlth Ed</v>
      </c>
      <c r="J643" s="1" t="str">
        <f aca="false">IFERROR(INDEX(MAP!$F$7:$F$74,MATCH(TRIM(I643),MAP!$E$7:$E$74,0)),"UNMAPPED")</f>
        <v>Community health education</v>
      </c>
      <c r="K643" s="1" t="str">
        <f aca="false">IFERROR(INDEX(MAP!$G$7:$G$74,MATCH(TRIM(I643),MAP!$E$7:$E$74,0)),"UNMAPPED")</f>
        <v>7e</v>
      </c>
      <c r="L643" s="49" t="str">
        <f aca="false">STACK!G643</f>
        <v>12/06/2025</v>
      </c>
      <c r="M643" s="59" t="n">
        <f aca="false">IF(G643&gt;0,IF(INDEX(CONFIRM!$G$5:$G$53,G643)&lt;&gt;"",INDEX(CONFIRM!$G$5:$G$53,G643),IF(ISNUMBER(L643),L643,IFERROR(DATEVALUE(L643),""))),IF(ISNUMBER(L643),L643,IFERROR(DATEVALUE(L643),"")))</f>
        <v>45997</v>
      </c>
      <c r="N643" s="1" t="str">
        <f aca="false">IF(M643="","Check",IF(AND(M643&gt;=INPUTS!$C$6,M643&lt;=INPUTS!$C$7),"Yes","No"))</f>
        <v>Yes</v>
      </c>
      <c r="O643" s="48" t="str">
        <f aca="false">STACK!H643</f>
        <v>Social Work</v>
      </c>
      <c r="P643" s="1" t="str">
        <f aca="false">IF(G643&gt;0,IF(INDEX(CONFIRM!$H$5:$H$53,G643)&lt;&gt;"",INDEX(CONFIRM!$H$5:$H$53,G643),IFERROR(INDEX(MAP!$B$7:$B$156,MATCH(TRIM(O643),MAP!$A$7:$A$156,0)),"UNMAPPED")),IFERROR(INDEX(MAP!$B$7:$B$156,MATCH(TRIM(O643),MAP!$A$7:$A$156,0)),"UNMAPPED"))</f>
        <v>Social Worker</v>
      </c>
      <c r="Q643" s="48" t="str">
        <f aca="false">STACK!I643</f>
        <v>8 hrs</v>
      </c>
      <c r="R643" s="60" t="n">
        <f aca="false">IF(G643&gt;0,IF(INDEX(CONFIRM!$F$5:$F$53,G643)&lt;&gt;"",INDEX(CONFIRM!$F$5:$F$53,G643),IF(ISNUMBER(Q643),Q643,IF(Q643="","",IFERROR(VALUE(TRIM(SUBSTITUTE(SUBSTITUTE(LOWER(Q643),"hrs",""),"hr",""))),"")))),IF(ISNUMBER(Q643),Q643,IF(Q643="","",IFERROR(VALUE(TRIM(SUBSTITUTE(SUBSTITUTE(LOWER(Q643),"hrs",""),"hr",""))),""))))</f>
        <v>8</v>
      </c>
      <c r="S643" s="57" t="n">
        <f aca="false">IFERROR(INDEX(RATES!$E$6:$E$28,MATCH(P643,RATES!$A$6:$A$28,0)),0)</f>
        <v>45.6175</v>
      </c>
      <c r="T643" s="61" t="n">
        <f aca="false">IF(ISNUMBER(R643),R643,0)*S643</f>
        <v>364.94</v>
      </c>
      <c r="U643" s="61" t="n">
        <f aca="false">T643*INDEX(INPUTS!$H$10:$H$14,MATCH(B643,INPUTS!$A$10:$A$14,0))</f>
        <v>59.12028</v>
      </c>
      <c r="V643" s="61" t="n">
        <f aca="false">N(STACK!K643)</f>
        <v>250</v>
      </c>
      <c r="W643" s="61" t="n">
        <f aca="false">T643+U643+V643</f>
        <v>674.06028</v>
      </c>
      <c r="X643" s="61" t="n">
        <f aca="false">N(STACK!L643)</f>
        <v>0</v>
      </c>
      <c r="Y643" s="61" t="n">
        <f aca="false">W643-X643</f>
        <v>674.06028</v>
      </c>
      <c r="Z643" s="1" t="n">
        <f aca="false">N(STACK!J643)</f>
        <v>26</v>
      </c>
      <c r="AA643" s="1" t="str">
        <f aca="false">TRIM(IF(D643="UNMAPPED","Program not mapped. ","")&amp;IF(OR(K643="UNMAPPED",K643="UNASSIGNED"),"Category needs review. ","")&amp;IF(P643="UNMAPPED","Title not mapped. ","")&amp;IF(AND(P643&lt;&gt;"No staff time",R643=""),"Missing hours. ","")&amp;IF(M643="","Date not readable. ","")&amp;IF(N643="No","Outside fiscal year. ","")&amp;IF(AND(F643="Event",ISNUMBER(R643)),IF(R643&gt;12,"Event hours look high. ",""),"")&amp;IF(G643&gt;0,"See CONFIRM sheet.",""))</f>
        <v/>
      </c>
      <c r="AB643" s="1" t="n">
        <f aca="false">IF(N643="No",0,IF(REVIEW!O643=0,0,IF(G643&gt;0,IF(INDEX(CONFIRM!$J$5:$J$53,G643)&lt;&gt;"",INDEX(CONFIRM!$J$5:$J$53,G643),1),1)))</f>
        <v>1</v>
      </c>
      <c r="AC643" s="1" t="n">
        <f aca="false">IF(AB643=1,IF(COUNTIFS($B$5:B643,B643,$D$5:D643,D643,$AB$5:AB643,1)=1,1,0),0)</f>
        <v>0</v>
      </c>
    </row>
    <row r="644" customFormat="false" ht="15" hidden="false" customHeight="false" outlineLevel="0" collapsed="false">
      <c r="A644" s="48" t="str">
        <f aca="false">STACK!A644</f>
        <v>ASH-0111</v>
      </c>
      <c r="B644" s="48" t="str">
        <f aca="false">STACK!B644</f>
        <v>ASH</v>
      </c>
      <c r="C644" s="48" t="str">
        <f aca="false">STACK!E644</f>
        <v>Leadership Academy</v>
      </c>
      <c r="D644" s="1" t="str">
        <f aca="false">IFERROR(INDEX(MAP!$J$7:$J$101,MATCH(TRIM(C644),MAP!$I$7:$I$101,0)),"UNMAPPED")</f>
        <v>Neighborhood Leadership Academy</v>
      </c>
      <c r="E644" s="1" t="str">
        <f aca="false">IFERROR(INDEX(MAP!$K$7:$K$101,MATCH(TRIM(C644),MAP!$I$7:$I$101,0)),"")</f>
        <v>Community benefit infrastructure</v>
      </c>
      <c r="F644" s="1" t="str">
        <f aca="false">IFERROR(INDEX(MAP!$L$7:$L$101,MATCH(TRIM(C644),MAP!$I$7:$I$101,0)),"")</f>
        <v>Event</v>
      </c>
      <c r="G644" s="1" t="n">
        <f aca="false">IFERROR(MATCH(A644,CONFIRM!$A$5:$A$53,0),0)</f>
        <v>0</v>
      </c>
      <c r="H644" s="48" t="str">
        <f aca="false">STACK!F644</f>
        <v>CB-Leadership Dev</v>
      </c>
      <c r="I644" s="1" t="str">
        <f aca="false">IF(G644&gt;0,IF(INDEX(CONFIRM!$I$5:$I$53,G644)&lt;&gt;"",INDEX(CONFIRM!$I$5:$I$53,G644),H644),H644)</f>
        <v>CB-Leadership Dev</v>
      </c>
      <c r="J644" s="1" t="str">
        <f aca="false">IFERROR(INDEX(MAP!$F$7:$F$74,MATCH(TRIM(I644),MAP!$E$7:$E$74,0)),"UNMAPPED")</f>
        <v>Community building: leadership development</v>
      </c>
      <c r="K644" s="1" t="str">
        <f aca="false">IFERROR(INDEX(MAP!$G$7:$G$74,MATCH(TRIM(I644),MAP!$E$7:$E$74,0)),"UNMAPPED")</f>
        <v>II-5</v>
      </c>
      <c r="L644" s="49" t="str">
        <f aca="false">STACK!G644</f>
        <v>12/06/2025</v>
      </c>
      <c r="M644" s="59" t="n">
        <f aca="false">IF(G644&gt;0,IF(INDEX(CONFIRM!$G$5:$G$53,G644)&lt;&gt;"",INDEX(CONFIRM!$G$5:$G$53,G644),IF(ISNUMBER(L644),L644,IFERROR(DATEVALUE(L644),""))),IF(ISNUMBER(L644),L644,IFERROR(DATEVALUE(L644),"")))</f>
        <v>45997</v>
      </c>
      <c r="N644" s="1" t="str">
        <f aca="false">IF(M644="","Check",IF(AND(M644&gt;=INPUTS!$C$6,M644&lt;=INPUTS!$C$7),"Yes","No"))</f>
        <v>Yes</v>
      </c>
      <c r="O644" s="48" t="str">
        <f aca="false">STACK!H644</f>
        <v>Health Education Specialist</v>
      </c>
      <c r="P644" s="1" t="str">
        <f aca="false">IF(G644&gt;0,IF(INDEX(CONFIRM!$H$5:$H$53,G644)&lt;&gt;"",INDEX(CONFIRM!$H$5:$H$53,G644),IFERROR(INDEX(MAP!$B$7:$B$156,MATCH(TRIM(O644),MAP!$A$7:$A$156,0)),"UNMAPPED")),IFERROR(INDEX(MAP!$B$7:$B$156,MATCH(TRIM(O644),MAP!$A$7:$A$156,0)),"UNMAPPED"))</f>
        <v>Health Educator</v>
      </c>
      <c r="Q644" s="48" t="n">
        <f aca="false">STACK!I644</f>
        <v>3</v>
      </c>
      <c r="R644" s="60" t="n">
        <f aca="false">IF(G644&gt;0,IF(INDEX(CONFIRM!$F$5:$F$53,G644)&lt;&gt;"",INDEX(CONFIRM!$F$5:$F$53,G644),IF(ISNUMBER(Q644),Q644,IF(Q644="","",IFERROR(VALUE(TRIM(SUBSTITUTE(SUBSTITUTE(LOWER(Q644),"hrs",""),"hr",""))),"")))),IF(ISNUMBER(Q644),Q644,IF(Q644="","",IFERROR(VALUE(TRIM(SUBSTITUTE(SUBSTITUTE(LOWER(Q644),"hrs",""),"hr",""))),""))))</f>
        <v>3</v>
      </c>
      <c r="S644" s="57" t="n">
        <f aca="false">IFERROR(INDEX(RATES!$E$6:$E$28,MATCH(P644,RATES!$A$6:$A$28,0)),0)</f>
        <v>37.265</v>
      </c>
      <c r="T644" s="61" t="n">
        <f aca="false">IF(ISNUMBER(R644),R644,0)*S644</f>
        <v>111.795</v>
      </c>
      <c r="U644" s="61" t="n">
        <f aca="false">T644*INDEX(INPUTS!$H$10:$H$14,MATCH(B644,INPUTS!$A$10:$A$14,0))</f>
        <v>18.11079</v>
      </c>
      <c r="V644" s="61" t="n">
        <f aca="false">N(STACK!K644)</f>
        <v>0</v>
      </c>
      <c r="W644" s="61" t="n">
        <f aca="false">T644+U644+V644</f>
        <v>129.90579</v>
      </c>
      <c r="X644" s="61" t="n">
        <f aca="false">N(STACK!L644)</f>
        <v>0</v>
      </c>
      <c r="Y644" s="61" t="n">
        <f aca="false">W644-X644</f>
        <v>129.90579</v>
      </c>
      <c r="Z644" s="1" t="n">
        <f aca="false">N(STACK!J644)</f>
        <v>0</v>
      </c>
      <c r="AA644" s="1" t="str">
        <f aca="false">TRIM(IF(D644="UNMAPPED","Program not mapped. ","")&amp;IF(OR(K644="UNMAPPED",K644="UNASSIGNED"),"Category needs review. ","")&amp;IF(P644="UNMAPPED","Title not mapped. ","")&amp;IF(AND(P644&lt;&gt;"No staff time",R644=""),"Missing hours. ","")&amp;IF(M644="","Date not readable. ","")&amp;IF(N644="No","Outside fiscal year. ","")&amp;IF(AND(F644="Event",ISNUMBER(R644)),IF(R644&gt;12,"Event hours look high. ",""),"")&amp;IF(G644&gt;0,"See CONFIRM sheet.",""))</f>
        <v/>
      </c>
      <c r="AB644" s="1" t="n">
        <f aca="false">IF(N644="No",0,IF(REVIEW!O644=0,0,IF(G644&gt;0,IF(INDEX(CONFIRM!$J$5:$J$53,G644)&lt;&gt;"",INDEX(CONFIRM!$J$5:$J$53,G644),1),1)))</f>
        <v>1</v>
      </c>
      <c r="AC644" s="1" t="n">
        <f aca="false">IF(AB644=1,IF(COUNTIFS($B$5:B644,B644,$D$5:D644,D644,$AB$5:AB644,1)=1,1,0),0)</f>
        <v>0</v>
      </c>
    </row>
    <row r="645" customFormat="false" ht="15" hidden="false" customHeight="false" outlineLevel="0" collapsed="false">
      <c r="A645" s="48" t="str">
        <f aca="false">STACK!A645</f>
        <v>ASH-0112</v>
      </c>
      <c r="B645" s="48" t="str">
        <f aca="false">STACK!B645</f>
        <v>ASH</v>
      </c>
      <c r="C645" s="48" t="str">
        <f aca="false">STACK!E645</f>
        <v>Leadership Academy</v>
      </c>
      <c r="D645" s="1" t="str">
        <f aca="false">IFERROR(INDEX(MAP!$J$7:$J$101,MATCH(TRIM(C645),MAP!$I$7:$I$101,0)),"UNMAPPED")</f>
        <v>Neighborhood Leadership Academy</v>
      </c>
      <c r="E645" s="1" t="str">
        <f aca="false">IFERROR(INDEX(MAP!$K$7:$K$101,MATCH(TRIM(C645),MAP!$I$7:$I$101,0)),"")</f>
        <v>Community benefit infrastructure</v>
      </c>
      <c r="F645" s="1" t="str">
        <f aca="false">IFERROR(INDEX(MAP!$L$7:$L$101,MATCH(TRIM(C645),MAP!$I$7:$I$101,0)),"")</f>
        <v>Event</v>
      </c>
      <c r="G645" s="1" t="n">
        <f aca="false">IFERROR(MATCH(A645,CONFIRM!$A$5:$A$53,0),0)</f>
        <v>0</v>
      </c>
      <c r="H645" s="48" t="str">
        <f aca="false">STACK!F645</f>
        <v>CB-Leadership Dev</v>
      </c>
      <c r="I645" s="1" t="str">
        <f aca="false">IF(G645&gt;0,IF(INDEX(CONFIRM!$I$5:$I$53,G645)&lt;&gt;"",INDEX(CONFIRM!$I$5:$I$53,G645),H645),H645)</f>
        <v>CB-Leadership Dev</v>
      </c>
      <c r="J645" s="1" t="str">
        <f aca="false">IFERROR(INDEX(MAP!$F$7:$F$74,MATCH(TRIM(I645),MAP!$E$7:$E$74,0)),"UNMAPPED")</f>
        <v>Community building: leadership development</v>
      </c>
      <c r="K645" s="1" t="str">
        <f aca="false">IFERROR(INDEX(MAP!$G$7:$G$74,MATCH(TRIM(I645),MAP!$E$7:$E$74,0)),"UNMAPPED")</f>
        <v>II-5</v>
      </c>
      <c r="L645" s="49" t="str">
        <f aca="false">STACK!G645</f>
        <v>12/06/2025</v>
      </c>
      <c r="M645" s="59" t="n">
        <f aca="false">IF(G645&gt;0,IF(INDEX(CONFIRM!$G$5:$G$53,G645)&lt;&gt;"",INDEX(CONFIRM!$G$5:$G$53,G645),IF(ISNUMBER(L645),L645,IFERROR(DATEVALUE(L645),""))),IF(ISNUMBER(L645),L645,IFERROR(DATEVALUE(L645),"")))</f>
        <v>45997</v>
      </c>
      <c r="N645" s="1" t="str">
        <f aca="false">IF(M645="","Check",IF(AND(M645&gt;=INPUTS!$C$6,M645&lt;=INPUTS!$C$7),"Yes","No"))</f>
        <v>Yes</v>
      </c>
      <c r="O645" s="48" t="str">
        <f aca="false">STACK!H645</f>
        <v>Residency Coordinator</v>
      </c>
      <c r="P645" s="1" t="str">
        <f aca="false">IF(G645&gt;0,IF(INDEX(CONFIRM!$H$5:$H$53,G645)&lt;&gt;"",INDEX(CONFIRM!$H$5:$H$53,G645),IFERROR(INDEX(MAP!$B$7:$B$156,MATCH(TRIM(O645),MAP!$A$7:$A$156,0)),"UNMAPPED")),IFERROR(INDEX(MAP!$B$7:$B$156,MATCH(TRIM(O645),MAP!$A$7:$A$156,0)),"UNMAPPED"))</f>
        <v>Program Coordinator</v>
      </c>
      <c r="Q645" s="48" t="n">
        <f aca="false">STACK!I645</f>
        <v>5</v>
      </c>
      <c r="R645" s="60" t="n">
        <f aca="false">IF(G645&gt;0,IF(INDEX(CONFIRM!$F$5:$F$53,G645)&lt;&gt;"",INDEX(CONFIRM!$F$5:$F$53,G645),IF(ISNUMBER(Q645),Q645,IF(Q645="","",IFERROR(VALUE(TRIM(SUBSTITUTE(SUBSTITUTE(LOWER(Q645),"hrs",""),"hr",""))),"")))),IF(ISNUMBER(Q645),Q645,IF(Q645="","",IFERROR(VALUE(TRIM(SUBSTITUTE(SUBSTITUTE(LOWER(Q645),"hrs",""),"hr",""))),""))))</f>
        <v>5</v>
      </c>
      <c r="S645" s="57" t="n">
        <f aca="false">IFERROR(INDEX(RATES!$E$6:$E$28,MATCH(P645,RATES!$A$6:$A$28,0)),0)</f>
        <v>35.3375</v>
      </c>
      <c r="T645" s="61" t="n">
        <f aca="false">IF(ISNUMBER(R645),R645,0)*S645</f>
        <v>176.6875</v>
      </c>
      <c r="U645" s="61" t="n">
        <f aca="false">T645*INDEX(INPUTS!$H$10:$H$14,MATCH(B645,INPUTS!$A$10:$A$14,0))</f>
        <v>28.623375</v>
      </c>
      <c r="V645" s="61" t="n">
        <f aca="false">N(STACK!K645)</f>
        <v>410</v>
      </c>
      <c r="W645" s="61" t="n">
        <f aca="false">T645+U645+V645</f>
        <v>615.310875</v>
      </c>
      <c r="X645" s="61" t="n">
        <f aca="false">N(STACK!L645)</f>
        <v>0</v>
      </c>
      <c r="Y645" s="61" t="n">
        <f aca="false">W645-X645</f>
        <v>615.310875</v>
      </c>
      <c r="Z645" s="1" t="n">
        <f aca="false">N(STACK!J645)</f>
        <v>24</v>
      </c>
      <c r="AA645" s="1" t="str">
        <f aca="false">TRIM(IF(D645="UNMAPPED","Program not mapped. ","")&amp;IF(OR(K645="UNMAPPED",K645="UNASSIGNED"),"Category needs review. ","")&amp;IF(P645="UNMAPPED","Title not mapped. ","")&amp;IF(AND(P645&lt;&gt;"No staff time",R645=""),"Missing hours. ","")&amp;IF(M645="","Date not readable. ","")&amp;IF(N645="No","Outside fiscal year. ","")&amp;IF(AND(F645="Event",ISNUMBER(R645)),IF(R645&gt;12,"Event hours look high. ",""),"")&amp;IF(G645&gt;0,"See CONFIRM sheet.",""))</f>
        <v/>
      </c>
      <c r="AB645" s="1" t="n">
        <f aca="false">IF(N645="No",0,IF(REVIEW!O645=0,0,IF(G645&gt;0,IF(INDEX(CONFIRM!$J$5:$J$53,G645)&lt;&gt;"",INDEX(CONFIRM!$J$5:$J$53,G645),1),1)))</f>
        <v>1</v>
      </c>
      <c r="AC645" s="1" t="n">
        <f aca="false">IF(AB645=1,IF(COUNTIFS($B$5:B645,B645,$D$5:D645,D645,$AB$5:AB645,1)=1,1,0),0)</f>
        <v>0</v>
      </c>
    </row>
    <row r="646" customFormat="false" ht="15" hidden="false" customHeight="false" outlineLevel="0" collapsed="false">
      <c r="A646" s="48" t="str">
        <f aca="false">STACK!A646</f>
        <v>ASH-0113</v>
      </c>
      <c r="B646" s="48" t="str">
        <f aca="false">STACK!B646</f>
        <v>ASH</v>
      </c>
      <c r="C646" s="48" t="str">
        <f aca="false">STACK!E646</f>
        <v>Fall Prevention</v>
      </c>
      <c r="D646" s="1" t="str">
        <f aca="false">IFERROR(INDEX(MAP!$J$7:$J$101,MATCH(TRIM(C646),MAP!$I$7:$I$101,0)),"UNMAPPED")</f>
        <v>Fall Prevention Classes for Older Adults</v>
      </c>
      <c r="E646" s="1" t="str">
        <f aca="false">IFERROR(INDEX(MAP!$K$7:$K$101,MATCH(TRIM(C646),MAP!$I$7:$I$101,0)),"")</f>
        <v>Chronic disease prevention</v>
      </c>
      <c r="F646" s="1" t="str">
        <f aca="false">IFERROR(INDEX(MAP!$L$7:$L$101,MATCH(TRIM(C646),MAP!$I$7:$I$101,0)),"")</f>
        <v>Event</v>
      </c>
      <c r="G646" s="1" t="n">
        <f aca="false">IFERROR(MATCH(A646,CONFIRM!$A$5:$A$53,0),0)</f>
        <v>0</v>
      </c>
      <c r="H646" s="48" t="str">
        <f aca="false">STACK!F646</f>
        <v>Comm Hlth Ed</v>
      </c>
      <c r="I646" s="1" t="str">
        <f aca="false">IF(G646&gt;0,IF(INDEX(CONFIRM!$I$5:$I$53,G646)&lt;&gt;"",INDEX(CONFIRM!$I$5:$I$53,G646),H646),H646)</f>
        <v>Comm Hlth Ed</v>
      </c>
      <c r="J646" s="1" t="str">
        <f aca="false">IFERROR(INDEX(MAP!$F$7:$F$74,MATCH(TRIM(I646),MAP!$E$7:$E$74,0)),"UNMAPPED")</f>
        <v>Community health education</v>
      </c>
      <c r="K646" s="1" t="str">
        <f aca="false">IFERROR(INDEX(MAP!$G$7:$G$74,MATCH(TRIM(I646),MAP!$E$7:$E$74,0)),"UNMAPPED")</f>
        <v>7e</v>
      </c>
      <c r="L646" s="49" t="str">
        <f aca="false">STACK!G646</f>
        <v>12/09/2025</v>
      </c>
      <c r="M646" s="59" t="n">
        <f aca="false">IF(G646&gt;0,IF(INDEX(CONFIRM!$G$5:$G$53,G646)&lt;&gt;"",INDEX(CONFIRM!$G$5:$G$53,G646),IF(ISNUMBER(L646),L646,IFERROR(DATEVALUE(L646),""))),IF(ISNUMBER(L646),L646,IFERROR(DATEVALUE(L646),"")))</f>
        <v>46000</v>
      </c>
      <c r="N646" s="1" t="str">
        <f aca="false">IF(M646="","Check",IF(AND(M646&gt;=INPUTS!$C$6,M646&lt;=INPUTS!$C$7),"Yes","No"))</f>
        <v>Yes</v>
      </c>
      <c r="O646" s="48" t="str">
        <f aca="false">STACK!H646</f>
        <v>PT</v>
      </c>
      <c r="P646" s="1" t="str">
        <f aca="false">IF(G646&gt;0,IF(INDEX(CONFIRM!$H$5:$H$53,G646)&lt;&gt;"",INDEX(CONFIRM!$H$5:$H$53,G646),IFERROR(INDEX(MAP!$B$7:$B$156,MATCH(TRIM(O646),MAP!$A$7:$A$156,0)),"UNMAPPED")),IFERROR(INDEX(MAP!$B$7:$B$156,MATCH(TRIM(O646),MAP!$A$7:$A$156,0)),"UNMAPPED"))</f>
        <v>Licensed Therapist</v>
      </c>
      <c r="Q646" s="48" t="n">
        <f aca="false">STACK!I646</f>
        <v>2</v>
      </c>
      <c r="R646" s="60" t="n">
        <f aca="false">IF(G646&gt;0,IF(INDEX(CONFIRM!$F$5:$F$53,G646)&lt;&gt;"",INDEX(CONFIRM!$F$5:$F$53,G646),IF(ISNUMBER(Q646),Q646,IF(Q646="","",IFERROR(VALUE(TRIM(SUBSTITUTE(SUBSTITUTE(LOWER(Q646),"hrs",""),"hr",""))),"")))),IF(ISNUMBER(Q646),Q646,IF(Q646="","",IFERROR(VALUE(TRIM(SUBSTITUTE(SUBSTITUTE(LOWER(Q646),"hrs",""),"hr",""))),""))))</f>
        <v>2</v>
      </c>
      <c r="S646" s="57" t="n">
        <f aca="false">IFERROR(INDEX(RATES!$E$6:$E$28,MATCH(P646,RATES!$A$6:$A$28,0)),0)</f>
        <v>53.97</v>
      </c>
      <c r="T646" s="61" t="n">
        <f aca="false">IF(ISNUMBER(R646),R646,0)*S646</f>
        <v>107.94</v>
      </c>
      <c r="U646" s="61" t="n">
        <f aca="false">T646*INDEX(INPUTS!$H$10:$H$14,MATCH(B646,INPUTS!$A$10:$A$14,0))</f>
        <v>17.48628</v>
      </c>
      <c r="V646" s="61" t="n">
        <f aca="false">N(STACK!K646)</f>
        <v>65</v>
      </c>
      <c r="W646" s="61" t="n">
        <f aca="false">T646+U646+V646</f>
        <v>190.42628</v>
      </c>
      <c r="X646" s="61" t="n">
        <f aca="false">N(STACK!L646)</f>
        <v>0</v>
      </c>
      <c r="Y646" s="61" t="n">
        <f aca="false">W646-X646</f>
        <v>190.42628</v>
      </c>
      <c r="Z646" s="1" t="n">
        <f aca="false">N(STACK!J646)</f>
        <v>13</v>
      </c>
      <c r="AA646" s="1" t="str">
        <f aca="false">TRIM(IF(D646="UNMAPPED","Program not mapped. ","")&amp;IF(OR(K646="UNMAPPED",K646="UNASSIGNED"),"Category needs review. ","")&amp;IF(P646="UNMAPPED","Title not mapped. ","")&amp;IF(AND(P646&lt;&gt;"No staff time",R646=""),"Missing hours. ","")&amp;IF(M646="","Date not readable. ","")&amp;IF(N646="No","Outside fiscal year. ","")&amp;IF(AND(F646="Event",ISNUMBER(R646)),IF(R646&gt;12,"Event hours look high. ",""),"")&amp;IF(G646&gt;0,"See CONFIRM sheet.",""))</f>
        <v/>
      </c>
      <c r="AB646" s="1" t="n">
        <f aca="false">IF(N646="No",0,IF(REVIEW!O646=0,0,IF(G646&gt;0,IF(INDEX(CONFIRM!$J$5:$J$53,G646)&lt;&gt;"",INDEX(CONFIRM!$J$5:$J$53,G646),1),1)))</f>
        <v>1</v>
      </c>
      <c r="AC646" s="1" t="n">
        <f aca="false">IF(AB646=1,IF(COUNTIFS($B$5:B646,B646,$D$5:D646,D646,$AB$5:AB646,1)=1,1,0),0)</f>
        <v>0</v>
      </c>
    </row>
    <row r="647" customFormat="false" ht="15" hidden="false" customHeight="false" outlineLevel="0" collapsed="false">
      <c r="A647" s="48" t="str">
        <f aca="false">STACK!A647</f>
        <v>ASH-0114</v>
      </c>
      <c r="B647" s="48" t="str">
        <f aca="false">STACK!B647</f>
        <v>ASH</v>
      </c>
      <c r="C647" s="48" t="str">
        <f aca="false">STACK!E647</f>
        <v>Regional Health Coalition Mtg</v>
      </c>
      <c r="D647" s="1" t="str">
        <f aca="false">IFERROR(INDEX(MAP!$J$7:$J$101,MATCH(TRIM(C647),MAP!$I$7:$I$101,0)),"UNMAPPED")</f>
        <v>Regional Health Coalition</v>
      </c>
      <c r="E647" s="1" t="str">
        <f aca="false">IFERROR(INDEX(MAP!$K$7:$K$101,MATCH(TRIM(C647),MAP!$I$7:$I$101,0)),"")</f>
        <v>Community benefit infrastructure</v>
      </c>
      <c r="F647" s="1" t="str">
        <f aca="false">IFERROR(INDEX(MAP!$L$7:$L$101,MATCH(TRIM(C647),MAP!$I$7:$I$101,0)),"")</f>
        <v>Event</v>
      </c>
      <c r="G647" s="1" t="n">
        <f aca="false">IFERROR(MATCH(A647,CONFIRM!$A$5:$A$53,0),0)</f>
        <v>0</v>
      </c>
      <c r="H647" s="48" t="str">
        <f aca="false">STACK!F647</f>
        <v>CB-Coalition Bldg</v>
      </c>
      <c r="I647" s="1" t="str">
        <f aca="false">IF(G647&gt;0,IF(INDEX(CONFIRM!$I$5:$I$53,G647)&lt;&gt;"",INDEX(CONFIRM!$I$5:$I$53,G647),H647),H647)</f>
        <v>CB-Coalition Bldg</v>
      </c>
      <c r="J647" s="1" t="str">
        <f aca="false">IFERROR(INDEX(MAP!$F$7:$F$74,MATCH(TRIM(I647),MAP!$E$7:$E$74,0)),"UNMAPPED")</f>
        <v>Community building: coalition building</v>
      </c>
      <c r="K647" s="1" t="str">
        <f aca="false">IFERROR(INDEX(MAP!$G$7:$G$74,MATCH(TRIM(I647),MAP!$E$7:$E$74,0)),"UNMAPPED")</f>
        <v>II-6</v>
      </c>
      <c r="L647" s="49" t="str">
        <f aca="false">STACK!G647</f>
        <v>12/12/2025</v>
      </c>
      <c r="M647" s="59" t="n">
        <f aca="false">IF(G647&gt;0,IF(INDEX(CONFIRM!$G$5:$G$53,G647)&lt;&gt;"",INDEX(CONFIRM!$G$5:$G$53,G647),IF(ISNUMBER(L647),L647,IFERROR(DATEVALUE(L647),""))),IF(ISNUMBER(L647),L647,IFERROR(DATEVALUE(L647),"")))</f>
        <v>46003</v>
      </c>
      <c r="N647" s="1" t="str">
        <f aca="false">IF(M647="","Check",IF(AND(M647&gt;=INPUTS!$C$6,M647&lt;=INPUTS!$C$7),"Yes","No"))</f>
        <v>Yes</v>
      </c>
      <c r="O647" s="48" t="str">
        <f aca="false">STACK!H647</f>
        <v>CB Manager</v>
      </c>
      <c r="P647" s="1" t="str">
        <f aca="false">IF(G647&gt;0,IF(INDEX(CONFIRM!$H$5:$H$53,G647)&lt;&gt;"",INDEX(CONFIRM!$H$5:$H$53,G647),IFERROR(INDEX(MAP!$B$7:$B$156,MATCH(TRIM(O647),MAP!$A$7:$A$156,0)),"UNMAPPED")),IFERROR(INDEX(MAP!$B$7:$B$156,MATCH(TRIM(O647),MAP!$A$7:$A$156,0)),"UNMAPPED"))</f>
        <v>Community Benefit Manager</v>
      </c>
      <c r="Q647" s="48" t="n">
        <f aca="false">STACK!I647</f>
        <v>3</v>
      </c>
      <c r="R647" s="60" t="n">
        <f aca="false">IF(G647&gt;0,IF(INDEX(CONFIRM!$F$5:$F$53,G647)&lt;&gt;"",INDEX(CONFIRM!$F$5:$F$53,G647),IF(ISNUMBER(Q647),Q647,IF(Q647="","",IFERROR(VALUE(TRIM(SUBSTITUTE(SUBSTITUTE(LOWER(Q647),"hrs",""),"hr",""))),"")))),IF(ISNUMBER(Q647),Q647,IF(Q647="","",IFERROR(VALUE(TRIM(SUBSTITUTE(SUBSTITUTE(LOWER(Q647),"hrs",""),"hr",""))),""))))</f>
        <v>3</v>
      </c>
      <c r="S647" s="57" t="n">
        <f aca="false">IFERROR(INDEX(RATES!$E$6:$E$28,MATCH(P647,RATES!$A$6:$A$28,0)),0)</f>
        <v>59.11</v>
      </c>
      <c r="T647" s="61" t="n">
        <f aca="false">IF(ISNUMBER(R647),R647,0)*S647</f>
        <v>177.33</v>
      </c>
      <c r="U647" s="61" t="n">
        <f aca="false">T647*INDEX(INPUTS!$H$10:$H$14,MATCH(B647,INPUTS!$A$10:$A$14,0))</f>
        <v>28.72746</v>
      </c>
      <c r="V647" s="61" t="n">
        <f aca="false">N(STACK!K647)</f>
        <v>0</v>
      </c>
      <c r="W647" s="61" t="n">
        <f aca="false">T647+U647+V647</f>
        <v>206.05746</v>
      </c>
      <c r="X647" s="61" t="n">
        <f aca="false">N(STACK!L647)</f>
        <v>0</v>
      </c>
      <c r="Y647" s="61" t="n">
        <f aca="false">W647-X647</f>
        <v>206.05746</v>
      </c>
      <c r="Z647" s="1" t="n">
        <f aca="false">N(STACK!J647)</f>
        <v>0</v>
      </c>
      <c r="AA647" s="1" t="str">
        <f aca="false">TRIM(IF(D647="UNMAPPED","Program not mapped. ","")&amp;IF(OR(K647="UNMAPPED",K647="UNASSIGNED"),"Category needs review. ","")&amp;IF(P647="UNMAPPED","Title not mapped. ","")&amp;IF(AND(P647&lt;&gt;"No staff time",R647=""),"Missing hours. ","")&amp;IF(M647="","Date not readable. ","")&amp;IF(N647="No","Outside fiscal year. ","")&amp;IF(AND(F647="Event",ISNUMBER(R647)),IF(R647&gt;12,"Event hours look high. ",""),"")&amp;IF(G647&gt;0,"See CONFIRM sheet.",""))</f>
        <v/>
      </c>
      <c r="AB647" s="1" t="n">
        <f aca="false">IF(N647="No",0,IF(REVIEW!O647=0,0,IF(G647&gt;0,IF(INDEX(CONFIRM!$J$5:$J$53,G647)&lt;&gt;"",INDEX(CONFIRM!$J$5:$J$53,G647),1),1)))</f>
        <v>1</v>
      </c>
      <c r="AC647" s="1" t="n">
        <f aca="false">IF(AB647=1,IF(COUNTIFS($B$5:B647,B647,$D$5:D647,D647,$AB$5:AB647,1)=1,1,0),0)</f>
        <v>0</v>
      </c>
    </row>
    <row r="648" customFormat="false" ht="15" hidden="false" customHeight="false" outlineLevel="0" collapsed="false">
      <c r="A648" s="48" t="str">
        <f aca="false">STACK!A648</f>
        <v>ASH-0115</v>
      </c>
      <c r="B648" s="48" t="str">
        <f aca="false">STACK!B648</f>
        <v>ASH</v>
      </c>
      <c r="C648" s="48" t="str">
        <f aca="false">STACK!E648</f>
        <v>Regional Health Coalition Mtg</v>
      </c>
      <c r="D648" s="1" t="str">
        <f aca="false">IFERROR(INDEX(MAP!$J$7:$J$101,MATCH(TRIM(C648),MAP!$I$7:$I$101,0)),"UNMAPPED")</f>
        <v>Regional Health Coalition</v>
      </c>
      <c r="E648" s="1" t="str">
        <f aca="false">IFERROR(INDEX(MAP!$K$7:$K$101,MATCH(TRIM(C648),MAP!$I$7:$I$101,0)),"")</f>
        <v>Community benefit infrastructure</v>
      </c>
      <c r="F648" s="1" t="str">
        <f aca="false">IFERROR(INDEX(MAP!$L$7:$L$101,MATCH(TRIM(C648),MAP!$I$7:$I$101,0)),"")</f>
        <v>Event</v>
      </c>
      <c r="G648" s="1" t="n">
        <f aca="false">IFERROR(MATCH(A648,CONFIRM!$A$5:$A$53,0),0)</f>
        <v>0</v>
      </c>
      <c r="H648" s="48" t="str">
        <f aca="false">STACK!F648</f>
        <v>CB-Coalition Bldg</v>
      </c>
      <c r="I648" s="1" t="str">
        <f aca="false">IF(G648&gt;0,IF(INDEX(CONFIRM!$I$5:$I$53,G648)&lt;&gt;"",INDEX(CONFIRM!$I$5:$I$53,G648),H648),H648)</f>
        <v>CB-Coalition Bldg</v>
      </c>
      <c r="J648" s="1" t="str">
        <f aca="false">IFERROR(INDEX(MAP!$F$7:$F$74,MATCH(TRIM(I648),MAP!$E$7:$E$74,0)),"UNMAPPED")</f>
        <v>Community building: coalition building</v>
      </c>
      <c r="K648" s="1" t="str">
        <f aca="false">IFERROR(INDEX(MAP!$G$7:$G$74,MATCH(TRIM(I648),MAP!$E$7:$E$74,0)),"UNMAPPED")</f>
        <v>II-6</v>
      </c>
      <c r="L648" s="49" t="str">
        <f aca="false">STACK!G648</f>
        <v>12/12/2025</v>
      </c>
      <c r="M648" s="59" t="n">
        <f aca="false">IF(G648&gt;0,IF(INDEX(CONFIRM!$G$5:$G$53,G648)&lt;&gt;"",INDEX(CONFIRM!$G$5:$G$53,G648),IF(ISNUMBER(L648),L648,IFERROR(DATEVALUE(L648),""))),IF(ISNUMBER(L648),L648,IFERROR(DATEVALUE(L648),"")))</f>
        <v>46003</v>
      </c>
      <c r="N648" s="1" t="str">
        <f aca="false">IF(M648="","Check",IF(AND(M648&gt;=INPUTS!$C$6,M648&lt;=INPUTS!$C$7),"Yes","No"))</f>
        <v>Yes</v>
      </c>
      <c r="O648" s="48" t="str">
        <f aca="false">STACK!H648</f>
        <v>Dir.</v>
      </c>
      <c r="P648" s="1" t="str">
        <f aca="false">IF(G648&gt;0,IF(INDEX(CONFIRM!$H$5:$H$53,G648)&lt;&gt;"",INDEX(CONFIRM!$H$5:$H$53,G648),IFERROR(INDEX(MAP!$B$7:$B$156,MATCH(TRIM(O648),MAP!$A$7:$A$156,0)),"UNMAPPED")),IFERROR(INDEX(MAP!$B$7:$B$156,MATCH(TRIM(O648),MAP!$A$7:$A$156,0)),"UNMAPPED"))</f>
        <v>Director</v>
      </c>
      <c r="Q648" s="48" t="n">
        <f aca="false">STACK!I648</f>
        <v>2.75</v>
      </c>
      <c r="R648" s="60" t="n">
        <f aca="false">IF(G648&gt;0,IF(INDEX(CONFIRM!$F$5:$F$53,G648)&lt;&gt;"",INDEX(CONFIRM!$F$5:$F$53,G648),IF(ISNUMBER(Q648),Q648,IF(Q648="","",IFERROR(VALUE(TRIM(SUBSTITUTE(SUBSTITUTE(LOWER(Q648),"hrs",""),"hr",""))),"")))),IF(ISNUMBER(Q648),Q648,IF(Q648="","",IFERROR(VALUE(TRIM(SUBSTITUTE(SUBSTITUTE(LOWER(Q648),"hrs",""),"hr",""))),""))))</f>
        <v>2.75</v>
      </c>
      <c r="S648" s="57" t="n">
        <f aca="false">IFERROR(INDEX(RATES!$E$6:$E$28,MATCH(P648,RATES!$A$6:$A$28,0)),0)</f>
        <v>92.52</v>
      </c>
      <c r="T648" s="61" t="n">
        <f aca="false">IF(ISNUMBER(R648),R648,0)*S648</f>
        <v>254.43</v>
      </c>
      <c r="U648" s="61" t="n">
        <f aca="false">T648*INDEX(INPUTS!$H$10:$H$14,MATCH(B648,INPUTS!$A$10:$A$14,0))</f>
        <v>41.21766</v>
      </c>
      <c r="V648" s="61" t="n">
        <f aca="false">N(STACK!K648)</f>
        <v>110</v>
      </c>
      <c r="W648" s="61" t="n">
        <f aca="false">T648+U648+V648</f>
        <v>405.64766</v>
      </c>
      <c r="X648" s="61" t="n">
        <f aca="false">N(STACK!L648)</f>
        <v>0</v>
      </c>
      <c r="Y648" s="61" t="n">
        <f aca="false">W648-X648</f>
        <v>405.64766</v>
      </c>
      <c r="Z648" s="1" t="n">
        <f aca="false">N(STACK!J648)</f>
        <v>0</v>
      </c>
      <c r="AA648" s="1" t="str">
        <f aca="false">TRIM(IF(D648="UNMAPPED","Program not mapped. ","")&amp;IF(OR(K648="UNMAPPED",K648="UNASSIGNED"),"Category needs review. ","")&amp;IF(P648="UNMAPPED","Title not mapped. ","")&amp;IF(AND(P648&lt;&gt;"No staff time",R648=""),"Missing hours. ","")&amp;IF(M648="","Date not readable. ","")&amp;IF(N648="No","Outside fiscal year. ","")&amp;IF(AND(F648="Event",ISNUMBER(R648)),IF(R648&gt;12,"Event hours look high. ",""),"")&amp;IF(G648&gt;0,"See CONFIRM sheet.",""))</f>
        <v/>
      </c>
      <c r="AB648" s="1" t="n">
        <f aca="false">IF(N648="No",0,IF(REVIEW!O648=0,0,IF(G648&gt;0,IF(INDEX(CONFIRM!$J$5:$J$53,G648)&lt;&gt;"",INDEX(CONFIRM!$J$5:$J$53,G648),1),1)))</f>
        <v>1</v>
      </c>
      <c r="AC648" s="1" t="n">
        <f aca="false">IF(AB648=1,IF(COUNTIFS($B$5:B648,B648,$D$5:D648,D648,$AB$5:AB648,1)=1,1,0),0)</f>
        <v>0</v>
      </c>
    </row>
    <row r="649" customFormat="false" ht="15" hidden="false" customHeight="false" outlineLevel="0" collapsed="false">
      <c r="A649" s="48" t="str">
        <f aca="false">STACK!A649</f>
        <v>ASH-0116</v>
      </c>
      <c r="B649" s="48" t="str">
        <f aca="false">STACK!B649</f>
        <v>ASH</v>
      </c>
      <c r="C649" s="48" t="str">
        <f aca="false">STACK!E649</f>
        <v>DPP Classes</v>
      </c>
      <c r="D649" s="1" t="str">
        <f aca="false">IFERROR(INDEX(MAP!$J$7:$J$101,MATCH(TRIM(C649),MAP!$I$7:$I$101,0)),"UNMAPPED")</f>
        <v>Diabetes Prevention Classes</v>
      </c>
      <c r="E649" s="1" t="str">
        <f aca="false">IFERROR(INDEX(MAP!$K$7:$K$101,MATCH(TRIM(C649),MAP!$I$7:$I$101,0)),"")</f>
        <v>Chronic disease prevention</v>
      </c>
      <c r="F649" s="1" t="str">
        <f aca="false">IFERROR(INDEX(MAP!$L$7:$L$101,MATCH(TRIM(C649),MAP!$I$7:$I$101,0)),"")</f>
        <v>Event</v>
      </c>
      <c r="G649" s="1" t="n">
        <f aca="false">IFERROR(MATCH(A649,CONFIRM!$A$5:$A$53,0),0)</f>
        <v>0</v>
      </c>
      <c r="H649" s="48" t="str">
        <f aca="false">STACK!F649</f>
        <v>Comm Hlth Ed</v>
      </c>
      <c r="I649" s="1" t="str">
        <f aca="false">IF(G649&gt;0,IF(INDEX(CONFIRM!$I$5:$I$53,G649)&lt;&gt;"",INDEX(CONFIRM!$I$5:$I$53,G649),H649),H649)</f>
        <v>Comm Hlth Ed</v>
      </c>
      <c r="J649" s="1" t="str">
        <f aca="false">IFERROR(INDEX(MAP!$F$7:$F$74,MATCH(TRIM(I649),MAP!$E$7:$E$74,0)),"UNMAPPED")</f>
        <v>Community health education</v>
      </c>
      <c r="K649" s="1" t="str">
        <f aca="false">IFERROR(INDEX(MAP!$G$7:$G$74,MATCH(TRIM(I649),MAP!$E$7:$E$74,0)),"UNMAPPED")</f>
        <v>7e</v>
      </c>
      <c r="L649" s="49" t="str">
        <f aca="false">STACK!G649</f>
        <v>12/16/2025</v>
      </c>
      <c r="M649" s="59" t="n">
        <f aca="false">IF(G649&gt;0,IF(INDEX(CONFIRM!$G$5:$G$53,G649)&lt;&gt;"",INDEX(CONFIRM!$G$5:$G$53,G649),IF(ISNUMBER(L649),L649,IFERROR(DATEVALUE(L649),""))),IF(ISNUMBER(L649),L649,IFERROR(DATEVALUE(L649),"")))</f>
        <v>46007</v>
      </c>
      <c r="N649" s="1" t="str">
        <f aca="false">IF(M649="","Check",IF(AND(M649&gt;=INPUTS!$C$6,M649&lt;=INPUTS!$C$7),"Yes","No"))</f>
        <v>Yes</v>
      </c>
      <c r="O649" s="48" t="str">
        <f aca="false">STACK!H649</f>
        <v>Hlth Educator</v>
      </c>
      <c r="P649" s="1" t="str">
        <f aca="false">IF(G649&gt;0,IF(INDEX(CONFIRM!$H$5:$H$53,G649)&lt;&gt;"",INDEX(CONFIRM!$H$5:$H$53,G649),IFERROR(INDEX(MAP!$B$7:$B$156,MATCH(TRIM(O649),MAP!$A$7:$A$156,0)),"UNMAPPED")),IFERROR(INDEX(MAP!$B$7:$B$156,MATCH(TRIM(O649),MAP!$A$7:$A$156,0)),"UNMAPPED"))</f>
        <v>Health Educator</v>
      </c>
      <c r="Q649" s="48" t="n">
        <f aca="false">STACK!I649</f>
        <v>2</v>
      </c>
      <c r="R649" s="60" t="n">
        <f aca="false">IF(G649&gt;0,IF(INDEX(CONFIRM!$F$5:$F$53,G649)&lt;&gt;"",INDEX(CONFIRM!$F$5:$F$53,G649),IF(ISNUMBER(Q649),Q649,IF(Q649="","",IFERROR(VALUE(TRIM(SUBSTITUTE(SUBSTITUTE(LOWER(Q649),"hrs",""),"hr",""))),"")))),IF(ISNUMBER(Q649),Q649,IF(Q649="","",IFERROR(VALUE(TRIM(SUBSTITUTE(SUBSTITUTE(LOWER(Q649),"hrs",""),"hr",""))),""))))</f>
        <v>2</v>
      </c>
      <c r="S649" s="57" t="n">
        <f aca="false">IFERROR(INDEX(RATES!$E$6:$E$28,MATCH(P649,RATES!$A$6:$A$28,0)),0)</f>
        <v>37.265</v>
      </c>
      <c r="T649" s="61" t="n">
        <f aca="false">IF(ISNUMBER(R649),R649,0)*S649</f>
        <v>74.53</v>
      </c>
      <c r="U649" s="61" t="n">
        <f aca="false">T649*INDEX(INPUTS!$H$10:$H$14,MATCH(B649,INPUTS!$A$10:$A$14,0))</f>
        <v>12.07386</v>
      </c>
      <c r="V649" s="61" t="n">
        <f aca="false">N(STACK!K649)</f>
        <v>120</v>
      </c>
      <c r="W649" s="61" t="n">
        <f aca="false">T649+U649+V649</f>
        <v>206.60386</v>
      </c>
      <c r="X649" s="61" t="n">
        <f aca="false">N(STACK!L649)</f>
        <v>0</v>
      </c>
      <c r="Y649" s="61" t="n">
        <f aca="false">W649-X649</f>
        <v>206.60386</v>
      </c>
      <c r="Z649" s="1" t="n">
        <f aca="false">N(STACK!J649)</f>
        <v>17</v>
      </c>
      <c r="AA649" s="1" t="str">
        <f aca="false">TRIM(IF(D649="UNMAPPED","Program not mapped. ","")&amp;IF(OR(K649="UNMAPPED",K649="UNASSIGNED"),"Category needs review. ","")&amp;IF(P649="UNMAPPED","Title not mapped. ","")&amp;IF(AND(P649&lt;&gt;"No staff time",R649=""),"Missing hours. ","")&amp;IF(M649="","Date not readable. ","")&amp;IF(N649="No","Outside fiscal year. ","")&amp;IF(AND(F649="Event",ISNUMBER(R649)),IF(R649&gt;12,"Event hours look high. ",""),"")&amp;IF(G649&gt;0,"See CONFIRM sheet.",""))</f>
        <v/>
      </c>
      <c r="AB649" s="1" t="n">
        <f aca="false">IF(N649="No",0,IF(REVIEW!O649=0,0,IF(G649&gt;0,IF(INDEX(CONFIRM!$J$5:$J$53,G649)&lt;&gt;"",INDEX(CONFIRM!$J$5:$J$53,G649),1),1)))</f>
        <v>1</v>
      </c>
      <c r="AC649" s="1" t="n">
        <f aca="false">IF(AB649=1,IF(COUNTIFS($B$5:B649,B649,$D$5:D649,D649,$AB$5:AB649,1)=1,1,0),0)</f>
        <v>0</v>
      </c>
    </row>
    <row r="650" customFormat="false" ht="15" hidden="false" customHeight="false" outlineLevel="0" collapsed="false">
      <c r="A650" s="48" t="str">
        <f aca="false">STACK!A650</f>
        <v>ASH-0117</v>
      </c>
      <c r="B650" s="48" t="str">
        <f aca="false">STACK!B650</f>
        <v>ASH</v>
      </c>
      <c r="C650" s="48" t="str">
        <f aca="false">STACK!E650</f>
        <v>DPP Classes</v>
      </c>
      <c r="D650" s="1" t="str">
        <f aca="false">IFERROR(INDEX(MAP!$J$7:$J$101,MATCH(TRIM(C650),MAP!$I$7:$I$101,0)),"UNMAPPED")</f>
        <v>Diabetes Prevention Classes</v>
      </c>
      <c r="E650" s="1" t="str">
        <f aca="false">IFERROR(INDEX(MAP!$K$7:$K$101,MATCH(TRIM(C650),MAP!$I$7:$I$101,0)),"")</f>
        <v>Chronic disease prevention</v>
      </c>
      <c r="F650" s="1" t="str">
        <f aca="false">IFERROR(INDEX(MAP!$L$7:$L$101,MATCH(TRIM(C650),MAP!$I$7:$I$101,0)),"")</f>
        <v>Event</v>
      </c>
      <c r="G650" s="1" t="n">
        <f aca="false">IFERROR(MATCH(A650,CONFIRM!$A$5:$A$53,0),0)</f>
        <v>0</v>
      </c>
      <c r="H650" s="48" t="str">
        <f aca="false">STACK!F650</f>
        <v>Comm Hlth Ed</v>
      </c>
      <c r="I650" s="1" t="str">
        <f aca="false">IF(G650&gt;0,IF(INDEX(CONFIRM!$I$5:$I$53,G650)&lt;&gt;"",INDEX(CONFIRM!$I$5:$I$53,G650),H650),H650)</f>
        <v>Comm Hlth Ed</v>
      </c>
      <c r="J650" s="1" t="str">
        <f aca="false">IFERROR(INDEX(MAP!$F$7:$F$74,MATCH(TRIM(I650),MAP!$E$7:$E$74,0)),"UNMAPPED")</f>
        <v>Community health education</v>
      </c>
      <c r="K650" s="1" t="str">
        <f aca="false">IFERROR(INDEX(MAP!$G$7:$G$74,MATCH(TRIM(I650),MAP!$E$7:$E$74,0)),"UNMAPPED")</f>
        <v>7e</v>
      </c>
      <c r="L650" s="49" t="str">
        <f aca="false">STACK!G650</f>
        <v>12/16/2025</v>
      </c>
      <c r="M650" s="59" t="n">
        <f aca="false">IF(G650&gt;0,IF(INDEX(CONFIRM!$G$5:$G$53,G650)&lt;&gt;"",INDEX(CONFIRM!$G$5:$G$53,G650),IF(ISNUMBER(L650),L650,IFERROR(DATEVALUE(L650),""))),IF(ISNUMBER(L650),L650,IFERROR(DATEVALUE(L650),"")))</f>
        <v>46007</v>
      </c>
      <c r="N650" s="1" t="str">
        <f aca="false">IF(M650="","Check",IF(AND(M650&gt;=INPUTS!$C$6,M650&lt;=INPUTS!$C$7),"Yes","No"))</f>
        <v>Yes</v>
      </c>
      <c r="O650" s="48" t="str">
        <f aca="false">STACK!H650</f>
        <v>Clinical Dietitian</v>
      </c>
      <c r="P650" s="1" t="str">
        <f aca="false">IF(G650&gt;0,IF(INDEX(CONFIRM!$H$5:$H$53,G650)&lt;&gt;"",INDEX(CONFIRM!$H$5:$H$53,G650),IFERROR(INDEX(MAP!$B$7:$B$156,MATCH(TRIM(O650),MAP!$A$7:$A$156,0)),"UNMAPPED")),IFERROR(INDEX(MAP!$B$7:$B$156,MATCH(TRIM(O650),MAP!$A$7:$A$156,0)),"UNMAPPED"))</f>
        <v>Registered Dietitian</v>
      </c>
      <c r="Q650" s="48" t="n">
        <f aca="false">STACK!I650</f>
        <v>2</v>
      </c>
      <c r="R650" s="60" t="n">
        <f aca="false">IF(G650&gt;0,IF(INDEX(CONFIRM!$F$5:$F$53,G650)&lt;&gt;"",INDEX(CONFIRM!$F$5:$F$53,G650),IF(ISNUMBER(Q650),Q650,IF(Q650="","",IFERROR(VALUE(TRIM(SUBSTITUTE(SUBSTITUTE(LOWER(Q650),"hrs",""),"hr",""))),"")))),IF(ISNUMBER(Q650),Q650,IF(Q650="","",IFERROR(VALUE(TRIM(SUBSTITUTE(SUBSTITUTE(LOWER(Q650),"hrs",""),"hr",""))),""))))</f>
        <v>2</v>
      </c>
      <c r="S650" s="57" t="n">
        <f aca="false">IFERROR(INDEX(RATES!$E$6:$E$28,MATCH(P650,RATES!$A$6:$A$28,0)),0)</f>
        <v>46.9025</v>
      </c>
      <c r="T650" s="61" t="n">
        <f aca="false">IF(ISNUMBER(R650),R650,0)*S650</f>
        <v>93.805</v>
      </c>
      <c r="U650" s="61" t="n">
        <f aca="false">T650*INDEX(INPUTS!$H$10:$H$14,MATCH(B650,INPUTS!$A$10:$A$14,0))</f>
        <v>15.19641</v>
      </c>
      <c r="V650" s="61" t="n">
        <f aca="false">N(STACK!K650)</f>
        <v>0</v>
      </c>
      <c r="W650" s="61" t="n">
        <f aca="false">T650+U650+V650</f>
        <v>109.00141</v>
      </c>
      <c r="X650" s="61" t="n">
        <f aca="false">N(STACK!L650)</f>
        <v>0</v>
      </c>
      <c r="Y650" s="61" t="n">
        <f aca="false">W650-X650</f>
        <v>109.00141</v>
      </c>
      <c r="Z650" s="1" t="n">
        <f aca="false">N(STACK!J650)</f>
        <v>0</v>
      </c>
      <c r="AA650" s="1" t="str">
        <f aca="false">TRIM(IF(D650="UNMAPPED","Program not mapped. ","")&amp;IF(OR(K650="UNMAPPED",K650="UNASSIGNED"),"Category needs review. ","")&amp;IF(P650="UNMAPPED","Title not mapped. ","")&amp;IF(AND(P650&lt;&gt;"No staff time",R650=""),"Missing hours. ","")&amp;IF(M650="","Date not readable. ","")&amp;IF(N650="No","Outside fiscal year. ","")&amp;IF(AND(F650="Event",ISNUMBER(R650)),IF(R650&gt;12,"Event hours look high. ",""),"")&amp;IF(G650&gt;0,"See CONFIRM sheet.",""))</f>
        <v/>
      </c>
      <c r="AB650" s="1" t="n">
        <f aca="false">IF(N650="No",0,IF(REVIEW!O650=0,0,IF(G650&gt;0,IF(INDEX(CONFIRM!$J$5:$J$53,G650)&lt;&gt;"",INDEX(CONFIRM!$J$5:$J$53,G650),1),1)))</f>
        <v>1</v>
      </c>
      <c r="AC650" s="1" t="n">
        <f aca="false">IF(AB650=1,IF(COUNTIFS($B$5:B650,B650,$D$5:D650,D650,$AB$5:AB650,1)=1,1,0),0)</f>
        <v>0</v>
      </c>
    </row>
    <row r="651" customFormat="false" ht="15" hidden="false" customHeight="false" outlineLevel="0" collapsed="false">
      <c r="A651" s="48" t="str">
        <f aca="false">STACK!A651</f>
        <v>ASH-0118</v>
      </c>
      <c r="B651" s="48" t="str">
        <f aca="false">STACK!B651</f>
        <v>ASH</v>
      </c>
      <c r="C651" s="48" t="str">
        <f aca="false">STACK!E651</f>
        <v>BP Checks</v>
      </c>
      <c r="D651" s="1" t="str">
        <f aca="false">IFERROR(INDEX(MAP!$J$7:$J$101,MATCH(TRIM(C651),MAP!$I$7:$I$101,0)),"UNMAPPED")</f>
        <v>Community Blood Pressure Checks</v>
      </c>
      <c r="E651" s="1" t="str">
        <f aca="false">IFERROR(INDEX(MAP!$K$7:$K$101,MATCH(TRIM(C651),MAP!$I$7:$I$101,0)),"")</f>
        <v>Chronic disease prevention</v>
      </c>
      <c r="F651" s="1" t="str">
        <f aca="false">IFERROR(INDEX(MAP!$L$7:$L$101,MATCH(TRIM(C651),MAP!$I$7:$I$101,0)),"")</f>
        <v>Event</v>
      </c>
      <c r="G651" s="1" t="n">
        <f aca="false">IFERROR(MATCH(A651,CONFIRM!$A$5:$A$53,0),0)</f>
        <v>0</v>
      </c>
      <c r="H651" s="48" t="str">
        <f aca="false">STACK!F651</f>
        <v>Clinical Svcs</v>
      </c>
      <c r="I651" s="1" t="str">
        <f aca="false">IF(G651&gt;0,IF(INDEX(CONFIRM!$I$5:$I$53,G651)&lt;&gt;"",INDEX(CONFIRM!$I$5:$I$53,G651),H651),H651)</f>
        <v>Clinical Svcs</v>
      </c>
      <c r="J651" s="1" t="str">
        <f aca="false">IFERROR(INDEX(MAP!$F$7:$F$74,MATCH(TRIM(I651),MAP!$E$7:$E$74,0)),"UNMAPPED")</f>
        <v>Community-based clinical services</v>
      </c>
      <c r="K651" s="1" t="str">
        <f aca="false">IFERROR(INDEX(MAP!$G$7:$G$74,MATCH(TRIM(I651),MAP!$E$7:$E$74,0)),"UNMAPPED")</f>
        <v>7e</v>
      </c>
      <c r="L651" s="49" t="str">
        <f aca="false">STACK!G651</f>
        <v>12/18/2025</v>
      </c>
      <c r="M651" s="59" t="n">
        <f aca="false">IF(G651&gt;0,IF(INDEX(CONFIRM!$G$5:$G$53,G651)&lt;&gt;"",INDEX(CONFIRM!$G$5:$G$53,G651),IF(ISNUMBER(L651),L651,IFERROR(DATEVALUE(L651),""))),IF(ISNUMBER(L651),L651,IFERROR(DATEVALUE(L651),"")))</f>
        <v>46009</v>
      </c>
      <c r="N651" s="1" t="str">
        <f aca="false">IF(M651="","Check",IF(AND(M651&gt;=INPUTS!$C$6,M651&lt;=INPUTS!$C$7),"Yes","No"))</f>
        <v>Yes</v>
      </c>
      <c r="O651" s="48" t="str">
        <f aca="false">STACK!H651</f>
        <v>RN</v>
      </c>
      <c r="P651" s="1" t="str">
        <f aca="false">IF(G651&gt;0,IF(INDEX(CONFIRM!$H$5:$H$53,G651)&lt;&gt;"",INDEX(CONFIRM!$H$5:$H$53,G651),IFERROR(INDEX(MAP!$B$7:$B$156,MATCH(TRIM(O651),MAP!$A$7:$A$156,0)),"UNMAPPED")),IFERROR(INDEX(MAP!$B$7:$B$156,MATCH(TRIM(O651),MAP!$A$7:$A$156,0)),"UNMAPPED"))</f>
        <v>Registered Nurse</v>
      </c>
      <c r="Q651" s="48" t="n">
        <f aca="false">STACK!I651</f>
        <v>3</v>
      </c>
      <c r="R651" s="60" t="n">
        <f aca="false">IF(G651&gt;0,IF(INDEX(CONFIRM!$F$5:$F$53,G651)&lt;&gt;"",INDEX(CONFIRM!$F$5:$F$53,G651),IF(ISNUMBER(Q651),Q651,IF(Q651="","",IFERROR(VALUE(TRIM(SUBSTITUTE(SUBSTITUTE(LOWER(Q651),"hrs",""),"hr",""))),"")))),IF(ISNUMBER(Q651),Q651,IF(Q651="","",IFERROR(VALUE(TRIM(SUBSTITUTE(SUBSTITUTE(LOWER(Q651),"hrs",""),"hr",""))),""))))</f>
        <v>3</v>
      </c>
      <c r="S651" s="57" t="n">
        <f aca="false">IFERROR(INDEX(RATES!$E$6:$E$28,MATCH(P651,RATES!$A$6:$A$28,0)),0)</f>
        <v>55.8975</v>
      </c>
      <c r="T651" s="61" t="n">
        <f aca="false">IF(ISNUMBER(R651),R651,0)*S651</f>
        <v>167.6925</v>
      </c>
      <c r="U651" s="61" t="n">
        <f aca="false">T651*INDEX(INPUTS!$H$10:$H$14,MATCH(B651,INPUTS!$A$10:$A$14,0))</f>
        <v>27.166185</v>
      </c>
      <c r="V651" s="61" t="n">
        <f aca="false">N(STACK!K651)</f>
        <v>105</v>
      </c>
      <c r="W651" s="61" t="n">
        <f aca="false">T651+U651+V651</f>
        <v>299.858685</v>
      </c>
      <c r="X651" s="61" t="n">
        <f aca="false">N(STACK!L651)</f>
        <v>0</v>
      </c>
      <c r="Y651" s="61" t="n">
        <f aca="false">W651-X651</f>
        <v>299.858685</v>
      </c>
      <c r="Z651" s="1" t="n">
        <f aca="false">N(STACK!J651)</f>
        <v>64</v>
      </c>
      <c r="AA651" s="1" t="str">
        <f aca="false">TRIM(IF(D651="UNMAPPED","Program not mapped. ","")&amp;IF(OR(K651="UNMAPPED",K651="UNASSIGNED"),"Category needs review. ","")&amp;IF(P651="UNMAPPED","Title not mapped. ","")&amp;IF(AND(P651&lt;&gt;"No staff time",R651=""),"Missing hours. ","")&amp;IF(M651="","Date not readable. ","")&amp;IF(N651="No","Outside fiscal year. ","")&amp;IF(AND(F651="Event",ISNUMBER(R651)),IF(R651&gt;12,"Event hours look high. ",""),"")&amp;IF(G651&gt;0,"See CONFIRM sheet.",""))</f>
        <v/>
      </c>
      <c r="AB651" s="1" t="n">
        <f aca="false">IF(N651="No",0,IF(REVIEW!O651=0,0,IF(G651&gt;0,IF(INDEX(CONFIRM!$J$5:$J$53,G651)&lt;&gt;"",INDEX(CONFIRM!$J$5:$J$53,G651),1),1)))</f>
        <v>1</v>
      </c>
      <c r="AC651" s="1" t="n">
        <f aca="false">IF(AB651=1,IF(COUNTIFS($B$5:B651,B651,$D$5:D651,D651,$AB$5:AB651,1)=1,1,0),0)</f>
        <v>0</v>
      </c>
    </row>
    <row r="652" customFormat="false" ht="15" hidden="false" customHeight="false" outlineLevel="0" collapsed="false">
      <c r="A652" s="48" t="str">
        <f aca="false">STACK!A652</f>
        <v>ASH-0119</v>
      </c>
      <c r="B652" s="48" t="str">
        <f aca="false">STACK!B652</f>
        <v>ASH</v>
      </c>
      <c r="C652" s="48" t="str">
        <f aca="false">STACK!E652</f>
        <v>Food Bank Gift</v>
      </c>
      <c r="D652" s="1" t="str">
        <f aca="false">IFERROR(INDEX(MAP!$J$7:$J$101,MATCH(TRIM(C652),MAP!$I$7:$I$101,0)),"UNMAPPED")</f>
        <v>Regional Food Bank Contribution</v>
      </c>
      <c r="E652" s="1" t="str">
        <f aca="false">IFERROR(INDEX(MAP!$K$7:$K$101,MATCH(TRIM(C652),MAP!$I$7:$I$101,0)),"")</f>
        <v>Food and housing security</v>
      </c>
      <c r="F652" s="1" t="str">
        <f aca="false">IFERROR(INDEX(MAP!$L$7:$L$101,MATCH(TRIM(C652),MAP!$I$7:$I$101,0)),"")</f>
        <v>Contribution</v>
      </c>
      <c r="G652" s="1" t="n">
        <f aca="false">IFERROR(MATCH(A652,CONFIRM!$A$5:$A$53,0),0)</f>
        <v>0</v>
      </c>
      <c r="H652" s="48" t="str">
        <f aca="false">STACK!F652</f>
        <v>Contributions</v>
      </c>
      <c r="I652" s="1" t="str">
        <f aca="false">IF(G652&gt;0,IF(INDEX(CONFIRM!$I$5:$I$53,G652)&lt;&gt;"",INDEX(CONFIRM!$I$5:$I$53,G652),H652),H652)</f>
        <v>Contributions</v>
      </c>
      <c r="J652" s="1" t="str">
        <f aca="false">IFERROR(INDEX(MAP!$F$7:$F$74,MATCH(TRIM(I652),MAP!$E$7:$E$74,0)),"UNMAPPED")</f>
        <v>Cash and in-kind contributions</v>
      </c>
      <c r="K652" s="1" t="str">
        <f aca="false">IFERROR(INDEX(MAP!$G$7:$G$74,MATCH(TRIM(I652),MAP!$E$7:$E$74,0)),"UNMAPPED")</f>
        <v>7i</v>
      </c>
      <c r="L652" s="49" t="str">
        <f aca="false">STACK!G652</f>
        <v>12/18/2025</v>
      </c>
      <c r="M652" s="59" t="n">
        <f aca="false">IF(G652&gt;0,IF(INDEX(CONFIRM!$G$5:$G$53,G652)&lt;&gt;"",INDEX(CONFIRM!$G$5:$G$53,G652),IF(ISNUMBER(L652),L652,IFERROR(DATEVALUE(L652),""))),IF(ISNUMBER(L652),L652,IFERROR(DATEVALUE(L652),"")))</f>
        <v>46009</v>
      </c>
      <c r="N652" s="1" t="str">
        <f aca="false">IF(M652="","Check",IF(AND(M652&gt;=INPUTS!$C$6,M652&lt;=INPUTS!$C$7),"Yes","No"))</f>
        <v>Yes</v>
      </c>
      <c r="O652" s="48" t="str">
        <f aca="false">STACK!H652</f>
        <v>-</v>
      </c>
      <c r="P652" s="1" t="str">
        <f aca="false">IF(G652&gt;0,IF(INDEX(CONFIRM!$H$5:$H$53,G652)&lt;&gt;"",INDEX(CONFIRM!$H$5:$H$53,G652),IFERROR(INDEX(MAP!$B$7:$B$156,MATCH(TRIM(O652),MAP!$A$7:$A$156,0)),"UNMAPPED")),IFERROR(INDEX(MAP!$B$7:$B$156,MATCH(TRIM(O652),MAP!$A$7:$A$156,0)),"UNMAPPED"))</f>
        <v>No staff time</v>
      </c>
      <c r="Q652" s="48" t="str">
        <f aca="false">STACK!I652</f>
        <v/>
      </c>
      <c r="R652" s="60" t="str">
        <f aca="false">IF(G652&gt;0,IF(INDEX(CONFIRM!$F$5:$F$53,G652)&lt;&gt;"",INDEX(CONFIRM!$F$5:$F$53,G652),IF(ISNUMBER(Q652),Q652,IF(Q652="","",IFERROR(VALUE(TRIM(SUBSTITUTE(SUBSTITUTE(LOWER(Q652),"hrs",""),"hr",""))),"")))),IF(ISNUMBER(Q652),Q652,IF(Q652="","",IFERROR(VALUE(TRIM(SUBSTITUTE(SUBSTITUTE(LOWER(Q652),"hrs",""),"hr",""))),""))))</f>
        <v/>
      </c>
      <c r="S652" s="57" t="n">
        <f aca="false">IFERROR(INDEX(RATES!$E$6:$E$28,MATCH(P652,RATES!$A$6:$A$28,0)),0)</f>
        <v>0</v>
      </c>
      <c r="T652" s="61" t="n">
        <f aca="false">IF(ISNUMBER(R652),R652,0)*S652</f>
        <v>0</v>
      </c>
      <c r="U652" s="61" t="n">
        <f aca="false">T652*INDEX(INPUTS!$H$10:$H$14,MATCH(B652,INPUTS!$A$10:$A$14,0))</f>
        <v>0</v>
      </c>
      <c r="V652" s="61" t="n">
        <f aca="false">N(STACK!K652)</f>
        <v>80840</v>
      </c>
      <c r="W652" s="61" t="n">
        <f aca="false">T652+U652+V652</f>
        <v>80840</v>
      </c>
      <c r="X652" s="61" t="n">
        <f aca="false">N(STACK!L652)</f>
        <v>0</v>
      </c>
      <c r="Y652" s="61" t="n">
        <f aca="false">W652-X652</f>
        <v>80840</v>
      </c>
      <c r="Z652" s="1" t="n">
        <f aca="false">N(STACK!J652)</f>
        <v>0</v>
      </c>
      <c r="AA652" s="1" t="str">
        <f aca="false">TRIM(IF(D652="UNMAPPED","Program not mapped. ","")&amp;IF(OR(K652="UNMAPPED",K652="UNASSIGNED"),"Category needs review. ","")&amp;IF(P652="UNMAPPED","Title not mapped. ","")&amp;IF(AND(P652&lt;&gt;"No staff time",R652=""),"Missing hours. ","")&amp;IF(M652="","Date not readable. ","")&amp;IF(N652="No","Outside fiscal year. ","")&amp;IF(AND(F652="Event",ISNUMBER(R652)),IF(R652&gt;12,"Event hours look high. ",""),"")&amp;IF(G652&gt;0,"See CONFIRM sheet.",""))</f>
        <v/>
      </c>
      <c r="AB652" s="1" t="n">
        <f aca="false">IF(N652="No",0,IF(REVIEW!O652=0,0,IF(G652&gt;0,IF(INDEX(CONFIRM!$J$5:$J$53,G652)&lt;&gt;"",INDEX(CONFIRM!$J$5:$J$53,G652),1),1)))</f>
        <v>1</v>
      </c>
      <c r="AC652" s="1" t="n">
        <f aca="false">IF(AB652=1,IF(COUNTIFS($B$5:B652,B652,$D$5:D652,D652,$AB$5:AB652,1)=1,1,0),0)</f>
        <v>1</v>
      </c>
    </row>
    <row r="653" customFormat="false" ht="15" hidden="false" customHeight="false" outlineLevel="0" collapsed="false">
      <c r="A653" s="48" t="str">
        <f aca="false">STACK!A653</f>
        <v>ASH-0120</v>
      </c>
      <c r="B653" s="48" t="str">
        <f aca="false">STACK!B653</f>
        <v>ASH</v>
      </c>
      <c r="C653" s="48" t="str">
        <f aca="false">STACK!E653</f>
        <v>Leadership Academy</v>
      </c>
      <c r="D653" s="1" t="str">
        <f aca="false">IFERROR(INDEX(MAP!$J$7:$J$101,MATCH(TRIM(C653),MAP!$I$7:$I$101,0)),"UNMAPPED")</f>
        <v>Neighborhood Leadership Academy</v>
      </c>
      <c r="E653" s="1" t="str">
        <f aca="false">IFERROR(INDEX(MAP!$K$7:$K$101,MATCH(TRIM(C653),MAP!$I$7:$I$101,0)),"")</f>
        <v>Community benefit infrastructure</v>
      </c>
      <c r="F653" s="1" t="str">
        <f aca="false">IFERROR(INDEX(MAP!$L$7:$L$101,MATCH(TRIM(C653),MAP!$I$7:$I$101,0)),"")</f>
        <v>Event</v>
      </c>
      <c r="G653" s="1" t="n">
        <f aca="false">IFERROR(MATCH(A653,CONFIRM!$A$5:$A$53,0),0)</f>
        <v>0</v>
      </c>
      <c r="H653" s="48" t="str">
        <f aca="false">STACK!F653</f>
        <v>CB-Leadership Dev</v>
      </c>
      <c r="I653" s="1" t="str">
        <f aca="false">IF(G653&gt;0,IF(INDEX(CONFIRM!$I$5:$I$53,G653)&lt;&gt;"",INDEX(CONFIRM!$I$5:$I$53,G653),H653),H653)</f>
        <v>CB-Leadership Dev</v>
      </c>
      <c r="J653" s="1" t="str">
        <f aca="false">IFERROR(INDEX(MAP!$F$7:$F$74,MATCH(TRIM(I653),MAP!$E$7:$E$74,0)),"UNMAPPED")</f>
        <v>Community building: leadership development</v>
      </c>
      <c r="K653" s="1" t="str">
        <f aca="false">IFERROR(INDEX(MAP!$G$7:$G$74,MATCH(TRIM(I653),MAP!$E$7:$E$74,0)),"UNMAPPED")</f>
        <v>II-5</v>
      </c>
      <c r="L653" s="49" t="str">
        <f aca="false">STACK!G653</f>
        <v>12/20/2025</v>
      </c>
      <c r="M653" s="59" t="n">
        <f aca="false">IF(G653&gt;0,IF(INDEX(CONFIRM!$G$5:$G$53,G653)&lt;&gt;"",INDEX(CONFIRM!$G$5:$G$53,G653),IF(ISNUMBER(L653),L653,IFERROR(DATEVALUE(L653),""))),IF(ISNUMBER(L653),L653,IFERROR(DATEVALUE(L653),"")))</f>
        <v>46011</v>
      </c>
      <c r="N653" s="1" t="str">
        <f aca="false">IF(M653="","Check",IF(AND(M653&gt;=INPUTS!$C$6,M653&lt;=INPUTS!$C$7),"Yes","No"))</f>
        <v>Yes</v>
      </c>
      <c r="O653" s="48" t="str">
        <f aca="false">STACK!H653</f>
        <v>Wellness Educator</v>
      </c>
      <c r="P653" s="1" t="str">
        <f aca="false">IF(G653&gt;0,IF(INDEX(CONFIRM!$H$5:$H$53,G653)&lt;&gt;"",INDEX(CONFIRM!$H$5:$H$53,G653),IFERROR(INDEX(MAP!$B$7:$B$156,MATCH(TRIM(O653),MAP!$A$7:$A$156,0)),"UNMAPPED")),IFERROR(INDEX(MAP!$B$7:$B$156,MATCH(TRIM(O653),MAP!$A$7:$A$156,0)),"UNMAPPED"))</f>
        <v>Health Educator</v>
      </c>
      <c r="Q653" s="48" t="n">
        <f aca="false">STACK!I653</f>
        <v>3.25</v>
      </c>
      <c r="R653" s="60" t="n">
        <f aca="false">IF(G653&gt;0,IF(INDEX(CONFIRM!$F$5:$F$53,G653)&lt;&gt;"",INDEX(CONFIRM!$F$5:$F$53,G653),IF(ISNUMBER(Q653),Q653,IF(Q653="","",IFERROR(VALUE(TRIM(SUBSTITUTE(SUBSTITUTE(LOWER(Q653),"hrs",""),"hr",""))),"")))),IF(ISNUMBER(Q653),Q653,IF(Q653="","",IFERROR(VALUE(TRIM(SUBSTITUTE(SUBSTITUTE(LOWER(Q653),"hrs",""),"hr",""))),""))))</f>
        <v>3.25</v>
      </c>
      <c r="S653" s="57" t="n">
        <f aca="false">IFERROR(INDEX(RATES!$E$6:$E$28,MATCH(P653,RATES!$A$6:$A$28,0)),0)</f>
        <v>37.265</v>
      </c>
      <c r="T653" s="61" t="n">
        <f aca="false">IF(ISNUMBER(R653),R653,0)*S653</f>
        <v>121.11125</v>
      </c>
      <c r="U653" s="61" t="n">
        <f aca="false">T653*INDEX(INPUTS!$H$10:$H$14,MATCH(B653,INPUTS!$A$10:$A$14,0))</f>
        <v>19.6200225</v>
      </c>
      <c r="V653" s="61" t="n">
        <f aca="false">N(STACK!K653)</f>
        <v>0</v>
      </c>
      <c r="W653" s="61" t="n">
        <f aca="false">T653+U653+V653</f>
        <v>140.7312725</v>
      </c>
      <c r="X653" s="61" t="n">
        <f aca="false">N(STACK!L653)</f>
        <v>0</v>
      </c>
      <c r="Y653" s="61" t="n">
        <f aca="false">W653-X653</f>
        <v>140.7312725</v>
      </c>
      <c r="Z653" s="1" t="n">
        <f aca="false">N(STACK!J653)</f>
        <v>0</v>
      </c>
      <c r="AA653" s="1" t="str">
        <f aca="false">TRIM(IF(D653="UNMAPPED","Program not mapped. ","")&amp;IF(OR(K653="UNMAPPED",K653="UNASSIGNED"),"Category needs review. ","")&amp;IF(P653="UNMAPPED","Title not mapped. ","")&amp;IF(AND(P653&lt;&gt;"No staff time",R653=""),"Missing hours. ","")&amp;IF(M653="","Date not readable. ","")&amp;IF(N653="No","Outside fiscal year. ","")&amp;IF(AND(F653="Event",ISNUMBER(R653)),IF(R653&gt;12,"Event hours look high. ",""),"")&amp;IF(G653&gt;0,"See CONFIRM sheet.",""))</f>
        <v/>
      </c>
      <c r="AB653" s="1" t="n">
        <f aca="false">IF(N653="No",0,IF(REVIEW!O653=0,0,IF(G653&gt;0,IF(INDEX(CONFIRM!$J$5:$J$53,G653)&lt;&gt;"",INDEX(CONFIRM!$J$5:$J$53,G653),1),1)))</f>
        <v>1</v>
      </c>
      <c r="AC653" s="1" t="n">
        <f aca="false">IF(AB653=1,IF(COUNTIFS($B$5:B653,B653,$D$5:D653,D653,$AB$5:AB653,1)=1,1,0),0)</f>
        <v>0</v>
      </c>
    </row>
    <row r="654" customFormat="false" ht="15" hidden="false" customHeight="false" outlineLevel="0" collapsed="false">
      <c r="A654" s="48" t="str">
        <f aca="false">STACK!A654</f>
        <v>ASH-0121</v>
      </c>
      <c r="B654" s="48" t="str">
        <f aca="false">STACK!B654</f>
        <v>ASH</v>
      </c>
      <c r="C654" s="48" t="str">
        <f aca="false">STACK!E654</f>
        <v>Leadership Academy</v>
      </c>
      <c r="D654" s="1" t="str">
        <f aca="false">IFERROR(INDEX(MAP!$J$7:$J$101,MATCH(TRIM(C654),MAP!$I$7:$I$101,0)),"UNMAPPED")</f>
        <v>Neighborhood Leadership Academy</v>
      </c>
      <c r="E654" s="1" t="str">
        <f aca="false">IFERROR(INDEX(MAP!$K$7:$K$101,MATCH(TRIM(C654),MAP!$I$7:$I$101,0)),"")</f>
        <v>Community benefit infrastructure</v>
      </c>
      <c r="F654" s="1" t="str">
        <f aca="false">IFERROR(INDEX(MAP!$L$7:$L$101,MATCH(TRIM(C654),MAP!$I$7:$I$101,0)),"")</f>
        <v>Event</v>
      </c>
      <c r="G654" s="1" t="n">
        <f aca="false">IFERROR(MATCH(A654,CONFIRM!$A$5:$A$53,0),0)</f>
        <v>0</v>
      </c>
      <c r="H654" s="48" t="str">
        <f aca="false">STACK!F654</f>
        <v>CB-Leadership Dev</v>
      </c>
      <c r="I654" s="1" t="str">
        <f aca="false">IF(G654&gt;0,IF(INDEX(CONFIRM!$I$5:$I$53,G654)&lt;&gt;"",INDEX(CONFIRM!$I$5:$I$53,G654),H654),H654)</f>
        <v>CB-Leadership Dev</v>
      </c>
      <c r="J654" s="1" t="str">
        <f aca="false">IFERROR(INDEX(MAP!$F$7:$F$74,MATCH(TRIM(I654),MAP!$E$7:$E$74,0)),"UNMAPPED")</f>
        <v>Community building: leadership development</v>
      </c>
      <c r="K654" s="1" t="str">
        <f aca="false">IFERROR(INDEX(MAP!$G$7:$G$74,MATCH(TRIM(I654),MAP!$E$7:$E$74,0)),"UNMAPPED")</f>
        <v>II-5</v>
      </c>
      <c r="L654" s="49" t="str">
        <f aca="false">STACK!G654</f>
        <v>12/20/2025</v>
      </c>
      <c r="M654" s="59" t="n">
        <f aca="false">IF(G654&gt;0,IF(INDEX(CONFIRM!$G$5:$G$53,G654)&lt;&gt;"",INDEX(CONFIRM!$G$5:$G$53,G654),IF(ISNUMBER(L654),L654,IFERROR(DATEVALUE(L654),""))),IF(ISNUMBER(L654),L654,IFERROR(DATEVALUE(L654),"")))</f>
        <v>46011</v>
      </c>
      <c r="N654" s="1" t="str">
        <f aca="false">IF(M654="","Check",IF(AND(M654&gt;=INPUTS!$C$6,M654&lt;=INPUTS!$C$7),"Yes","No"))</f>
        <v>Yes</v>
      </c>
      <c r="O654" s="48" t="str">
        <f aca="false">STACK!H654</f>
        <v>Prog Coord</v>
      </c>
      <c r="P654" s="1" t="str">
        <f aca="false">IF(G654&gt;0,IF(INDEX(CONFIRM!$H$5:$H$53,G654)&lt;&gt;"",INDEX(CONFIRM!$H$5:$H$53,G654),IFERROR(INDEX(MAP!$B$7:$B$156,MATCH(TRIM(O654),MAP!$A$7:$A$156,0)),"UNMAPPED")),IFERROR(INDEX(MAP!$B$7:$B$156,MATCH(TRIM(O654),MAP!$A$7:$A$156,0)),"UNMAPPED"))</f>
        <v>Program Coordinator</v>
      </c>
      <c r="Q654" s="48" t="n">
        <f aca="false">STACK!I654</f>
        <v>4.5</v>
      </c>
      <c r="R654" s="60" t="n">
        <f aca="false">IF(G654&gt;0,IF(INDEX(CONFIRM!$F$5:$F$53,G654)&lt;&gt;"",INDEX(CONFIRM!$F$5:$F$53,G654),IF(ISNUMBER(Q654),Q654,IF(Q654="","",IFERROR(VALUE(TRIM(SUBSTITUTE(SUBSTITUTE(LOWER(Q654),"hrs",""),"hr",""))),"")))),IF(ISNUMBER(Q654),Q654,IF(Q654="","",IFERROR(VALUE(TRIM(SUBSTITUTE(SUBSTITUTE(LOWER(Q654),"hrs",""),"hr",""))),""))))</f>
        <v>4.5</v>
      </c>
      <c r="S654" s="57" t="n">
        <f aca="false">IFERROR(INDEX(RATES!$E$6:$E$28,MATCH(P654,RATES!$A$6:$A$28,0)),0)</f>
        <v>35.3375</v>
      </c>
      <c r="T654" s="61" t="n">
        <f aca="false">IF(ISNUMBER(R654),R654,0)*S654</f>
        <v>159.01875</v>
      </c>
      <c r="U654" s="61" t="n">
        <f aca="false">T654*INDEX(INPUTS!$H$10:$H$14,MATCH(B654,INPUTS!$A$10:$A$14,0))</f>
        <v>25.7610375</v>
      </c>
      <c r="V654" s="61" t="n">
        <f aca="false">N(STACK!K654)</f>
        <v>750</v>
      </c>
      <c r="W654" s="61" t="n">
        <f aca="false">T654+U654+V654</f>
        <v>934.7797875</v>
      </c>
      <c r="X654" s="61" t="n">
        <f aca="false">N(STACK!L654)</f>
        <v>0</v>
      </c>
      <c r="Y654" s="61" t="n">
        <f aca="false">W654-X654</f>
        <v>934.7797875</v>
      </c>
      <c r="Z654" s="1" t="n">
        <f aca="false">N(STACK!J654)</f>
        <v>16</v>
      </c>
      <c r="AA654" s="1" t="str">
        <f aca="false">TRIM(IF(D654="UNMAPPED","Program not mapped. ","")&amp;IF(OR(K654="UNMAPPED",K654="UNASSIGNED"),"Category needs review. ","")&amp;IF(P654="UNMAPPED","Title not mapped. ","")&amp;IF(AND(P654&lt;&gt;"No staff time",R654=""),"Missing hours. ","")&amp;IF(M654="","Date not readable. ","")&amp;IF(N654="No","Outside fiscal year. ","")&amp;IF(AND(F654="Event",ISNUMBER(R654)),IF(R654&gt;12,"Event hours look high. ",""),"")&amp;IF(G654&gt;0,"See CONFIRM sheet.",""))</f>
        <v/>
      </c>
      <c r="AB654" s="1" t="n">
        <f aca="false">IF(N654="No",0,IF(REVIEW!O654=0,0,IF(G654&gt;0,IF(INDEX(CONFIRM!$J$5:$J$53,G654)&lt;&gt;"",INDEX(CONFIRM!$J$5:$J$53,G654),1),1)))</f>
        <v>1</v>
      </c>
      <c r="AC654" s="1" t="n">
        <f aca="false">IF(AB654=1,IF(COUNTIFS($B$5:B654,B654,$D$5:D654,D654,$AB$5:AB654,1)=1,1,0),0)</f>
        <v>0</v>
      </c>
    </row>
    <row r="655" customFormat="false" ht="15" hidden="false" customHeight="false" outlineLevel="0" collapsed="false">
      <c r="A655" s="48" t="str">
        <f aca="false">STACK!A655</f>
        <v>ASH-0122</v>
      </c>
      <c r="B655" s="48" t="str">
        <f aca="false">STACK!B655</f>
        <v>ASH</v>
      </c>
      <c r="C655" s="48" t="str">
        <f aca="false">STACK!E655</f>
        <v>Mobile Screening Unit</v>
      </c>
      <c r="D655" s="1" t="str">
        <f aca="false">IFERROR(INDEX(MAP!$J$7:$J$101,MATCH(TRIM(C655),MAP!$I$7:$I$101,0)),"UNMAPPED")</f>
        <v>Mobile Health Screening Unit</v>
      </c>
      <c r="E655" s="1" t="str">
        <f aca="false">IFERROR(INDEX(MAP!$K$7:$K$101,MATCH(TRIM(C655),MAP!$I$7:$I$101,0)),"")</f>
        <v>Access to care</v>
      </c>
      <c r="F655" s="1" t="str">
        <f aca="false">IFERROR(INDEX(MAP!$L$7:$L$101,MATCH(TRIM(C655),MAP!$I$7:$I$101,0)),"")</f>
        <v>Monthly</v>
      </c>
      <c r="G655" s="1" t="n">
        <f aca="false">IFERROR(MATCH(A655,CONFIRM!$A$5:$A$53,0),0)</f>
        <v>0</v>
      </c>
      <c r="H655" s="48" t="str">
        <f aca="false">STACK!F655</f>
        <v>Clinical Svcs</v>
      </c>
      <c r="I655" s="1" t="str">
        <f aca="false">IF(G655&gt;0,IF(INDEX(CONFIRM!$I$5:$I$53,G655)&lt;&gt;"",INDEX(CONFIRM!$I$5:$I$53,G655),H655),H655)</f>
        <v>Clinical Svcs</v>
      </c>
      <c r="J655" s="1" t="str">
        <f aca="false">IFERROR(INDEX(MAP!$F$7:$F$74,MATCH(TRIM(I655),MAP!$E$7:$E$74,0)),"UNMAPPED")</f>
        <v>Community-based clinical services</v>
      </c>
      <c r="K655" s="1" t="str">
        <f aca="false">IFERROR(INDEX(MAP!$G$7:$G$74,MATCH(TRIM(I655),MAP!$E$7:$E$74,0)),"UNMAPPED")</f>
        <v>7e</v>
      </c>
      <c r="L655" s="49" t="str">
        <f aca="false">STACK!G655</f>
        <v>12/31/2025</v>
      </c>
      <c r="M655" s="59" t="n">
        <f aca="false">IF(G655&gt;0,IF(INDEX(CONFIRM!$G$5:$G$53,G655)&lt;&gt;"",INDEX(CONFIRM!$G$5:$G$53,G655),IF(ISNUMBER(L655),L655,IFERROR(DATEVALUE(L655),""))),IF(ISNUMBER(L655),L655,IFERROR(DATEVALUE(L655),"")))</f>
        <v>46022</v>
      </c>
      <c r="N655" s="1" t="str">
        <f aca="false">IF(M655="","Check",IF(AND(M655&gt;=INPUTS!$C$6,M655&lt;=INPUTS!$C$7),"Yes","No"))</f>
        <v>Yes</v>
      </c>
      <c r="O655" s="48" t="str">
        <f aca="false">STACK!H655</f>
        <v>CHW</v>
      </c>
      <c r="P655" s="1" t="str">
        <f aca="false">IF(G655&gt;0,IF(INDEX(CONFIRM!$H$5:$H$53,G655)&lt;&gt;"",INDEX(CONFIRM!$H$5:$H$53,G655),IFERROR(INDEX(MAP!$B$7:$B$156,MATCH(TRIM(O655),MAP!$A$7:$A$156,0)),"UNMAPPED")),IFERROR(INDEX(MAP!$B$7:$B$156,MATCH(TRIM(O655),MAP!$A$7:$A$156,0)),"UNMAPPED"))</f>
        <v>Community Health Worker</v>
      </c>
      <c r="Q655" s="48" t="n">
        <f aca="false">STACK!I655</f>
        <v>64.25</v>
      </c>
      <c r="R655" s="60" t="n">
        <f aca="false">IF(G655&gt;0,IF(INDEX(CONFIRM!$F$5:$F$53,G655)&lt;&gt;"",INDEX(CONFIRM!$F$5:$F$53,G655),IF(ISNUMBER(Q655),Q655,IF(Q655="","",IFERROR(VALUE(TRIM(SUBSTITUTE(SUBSTITUTE(LOWER(Q655),"hrs",""),"hr",""))),"")))),IF(ISNUMBER(Q655),Q655,IF(Q655="","",IFERROR(VALUE(TRIM(SUBSTITUTE(SUBSTITUTE(LOWER(Q655),"hrs",""),"hr",""))),""))))</f>
        <v>64.25</v>
      </c>
      <c r="S655" s="57" t="n">
        <f aca="false">IFERROR(INDEX(RATES!$E$6:$E$28,MATCH(P655,RATES!$A$6:$A$28,0)),0)</f>
        <v>27.6275</v>
      </c>
      <c r="T655" s="61" t="n">
        <f aca="false">IF(ISNUMBER(R655),R655,0)*S655</f>
        <v>1775.066875</v>
      </c>
      <c r="U655" s="61" t="n">
        <f aca="false">T655*INDEX(INPUTS!$H$10:$H$14,MATCH(B655,INPUTS!$A$10:$A$14,0))</f>
        <v>287.56083375</v>
      </c>
      <c r="V655" s="61" t="n">
        <f aca="false">N(STACK!K655)</f>
        <v>0</v>
      </c>
      <c r="W655" s="61" t="n">
        <f aca="false">T655+U655+V655</f>
        <v>2062.62770875</v>
      </c>
      <c r="X655" s="61" t="n">
        <f aca="false">N(STACK!L655)</f>
        <v>0</v>
      </c>
      <c r="Y655" s="61" t="n">
        <f aca="false">W655-X655</f>
        <v>2062.62770875</v>
      </c>
      <c r="Z655" s="1" t="n">
        <f aca="false">N(STACK!J655)</f>
        <v>0</v>
      </c>
      <c r="AA655" s="1" t="str">
        <f aca="false">TRIM(IF(D655="UNMAPPED","Program not mapped. ","")&amp;IF(OR(K655="UNMAPPED",K655="UNASSIGNED"),"Category needs review. ","")&amp;IF(P655="UNMAPPED","Title not mapped. ","")&amp;IF(AND(P655&lt;&gt;"No staff time",R655=""),"Missing hours. ","")&amp;IF(M655="","Date not readable. ","")&amp;IF(N655="No","Outside fiscal year. ","")&amp;IF(AND(F655="Event",ISNUMBER(R655)),IF(R655&gt;12,"Event hours look high. ",""),"")&amp;IF(G655&gt;0,"See CONFIRM sheet.",""))</f>
        <v/>
      </c>
      <c r="AB655" s="1" t="n">
        <f aca="false">IF(N655="No",0,IF(REVIEW!O655=0,0,IF(G655&gt;0,IF(INDEX(CONFIRM!$J$5:$J$53,G655)&lt;&gt;"",INDEX(CONFIRM!$J$5:$J$53,G655),1),1)))</f>
        <v>1</v>
      </c>
      <c r="AC655" s="1" t="n">
        <f aca="false">IF(AB655=1,IF(COUNTIFS($B$5:B655,B655,$D$5:D655,D655,$AB$5:AB655,1)=1,1,0),0)</f>
        <v>0</v>
      </c>
    </row>
    <row r="656" customFormat="false" ht="15" hidden="false" customHeight="false" outlineLevel="0" collapsed="false">
      <c r="A656" s="48" t="str">
        <f aca="false">STACK!A656</f>
        <v>ASH-0123</v>
      </c>
      <c r="B656" s="48" t="str">
        <f aca="false">STACK!B656</f>
        <v>ASH</v>
      </c>
      <c r="C656" s="48" t="str">
        <f aca="false">STACK!E656</f>
        <v>Mobile Screening Unit</v>
      </c>
      <c r="D656" s="1" t="str">
        <f aca="false">IFERROR(INDEX(MAP!$J$7:$J$101,MATCH(TRIM(C656),MAP!$I$7:$I$101,0)),"UNMAPPED")</f>
        <v>Mobile Health Screening Unit</v>
      </c>
      <c r="E656" s="1" t="str">
        <f aca="false">IFERROR(INDEX(MAP!$K$7:$K$101,MATCH(TRIM(C656),MAP!$I$7:$I$101,0)),"")</f>
        <v>Access to care</v>
      </c>
      <c r="F656" s="1" t="str">
        <f aca="false">IFERROR(INDEX(MAP!$L$7:$L$101,MATCH(TRIM(C656),MAP!$I$7:$I$101,0)),"")</f>
        <v>Monthly</v>
      </c>
      <c r="G656" s="1" t="n">
        <f aca="false">IFERROR(MATCH(A656,CONFIRM!$A$5:$A$53,0),0)</f>
        <v>0</v>
      </c>
      <c r="H656" s="48" t="str">
        <f aca="false">STACK!F656</f>
        <v>Clinical Svcs</v>
      </c>
      <c r="I656" s="1" t="str">
        <f aca="false">IF(G656&gt;0,IF(INDEX(CONFIRM!$I$5:$I$53,G656)&lt;&gt;"",INDEX(CONFIRM!$I$5:$I$53,G656),H656),H656)</f>
        <v>Clinical Svcs</v>
      </c>
      <c r="J656" s="1" t="str">
        <f aca="false">IFERROR(INDEX(MAP!$F$7:$F$74,MATCH(TRIM(I656),MAP!$E$7:$E$74,0)),"UNMAPPED")</f>
        <v>Community-based clinical services</v>
      </c>
      <c r="K656" s="1" t="str">
        <f aca="false">IFERROR(INDEX(MAP!$G$7:$G$74,MATCH(TRIM(I656),MAP!$E$7:$E$74,0)),"UNMAPPED")</f>
        <v>7e</v>
      </c>
      <c r="L656" s="49" t="str">
        <f aca="false">STACK!G656</f>
        <v>12/31/2025</v>
      </c>
      <c r="M656" s="59" t="n">
        <f aca="false">IF(G656&gt;0,IF(INDEX(CONFIRM!$G$5:$G$53,G656)&lt;&gt;"",INDEX(CONFIRM!$G$5:$G$53,G656),IF(ISNUMBER(L656),L656,IFERROR(DATEVALUE(L656),""))),IF(ISNUMBER(L656),L656,IFERROR(DATEVALUE(L656),"")))</f>
        <v>46022</v>
      </c>
      <c r="N656" s="1" t="str">
        <f aca="false">IF(M656="","Check",IF(AND(M656&gt;=INPUTS!$C$6,M656&lt;=INPUTS!$C$7),"Yes","No"))</f>
        <v>Yes</v>
      </c>
      <c r="O656" s="48" t="str">
        <f aca="false">STACK!H656</f>
        <v>MA</v>
      </c>
      <c r="P656" s="1" t="str">
        <f aca="false">IF(G656&gt;0,IF(INDEX(CONFIRM!$H$5:$H$53,G656)&lt;&gt;"",INDEX(CONFIRM!$H$5:$H$53,G656),IFERROR(INDEX(MAP!$B$7:$B$156,MATCH(TRIM(O656),MAP!$A$7:$A$156,0)),"UNMAPPED")),IFERROR(INDEX(MAP!$B$7:$B$156,MATCH(TRIM(O656),MAP!$A$7:$A$156,0)),"UNMAPPED"))</f>
        <v>Medical Assistant</v>
      </c>
      <c r="Q656" s="48" t="n">
        <f aca="false">STACK!I656</f>
        <v>89.25</v>
      </c>
      <c r="R656" s="60" t="n">
        <f aca="false">IF(G656&gt;0,IF(INDEX(CONFIRM!$F$5:$F$53,G656)&lt;&gt;"",INDEX(CONFIRM!$F$5:$F$53,G656),IF(ISNUMBER(Q656),Q656,IF(Q656="","",IFERROR(VALUE(TRIM(SUBSTITUTE(SUBSTITUTE(LOWER(Q656),"hrs",""),"hr",""))),"")))),IF(ISNUMBER(Q656),Q656,IF(Q656="","",IFERROR(VALUE(TRIM(SUBSTITUTE(SUBSTITUTE(LOWER(Q656),"hrs",""),"hr",""))),""))))</f>
        <v>89.25</v>
      </c>
      <c r="S656" s="57" t="n">
        <f aca="false">IFERROR(INDEX(RATES!$E$6:$E$28,MATCH(P656,RATES!$A$6:$A$28,0)),0)</f>
        <v>25.37875</v>
      </c>
      <c r="T656" s="61" t="n">
        <f aca="false">IF(ISNUMBER(R656),R656,0)*S656</f>
        <v>2265.0534375</v>
      </c>
      <c r="U656" s="61" t="n">
        <f aca="false">T656*INDEX(INPUTS!$H$10:$H$14,MATCH(B656,INPUTS!$A$10:$A$14,0))</f>
        <v>366.938656875</v>
      </c>
      <c r="V656" s="61" t="n">
        <f aca="false">N(STACK!K656)</f>
        <v>0</v>
      </c>
      <c r="W656" s="61" t="n">
        <f aca="false">T656+U656+V656</f>
        <v>2631.992094375</v>
      </c>
      <c r="X656" s="61" t="n">
        <f aca="false">N(STACK!L656)</f>
        <v>0</v>
      </c>
      <c r="Y656" s="61" t="n">
        <f aca="false">W656-X656</f>
        <v>2631.992094375</v>
      </c>
      <c r="Z656" s="1" t="n">
        <f aca="false">N(STACK!J656)</f>
        <v>0</v>
      </c>
      <c r="AA656" s="1" t="str">
        <f aca="false">TRIM(IF(D656="UNMAPPED","Program not mapped. ","")&amp;IF(OR(K656="UNMAPPED",K656="UNASSIGNED"),"Category needs review. ","")&amp;IF(P656="UNMAPPED","Title not mapped. ","")&amp;IF(AND(P656&lt;&gt;"No staff time",R656=""),"Missing hours. ","")&amp;IF(M656="","Date not readable. ","")&amp;IF(N656="No","Outside fiscal year. ","")&amp;IF(AND(F656="Event",ISNUMBER(R656)),IF(R656&gt;12,"Event hours look high. ",""),"")&amp;IF(G656&gt;0,"See CONFIRM sheet.",""))</f>
        <v/>
      </c>
      <c r="AB656" s="1" t="n">
        <f aca="false">IF(N656="No",0,IF(REVIEW!O656=0,0,IF(G656&gt;0,IF(INDEX(CONFIRM!$J$5:$J$53,G656)&lt;&gt;"",INDEX(CONFIRM!$J$5:$J$53,G656),1),1)))</f>
        <v>1</v>
      </c>
      <c r="AC656" s="1" t="n">
        <f aca="false">IF(AB656=1,IF(COUNTIFS($B$5:B656,B656,$D$5:D656,D656,$AB$5:AB656,1)=1,1,0),0)</f>
        <v>0</v>
      </c>
    </row>
    <row r="657" customFormat="false" ht="15" hidden="false" customHeight="false" outlineLevel="0" collapsed="false">
      <c r="A657" s="48" t="str">
        <f aca="false">STACK!A657</f>
        <v>ASH-0124</v>
      </c>
      <c r="B657" s="48" t="str">
        <f aca="false">STACK!B657</f>
        <v>ASH</v>
      </c>
      <c r="C657" s="48" t="str">
        <f aca="false">STACK!E657</f>
        <v>Mobile Screening Unit</v>
      </c>
      <c r="D657" s="1" t="str">
        <f aca="false">IFERROR(INDEX(MAP!$J$7:$J$101,MATCH(TRIM(C657),MAP!$I$7:$I$101,0)),"UNMAPPED")</f>
        <v>Mobile Health Screening Unit</v>
      </c>
      <c r="E657" s="1" t="str">
        <f aca="false">IFERROR(INDEX(MAP!$K$7:$K$101,MATCH(TRIM(C657),MAP!$I$7:$I$101,0)),"")</f>
        <v>Access to care</v>
      </c>
      <c r="F657" s="1" t="str">
        <f aca="false">IFERROR(INDEX(MAP!$L$7:$L$101,MATCH(TRIM(C657),MAP!$I$7:$I$101,0)),"")</f>
        <v>Monthly</v>
      </c>
      <c r="G657" s="1" t="n">
        <f aca="false">IFERROR(MATCH(A657,CONFIRM!$A$5:$A$53,0),0)</f>
        <v>0</v>
      </c>
      <c r="H657" s="48" t="str">
        <f aca="false">STACK!F657</f>
        <v>Clinical Svcs</v>
      </c>
      <c r="I657" s="1" t="str">
        <f aca="false">IF(G657&gt;0,IF(INDEX(CONFIRM!$I$5:$I$53,G657)&lt;&gt;"",INDEX(CONFIRM!$I$5:$I$53,G657),H657),H657)</f>
        <v>Clinical Svcs</v>
      </c>
      <c r="J657" s="1" t="str">
        <f aca="false">IFERROR(INDEX(MAP!$F$7:$F$74,MATCH(TRIM(I657),MAP!$E$7:$E$74,0)),"UNMAPPED")</f>
        <v>Community-based clinical services</v>
      </c>
      <c r="K657" s="1" t="str">
        <f aca="false">IFERROR(INDEX(MAP!$G$7:$G$74,MATCH(TRIM(I657),MAP!$E$7:$E$74,0)),"UNMAPPED")</f>
        <v>7e</v>
      </c>
      <c r="L657" s="49" t="str">
        <f aca="false">STACK!G657</f>
        <v>12/31/2025</v>
      </c>
      <c r="M657" s="59" t="n">
        <f aca="false">IF(G657&gt;0,IF(INDEX(CONFIRM!$G$5:$G$53,G657)&lt;&gt;"",INDEX(CONFIRM!$G$5:$G$53,G657),IF(ISNUMBER(L657),L657,IFERROR(DATEVALUE(L657),""))),IF(ISNUMBER(L657),L657,IFERROR(DATEVALUE(L657),"")))</f>
        <v>46022</v>
      </c>
      <c r="N657" s="1" t="str">
        <f aca="false">IF(M657="","Check",IF(AND(M657&gt;=INPUTS!$C$6,M657&lt;=INPUTS!$C$7),"Yes","No"))</f>
        <v>Yes</v>
      </c>
      <c r="O657" s="48" t="str">
        <f aca="false">STACK!H657</f>
        <v>RN - Outreach</v>
      </c>
      <c r="P657" s="1" t="str">
        <f aca="false">IF(G657&gt;0,IF(INDEX(CONFIRM!$H$5:$H$53,G657)&lt;&gt;"",INDEX(CONFIRM!$H$5:$H$53,G657),IFERROR(INDEX(MAP!$B$7:$B$156,MATCH(TRIM(O657),MAP!$A$7:$A$156,0)),"UNMAPPED")),IFERROR(INDEX(MAP!$B$7:$B$156,MATCH(TRIM(O657),MAP!$A$7:$A$156,0)),"UNMAPPED"))</f>
        <v>Registered Nurse</v>
      </c>
      <c r="Q657" s="48" t="n">
        <f aca="false">STACK!I657</f>
        <v>69</v>
      </c>
      <c r="R657" s="60" t="n">
        <f aca="false">IF(G657&gt;0,IF(INDEX(CONFIRM!$F$5:$F$53,G657)&lt;&gt;"",INDEX(CONFIRM!$F$5:$F$53,G657),IF(ISNUMBER(Q657),Q657,IF(Q657="","",IFERROR(VALUE(TRIM(SUBSTITUTE(SUBSTITUTE(LOWER(Q657),"hrs",""),"hr",""))),"")))),IF(ISNUMBER(Q657),Q657,IF(Q657="","",IFERROR(VALUE(TRIM(SUBSTITUTE(SUBSTITUTE(LOWER(Q657),"hrs",""),"hr",""))),""))))</f>
        <v>69</v>
      </c>
      <c r="S657" s="57" t="n">
        <f aca="false">IFERROR(INDEX(RATES!$E$6:$E$28,MATCH(P657,RATES!$A$6:$A$28,0)),0)</f>
        <v>55.8975</v>
      </c>
      <c r="T657" s="61" t="n">
        <f aca="false">IF(ISNUMBER(R657),R657,0)*S657</f>
        <v>3856.9275</v>
      </c>
      <c r="U657" s="61" t="n">
        <f aca="false">T657*INDEX(INPUTS!$H$10:$H$14,MATCH(B657,INPUTS!$A$10:$A$14,0))</f>
        <v>624.822255</v>
      </c>
      <c r="V657" s="61" t="n">
        <f aca="false">N(STACK!K657)</f>
        <v>7465</v>
      </c>
      <c r="W657" s="61" t="n">
        <f aca="false">T657+U657+V657</f>
        <v>11946.749755</v>
      </c>
      <c r="X657" s="61" t="n">
        <f aca="false">N(STACK!L657)</f>
        <v>0</v>
      </c>
      <c r="Y657" s="61" t="n">
        <f aca="false">W657-X657</f>
        <v>11946.749755</v>
      </c>
      <c r="Z657" s="1" t="n">
        <f aca="false">N(STACK!J657)</f>
        <v>252</v>
      </c>
      <c r="AA657" s="1" t="str">
        <f aca="false">TRIM(IF(D657="UNMAPPED","Program not mapped. ","")&amp;IF(OR(K657="UNMAPPED",K657="UNASSIGNED"),"Category needs review. ","")&amp;IF(P657="UNMAPPED","Title not mapped. ","")&amp;IF(AND(P657&lt;&gt;"No staff time",R657=""),"Missing hours. ","")&amp;IF(M657="","Date not readable. ","")&amp;IF(N657="No","Outside fiscal year. ","")&amp;IF(AND(F657="Event",ISNUMBER(R657)),IF(R657&gt;12,"Event hours look high. ",""),"")&amp;IF(G657&gt;0,"See CONFIRM sheet.",""))</f>
        <v/>
      </c>
      <c r="AB657" s="1" t="n">
        <f aca="false">IF(N657="No",0,IF(REVIEW!O657=0,0,IF(G657&gt;0,IF(INDEX(CONFIRM!$J$5:$J$53,G657)&lt;&gt;"",INDEX(CONFIRM!$J$5:$J$53,G657),1),1)))</f>
        <v>1</v>
      </c>
      <c r="AC657" s="1" t="n">
        <f aca="false">IF(AB657=1,IF(COUNTIFS($B$5:B657,B657,$D$5:D657,D657,$AB$5:AB657,1)=1,1,0),0)</f>
        <v>0</v>
      </c>
    </row>
    <row r="658" customFormat="false" ht="15" hidden="false" customHeight="false" outlineLevel="0" collapsed="false">
      <c r="A658" s="48" t="str">
        <f aca="false">STACK!A658</f>
        <v>ASH-0125</v>
      </c>
      <c r="B658" s="48" t="str">
        <f aca="false">STACK!B658</f>
        <v>ASH</v>
      </c>
      <c r="C658" s="48" t="str">
        <f aca="false">STACK!E658</f>
        <v>CHW Outreach</v>
      </c>
      <c r="D658" s="1" t="str">
        <f aca="false">IFERROR(INDEX(MAP!$J$7:$J$101,MATCH(TRIM(C658),MAP!$I$7:$I$101,0)),"UNMAPPED")</f>
        <v>Community Health Worker Outreach</v>
      </c>
      <c r="E658" s="1" t="str">
        <f aca="false">IFERROR(INDEX(MAP!$K$7:$K$101,MATCH(TRIM(C658),MAP!$I$7:$I$101,0)),"")</f>
        <v>Access to care</v>
      </c>
      <c r="F658" s="1" t="str">
        <f aca="false">IFERROR(INDEX(MAP!$L$7:$L$101,MATCH(TRIM(C658),MAP!$I$7:$I$101,0)),"")</f>
        <v>Monthly</v>
      </c>
      <c r="G658" s="1" t="n">
        <f aca="false">IFERROR(MATCH(A658,CONFIRM!$A$5:$A$53,0),0)</f>
        <v>0</v>
      </c>
      <c r="H658" s="48" t="str">
        <f aca="false">STACK!F658</f>
        <v>Support Svcs</v>
      </c>
      <c r="I658" s="1" t="str">
        <f aca="false">IF(G658&gt;0,IF(INDEX(CONFIRM!$I$5:$I$53,G658)&lt;&gt;"",INDEX(CONFIRM!$I$5:$I$53,G658),H658),H658)</f>
        <v>Support Svcs</v>
      </c>
      <c r="J658" s="1" t="str">
        <f aca="false">IFERROR(INDEX(MAP!$F$7:$F$74,MATCH(TRIM(I658),MAP!$E$7:$E$74,0)),"UNMAPPED")</f>
        <v>Health care support services</v>
      </c>
      <c r="K658" s="1" t="str">
        <f aca="false">IFERROR(INDEX(MAP!$G$7:$G$74,MATCH(TRIM(I658),MAP!$E$7:$E$74,0)),"UNMAPPED")</f>
        <v>7e</v>
      </c>
      <c r="L658" s="49" t="str">
        <f aca="false">STACK!G658</f>
        <v>12/31/2025</v>
      </c>
      <c r="M658" s="59" t="n">
        <f aca="false">IF(G658&gt;0,IF(INDEX(CONFIRM!$G$5:$G$53,G658)&lt;&gt;"",INDEX(CONFIRM!$G$5:$G$53,G658),IF(ISNUMBER(L658),L658,IFERROR(DATEVALUE(L658),""))),IF(ISNUMBER(L658),L658,IFERROR(DATEVALUE(L658),"")))</f>
        <v>46022</v>
      </c>
      <c r="N658" s="1" t="str">
        <f aca="false">IF(M658="","Check",IF(AND(M658&gt;=INPUTS!$C$6,M658&lt;=INPUTS!$C$7),"Yes","No"))</f>
        <v>Yes</v>
      </c>
      <c r="O658" s="48" t="str">
        <f aca="false">STACK!H658</f>
        <v>CHW II</v>
      </c>
      <c r="P658" s="1" t="str">
        <f aca="false">IF(G658&gt;0,IF(INDEX(CONFIRM!$H$5:$H$53,G658)&lt;&gt;"",INDEX(CONFIRM!$H$5:$H$53,G658),IFERROR(INDEX(MAP!$B$7:$B$156,MATCH(TRIM(O658),MAP!$A$7:$A$156,0)),"UNMAPPED")),IFERROR(INDEX(MAP!$B$7:$B$156,MATCH(TRIM(O658),MAP!$A$7:$A$156,0)),"UNMAPPED"))</f>
        <v>Community Health Worker</v>
      </c>
      <c r="Q658" s="48" t="n">
        <f aca="false">STACK!I658</f>
        <v>306</v>
      </c>
      <c r="R658" s="60" t="n">
        <f aca="false">IF(G658&gt;0,IF(INDEX(CONFIRM!$F$5:$F$53,G658)&lt;&gt;"",INDEX(CONFIRM!$F$5:$F$53,G658),IF(ISNUMBER(Q658),Q658,IF(Q658="","",IFERROR(VALUE(TRIM(SUBSTITUTE(SUBSTITUTE(LOWER(Q658),"hrs",""),"hr",""))),"")))),IF(ISNUMBER(Q658),Q658,IF(Q658="","",IFERROR(VALUE(TRIM(SUBSTITUTE(SUBSTITUTE(LOWER(Q658),"hrs",""),"hr",""))),""))))</f>
        <v>306</v>
      </c>
      <c r="S658" s="57" t="n">
        <f aca="false">IFERROR(INDEX(RATES!$E$6:$E$28,MATCH(P658,RATES!$A$6:$A$28,0)),0)</f>
        <v>27.6275</v>
      </c>
      <c r="T658" s="61" t="n">
        <f aca="false">IF(ISNUMBER(R658),R658,0)*S658</f>
        <v>8454.015</v>
      </c>
      <c r="U658" s="61" t="n">
        <f aca="false">T658*INDEX(INPUTS!$H$10:$H$14,MATCH(B658,INPUTS!$A$10:$A$14,0))</f>
        <v>1369.55043</v>
      </c>
      <c r="V658" s="61" t="n">
        <f aca="false">N(STACK!K658)</f>
        <v>1170</v>
      </c>
      <c r="W658" s="61" t="n">
        <f aca="false">T658+U658+V658</f>
        <v>10993.56543</v>
      </c>
      <c r="X658" s="61" t="n">
        <f aca="false">N(STACK!L658)</f>
        <v>7500</v>
      </c>
      <c r="Y658" s="61" t="n">
        <f aca="false">W658-X658</f>
        <v>3493.56543</v>
      </c>
      <c r="Z658" s="1" t="n">
        <f aca="false">N(STACK!J658)</f>
        <v>445</v>
      </c>
      <c r="AA658" s="1" t="str">
        <f aca="false">TRIM(IF(D658="UNMAPPED","Program not mapped. ","")&amp;IF(OR(K658="UNMAPPED",K658="UNASSIGNED"),"Category needs review. ","")&amp;IF(P658="UNMAPPED","Title not mapped. ","")&amp;IF(AND(P658&lt;&gt;"No staff time",R658=""),"Missing hours. ","")&amp;IF(M658="","Date not readable. ","")&amp;IF(N658="No","Outside fiscal year. ","")&amp;IF(AND(F658="Event",ISNUMBER(R658)),IF(R658&gt;12,"Event hours look high. ",""),"")&amp;IF(G658&gt;0,"See CONFIRM sheet.",""))</f>
        <v/>
      </c>
      <c r="AB658" s="1" t="n">
        <f aca="false">IF(N658="No",0,IF(REVIEW!O658=0,0,IF(G658&gt;0,IF(INDEX(CONFIRM!$J$5:$J$53,G658)&lt;&gt;"",INDEX(CONFIRM!$J$5:$J$53,G658),1),1)))</f>
        <v>1</v>
      </c>
      <c r="AC658" s="1" t="n">
        <f aca="false">IF(AB658=1,IF(COUNTIFS($B$5:B658,B658,$D$5:D658,D658,$AB$5:AB658,1)=1,1,0),0)</f>
        <v>0</v>
      </c>
    </row>
    <row r="659" customFormat="false" ht="15" hidden="false" customHeight="false" outlineLevel="0" collapsed="false">
      <c r="A659" s="48" t="str">
        <f aca="false">STACK!A659</f>
        <v>ASH-0126</v>
      </c>
      <c r="B659" s="48" t="str">
        <f aca="false">STACK!B659</f>
        <v>ASH</v>
      </c>
      <c r="C659" s="48" t="str">
        <f aca="false">STACK!E659</f>
        <v>CHW Outreach</v>
      </c>
      <c r="D659" s="1" t="str">
        <f aca="false">IFERROR(INDEX(MAP!$J$7:$J$101,MATCH(TRIM(C659),MAP!$I$7:$I$101,0)),"UNMAPPED")</f>
        <v>Community Health Worker Outreach</v>
      </c>
      <c r="E659" s="1" t="str">
        <f aca="false">IFERROR(INDEX(MAP!$K$7:$K$101,MATCH(TRIM(C659),MAP!$I$7:$I$101,0)),"")</f>
        <v>Access to care</v>
      </c>
      <c r="F659" s="1" t="str">
        <f aca="false">IFERROR(INDEX(MAP!$L$7:$L$101,MATCH(TRIM(C659),MAP!$I$7:$I$101,0)),"")</f>
        <v>Monthly</v>
      </c>
      <c r="G659" s="1" t="n">
        <f aca="false">IFERROR(MATCH(A659,CONFIRM!$A$5:$A$53,0),0)</f>
        <v>0</v>
      </c>
      <c r="H659" s="48" t="str">
        <f aca="false">STACK!F659</f>
        <v>Support Svcs</v>
      </c>
      <c r="I659" s="1" t="str">
        <f aca="false">IF(G659&gt;0,IF(INDEX(CONFIRM!$I$5:$I$53,G659)&lt;&gt;"",INDEX(CONFIRM!$I$5:$I$53,G659),H659),H659)</f>
        <v>Support Svcs</v>
      </c>
      <c r="J659" s="1" t="str">
        <f aca="false">IFERROR(INDEX(MAP!$F$7:$F$74,MATCH(TRIM(I659),MAP!$E$7:$E$74,0)),"UNMAPPED")</f>
        <v>Health care support services</v>
      </c>
      <c r="K659" s="1" t="str">
        <f aca="false">IFERROR(INDEX(MAP!$G$7:$G$74,MATCH(TRIM(I659),MAP!$E$7:$E$74,0)),"UNMAPPED")</f>
        <v>7e</v>
      </c>
      <c r="L659" s="49" t="str">
        <f aca="false">STACK!G659</f>
        <v>12/31/2025</v>
      </c>
      <c r="M659" s="59" t="n">
        <f aca="false">IF(G659&gt;0,IF(INDEX(CONFIRM!$G$5:$G$53,G659)&lt;&gt;"",INDEX(CONFIRM!$G$5:$G$53,G659),IF(ISNUMBER(L659),L659,IFERROR(DATEVALUE(L659),""))),IF(ISNUMBER(L659),L659,IFERROR(DATEVALUE(L659),"")))</f>
        <v>46022</v>
      </c>
      <c r="N659" s="1" t="str">
        <f aca="false">IF(M659="","Check",IF(AND(M659&gt;=INPUTS!$C$6,M659&lt;=INPUTS!$C$7),"Yes","No"))</f>
        <v>Yes</v>
      </c>
      <c r="O659" s="48" t="str">
        <f aca="false">STACK!H659</f>
        <v>Nurse Navigator</v>
      </c>
      <c r="P659" s="1" t="str">
        <f aca="false">IF(G659&gt;0,IF(INDEX(CONFIRM!$H$5:$H$53,G659)&lt;&gt;"",INDEX(CONFIRM!$H$5:$H$53,G659),IFERROR(INDEX(MAP!$B$7:$B$156,MATCH(TRIM(O659),MAP!$A$7:$A$156,0)),"UNMAPPED")),IFERROR(INDEX(MAP!$B$7:$B$156,MATCH(TRIM(O659),MAP!$A$7:$A$156,0)),"UNMAPPED"))</f>
        <v>Patient Navigator</v>
      </c>
      <c r="Q659" s="48" t="n">
        <f aca="false">STACK!I659</f>
        <v>137</v>
      </c>
      <c r="R659" s="60" t="n">
        <f aca="false">IF(G659&gt;0,IF(INDEX(CONFIRM!$F$5:$F$53,G659)&lt;&gt;"",INDEX(CONFIRM!$F$5:$F$53,G659),IF(ISNUMBER(Q659),Q659,IF(Q659="","",IFERROR(VALUE(TRIM(SUBSTITUTE(SUBSTITUTE(LOWER(Q659),"hrs",""),"hr",""))),"")))),IF(ISNUMBER(Q659),Q659,IF(Q659="","",IFERROR(VALUE(TRIM(SUBSTITUTE(SUBSTITUTE(LOWER(Q659),"hrs",""),"hr",""))),""))))</f>
        <v>137</v>
      </c>
      <c r="S659" s="57" t="n">
        <f aca="false">IFERROR(INDEX(RATES!$E$6:$E$28,MATCH(P659,RATES!$A$6:$A$28,0)),0)</f>
        <v>30.84</v>
      </c>
      <c r="T659" s="61" t="n">
        <f aca="false">IF(ISNUMBER(R659),R659,0)*S659</f>
        <v>4225.08</v>
      </c>
      <c r="U659" s="61" t="n">
        <f aca="false">T659*INDEX(INPUTS!$H$10:$H$14,MATCH(B659,INPUTS!$A$10:$A$14,0))</f>
        <v>684.46296</v>
      </c>
      <c r="V659" s="61" t="n">
        <f aca="false">N(STACK!K659)</f>
        <v>0</v>
      </c>
      <c r="W659" s="61" t="n">
        <f aca="false">T659+U659+V659</f>
        <v>4909.54296</v>
      </c>
      <c r="X659" s="61" t="n">
        <f aca="false">N(STACK!L659)</f>
        <v>0</v>
      </c>
      <c r="Y659" s="61" t="n">
        <f aca="false">W659-X659</f>
        <v>4909.54296</v>
      </c>
      <c r="Z659" s="1" t="n">
        <f aca="false">N(STACK!J659)</f>
        <v>0</v>
      </c>
      <c r="AA659" s="1" t="str">
        <f aca="false">TRIM(IF(D659="UNMAPPED","Program not mapped. ","")&amp;IF(OR(K659="UNMAPPED",K659="UNASSIGNED"),"Category needs review. ","")&amp;IF(P659="UNMAPPED","Title not mapped. ","")&amp;IF(AND(P659&lt;&gt;"No staff time",R659=""),"Missing hours. ","")&amp;IF(M659="","Date not readable. ","")&amp;IF(N659="No","Outside fiscal year. ","")&amp;IF(AND(F659="Event",ISNUMBER(R659)),IF(R659&gt;12,"Event hours look high. ",""),"")&amp;IF(G659&gt;0,"See CONFIRM sheet.",""))</f>
        <v/>
      </c>
      <c r="AB659" s="1" t="n">
        <f aca="false">IF(N659="No",0,IF(REVIEW!O659=0,0,IF(G659&gt;0,IF(INDEX(CONFIRM!$J$5:$J$53,G659)&lt;&gt;"",INDEX(CONFIRM!$J$5:$J$53,G659),1),1)))</f>
        <v>1</v>
      </c>
      <c r="AC659" s="1" t="n">
        <f aca="false">IF(AB659=1,IF(COUNTIFS($B$5:B659,B659,$D$5:D659,D659,$AB$5:AB659,1)=1,1,0),0)</f>
        <v>0</v>
      </c>
    </row>
    <row r="660" customFormat="false" ht="15" hidden="false" customHeight="false" outlineLevel="0" collapsed="false">
      <c r="A660" s="48" t="str">
        <f aca="false">STACK!A660</f>
        <v>ASH-0127</v>
      </c>
      <c r="B660" s="48" t="str">
        <f aca="false">STACK!B660</f>
        <v>ASH</v>
      </c>
      <c r="C660" s="48" t="str">
        <f aca="false">STACK!E660</f>
        <v>Produce Rx</v>
      </c>
      <c r="D660" s="1" t="str">
        <f aca="false">IFERROR(INDEX(MAP!$J$7:$J$101,MATCH(TRIM(C660),MAP!$I$7:$I$101,0)),"UNMAPPED")</f>
        <v>Produce Prescription Program</v>
      </c>
      <c r="E660" s="1" t="str">
        <f aca="false">IFERROR(INDEX(MAP!$K$7:$K$101,MATCH(TRIM(C660),MAP!$I$7:$I$101,0)),"")</f>
        <v>Food and housing security</v>
      </c>
      <c r="F660" s="1" t="str">
        <f aca="false">IFERROR(INDEX(MAP!$L$7:$L$101,MATCH(TRIM(C660),MAP!$I$7:$I$101,0)),"")</f>
        <v>Monthly</v>
      </c>
      <c r="G660" s="1" t="n">
        <f aca="false">IFERROR(MATCH(A660,CONFIRM!$A$5:$A$53,0),0)</f>
        <v>0</v>
      </c>
      <c r="H660" s="48" t="str">
        <f aca="false">STACK!F660</f>
        <v>Support Svcs</v>
      </c>
      <c r="I660" s="1" t="str">
        <f aca="false">IF(G660&gt;0,IF(INDEX(CONFIRM!$I$5:$I$53,G660)&lt;&gt;"",INDEX(CONFIRM!$I$5:$I$53,G660),H660),H660)</f>
        <v>Support Svcs</v>
      </c>
      <c r="J660" s="1" t="str">
        <f aca="false">IFERROR(INDEX(MAP!$F$7:$F$74,MATCH(TRIM(I660),MAP!$E$7:$E$74,0)),"UNMAPPED")</f>
        <v>Health care support services</v>
      </c>
      <c r="K660" s="1" t="str">
        <f aca="false">IFERROR(INDEX(MAP!$G$7:$G$74,MATCH(TRIM(I660),MAP!$E$7:$E$74,0)),"UNMAPPED")</f>
        <v>7e</v>
      </c>
      <c r="L660" s="49" t="str">
        <f aca="false">STACK!G660</f>
        <v>12/31/2025</v>
      </c>
      <c r="M660" s="59" t="n">
        <f aca="false">IF(G660&gt;0,IF(INDEX(CONFIRM!$G$5:$G$53,G660)&lt;&gt;"",INDEX(CONFIRM!$G$5:$G$53,G660),IF(ISNUMBER(L660),L660,IFERROR(DATEVALUE(L660),""))),IF(ISNUMBER(L660),L660,IFERROR(DATEVALUE(L660),"")))</f>
        <v>46022</v>
      </c>
      <c r="N660" s="1" t="str">
        <f aca="false">IF(M660="","Check",IF(AND(M660&gt;=INPUTS!$C$6,M660&lt;=INPUTS!$C$7),"Yes","No"))</f>
        <v>Yes</v>
      </c>
      <c r="O660" s="48" t="str">
        <f aca="false">STACK!H660</f>
        <v>Comm Health Worker</v>
      </c>
      <c r="P660" s="1" t="str">
        <f aca="false">IF(G660&gt;0,IF(INDEX(CONFIRM!$H$5:$H$53,G660)&lt;&gt;"",INDEX(CONFIRM!$H$5:$H$53,G660),IFERROR(INDEX(MAP!$B$7:$B$156,MATCH(TRIM(O660),MAP!$A$7:$A$156,0)),"UNMAPPED")),IFERROR(INDEX(MAP!$B$7:$B$156,MATCH(TRIM(O660),MAP!$A$7:$A$156,0)),"UNMAPPED"))</f>
        <v>Community Health Worker</v>
      </c>
      <c r="Q660" s="48" t="str">
        <f aca="false">STACK!I660</f>
        <v>60 hrs</v>
      </c>
      <c r="R660" s="60" t="n">
        <f aca="false">IF(G660&gt;0,IF(INDEX(CONFIRM!$F$5:$F$53,G660)&lt;&gt;"",INDEX(CONFIRM!$F$5:$F$53,G660),IF(ISNUMBER(Q660),Q660,IF(Q660="","",IFERROR(VALUE(TRIM(SUBSTITUTE(SUBSTITUTE(LOWER(Q660),"hrs",""),"hr",""))),"")))),IF(ISNUMBER(Q660),Q660,IF(Q660="","",IFERROR(VALUE(TRIM(SUBSTITUTE(SUBSTITUTE(LOWER(Q660),"hrs",""),"hr",""))),""))))</f>
        <v>60</v>
      </c>
      <c r="S660" s="57" t="n">
        <f aca="false">IFERROR(INDEX(RATES!$E$6:$E$28,MATCH(P660,RATES!$A$6:$A$28,0)),0)</f>
        <v>27.6275</v>
      </c>
      <c r="T660" s="61" t="n">
        <f aca="false">IF(ISNUMBER(R660),R660,0)*S660</f>
        <v>1657.65</v>
      </c>
      <c r="U660" s="61" t="n">
        <f aca="false">T660*INDEX(INPUTS!$H$10:$H$14,MATCH(B660,INPUTS!$A$10:$A$14,0))</f>
        <v>268.5393</v>
      </c>
      <c r="V660" s="61" t="n">
        <f aca="false">N(STACK!K660)</f>
        <v>0</v>
      </c>
      <c r="W660" s="61" t="n">
        <f aca="false">T660+U660+V660</f>
        <v>1926.1893</v>
      </c>
      <c r="X660" s="61" t="n">
        <f aca="false">N(STACK!L660)</f>
        <v>0</v>
      </c>
      <c r="Y660" s="61" t="n">
        <f aca="false">W660-X660</f>
        <v>1926.1893</v>
      </c>
      <c r="Z660" s="1" t="n">
        <f aca="false">N(STACK!J660)</f>
        <v>0</v>
      </c>
      <c r="AA660" s="1" t="str">
        <f aca="false">TRIM(IF(D660="UNMAPPED","Program not mapped. ","")&amp;IF(OR(K660="UNMAPPED",K660="UNASSIGNED"),"Category needs review. ","")&amp;IF(P660="UNMAPPED","Title not mapped. ","")&amp;IF(AND(P660&lt;&gt;"No staff time",R660=""),"Missing hours. ","")&amp;IF(M660="","Date not readable. ","")&amp;IF(N660="No","Outside fiscal year. ","")&amp;IF(AND(F660="Event",ISNUMBER(R660)),IF(R660&gt;12,"Event hours look high. ",""),"")&amp;IF(G660&gt;0,"See CONFIRM sheet.",""))</f>
        <v/>
      </c>
      <c r="AB660" s="1" t="n">
        <f aca="false">IF(N660="No",0,IF(REVIEW!O660=0,0,IF(G660&gt;0,IF(INDEX(CONFIRM!$J$5:$J$53,G660)&lt;&gt;"",INDEX(CONFIRM!$J$5:$J$53,G660),1),1)))</f>
        <v>1</v>
      </c>
      <c r="AC660" s="1" t="n">
        <f aca="false">IF(AB660=1,IF(COUNTIFS($B$5:B660,B660,$D$5:D660,D660,$AB$5:AB660,1)=1,1,0),0)</f>
        <v>0</v>
      </c>
    </row>
    <row r="661" customFormat="false" ht="15" hidden="false" customHeight="false" outlineLevel="0" collapsed="false">
      <c r="A661" s="48" t="str">
        <f aca="false">STACK!A661</f>
        <v>ASH-0128</v>
      </c>
      <c r="B661" s="48" t="str">
        <f aca="false">STACK!B661</f>
        <v>ASH</v>
      </c>
      <c r="C661" s="48" t="str">
        <f aca="false">STACK!E661</f>
        <v>Produce Rx</v>
      </c>
      <c r="D661" s="1" t="str">
        <f aca="false">IFERROR(INDEX(MAP!$J$7:$J$101,MATCH(TRIM(C661),MAP!$I$7:$I$101,0)),"UNMAPPED")</f>
        <v>Produce Prescription Program</v>
      </c>
      <c r="E661" s="1" t="str">
        <f aca="false">IFERROR(INDEX(MAP!$K$7:$K$101,MATCH(TRIM(C661),MAP!$I$7:$I$101,0)),"")</f>
        <v>Food and housing security</v>
      </c>
      <c r="F661" s="1" t="str">
        <f aca="false">IFERROR(INDEX(MAP!$L$7:$L$101,MATCH(TRIM(C661),MAP!$I$7:$I$101,0)),"")</f>
        <v>Monthly</v>
      </c>
      <c r="G661" s="1" t="n">
        <f aca="false">IFERROR(MATCH(A661,CONFIRM!$A$5:$A$53,0),0)</f>
        <v>0</v>
      </c>
      <c r="H661" s="48" t="str">
        <f aca="false">STACK!F661</f>
        <v>Support Svcs</v>
      </c>
      <c r="I661" s="1" t="str">
        <f aca="false">IF(G661&gt;0,IF(INDEX(CONFIRM!$I$5:$I$53,G661)&lt;&gt;"",INDEX(CONFIRM!$I$5:$I$53,G661),H661),H661)</f>
        <v>Support Svcs</v>
      </c>
      <c r="J661" s="1" t="str">
        <f aca="false">IFERROR(INDEX(MAP!$F$7:$F$74,MATCH(TRIM(I661),MAP!$E$7:$E$74,0)),"UNMAPPED")</f>
        <v>Health care support services</v>
      </c>
      <c r="K661" s="1" t="str">
        <f aca="false">IFERROR(INDEX(MAP!$G$7:$G$74,MATCH(TRIM(I661),MAP!$E$7:$E$74,0)),"UNMAPPED")</f>
        <v>7e</v>
      </c>
      <c r="L661" s="49" t="str">
        <f aca="false">STACK!G661</f>
        <v>12/31/2025</v>
      </c>
      <c r="M661" s="59" t="n">
        <f aca="false">IF(G661&gt;0,IF(INDEX(CONFIRM!$G$5:$G$53,G661)&lt;&gt;"",INDEX(CONFIRM!$G$5:$G$53,G661),IF(ISNUMBER(L661),L661,IFERROR(DATEVALUE(L661),""))),IF(ISNUMBER(L661),L661,IFERROR(DATEVALUE(L661),"")))</f>
        <v>46022</v>
      </c>
      <c r="N661" s="1" t="str">
        <f aca="false">IF(M661="","Check",IF(AND(M661&gt;=INPUTS!$C$6,M661&lt;=INPUTS!$C$7),"Yes","No"))</f>
        <v>Yes</v>
      </c>
      <c r="O661" s="48" t="str">
        <f aca="false">STACK!H661</f>
        <v>Nutritionist</v>
      </c>
      <c r="P661" s="1" t="str">
        <f aca="false">IF(G661&gt;0,IF(INDEX(CONFIRM!$H$5:$H$53,G661)&lt;&gt;"",INDEX(CONFIRM!$H$5:$H$53,G661),IFERROR(INDEX(MAP!$B$7:$B$156,MATCH(TRIM(O661),MAP!$A$7:$A$156,0)),"UNMAPPED")),IFERROR(INDEX(MAP!$B$7:$B$156,MATCH(TRIM(O661),MAP!$A$7:$A$156,0)),"UNMAPPED"))</f>
        <v>Registered Dietitian</v>
      </c>
      <c r="Q661" s="48" t="n">
        <f aca="false">STACK!I661</f>
        <v>22</v>
      </c>
      <c r="R661" s="60" t="n">
        <f aca="false">IF(G661&gt;0,IF(INDEX(CONFIRM!$F$5:$F$53,G661)&lt;&gt;"",INDEX(CONFIRM!$F$5:$F$53,G661),IF(ISNUMBER(Q661),Q661,IF(Q661="","",IFERROR(VALUE(TRIM(SUBSTITUTE(SUBSTITUTE(LOWER(Q661),"hrs",""),"hr",""))),"")))),IF(ISNUMBER(Q661),Q661,IF(Q661="","",IFERROR(VALUE(TRIM(SUBSTITUTE(SUBSTITUTE(LOWER(Q661),"hrs",""),"hr",""))),""))))</f>
        <v>22</v>
      </c>
      <c r="S661" s="57" t="n">
        <f aca="false">IFERROR(INDEX(RATES!$E$6:$E$28,MATCH(P661,RATES!$A$6:$A$28,0)),0)</f>
        <v>46.9025</v>
      </c>
      <c r="T661" s="61" t="n">
        <f aca="false">IF(ISNUMBER(R661),R661,0)*S661</f>
        <v>1031.855</v>
      </c>
      <c r="U661" s="61" t="n">
        <f aca="false">T661*INDEX(INPUTS!$H$10:$H$14,MATCH(B661,INPUTS!$A$10:$A$14,0))</f>
        <v>167.16051</v>
      </c>
      <c r="V661" s="61" t="n">
        <f aca="false">N(STACK!K661)</f>
        <v>13125</v>
      </c>
      <c r="W661" s="61" t="n">
        <f aca="false">T661+U661+V661</f>
        <v>14324.01551</v>
      </c>
      <c r="X661" s="61" t="n">
        <f aca="false">N(STACK!L661)</f>
        <v>6410</v>
      </c>
      <c r="Y661" s="61" t="n">
        <f aca="false">W661-X661</f>
        <v>7914.01551</v>
      </c>
      <c r="Z661" s="1" t="n">
        <f aca="false">N(STACK!J661)</f>
        <v>125</v>
      </c>
      <c r="AA661" s="1" t="str">
        <f aca="false">TRIM(IF(D661="UNMAPPED","Program not mapped. ","")&amp;IF(OR(K661="UNMAPPED",K661="UNASSIGNED"),"Category needs review. ","")&amp;IF(P661="UNMAPPED","Title not mapped. ","")&amp;IF(AND(P661&lt;&gt;"No staff time",R661=""),"Missing hours. ","")&amp;IF(M661="","Date not readable. ","")&amp;IF(N661="No","Outside fiscal year. ","")&amp;IF(AND(F661="Event",ISNUMBER(R661)),IF(R661&gt;12,"Event hours look high. ",""),"")&amp;IF(G661&gt;0,"See CONFIRM sheet.",""))</f>
        <v/>
      </c>
      <c r="AB661" s="1" t="n">
        <f aca="false">IF(N661="No",0,IF(REVIEW!O661=0,0,IF(G661&gt;0,IF(INDEX(CONFIRM!$J$5:$J$53,G661)&lt;&gt;"",INDEX(CONFIRM!$J$5:$J$53,G661),1),1)))</f>
        <v>1</v>
      </c>
      <c r="AC661" s="1" t="n">
        <f aca="false">IF(AB661=1,IF(COUNTIFS($B$5:B661,B661,$D$5:D661,D661,$AB$5:AB661,1)=1,1,0),0)</f>
        <v>0</v>
      </c>
    </row>
    <row r="662" customFormat="false" ht="15" hidden="false" customHeight="false" outlineLevel="0" collapsed="false">
      <c r="A662" s="48" t="str">
        <f aca="false">STACK!A662</f>
        <v>ASH-0129</v>
      </c>
      <c r="B662" s="48" t="str">
        <f aca="false">STACK!B662</f>
        <v>ASH</v>
      </c>
      <c r="C662" s="48" t="str">
        <f aca="false">STACK!E662</f>
        <v>CB Program Admin</v>
      </c>
      <c r="D662" s="1" t="str">
        <f aca="false">IFERROR(INDEX(MAP!$J$7:$J$101,MATCH(TRIM(C662),MAP!$I$7:$I$101,0)),"UNMAPPED")</f>
        <v>Community Benefit Program Administration</v>
      </c>
      <c r="E662" s="1" t="str">
        <f aca="false">IFERROR(INDEX(MAP!$K$7:$K$101,MATCH(TRIM(C662),MAP!$I$7:$I$101,0)),"")</f>
        <v>Community benefit infrastructure</v>
      </c>
      <c r="F662" s="1" t="str">
        <f aca="false">IFERROR(INDEX(MAP!$L$7:$L$101,MATCH(TRIM(C662),MAP!$I$7:$I$101,0)),"")</f>
        <v>Monthly</v>
      </c>
      <c r="G662" s="1" t="n">
        <f aca="false">IFERROR(MATCH(A662,CONFIRM!$A$5:$A$53,0),0)</f>
        <v>0</v>
      </c>
      <c r="H662" s="48" t="str">
        <f aca="false">STACK!F662</f>
        <v>CB Admin</v>
      </c>
      <c r="I662" s="1" t="str">
        <f aca="false">IF(G662&gt;0,IF(INDEX(CONFIRM!$I$5:$I$53,G662)&lt;&gt;"",INDEX(CONFIRM!$I$5:$I$53,G662),H662),H662)</f>
        <v>CB Admin</v>
      </c>
      <c r="J662" s="1" t="str">
        <f aca="false">IFERROR(INDEX(MAP!$F$7:$F$74,MATCH(TRIM(I662),MAP!$E$7:$E$74,0)),"UNMAPPED")</f>
        <v>Community benefit operations</v>
      </c>
      <c r="K662" s="1" t="str">
        <f aca="false">IFERROR(INDEX(MAP!$G$7:$G$74,MATCH(TRIM(I662),MAP!$E$7:$E$74,0)),"UNMAPPED")</f>
        <v>7e</v>
      </c>
      <c r="L662" s="49" t="str">
        <f aca="false">STACK!G662</f>
        <v>12/31/2025</v>
      </c>
      <c r="M662" s="59" t="n">
        <f aca="false">IF(G662&gt;0,IF(INDEX(CONFIRM!$G$5:$G$53,G662)&lt;&gt;"",INDEX(CONFIRM!$G$5:$G$53,G662),IF(ISNUMBER(L662),L662,IFERROR(DATEVALUE(L662),""))),IF(ISNUMBER(L662),L662,IFERROR(DATEVALUE(L662),"")))</f>
        <v>46022</v>
      </c>
      <c r="N662" s="1" t="str">
        <f aca="false">IF(M662="","Check",IF(AND(M662&gt;=INPUTS!$C$6,M662&lt;=INPUTS!$C$7),"Yes","No"))</f>
        <v>Yes</v>
      </c>
      <c r="O662" s="48" t="str">
        <f aca="false">STACK!H662</f>
        <v>Unit Secretary</v>
      </c>
      <c r="P662" s="1" t="str">
        <f aca="false">IF(G662&gt;0,IF(INDEX(CONFIRM!$H$5:$H$53,G662)&lt;&gt;"",INDEX(CONFIRM!$H$5:$H$53,G662),IFERROR(INDEX(MAP!$B$7:$B$156,MATCH(TRIM(O662),MAP!$A$7:$A$156,0)),"UNMAPPED")),IFERROR(INDEX(MAP!$B$7:$B$156,MATCH(TRIM(O662),MAP!$A$7:$A$156,0)),"UNMAPPED"))</f>
        <v>Administrative Assistant</v>
      </c>
      <c r="Q662" s="48" t="n">
        <f aca="false">STACK!I662</f>
        <v>41.5</v>
      </c>
      <c r="R662" s="60" t="n">
        <f aca="false">IF(G662&gt;0,IF(INDEX(CONFIRM!$F$5:$F$53,G662)&lt;&gt;"",INDEX(CONFIRM!$F$5:$F$53,G662),IF(ISNUMBER(Q662),Q662,IF(Q662="","",IFERROR(VALUE(TRIM(SUBSTITUTE(SUBSTITUTE(LOWER(Q662),"hrs",""),"hr",""))),"")))),IF(ISNUMBER(Q662),Q662,IF(Q662="","",IFERROR(VALUE(TRIM(SUBSTITUTE(SUBSTITUTE(LOWER(Q662),"hrs",""),"hr",""))),""))))</f>
        <v>41.5</v>
      </c>
      <c r="S662" s="57" t="n">
        <f aca="false">IFERROR(INDEX(RATES!$E$6:$E$28,MATCH(P662,RATES!$A$6:$A$28,0)),0)</f>
        <v>26.985</v>
      </c>
      <c r="T662" s="61" t="n">
        <f aca="false">IF(ISNUMBER(R662),R662,0)*S662</f>
        <v>1119.8775</v>
      </c>
      <c r="U662" s="61" t="n">
        <f aca="false">T662*INDEX(INPUTS!$H$10:$H$14,MATCH(B662,INPUTS!$A$10:$A$14,0))</f>
        <v>181.420155</v>
      </c>
      <c r="V662" s="61" t="n">
        <f aca="false">N(STACK!K662)</f>
        <v>0</v>
      </c>
      <c r="W662" s="61" t="n">
        <f aca="false">T662+U662+V662</f>
        <v>1301.297655</v>
      </c>
      <c r="X662" s="61" t="n">
        <f aca="false">N(STACK!L662)</f>
        <v>0</v>
      </c>
      <c r="Y662" s="61" t="n">
        <f aca="false">W662-X662</f>
        <v>1301.297655</v>
      </c>
      <c r="Z662" s="1" t="n">
        <f aca="false">N(STACK!J662)</f>
        <v>0</v>
      </c>
      <c r="AA662" s="1" t="str">
        <f aca="false">TRIM(IF(D662="UNMAPPED","Program not mapped. ","")&amp;IF(OR(K662="UNMAPPED",K662="UNASSIGNED"),"Category needs review. ","")&amp;IF(P662="UNMAPPED","Title not mapped. ","")&amp;IF(AND(P662&lt;&gt;"No staff time",R662=""),"Missing hours. ","")&amp;IF(M662="","Date not readable. ","")&amp;IF(N662="No","Outside fiscal year. ","")&amp;IF(AND(F662="Event",ISNUMBER(R662)),IF(R662&gt;12,"Event hours look high. ",""),"")&amp;IF(G662&gt;0,"See CONFIRM sheet.",""))</f>
        <v/>
      </c>
      <c r="AB662" s="1" t="n">
        <f aca="false">IF(N662="No",0,IF(REVIEW!O662=0,0,IF(G662&gt;0,IF(INDEX(CONFIRM!$J$5:$J$53,G662)&lt;&gt;"",INDEX(CONFIRM!$J$5:$J$53,G662),1),1)))</f>
        <v>1</v>
      </c>
      <c r="AC662" s="1" t="n">
        <f aca="false">IF(AB662=1,IF(COUNTIFS($B$5:B662,B662,$D$5:D662,D662,$AB$5:AB662,1)=1,1,0),0)</f>
        <v>0</v>
      </c>
    </row>
    <row r="663" customFormat="false" ht="15" hidden="false" customHeight="false" outlineLevel="0" collapsed="false">
      <c r="A663" s="48" t="str">
        <f aca="false">STACK!A663</f>
        <v>ASH-0130</v>
      </c>
      <c r="B663" s="48" t="str">
        <f aca="false">STACK!B663</f>
        <v>ASH</v>
      </c>
      <c r="C663" s="48" t="str">
        <f aca="false">STACK!E663</f>
        <v>CB Program Admin</v>
      </c>
      <c r="D663" s="1" t="str">
        <f aca="false">IFERROR(INDEX(MAP!$J$7:$J$101,MATCH(TRIM(C663),MAP!$I$7:$I$101,0)),"UNMAPPED")</f>
        <v>Community Benefit Program Administration</v>
      </c>
      <c r="E663" s="1" t="str">
        <f aca="false">IFERROR(INDEX(MAP!$K$7:$K$101,MATCH(TRIM(C663),MAP!$I$7:$I$101,0)),"")</f>
        <v>Community benefit infrastructure</v>
      </c>
      <c r="F663" s="1" t="str">
        <f aca="false">IFERROR(INDEX(MAP!$L$7:$L$101,MATCH(TRIM(C663),MAP!$I$7:$I$101,0)),"")</f>
        <v>Monthly</v>
      </c>
      <c r="G663" s="1" t="n">
        <f aca="false">IFERROR(MATCH(A663,CONFIRM!$A$5:$A$53,0),0)</f>
        <v>0</v>
      </c>
      <c r="H663" s="48" t="str">
        <f aca="false">STACK!F663</f>
        <v>CB Admin</v>
      </c>
      <c r="I663" s="1" t="str">
        <f aca="false">IF(G663&gt;0,IF(INDEX(CONFIRM!$I$5:$I$53,G663)&lt;&gt;"",INDEX(CONFIRM!$I$5:$I$53,G663),H663),H663)</f>
        <v>CB Admin</v>
      </c>
      <c r="J663" s="1" t="str">
        <f aca="false">IFERROR(INDEX(MAP!$F$7:$F$74,MATCH(TRIM(I663),MAP!$E$7:$E$74,0)),"UNMAPPED")</f>
        <v>Community benefit operations</v>
      </c>
      <c r="K663" s="1" t="str">
        <f aca="false">IFERROR(INDEX(MAP!$G$7:$G$74,MATCH(TRIM(I663),MAP!$E$7:$E$74,0)),"UNMAPPED")</f>
        <v>7e</v>
      </c>
      <c r="L663" s="49" t="str">
        <f aca="false">STACK!G663</f>
        <v>12/31/2025</v>
      </c>
      <c r="M663" s="59" t="n">
        <f aca="false">IF(G663&gt;0,IF(INDEX(CONFIRM!$G$5:$G$53,G663)&lt;&gt;"",INDEX(CONFIRM!$G$5:$G$53,G663),IF(ISNUMBER(L663),L663,IFERROR(DATEVALUE(L663),""))),IF(ISNUMBER(L663),L663,IFERROR(DATEVALUE(L663),"")))</f>
        <v>46022</v>
      </c>
      <c r="N663" s="1" t="str">
        <f aca="false">IF(M663="","Check",IF(AND(M663&gt;=INPUTS!$C$6,M663&lt;=INPUTS!$C$7),"Yes","No"))</f>
        <v>Yes</v>
      </c>
      <c r="O663" s="48" t="str">
        <f aca="false">STACK!H663</f>
        <v>Mgr, Community Benefit</v>
      </c>
      <c r="P663" s="1" t="str">
        <f aca="false">IF(G663&gt;0,IF(INDEX(CONFIRM!$H$5:$H$53,G663)&lt;&gt;"",INDEX(CONFIRM!$H$5:$H$53,G663),IFERROR(INDEX(MAP!$B$7:$B$156,MATCH(TRIM(O663),MAP!$A$7:$A$156,0)),"UNMAPPED")),IFERROR(INDEX(MAP!$B$7:$B$156,MATCH(TRIM(O663),MAP!$A$7:$A$156,0)),"UNMAPPED"))</f>
        <v>Community Benefit Manager</v>
      </c>
      <c r="Q663" s="48" t="str">
        <f aca="false">STACK!I663</f>
        <v>58.25 hrs</v>
      </c>
      <c r="R663" s="60" t="n">
        <f aca="false">IF(G663&gt;0,IF(INDEX(CONFIRM!$F$5:$F$53,G663)&lt;&gt;"",INDEX(CONFIRM!$F$5:$F$53,G663),IF(ISNUMBER(Q663),Q663,IF(Q663="","",IFERROR(VALUE(TRIM(SUBSTITUTE(SUBSTITUTE(LOWER(Q663),"hrs",""),"hr",""))),"")))),IF(ISNUMBER(Q663),Q663,IF(Q663="","",IFERROR(VALUE(TRIM(SUBSTITUTE(SUBSTITUTE(LOWER(Q663),"hrs",""),"hr",""))),""))))</f>
        <v>58.25</v>
      </c>
      <c r="S663" s="57" t="n">
        <f aca="false">IFERROR(INDEX(RATES!$E$6:$E$28,MATCH(P663,RATES!$A$6:$A$28,0)),0)</f>
        <v>59.11</v>
      </c>
      <c r="T663" s="61" t="n">
        <f aca="false">IF(ISNUMBER(R663),R663,0)*S663</f>
        <v>3443.1575</v>
      </c>
      <c r="U663" s="61" t="n">
        <f aca="false">T663*INDEX(INPUTS!$H$10:$H$14,MATCH(B663,INPUTS!$A$10:$A$14,0))</f>
        <v>557.791515</v>
      </c>
      <c r="V663" s="61" t="n">
        <f aca="false">N(STACK!K663)</f>
        <v>470</v>
      </c>
      <c r="W663" s="61" t="n">
        <f aca="false">T663+U663+V663</f>
        <v>4470.949015</v>
      </c>
      <c r="X663" s="61" t="n">
        <f aca="false">N(STACK!L663)</f>
        <v>0</v>
      </c>
      <c r="Y663" s="61" t="n">
        <f aca="false">W663-X663</f>
        <v>4470.949015</v>
      </c>
      <c r="Z663" s="1" t="n">
        <f aca="false">N(STACK!J663)</f>
        <v>0</v>
      </c>
      <c r="AA663" s="1" t="str">
        <f aca="false">TRIM(IF(D663="UNMAPPED","Program not mapped. ","")&amp;IF(OR(K663="UNMAPPED",K663="UNASSIGNED"),"Category needs review. ","")&amp;IF(P663="UNMAPPED","Title not mapped. ","")&amp;IF(AND(P663&lt;&gt;"No staff time",R663=""),"Missing hours. ","")&amp;IF(M663="","Date not readable. ","")&amp;IF(N663="No","Outside fiscal year. ","")&amp;IF(AND(F663="Event",ISNUMBER(R663)),IF(R663&gt;12,"Event hours look high. ",""),"")&amp;IF(G663&gt;0,"See CONFIRM sheet.",""))</f>
        <v/>
      </c>
      <c r="AB663" s="1" t="n">
        <f aca="false">IF(N663="No",0,IF(REVIEW!O663=0,0,IF(G663&gt;0,IF(INDEX(CONFIRM!$J$5:$J$53,G663)&lt;&gt;"",INDEX(CONFIRM!$J$5:$J$53,G663),1),1)))</f>
        <v>1</v>
      </c>
      <c r="AC663" s="1" t="n">
        <f aca="false">IF(AB663=1,IF(COUNTIFS($B$5:B663,B663,$D$5:D663,D663,$AB$5:AB663,1)=1,1,0),0)</f>
        <v>0</v>
      </c>
    </row>
    <row r="664" customFormat="false" ht="15" hidden="false" customHeight="false" outlineLevel="0" collapsed="false">
      <c r="A664" s="48" t="str">
        <f aca="false">STACK!A664</f>
        <v>ASH-0131</v>
      </c>
      <c r="B664" s="48" t="str">
        <f aca="false">STACK!B664</f>
        <v>ASH</v>
      </c>
      <c r="C664" s="48" t="str">
        <f aca="false">STACK!E664</f>
        <v>Nursing Clinicals</v>
      </c>
      <c r="D664" s="1" t="str">
        <f aca="false">IFERROR(INDEX(MAP!$J$7:$J$101,MATCH(TRIM(C664),MAP!$I$7:$I$101,0)),"UNMAPPED")</f>
        <v>Nursing Student Clinical Rotations</v>
      </c>
      <c r="E664" s="1" t="str">
        <f aca="false">IFERROR(INDEX(MAP!$K$7:$K$101,MATCH(TRIM(C664),MAP!$I$7:$I$101,0)),"")</f>
        <v>Health workforce</v>
      </c>
      <c r="F664" s="1" t="str">
        <f aca="false">IFERROR(INDEX(MAP!$L$7:$L$101,MATCH(TRIM(C664),MAP!$I$7:$I$101,0)),"")</f>
        <v>Monthly</v>
      </c>
      <c r="G664" s="1" t="n">
        <f aca="false">IFERROR(MATCH(A664,CONFIRM!$A$5:$A$53,0),0)</f>
        <v>0</v>
      </c>
      <c r="H664" s="48" t="str">
        <f aca="false">STACK!F664</f>
        <v>HPE</v>
      </c>
      <c r="I664" s="1" t="str">
        <f aca="false">IF(G664&gt;0,IF(INDEX(CONFIRM!$I$5:$I$53,G664)&lt;&gt;"",INDEX(CONFIRM!$I$5:$I$53,G664),H664),H664)</f>
        <v>HPE</v>
      </c>
      <c r="J664" s="1" t="str">
        <f aca="false">IFERROR(INDEX(MAP!$F$7:$F$74,MATCH(TRIM(I664),MAP!$E$7:$E$74,0)),"UNMAPPED")</f>
        <v>Health professions education</v>
      </c>
      <c r="K664" s="1" t="str">
        <f aca="false">IFERROR(INDEX(MAP!$G$7:$G$74,MATCH(TRIM(I664),MAP!$E$7:$E$74,0)),"UNMAPPED")</f>
        <v>7f</v>
      </c>
      <c r="L664" s="49" t="str">
        <f aca="false">STACK!G664</f>
        <v>12/31/2025</v>
      </c>
      <c r="M664" s="59" t="n">
        <f aca="false">IF(G664&gt;0,IF(INDEX(CONFIRM!$G$5:$G$53,G664)&lt;&gt;"",INDEX(CONFIRM!$G$5:$G$53,G664),IF(ISNUMBER(L664),L664,IFERROR(DATEVALUE(L664),""))),IF(ISNUMBER(L664),L664,IFERROR(DATEVALUE(L664),"")))</f>
        <v>46022</v>
      </c>
      <c r="N664" s="1" t="str">
        <f aca="false">IF(M664="","Check",IF(AND(M664&gt;=INPUTS!$C$6,M664&lt;=INPUTS!$C$7),"Yes","No"))</f>
        <v>Yes</v>
      </c>
      <c r="O664" s="48" t="str">
        <f aca="false">STACK!H664</f>
        <v>RN Educator</v>
      </c>
      <c r="P664" s="1" t="str">
        <f aca="false">IF(G664&gt;0,IF(INDEX(CONFIRM!$H$5:$H$53,G664)&lt;&gt;"",INDEX(CONFIRM!$H$5:$H$53,G664),IFERROR(INDEX(MAP!$B$7:$B$156,MATCH(TRIM(O664),MAP!$A$7:$A$156,0)),"UNMAPPED")),IFERROR(INDEX(MAP!$B$7:$B$156,MATCH(TRIM(O664),MAP!$A$7:$A$156,0)),"UNMAPPED"))</f>
        <v>Clinical Nurse Educator</v>
      </c>
      <c r="Q664" s="48" t="str">
        <f aca="false">STACK!I664</f>
        <v>40.75 hrs</v>
      </c>
      <c r="R664" s="60" t="n">
        <f aca="false">IF(G664&gt;0,IF(INDEX(CONFIRM!$F$5:$F$53,G664)&lt;&gt;"",INDEX(CONFIRM!$F$5:$F$53,G664),IF(ISNUMBER(Q664),Q664,IF(Q664="","",IFERROR(VALUE(TRIM(SUBSTITUTE(SUBSTITUTE(LOWER(Q664),"hrs",""),"hr",""))),"")))),IF(ISNUMBER(Q664),Q664,IF(Q664="","",IFERROR(VALUE(TRIM(SUBSTITUTE(SUBSTITUTE(LOWER(Q664),"hrs",""),"hr",""))),""))))</f>
        <v>40.75</v>
      </c>
      <c r="S664" s="57" t="n">
        <f aca="false">IFERROR(INDEX(RATES!$E$6:$E$28,MATCH(P664,RATES!$A$6:$A$28,0)),0)</f>
        <v>62.965</v>
      </c>
      <c r="T664" s="61" t="n">
        <f aca="false">IF(ISNUMBER(R664),R664,0)*S664</f>
        <v>2565.82375</v>
      </c>
      <c r="U664" s="61" t="n">
        <f aca="false">T664*INDEX(INPUTS!$H$10:$H$14,MATCH(B664,INPUTS!$A$10:$A$14,0))</f>
        <v>415.6634475</v>
      </c>
      <c r="V664" s="61" t="n">
        <f aca="false">N(STACK!K664)</f>
        <v>300</v>
      </c>
      <c r="W664" s="61" t="n">
        <f aca="false">T664+U664+V664</f>
        <v>3281.4871975</v>
      </c>
      <c r="X664" s="61" t="n">
        <f aca="false">N(STACK!L664)</f>
        <v>0</v>
      </c>
      <c r="Y664" s="61" t="n">
        <f aca="false">W664-X664</f>
        <v>3281.4871975</v>
      </c>
      <c r="Z664" s="1" t="n">
        <f aca="false">N(STACK!J664)</f>
        <v>11</v>
      </c>
      <c r="AA664" s="1" t="str">
        <f aca="false">TRIM(IF(D664="UNMAPPED","Program not mapped. ","")&amp;IF(OR(K664="UNMAPPED",K664="UNASSIGNED"),"Category needs review. ","")&amp;IF(P664="UNMAPPED","Title not mapped. ","")&amp;IF(AND(P664&lt;&gt;"No staff time",R664=""),"Missing hours. ","")&amp;IF(M664="","Date not readable. ","")&amp;IF(N664="No","Outside fiscal year. ","")&amp;IF(AND(F664="Event",ISNUMBER(R664)),IF(R664&gt;12,"Event hours look high. ",""),"")&amp;IF(G664&gt;0,"See CONFIRM sheet.",""))</f>
        <v/>
      </c>
      <c r="AB664" s="1" t="n">
        <f aca="false">IF(N664="No",0,IF(REVIEW!O664=0,0,IF(G664&gt;0,IF(INDEX(CONFIRM!$J$5:$J$53,G664)&lt;&gt;"",INDEX(CONFIRM!$J$5:$J$53,G664),1),1)))</f>
        <v>1</v>
      </c>
      <c r="AC664" s="1" t="n">
        <f aca="false">IF(AB664=1,IF(COUNTIFS($B$5:B664,B664,$D$5:D664,D664,$AB$5:AB664,1)=1,1,0),0)</f>
        <v>0</v>
      </c>
    </row>
    <row r="665" customFormat="false" ht="15" hidden="false" customHeight="false" outlineLevel="0" collapsed="false">
      <c r="A665" s="48" t="str">
        <f aca="false">STACK!A665</f>
        <v>ASH-0132</v>
      </c>
      <c r="B665" s="48" t="str">
        <f aca="false">STACK!B665</f>
        <v>ASH</v>
      </c>
      <c r="C665" s="48" t="str">
        <f aca="false">STACK!E665</f>
        <v>Nursing Clinicals</v>
      </c>
      <c r="D665" s="1" t="str">
        <f aca="false">IFERROR(INDEX(MAP!$J$7:$J$101,MATCH(TRIM(C665),MAP!$I$7:$I$101,0)),"UNMAPPED")</f>
        <v>Nursing Student Clinical Rotations</v>
      </c>
      <c r="E665" s="1" t="str">
        <f aca="false">IFERROR(INDEX(MAP!$K$7:$K$101,MATCH(TRIM(C665),MAP!$I$7:$I$101,0)),"")</f>
        <v>Health workforce</v>
      </c>
      <c r="F665" s="1" t="str">
        <f aca="false">IFERROR(INDEX(MAP!$L$7:$L$101,MATCH(TRIM(C665),MAP!$I$7:$I$101,0)),"")</f>
        <v>Monthly</v>
      </c>
      <c r="G665" s="1" t="n">
        <f aca="false">IFERROR(MATCH(A665,CONFIRM!$A$5:$A$53,0),0)</f>
        <v>0</v>
      </c>
      <c r="H665" s="48" t="str">
        <f aca="false">STACK!F665</f>
        <v>HPE</v>
      </c>
      <c r="I665" s="1" t="str">
        <f aca="false">IF(G665&gt;0,IF(INDEX(CONFIRM!$I$5:$I$53,G665)&lt;&gt;"",INDEX(CONFIRM!$I$5:$I$53,G665),H665),H665)</f>
        <v>HPE</v>
      </c>
      <c r="J665" s="1" t="str">
        <f aca="false">IFERROR(INDEX(MAP!$F$7:$F$74,MATCH(TRIM(I665),MAP!$E$7:$E$74,0)),"UNMAPPED")</f>
        <v>Health professions education</v>
      </c>
      <c r="K665" s="1" t="str">
        <f aca="false">IFERROR(INDEX(MAP!$G$7:$G$74,MATCH(TRIM(I665),MAP!$E$7:$E$74,0)),"UNMAPPED")</f>
        <v>7f</v>
      </c>
      <c r="L665" s="49" t="str">
        <f aca="false">STACK!G665</f>
        <v>12/31/2025</v>
      </c>
      <c r="M665" s="59" t="n">
        <f aca="false">IF(G665&gt;0,IF(INDEX(CONFIRM!$G$5:$G$53,G665)&lt;&gt;"",INDEX(CONFIRM!$G$5:$G$53,G665),IF(ISNUMBER(L665),L665,IFERROR(DATEVALUE(L665),""))),IF(ISNUMBER(L665),L665,IFERROR(DATEVALUE(L665),"")))</f>
        <v>46022</v>
      </c>
      <c r="N665" s="1" t="str">
        <f aca="false">IF(M665="","Check",IF(AND(M665&gt;=INPUTS!$C$6,M665&lt;=INPUTS!$C$7),"Yes","No"))</f>
        <v>Yes</v>
      </c>
      <c r="O665" s="48" t="str">
        <f aca="false">STACK!H665</f>
        <v>Staff RN</v>
      </c>
      <c r="P665" s="1" t="str">
        <f aca="false">IF(G665&gt;0,IF(INDEX(CONFIRM!$H$5:$H$53,G665)&lt;&gt;"",INDEX(CONFIRM!$H$5:$H$53,G665),IFERROR(INDEX(MAP!$B$7:$B$156,MATCH(TRIM(O665),MAP!$A$7:$A$156,0)),"UNMAPPED")),IFERROR(INDEX(MAP!$B$7:$B$156,MATCH(TRIM(O665),MAP!$A$7:$A$156,0)),"UNMAPPED"))</f>
        <v>Registered Nurse</v>
      </c>
      <c r="Q665" s="48" t="n">
        <f aca="false">STACK!I665</f>
        <v>98.5</v>
      </c>
      <c r="R665" s="60" t="n">
        <f aca="false">IF(G665&gt;0,IF(INDEX(CONFIRM!$F$5:$F$53,G665)&lt;&gt;"",INDEX(CONFIRM!$F$5:$F$53,G665),IF(ISNUMBER(Q665),Q665,IF(Q665="","",IFERROR(VALUE(TRIM(SUBSTITUTE(SUBSTITUTE(LOWER(Q665),"hrs",""),"hr",""))),"")))),IF(ISNUMBER(Q665),Q665,IF(Q665="","",IFERROR(VALUE(TRIM(SUBSTITUTE(SUBSTITUTE(LOWER(Q665),"hrs",""),"hr",""))),""))))</f>
        <v>98.5</v>
      </c>
      <c r="S665" s="57" t="n">
        <f aca="false">IFERROR(INDEX(RATES!$E$6:$E$28,MATCH(P665,RATES!$A$6:$A$28,0)),0)</f>
        <v>55.8975</v>
      </c>
      <c r="T665" s="61" t="n">
        <f aca="false">IF(ISNUMBER(R665),R665,0)*S665</f>
        <v>5505.90375</v>
      </c>
      <c r="U665" s="61" t="n">
        <f aca="false">T665*INDEX(INPUTS!$H$10:$H$14,MATCH(B665,INPUTS!$A$10:$A$14,0))</f>
        <v>891.9564075</v>
      </c>
      <c r="V665" s="61" t="n">
        <f aca="false">N(STACK!K665)</f>
        <v>0</v>
      </c>
      <c r="W665" s="61" t="n">
        <f aca="false">T665+U665+V665</f>
        <v>6397.8601575</v>
      </c>
      <c r="X665" s="61" t="n">
        <f aca="false">N(STACK!L665)</f>
        <v>0</v>
      </c>
      <c r="Y665" s="61" t="n">
        <f aca="false">W665-X665</f>
        <v>6397.8601575</v>
      </c>
      <c r="Z665" s="1" t="n">
        <f aca="false">N(STACK!J665)</f>
        <v>0</v>
      </c>
      <c r="AA665" s="1" t="str">
        <f aca="false">TRIM(IF(D665="UNMAPPED","Program not mapped. ","")&amp;IF(OR(K665="UNMAPPED",K665="UNASSIGNED"),"Category needs review. ","")&amp;IF(P665="UNMAPPED","Title not mapped. ","")&amp;IF(AND(P665&lt;&gt;"No staff time",R665=""),"Missing hours. ","")&amp;IF(M665="","Date not readable. ","")&amp;IF(N665="No","Outside fiscal year. ","")&amp;IF(AND(F665="Event",ISNUMBER(R665)),IF(R665&gt;12,"Event hours look high. ",""),"")&amp;IF(G665&gt;0,"See CONFIRM sheet.",""))</f>
        <v/>
      </c>
      <c r="AB665" s="1" t="n">
        <f aca="false">IF(N665="No",0,IF(REVIEW!O665=0,0,IF(G665&gt;0,IF(INDEX(CONFIRM!$J$5:$J$53,G665)&lt;&gt;"",INDEX(CONFIRM!$J$5:$J$53,G665),1),1)))</f>
        <v>1</v>
      </c>
      <c r="AC665" s="1" t="n">
        <f aca="false">IF(AB665=1,IF(COUNTIFS($B$5:B665,B665,$D$5:D665,D665,$AB$5:AB665,1)=1,1,0),0)</f>
        <v>0</v>
      </c>
    </row>
    <row r="666" customFormat="false" ht="15" hidden="false" customHeight="false" outlineLevel="0" collapsed="false">
      <c r="A666" s="48" t="str">
        <f aca="false">STACK!A666</f>
        <v>ASH-0133</v>
      </c>
      <c r="B666" s="48" t="str">
        <f aca="false">STACK!B666</f>
        <v>ASH</v>
      </c>
      <c r="C666" s="48" t="str">
        <f aca="false">STACK!E666</f>
        <v>Paramedic Students</v>
      </c>
      <c r="D666" s="1" t="str">
        <f aca="false">IFERROR(INDEX(MAP!$J$7:$J$101,MATCH(TRIM(C666),MAP!$I$7:$I$101,0)),"UNMAPPED")</f>
        <v>Paramedic Student Field Training</v>
      </c>
      <c r="E666" s="1" t="str">
        <f aca="false">IFERROR(INDEX(MAP!$K$7:$K$101,MATCH(TRIM(C666),MAP!$I$7:$I$101,0)),"")</f>
        <v>Health workforce</v>
      </c>
      <c r="F666" s="1" t="str">
        <f aca="false">IFERROR(INDEX(MAP!$L$7:$L$101,MATCH(TRIM(C666),MAP!$I$7:$I$101,0)),"")</f>
        <v>Monthly</v>
      </c>
      <c r="G666" s="1" t="n">
        <f aca="false">IFERROR(MATCH(A666,CONFIRM!$A$5:$A$53,0),0)</f>
        <v>0</v>
      </c>
      <c r="H666" s="48" t="str">
        <f aca="false">STACK!F666</f>
        <v>HPE</v>
      </c>
      <c r="I666" s="1" t="str">
        <f aca="false">IF(G666&gt;0,IF(INDEX(CONFIRM!$I$5:$I$53,G666)&lt;&gt;"",INDEX(CONFIRM!$I$5:$I$53,G666),H666),H666)</f>
        <v>HPE</v>
      </c>
      <c r="J666" s="1" t="str">
        <f aca="false">IFERROR(INDEX(MAP!$F$7:$F$74,MATCH(TRIM(I666),MAP!$E$7:$E$74,0)),"UNMAPPED")</f>
        <v>Health professions education</v>
      </c>
      <c r="K666" s="1" t="str">
        <f aca="false">IFERROR(INDEX(MAP!$G$7:$G$74,MATCH(TRIM(I666),MAP!$E$7:$E$74,0)),"UNMAPPED")</f>
        <v>7f</v>
      </c>
      <c r="L666" s="49" t="str">
        <f aca="false">STACK!G666</f>
        <v>12/31/2025</v>
      </c>
      <c r="M666" s="59" t="n">
        <f aca="false">IF(G666&gt;0,IF(INDEX(CONFIRM!$G$5:$G$53,G666)&lt;&gt;"",INDEX(CONFIRM!$G$5:$G$53,G666),IF(ISNUMBER(L666),L666,IFERROR(DATEVALUE(L666),""))),IF(ISNUMBER(L666),L666,IFERROR(DATEVALUE(L666),"")))</f>
        <v>46022</v>
      </c>
      <c r="N666" s="1" t="str">
        <f aca="false">IF(M666="","Check",IF(AND(M666&gt;=INPUTS!$C$6,M666&lt;=INPUTS!$C$7),"Yes","No"))</f>
        <v>Yes</v>
      </c>
      <c r="O666" s="48" t="str">
        <f aca="false">STACK!H666</f>
        <v>Flight Paramedic</v>
      </c>
      <c r="P666" s="1" t="str">
        <f aca="false">IF(G666&gt;0,IF(INDEX(CONFIRM!$H$5:$H$53,G666)&lt;&gt;"",INDEX(CONFIRM!$H$5:$H$53,G666),IFERROR(INDEX(MAP!$B$7:$B$156,MATCH(TRIM(O666),MAP!$A$7:$A$156,0)),"UNMAPPED")),IFERROR(INDEX(MAP!$B$7:$B$156,MATCH(TRIM(O666),MAP!$A$7:$A$156,0)),"UNMAPPED"))</f>
        <v>Paramedic</v>
      </c>
      <c r="Q666" s="48" t="n">
        <f aca="false">STACK!I666</f>
        <v>60.25</v>
      </c>
      <c r="R666" s="60" t="n">
        <f aca="false">IF(G666&gt;0,IF(INDEX(CONFIRM!$F$5:$F$53,G666)&lt;&gt;"",INDEX(CONFIRM!$F$5:$F$53,G666),IF(ISNUMBER(Q666),Q666,IF(Q666="","",IFERROR(VALUE(TRIM(SUBSTITUTE(SUBSTITUTE(LOWER(Q666),"hrs",""),"hr",""))),"")))),IF(ISNUMBER(Q666),Q666,IF(Q666="","",IFERROR(VALUE(TRIM(SUBSTITUTE(SUBSTITUTE(LOWER(Q666),"hrs",""),"hr",""))),""))))</f>
        <v>60.25</v>
      </c>
      <c r="S666" s="57" t="n">
        <f aca="false">IFERROR(INDEX(RATES!$E$6:$E$28,MATCH(P666,RATES!$A$6:$A$28,0)),0)</f>
        <v>34.695</v>
      </c>
      <c r="T666" s="61" t="n">
        <f aca="false">IF(ISNUMBER(R666),R666,0)*S666</f>
        <v>2090.37375</v>
      </c>
      <c r="U666" s="61" t="n">
        <f aca="false">T666*INDEX(INPUTS!$H$10:$H$14,MATCH(B666,INPUTS!$A$10:$A$14,0))</f>
        <v>338.6405475</v>
      </c>
      <c r="V666" s="61" t="n">
        <f aca="false">N(STACK!K666)</f>
        <v>85</v>
      </c>
      <c r="W666" s="61" t="n">
        <f aca="false">T666+U666+V666</f>
        <v>2514.0142975</v>
      </c>
      <c r="X666" s="61" t="n">
        <f aca="false">N(STACK!L666)</f>
        <v>0</v>
      </c>
      <c r="Y666" s="61" t="n">
        <f aca="false">W666-X666</f>
        <v>2514.0142975</v>
      </c>
      <c r="Z666" s="1" t="n">
        <f aca="false">N(STACK!J666)</f>
        <v>5</v>
      </c>
      <c r="AA666" s="1" t="str">
        <f aca="false">TRIM(IF(D666="UNMAPPED","Program not mapped. ","")&amp;IF(OR(K666="UNMAPPED",K666="UNASSIGNED"),"Category needs review. ","")&amp;IF(P666="UNMAPPED","Title not mapped. ","")&amp;IF(AND(P666&lt;&gt;"No staff time",R666=""),"Missing hours. ","")&amp;IF(M666="","Date not readable. ","")&amp;IF(N666="No","Outside fiscal year. ","")&amp;IF(AND(F666="Event",ISNUMBER(R666)),IF(R666&gt;12,"Event hours look high. ",""),"")&amp;IF(G666&gt;0,"See CONFIRM sheet.",""))</f>
        <v/>
      </c>
      <c r="AB666" s="1" t="n">
        <f aca="false">IF(N666="No",0,IF(REVIEW!O666=0,0,IF(G666&gt;0,IF(INDEX(CONFIRM!$J$5:$J$53,G666)&lt;&gt;"",INDEX(CONFIRM!$J$5:$J$53,G666),1),1)))</f>
        <v>1</v>
      </c>
      <c r="AC666" s="1" t="n">
        <f aca="false">IF(AB666=1,IF(COUNTIFS($B$5:B666,B666,$D$5:D666,D666,$AB$5:AB666,1)=1,1,0),0)</f>
        <v>0</v>
      </c>
    </row>
    <row r="667" customFormat="false" ht="15" hidden="false" customHeight="false" outlineLevel="0" collapsed="false">
      <c r="A667" s="48" t="str">
        <f aca="false">STACK!A667</f>
        <v>ASH-0134</v>
      </c>
      <c r="B667" s="48" t="str">
        <f aca="false">STACK!B667</f>
        <v>ASH</v>
      </c>
      <c r="C667" s="48" t="str">
        <f aca="false">STACK!E667</f>
        <v>Fall Prevention</v>
      </c>
      <c r="D667" s="1" t="str">
        <f aca="false">IFERROR(INDEX(MAP!$J$7:$J$101,MATCH(TRIM(C667),MAP!$I$7:$I$101,0)),"UNMAPPED")</f>
        <v>Fall Prevention Classes for Older Adults</v>
      </c>
      <c r="E667" s="1" t="str">
        <f aca="false">IFERROR(INDEX(MAP!$K$7:$K$101,MATCH(TRIM(C667),MAP!$I$7:$I$101,0)),"")</f>
        <v>Chronic disease prevention</v>
      </c>
      <c r="F667" s="1" t="str">
        <f aca="false">IFERROR(INDEX(MAP!$L$7:$L$101,MATCH(TRIM(C667),MAP!$I$7:$I$101,0)),"")</f>
        <v>Event</v>
      </c>
      <c r="G667" s="1" t="n">
        <f aca="false">IFERROR(MATCH(A667,CONFIRM!$A$5:$A$53,0),0)</f>
        <v>0</v>
      </c>
      <c r="H667" s="48" t="str">
        <f aca="false">STACK!F667</f>
        <v>Comm Hlth Ed</v>
      </c>
      <c r="I667" s="1" t="str">
        <f aca="false">IF(G667&gt;0,IF(INDEX(CONFIRM!$I$5:$I$53,G667)&lt;&gt;"",INDEX(CONFIRM!$I$5:$I$53,G667),H667),H667)</f>
        <v>Comm Hlth Ed</v>
      </c>
      <c r="J667" s="1" t="str">
        <f aca="false">IFERROR(INDEX(MAP!$F$7:$F$74,MATCH(TRIM(I667),MAP!$E$7:$E$74,0)),"UNMAPPED")</f>
        <v>Community health education</v>
      </c>
      <c r="K667" s="1" t="str">
        <f aca="false">IFERROR(INDEX(MAP!$G$7:$G$74,MATCH(TRIM(I667),MAP!$E$7:$E$74,0)),"UNMAPPED")</f>
        <v>7e</v>
      </c>
      <c r="L667" s="49" t="str">
        <f aca="false">STACK!G667</f>
        <v>01/05/2026</v>
      </c>
      <c r="M667" s="59" t="n">
        <f aca="false">IF(G667&gt;0,IF(INDEX(CONFIRM!$G$5:$G$53,G667)&lt;&gt;"",INDEX(CONFIRM!$G$5:$G$53,G667),IF(ISNUMBER(L667),L667,IFERROR(DATEVALUE(L667),""))),IF(ISNUMBER(L667),L667,IFERROR(DATEVALUE(L667),"")))</f>
        <v>46027</v>
      </c>
      <c r="N667" s="1" t="str">
        <f aca="false">IF(M667="","Check",IF(AND(M667&gt;=INPUTS!$C$6,M667&lt;=INPUTS!$C$7),"Yes","No"))</f>
        <v>Yes</v>
      </c>
      <c r="O667" s="48" t="str">
        <f aca="false">STACK!H667</f>
        <v>RT</v>
      </c>
      <c r="P667" s="1" t="str">
        <f aca="false">IF(G667&gt;0,IF(INDEX(CONFIRM!$H$5:$H$53,G667)&lt;&gt;"",INDEX(CONFIRM!$H$5:$H$53,G667),IFERROR(INDEX(MAP!$B$7:$B$156,MATCH(TRIM(O667),MAP!$A$7:$A$156,0)),"UNMAPPED")),IFERROR(INDEX(MAP!$B$7:$B$156,MATCH(TRIM(O667),MAP!$A$7:$A$156,0)),"UNMAPPED"))</f>
        <v>Licensed Therapist</v>
      </c>
      <c r="Q667" s="48" t="n">
        <f aca="false">STACK!I667</f>
        <v>2</v>
      </c>
      <c r="R667" s="60" t="n">
        <f aca="false">IF(G667&gt;0,IF(INDEX(CONFIRM!$F$5:$F$53,G667)&lt;&gt;"",INDEX(CONFIRM!$F$5:$F$53,G667),IF(ISNUMBER(Q667),Q667,IF(Q667="","",IFERROR(VALUE(TRIM(SUBSTITUTE(SUBSTITUTE(LOWER(Q667),"hrs",""),"hr",""))),"")))),IF(ISNUMBER(Q667),Q667,IF(Q667="","",IFERROR(VALUE(TRIM(SUBSTITUTE(SUBSTITUTE(LOWER(Q667),"hrs",""),"hr",""))),""))))</f>
        <v>2</v>
      </c>
      <c r="S667" s="57" t="n">
        <f aca="false">IFERROR(INDEX(RATES!$E$6:$E$28,MATCH(P667,RATES!$A$6:$A$28,0)),0)</f>
        <v>53.97</v>
      </c>
      <c r="T667" s="61" t="n">
        <f aca="false">IF(ISNUMBER(R667),R667,0)*S667</f>
        <v>107.94</v>
      </c>
      <c r="U667" s="61" t="n">
        <f aca="false">T667*INDEX(INPUTS!$H$10:$H$14,MATCH(B667,INPUTS!$A$10:$A$14,0))</f>
        <v>17.48628</v>
      </c>
      <c r="V667" s="61" t="n">
        <f aca="false">N(STACK!K667)</f>
        <v>45</v>
      </c>
      <c r="W667" s="61" t="n">
        <f aca="false">T667+U667+V667</f>
        <v>170.42628</v>
      </c>
      <c r="X667" s="61" t="n">
        <f aca="false">N(STACK!L667)</f>
        <v>0</v>
      </c>
      <c r="Y667" s="61" t="n">
        <f aca="false">W667-X667</f>
        <v>170.42628</v>
      </c>
      <c r="Z667" s="1" t="n">
        <f aca="false">N(STACK!J667)</f>
        <v>18</v>
      </c>
      <c r="AA667" s="1" t="str">
        <f aca="false">TRIM(IF(D667="UNMAPPED","Program not mapped. ","")&amp;IF(OR(K667="UNMAPPED",K667="UNASSIGNED"),"Category needs review. ","")&amp;IF(P667="UNMAPPED","Title not mapped. ","")&amp;IF(AND(P667&lt;&gt;"No staff time",R667=""),"Missing hours. ","")&amp;IF(M667="","Date not readable. ","")&amp;IF(N667="No","Outside fiscal year. ","")&amp;IF(AND(F667="Event",ISNUMBER(R667)),IF(R667&gt;12,"Event hours look high. ",""),"")&amp;IF(G667&gt;0,"See CONFIRM sheet.",""))</f>
        <v/>
      </c>
      <c r="AB667" s="1" t="n">
        <f aca="false">IF(N667="No",0,IF(REVIEW!O667=0,0,IF(G667&gt;0,IF(INDEX(CONFIRM!$J$5:$J$53,G667)&lt;&gt;"",INDEX(CONFIRM!$J$5:$J$53,G667),1),1)))</f>
        <v>1</v>
      </c>
      <c r="AC667" s="1" t="n">
        <f aca="false">IF(AB667=1,IF(COUNTIFS($B$5:B667,B667,$D$5:D667,D667,$AB$5:AB667,1)=1,1,0),0)</f>
        <v>0</v>
      </c>
    </row>
    <row r="668" customFormat="false" ht="15" hidden="false" customHeight="false" outlineLevel="0" collapsed="false">
      <c r="A668" s="48" t="str">
        <f aca="false">STACK!A668</f>
        <v>ASH-0135</v>
      </c>
      <c r="B668" s="48" t="str">
        <f aca="false">STACK!B668</f>
        <v>ASH</v>
      </c>
      <c r="C668" s="48" t="str">
        <f aca="false">STACK!E668</f>
        <v>Regional Health Coalition Mtg</v>
      </c>
      <c r="D668" s="1" t="str">
        <f aca="false">IFERROR(INDEX(MAP!$J$7:$J$101,MATCH(TRIM(C668),MAP!$I$7:$I$101,0)),"UNMAPPED")</f>
        <v>Regional Health Coalition</v>
      </c>
      <c r="E668" s="1" t="str">
        <f aca="false">IFERROR(INDEX(MAP!$K$7:$K$101,MATCH(TRIM(C668),MAP!$I$7:$I$101,0)),"")</f>
        <v>Community benefit infrastructure</v>
      </c>
      <c r="F668" s="1" t="str">
        <f aca="false">IFERROR(INDEX(MAP!$L$7:$L$101,MATCH(TRIM(C668),MAP!$I$7:$I$101,0)),"")</f>
        <v>Event</v>
      </c>
      <c r="G668" s="1" t="n">
        <f aca="false">IFERROR(MATCH(A668,CONFIRM!$A$5:$A$53,0),0)</f>
        <v>0</v>
      </c>
      <c r="H668" s="48" t="str">
        <f aca="false">STACK!F668</f>
        <v>CB-Coalition Bldg</v>
      </c>
      <c r="I668" s="1" t="str">
        <f aca="false">IF(G668&gt;0,IF(INDEX(CONFIRM!$I$5:$I$53,G668)&lt;&gt;"",INDEX(CONFIRM!$I$5:$I$53,G668),H668),H668)</f>
        <v>CB-Coalition Bldg</v>
      </c>
      <c r="J668" s="1" t="str">
        <f aca="false">IFERROR(INDEX(MAP!$F$7:$F$74,MATCH(TRIM(I668),MAP!$E$7:$E$74,0)),"UNMAPPED")</f>
        <v>Community building: coalition building</v>
      </c>
      <c r="K668" s="1" t="str">
        <f aca="false">IFERROR(INDEX(MAP!$G$7:$G$74,MATCH(TRIM(I668),MAP!$E$7:$E$74,0)),"UNMAPPED")</f>
        <v>II-6</v>
      </c>
      <c r="L668" s="49" t="str">
        <f aca="false">STACK!G668</f>
        <v>01/06/2026</v>
      </c>
      <c r="M668" s="59" t="n">
        <f aca="false">IF(G668&gt;0,IF(INDEX(CONFIRM!$G$5:$G$53,G668)&lt;&gt;"",INDEX(CONFIRM!$G$5:$G$53,G668),IF(ISNUMBER(L668),L668,IFERROR(DATEVALUE(L668),""))),IF(ISNUMBER(L668),L668,IFERROR(DATEVALUE(L668),"")))</f>
        <v>46028</v>
      </c>
      <c r="N668" s="1" t="str">
        <f aca="false">IF(M668="","Check",IF(AND(M668&gt;=INPUTS!$C$6,M668&lt;=INPUTS!$C$7),"Yes","No"))</f>
        <v>Yes</v>
      </c>
      <c r="O668" s="48" t="str">
        <f aca="false">STACK!H668</f>
        <v>Mgr, Community Benefit</v>
      </c>
      <c r="P668" s="1" t="str">
        <f aca="false">IF(G668&gt;0,IF(INDEX(CONFIRM!$H$5:$H$53,G668)&lt;&gt;"",INDEX(CONFIRM!$H$5:$H$53,G668),IFERROR(INDEX(MAP!$B$7:$B$156,MATCH(TRIM(O668),MAP!$A$7:$A$156,0)),"UNMAPPED")),IFERROR(INDEX(MAP!$B$7:$B$156,MATCH(TRIM(O668),MAP!$A$7:$A$156,0)),"UNMAPPED"))</f>
        <v>Community Benefit Manager</v>
      </c>
      <c r="Q668" s="48" t="n">
        <f aca="false">STACK!I668</f>
        <v>2.75</v>
      </c>
      <c r="R668" s="60" t="n">
        <f aca="false">IF(G668&gt;0,IF(INDEX(CONFIRM!$F$5:$F$53,G668)&lt;&gt;"",INDEX(CONFIRM!$F$5:$F$53,G668),IF(ISNUMBER(Q668),Q668,IF(Q668="","",IFERROR(VALUE(TRIM(SUBSTITUTE(SUBSTITUTE(LOWER(Q668),"hrs",""),"hr",""))),"")))),IF(ISNUMBER(Q668),Q668,IF(Q668="","",IFERROR(VALUE(TRIM(SUBSTITUTE(SUBSTITUTE(LOWER(Q668),"hrs",""),"hr",""))),""))))</f>
        <v>2.75</v>
      </c>
      <c r="S668" s="57" t="n">
        <f aca="false">IFERROR(INDEX(RATES!$E$6:$E$28,MATCH(P668,RATES!$A$6:$A$28,0)),0)</f>
        <v>59.11</v>
      </c>
      <c r="T668" s="61" t="n">
        <f aca="false">IF(ISNUMBER(R668),R668,0)*S668</f>
        <v>162.5525</v>
      </c>
      <c r="U668" s="61" t="n">
        <f aca="false">T668*INDEX(INPUTS!$H$10:$H$14,MATCH(B668,INPUTS!$A$10:$A$14,0))</f>
        <v>26.333505</v>
      </c>
      <c r="V668" s="61" t="n">
        <f aca="false">N(STACK!K668)</f>
        <v>0</v>
      </c>
      <c r="W668" s="61" t="n">
        <f aca="false">T668+U668+V668</f>
        <v>188.886005</v>
      </c>
      <c r="X668" s="61" t="n">
        <f aca="false">N(STACK!L668)</f>
        <v>0</v>
      </c>
      <c r="Y668" s="61" t="n">
        <f aca="false">W668-X668</f>
        <v>188.886005</v>
      </c>
      <c r="Z668" s="1" t="n">
        <f aca="false">N(STACK!J668)</f>
        <v>0</v>
      </c>
      <c r="AA668" s="1" t="str">
        <f aca="false">TRIM(IF(D668="UNMAPPED","Program not mapped. ","")&amp;IF(OR(K668="UNMAPPED",K668="UNASSIGNED"),"Category needs review. ","")&amp;IF(P668="UNMAPPED","Title not mapped. ","")&amp;IF(AND(P668&lt;&gt;"No staff time",R668=""),"Missing hours. ","")&amp;IF(M668="","Date not readable. ","")&amp;IF(N668="No","Outside fiscal year. ","")&amp;IF(AND(F668="Event",ISNUMBER(R668)),IF(R668&gt;12,"Event hours look high. ",""),"")&amp;IF(G668&gt;0,"See CONFIRM sheet.",""))</f>
        <v/>
      </c>
      <c r="AB668" s="1" t="n">
        <f aca="false">IF(N668="No",0,IF(REVIEW!O668=0,0,IF(G668&gt;0,IF(INDEX(CONFIRM!$J$5:$J$53,G668)&lt;&gt;"",INDEX(CONFIRM!$J$5:$J$53,G668),1),1)))</f>
        <v>1</v>
      </c>
      <c r="AC668" s="1" t="n">
        <f aca="false">IF(AB668=1,IF(COUNTIFS($B$5:B668,B668,$D$5:D668,D668,$AB$5:AB668,1)=1,1,0),0)</f>
        <v>0</v>
      </c>
    </row>
    <row r="669" customFormat="false" ht="15" hidden="false" customHeight="false" outlineLevel="0" collapsed="false">
      <c r="A669" s="48" t="str">
        <f aca="false">STACK!A669</f>
        <v>ASH-0136</v>
      </c>
      <c r="B669" s="48" t="str">
        <f aca="false">STACK!B669</f>
        <v>ASH</v>
      </c>
      <c r="C669" s="48" t="str">
        <f aca="false">STACK!E669</f>
        <v>Regional Health Coalition Mtg</v>
      </c>
      <c r="D669" s="1" t="str">
        <f aca="false">IFERROR(INDEX(MAP!$J$7:$J$101,MATCH(TRIM(C669),MAP!$I$7:$I$101,0)),"UNMAPPED")</f>
        <v>Regional Health Coalition</v>
      </c>
      <c r="E669" s="1" t="str">
        <f aca="false">IFERROR(INDEX(MAP!$K$7:$K$101,MATCH(TRIM(C669),MAP!$I$7:$I$101,0)),"")</f>
        <v>Community benefit infrastructure</v>
      </c>
      <c r="F669" s="1" t="str">
        <f aca="false">IFERROR(INDEX(MAP!$L$7:$L$101,MATCH(TRIM(C669),MAP!$I$7:$I$101,0)),"")</f>
        <v>Event</v>
      </c>
      <c r="G669" s="1" t="n">
        <f aca="false">IFERROR(MATCH(A669,CONFIRM!$A$5:$A$53,0),0)</f>
        <v>0</v>
      </c>
      <c r="H669" s="48" t="str">
        <f aca="false">STACK!F669</f>
        <v>CB-Coalition Bldg</v>
      </c>
      <c r="I669" s="1" t="str">
        <f aca="false">IF(G669&gt;0,IF(INDEX(CONFIRM!$I$5:$I$53,G669)&lt;&gt;"",INDEX(CONFIRM!$I$5:$I$53,G669),H669),H669)</f>
        <v>CB-Coalition Bldg</v>
      </c>
      <c r="J669" s="1" t="str">
        <f aca="false">IFERROR(INDEX(MAP!$F$7:$F$74,MATCH(TRIM(I669),MAP!$E$7:$E$74,0)),"UNMAPPED")</f>
        <v>Community building: coalition building</v>
      </c>
      <c r="K669" s="1" t="str">
        <f aca="false">IFERROR(INDEX(MAP!$G$7:$G$74,MATCH(TRIM(I669),MAP!$E$7:$E$74,0)),"UNMAPPED")</f>
        <v>II-6</v>
      </c>
      <c r="L669" s="49" t="str">
        <f aca="false">STACK!G669</f>
        <v>01/06/2026</v>
      </c>
      <c r="M669" s="59" t="n">
        <f aca="false">IF(G669&gt;0,IF(INDEX(CONFIRM!$G$5:$G$53,G669)&lt;&gt;"",INDEX(CONFIRM!$G$5:$G$53,G669),IF(ISNUMBER(L669),L669,IFERROR(DATEVALUE(L669),""))),IF(ISNUMBER(L669),L669,IFERROR(DATEVALUE(L669),"")))</f>
        <v>46028</v>
      </c>
      <c r="N669" s="1" t="str">
        <f aca="false">IF(M669="","Check",IF(AND(M669&gt;=INPUTS!$C$6,M669&lt;=INPUTS!$C$7),"Yes","No"))</f>
        <v>Yes</v>
      </c>
      <c r="O669" s="48" t="str">
        <f aca="false">STACK!H669</f>
        <v>Director, Mission</v>
      </c>
      <c r="P669" s="1" t="str">
        <f aca="false">IF(G669&gt;0,IF(INDEX(CONFIRM!$H$5:$H$53,G669)&lt;&gt;"",INDEX(CONFIRM!$H$5:$H$53,G669),IFERROR(INDEX(MAP!$B$7:$B$156,MATCH(TRIM(O669),MAP!$A$7:$A$156,0)),"UNMAPPED")),IFERROR(INDEX(MAP!$B$7:$B$156,MATCH(TRIM(O669),MAP!$A$7:$A$156,0)),"UNMAPPED"))</f>
        <v>Director</v>
      </c>
      <c r="Q669" s="48" t="n">
        <f aca="false">STACK!I669</f>
        <v>2.5</v>
      </c>
      <c r="R669" s="60" t="n">
        <f aca="false">IF(G669&gt;0,IF(INDEX(CONFIRM!$F$5:$F$53,G669)&lt;&gt;"",INDEX(CONFIRM!$F$5:$F$53,G669),IF(ISNUMBER(Q669),Q669,IF(Q669="","",IFERROR(VALUE(TRIM(SUBSTITUTE(SUBSTITUTE(LOWER(Q669),"hrs",""),"hr",""))),"")))),IF(ISNUMBER(Q669),Q669,IF(Q669="","",IFERROR(VALUE(TRIM(SUBSTITUTE(SUBSTITUTE(LOWER(Q669),"hrs",""),"hr",""))),""))))</f>
        <v>2.5</v>
      </c>
      <c r="S669" s="57" t="n">
        <f aca="false">IFERROR(INDEX(RATES!$E$6:$E$28,MATCH(P669,RATES!$A$6:$A$28,0)),0)</f>
        <v>92.52</v>
      </c>
      <c r="T669" s="61" t="n">
        <f aca="false">IF(ISNUMBER(R669),R669,0)*S669</f>
        <v>231.3</v>
      </c>
      <c r="U669" s="61" t="n">
        <f aca="false">T669*INDEX(INPUTS!$H$10:$H$14,MATCH(B669,INPUTS!$A$10:$A$14,0))</f>
        <v>37.4706</v>
      </c>
      <c r="V669" s="61" t="n">
        <f aca="false">N(STACK!K669)</f>
        <v>70</v>
      </c>
      <c r="W669" s="61" t="n">
        <f aca="false">T669+U669+V669</f>
        <v>338.7706</v>
      </c>
      <c r="X669" s="61" t="n">
        <f aca="false">N(STACK!L669)</f>
        <v>0</v>
      </c>
      <c r="Y669" s="61" t="n">
        <f aca="false">W669-X669</f>
        <v>338.7706</v>
      </c>
      <c r="Z669" s="1" t="n">
        <f aca="false">N(STACK!J669)</f>
        <v>0</v>
      </c>
      <c r="AA669" s="1" t="str">
        <f aca="false">TRIM(IF(D669="UNMAPPED","Program not mapped. ","")&amp;IF(OR(K669="UNMAPPED",K669="UNASSIGNED"),"Category needs review. ","")&amp;IF(P669="UNMAPPED","Title not mapped. ","")&amp;IF(AND(P669&lt;&gt;"No staff time",R669=""),"Missing hours. ","")&amp;IF(M669="","Date not readable. ","")&amp;IF(N669="No","Outside fiscal year. ","")&amp;IF(AND(F669="Event",ISNUMBER(R669)),IF(R669&gt;12,"Event hours look high. ",""),"")&amp;IF(G669&gt;0,"See CONFIRM sheet.",""))</f>
        <v/>
      </c>
      <c r="AB669" s="1" t="n">
        <f aca="false">IF(N669="No",0,IF(REVIEW!O669=0,0,IF(G669&gt;0,IF(INDEX(CONFIRM!$J$5:$J$53,G669)&lt;&gt;"",INDEX(CONFIRM!$J$5:$J$53,G669),1),1)))</f>
        <v>1</v>
      </c>
      <c r="AC669" s="1" t="n">
        <f aca="false">IF(AB669=1,IF(COUNTIFS($B$5:B669,B669,$D$5:D669,D669,$AB$5:AB669,1)=1,1,0),0)</f>
        <v>0</v>
      </c>
    </row>
    <row r="670" customFormat="false" ht="15" hidden="false" customHeight="false" outlineLevel="0" collapsed="false">
      <c r="A670" s="48" t="str">
        <f aca="false">STACK!A670</f>
        <v>ASH-0137</v>
      </c>
      <c r="B670" s="48" t="str">
        <f aca="false">STACK!B670</f>
        <v>ASH</v>
      </c>
      <c r="C670" s="48" t="str">
        <f aca="false">STACK!E670</f>
        <v>DPP Classes</v>
      </c>
      <c r="D670" s="1" t="str">
        <f aca="false">IFERROR(INDEX(MAP!$J$7:$J$101,MATCH(TRIM(C670),MAP!$I$7:$I$101,0)),"UNMAPPED")</f>
        <v>Diabetes Prevention Classes</v>
      </c>
      <c r="E670" s="1" t="str">
        <f aca="false">IFERROR(INDEX(MAP!$K$7:$K$101,MATCH(TRIM(C670),MAP!$I$7:$I$101,0)),"")</f>
        <v>Chronic disease prevention</v>
      </c>
      <c r="F670" s="1" t="str">
        <f aca="false">IFERROR(INDEX(MAP!$L$7:$L$101,MATCH(TRIM(C670),MAP!$I$7:$I$101,0)),"")</f>
        <v>Event</v>
      </c>
      <c r="G670" s="1" t="n">
        <f aca="false">IFERROR(MATCH(A670,CONFIRM!$A$5:$A$53,0),0)</f>
        <v>0</v>
      </c>
      <c r="H670" s="48" t="str">
        <f aca="false">STACK!F670</f>
        <v>Comm Hlth Ed</v>
      </c>
      <c r="I670" s="1" t="str">
        <f aca="false">IF(G670&gt;0,IF(INDEX(CONFIRM!$I$5:$I$53,G670)&lt;&gt;"",INDEX(CONFIRM!$I$5:$I$53,G670),H670),H670)</f>
        <v>Comm Hlth Ed</v>
      </c>
      <c r="J670" s="1" t="str">
        <f aca="false">IFERROR(INDEX(MAP!$F$7:$F$74,MATCH(TRIM(I670),MAP!$E$7:$E$74,0)),"UNMAPPED")</f>
        <v>Community health education</v>
      </c>
      <c r="K670" s="1" t="str">
        <f aca="false">IFERROR(INDEX(MAP!$G$7:$G$74,MATCH(TRIM(I670),MAP!$E$7:$E$74,0)),"UNMAPPED")</f>
        <v>7e</v>
      </c>
      <c r="L670" s="49" t="str">
        <f aca="false">STACK!G670</f>
        <v>01/08/2026</v>
      </c>
      <c r="M670" s="59" t="n">
        <f aca="false">IF(G670&gt;0,IF(INDEX(CONFIRM!$G$5:$G$53,G670)&lt;&gt;"",INDEX(CONFIRM!$G$5:$G$53,G670),IF(ISNUMBER(L670),L670,IFERROR(DATEVALUE(L670),""))),IF(ISNUMBER(L670),L670,IFERROR(DATEVALUE(L670),"")))</f>
        <v>46030</v>
      </c>
      <c r="N670" s="1" t="str">
        <f aca="false">IF(M670="","Check",IF(AND(M670&gt;=INPUTS!$C$6,M670&lt;=INPUTS!$C$7),"Yes","No"))</f>
        <v>Yes</v>
      </c>
      <c r="O670" s="48" t="str">
        <f aca="false">STACK!H670</f>
        <v>Health Education Specialist</v>
      </c>
      <c r="P670" s="1" t="str">
        <f aca="false">IF(G670&gt;0,IF(INDEX(CONFIRM!$H$5:$H$53,G670)&lt;&gt;"",INDEX(CONFIRM!$H$5:$H$53,G670),IFERROR(INDEX(MAP!$B$7:$B$156,MATCH(TRIM(O670),MAP!$A$7:$A$156,0)),"UNMAPPED")),IFERROR(INDEX(MAP!$B$7:$B$156,MATCH(TRIM(O670),MAP!$A$7:$A$156,0)),"UNMAPPED"))</f>
        <v>Health Educator</v>
      </c>
      <c r="Q670" s="48" t="n">
        <f aca="false">STACK!I670</f>
        <v>3</v>
      </c>
      <c r="R670" s="60" t="n">
        <f aca="false">IF(G670&gt;0,IF(INDEX(CONFIRM!$F$5:$F$53,G670)&lt;&gt;"",INDEX(CONFIRM!$F$5:$F$53,G670),IF(ISNUMBER(Q670),Q670,IF(Q670="","",IFERROR(VALUE(TRIM(SUBSTITUTE(SUBSTITUTE(LOWER(Q670),"hrs",""),"hr",""))),"")))),IF(ISNUMBER(Q670),Q670,IF(Q670="","",IFERROR(VALUE(TRIM(SUBSTITUTE(SUBSTITUTE(LOWER(Q670),"hrs",""),"hr",""))),""))))</f>
        <v>3</v>
      </c>
      <c r="S670" s="57" t="n">
        <f aca="false">IFERROR(INDEX(RATES!$E$6:$E$28,MATCH(P670,RATES!$A$6:$A$28,0)),0)</f>
        <v>37.265</v>
      </c>
      <c r="T670" s="61" t="n">
        <f aca="false">IF(ISNUMBER(R670),R670,0)*S670</f>
        <v>111.795</v>
      </c>
      <c r="U670" s="61" t="n">
        <f aca="false">T670*INDEX(INPUTS!$H$10:$H$14,MATCH(B670,INPUTS!$A$10:$A$14,0))</f>
        <v>18.11079</v>
      </c>
      <c r="V670" s="61" t="n">
        <f aca="false">N(STACK!K670)</f>
        <v>125</v>
      </c>
      <c r="W670" s="61" t="n">
        <f aca="false">T670+U670+V670</f>
        <v>254.90579</v>
      </c>
      <c r="X670" s="61" t="n">
        <f aca="false">N(STACK!L670)</f>
        <v>0</v>
      </c>
      <c r="Y670" s="61" t="n">
        <f aca="false">W670-X670</f>
        <v>254.90579</v>
      </c>
      <c r="Z670" s="1" t="n">
        <f aca="false">N(STACK!J670)</f>
        <v>11</v>
      </c>
      <c r="AA670" s="1" t="str">
        <f aca="false">TRIM(IF(D670="UNMAPPED","Program not mapped. ","")&amp;IF(OR(K670="UNMAPPED",K670="UNASSIGNED"),"Category needs review. ","")&amp;IF(P670="UNMAPPED","Title not mapped. ","")&amp;IF(AND(P670&lt;&gt;"No staff time",R670=""),"Missing hours. ","")&amp;IF(M670="","Date not readable. ","")&amp;IF(N670="No","Outside fiscal year. ","")&amp;IF(AND(F670="Event",ISNUMBER(R670)),IF(R670&gt;12,"Event hours look high. ",""),"")&amp;IF(G670&gt;0,"See CONFIRM sheet.",""))</f>
        <v/>
      </c>
      <c r="AB670" s="1" t="n">
        <f aca="false">IF(N670="No",0,IF(REVIEW!O670=0,0,IF(G670&gt;0,IF(INDEX(CONFIRM!$J$5:$J$53,G670)&lt;&gt;"",INDEX(CONFIRM!$J$5:$J$53,G670),1),1)))</f>
        <v>1</v>
      </c>
      <c r="AC670" s="1" t="n">
        <f aca="false">IF(AB670=1,IF(COUNTIFS($B$5:B670,B670,$D$5:D670,D670,$AB$5:AB670,1)=1,1,0),0)</f>
        <v>0</v>
      </c>
    </row>
    <row r="671" customFormat="false" ht="15" hidden="false" customHeight="false" outlineLevel="0" collapsed="false">
      <c r="A671" s="48" t="str">
        <f aca="false">STACK!A671</f>
        <v>ASH-0138</v>
      </c>
      <c r="B671" s="48" t="str">
        <f aca="false">STACK!B671</f>
        <v>ASH</v>
      </c>
      <c r="C671" s="48" t="str">
        <f aca="false">STACK!E671</f>
        <v>DPP Classes</v>
      </c>
      <c r="D671" s="1" t="str">
        <f aca="false">IFERROR(INDEX(MAP!$J$7:$J$101,MATCH(TRIM(C671),MAP!$I$7:$I$101,0)),"UNMAPPED")</f>
        <v>Diabetes Prevention Classes</v>
      </c>
      <c r="E671" s="1" t="str">
        <f aca="false">IFERROR(INDEX(MAP!$K$7:$K$101,MATCH(TRIM(C671),MAP!$I$7:$I$101,0)),"")</f>
        <v>Chronic disease prevention</v>
      </c>
      <c r="F671" s="1" t="str">
        <f aca="false">IFERROR(INDEX(MAP!$L$7:$L$101,MATCH(TRIM(C671),MAP!$I$7:$I$101,0)),"")</f>
        <v>Event</v>
      </c>
      <c r="G671" s="1" t="n">
        <f aca="false">IFERROR(MATCH(A671,CONFIRM!$A$5:$A$53,0),0)</f>
        <v>0</v>
      </c>
      <c r="H671" s="48" t="str">
        <f aca="false">STACK!F671</f>
        <v>Comm Hlth Ed</v>
      </c>
      <c r="I671" s="1" t="str">
        <f aca="false">IF(G671&gt;0,IF(INDEX(CONFIRM!$I$5:$I$53,G671)&lt;&gt;"",INDEX(CONFIRM!$I$5:$I$53,G671),H671),H671)</f>
        <v>Comm Hlth Ed</v>
      </c>
      <c r="J671" s="1" t="str">
        <f aca="false">IFERROR(INDEX(MAP!$F$7:$F$74,MATCH(TRIM(I671),MAP!$E$7:$E$74,0)),"UNMAPPED")</f>
        <v>Community health education</v>
      </c>
      <c r="K671" s="1" t="str">
        <f aca="false">IFERROR(INDEX(MAP!$G$7:$G$74,MATCH(TRIM(I671),MAP!$E$7:$E$74,0)),"UNMAPPED")</f>
        <v>7e</v>
      </c>
      <c r="L671" s="49" t="str">
        <f aca="false">STACK!G671</f>
        <v>01/08/2026</v>
      </c>
      <c r="M671" s="59" t="n">
        <f aca="false">IF(G671&gt;0,IF(INDEX(CONFIRM!$G$5:$G$53,G671)&lt;&gt;"",INDEX(CONFIRM!$G$5:$G$53,G671),IF(ISNUMBER(L671),L671,IFERROR(DATEVALUE(L671),""))),IF(ISNUMBER(L671),L671,IFERROR(DATEVALUE(L671),"")))</f>
        <v>46030</v>
      </c>
      <c r="N671" s="1" t="str">
        <f aca="false">IF(M671="","Check",IF(AND(M671&gt;=INPUTS!$C$6,M671&lt;=INPUTS!$C$7),"Yes","No"))</f>
        <v>Yes</v>
      </c>
      <c r="O671" s="48" t="str">
        <f aca="false">STACK!H671</f>
        <v>Nutritionist</v>
      </c>
      <c r="P671" s="1" t="str">
        <f aca="false">IF(G671&gt;0,IF(INDEX(CONFIRM!$H$5:$H$53,G671)&lt;&gt;"",INDEX(CONFIRM!$H$5:$H$53,G671),IFERROR(INDEX(MAP!$B$7:$B$156,MATCH(TRIM(O671),MAP!$A$7:$A$156,0)),"UNMAPPED")),IFERROR(INDEX(MAP!$B$7:$B$156,MATCH(TRIM(O671),MAP!$A$7:$A$156,0)),"UNMAPPED"))</f>
        <v>Registered Dietitian</v>
      </c>
      <c r="Q671" s="48" t="str">
        <f aca="false">STACK!I671</f>
        <v>1.75 hrs</v>
      </c>
      <c r="R671" s="60" t="n">
        <f aca="false">IF(G671&gt;0,IF(INDEX(CONFIRM!$F$5:$F$53,G671)&lt;&gt;"",INDEX(CONFIRM!$F$5:$F$53,G671),IF(ISNUMBER(Q671),Q671,IF(Q671="","",IFERROR(VALUE(TRIM(SUBSTITUTE(SUBSTITUTE(LOWER(Q671),"hrs",""),"hr",""))),"")))),IF(ISNUMBER(Q671),Q671,IF(Q671="","",IFERROR(VALUE(TRIM(SUBSTITUTE(SUBSTITUTE(LOWER(Q671),"hrs",""),"hr",""))),""))))</f>
        <v>1.75</v>
      </c>
      <c r="S671" s="57" t="n">
        <f aca="false">IFERROR(INDEX(RATES!$E$6:$E$28,MATCH(P671,RATES!$A$6:$A$28,0)),0)</f>
        <v>46.9025</v>
      </c>
      <c r="T671" s="61" t="n">
        <f aca="false">IF(ISNUMBER(R671),R671,0)*S671</f>
        <v>82.079375</v>
      </c>
      <c r="U671" s="61" t="n">
        <f aca="false">T671*INDEX(INPUTS!$H$10:$H$14,MATCH(B671,INPUTS!$A$10:$A$14,0))</f>
        <v>13.29685875</v>
      </c>
      <c r="V671" s="61" t="n">
        <f aca="false">N(STACK!K671)</f>
        <v>0</v>
      </c>
      <c r="W671" s="61" t="n">
        <f aca="false">T671+U671+V671</f>
        <v>95.37623375</v>
      </c>
      <c r="X671" s="61" t="n">
        <f aca="false">N(STACK!L671)</f>
        <v>0</v>
      </c>
      <c r="Y671" s="61" t="n">
        <f aca="false">W671-X671</f>
        <v>95.37623375</v>
      </c>
      <c r="Z671" s="1" t="n">
        <f aca="false">N(STACK!J671)</f>
        <v>0</v>
      </c>
      <c r="AA671" s="1" t="str">
        <f aca="false">TRIM(IF(D671="UNMAPPED","Program not mapped. ","")&amp;IF(OR(K671="UNMAPPED",K671="UNASSIGNED"),"Category needs review. ","")&amp;IF(P671="UNMAPPED","Title not mapped. ","")&amp;IF(AND(P671&lt;&gt;"No staff time",R671=""),"Missing hours. ","")&amp;IF(M671="","Date not readable. ","")&amp;IF(N671="No","Outside fiscal year. ","")&amp;IF(AND(F671="Event",ISNUMBER(R671)),IF(R671&gt;12,"Event hours look high. ",""),"")&amp;IF(G671&gt;0,"See CONFIRM sheet.",""))</f>
        <v/>
      </c>
      <c r="AB671" s="1" t="n">
        <f aca="false">IF(N671="No",0,IF(REVIEW!O671=0,0,IF(G671&gt;0,IF(INDEX(CONFIRM!$J$5:$J$53,G671)&lt;&gt;"",INDEX(CONFIRM!$J$5:$J$53,G671),1),1)))</f>
        <v>1</v>
      </c>
      <c r="AC671" s="1" t="n">
        <f aca="false">IF(AB671=1,IF(COUNTIFS($B$5:B671,B671,$D$5:D671,D671,$AB$5:AB671,1)=1,1,0),0)</f>
        <v>0</v>
      </c>
    </row>
    <row r="672" customFormat="false" ht="15" hidden="false" customHeight="false" outlineLevel="0" collapsed="false">
      <c r="A672" s="48" t="str">
        <f aca="false">STACK!A672</f>
        <v>ASH-0139</v>
      </c>
      <c r="B672" s="48" t="str">
        <f aca="false">STACK!B672</f>
        <v>ASH</v>
      </c>
      <c r="C672" s="48" t="str">
        <f aca="false">STACK!E672</f>
        <v>Grief Support</v>
      </c>
      <c r="D672" s="1" t="str">
        <f aca="false">IFERROR(INDEX(MAP!$J$7:$J$101,MATCH(TRIM(C672),MAP!$I$7:$I$101,0)),"UNMAPPED")</f>
        <v>Grief Support Group</v>
      </c>
      <c r="E672" s="1" t="str">
        <f aca="false">IFERROR(INDEX(MAP!$K$7:$K$101,MATCH(TRIM(C672),MAP!$I$7:$I$101,0)),"")</f>
        <v>Behavioral health</v>
      </c>
      <c r="F672" s="1" t="str">
        <f aca="false">IFERROR(INDEX(MAP!$L$7:$L$101,MATCH(TRIM(C672),MAP!$I$7:$I$101,0)),"")</f>
        <v>Event</v>
      </c>
      <c r="G672" s="1" t="n">
        <f aca="false">IFERROR(MATCH(A672,CONFIRM!$A$5:$A$53,0),0)</f>
        <v>0</v>
      </c>
      <c r="H672" s="48" t="str">
        <f aca="false">STACK!F672</f>
        <v>Support Svcs</v>
      </c>
      <c r="I672" s="1" t="str">
        <f aca="false">IF(G672&gt;0,IF(INDEX(CONFIRM!$I$5:$I$53,G672)&lt;&gt;"",INDEX(CONFIRM!$I$5:$I$53,G672),H672),H672)</f>
        <v>Support Svcs</v>
      </c>
      <c r="J672" s="1" t="str">
        <f aca="false">IFERROR(INDEX(MAP!$F$7:$F$74,MATCH(TRIM(I672),MAP!$E$7:$E$74,0)),"UNMAPPED")</f>
        <v>Health care support services</v>
      </c>
      <c r="K672" s="1" t="str">
        <f aca="false">IFERROR(INDEX(MAP!$G$7:$G$74,MATCH(TRIM(I672),MAP!$E$7:$E$74,0)),"UNMAPPED")</f>
        <v>7e</v>
      </c>
      <c r="L672" s="49" t="str">
        <f aca="false">STACK!G672</f>
        <v>01/08/2026</v>
      </c>
      <c r="M672" s="59" t="n">
        <f aca="false">IF(G672&gt;0,IF(INDEX(CONFIRM!$G$5:$G$53,G672)&lt;&gt;"",INDEX(CONFIRM!$G$5:$G$53,G672),IF(ISNUMBER(L672),L672,IFERROR(DATEVALUE(L672),""))),IF(ISNUMBER(L672),L672,IFERROR(DATEVALUE(L672),"")))</f>
        <v>46030</v>
      </c>
      <c r="N672" s="1" t="str">
        <f aca="false">IF(M672="","Check",IF(AND(M672&gt;=INPUTS!$C$6,M672&lt;=INPUTS!$C$7),"Yes","No"))</f>
        <v>Yes</v>
      </c>
      <c r="O672" s="48" t="str">
        <f aca="false">STACK!H672</f>
        <v>Pastoral Care</v>
      </c>
      <c r="P672" s="1" t="str">
        <f aca="false">IF(G672&gt;0,IF(INDEX(CONFIRM!$H$5:$H$53,G672)&lt;&gt;"",INDEX(CONFIRM!$H$5:$H$53,G672),IFERROR(INDEX(MAP!$B$7:$B$156,MATCH(TRIM(O672),MAP!$A$7:$A$156,0)),"UNMAPPED")),IFERROR(INDEX(MAP!$B$7:$B$156,MATCH(TRIM(O672),MAP!$A$7:$A$156,0)),"UNMAPPED"))</f>
        <v>Chaplain</v>
      </c>
      <c r="Q672" s="48" t="n">
        <f aca="false">STACK!I672</f>
        <v>2</v>
      </c>
      <c r="R672" s="60" t="n">
        <f aca="false">IF(G672&gt;0,IF(INDEX(CONFIRM!$F$5:$F$53,G672)&lt;&gt;"",INDEX(CONFIRM!$F$5:$F$53,G672),IF(ISNUMBER(Q672),Q672,IF(Q672="","",IFERROR(VALUE(TRIM(SUBSTITUTE(SUBSTITUTE(LOWER(Q672),"hrs",""),"hr",""))),"")))),IF(ISNUMBER(Q672),Q672,IF(Q672="","",IFERROR(VALUE(TRIM(SUBSTITUTE(SUBSTITUTE(LOWER(Q672),"hrs",""),"hr",""))),""))))</f>
        <v>2</v>
      </c>
      <c r="S672" s="57" t="n">
        <f aca="false">IFERROR(INDEX(RATES!$E$6:$E$28,MATCH(P672,RATES!$A$6:$A$28,0)),0)</f>
        <v>39.835</v>
      </c>
      <c r="T672" s="61" t="n">
        <f aca="false">IF(ISNUMBER(R672),R672,0)*S672</f>
        <v>79.67</v>
      </c>
      <c r="U672" s="61" t="n">
        <f aca="false">T672*INDEX(INPUTS!$H$10:$H$14,MATCH(B672,INPUTS!$A$10:$A$14,0))</f>
        <v>12.90654</v>
      </c>
      <c r="V672" s="61" t="n">
        <f aca="false">N(STACK!K672)</f>
        <v>30</v>
      </c>
      <c r="W672" s="61" t="n">
        <f aca="false">T672+U672+V672</f>
        <v>122.57654</v>
      </c>
      <c r="X672" s="61" t="n">
        <f aca="false">N(STACK!L672)</f>
        <v>0</v>
      </c>
      <c r="Y672" s="61" t="n">
        <f aca="false">W672-X672</f>
        <v>122.57654</v>
      </c>
      <c r="Z672" s="1" t="n">
        <f aca="false">N(STACK!J672)</f>
        <v>14</v>
      </c>
      <c r="AA672" s="1" t="str">
        <f aca="false">TRIM(IF(D672="UNMAPPED","Program not mapped. ","")&amp;IF(OR(K672="UNMAPPED",K672="UNASSIGNED"),"Category needs review. ","")&amp;IF(P672="UNMAPPED","Title not mapped. ","")&amp;IF(AND(P672&lt;&gt;"No staff time",R672=""),"Missing hours. ","")&amp;IF(M672="","Date not readable. ","")&amp;IF(N672="No","Outside fiscal year. ","")&amp;IF(AND(F672="Event",ISNUMBER(R672)),IF(R672&gt;12,"Event hours look high. ",""),"")&amp;IF(G672&gt;0,"See CONFIRM sheet.",""))</f>
        <v/>
      </c>
      <c r="AB672" s="1" t="n">
        <f aca="false">IF(N672="No",0,IF(REVIEW!O672=0,0,IF(G672&gt;0,IF(INDEX(CONFIRM!$J$5:$J$53,G672)&lt;&gt;"",INDEX(CONFIRM!$J$5:$J$53,G672),1),1)))</f>
        <v>1</v>
      </c>
      <c r="AC672" s="1" t="n">
        <f aca="false">IF(AB672=1,IF(COUNTIFS($B$5:B672,B672,$D$5:D672,D672,$AB$5:AB672,1)=1,1,0),0)</f>
        <v>0</v>
      </c>
    </row>
    <row r="673" customFormat="false" ht="15" hidden="false" customHeight="false" outlineLevel="0" collapsed="false">
      <c r="A673" s="48" t="str">
        <f aca="false">STACK!A673</f>
        <v>ASH-0140</v>
      </c>
      <c r="B673" s="48" t="str">
        <f aca="false">STACK!B673</f>
        <v>ASH</v>
      </c>
      <c r="C673" s="48" t="str">
        <f aca="false">STACK!E673</f>
        <v>Grief Support</v>
      </c>
      <c r="D673" s="1" t="str">
        <f aca="false">IFERROR(INDEX(MAP!$J$7:$J$101,MATCH(TRIM(C673),MAP!$I$7:$I$101,0)),"UNMAPPED")</f>
        <v>Grief Support Group</v>
      </c>
      <c r="E673" s="1" t="str">
        <f aca="false">IFERROR(INDEX(MAP!$K$7:$K$101,MATCH(TRIM(C673),MAP!$I$7:$I$101,0)),"")</f>
        <v>Behavioral health</v>
      </c>
      <c r="F673" s="1" t="str">
        <f aca="false">IFERROR(INDEX(MAP!$L$7:$L$101,MATCH(TRIM(C673),MAP!$I$7:$I$101,0)),"")</f>
        <v>Event</v>
      </c>
      <c r="G673" s="1" t="n">
        <f aca="false">IFERROR(MATCH(A673,CONFIRM!$A$5:$A$53,0),0)</f>
        <v>0</v>
      </c>
      <c r="H673" s="48" t="str">
        <f aca="false">STACK!F673</f>
        <v>Support Svcs</v>
      </c>
      <c r="I673" s="1" t="str">
        <f aca="false">IF(G673&gt;0,IF(INDEX(CONFIRM!$I$5:$I$53,G673)&lt;&gt;"",INDEX(CONFIRM!$I$5:$I$53,G673),H673),H673)</f>
        <v>Support Svcs</v>
      </c>
      <c r="J673" s="1" t="str">
        <f aca="false">IFERROR(INDEX(MAP!$F$7:$F$74,MATCH(TRIM(I673),MAP!$E$7:$E$74,0)),"UNMAPPED")</f>
        <v>Health care support services</v>
      </c>
      <c r="K673" s="1" t="str">
        <f aca="false">IFERROR(INDEX(MAP!$G$7:$G$74,MATCH(TRIM(I673),MAP!$E$7:$E$74,0)),"UNMAPPED")</f>
        <v>7e</v>
      </c>
      <c r="L673" s="49" t="str">
        <f aca="false">STACK!G673</f>
        <v>01/08/2026</v>
      </c>
      <c r="M673" s="59" t="n">
        <f aca="false">IF(G673&gt;0,IF(INDEX(CONFIRM!$G$5:$G$53,G673)&lt;&gt;"",INDEX(CONFIRM!$G$5:$G$53,G673),IF(ISNUMBER(L673),L673,IFERROR(DATEVALUE(L673),""))),IF(ISNUMBER(L673),L673,IFERROR(DATEVALUE(L673),"")))</f>
        <v>46030</v>
      </c>
      <c r="N673" s="1" t="str">
        <f aca="false">IF(M673="","Check",IF(AND(M673&gt;=INPUTS!$C$6,M673&lt;=INPUTS!$C$7),"Yes","No"))</f>
        <v>Yes</v>
      </c>
      <c r="O673" s="48" t="str">
        <f aca="false">STACK!H673</f>
        <v>LCSW</v>
      </c>
      <c r="P673" s="1" t="str">
        <f aca="false">IF(G673&gt;0,IF(INDEX(CONFIRM!$H$5:$H$53,G673)&lt;&gt;"",INDEX(CONFIRM!$H$5:$H$53,G673),IFERROR(INDEX(MAP!$B$7:$B$156,MATCH(TRIM(O673),MAP!$A$7:$A$156,0)),"UNMAPPED")),IFERROR(INDEX(MAP!$B$7:$B$156,MATCH(TRIM(O673),MAP!$A$7:$A$156,0)),"UNMAPPED"))</f>
        <v>Social Worker</v>
      </c>
      <c r="Q673" s="48" t="n">
        <f aca="false">STACK!I673</f>
        <v>1.75</v>
      </c>
      <c r="R673" s="60" t="n">
        <f aca="false">IF(G673&gt;0,IF(INDEX(CONFIRM!$F$5:$F$53,G673)&lt;&gt;"",INDEX(CONFIRM!$F$5:$F$53,G673),IF(ISNUMBER(Q673),Q673,IF(Q673="","",IFERROR(VALUE(TRIM(SUBSTITUTE(SUBSTITUTE(LOWER(Q673),"hrs",""),"hr",""))),"")))),IF(ISNUMBER(Q673),Q673,IF(Q673="","",IFERROR(VALUE(TRIM(SUBSTITUTE(SUBSTITUTE(LOWER(Q673),"hrs",""),"hr",""))),""))))</f>
        <v>1.75</v>
      </c>
      <c r="S673" s="57" t="n">
        <f aca="false">IFERROR(INDEX(RATES!$E$6:$E$28,MATCH(P673,RATES!$A$6:$A$28,0)),0)</f>
        <v>45.6175</v>
      </c>
      <c r="T673" s="61" t="n">
        <f aca="false">IF(ISNUMBER(R673),R673,0)*S673</f>
        <v>79.830625</v>
      </c>
      <c r="U673" s="61" t="n">
        <f aca="false">T673*INDEX(INPUTS!$H$10:$H$14,MATCH(B673,INPUTS!$A$10:$A$14,0))</f>
        <v>12.93256125</v>
      </c>
      <c r="V673" s="61" t="n">
        <f aca="false">N(STACK!K673)</f>
        <v>0</v>
      </c>
      <c r="W673" s="61" t="n">
        <f aca="false">T673+U673+V673</f>
        <v>92.76318625</v>
      </c>
      <c r="X673" s="61" t="n">
        <f aca="false">N(STACK!L673)</f>
        <v>0</v>
      </c>
      <c r="Y673" s="61" t="n">
        <f aca="false">W673-X673</f>
        <v>92.76318625</v>
      </c>
      <c r="Z673" s="1" t="n">
        <f aca="false">N(STACK!J673)</f>
        <v>0</v>
      </c>
      <c r="AA673" s="1" t="str">
        <f aca="false">TRIM(IF(D673="UNMAPPED","Program not mapped. ","")&amp;IF(OR(K673="UNMAPPED",K673="UNASSIGNED"),"Category needs review. ","")&amp;IF(P673="UNMAPPED","Title not mapped. ","")&amp;IF(AND(P673&lt;&gt;"No staff time",R673=""),"Missing hours. ","")&amp;IF(M673="","Date not readable. ","")&amp;IF(N673="No","Outside fiscal year. ","")&amp;IF(AND(F673="Event",ISNUMBER(R673)),IF(R673&gt;12,"Event hours look high. ",""),"")&amp;IF(G673&gt;0,"See CONFIRM sheet.",""))</f>
        <v/>
      </c>
      <c r="AB673" s="1" t="n">
        <f aca="false">IF(N673="No",0,IF(REVIEW!O673=0,0,IF(G673&gt;0,IF(INDEX(CONFIRM!$J$5:$J$53,G673)&lt;&gt;"",INDEX(CONFIRM!$J$5:$J$53,G673),1),1)))</f>
        <v>1</v>
      </c>
      <c r="AC673" s="1" t="n">
        <f aca="false">IF(AB673=1,IF(COUNTIFS($B$5:B673,B673,$D$5:D673,D673,$AB$5:AB673,1)=1,1,0),0)</f>
        <v>0</v>
      </c>
    </row>
    <row r="674" customFormat="false" ht="15" hidden="false" customHeight="false" outlineLevel="0" collapsed="false">
      <c r="A674" s="48" t="str">
        <f aca="false">STACK!A674</f>
        <v>ASH-0141</v>
      </c>
      <c r="B674" s="48" t="str">
        <f aca="false">STACK!B674</f>
        <v>ASH</v>
      </c>
      <c r="C674" s="48" t="str">
        <f aca="false">STACK!E674</f>
        <v>In-Kind Supplies</v>
      </c>
      <c r="D674" s="1" t="str">
        <f aca="false">IFERROR(INDEX(MAP!$J$7:$J$101,MATCH(TRIM(C674),MAP!$I$7:$I$101,0)),"UNMAPPED")</f>
        <v>In-Kind Medical Supply Donations</v>
      </c>
      <c r="E674" s="1" t="str">
        <f aca="false">IFERROR(INDEX(MAP!$K$7:$K$101,MATCH(TRIM(C674),MAP!$I$7:$I$101,0)),"")</f>
        <v>Access to care</v>
      </c>
      <c r="F674" s="1" t="str">
        <f aca="false">IFERROR(INDEX(MAP!$L$7:$L$101,MATCH(TRIM(C674),MAP!$I$7:$I$101,0)),"")</f>
        <v>Contribution</v>
      </c>
      <c r="G674" s="1" t="n">
        <f aca="false">IFERROR(MATCH(A674,CONFIRM!$A$5:$A$53,0),0)</f>
        <v>0</v>
      </c>
      <c r="H674" s="48" t="str">
        <f aca="false">STACK!F674</f>
        <v>Contributions</v>
      </c>
      <c r="I674" s="1" t="str">
        <f aca="false">IF(G674&gt;0,IF(INDEX(CONFIRM!$I$5:$I$53,G674)&lt;&gt;"",INDEX(CONFIRM!$I$5:$I$53,G674),H674),H674)</f>
        <v>Contributions</v>
      </c>
      <c r="J674" s="1" t="str">
        <f aca="false">IFERROR(INDEX(MAP!$F$7:$F$74,MATCH(TRIM(I674),MAP!$E$7:$E$74,0)),"UNMAPPED")</f>
        <v>Cash and in-kind contributions</v>
      </c>
      <c r="K674" s="1" t="str">
        <f aca="false">IFERROR(INDEX(MAP!$G$7:$G$74,MATCH(TRIM(I674),MAP!$E$7:$E$74,0)),"UNMAPPED")</f>
        <v>7i</v>
      </c>
      <c r="L674" s="49" t="str">
        <f aca="false">STACK!G674</f>
        <v>01/09/2026</v>
      </c>
      <c r="M674" s="59" t="n">
        <f aca="false">IF(G674&gt;0,IF(INDEX(CONFIRM!$G$5:$G$53,G674)&lt;&gt;"",INDEX(CONFIRM!$G$5:$G$53,G674),IF(ISNUMBER(L674),L674,IFERROR(DATEVALUE(L674),""))),IF(ISNUMBER(L674),L674,IFERROR(DATEVALUE(L674),"")))</f>
        <v>46031</v>
      </c>
      <c r="N674" s="1" t="str">
        <f aca="false">IF(M674="","Check",IF(AND(M674&gt;=INPUTS!$C$6,M674&lt;=INPUTS!$C$7),"Yes","No"))</f>
        <v>Yes</v>
      </c>
      <c r="O674" s="48" t="str">
        <f aca="false">STACK!H674</f>
        <v>none</v>
      </c>
      <c r="P674" s="1" t="str">
        <f aca="false">IF(G674&gt;0,IF(INDEX(CONFIRM!$H$5:$H$53,G674)&lt;&gt;"",INDEX(CONFIRM!$H$5:$H$53,G674),IFERROR(INDEX(MAP!$B$7:$B$156,MATCH(TRIM(O674),MAP!$A$7:$A$156,0)),"UNMAPPED")),IFERROR(INDEX(MAP!$B$7:$B$156,MATCH(TRIM(O674),MAP!$A$7:$A$156,0)),"UNMAPPED"))</f>
        <v>No staff time</v>
      </c>
      <c r="Q674" s="48" t="str">
        <f aca="false">STACK!I674</f>
        <v/>
      </c>
      <c r="R674" s="60" t="str">
        <f aca="false">IF(G674&gt;0,IF(INDEX(CONFIRM!$F$5:$F$53,G674)&lt;&gt;"",INDEX(CONFIRM!$F$5:$F$53,G674),IF(ISNUMBER(Q674),Q674,IF(Q674="","",IFERROR(VALUE(TRIM(SUBSTITUTE(SUBSTITUTE(LOWER(Q674),"hrs",""),"hr",""))),"")))),IF(ISNUMBER(Q674),Q674,IF(Q674="","",IFERROR(VALUE(TRIM(SUBSTITUTE(SUBSTITUTE(LOWER(Q674),"hrs",""),"hr",""))),""))))</f>
        <v/>
      </c>
      <c r="S674" s="57" t="n">
        <f aca="false">IFERROR(INDEX(RATES!$E$6:$E$28,MATCH(P674,RATES!$A$6:$A$28,0)),0)</f>
        <v>0</v>
      </c>
      <c r="T674" s="61" t="n">
        <f aca="false">IF(ISNUMBER(R674),R674,0)*S674</f>
        <v>0</v>
      </c>
      <c r="U674" s="61" t="n">
        <f aca="false">T674*INDEX(INPUTS!$H$10:$H$14,MATCH(B674,INPUTS!$A$10:$A$14,0))</f>
        <v>0</v>
      </c>
      <c r="V674" s="61" t="n">
        <f aca="false">N(STACK!K674)</f>
        <v>7575</v>
      </c>
      <c r="W674" s="61" t="n">
        <f aca="false">T674+U674+V674</f>
        <v>7575</v>
      </c>
      <c r="X674" s="61" t="n">
        <f aca="false">N(STACK!L674)</f>
        <v>0</v>
      </c>
      <c r="Y674" s="61" t="n">
        <f aca="false">W674-X674</f>
        <v>7575</v>
      </c>
      <c r="Z674" s="1" t="n">
        <f aca="false">N(STACK!J674)</f>
        <v>0</v>
      </c>
      <c r="AA674" s="1" t="str">
        <f aca="false">TRIM(IF(D674="UNMAPPED","Program not mapped. ","")&amp;IF(OR(K674="UNMAPPED",K674="UNASSIGNED"),"Category needs review. ","")&amp;IF(P674="UNMAPPED","Title not mapped. ","")&amp;IF(AND(P674&lt;&gt;"No staff time",R674=""),"Missing hours. ","")&amp;IF(M674="","Date not readable. ","")&amp;IF(N674="No","Outside fiscal year. ","")&amp;IF(AND(F674="Event",ISNUMBER(R674)),IF(R674&gt;12,"Event hours look high. ",""),"")&amp;IF(G674&gt;0,"See CONFIRM sheet.",""))</f>
        <v/>
      </c>
      <c r="AB674" s="1" t="n">
        <f aca="false">IF(N674="No",0,IF(REVIEW!O674=0,0,IF(G674&gt;0,IF(INDEX(CONFIRM!$J$5:$J$53,G674)&lt;&gt;"",INDEX(CONFIRM!$J$5:$J$53,G674),1),1)))</f>
        <v>1</v>
      </c>
      <c r="AC674" s="1" t="n">
        <f aca="false">IF(AB674=1,IF(COUNTIFS($B$5:B674,B674,$D$5:D674,D674,$AB$5:AB674,1)=1,1,0),0)</f>
        <v>0</v>
      </c>
    </row>
    <row r="675" customFormat="false" ht="15" hidden="false" customHeight="false" outlineLevel="0" collapsed="false">
      <c r="A675" s="48" t="str">
        <f aca="false">STACK!A675</f>
        <v>ASH-0142</v>
      </c>
      <c r="B675" s="48" t="str">
        <f aca="false">STACK!B675</f>
        <v>ASH</v>
      </c>
      <c r="C675" s="48" t="str">
        <f aca="false">STACK!E675</f>
        <v>Fall Prevention</v>
      </c>
      <c r="D675" s="1" t="str">
        <f aca="false">IFERROR(INDEX(MAP!$J$7:$J$101,MATCH(TRIM(C675),MAP!$I$7:$I$101,0)),"UNMAPPED")</f>
        <v>Fall Prevention Classes for Older Adults</v>
      </c>
      <c r="E675" s="1" t="str">
        <f aca="false">IFERROR(INDEX(MAP!$K$7:$K$101,MATCH(TRIM(C675),MAP!$I$7:$I$101,0)),"")</f>
        <v>Chronic disease prevention</v>
      </c>
      <c r="F675" s="1" t="str">
        <f aca="false">IFERROR(INDEX(MAP!$L$7:$L$101,MATCH(TRIM(C675),MAP!$I$7:$I$101,0)),"")</f>
        <v>Event</v>
      </c>
      <c r="G675" s="1" t="n">
        <f aca="false">IFERROR(MATCH(A675,CONFIRM!$A$5:$A$53,0),0)</f>
        <v>0</v>
      </c>
      <c r="H675" s="48" t="str">
        <f aca="false">STACK!F675</f>
        <v>Comm Hlth Ed</v>
      </c>
      <c r="I675" s="1" t="str">
        <f aca="false">IF(G675&gt;0,IF(INDEX(CONFIRM!$I$5:$I$53,G675)&lt;&gt;"",INDEX(CONFIRM!$I$5:$I$53,G675),H675),H675)</f>
        <v>Comm Hlth Ed</v>
      </c>
      <c r="J675" s="1" t="str">
        <f aca="false">IFERROR(INDEX(MAP!$F$7:$F$74,MATCH(TRIM(I675),MAP!$E$7:$E$74,0)),"UNMAPPED")</f>
        <v>Community health education</v>
      </c>
      <c r="K675" s="1" t="str">
        <f aca="false">IFERROR(INDEX(MAP!$G$7:$G$74,MATCH(TRIM(I675),MAP!$E$7:$E$74,0)),"UNMAPPED")</f>
        <v>7e</v>
      </c>
      <c r="L675" s="49" t="str">
        <f aca="false">STACK!G675</f>
        <v>01/10/2026</v>
      </c>
      <c r="M675" s="59" t="n">
        <f aca="false">IF(G675&gt;0,IF(INDEX(CONFIRM!$G$5:$G$53,G675)&lt;&gt;"",INDEX(CONFIRM!$G$5:$G$53,G675),IF(ISNUMBER(L675),L675,IFERROR(DATEVALUE(L675),""))),IF(ISNUMBER(L675),L675,IFERROR(DATEVALUE(L675),"")))</f>
        <v>46032</v>
      </c>
      <c r="N675" s="1" t="str">
        <f aca="false">IF(M675="","Check",IF(AND(M675&gt;=INPUTS!$C$6,M675&lt;=INPUTS!$C$7),"Yes","No"))</f>
        <v>Yes</v>
      </c>
      <c r="O675" s="48" t="str">
        <f aca="false">STACK!H675</f>
        <v> Physical Therapist</v>
      </c>
      <c r="P675" s="1" t="str">
        <f aca="false">IF(G675&gt;0,IF(INDEX(CONFIRM!$H$5:$H$53,G675)&lt;&gt;"",INDEX(CONFIRM!$H$5:$H$53,G675),IFERROR(INDEX(MAP!$B$7:$B$156,MATCH(TRIM(O675),MAP!$A$7:$A$156,0)),"UNMAPPED")),IFERROR(INDEX(MAP!$B$7:$B$156,MATCH(TRIM(O675),MAP!$A$7:$A$156,0)),"UNMAPPED"))</f>
        <v>Licensed Therapist</v>
      </c>
      <c r="Q675" s="48" t="n">
        <f aca="false">STACK!I675</f>
        <v>2</v>
      </c>
      <c r="R675" s="60" t="n">
        <f aca="false">IF(G675&gt;0,IF(INDEX(CONFIRM!$F$5:$F$53,G675)&lt;&gt;"",INDEX(CONFIRM!$F$5:$F$53,G675),IF(ISNUMBER(Q675),Q675,IF(Q675="","",IFERROR(VALUE(TRIM(SUBSTITUTE(SUBSTITUTE(LOWER(Q675),"hrs",""),"hr",""))),"")))),IF(ISNUMBER(Q675),Q675,IF(Q675="","",IFERROR(VALUE(TRIM(SUBSTITUTE(SUBSTITUTE(LOWER(Q675),"hrs",""),"hr",""))),""))))</f>
        <v>2</v>
      </c>
      <c r="S675" s="57" t="n">
        <f aca="false">IFERROR(INDEX(RATES!$E$6:$E$28,MATCH(P675,RATES!$A$6:$A$28,0)),0)</f>
        <v>53.97</v>
      </c>
      <c r="T675" s="61" t="n">
        <f aca="false">IF(ISNUMBER(R675),R675,0)*S675</f>
        <v>107.94</v>
      </c>
      <c r="U675" s="61" t="n">
        <f aca="false">T675*INDEX(INPUTS!$H$10:$H$14,MATCH(B675,INPUTS!$A$10:$A$14,0))</f>
        <v>17.48628</v>
      </c>
      <c r="V675" s="61" t="n">
        <f aca="false">N(STACK!K675)</f>
        <v>100</v>
      </c>
      <c r="W675" s="61" t="n">
        <f aca="false">T675+U675+V675</f>
        <v>225.42628</v>
      </c>
      <c r="X675" s="61" t="n">
        <f aca="false">N(STACK!L675)</f>
        <v>0</v>
      </c>
      <c r="Y675" s="61" t="n">
        <f aca="false">W675-X675</f>
        <v>225.42628</v>
      </c>
      <c r="Z675" s="1" t="n">
        <f aca="false">N(STACK!J675)</f>
        <v>23</v>
      </c>
      <c r="AA675" s="1" t="str">
        <f aca="false">TRIM(IF(D675="UNMAPPED","Program not mapped. ","")&amp;IF(OR(K675="UNMAPPED",K675="UNASSIGNED"),"Category needs review. ","")&amp;IF(P675="UNMAPPED","Title not mapped. ","")&amp;IF(AND(P675&lt;&gt;"No staff time",R675=""),"Missing hours. ","")&amp;IF(M675="","Date not readable. ","")&amp;IF(N675="No","Outside fiscal year. ","")&amp;IF(AND(F675="Event",ISNUMBER(R675)),IF(R675&gt;12,"Event hours look high. ",""),"")&amp;IF(G675&gt;0,"See CONFIRM sheet.",""))</f>
        <v/>
      </c>
      <c r="AB675" s="1" t="n">
        <f aca="false">IF(N675="No",0,IF(REVIEW!O675=0,0,IF(G675&gt;0,IF(INDEX(CONFIRM!$J$5:$J$53,G675)&lt;&gt;"",INDEX(CONFIRM!$J$5:$J$53,G675),1),1)))</f>
        <v>1</v>
      </c>
      <c r="AC675" s="1" t="n">
        <f aca="false">IF(AB675=1,IF(COUNTIFS($B$5:B675,B675,$D$5:D675,D675,$AB$5:AB675,1)=1,1,0),0)</f>
        <v>0</v>
      </c>
    </row>
    <row r="676" customFormat="false" ht="15" hidden="false" customHeight="false" outlineLevel="0" collapsed="false">
      <c r="A676" s="48" t="str">
        <f aca="false">STACK!A676</f>
        <v>ASH-0143</v>
      </c>
      <c r="B676" s="48" t="str">
        <f aca="false">STACK!B676</f>
        <v>ASH</v>
      </c>
      <c r="C676" s="48" t="str">
        <f aca="false">STACK!E676</f>
        <v>Leadership Academy</v>
      </c>
      <c r="D676" s="1" t="str">
        <f aca="false">IFERROR(INDEX(MAP!$J$7:$J$101,MATCH(TRIM(C676),MAP!$I$7:$I$101,0)),"UNMAPPED")</f>
        <v>Neighborhood Leadership Academy</v>
      </c>
      <c r="E676" s="1" t="str">
        <f aca="false">IFERROR(INDEX(MAP!$K$7:$K$101,MATCH(TRIM(C676),MAP!$I$7:$I$101,0)),"")</f>
        <v>Community benefit infrastructure</v>
      </c>
      <c r="F676" s="1" t="str">
        <f aca="false">IFERROR(INDEX(MAP!$L$7:$L$101,MATCH(TRIM(C676),MAP!$I$7:$I$101,0)),"")</f>
        <v>Event</v>
      </c>
      <c r="G676" s="1" t="n">
        <f aca="false">IFERROR(MATCH(A676,CONFIRM!$A$5:$A$53,0),0)</f>
        <v>0</v>
      </c>
      <c r="H676" s="48" t="str">
        <f aca="false">STACK!F676</f>
        <v>CB-Leadership Dev</v>
      </c>
      <c r="I676" s="1" t="str">
        <f aca="false">IF(G676&gt;0,IF(INDEX(CONFIRM!$I$5:$I$53,G676)&lt;&gt;"",INDEX(CONFIRM!$I$5:$I$53,G676),H676),H676)</f>
        <v>CB-Leadership Dev</v>
      </c>
      <c r="J676" s="1" t="str">
        <f aca="false">IFERROR(INDEX(MAP!$F$7:$F$74,MATCH(TRIM(I676),MAP!$E$7:$E$74,0)),"UNMAPPED")</f>
        <v>Community building: leadership development</v>
      </c>
      <c r="K676" s="1" t="str">
        <f aca="false">IFERROR(INDEX(MAP!$G$7:$G$74,MATCH(TRIM(I676),MAP!$E$7:$E$74,0)),"UNMAPPED")</f>
        <v>II-5</v>
      </c>
      <c r="L676" s="49" t="str">
        <f aca="false">STACK!G676</f>
        <v>01/24/2026</v>
      </c>
      <c r="M676" s="59" t="n">
        <f aca="false">IF(G676&gt;0,IF(INDEX(CONFIRM!$G$5:$G$53,G676)&lt;&gt;"",INDEX(CONFIRM!$G$5:$G$53,G676),IF(ISNUMBER(L676),L676,IFERROR(DATEVALUE(L676),""))),IF(ISNUMBER(L676),L676,IFERROR(DATEVALUE(L676),"")))</f>
        <v>46046</v>
      </c>
      <c r="N676" s="1" t="str">
        <f aca="false">IF(M676="","Check",IF(AND(M676&gt;=INPUTS!$C$6,M676&lt;=INPUTS!$C$7),"Yes","No"))</f>
        <v>Yes</v>
      </c>
      <c r="O676" s="48" t="str">
        <f aca="false">STACK!H676</f>
        <v>Wellness Educator</v>
      </c>
      <c r="P676" s="1" t="str">
        <f aca="false">IF(G676&gt;0,IF(INDEX(CONFIRM!$H$5:$H$53,G676)&lt;&gt;"",INDEX(CONFIRM!$H$5:$H$53,G676),IFERROR(INDEX(MAP!$B$7:$B$156,MATCH(TRIM(O676),MAP!$A$7:$A$156,0)),"UNMAPPED")),IFERROR(INDEX(MAP!$B$7:$B$156,MATCH(TRIM(O676),MAP!$A$7:$A$156,0)),"UNMAPPED"))</f>
        <v>Health Educator</v>
      </c>
      <c r="Q676" s="48" t="n">
        <f aca="false">STACK!I676</f>
        <v>3.5</v>
      </c>
      <c r="R676" s="60" t="n">
        <f aca="false">IF(G676&gt;0,IF(INDEX(CONFIRM!$F$5:$F$53,G676)&lt;&gt;"",INDEX(CONFIRM!$F$5:$F$53,G676),IF(ISNUMBER(Q676),Q676,IF(Q676="","",IFERROR(VALUE(TRIM(SUBSTITUTE(SUBSTITUTE(LOWER(Q676),"hrs",""),"hr",""))),"")))),IF(ISNUMBER(Q676),Q676,IF(Q676="","",IFERROR(VALUE(TRIM(SUBSTITUTE(SUBSTITUTE(LOWER(Q676),"hrs",""),"hr",""))),""))))</f>
        <v>3.5</v>
      </c>
      <c r="S676" s="57" t="n">
        <f aca="false">IFERROR(INDEX(RATES!$E$6:$E$28,MATCH(P676,RATES!$A$6:$A$28,0)),0)</f>
        <v>37.265</v>
      </c>
      <c r="T676" s="61" t="n">
        <f aca="false">IF(ISNUMBER(R676),R676,0)*S676</f>
        <v>130.4275</v>
      </c>
      <c r="U676" s="61" t="n">
        <f aca="false">T676*INDEX(INPUTS!$H$10:$H$14,MATCH(B676,INPUTS!$A$10:$A$14,0))</f>
        <v>21.129255</v>
      </c>
      <c r="V676" s="61" t="n">
        <f aca="false">N(STACK!K676)</f>
        <v>0</v>
      </c>
      <c r="W676" s="61" t="n">
        <f aca="false">T676+U676+V676</f>
        <v>151.556755</v>
      </c>
      <c r="X676" s="61" t="n">
        <f aca="false">N(STACK!L676)</f>
        <v>0</v>
      </c>
      <c r="Y676" s="61" t="n">
        <f aca="false">W676-X676</f>
        <v>151.556755</v>
      </c>
      <c r="Z676" s="1" t="n">
        <f aca="false">N(STACK!J676)</f>
        <v>0</v>
      </c>
      <c r="AA676" s="1" t="str">
        <f aca="false">TRIM(IF(D676="UNMAPPED","Program not mapped. ","")&amp;IF(OR(K676="UNMAPPED",K676="UNASSIGNED"),"Category needs review. ","")&amp;IF(P676="UNMAPPED","Title not mapped. ","")&amp;IF(AND(P676&lt;&gt;"No staff time",R676=""),"Missing hours. ","")&amp;IF(M676="","Date not readable. ","")&amp;IF(N676="No","Outside fiscal year. ","")&amp;IF(AND(F676="Event",ISNUMBER(R676)),IF(R676&gt;12,"Event hours look high. ",""),"")&amp;IF(G676&gt;0,"See CONFIRM sheet.",""))</f>
        <v/>
      </c>
      <c r="AB676" s="1" t="n">
        <f aca="false">IF(N676="No",0,IF(REVIEW!O676=0,0,IF(G676&gt;0,IF(INDEX(CONFIRM!$J$5:$J$53,G676)&lt;&gt;"",INDEX(CONFIRM!$J$5:$J$53,G676),1),1)))</f>
        <v>1</v>
      </c>
      <c r="AC676" s="1" t="n">
        <f aca="false">IF(AB676=1,IF(COUNTIFS($B$5:B676,B676,$D$5:D676,D676,$AB$5:AB676,1)=1,1,0),0)</f>
        <v>0</v>
      </c>
    </row>
    <row r="677" customFormat="false" ht="15" hidden="false" customHeight="false" outlineLevel="0" collapsed="false">
      <c r="A677" s="48" t="str">
        <f aca="false">STACK!A677</f>
        <v>ASH-0144</v>
      </c>
      <c r="B677" s="48" t="str">
        <f aca="false">STACK!B677</f>
        <v>ASH</v>
      </c>
      <c r="C677" s="48" t="str">
        <f aca="false">STACK!E677</f>
        <v>Leadership Academy</v>
      </c>
      <c r="D677" s="1" t="str">
        <f aca="false">IFERROR(INDEX(MAP!$J$7:$J$101,MATCH(TRIM(C677),MAP!$I$7:$I$101,0)),"UNMAPPED")</f>
        <v>Neighborhood Leadership Academy</v>
      </c>
      <c r="E677" s="1" t="str">
        <f aca="false">IFERROR(INDEX(MAP!$K$7:$K$101,MATCH(TRIM(C677),MAP!$I$7:$I$101,0)),"")</f>
        <v>Community benefit infrastructure</v>
      </c>
      <c r="F677" s="1" t="str">
        <f aca="false">IFERROR(INDEX(MAP!$L$7:$L$101,MATCH(TRIM(C677),MAP!$I$7:$I$101,0)),"")</f>
        <v>Event</v>
      </c>
      <c r="G677" s="1" t="n">
        <f aca="false">IFERROR(MATCH(A677,CONFIRM!$A$5:$A$53,0),0)</f>
        <v>0</v>
      </c>
      <c r="H677" s="48" t="str">
        <f aca="false">STACK!F677</f>
        <v>CB-Leadership Dev</v>
      </c>
      <c r="I677" s="1" t="str">
        <f aca="false">IF(G677&gt;0,IF(INDEX(CONFIRM!$I$5:$I$53,G677)&lt;&gt;"",INDEX(CONFIRM!$I$5:$I$53,G677),H677),H677)</f>
        <v>CB-Leadership Dev</v>
      </c>
      <c r="J677" s="1" t="str">
        <f aca="false">IFERROR(INDEX(MAP!$F$7:$F$74,MATCH(TRIM(I677),MAP!$E$7:$E$74,0)),"UNMAPPED")</f>
        <v>Community building: leadership development</v>
      </c>
      <c r="K677" s="1" t="str">
        <f aca="false">IFERROR(INDEX(MAP!$G$7:$G$74,MATCH(TRIM(I677),MAP!$E$7:$E$74,0)),"UNMAPPED")</f>
        <v>II-5</v>
      </c>
      <c r="L677" s="49" t="str">
        <f aca="false">STACK!G677</f>
        <v>01/24/2026</v>
      </c>
      <c r="M677" s="59" t="n">
        <f aca="false">IF(G677&gt;0,IF(INDEX(CONFIRM!$G$5:$G$53,G677)&lt;&gt;"",INDEX(CONFIRM!$G$5:$G$53,G677),IF(ISNUMBER(L677),L677,IFERROR(DATEVALUE(L677),""))),IF(ISNUMBER(L677),L677,IFERROR(DATEVALUE(L677),"")))</f>
        <v>46046</v>
      </c>
      <c r="N677" s="1" t="str">
        <f aca="false">IF(M677="","Check",IF(AND(M677&gt;=INPUTS!$C$6,M677&lt;=INPUTS!$C$7),"Yes","No"))</f>
        <v>Yes</v>
      </c>
      <c r="O677" s="48" t="str">
        <f aca="false">STACK!H677</f>
        <v>Residency Coordinator</v>
      </c>
      <c r="P677" s="1" t="str">
        <f aca="false">IF(G677&gt;0,IF(INDEX(CONFIRM!$H$5:$H$53,G677)&lt;&gt;"",INDEX(CONFIRM!$H$5:$H$53,G677),IFERROR(INDEX(MAP!$B$7:$B$156,MATCH(TRIM(O677),MAP!$A$7:$A$156,0)),"UNMAPPED")),IFERROR(INDEX(MAP!$B$7:$B$156,MATCH(TRIM(O677),MAP!$A$7:$A$156,0)),"UNMAPPED"))</f>
        <v>Program Coordinator</v>
      </c>
      <c r="Q677" s="48" t="n">
        <f aca="false">STACK!I677</f>
        <v>4.5</v>
      </c>
      <c r="R677" s="60" t="n">
        <f aca="false">IF(G677&gt;0,IF(INDEX(CONFIRM!$F$5:$F$53,G677)&lt;&gt;"",INDEX(CONFIRM!$F$5:$F$53,G677),IF(ISNUMBER(Q677),Q677,IF(Q677="","",IFERROR(VALUE(TRIM(SUBSTITUTE(SUBSTITUTE(LOWER(Q677),"hrs",""),"hr",""))),"")))),IF(ISNUMBER(Q677),Q677,IF(Q677="","",IFERROR(VALUE(TRIM(SUBSTITUTE(SUBSTITUTE(LOWER(Q677),"hrs",""),"hr",""))),""))))</f>
        <v>4.5</v>
      </c>
      <c r="S677" s="57" t="n">
        <f aca="false">IFERROR(INDEX(RATES!$E$6:$E$28,MATCH(P677,RATES!$A$6:$A$28,0)),0)</f>
        <v>35.3375</v>
      </c>
      <c r="T677" s="61" t="n">
        <f aca="false">IF(ISNUMBER(R677),R677,0)*S677</f>
        <v>159.01875</v>
      </c>
      <c r="U677" s="61" t="n">
        <f aca="false">T677*INDEX(INPUTS!$H$10:$H$14,MATCH(B677,INPUTS!$A$10:$A$14,0))</f>
        <v>25.7610375</v>
      </c>
      <c r="V677" s="61" t="n">
        <f aca="false">N(STACK!K677)</f>
        <v>355</v>
      </c>
      <c r="W677" s="61" t="n">
        <f aca="false">T677+U677+V677</f>
        <v>539.7797875</v>
      </c>
      <c r="X677" s="61" t="n">
        <f aca="false">N(STACK!L677)</f>
        <v>0</v>
      </c>
      <c r="Y677" s="61" t="n">
        <f aca="false">W677-X677</f>
        <v>539.7797875</v>
      </c>
      <c r="Z677" s="1" t="n">
        <f aca="false">N(STACK!J677)</f>
        <v>25</v>
      </c>
      <c r="AA677" s="1" t="str">
        <f aca="false">TRIM(IF(D677="UNMAPPED","Program not mapped. ","")&amp;IF(OR(K677="UNMAPPED",K677="UNASSIGNED"),"Category needs review. ","")&amp;IF(P677="UNMAPPED","Title not mapped. ","")&amp;IF(AND(P677&lt;&gt;"No staff time",R677=""),"Missing hours. ","")&amp;IF(M677="","Date not readable. ","")&amp;IF(N677="No","Outside fiscal year. ","")&amp;IF(AND(F677="Event",ISNUMBER(R677)),IF(R677&gt;12,"Event hours look high. ",""),"")&amp;IF(G677&gt;0,"See CONFIRM sheet.",""))</f>
        <v/>
      </c>
      <c r="AB677" s="1" t="n">
        <f aca="false">IF(N677="No",0,IF(REVIEW!O677=0,0,IF(G677&gt;0,IF(INDEX(CONFIRM!$J$5:$J$53,G677)&lt;&gt;"",INDEX(CONFIRM!$J$5:$J$53,G677),1),1)))</f>
        <v>1</v>
      </c>
      <c r="AC677" s="1" t="n">
        <f aca="false">IF(AB677=1,IF(COUNTIFS($B$5:B677,B677,$D$5:D677,D677,$AB$5:AB677,1)=1,1,0),0)</f>
        <v>0</v>
      </c>
    </row>
    <row r="678" customFormat="false" ht="15" hidden="false" customHeight="false" outlineLevel="0" collapsed="false">
      <c r="A678" s="48" t="str">
        <f aca="false">STACK!A678</f>
        <v>ASH-0145</v>
      </c>
      <c r="B678" s="48" t="str">
        <f aca="false">STACK!B678</f>
        <v>ASH</v>
      </c>
      <c r="C678" s="48" t="str">
        <f aca="false">STACK!E678</f>
        <v>Grief Support</v>
      </c>
      <c r="D678" s="1" t="str">
        <f aca="false">IFERROR(INDEX(MAP!$J$7:$J$101,MATCH(TRIM(C678),MAP!$I$7:$I$101,0)),"UNMAPPED")</f>
        <v>Grief Support Group</v>
      </c>
      <c r="E678" s="1" t="str">
        <f aca="false">IFERROR(INDEX(MAP!$K$7:$K$101,MATCH(TRIM(C678),MAP!$I$7:$I$101,0)),"")</f>
        <v>Behavioral health</v>
      </c>
      <c r="F678" s="1" t="str">
        <f aca="false">IFERROR(INDEX(MAP!$L$7:$L$101,MATCH(TRIM(C678),MAP!$I$7:$I$101,0)),"")</f>
        <v>Event</v>
      </c>
      <c r="G678" s="1" t="n">
        <f aca="false">IFERROR(MATCH(A678,CONFIRM!$A$5:$A$53,0),0)</f>
        <v>0</v>
      </c>
      <c r="H678" s="48" t="str">
        <f aca="false">STACK!F678</f>
        <v>Support Svcs</v>
      </c>
      <c r="I678" s="1" t="str">
        <f aca="false">IF(G678&gt;0,IF(INDEX(CONFIRM!$I$5:$I$53,G678)&lt;&gt;"",INDEX(CONFIRM!$I$5:$I$53,G678),H678),H678)</f>
        <v>Support Svcs</v>
      </c>
      <c r="J678" s="1" t="str">
        <f aca="false">IFERROR(INDEX(MAP!$F$7:$F$74,MATCH(TRIM(I678),MAP!$E$7:$E$74,0)),"UNMAPPED")</f>
        <v>Health care support services</v>
      </c>
      <c r="K678" s="1" t="str">
        <f aca="false">IFERROR(INDEX(MAP!$G$7:$G$74,MATCH(TRIM(I678),MAP!$E$7:$E$74,0)),"UNMAPPED")</f>
        <v>7e</v>
      </c>
      <c r="L678" s="49" t="str">
        <f aca="false">STACK!G678</f>
        <v>01/28/2026</v>
      </c>
      <c r="M678" s="59" t="n">
        <f aca="false">IF(G678&gt;0,IF(INDEX(CONFIRM!$G$5:$G$53,G678)&lt;&gt;"",INDEX(CONFIRM!$G$5:$G$53,G678),IF(ISNUMBER(L678),L678,IFERROR(DATEVALUE(L678),""))),IF(ISNUMBER(L678),L678,IFERROR(DATEVALUE(L678),"")))</f>
        <v>46050</v>
      </c>
      <c r="N678" s="1" t="str">
        <f aca="false">IF(M678="","Check",IF(AND(M678&gt;=INPUTS!$C$6,M678&lt;=INPUTS!$C$7),"Yes","No"))</f>
        <v>Yes</v>
      </c>
      <c r="O678" s="48" t="str">
        <f aca="false">STACK!H678</f>
        <v>Spiritual Care</v>
      </c>
      <c r="P678" s="1" t="str">
        <f aca="false">IF(G678&gt;0,IF(INDEX(CONFIRM!$H$5:$H$53,G678)&lt;&gt;"",INDEX(CONFIRM!$H$5:$H$53,G678),IFERROR(INDEX(MAP!$B$7:$B$156,MATCH(TRIM(O678),MAP!$A$7:$A$156,0)),"UNMAPPED")),IFERROR(INDEX(MAP!$B$7:$B$156,MATCH(TRIM(O678),MAP!$A$7:$A$156,0)),"UNMAPPED"))</f>
        <v>Chaplain</v>
      </c>
      <c r="Q678" s="48" t="str">
        <f aca="false">STACK!I678</f>
        <v>2 hrs</v>
      </c>
      <c r="R678" s="60" t="n">
        <f aca="false">IF(G678&gt;0,IF(INDEX(CONFIRM!$F$5:$F$53,G678)&lt;&gt;"",INDEX(CONFIRM!$F$5:$F$53,G678),IF(ISNUMBER(Q678),Q678,IF(Q678="","",IFERROR(VALUE(TRIM(SUBSTITUTE(SUBSTITUTE(LOWER(Q678),"hrs",""),"hr",""))),"")))),IF(ISNUMBER(Q678),Q678,IF(Q678="","",IFERROR(VALUE(TRIM(SUBSTITUTE(SUBSTITUTE(LOWER(Q678),"hrs",""),"hr",""))),""))))</f>
        <v>2</v>
      </c>
      <c r="S678" s="57" t="n">
        <f aca="false">IFERROR(INDEX(RATES!$E$6:$E$28,MATCH(P678,RATES!$A$6:$A$28,0)),0)</f>
        <v>39.835</v>
      </c>
      <c r="T678" s="61" t="n">
        <f aca="false">IF(ISNUMBER(R678),R678,0)*S678</f>
        <v>79.67</v>
      </c>
      <c r="U678" s="61" t="n">
        <f aca="false">T678*INDEX(INPUTS!$H$10:$H$14,MATCH(B678,INPUTS!$A$10:$A$14,0))</f>
        <v>12.90654</v>
      </c>
      <c r="V678" s="61" t="n">
        <f aca="false">N(STACK!K678)</f>
        <v>45</v>
      </c>
      <c r="W678" s="61" t="n">
        <f aca="false">T678+U678+V678</f>
        <v>137.57654</v>
      </c>
      <c r="X678" s="61" t="n">
        <f aca="false">N(STACK!L678)</f>
        <v>0</v>
      </c>
      <c r="Y678" s="61" t="n">
        <f aca="false">W678-X678</f>
        <v>137.57654</v>
      </c>
      <c r="Z678" s="1" t="n">
        <f aca="false">N(STACK!J678)</f>
        <v>14</v>
      </c>
      <c r="AA678" s="1" t="str">
        <f aca="false">TRIM(IF(D678="UNMAPPED","Program not mapped. ","")&amp;IF(OR(K678="UNMAPPED",K678="UNASSIGNED"),"Category needs review. ","")&amp;IF(P678="UNMAPPED","Title not mapped. ","")&amp;IF(AND(P678&lt;&gt;"No staff time",R678=""),"Missing hours. ","")&amp;IF(M678="","Date not readable. ","")&amp;IF(N678="No","Outside fiscal year. ","")&amp;IF(AND(F678="Event",ISNUMBER(R678)),IF(R678&gt;12,"Event hours look high. ",""),"")&amp;IF(G678&gt;0,"See CONFIRM sheet.",""))</f>
        <v/>
      </c>
      <c r="AB678" s="1" t="n">
        <f aca="false">IF(N678="No",0,IF(REVIEW!O678=0,0,IF(G678&gt;0,IF(INDEX(CONFIRM!$J$5:$J$53,G678)&lt;&gt;"",INDEX(CONFIRM!$J$5:$J$53,G678),1),1)))</f>
        <v>1</v>
      </c>
      <c r="AC678" s="1" t="n">
        <f aca="false">IF(AB678=1,IF(COUNTIFS($B$5:B678,B678,$D$5:D678,D678,$AB$5:AB678,1)=1,1,0),0)</f>
        <v>0</v>
      </c>
    </row>
    <row r="679" customFormat="false" ht="15" hidden="false" customHeight="false" outlineLevel="0" collapsed="false">
      <c r="A679" s="48" t="str">
        <f aca="false">STACK!A679</f>
        <v>ASH-0146</v>
      </c>
      <c r="B679" s="48" t="str">
        <f aca="false">STACK!B679</f>
        <v>ASH</v>
      </c>
      <c r="C679" s="48" t="str">
        <f aca="false">STACK!E679</f>
        <v>Grief Support</v>
      </c>
      <c r="D679" s="1" t="str">
        <f aca="false">IFERROR(INDEX(MAP!$J$7:$J$101,MATCH(TRIM(C679),MAP!$I$7:$I$101,0)),"UNMAPPED")</f>
        <v>Grief Support Group</v>
      </c>
      <c r="E679" s="1" t="str">
        <f aca="false">IFERROR(INDEX(MAP!$K$7:$K$101,MATCH(TRIM(C679),MAP!$I$7:$I$101,0)),"")</f>
        <v>Behavioral health</v>
      </c>
      <c r="F679" s="1" t="str">
        <f aca="false">IFERROR(INDEX(MAP!$L$7:$L$101,MATCH(TRIM(C679),MAP!$I$7:$I$101,0)),"")</f>
        <v>Event</v>
      </c>
      <c r="G679" s="1" t="n">
        <f aca="false">IFERROR(MATCH(A679,CONFIRM!$A$5:$A$53,0),0)</f>
        <v>0</v>
      </c>
      <c r="H679" s="48" t="str">
        <f aca="false">STACK!F679</f>
        <v>Support Svcs</v>
      </c>
      <c r="I679" s="1" t="str">
        <f aca="false">IF(G679&gt;0,IF(INDEX(CONFIRM!$I$5:$I$53,G679)&lt;&gt;"",INDEX(CONFIRM!$I$5:$I$53,G679),H679),H679)</f>
        <v>Support Svcs</v>
      </c>
      <c r="J679" s="1" t="str">
        <f aca="false">IFERROR(INDEX(MAP!$F$7:$F$74,MATCH(TRIM(I679),MAP!$E$7:$E$74,0)),"UNMAPPED")</f>
        <v>Health care support services</v>
      </c>
      <c r="K679" s="1" t="str">
        <f aca="false">IFERROR(INDEX(MAP!$G$7:$G$74,MATCH(TRIM(I679),MAP!$E$7:$E$74,0)),"UNMAPPED")</f>
        <v>7e</v>
      </c>
      <c r="L679" s="49" t="str">
        <f aca="false">STACK!G679</f>
        <v>01/28/2026</v>
      </c>
      <c r="M679" s="59" t="n">
        <f aca="false">IF(G679&gt;0,IF(INDEX(CONFIRM!$G$5:$G$53,G679)&lt;&gt;"",INDEX(CONFIRM!$G$5:$G$53,G679),IF(ISNUMBER(L679),L679,IFERROR(DATEVALUE(L679),""))),IF(ISNUMBER(L679),L679,IFERROR(DATEVALUE(L679),"")))</f>
        <v>46050</v>
      </c>
      <c r="N679" s="1" t="str">
        <f aca="false">IF(M679="","Check",IF(AND(M679&gt;=INPUTS!$C$6,M679&lt;=INPUTS!$C$7),"Yes","No"))</f>
        <v>Yes</v>
      </c>
      <c r="O679" s="48" t="str">
        <f aca="false">STACK!H679</f>
        <v>LCSW</v>
      </c>
      <c r="P679" s="1" t="str">
        <f aca="false">IF(G679&gt;0,IF(INDEX(CONFIRM!$H$5:$H$53,G679)&lt;&gt;"",INDEX(CONFIRM!$H$5:$H$53,G679),IFERROR(INDEX(MAP!$B$7:$B$156,MATCH(TRIM(O679),MAP!$A$7:$A$156,0)),"UNMAPPED")),IFERROR(INDEX(MAP!$B$7:$B$156,MATCH(TRIM(O679),MAP!$A$7:$A$156,0)),"UNMAPPED"))</f>
        <v>Social Worker</v>
      </c>
      <c r="Q679" s="48" t="n">
        <f aca="false">STACK!I679</f>
        <v>1.75</v>
      </c>
      <c r="R679" s="60" t="n">
        <f aca="false">IF(G679&gt;0,IF(INDEX(CONFIRM!$F$5:$F$53,G679)&lt;&gt;"",INDEX(CONFIRM!$F$5:$F$53,G679),IF(ISNUMBER(Q679),Q679,IF(Q679="","",IFERROR(VALUE(TRIM(SUBSTITUTE(SUBSTITUTE(LOWER(Q679),"hrs",""),"hr",""))),"")))),IF(ISNUMBER(Q679),Q679,IF(Q679="","",IFERROR(VALUE(TRIM(SUBSTITUTE(SUBSTITUTE(LOWER(Q679),"hrs",""),"hr",""))),""))))</f>
        <v>1.75</v>
      </c>
      <c r="S679" s="57" t="n">
        <f aca="false">IFERROR(INDEX(RATES!$E$6:$E$28,MATCH(P679,RATES!$A$6:$A$28,0)),0)</f>
        <v>45.6175</v>
      </c>
      <c r="T679" s="61" t="n">
        <f aca="false">IF(ISNUMBER(R679),R679,0)*S679</f>
        <v>79.830625</v>
      </c>
      <c r="U679" s="61" t="n">
        <f aca="false">T679*INDEX(INPUTS!$H$10:$H$14,MATCH(B679,INPUTS!$A$10:$A$14,0))</f>
        <v>12.93256125</v>
      </c>
      <c r="V679" s="61" t="n">
        <f aca="false">N(STACK!K679)</f>
        <v>0</v>
      </c>
      <c r="W679" s="61" t="n">
        <f aca="false">T679+U679+V679</f>
        <v>92.76318625</v>
      </c>
      <c r="X679" s="61" t="n">
        <f aca="false">N(STACK!L679)</f>
        <v>0</v>
      </c>
      <c r="Y679" s="61" t="n">
        <f aca="false">W679-X679</f>
        <v>92.76318625</v>
      </c>
      <c r="Z679" s="1" t="n">
        <f aca="false">N(STACK!J679)</f>
        <v>0</v>
      </c>
      <c r="AA679" s="1" t="str">
        <f aca="false">TRIM(IF(D679="UNMAPPED","Program not mapped. ","")&amp;IF(OR(K679="UNMAPPED",K679="UNASSIGNED"),"Category needs review. ","")&amp;IF(P679="UNMAPPED","Title not mapped. ","")&amp;IF(AND(P679&lt;&gt;"No staff time",R679=""),"Missing hours. ","")&amp;IF(M679="","Date not readable. ","")&amp;IF(N679="No","Outside fiscal year. ","")&amp;IF(AND(F679="Event",ISNUMBER(R679)),IF(R679&gt;12,"Event hours look high. ",""),"")&amp;IF(G679&gt;0,"See CONFIRM sheet.",""))</f>
        <v/>
      </c>
      <c r="AB679" s="1" t="n">
        <f aca="false">IF(N679="No",0,IF(REVIEW!O679=0,0,IF(G679&gt;0,IF(INDEX(CONFIRM!$J$5:$J$53,G679)&lt;&gt;"",INDEX(CONFIRM!$J$5:$J$53,G679),1),1)))</f>
        <v>1</v>
      </c>
      <c r="AC679" s="1" t="n">
        <f aca="false">IF(AB679=1,IF(COUNTIFS($B$5:B679,B679,$D$5:D679,D679,$AB$5:AB679,1)=1,1,0),0)</f>
        <v>0</v>
      </c>
    </row>
    <row r="680" customFormat="false" ht="15" hidden="false" customHeight="false" outlineLevel="0" collapsed="false">
      <c r="A680" s="48" t="str">
        <f aca="false">STACK!A680</f>
        <v>ASH-0147</v>
      </c>
      <c r="B680" s="48" t="str">
        <f aca="false">STACK!B680</f>
        <v>ASH</v>
      </c>
      <c r="C680" s="48" t="str">
        <f aca="false">STACK!E680</f>
        <v>Car Seat Checks</v>
      </c>
      <c r="D680" s="1" t="str">
        <f aca="false">IFERROR(INDEX(MAP!$J$7:$J$101,MATCH(TRIM(C680),MAP!$I$7:$I$101,0)),"UNMAPPED")</f>
        <v>Car Seat Safety Checks</v>
      </c>
      <c r="E680" s="1" t="str">
        <f aca="false">IFERROR(INDEX(MAP!$K$7:$K$101,MATCH(TRIM(C680),MAP!$I$7:$I$101,0)),"")</f>
        <v>Maternal and child health</v>
      </c>
      <c r="F680" s="1" t="str">
        <f aca="false">IFERROR(INDEX(MAP!$L$7:$L$101,MATCH(TRIM(C680),MAP!$I$7:$I$101,0)),"")</f>
        <v>Event</v>
      </c>
      <c r="G680" s="1" t="n">
        <f aca="false">IFERROR(MATCH(A680,CONFIRM!$A$5:$A$53,0),0)</f>
        <v>0</v>
      </c>
      <c r="H680" s="48" t="str">
        <f aca="false">STACK!F680</f>
        <v>Comm Hlth Ed</v>
      </c>
      <c r="I680" s="1" t="str">
        <f aca="false">IF(G680&gt;0,IF(INDEX(CONFIRM!$I$5:$I$53,G680)&lt;&gt;"",INDEX(CONFIRM!$I$5:$I$53,G680),H680),H680)</f>
        <v>Comm Hlth Ed</v>
      </c>
      <c r="J680" s="1" t="str">
        <f aca="false">IFERROR(INDEX(MAP!$F$7:$F$74,MATCH(TRIM(I680),MAP!$E$7:$E$74,0)),"UNMAPPED")</f>
        <v>Community health education</v>
      </c>
      <c r="K680" s="1" t="str">
        <f aca="false">IFERROR(INDEX(MAP!$G$7:$G$74,MATCH(TRIM(I680),MAP!$E$7:$E$74,0)),"UNMAPPED")</f>
        <v>7e</v>
      </c>
      <c r="L680" s="49" t="str">
        <f aca="false">STACK!G680</f>
        <v>01/29/2026</v>
      </c>
      <c r="M680" s="59" t="n">
        <f aca="false">IF(G680&gt;0,IF(INDEX(CONFIRM!$G$5:$G$53,G680)&lt;&gt;"",INDEX(CONFIRM!$G$5:$G$53,G680),IF(ISNUMBER(L680),L680,IFERROR(DATEVALUE(L680),""))),IF(ISNUMBER(L680),L680,IFERROR(DATEVALUE(L680),"")))</f>
        <v>46051</v>
      </c>
      <c r="N680" s="1" t="str">
        <f aca="false">IF(M680="","Check",IF(AND(M680&gt;=INPUTS!$C$6,M680&lt;=INPUTS!$C$7),"Yes","No"))</f>
        <v>Yes</v>
      </c>
      <c r="O680" s="48" t="str">
        <f aca="false">STACK!H680</f>
        <v>emt-p</v>
      </c>
      <c r="P680" s="1" t="str">
        <f aca="false">IF(G680&gt;0,IF(INDEX(CONFIRM!$H$5:$H$53,G680)&lt;&gt;"",INDEX(CONFIRM!$H$5:$H$53,G680),IFERROR(INDEX(MAP!$B$7:$B$156,MATCH(TRIM(O680),MAP!$A$7:$A$156,0)),"UNMAPPED")),IFERROR(INDEX(MAP!$B$7:$B$156,MATCH(TRIM(O680),MAP!$A$7:$A$156,0)),"UNMAPPED"))</f>
        <v>Paramedic</v>
      </c>
      <c r="Q680" s="48" t="str">
        <f aca="false">STACK!I680</f>
        <v>3.75 hrs</v>
      </c>
      <c r="R680" s="60" t="n">
        <f aca="false">IF(G680&gt;0,IF(INDEX(CONFIRM!$F$5:$F$53,G680)&lt;&gt;"",INDEX(CONFIRM!$F$5:$F$53,G680),IF(ISNUMBER(Q680),Q680,IF(Q680="","",IFERROR(VALUE(TRIM(SUBSTITUTE(SUBSTITUTE(LOWER(Q680),"hrs",""),"hr",""))),"")))),IF(ISNUMBER(Q680),Q680,IF(Q680="","",IFERROR(VALUE(TRIM(SUBSTITUTE(SUBSTITUTE(LOWER(Q680),"hrs",""),"hr",""))),""))))</f>
        <v>3.75</v>
      </c>
      <c r="S680" s="57" t="n">
        <f aca="false">IFERROR(INDEX(RATES!$E$6:$E$28,MATCH(P680,RATES!$A$6:$A$28,0)),0)</f>
        <v>34.695</v>
      </c>
      <c r="T680" s="61" t="n">
        <f aca="false">IF(ISNUMBER(R680),R680,0)*S680</f>
        <v>130.10625</v>
      </c>
      <c r="U680" s="61" t="n">
        <f aca="false">T680*INDEX(INPUTS!$H$10:$H$14,MATCH(B680,INPUTS!$A$10:$A$14,0))</f>
        <v>21.0772125</v>
      </c>
      <c r="V680" s="61" t="n">
        <f aca="false">N(STACK!K680)</f>
        <v>550</v>
      </c>
      <c r="W680" s="61" t="n">
        <f aca="false">T680+U680+V680</f>
        <v>701.1834625</v>
      </c>
      <c r="X680" s="61" t="n">
        <f aca="false">N(STACK!L680)</f>
        <v>275</v>
      </c>
      <c r="Y680" s="61" t="n">
        <f aca="false">W680-X680</f>
        <v>426.1834625</v>
      </c>
      <c r="Z680" s="1" t="n">
        <f aca="false">N(STACK!J680)</f>
        <v>16</v>
      </c>
      <c r="AA680" s="1" t="str">
        <f aca="false">TRIM(IF(D680="UNMAPPED","Program not mapped. ","")&amp;IF(OR(K680="UNMAPPED",K680="UNASSIGNED"),"Category needs review. ","")&amp;IF(P680="UNMAPPED","Title not mapped. ","")&amp;IF(AND(P680&lt;&gt;"No staff time",R680=""),"Missing hours. ","")&amp;IF(M680="","Date not readable. ","")&amp;IF(N680="No","Outside fiscal year. ","")&amp;IF(AND(F680="Event",ISNUMBER(R680)),IF(R680&gt;12,"Event hours look high. ",""),"")&amp;IF(G680&gt;0,"See CONFIRM sheet.",""))</f>
        <v/>
      </c>
      <c r="AB680" s="1" t="n">
        <f aca="false">IF(N680="No",0,IF(REVIEW!O680=0,0,IF(G680&gt;0,IF(INDEX(CONFIRM!$J$5:$J$53,G680)&lt;&gt;"",INDEX(CONFIRM!$J$5:$J$53,G680),1),1)))</f>
        <v>1</v>
      </c>
      <c r="AC680" s="1" t="n">
        <f aca="false">IF(AB680=1,IF(COUNTIFS($B$5:B680,B680,$D$5:D680,D680,$AB$5:AB680,1)=1,1,0),0)</f>
        <v>0</v>
      </c>
    </row>
    <row r="681" customFormat="false" ht="15" hidden="false" customHeight="false" outlineLevel="0" collapsed="false">
      <c r="A681" s="48" t="str">
        <f aca="false">STACK!A681</f>
        <v>ASH-0148</v>
      </c>
      <c r="B681" s="48" t="str">
        <f aca="false">STACK!B681</f>
        <v>ASH</v>
      </c>
      <c r="C681" s="48" t="str">
        <f aca="false">STACK!E681</f>
        <v>Car Seat Checks</v>
      </c>
      <c r="D681" s="1" t="str">
        <f aca="false">IFERROR(INDEX(MAP!$J$7:$J$101,MATCH(TRIM(C681),MAP!$I$7:$I$101,0)),"UNMAPPED")</f>
        <v>Car Seat Safety Checks</v>
      </c>
      <c r="E681" s="1" t="str">
        <f aca="false">IFERROR(INDEX(MAP!$K$7:$K$101,MATCH(TRIM(C681),MAP!$I$7:$I$101,0)),"")</f>
        <v>Maternal and child health</v>
      </c>
      <c r="F681" s="1" t="str">
        <f aca="false">IFERROR(INDEX(MAP!$L$7:$L$101,MATCH(TRIM(C681),MAP!$I$7:$I$101,0)),"")</f>
        <v>Event</v>
      </c>
      <c r="G681" s="1" t="n">
        <f aca="false">IFERROR(MATCH(A681,CONFIRM!$A$5:$A$53,0),0)</f>
        <v>0</v>
      </c>
      <c r="H681" s="48" t="str">
        <f aca="false">STACK!F681</f>
        <v>Comm Hlth Ed</v>
      </c>
      <c r="I681" s="1" t="str">
        <f aca="false">IF(G681&gt;0,IF(INDEX(CONFIRM!$I$5:$I$53,G681)&lt;&gt;"",INDEX(CONFIRM!$I$5:$I$53,G681),H681),H681)</f>
        <v>Comm Hlth Ed</v>
      </c>
      <c r="J681" s="1" t="str">
        <f aca="false">IFERROR(INDEX(MAP!$F$7:$F$74,MATCH(TRIM(I681),MAP!$E$7:$E$74,0)),"UNMAPPED")</f>
        <v>Community health education</v>
      </c>
      <c r="K681" s="1" t="str">
        <f aca="false">IFERROR(INDEX(MAP!$G$7:$G$74,MATCH(TRIM(I681),MAP!$E$7:$E$74,0)),"UNMAPPED")</f>
        <v>7e</v>
      </c>
      <c r="L681" s="49" t="str">
        <f aca="false">STACK!G681</f>
        <v>01/29/2026</v>
      </c>
      <c r="M681" s="59" t="n">
        <f aca="false">IF(G681&gt;0,IF(INDEX(CONFIRM!$G$5:$G$53,G681)&lt;&gt;"",INDEX(CONFIRM!$G$5:$G$53,G681),IF(ISNUMBER(L681),L681,IFERROR(DATEVALUE(L681),""))),IF(ISNUMBER(L681),L681,IFERROR(DATEVALUE(L681),"")))</f>
        <v>46051</v>
      </c>
      <c r="N681" s="1" t="str">
        <f aca="false">IF(M681="","Check",IF(AND(M681&gt;=INPUTS!$C$6,M681&lt;=INPUTS!$C$7),"Yes","No"))</f>
        <v>Yes</v>
      </c>
      <c r="O681" s="48" t="str">
        <f aca="false">STACK!H681</f>
        <v>RN - Outreach </v>
      </c>
      <c r="P681" s="1" t="str">
        <f aca="false">IF(G681&gt;0,IF(INDEX(CONFIRM!$H$5:$H$53,G681)&lt;&gt;"",INDEX(CONFIRM!$H$5:$H$53,G681),IFERROR(INDEX(MAP!$B$7:$B$156,MATCH(TRIM(O681),MAP!$A$7:$A$156,0)),"UNMAPPED")),IFERROR(INDEX(MAP!$B$7:$B$156,MATCH(TRIM(O681),MAP!$A$7:$A$156,0)),"UNMAPPED"))</f>
        <v>Registered Nurse</v>
      </c>
      <c r="Q681" s="48" t="n">
        <f aca="false">STACK!I681</f>
        <v>3.75</v>
      </c>
      <c r="R681" s="60" t="n">
        <f aca="false">IF(G681&gt;0,IF(INDEX(CONFIRM!$F$5:$F$53,G681)&lt;&gt;"",INDEX(CONFIRM!$F$5:$F$53,G681),IF(ISNUMBER(Q681),Q681,IF(Q681="","",IFERROR(VALUE(TRIM(SUBSTITUTE(SUBSTITUTE(LOWER(Q681),"hrs",""),"hr",""))),"")))),IF(ISNUMBER(Q681),Q681,IF(Q681="","",IFERROR(VALUE(TRIM(SUBSTITUTE(SUBSTITUTE(LOWER(Q681),"hrs",""),"hr",""))),""))))</f>
        <v>3.75</v>
      </c>
      <c r="S681" s="57" t="n">
        <f aca="false">IFERROR(INDEX(RATES!$E$6:$E$28,MATCH(P681,RATES!$A$6:$A$28,0)),0)</f>
        <v>55.8975</v>
      </c>
      <c r="T681" s="61" t="n">
        <f aca="false">IF(ISNUMBER(R681),R681,0)*S681</f>
        <v>209.615625</v>
      </c>
      <c r="U681" s="61" t="n">
        <f aca="false">T681*INDEX(INPUTS!$H$10:$H$14,MATCH(B681,INPUTS!$A$10:$A$14,0))</f>
        <v>33.95773125</v>
      </c>
      <c r="V681" s="61" t="n">
        <f aca="false">N(STACK!K681)</f>
        <v>0</v>
      </c>
      <c r="W681" s="61" t="n">
        <f aca="false">T681+U681+V681</f>
        <v>243.57335625</v>
      </c>
      <c r="X681" s="61" t="n">
        <f aca="false">N(STACK!L681)</f>
        <v>0</v>
      </c>
      <c r="Y681" s="61" t="n">
        <f aca="false">W681-X681</f>
        <v>243.57335625</v>
      </c>
      <c r="Z681" s="1" t="n">
        <f aca="false">N(STACK!J681)</f>
        <v>0</v>
      </c>
      <c r="AA681" s="1" t="str">
        <f aca="false">TRIM(IF(D681="UNMAPPED","Program not mapped. ","")&amp;IF(OR(K681="UNMAPPED",K681="UNASSIGNED"),"Category needs review. ","")&amp;IF(P681="UNMAPPED","Title not mapped. ","")&amp;IF(AND(P681&lt;&gt;"No staff time",R681=""),"Missing hours. ","")&amp;IF(M681="","Date not readable. ","")&amp;IF(N681="No","Outside fiscal year. ","")&amp;IF(AND(F681="Event",ISNUMBER(R681)),IF(R681&gt;12,"Event hours look high. ",""),"")&amp;IF(G681&gt;0,"See CONFIRM sheet.",""))</f>
        <v/>
      </c>
      <c r="AB681" s="1" t="n">
        <f aca="false">IF(N681="No",0,IF(REVIEW!O681=0,0,IF(G681&gt;0,IF(INDEX(CONFIRM!$J$5:$J$53,G681)&lt;&gt;"",INDEX(CONFIRM!$J$5:$J$53,G681),1),1)))</f>
        <v>1</v>
      </c>
      <c r="AC681" s="1" t="n">
        <f aca="false">IF(AB681=1,IF(COUNTIFS($B$5:B681,B681,$D$5:D681,D681,$AB$5:AB681,1)=1,1,0),0)</f>
        <v>0</v>
      </c>
    </row>
    <row r="682" customFormat="false" ht="15" hidden="false" customHeight="false" outlineLevel="0" collapsed="false">
      <c r="A682" s="48" t="str">
        <f aca="false">STACK!A682</f>
        <v>ASH-0149</v>
      </c>
      <c r="B682" s="48" t="str">
        <f aca="false">STACK!B682</f>
        <v>ASH</v>
      </c>
      <c r="C682" s="48" t="str">
        <f aca="false">STACK!E682</f>
        <v>Mobile Screening Unit</v>
      </c>
      <c r="D682" s="1" t="str">
        <f aca="false">IFERROR(INDEX(MAP!$J$7:$J$101,MATCH(TRIM(C682),MAP!$I$7:$I$101,0)),"UNMAPPED")</f>
        <v>Mobile Health Screening Unit</v>
      </c>
      <c r="E682" s="1" t="str">
        <f aca="false">IFERROR(INDEX(MAP!$K$7:$K$101,MATCH(TRIM(C682),MAP!$I$7:$I$101,0)),"")</f>
        <v>Access to care</v>
      </c>
      <c r="F682" s="1" t="str">
        <f aca="false">IFERROR(INDEX(MAP!$L$7:$L$101,MATCH(TRIM(C682),MAP!$I$7:$I$101,0)),"")</f>
        <v>Monthly</v>
      </c>
      <c r="G682" s="1" t="n">
        <f aca="false">IFERROR(MATCH(A682,CONFIRM!$A$5:$A$53,0),0)</f>
        <v>0</v>
      </c>
      <c r="H682" s="48" t="str">
        <f aca="false">STACK!F682</f>
        <v>Clinical Svcs</v>
      </c>
      <c r="I682" s="1" t="str">
        <f aca="false">IF(G682&gt;0,IF(INDEX(CONFIRM!$I$5:$I$53,G682)&lt;&gt;"",INDEX(CONFIRM!$I$5:$I$53,G682),H682),H682)</f>
        <v>Clinical Svcs</v>
      </c>
      <c r="J682" s="1" t="str">
        <f aca="false">IFERROR(INDEX(MAP!$F$7:$F$74,MATCH(TRIM(I682),MAP!$E$7:$E$74,0)),"UNMAPPED")</f>
        <v>Community-based clinical services</v>
      </c>
      <c r="K682" s="1" t="str">
        <f aca="false">IFERROR(INDEX(MAP!$G$7:$G$74,MATCH(TRIM(I682),MAP!$E$7:$E$74,0)),"UNMAPPED")</f>
        <v>7e</v>
      </c>
      <c r="L682" s="49" t="str">
        <f aca="false">STACK!G682</f>
        <v>01/31/2026</v>
      </c>
      <c r="M682" s="59" t="n">
        <f aca="false">IF(G682&gt;0,IF(INDEX(CONFIRM!$G$5:$G$53,G682)&lt;&gt;"",INDEX(CONFIRM!$G$5:$G$53,G682),IF(ISNUMBER(L682),L682,IFERROR(DATEVALUE(L682),""))),IF(ISNUMBER(L682),L682,IFERROR(DATEVALUE(L682),"")))</f>
        <v>46053</v>
      </c>
      <c r="N682" s="1" t="str">
        <f aca="false">IF(M682="","Check",IF(AND(M682&gt;=INPUTS!$C$6,M682&lt;=INPUTS!$C$7),"Yes","No"))</f>
        <v>Yes</v>
      </c>
      <c r="O682" s="48" t="str">
        <f aca="false">STACK!H682</f>
        <v>Community Health Worker</v>
      </c>
      <c r="P682" s="1" t="str">
        <f aca="false">IF(G682&gt;0,IF(INDEX(CONFIRM!$H$5:$H$53,G682)&lt;&gt;"",INDEX(CONFIRM!$H$5:$H$53,G682),IFERROR(INDEX(MAP!$B$7:$B$156,MATCH(TRIM(O682),MAP!$A$7:$A$156,0)),"UNMAPPED")),IFERROR(INDEX(MAP!$B$7:$B$156,MATCH(TRIM(O682),MAP!$A$7:$A$156,0)),"UNMAPPED"))</f>
        <v>Community Health Worker</v>
      </c>
      <c r="Q682" s="48" t="n">
        <f aca="false">STACK!I682</f>
        <v>78.25</v>
      </c>
      <c r="R682" s="60" t="n">
        <f aca="false">IF(G682&gt;0,IF(INDEX(CONFIRM!$F$5:$F$53,G682)&lt;&gt;"",INDEX(CONFIRM!$F$5:$F$53,G682),IF(ISNUMBER(Q682),Q682,IF(Q682="","",IFERROR(VALUE(TRIM(SUBSTITUTE(SUBSTITUTE(LOWER(Q682),"hrs",""),"hr",""))),"")))),IF(ISNUMBER(Q682),Q682,IF(Q682="","",IFERROR(VALUE(TRIM(SUBSTITUTE(SUBSTITUTE(LOWER(Q682),"hrs",""),"hr",""))),""))))</f>
        <v>78.25</v>
      </c>
      <c r="S682" s="57" t="n">
        <f aca="false">IFERROR(INDEX(RATES!$E$6:$E$28,MATCH(P682,RATES!$A$6:$A$28,0)),0)</f>
        <v>27.6275</v>
      </c>
      <c r="T682" s="61" t="n">
        <f aca="false">IF(ISNUMBER(R682),R682,0)*S682</f>
        <v>2161.851875</v>
      </c>
      <c r="U682" s="61" t="n">
        <f aca="false">T682*INDEX(INPUTS!$H$10:$H$14,MATCH(B682,INPUTS!$A$10:$A$14,0))</f>
        <v>350.22000375</v>
      </c>
      <c r="V682" s="61" t="n">
        <f aca="false">N(STACK!K682)</f>
        <v>0</v>
      </c>
      <c r="W682" s="61" t="n">
        <f aca="false">T682+U682+V682</f>
        <v>2512.07187875</v>
      </c>
      <c r="X682" s="61" t="n">
        <f aca="false">N(STACK!L682)</f>
        <v>0</v>
      </c>
      <c r="Y682" s="61" t="n">
        <f aca="false">W682-X682</f>
        <v>2512.07187875</v>
      </c>
      <c r="Z682" s="1" t="n">
        <f aca="false">N(STACK!J682)</f>
        <v>0</v>
      </c>
      <c r="AA682" s="1" t="str">
        <f aca="false">TRIM(IF(D682="UNMAPPED","Program not mapped. ","")&amp;IF(OR(K682="UNMAPPED",K682="UNASSIGNED"),"Category needs review. ","")&amp;IF(P682="UNMAPPED","Title not mapped. ","")&amp;IF(AND(P682&lt;&gt;"No staff time",R682=""),"Missing hours. ","")&amp;IF(M682="","Date not readable. ","")&amp;IF(N682="No","Outside fiscal year. ","")&amp;IF(AND(F682="Event",ISNUMBER(R682)),IF(R682&gt;12,"Event hours look high. ",""),"")&amp;IF(G682&gt;0,"See CONFIRM sheet.",""))</f>
        <v/>
      </c>
      <c r="AB682" s="1" t="n">
        <f aca="false">IF(N682="No",0,IF(REVIEW!O682=0,0,IF(G682&gt;0,IF(INDEX(CONFIRM!$J$5:$J$53,G682)&lt;&gt;"",INDEX(CONFIRM!$J$5:$J$53,G682),1),1)))</f>
        <v>1</v>
      </c>
      <c r="AC682" s="1" t="n">
        <f aca="false">IF(AB682=1,IF(COUNTIFS($B$5:B682,B682,$D$5:D682,D682,$AB$5:AB682,1)=1,1,0),0)</f>
        <v>0</v>
      </c>
    </row>
    <row r="683" customFormat="false" ht="15" hidden="false" customHeight="false" outlineLevel="0" collapsed="false">
      <c r="A683" s="48" t="str">
        <f aca="false">STACK!A683</f>
        <v>ASH-0150</v>
      </c>
      <c r="B683" s="48" t="str">
        <f aca="false">STACK!B683</f>
        <v>ASH</v>
      </c>
      <c r="C683" s="48" t="str">
        <f aca="false">STACK!E683</f>
        <v>Mobile Screening Unit</v>
      </c>
      <c r="D683" s="1" t="str">
        <f aca="false">IFERROR(INDEX(MAP!$J$7:$J$101,MATCH(TRIM(C683),MAP!$I$7:$I$101,0)),"UNMAPPED")</f>
        <v>Mobile Health Screening Unit</v>
      </c>
      <c r="E683" s="1" t="str">
        <f aca="false">IFERROR(INDEX(MAP!$K$7:$K$101,MATCH(TRIM(C683),MAP!$I$7:$I$101,0)),"")</f>
        <v>Access to care</v>
      </c>
      <c r="F683" s="1" t="str">
        <f aca="false">IFERROR(INDEX(MAP!$L$7:$L$101,MATCH(TRIM(C683),MAP!$I$7:$I$101,0)),"")</f>
        <v>Monthly</v>
      </c>
      <c r="G683" s="1" t="n">
        <f aca="false">IFERROR(MATCH(A683,CONFIRM!$A$5:$A$53,0),0)</f>
        <v>0</v>
      </c>
      <c r="H683" s="48" t="str">
        <f aca="false">STACK!F683</f>
        <v>Clinical Svcs</v>
      </c>
      <c r="I683" s="1" t="str">
        <f aca="false">IF(G683&gt;0,IF(INDEX(CONFIRM!$I$5:$I$53,G683)&lt;&gt;"",INDEX(CONFIRM!$I$5:$I$53,G683),H683),H683)</f>
        <v>Clinical Svcs</v>
      </c>
      <c r="J683" s="1" t="str">
        <f aca="false">IFERROR(INDEX(MAP!$F$7:$F$74,MATCH(TRIM(I683),MAP!$E$7:$E$74,0)),"UNMAPPED")</f>
        <v>Community-based clinical services</v>
      </c>
      <c r="K683" s="1" t="str">
        <f aca="false">IFERROR(INDEX(MAP!$G$7:$G$74,MATCH(TRIM(I683),MAP!$E$7:$E$74,0)),"UNMAPPED")</f>
        <v>7e</v>
      </c>
      <c r="L683" s="49" t="str">
        <f aca="false">STACK!G683</f>
        <v>01/31/2026</v>
      </c>
      <c r="M683" s="59" t="n">
        <f aca="false">IF(G683&gt;0,IF(INDEX(CONFIRM!$G$5:$G$53,G683)&lt;&gt;"",INDEX(CONFIRM!$G$5:$G$53,G683),IF(ISNUMBER(L683),L683,IFERROR(DATEVALUE(L683),""))),IF(ISNUMBER(L683),L683,IFERROR(DATEVALUE(L683),"")))</f>
        <v>46053</v>
      </c>
      <c r="N683" s="1" t="str">
        <f aca="false">IF(M683="","Check",IF(AND(M683&gt;=INPUTS!$C$6,M683&lt;=INPUTS!$C$7),"Yes","No"))</f>
        <v>Yes</v>
      </c>
      <c r="O683" s="48" t="str">
        <f aca="false">STACK!H683</f>
        <v>MA</v>
      </c>
      <c r="P683" s="1" t="str">
        <f aca="false">IF(G683&gt;0,IF(INDEX(CONFIRM!$H$5:$H$53,G683)&lt;&gt;"",INDEX(CONFIRM!$H$5:$H$53,G683),IFERROR(INDEX(MAP!$B$7:$B$156,MATCH(TRIM(O683),MAP!$A$7:$A$156,0)),"UNMAPPED")),IFERROR(INDEX(MAP!$B$7:$B$156,MATCH(TRIM(O683),MAP!$A$7:$A$156,0)),"UNMAPPED"))</f>
        <v>Medical Assistant</v>
      </c>
      <c r="Q683" s="48" t="n">
        <f aca="false">STACK!I683</f>
        <v>83.25</v>
      </c>
      <c r="R683" s="60" t="n">
        <f aca="false">IF(G683&gt;0,IF(INDEX(CONFIRM!$F$5:$F$53,G683)&lt;&gt;"",INDEX(CONFIRM!$F$5:$F$53,G683),IF(ISNUMBER(Q683),Q683,IF(Q683="","",IFERROR(VALUE(TRIM(SUBSTITUTE(SUBSTITUTE(LOWER(Q683),"hrs",""),"hr",""))),"")))),IF(ISNUMBER(Q683),Q683,IF(Q683="","",IFERROR(VALUE(TRIM(SUBSTITUTE(SUBSTITUTE(LOWER(Q683),"hrs",""),"hr",""))),""))))</f>
        <v>83.25</v>
      </c>
      <c r="S683" s="57" t="n">
        <f aca="false">IFERROR(INDEX(RATES!$E$6:$E$28,MATCH(P683,RATES!$A$6:$A$28,0)),0)</f>
        <v>25.37875</v>
      </c>
      <c r="T683" s="61" t="n">
        <f aca="false">IF(ISNUMBER(R683),R683,0)*S683</f>
        <v>2112.7809375</v>
      </c>
      <c r="U683" s="61" t="n">
        <f aca="false">T683*INDEX(INPUTS!$H$10:$H$14,MATCH(B683,INPUTS!$A$10:$A$14,0))</f>
        <v>342.270511875</v>
      </c>
      <c r="V683" s="61" t="n">
        <f aca="false">N(STACK!K683)</f>
        <v>0</v>
      </c>
      <c r="W683" s="61" t="n">
        <f aca="false">T683+U683+V683</f>
        <v>2455.051449375</v>
      </c>
      <c r="X683" s="61" t="n">
        <f aca="false">N(STACK!L683)</f>
        <v>0</v>
      </c>
      <c r="Y683" s="61" t="n">
        <f aca="false">W683-X683</f>
        <v>2455.051449375</v>
      </c>
      <c r="Z683" s="1" t="n">
        <f aca="false">N(STACK!J683)</f>
        <v>0</v>
      </c>
      <c r="AA683" s="1" t="str">
        <f aca="false">TRIM(IF(D683="UNMAPPED","Program not mapped. ","")&amp;IF(OR(K683="UNMAPPED",K683="UNASSIGNED"),"Category needs review. ","")&amp;IF(P683="UNMAPPED","Title not mapped. ","")&amp;IF(AND(P683&lt;&gt;"No staff time",R683=""),"Missing hours. ","")&amp;IF(M683="","Date not readable. ","")&amp;IF(N683="No","Outside fiscal year. ","")&amp;IF(AND(F683="Event",ISNUMBER(R683)),IF(R683&gt;12,"Event hours look high. ",""),"")&amp;IF(G683&gt;0,"See CONFIRM sheet.",""))</f>
        <v/>
      </c>
      <c r="AB683" s="1" t="n">
        <f aca="false">IF(N683="No",0,IF(REVIEW!O683=0,0,IF(G683&gt;0,IF(INDEX(CONFIRM!$J$5:$J$53,G683)&lt;&gt;"",INDEX(CONFIRM!$J$5:$J$53,G683),1),1)))</f>
        <v>1</v>
      </c>
      <c r="AC683" s="1" t="n">
        <f aca="false">IF(AB683=1,IF(COUNTIFS($B$5:B683,B683,$D$5:D683,D683,$AB$5:AB683,1)=1,1,0),0)</f>
        <v>0</v>
      </c>
    </row>
    <row r="684" customFormat="false" ht="15" hidden="false" customHeight="false" outlineLevel="0" collapsed="false">
      <c r="A684" s="48" t="str">
        <f aca="false">STACK!A684</f>
        <v>ASH-0151</v>
      </c>
      <c r="B684" s="48" t="str">
        <f aca="false">STACK!B684</f>
        <v>ASH</v>
      </c>
      <c r="C684" s="48" t="str">
        <f aca="false">STACK!E684</f>
        <v>Mobile Screening Unit</v>
      </c>
      <c r="D684" s="1" t="str">
        <f aca="false">IFERROR(INDEX(MAP!$J$7:$J$101,MATCH(TRIM(C684),MAP!$I$7:$I$101,0)),"UNMAPPED")</f>
        <v>Mobile Health Screening Unit</v>
      </c>
      <c r="E684" s="1" t="str">
        <f aca="false">IFERROR(INDEX(MAP!$K$7:$K$101,MATCH(TRIM(C684),MAP!$I$7:$I$101,0)),"")</f>
        <v>Access to care</v>
      </c>
      <c r="F684" s="1" t="str">
        <f aca="false">IFERROR(INDEX(MAP!$L$7:$L$101,MATCH(TRIM(C684),MAP!$I$7:$I$101,0)),"")</f>
        <v>Monthly</v>
      </c>
      <c r="G684" s="1" t="n">
        <f aca="false">IFERROR(MATCH(A684,CONFIRM!$A$5:$A$53,0),0)</f>
        <v>0</v>
      </c>
      <c r="H684" s="48" t="str">
        <f aca="false">STACK!F684</f>
        <v>Clinical Svcs</v>
      </c>
      <c r="I684" s="1" t="str">
        <f aca="false">IF(G684&gt;0,IF(INDEX(CONFIRM!$I$5:$I$53,G684)&lt;&gt;"",INDEX(CONFIRM!$I$5:$I$53,G684),H684),H684)</f>
        <v>Clinical Svcs</v>
      </c>
      <c r="J684" s="1" t="str">
        <f aca="false">IFERROR(INDEX(MAP!$F$7:$F$74,MATCH(TRIM(I684),MAP!$E$7:$E$74,0)),"UNMAPPED")</f>
        <v>Community-based clinical services</v>
      </c>
      <c r="K684" s="1" t="str">
        <f aca="false">IFERROR(INDEX(MAP!$G$7:$G$74,MATCH(TRIM(I684),MAP!$E$7:$E$74,0)),"UNMAPPED")</f>
        <v>7e</v>
      </c>
      <c r="L684" s="49" t="str">
        <f aca="false">STACK!G684</f>
        <v>01/31/2026</v>
      </c>
      <c r="M684" s="59" t="n">
        <f aca="false">IF(G684&gt;0,IF(INDEX(CONFIRM!$G$5:$G$53,G684)&lt;&gt;"",INDEX(CONFIRM!$G$5:$G$53,G684),IF(ISNUMBER(L684),L684,IFERROR(DATEVALUE(L684),""))),IF(ISNUMBER(L684),L684,IFERROR(DATEVALUE(L684),"")))</f>
        <v>46053</v>
      </c>
      <c r="N684" s="1" t="str">
        <f aca="false">IF(M684="","Check",IF(AND(M684&gt;=INPUTS!$C$6,M684&lt;=INPUTS!$C$7),"Yes","No"))</f>
        <v>Yes</v>
      </c>
      <c r="O684" s="48" t="str">
        <f aca="false">STACK!H684</f>
        <v>Clinical RN </v>
      </c>
      <c r="P684" s="1" t="str">
        <f aca="false">IF(G684&gt;0,IF(INDEX(CONFIRM!$H$5:$H$53,G684)&lt;&gt;"",INDEX(CONFIRM!$H$5:$H$53,G684),IFERROR(INDEX(MAP!$B$7:$B$156,MATCH(TRIM(O684),MAP!$A$7:$A$156,0)),"UNMAPPED")),IFERROR(INDEX(MAP!$B$7:$B$156,MATCH(TRIM(O684),MAP!$A$7:$A$156,0)),"UNMAPPED"))</f>
        <v>Registered Nurse</v>
      </c>
      <c r="Q684" s="48" t="n">
        <f aca="false">STACK!I684</f>
        <v>74</v>
      </c>
      <c r="R684" s="60" t="n">
        <f aca="false">IF(G684&gt;0,IF(INDEX(CONFIRM!$F$5:$F$53,G684)&lt;&gt;"",INDEX(CONFIRM!$F$5:$F$53,G684),IF(ISNUMBER(Q684),Q684,IF(Q684="","",IFERROR(VALUE(TRIM(SUBSTITUTE(SUBSTITUTE(LOWER(Q684),"hrs",""),"hr",""))),"")))),IF(ISNUMBER(Q684),Q684,IF(Q684="","",IFERROR(VALUE(TRIM(SUBSTITUTE(SUBSTITUTE(LOWER(Q684),"hrs",""),"hr",""))),""))))</f>
        <v>74</v>
      </c>
      <c r="S684" s="57" t="n">
        <f aca="false">IFERROR(INDEX(RATES!$E$6:$E$28,MATCH(P684,RATES!$A$6:$A$28,0)),0)</f>
        <v>55.8975</v>
      </c>
      <c r="T684" s="61" t="n">
        <f aca="false">IF(ISNUMBER(R684),R684,0)*S684</f>
        <v>4136.415</v>
      </c>
      <c r="U684" s="61" t="n">
        <f aca="false">T684*INDEX(INPUTS!$H$10:$H$14,MATCH(B684,INPUTS!$A$10:$A$14,0))</f>
        <v>670.09923</v>
      </c>
      <c r="V684" s="61" t="n">
        <f aca="false">N(STACK!K684)</f>
        <v>4970</v>
      </c>
      <c r="W684" s="61" t="n">
        <f aca="false">T684+U684+V684</f>
        <v>9776.51423</v>
      </c>
      <c r="X684" s="61" t="n">
        <f aca="false">N(STACK!L684)</f>
        <v>0</v>
      </c>
      <c r="Y684" s="61" t="n">
        <f aca="false">W684-X684</f>
        <v>9776.51423</v>
      </c>
      <c r="Z684" s="1" t="n">
        <f aca="false">N(STACK!J684)</f>
        <v>126</v>
      </c>
      <c r="AA684" s="1" t="str">
        <f aca="false">TRIM(IF(D684="UNMAPPED","Program not mapped. ","")&amp;IF(OR(K684="UNMAPPED",K684="UNASSIGNED"),"Category needs review. ","")&amp;IF(P684="UNMAPPED","Title not mapped. ","")&amp;IF(AND(P684&lt;&gt;"No staff time",R684=""),"Missing hours. ","")&amp;IF(M684="","Date not readable. ","")&amp;IF(N684="No","Outside fiscal year. ","")&amp;IF(AND(F684="Event",ISNUMBER(R684)),IF(R684&gt;12,"Event hours look high. ",""),"")&amp;IF(G684&gt;0,"See CONFIRM sheet.",""))</f>
        <v/>
      </c>
      <c r="AB684" s="1" t="n">
        <f aca="false">IF(N684="No",0,IF(REVIEW!O684=0,0,IF(G684&gt;0,IF(INDEX(CONFIRM!$J$5:$J$53,G684)&lt;&gt;"",INDEX(CONFIRM!$J$5:$J$53,G684),1),1)))</f>
        <v>1</v>
      </c>
      <c r="AC684" s="1" t="n">
        <f aca="false">IF(AB684=1,IF(COUNTIFS($B$5:B684,B684,$D$5:D684,D684,$AB$5:AB684,1)=1,1,0),0)</f>
        <v>0</v>
      </c>
    </row>
    <row r="685" customFormat="false" ht="15" hidden="false" customHeight="false" outlineLevel="0" collapsed="false">
      <c r="A685" s="48" t="str">
        <f aca="false">STACK!A685</f>
        <v>ASH-0152</v>
      </c>
      <c r="B685" s="48" t="str">
        <f aca="false">STACK!B685</f>
        <v>ASH</v>
      </c>
      <c r="C685" s="48" t="str">
        <f aca="false">STACK!E685</f>
        <v>CHW Outreach</v>
      </c>
      <c r="D685" s="1" t="str">
        <f aca="false">IFERROR(INDEX(MAP!$J$7:$J$101,MATCH(TRIM(C685),MAP!$I$7:$I$101,0)),"UNMAPPED")</f>
        <v>Community Health Worker Outreach</v>
      </c>
      <c r="E685" s="1" t="str">
        <f aca="false">IFERROR(INDEX(MAP!$K$7:$K$101,MATCH(TRIM(C685),MAP!$I$7:$I$101,0)),"")</f>
        <v>Access to care</v>
      </c>
      <c r="F685" s="1" t="str">
        <f aca="false">IFERROR(INDEX(MAP!$L$7:$L$101,MATCH(TRIM(C685),MAP!$I$7:$I$101,0)),"")</f>
        <v>Monthly</v>
      </c>
      <c r="G685" s="1" t="n">
        <f aca="false">IFERROR(MATCH(A685,CONFIRM!$A$5:$A$53,0),0)</f>
        <v>0</v>
      </c>
      <c r="H685" s="48" t="str">
        <f aca="false">STACK!F685</f>
        <v>Support Svcs</v>
      </c>
      <c r="I685" s="1" t="str">
        <f aca="false">IF(G685&gt;0,IF(INDEX(CONFIRM!$I$5:$I$53,G685)&lt;&gt;"",INDEX(CONFIRM!$I$5:$I$53,G685),H685),H685)</f>
        <v>Support Svcs</v>
      </c>
      <c r="J685" s="1" t="str">
        <f aca="false">IFERROR(INDEX(MAP!$F$7:$F$74,MATCH(TRIM(I685),MAP!$E$7:$E$74,0)),"UNMAPPED")</f>
        <v>Health care support services</v>
      </c>
      <c r="K685" s="1" t="str">
        <f aca="false">IFERROR(INDEX(MAP!$G$7:$G$74,MATCH(TRIM(I685),MAP!$E$7:$E$74,0)),"UNMAPPED")</f>
        <v>7e</v>
      </c>
      <c r="L685" s="49" t="str">
        <f aca="false">STACK!G685</f>
        <v>01/31/2026</v>
      </c>
      <c r="M685" s="59" t="n">
        <f aca="false">IF(G685&gt;0,IF(INDEX(CONFIRM!$G$5:$G$53,G685)&lt;&gt;"",INDEX(CONFIRM!$G$5:$G$53,G685),IF(ISNUMBER(L685),L685,IFERROR(DATEVALUE(L685),""))),IF(ISNUMBER(L685),L685,IFERROR(DATEVALUE(L685),"")))</f>
        <v>46053</v>
      </c>
      <c r="N685" s="1" t="str">
        <f aca="false">IF(M685="","Check",IF(AND(M685&gt;=INPUTS!$C$6,M685&lt;=INPUTS!$C$7),"Yes","No"))</f>
        <v>Yes</v>
      </c>
      <c r="O685" s="48" t="str">
        <f aca="false">STACK!H685</f>
        <v>C.H.W.</v>
      </c>
      <c r="P685" s="1" t="str">
        <f aca="false">IF(G685&gt;0,IF(INDEX(CONFIRM!$H$5:$H$53,G685)&lt;&gt;"",INDEX(CONFIRM!$H$5:$H$53,G685),IFERROR(INDEX(MAP!$B$7:$B$156,MATCH(TRIM(O685),MAP!$A$7:$A$156,0)),"UNMAPPED")),IFERROR(INDEX(MAP!$B$7:$B$156,MATCH(TRIM(O685),MAP!$A$7:$A$156,0)),"UNMAPPED"))</f>
        <v>Community Health Worker</v>
      </c>
      <c r="Q685" s="48" t="n">
        <f aca="false">STACK!I685</f>
        <v>322</v>
      </c>
      <c r="R685" s="60" t="n">
        <f aca="false">IF(G685&gt;0,IF(INDEX(CONFIRM!$F$5:$F$53,G685)&lt;&gt;"",INDEX(CONFIRM!$F$5:$F$53,G685),IF(ISNUMBER(Q685),Q685,IF(Q685="","",IFERROR(VALUE(TRIM(SUBSTITUTE(SUBSTITUTE(LOWER(Q685),"hrs",""),"hr",""))),"")))),IF(ISNUMBER(Q685),Q685,IF(Q685="","",IFERROR(VALUE(TRIM(SUBSTITUTE(SUBSTITUTE(LOWER(Q685),"hrs",""),"hr",""))),""))))</f>
        <v>322</v>
      </c>
      <c r="S685" s="57" t="n">
        <f aca="false">IFERROR(INDEX(RATES!$E$6:$E$28,MATCH(P685,RATES!$A$6:$A$28,0)),0)</f>
        <v>27.6275</v>
      </c>
      <c r="T685" s="61" t="n">
        <f aca="false">IF(ISNUMBER(R685),R685,0)*S685</f>
        <v>8896.055</v>
      </c>
      <c r="U685" s="61" t="n">
        <f aca="false">T685*INDEX(INPUTS!$H$10:$H$14,MATCH(B685,INPUTS!$A$10:$A$14,0))</f>
        <v>1441.16091</v>
      </c>
      <c r="V685" s="61" t="n">
        <f aca="false">N(STACK!K685)</f>
        <v>1710</v>
      </c>
      <c r="W685" s="61" t="n">
        <f aca="false">T685+U685+V685</f>
        <v>12047.21591</v>
      </c>
      <c r="X685" s="61" t="n">
        <f aca="false">N(STACK!L685)</f>
        <v>0</v>
      </c>
      <c r="Y685" s="61" t="n">
        <f aca="false">W685-X685</f>
        <v>12047.21591</v>
      </c>
      <c r="Z685" s="1" t="n">
        <f aca="false">N(STACK!J685)</f>
        <v>377</v>
      </c>
      <c r="AA685" s="1" t="str">
        <f aca="false">TRIM(IF(D685="UNMAPPED","Program not mapped. ","")&amp;IF(OR(K685="UNMAPPED",K685="UNASSIGNED"),"Category needs review. ","")&amp;IF(P685="UNMAPPED","Title not mapped. ","")&amp;IF(AND(P685&lt;&gt;"No staff time",R685=""),"Missing hours. ","")&amp;IF(M685="","Date not readable. ","")&amp;IF(N685="No","Outside fiscal year. ","")&amp;IF(AND(F685="Event",ISNUMBER(R685)),IF(R685&gt;12,"Event hours look high. ",""),"")&amp;IF(G685&gt;0,"See CONFIRM sheet.",""))</f>
        <v/>
      </c>
      <c r="AB685" s="1" t="n">
        <f aca="false">IF(N685="No",0,IF(REVIEW!O685=0,0,IF(G685&gt;0,IF(INDEX(CONFIRM!$J$5:$J$53,G685)&lt;&gt;"",INDEX(CONFIRM!$J$5:$J$53,G685),1),1)))</f>
        <v>1</v>
      </c>
      <c r="AC685" s="1" t="n">
        <f aca="false">IF(AB685=1,IF(COUNTIFS($B$5:B685,B685,$D$5:D685,D685,$AB$5:AB685,1)=1,1,0),0)</f>
        <v>0</v>
      </c>
    </row>
    <row r="686" customFormat="false" ht="15" hidden="false" customHeight="false" outlineLevel="0" collapsed="false">
      <c r="A686" s="48" t="str">
        <f aca="false">STACK!A686</f>
        <v>ASH-0153</v>
      </c>
      <c r="B686" s="48" t="str">
        <f aca="false">STACK!B686</f>
        <v>ASH</v>
      </c>
      <c r="C686" s="48" t="str">
        <f aca="false">STACK!E686</f>
        <v>CHW Outreach</v>
      </c>
      <c r="D686" s="1" t="str">
        <f aca="false">IFERROR(INDEX(MAP!$J$7:$J$101,MATCH(TRIM(C686),MAP!$I$7:$I$101,0)),"UNMAPPED")</f>
        <v>Community Health Worker Outreach</v>
      </c>
      <c r="E686" s="1" t="str">
        <f aca="false">IFERROR(INDEX(MAP!$K$7:$K$101,MATCH(TRIM(C686),MAP!$I$7:$I$101,0)),"")</f>
        <v>Access to care</v>
      </c>
      <c r="F686" s="1" t="str">
        <f aca="false">IFERROR(INDEX(MAP!$L$7:$L$101,MATCH(TRIM(C686),MAP!$I$7:$I$101,0)),"")</f>
        <v>Monthly</v>
      </c>
      <c r="G686" s="1" t="n">
        <f aca="false">IFERROR(MATCH(A686,CONFIRM!$A$5:$A$53,0),0)</f>
        <v>0</v>
      </c>
      <c r="H686" s="48" t="str">
        <f aca="false">STACK!F686</f>
        <v>Support Svcs</v>
      </c>
      <c r="I686" s="1" t="str">
        <f aca="false">IF(G686&gt;0,IF(INDEX(CONFIRM!$I$5:$I$53,G686)&lt;&gt;"",INDEX(CONFIRM!$I$5:$I$53,G686),H686),H686)</f>
        <v>Support Svcs</v>
      </c>
      <c r="J686" s="1" t="str">
        <f aca="false">IFERROR(INDEX(MAP!$F$7:$F$74,MATCH(TRIM(I686),MAP!$E$7:$E$74,0)),"UNMAPPED")</f>
        <v>Health care support services</v>
      </c>
      <c r="K686" s="1" t="str">
        <f aca="false">IFERROR(INDEX(MAP!$G$7:$G$74,MATCH(TRIM(I686),MAP!$E$7:$E$74,0)),"UNMAPPED")</f>
        <v>7e</v>
      </c>
      <c r="L686" s="49" t="str">
        <f aca="false">STACK!G686</f>
        <v>01/31/2026</v>
      </c>
      <c r="M686" s="59" t="n">
        <f aca="false">IF(G686&gt;0,IF(INDEX(CONFIRM!$G$5:$G$53,G686)&lt;&gt;"",INDEX(CONFIRM!$G$5:$G$53,G686),IF(ISNUMBER(L686),L686,IFERROR(DATEVALUE(L686),""))),IF(ISNUMBER(L686),L686,IFERROR(DATEVALUE(L686),"")))</f>
        <v>46053</v>
      </c>
      <c r="N686" s="1" t="str">
        <f aca="false">IF(M686="","Check",IF(AND(M686&gt;=INPUTS!$C$6,M686&lt;=INPUTS!$C$7),"Yes","No"))</f>
        <v>Yes</v>
      </c>
      <c r="O686" s="48" t="str">
        <f aca="false">STACK!H686</f>
        <v>Navigator</v>
      </c>
      <c r="P686" s="1" t="str">
        <f aca="false">IF(G686&gt;0,IF(INDEX(CONFIRM!$H$5:$H$53,G686)&lt;&gt;"",INDEX(CONFIRM!$H$5:$H$53,G686),IFERROR(INDEX(MAP!$B$7:$B$156,MATCH(TRIM(O686),MAP!$A$7:$A$156,0)),"UNMAPPED")),IFERROR(INDEX(MAP!$B$7:$B$156,MATCH(TRIM(O686),MAP!$A$7:$A$156,0)),"UNMAPPED"))</f>
        <v>Patient Navigator</v>
      </c>
      <c r="Q686" s="48" t="n">
        <f aca="false">STACK!I686</f>
        <v>146.25</v>
      </c>
      <c r="R686" s="60" t="n">
        <f aca="false">IF(G686&gt;0,IF(INDEX(CONFIRM!$F$5:$F$53,G686)&lt;&gt;"",INDEX(CONFIRM!$F$5:$F$53,G686),IF(ISNUMBER(Q686),Q686,IF(Q686="","",IFERROR(VALUE(TRIM(SUBSTITUTE(SUBSTITUTE(LOWER(Q686),"hrs",""),"hr",""))),"")))),IF(ISNUMBER(Q686),Q686,IF(Q686="","",IFERROR(VALUE(TRIM(SUBSTITUTE(SUBSTITUTE(LOWER(Q686),"hrs",""),"hr",""))),""))))</f>
        <v>146.25</v>
      </c>
      <c r="S686" s="57" t="n">
        <f aca="false">IFERROR(INDEX(RATES!$E$6:$E$28,MATCH(P686,RATES!$A$6:$A$28,0)),0)</f>
        <v>30.84</v>
      </c>
      <c r="T686" s="61" t="n">
        <f aca="false">IF(ISNUMBER(R686),R686,0)*S686</f>
        <v>4510.35</v>
      </c>
      <c r="U686" s="61" t="n">
        <f aca="false">T686*INDEX(INPUTS!$H$10:$H$14,MATCH(B686,INPUTS!$A$10:$A$14,0))</f>
        <v>730.6767</v>
      </c>
      <c r="V686" s="61" t="n">
        <f aca="false">N(STACK!K686)</f>
        <v>0</v>
      </c>
      <c r="W686" s="61" t="n">
        <f aca="false">T686+U686+V686</f>
        <v>5241.0267</v>
      </c>
      <c r="X686" s="61" t="n">
        <f aca="false">N(STACK!L686)</f>
        <v>0</v>
      </c>
      <c r="Y686" s="61" t="n">
        <f aca="false">W686-X686</f>
        <v>5241.0267</v>
      </c>
      <c r="Z686" s="1" t="n">
        <f aca="false">N(STACK!J686)</f>
        <v>0</v>
      </c>
      <c r="AA686" s="1" t="str">
        <f aca="false">TRIM(IF(D686="UNMAPPED","Program not mapped. ","")&amp;IF(OR(K686="UNMAPPED",K686="UNASSIGNED"),"Category needs review. ","")&amp;IF(P686="UNMAPPED","Title not mapped. ","")&amp;IF(AND(P686&lt;&gt;"No staff time",R686=""),"Missing hours. ","")&amp;IF(M686="","Date not readable. ","")&amp;IF(N686="No","Outside fiscal year. ","")&amp;IF(AND(F686="Event",ISNUMBER(R686)),IF(R686&gt;12,"Event hours look high. ",""),"")&amp;IF(G686&gt;0,"See CONFIRM sheet.",""))</f>
        <v/>
      </c>
      <c r="AB686" s="1" t="n">
        <f aca="false">IF(N686="No",0,IF(REVIEW!O686=0,0,IF(G686&gt;0,IF(INDEX(CONFIRM!$J$5:$J$53,G686)&lt;&gt;"",INDEX(CONFIRM!$J$5:$J$53,G686),1),1)))</f>
        <v>1</v>
      </c>
      <c r="AC686" s="1" t="n">
        <f aca="false">IF(AB686=1,IF(COUNTIFS($B$5:B686,B686,$D$5:D686,D686,$AB$5:AB686,1)=1,1,0),0)</f>
        <v>0</v>
      </c>
    </row>
    <row r="687" customFormat="false" ht="15" hidden="false" customHeight="false" outlineLevel="0" collapsed="false">
      <c r="A687" s="48" t="str">
        <f aca="false">STACK!A687</f>
        <v>ASH-0154</v>
      </c>
      <c r="B687" s="48" t="str">
        <f aca="false">STACK!B687</f>
        <v>ASH</v>
      </c>
      <c r="C687" s="48" t="str">
        <f aca="false">STACK!E687</f>
        <v>Produce Rx</v>
      </c>
      <c r="D687" s="1" t="str">
        <f aca="false">IFERROR(INDEX(MAP!$J$7:$J$101,MATCH(TRIM(C687),MAP!$I$7:$I$101,0)),"UNMAPPED")</f>
        <v>Produce Prescription Program</v>
      </c>
      <c r="E687" s="1" t="str">
        <f aca="false">IFERROR(INDEX(MAP!$K$7:$K$101,MATCH(TRIM(C687),MAP!$I$7:$I$101,0)),"")</f>
        <v>Food and housing security</v>
      </c>
      <c r="F687" s="1" t="str">
        <f aca="false">IFERROR(INDEX(MAP!$L$7:$L$101,MATCH(TRIM(C687),MAP!$I$7:$I$101,0)),"")</f>
        <v>Monthly</v>
      </c>
      <c r="G687" s="1" t="n">
        <f aca="false">IFERROR(MATCH(A687,CONFIRM!$A$5:$A$53,0),0)</f>
        <v>0</v>
      </c>
      <c r="H687" s="48" t="str">
        <f aca="false">STACK!F687</f>
        <v>Support Svcs</v>
      </c>
      <c r="I687" s="1" t="str">
        <f aca="false">IF(G687&gt;0,IF(INDEX(CONFIRM!$I$5:$I$53,G687)&lt;&gt;"",INDEX(CONFIRM!$I$5:$I$53,G687),H687),H687)</f>
        <v>Support Svcs</v>
      </c>
      <c r="J687" s="1" t="str">
        <f aca="false">IFERROR(INDEX(MAP!$F$7:$F$74,MATCH(TRIM(I687),MAP!$E$7:$E$74,0)),"UNMAPPED")</f>
        <v>Health care support services</v>
      </c>
      <c r="K687" s="1" t="str">
        <f aca="false">IFERROR(INDEX(MAP!$G$7:$G$74,MATCH(TRIM(I687),MAP!$E$7:$E$74,0)),"UNMAPPED")</f>
        <v>7e</v>
      </c>
      <c r="L687" s="49" t="str">
        <f aca="false">STACK!G687</f>
        <v>01/31/2026</v>
      </c>
      <c r="M687" s="59" t="n">
        <f aca="false">IF(G687&gt;0,IF(INDEX(CONFIRM!$G$5:$G$53,G687)&lt;&gt;"",INDEX(CONFIRM!$G$5:$G$53,G687),IF(ISNUMBER(L687),L687,IFERROR(DATEVALUE(L687),""))),IF(ISNUMBER(L687),L687,IFERROR(DATEVALUE(L687),"")))</f>
        <v>46053</v>
      </c>
      <c r="N687" s="1" t="str">
        <f aca="false">IF(M687="","Check",IF(AND(M687&gt;=INPUTS!$C$6,M687&lt;=INPUTS!$C$7),"Yes","No"))</f>
        <v>Yes</v>
      </c>
      <c r="O687" s="48" t="str">
        <f aca="false">STACK!H687</f>
        <v>CHW</v>
      </c>
      <c r="P687" s="1" t="str">
        <f aca="false">IF(G687&gt;0,IF(INDEX(CONFIRM!$H$5:$H$53,G687)&lt;&gt;"",INDEX(CONFIRM!$H$5:$H$53,G687),IFERROR(INDEX(MAP!$B$7:$B$156,MATCH(TRIM(O687),MAP!$A$7:$A$156,0)),"UNMAPPED")),IFERROR(INDEX(MAP!$B$7:$B$156,MATCH(TRIM(O687),MAP!$A$7:$A$156,0)),"UNMAPPED"))</f>
        <v>Community Health Worker</v>
      </c>
      <c r="Q687" s="48" t="n">
        <f aca="false">STACK!I687</f>
        <v>43.75</v>
      </c>
      <c r="R687" s="60" t="n">
        <f aca="false">IF(G687&gt;0,IF(INDEX(CONFIRM!$F$5:$F$53,G687)&lt;&gt;"",INDEX(CONFIRM!$F$5:$F$53,G687),IF(ISNUMBER(Q687),Q687,IF(Q687="","",IFERROR(VALUE(TRIM(SUBSTITUTE(SUBSTITUTE(LOWER(Q687),"hrs",""),"hr",""))),"")))),IF(ISNUMBER(Q687),Q687,IF(Q687="","",IFERROR(VALUE(TRIM(SUBSTITUTE(SUBSTITUTE(LOWER(Q687),"hrs",""),"hr",""))),""))))</f>
        <v>43.75</v>
      </c>
      <c r="S687" s="57" t="n">
        <f aca="false">IFERROR(INDEX(RATES!$E$6:$E$28,MATCH(P687,RATES!$A$6:$A$28,0)),0)</f>
        <v>27.6275</v>
      </c>
      <c r="T687" s="61" t="n">
        <f aca="false">IF(ISNUMBER(R687),R687,0)*S687</f>
        <v>1208.703125</v>
      </c>
      <c r="U687" s="61" t="n">
        <f aca="false">T687*INDEX(INPUTS!$H$10:$H$14,MATCH(B687,INPUTS!$A$10:$A$14,0))</f>
        <v>195.80990625</v>
      </c>
      <c r="V687" s="61" t="n">
        <f aca="false">N(STACK!K687)</f>
        <v>0</v>
      </c>
      <c r="W687" s="61" t="n">
        <f aca="false">T687+U687+V687</f>
        <v>1404.51303125</v>
      </c>
      <c r="X687" s="61" t="n">
        <f aca="false">N(STACK!L687)</f>
        <v>0</v>
      </c>
      <c r="Y687" s="61" t="n">
        <f aca="false">W687-X687</f>
        <v>1404.51303125</v>
      </c>
      <c r="Z687" s="1" t="n">
        <f aca="false">N(STACK!J687)</f>
        <v>0</v>
      </c>
      <c r="AA687" s="1" t="str">
        <f aca="false">TRIM(IF(D687="UNMAPPED","Program not mapped. ","")&amp;IF(OR(K687="UNMAPPED",K687="UNASSIGNED"),"Category needs review. ","")&amp;IF(P687="UNMAPPED","Title not mapped. ","")&amp;IF(AND(P687&lt;&gt;"No staff time",R687=""),"Missing hours. ","")&amp;IF(M687="","Date not readable. ","")&amp;IF(N687="No","Outside fiscal year. ","")&amp;IF(AND(F687="Event",ISNUMBER(R687)),IF(R687&gt;12,"Event hours look high. ",""),"")&amp;IF(G687&gt;0,"See CONFIRM sheet.",""))</f>
        <v/>
      </c>
      <c r="AB687" s="1" t="n">
        <f aca="false">IF(N687="No",0,IF(REVIEW!O687=0,0,IF(G687&gt;0,IF(INDEX(CONFIRM!$J$5:$J$53,G687)&lt;&gt;"",INDEX(CONFIRM!$J$5:$J$53,G687),1),1)))</f>
        <v>1</v>
      </c>
      <c r="AC687" s="1" t="n">
        <f aca="false">IF(AB687=1,IF(COUNTIFS($B$5:B687,B687,$D$5:D687,D687,$AB$5:AB687,1)=1,1,0),0)</f>
        <v>0</v>
      </c>
    </row>
    <row r="688" customFormat="false" ht="15" hidden="false" customHeight="false" outlineLevel="0" collapsed="false">
      <c r="A688" s="48" t="str">
        <f aca="false">STACK!A688</f>
        <v>ASH-0155</v>
      </c>
      <c r="B688" s="48" t="str">
        <f aca="false">STACK!B688</f>
        <v>ASH</v>
      </c>
      <c r="C688" s="48" t="str">
        <f aca="false">STACK!E688</f>
        <v>Produce Rx</v>
      </c>
      <c r="D688" s="1" t="str">
        <f aca="false">IFERROR(INDEX(MAP!$J$7:$J$101,MATCH(TRIM(C688),MAP!$I$7:$I$101,0)),"UNMAPPED")</f>
        <v>Produce Prescription Program</v>
      </c>
      <c r="E688" s="1" t="str">
        <f aca="false">IFERROR(INDEX(MAP!$K$7:$K$101,MATCH(TRIM(C688),MAP!$I$7:$I$101,0)),"")</f>
        <v>Food and housing security</v>
      </c>
      <c r="F688" s="1" t="str">
        <f aca="false">IFERROR(INDEX(MAP!$L$7:$L$101,MATCH(TRIM(C688),MAP!$I$7:$I$101,0)),"")</f>
        <v>Monthly</v>
      </c>
      <c r="G688" s="1" t="n">
        <f aca="false">IFERROR(MATCH(A688,CONFIRM!$A$5:$A$53,0),0)</f>
        <v>0</v>
      </c>
      <c r="H688" s="48" t="str">
        <f aca="false">STACK!F688</f>
        <v>Support Svcs</v>
      </c>
      <c r="I688" s="1" t="str">
        <f aca="false">IF(G688&gt;0,IF(INDEX(CONFIRM!$I$5:$I$53,G688)&lt;&gt;"",INDEX(CONFIRM!$I$5:$I$53,G688),H688),H688)</f>
        <v>Support Svcs</v>
      </c>
      <c r="J688" s="1" t="str">
        <f aca="false">IFERROR(INDEX(MAP!$F$7:$F$74,MATCH(TRIM(I688),MAP!$E$7:$E$74,0)),"UNMAPPED")</f>
        <v>Health care support services</v>
      </c>
      <c r="K688" s="1" t="str">
        <f aca="false">IFERROR(INDEX(MAP!$G$7:$G$74,MATCH(TRIM(I688),MAP!$E$7:$E$74,0)),"UNMAPPED")</f>
        <v>7e</v>
      </c>
      <c r="L688" s="49" t="str">
        <f aca="false">STACK!G688</f>
        <v>01/31/2026</v>
      </c>
      <c r="M688" s="59" t="n">
        <f aca="false">IF(G688&gt;0,IF(INDEX(CONFIRM!$G$5:$G$53,G688)&lt;&gt;"",INDEX(CONFIRM!$G$5:$G$53,G688),IF(ISNUMBER(L688),L688,IFERROR(DATEVALUE(L688),""))),IF(ISNUMBER(L688),L688,IFERROR(DATEVALUE(L688),"")))</f>
        <v>46053</v>
      </c>
      <c r="N688" s="1" t="str">
        <f aca="false">IF(M688="","Check",IF(AND(M688&gt;=INPUTS!$C$6,M688&lt;=INPUTS!$C$7),"Yes","No"))</f>
        <v>Yes</v>
      </c>
      <c r="O688" s="48" t="str">
        <f aca="false">STACK!H688</f>
        <v>RDN</v>
      </c>
      <c r="P688" s="1" t="str">
        <f aca="false">IF(G688&gt;0,IF(INDEX(CONFIRM!$H$5:$H$53,G688)&lt;&gt;"",INDEX(CONFIRM!$H$5:$H$53,G688),IFERROR(INDEX(MAP!$B$7:$B$156,MATCH(TRIM(O688),MAP!$A$7:$A$156,0)),"UNMAPPED")),IFERROR(INDEX(MAP!$B$7:$B$156,MATCH(TRIM(O688),MAP!$A$7:$A$156,0)),"UNMAPPED"))</f>
        <v>Registered Dietitian</v>
      </c>
      <c r="Q688" s="48" t="n">
        <f aca="false">STACK!I688</f>
        <v>27.25</v>
      </c>
      <c r="R688" s="60" t="n">
        <f aca="false">IF(G688&gt;0,IF(INDEX(CONFIRM!$F$5:$F$53,G688)&lt;&gt;"",INDEX(CONFIRM!$F$5:$F$53,G688),IF(ISNUMBER(Q688),Q688,IF(Q688="","",IFERROR(VALUE(TRIM(SUBSTITUTE(SUBSTITUTE(LOWER(Q688),"hrs",""),"hr",""))),"")))),IF(ISNUMBER(Q688),Q688,IF(Q688="","",IFERROR(VALUE(TRIM(SUBSTITUTE(SUBSTITUTE(LOWER(Q688),"hrs",""),"hr",""))),""))))</f>
        <v>27.25</v>
      </c>
      <c r="S688" s="57" t="n">
        <f aca="false">IFERROR(INDEX(RATES!$E$6:$E$28,MATCH(P688,RATES!$A$6:$A$28,0)),0)</f>
        <v>46.9025</v>
      </c>
      <c r="T688" s="61" t="n">
        <f aca="false">IF(ISNUMBER(R688),R688,0)*S688</f>
        <v>1278.093125</v>
      </c>
      <c r="U688" s="61" t="n">
        <f aca="false">T688*INDEX(INPUTS!$H$10:$H$14,MATCH(B688,INPUTS!$A$10:$A$14,0))</f>
        <v>207.05108625</v>
      </c>
      <c r="V688" s="61" t="n">
        <f aca="false">N(STACK!K688)</f>
        <v>14465</v>
      </c>
      <c r="W688" s="61" t="n">
        <f aca="false">T688+U688+V688</f>
        <v>15950.14421125</v>
      </c>
      <c r="X688" s="61" t="n">
        <f aca="false">N(STACK!L688)</f>
        <v>3525</v>
      </c>
      <c r="Y688" s="61" t="n">
        <f aca="false">W688-X688</f>
        <v>12425.14421125</v>
      </c>
      <c r="Z688" s="1" t="n">
        <f aca="false">N(STACK!J688)</f>
        <v>117</v>
      </c>
      <c r="AA688" s="1" t="str">
        <f aca="false">TRIM(IF(D688="UNMAPPED","Program not mapped. ","")&amp;IF(OR(K688="UNMAPPED",K688="UNASSIGNED"),"Category needs review. ","")&amp;IF(P688="UNMAPPED","Title not mapped. ","")&amp;IF(AND(P688&lt;&gt;"No staff time",R688=""),"Missing hours. ","")&amp;IF(M688="","Date not readable. ","")&amp;IF(N688="No","Outside fiscal year. ","")&amp;IF(AND(F688="Event",ISNUMBER(R688)),IF(R688&gt;12,"Event hours look high. ",""),"")&amp;IF(G688&gt;0,"See CONFIRM sheet.",""))</f>
        <v/>
      </c>
      <c r="AB688" s="1" t="n">
        <f aca="false">IF(N688="No",0,IF(REVIEW!O688=0,0,IF(G688&gt;0,IF(INDEX(CONFIRM!$J$5:$J$53,G688)&lt;&gt;"",INDEX(CONFIRM!$J$5:$J$53,G688),1),1)))</f>
        <v>1</v>
      </c>
      <c r="AC688" s="1" t="n">
        <f aca="false">IF(AB688=1,IF(COUNTIFS($B$5:B688,B688,$D$5:D688,D688,$AB$5:AB688,1)=1,1,0),0)</f>
        <v>0</v>
      </c>
    </row>
    <row r="689" customFormat="false" ht="15" hidden="false" customHeight="false" outlineLevel="0" collapsed="false">
      <c r="A689" s="48" t="str">
        <f aca="false">STACK!A689</f>
        <v>ASH-0156</v>
      </c>
      <c r="B689" s="48" t="str">
        <f aca="false">STACK!B689</f>
        <v>ASH</v>
      </c>
      <c r="C689" s="48" t="str">
        <f aca="false">STACK!E689</f>
        <v>CB Program Admin</v>
      </c>
      <c r="D689" s="1" t="str">
        <f aca="false">IFERROR(INDEX(MAP!$J$7:$J$101,MATCH(TRIM(C689),MAP!$I$7:$I$101,0)),"UNMAPPED")</f>
        <v>Community Benefit Program Administration</v>
      </c>
      <c r="E689" s="1" t="str">
        <f aca="false">IFERROR(INDEX(MAP!$K$7:$K$101,MATCH(TRIM(C689),MAP!$I$7:$I$101,0)),"")</f>
        <v>Community benefit infrastructure</v>
      </c>
      <c r="F689" s="1" t="str">
        <f aca="false">IFERROR(INDEX(MAP!$L$7:$L$101,MATCH(TRIM(C689),MAP!$I$7:$I$101,0)),"")</f>
        <v>Monthly</v>
      </c>
      <c r="G689" s="1" t="n">
        <f aca="false">IFERROR(MATCH(A689,CONFIRM!$A$5:$A$53,0),0)</f>
        <v>0</v>
      </c>
      <c r="H689" s="48" t="str">
        <f aca="false">STACK!F689</f>
        <v>CB Admin</v>
      </c>
      <c r="I689" s="1" t="str">
        <f aca="false">IF(G689&gt;0,IF(INDEX(CONFIRM!$I$5:$I$53,G689)&lt;&gt;"",INDEX(CONFIRM!$I$5:$I$53,G689),H689),H689)</f>
        <v>CB Admin</v>
      </c>
      <c r="J689" s="1" t="str">
        <f aca="false">IFERROR(INDEX(MAP!$F$7:$F$74,MATCH(TRIM(I689),MAP!$E$7:$E$74,0)),"UNMAPPED")</f>
        <v>Community benefit operations</v>
      </c>
      <c r="K689" s="1" t="str">
        <f aca="false">IFERROR(INDEX(MAP!$G$7:$G$74,MATCH(TRIM(I689),MAP!$E$7:$E$74,0)),"UNMAPPED")</f>
        <v>7e</v>
      </c>
      <c r="L689" s="49" t="str">
        <f aca="false">STACK!G689</f>
        <v>01/31/2026</v>
      </c>
      <c r="M689" s="59" t="n">
        <f aca="false">IF(G689&gt;0,IF(INDEX(CONFIRM!$G$5:$G$53,G689)&lt;&gt;"",INDEX(CONFIRM!$G$5:$G$53,G689),IF(ISNUMBER(L689),L689,IFERROR(DATEVALUE(L689),""))),IF(ISNUMBER(L689),L689,IFERROR(DATEVALUE(L689),"")))</f>
        <v>46053</v>
      </c>
      <c r="N689" s="1" t="str">
        <f aca="false">IF(M689="","Check",IF(AND(M689&gt;=INPUTS!$C$6,M689&lt;=INPUTS!$C$7),"Yes","No"))</f>
        <v>Yes</v>
      </c>
      <c r="O689" s="48" t="str">
        <f aca="false">STACK!H689</f>
        <v>ADMIN ASST</v>
      </c>
      <c r="P689" s="1" t="str">
        <f aca="false">IF(G689&gt;0,IF(INDEX(CONFIRM!$H$5:$H$53,G689)&lt;&gt;"",INDEX(CONFIRM!$H$5:$H$53,G689),IFERROR(INDEX(MAP!$B$7:$B$156,MATCH(TRIM(O689),MAP!$A$7:$A$156,0)),"UNMAPPED")),IFERROR(INDEX(MAP!$B$7:$B$156,MATCH(TRIM(O689),MAP!$A$7:$A$156,0)),"UNMAPPED"))</f>
        <v>Administrative Assistant</v>
      </c>
      <c r="Q689" s="48" t="n">
        <f aca="false">STACK!I689</f>
        <v>35.5</v>
      </c>
      <c r="R689" s="60" t="n">
        <f aca="false">IF(G689&gt;0,IF(INDEX(CONFIRM!$F$5:$F$53,G689)&lt;&gt;"",INDEX(CONFIRM!$F$5:$F$53,G689),IF(ISNUMBER(Q689),Q689,IF(Q689="","",IFERROR(VALUE(TRIM(SUBSTITUTE(SUBSTITUTE(LOWER(Q689),"hrs",""),"hr",""))),"")))),IF(ISNUMBER(Q689),Q689,IF(Q689="","",IFERROR(VALUE(TRIM(SUBSTITUTE(SUBSTITUTE(LOWER(Q689),"hrs",""),"hr",""))),""))))</f>
        <v>35.5</v>
      </c>
      <c r="S689" s="57" t="n">
        <f aca="false">IFERROR(INDEX(RATES!$E$6:$E$28,MATCH(P689,RATES!$A$6:$A$28,0)),0)</f>
        <v>26.985</v>
      </c>
      <c r="T689" s="61" t="n">
        <f aca="false">IF(ISNUMBER(R689),R689,0)*S689</f>
        <v>957.9675</v>
      </c>
      <c r="U689" s="61" t="n">
        <f aca="false">T689*INDEX(INPUTS!$H$10:$H$14,MATCH(B689,INPUTS!$A$10:$A$14,0))</f>
        <v>155.190735</v>
      </c>
      <c r="V689" s="61" t="n">
        <f aca="false">N(STACK!K689)</f>
        <v>0</v>
      </c>
      <c r="W689" s="61" t="n">
        <f aca="false">T689+U689+V689</f>
        <v>1113.158235</v>
      </c>
      <c r="X689" s="61" t="n">
        <f aca="false">N(STACK!L689)</f>
        <v>0</v>
      </c>
      <c r="Y689" s="61" t="n">
        <f aca="false">W689-X689</f>
        <v>1113.158235</v>
      </c>
      <c r="Z689" s="1" t="n">
        <f aca="false">N(STACK!J689)</f>
        <v>0</v>
      </c>
      <c r="AA689" s="1" t="str">
        <f aca="false">TRIM(IF(D689="UNMAPPED","Program not mapped. ","")&amp;IF(OR(K689="UNMAPPED",K689="UNASSIGNED"),"Category needs review. ","")&amp;IF(P689="UNMAPPED","Title not mapped. ","")&amp;IF(AND(P689&lt;&gt;"No staff time",R689=""),"Missing hours. ","")&amp;IF(M689="","Date not readable. ","")&amp;IF(N689="No","Outside fiscal year. ","")&amp;IF(AND(F689="Event",ISNUMBER(R689)),IF(R689&gt;12,"Event hours look high. ",""),"")&amp;IF(G689&gt;0,"See CONFIRM sheet.",""))</f>
        <v/>
      </c>
      <c r="AB689" s="1" t="n">
        <f aca="false">IF(N689="No",0,IF(REVIEW!O689=0,0,IF(G689&gt;0,IF(INDEX(CONFIRM!$J$5:$J$53,G689)&lt;&gt;"",INDEX(CONFIRM!$J$5:$J$53,G689),1),1)))</f>
        <v>1</v>
      </c>
      <c r="AC689" s="1" t="n">
        <f aca="false">IF(AB689=1,IF(COUNTIFS($B$5:B689,B689,$D$5:D689,D689,$AB$5:AB689,1)=1,1,0),0)</f>
        <v>0</v>
      </c>
    </row>
    <row r="690" customFormat="false" ht="15" hidden="false" customHeight="false" outlineLevel="0" collapsed="false">
      <c r="A690" s="48" t="str">
        <f aca="false">STACK!A690</f>
        <v>ASH-0157</v>
      </c>
      <c r="B690" s="48" t="str">
        <f aca="false">STACK!B690</f>
        <v>ASH</v>
      </c>
      <c r="C690" s="48" t="str">
        <f aca="false">STACK!E690</f>
        <v>CB Program Admin</v>
      </c>
      <c r="D690" s="1" t="str">
        <f aca="false">IFERROR(INDEX(MAP!$J$7:$J$101,MATCH(TRIM(C690),MAP!$I$7:$I$101,0)),"UNMAPPED")</f>
        <v>Community Benefit Program Administration</v>
      </c>
      <c r="E690" s="1" t="str">
        <f aca="false">IFERROR(INDEX(MAP!$K$7:$K$101,MATCH(TRIM(C690),MAP!$I$7:$I$101,0)),"")</f>
        <v>Community benefit infrastructure</v>
      </c>
      <c r="F690" s="1" t="str">
        <f aca="false">IFERROR(INDEX(MAP!$L$7:$L$101,MATCH(TRIM(C690),MAP!$I$7:$I$101,0)),"")</f>
        <v>Monthly</v>
      </c>
      <c r="G690" s="1" t="n">
        <f aca="false">IFERROR(MATCH(A690,CONFIRM!$A$5:$A$53,0),0)</f>
        <v>0</v>
      </c>
      <c r="H690" s="48" t="str">
        <f aca="false">STACK!F690</f>
        <v>CB Admin</v>
      </c>
      <c r="I690" s="1" t="str">
        <f aca="false">IF(G690&gt;0,IF(INDEX(CONFIRM!$I$5:$I$53,G690)&lt;&gt;"",INDEX(CONFIRM!$I$5:$I$53,G690),H690),H690)</f>
        <v>CB Admin</v>
      </c>
      <c r="J690" s="1" t="str">
        <f aca="false">IFERROR(INDEX(MAP!$F$7:$F$74,MATCH(TRIM(I690),MAP!$E$7:$E$74,0)),"UNMAPPED")</f>
        <v>Community benefit operations</v>
      </c>
      <c r="K690" s="1" t="str">
        <f aca="false">IFERROR(INDEX(MAP!$G$7:$G$74,MATCH(TRIM(I690),MAP!$E$7:$E$74,0)),"UNMAPPED")</f>
        <v>7e</v>
      </c>
      <c r="L690" s="49" t="str">
        <f aca="false">STACK!G690</f>
        <v>01/31/2026</v>
      </c>
      <c r="M690" s="59" t="n">
        <f aca="false">IF(G690&gt;0,IF(INDEX(CONFIRM!$G$5:$G$53,G690)&lt;&gt;"",INDEX(CONFIRM!$G$5:$G$53,G690),IF(ISNUMBER(L690),L690,IFERROR(DATEVALUE(L690),""))),IF(ISNUMBER(L690),L690,IFERROR(DATEVALUE(L690),"")))</f>
        <v>46053</v>
      </c>
      <c r="N690" s="1" t="str">
        <f aca="false">IF(M690="","Check",IF(AND(M690&gt;=INPUTS!$C$6,M690&lt;=INPUTS!$C$7),"Yes","No"))</f>
        <v>Yes</v>
      </c>
      <c r="O690" s="48" t="str">
        <f aca="false">STACK!H690</f>
        <v>CB Manager</v>
      </c>
      <c r="P690" s="1" t="str">
        <f aca="false">IF(G690&gt;0,IF(INDEX(CONFIRM!$H$5:$H$53,G690)&lt;&gt;"",INDEX(CONFIRM!$H$5:$H$53,G690),IFERROR(INDEX(MAP!$B$7:$B$156,MATCH(TRIM(O690),MAP!$A$7:$A$156,0)),"UNMAPPED")),IFERROR(INDEX(MAP!$B$7:$B$156,MATCH(TRIM(O690),MAP!$A$7:$A$156,0)),"UNMAPPED"))</f>
        <v>Community Benefit Manager</v>
      </c>
      <c r="Q690" s="48" t="n">
        <f aca="false">STACK!I690</f>
        <v>61</v>
      </c>
      <c r="R690" s="60" t="n">
        <f aca="false">IF(G690&gt;0,IF(INDEX(CONFIRM!$F$5:$F$53,G690)&lt;&gt;"",INDEX(CONFIRM!$F$5:$F$53,G690),IF(ISNUMBER(Q690),Q690,IF(Q690="","",IFERROR(VALUE(TRIM(SUBSTITUTE(SUBSTITUTE(LOWER(Q690),"hrs",""),"hr",""))),"")))),IF(ISNUMBER(Q690),Q690,IF(Q690="","",IFERROR(VALUE(TRIM(SUBSTITUTE(SUBSTITUTE(LOWER(Q690),"hrs",""),"hr",""))),""))))</f>
        <v>61</v>
      </c>
      <c r="S690" s="57" t="n">
        <f aca="false">IFERROR(INDEX(RATES!$E$6:$E$28,MATCH(P690,RATES!$A$6:$A$28,0)),0)</f>
        <v>59.11</v>
      </c>
      <c r="T690" s="61" t="n">
        <f aca="false">IF(ISNUMBER(R690),R690,0)*S690</f>
        <v>3605.71</v>
      </c>
      <c r="U690" s="61" t="n">
        <f aca="false">T690*INDEX(INPUTS!$H$10:$H$14,MATCH(B690,INPUTS!$A$10:$A$14,0))</f>
        <v>584.12502</v>
      </c>
      <c r="V690" s="61" t="n">
        <f aca="false">N(STACK!K690)</f>
        <v>685</v>
      </c>
      <c r="W690" s="61" t="n">
        <f aca="false">T690+U690+V690</f>
        <v>4874.83502</v>
      </c>
      <c r="X690" s="61" t="n">
        <f aca="false">N(STACK!L690)</f>
        <v>0</v>
      </c>
      <c r="Y690" s="61" t="n">
        <f aca="false">W690-X690</f>
        <v>4874.83502</v>
      </c>
      <c r="Z690" s="1" t="n">
        <f aca="false">N(STACK!J690)</f>
        <v>0</v>
      </c>
      <c r="AA690" s="1" t="str">
        <f aca="false">TRIM(IF(D690="UNMAPPED","Program not mapped. ","")&amp;IF(OR(K690="UNMAPPED",K690="UNASSIGNED"),"Category needs review. ","")&amp;IF(P690="UNMAPPED","Title not mapped. ","")&amp;IF(AND(P690&lt;&gt;"No staff time",R690=""),"Missing hours. ","")&amp;IF(M690="","Date not readable. ","")&amp;IF(N690="No","Outside fiscal year. ","")&amp;IF(AND(F690="Event",ISNUMBER(R690)),IF(R690&gt;12,"Event hours look high. ",""),"")&amp;IF(G690&gt;0,"See CONFIRM sheet.",""))</f>
        <v/>
      </c>
      <c r="AB690" s="1" t="n">
        <f aca="false">IF(N690="No",0,IF(REVIEW!O690=0,0,IF(G690&gt;0,IF(INDEX(CONFIRM!$J$5:$J$53,G690)&lt;&gt;"",INDEX(CONFIRM!$J$5:$J$53,G690),1),1)))</f>
        <v>1</v>
      </c>
      <c r="AC690" s="1" t="n">
        <f aca="false">IF(AB690=1,IF(COUNTIFS($B$5:B690,B690,$D$5:D690,D690,$AB$5:AB690,1)=1,1,0),0)</f>
        <v>0</v>
      </c>
    </row>
    <row r="691" customFormat="false" ht="15" hidden="false" customHeight="false" outlineLevel="0" collapsed="false">
      <c r="A691" s="48" t="str">
        <f aca="false">STACK!A691</f>
        <v>ASH-0158</v>
      </c>
      <c r="B691" s="48" t="str">
        <f aca="false">STACK!B691</f>
        <v>ASH</v>
      </c>
      <c r="C691" s="48" t="str">
        <f aca="false">STACK!E691</f>
        <v>Fall Prevention</v>
      </c>
      <c r="D691" s="1" t="str">
        <f aca="false">IFERROR(INDEX(MAP!$J$7:$J$101,MATCH(TRIM(C691),MAP!$I$7:$I$101,0)),"UNMAPPED")</f>
        <v>Fall Prevention Classes for Older Adults</v>
      </c>
      <c r="E691" s="1" t="str">
        <f aca="false">IFERROR(INDEX(MAP!$K$7:$K$101,MATCH(TRIM(C691),MAP!$I$7:$I$101,0)),"")</f>
        <v>Chronic disease prevention</v>
      </c>
      <c r="F691" s="1" t="str">
        <f aca="false">IFERROR(INDEX(MAP!$L$7:$L$101,MATCH(TRIM(C691),MAP!$I$7:$I$101,0)),"")</f>
        <v>Event</v>
      </c>
      <c r="G691" s="1" t="n">
        <f aca="false">IFERROR(MATCH(A691,CONFIRM!$A$5:$A$53,0),0)</f>
        <v>0</v>
      </c>
      <c r="H691" s="48" t="str">
        <f aca="false">STACK!F691</f>
        <v>Comm Hlth Ed</v>
      </c>
      <c r="I691" s="1" t="str">
        <f aca="false">IF(G691&gt;0,IF(INDEX(CONFIRM!$I$5:$I$53,G691)&lt;&gt;"",INDEX(CONFIRM!$I$5:$I$53,G691),H691),H691)</f>
        <v>Comm Hlth Ed</v>
      </c>
      <c r="J691" s="1" t="str">
        <f aca="false">IFERROR(INDEX(MAP!$F$7:$F$74,MATCH(TRIM(I691),MAP!$E$7:$E$74,0)),"UNMAPPED")</f>
        <v>Community health education</v>
      </c>
      <c r="K691" s="1" t="str">
        <f aca="false">IFERROR(INDEX(MAP!$G$7:$G$74,MATCH(TRIM(I691),MAP!$E$7:$E$74,0)),"UNMAPPED")</f>
        <v>7e</v>
      </c>
      <c r="L691" s="49" t="str">
        <f aca="false">STACK!G691</f>
        <v>01/31/2026</v>
      </c>
      <c r="M691" s="59" t="n">
        <f aca="false">IF(G691&gt;0,IF(INDEX(CONFIRM!$G$5:$G$53,G691)&lt;&gt;"",INDEX(CONFIRM!$G$5:$G$53,G691),IF(ISNUMBER(L691),L691,IFERROR(DATEVALUE(L691),""))),IF(ISNUMBER(L691),L691,IFERROR(DATEVALUE(L691),"")))</f>
        <v>46053</v>
      </c>
      <c r="N691" s="1" t="str">
        <f aca="false">IF(M691="","Check",IF(AND(M691&gt;=INPUTS!$C$6,M691&lt;=INPUTS!$C$7),"Yes","No"))</f>
        <v>Yes</v>
      </c>
      <c r="O691" s="48" t="str">
        <f aca="false">STACK!H691</f>
        <v>Resp Therapist</v>
      </c>
      <c r="P691" s="1" t="str">
        <f aca="false">IF(G691&gt;0,IF(INDEX(CONFIRM!$H$5:$H$53,G691)&lt;&gt;"",INDEX(CONFIRM!$H$5:$H$53,G691),IFERROR(INDEX(MAP!$B$7:$B$156,MATCH(TRIM(O691),MAP!$A$7:$A$156,0)),"UNMAPPED")),IFERROR(INDEX(MAP!$B$7:$B$156,MATCH(TRIM(O691),MAP!$A$7:$A$156,0)),"UNMAPPED"))</f>
        <v>Licensed Therapist</v>
      </c>
      <c r="Q691" s="48" t="n">
        <f aca="false">STACK!I691</f>
        <v>2</v>
      </c>
      <c r="R691" s="60" t="n">
        <f aca="false">IF(G691&gt;0,IF(INDEX(CONFIRM!$F$5:$F$53,G691)&lt;&gt;"",INDEX(CONFIRM!$F$5:$F$53,G691),IF(ISNUMBER(Q691),Q691,IF(Q691="","",IFERROR(VALUE(TRIM(SUBSTITUTE(SUBSTITUTE(LOWER(Q691),"hrs",""),"hr",""))),"")))),IF(ISNUMBER(Q691),Q691,IF(Q691="","",IFERROR(VALUE(TRIM(SUBSTITUTE(SUBSTITUTE(LOWER(Q691),"hrs",""),"hr",""))),""))))</f>
        <v>2</v>
      </c>
      <c r="S691" s="57" t="n">
        <f aca="false">IFERROR(INDEX(RATES!$E$6:$E$28,MATCH(P691,RATES!$A$6:$A$28,0)),0)</f>
        <v>53.97</v>
      </c>
      <c r="T691" s="61" t="n">
        <f aca="false">IF(ISNUMBER(R691),R691,0)*S691</f>
        <v>107.94</v>
      </c>
      <c r="U691" s="61" t="n">
        <f aca="false">T691*INDEX(INPUTS!$H$10:$H$14,MATCH(B691,INPUTS!$A$10:$A$14,0))</f>
        <v>17.48628</v>
      </c>
      <c r="V691" s="61" t="n">
        <f aca="false">N(STACK!K691)</f>
        <v>85</v>
      </c>
      <c r="W691" s="61" t="n">
        <f aca="false">T691+U691+V691</f>
        <v>210.42628</v>
      </c>
      <c r="X691" s="61" t="n">
        <f aca="false">N(STACK!L691)</f>
        <v>0</v>
      </c>
      <c r="Y691" s="61" t="n">
        <f aca="false">W691-X691</f>
        <v>210.42628</v>
      </c>
      <c r="Z691" s="1" t="n">
        <f aca="false">N(STACK!J691)</f>
        <v>19</v>
      </c>
      <c r="AA691" s="1" t="str">
        <f aca="false">TRIM(IF(D691="UNMAPPED","Program not mapped. ","")&amp;IF(OR(K691="UNMAPPED",K691="UNASSIGNED"),"Category needs review. ","")&amp;IF(P691="UNMAPPED","Title not mapped. ","")&amp;IF(AND(P691&lt;&gt;"No staff time",R691=""),"Missing hours. ","")&amp;IF(M691="","Date not readable. ","")&amp;IF(N691="No","Outside fiscal year. ","")&amp;IF(AND(F691="Event",ISNUMBER(R691)),IF(R691&gt;12,"Event hours look high. ",""),"")&amp;IF(G691&gt;0,"See CONFIRM sheet.",""))</f>
        <v/>
      </c>
      <c r="AB691" s="1" t="n">
        <f aca="false">IF(N691="No",0,IF(REVIEW!O691=0,0,IF(G691&gt;0,IF(INDEX(CONFIRM!$J$5:$J$53,G691)&lt;&gt;"",INDEX(CONFIRM!$J$5:$J$53,G691),1),1)))</f>
        <v>1</v>
      </c>
      <c r="AC691" s="1" t="n">
        <f aca="false">IF(AB691=1,IF(COUNTIFS($B$5:B691,B691,$D$5:D691,D691,$AB$5:AB691,1)=1,1,0),0)</f>
        <v>0</v>
      </c>
    </row>
    <row r="692" customFormat="false" ht="15" hidden="false" customHeight="false" outlineLevel="0" collapsed="false">
      <c r="A692" s="48" t="str">
        <f aca="false">STACK!A692</f>
        <v>ASH-0159</v>
      </c>
      <c r="B692" s="48" t="str">
        <f aca="false">STACK!B692</f>
        <v>ASH</v>
      </c>
      <c r="C692" s="48" t="str">
        <f aca="false">STACK!E692</f>
        <v>Nursing Clinicals</v>
      </c>
      <c r="D692" s="1" t="str">
        <f aca="false">IFERROR(INDEX(MAP!$J$7:$J$101,MATCH(TRIM(C692),MAP!$I$7:$I$101,0)),"UNMAPPED")</f>
        <v>Nursing Student Clinical Rotations</v>
      </c>
      <c r="E692" s="1" t="str">
        <f aca="false">IFERROR(INDEX(MAP!$K$7:$K$101,MATCH(TRIM(C692),MAP!$I$7:$I$101,0)),"")</f>
        <v>Health workforce</v>
      </c>
      <c r="F692" s="1" t="str">
        <f aca="false">IFERROR(INDEX(MAP!$L$7:$L$101,MATCH(TRIM(C692),MAP!$I$7:$I$101,0)),"")</f>
        <v>Monthly</v>
      </c>
      <c r="G692" s="1" t="n">
        <f aca="false">IFERROR(MATCH(A692,CONFIRM!$A$5:$A$53,0),0)</f>
        <v>0</v>
      </c>
      <c r="H692" s="48" t="str">
        <f aca="false">STACK!F692</f>
        <v>HPE</v>
      </c>
      <c r="I692" s="1" t="str">
        <f aca="false">IF(G692&gt;0,IF(INDEX(CONFIRM!$I$5:$I$53,G692)&lt;&gt;"",INDEX(CONFIRM!$I$5:$I$53,G692),H692),H692)</f>
        <v>HPE</v>
      </c>
      <c r="J692" s="1" t="str">
        <f aca="false">IFERROR(INDEX(MAP!$F$7:$F$74,MATCH(TRIM(I692),MAP!$E$7:$E$74,0)),"UNMAPPED")</f>
        <v>Health professions education</v>
      </c>
      <c r="K692" s="1" t="str">
        <f aca="false">IFERROR(INDEX(MAP!$G$7:$G$74,MATCH(TRIM(I692),MAP!$E$7:$E$74,0)),"UNMAPPED")</f>
        <v>7f</v>
      </c>
      <c r="L692" s="49" t="str">
        <f aca="false">STACK!G692</f>
        <v>01/31/2026</v>
      </c>
      <c r="M692" s="59" t="n">
        <f aca="false">IF(G692&gt;0,IF(INDEX(CONFIRM!$G$5:$G$53,G692)&lt;&gt;"",INDEX(CONFIRM!$G$5:$G$53,G692),IF(ISNUMBER(L692),L692,IFERROR(DATEVALUE(L692),""))),IF(ISNUMBER(L692),L692,IFERROR(DATEVALUE(L692),"")))</f>
        <v>46053</v>
      </c>
      <c r="N692" s="1" t="str">
        <f aca="false">IF(M692="","Check",IF(AND(M692&gt;=INPUTS!$C$6,M692&lt;=INPUTS!$C$7),"Yes","No"))</f>
        <v>Yes</v>
      </c>
      <c r="O692" s="48" t="str">
        <f aca="false">STACK!H692</f>
        <v>Nurse Educator</v>
      </c>
      <c r="P692" s="1" t="str">
        <f aca="false">IF(G692&gt;0,IF(INDEX(CONFIRM!$H$5:$H$53,G692)&lt;&gt;"",INDEX(CONFIRM!$H$5:$H$53,G692),IFERROR(INDEX(MAP!$B$7:$B$156,MATCH(TRIM(O692),MAP!$A$7:$A$156,0)),"UNMAPPED")),IFERROR(INDEX(MAP!$B$7:$B$156,MATCH(TRIM(O692),MAP!$A$7:$A$156,0)),"UNMAPPED"))</f>
        <v>Clinical Nurse Educator</v>
      </c>
      <c r="Q692" s="48" t="n">
        <f aca="false">STACK!I692</f>
        <v>93.75</v>
      </c>
      <c r="R692" s="60" t="n">
        <f aca="false">IF(G692&gt;0,IF(INDEX(CONFIRM!$F$5:$F$53,G692)&lt;&gt;"",INDEX(CONFIRM!$F$5:$F$53,G692),IF(ISNUMBER(Q692),Q692,IF(Q692="","",IFERROR(VALUE(TRIM(SUBSTITUTE(SUBSTITUTE(LOWER(Q692),"hrs",""),"hr",""))),"")))),IF(ISNUMBER(Q692),Q692,IF(Q692="","",IFERROR(VALUE(TRIM(SUBSTITUTE(SUBSTITUTE(LOWER(Q692),"hrs",""),"hr",""))),""))))</f>
        <v>93.75</v>
      </c>
      <c r="S692" s="57" t="n">
        <f aca="false">IFERROR(INDEX(RATES!$E$6:$E$28,MATCH(P692,RATES!$A$6:$A$28,0)),0)</f>
        <v>62.965</v>
      </c>
      <c r="T692" s="61" t="n">
        <f aca="false">IF(ISNUMBER(R692),R692,0)*S692</f>
        <v>5902.96875</v>
      </c>
      <c r="U692" s="61" t="n">
        <f aca="false">T692*INDEX(INPUTS!$H$10:$H$14,MATCH(B692,INPUTS!$A$10:$A$14,0))</f>
        <v>956.2809375</v>
      </c>
      <c r="V692" s="61" t="n">
        <f aca="false">N(STACK!K692)</f>
        <v>900</v>
      </c>
      <c r="W692" s="61" t="n">
        <f aca="false">T692+U692+V692</f>
        <v>7759.2496875</v>
      </c>
      <c r="X692" s="61" t="n">
        <f aca="false">N(STACK!L692)</f>
        <v>0</v>
      </c>
      <c r="Y692" s="61" t="n">
        <f aca="false">W692-X692</f>
        <v>7759.2496875</v>
      </c>
      <c r="Z692" s="1" t="n">
        <f aca="false">N(STACK!J692)</f>
        <v>37</v>
      </c>
      <c r="AA692" s="1" t="str">
        <f aca="false">TRIM(IF(D692="UNMAPPED","Program not mapped. ","")&amp;IF(OR(K692="UNMAPPED",K692="UNASSIGNED"),"Category needs review. ","")&amp;IF(P692="UNMAPPED","Title not mapped. ","")&amp;IF(AND(P692&lt;&gt;"No staff time",R692=""),"Missing hours. ","")&amp;IF(M692="","Date not readable. ","")&amp;IF(N692="No","Outside fiscal year. ","")&amp;IF(AND(F692="Event",ISNUMBER(R692)),IF(R692&gt;12,"Event hours look high. ",""),"")&amp;IF(G692&gt;0,"See CONFIRM sheet.",""))</f>
        <v/>
      </c>
      <c r="AB692" s="1" t="n">
        <f aca="false">IF(N692="No",0,IF(REVIEW!O692=0,0,IF(G692&gt;0,IF(INDEX(CONFIRM!$J$5:$J$53,G692)&lt;&gt;"",INDEX(CONFIRM!$J$5:$J$53,G692),1),1)))</f>
        <v>1</v>
      </c>
      <c r="AC692" s="1" t="n">
        <f aca="false">IF(AB692=1,IF(COUNTIFS($B$5:B692,B692,$D$5:D692,D692,$AB$5:AB692,1)=1,1,0),0)</f>
        <v>0</v>
      </c>
    </row>
    <row r="693" customFormat="false" ht="15" hidden="false" customHeight="false" outlineLevel="0" collapsed="false">
      <c r="A693" s="48" t="str">
        <f aca="false">STACK!A693</f>
        <v>ASH-0160</v>
      </c>
      <c r="B693" s="48" t="str">
        <f aca="false">STACK!B693</f>
        <v>ASH</v>
      </c>
      <c r="C693" s="48" t="str">
        <f aca="false">STACK!E693</f>
        <v>Nursing Clinicals</v>
      </c>
      <c r="D693" s="1" t="str">
        <f aca="false">IFERROR(INDEX(MAP!$J$7:$J$101,MATCH(TRIM(C693),MAP!$I$7:$I$101,0)),"UNMAPPED")</f>
        <v>Nursing Student Clinical Rotations</v>
      </c>
      <c r="E693" s="1" t="str">
        <f aca="false">IFERROR(INDEX(MAP!$K$7:$K$101,MATCH(TRIM(C693),MAP!$I$7:$I$101,0)),"")</f>
        <v>Health workforce</v>
      </c>
      <c r="F693" s="1" t="str">
        <f aca="false">IFERROR(INDEX(MAP!$L$7:$L$101,MATCH(TRIM(C693),MAP!$I$7:$I$101,0)),"")</f>
        <v>Monthly</v>
      </c>
      <c r="G693" s="1" t="n">
        <f aca="false">IFERROR(MATCH(A693,CONFIRM!$A$5:$A$53,0),0)</f>
        <v>0</v>
      </c>
      <c r="H693" s="48" t="str">
        <f aca="false">STACK!F693</f>
        <v>HPE</v>
      </c>
      <c r="I693" s="1" t="str">
        <f aca="false">IF(G693&gt;0,IF(INDEX(CONFIRM!$I$5:$I$53,G693)&lt;&gt;"",INDEX(CONFIRM!$I$5:$I$53,G693),H693),H693)</f>
        <v>HPE</v>
      </c>
      <c r="J693" s="1" t="str">
        <f aca="false">IFERROR(INDEX(MAP!$F$7:$F$74,MATCH(TRIM(I693),MAP!$E$7:$E$74,0)),"UNMAPPED")</f>
        <v>Health professions education</v>
      </c>
      <c r="K693" s="1" t="str">
        <f aca="false">IFERROR(INDEX(MAP!$G$7:$G$74,MATCH(TRIM(I693),MAP!$E$7:$E$74,0)),"UNMAPPED")</f>
        <v>7f</v>
      </c>
      <c r="L693" s="49" t="str">
        <f aca="false">STACK!G693</f>
        <v>01/31/2026</v>
      </c>
      <c r="M693" s="59" t="n">
        <f aca="false">IF(G693&gt;0,IF(INDEX(CONFIRM!$G$5:$G$53,G693)&lt;&gt;"",INDEX(CONFIRM!$G$5:$G$53,G693),IF(ISNUMBER(L693),L693,IFERROR(DATEVALUE(L693),""))),IF(ISNUMBER(L693),L693,IFERROR(DATEVALUE(L693),"")))</f>
        <v>46053</v>
      </c>
      <c r="N693" s="1" t="str">
        <f aca="false">IF(M693="","Check",IF(AND(M693&gt;=INPUTS!$C$6,M693&lt;=INPUTS!$C$7),"Yes","No"))</f>
        <v>Yes</v>
      </c>
      <c r="O693" s="48" t="str">
        <f aca="false">STACK!H693</f>
        <v>RN - Outreach</v>
      </c>
      <c r="P693" s="1" t="str">
        <f aca="false">IF(G693&gt;0,IF(INDEX(CONFIRM!$H$5:$H$53,G693)&lt;&gt;"",INDEX(CONFIRM!$H$5:$H$53,G693),IFERROR(INDEX(MAP!$B$7:$B$156,MATCH(TRIM(O693),MAP!$A$7:$A$156,0)),"UNMAPPED")),IFERROR(INDEX(MAP!$B$7:$B$156,MATCH(TRIM(O693),MAP!$A$7:$A$156,0)),"UNMAPPED"))</f>
        <v>Registered Nurse</v>
      </c>
      <c r="Q693" s="48" t="n">
        <f aca="false">STACK!I693</f>
        <v>227.25</v>
      </c>
      <c r="R693" s="60" t="n">
        <f aca="false">IF(G693&gt;0,IF(INDEX(CONFIRM!$F$5:$F$53,G693)&lt;&gt;"",INDEX(CONFIRM!$F$5:$F$53,G693),IF(ISNUMBER(Q693),Q693,IF(Q693="","",IFERROR(VALUE(TRIM(SUBSTITUTE(SUBSTITUTE(LOWER(Q693),"hrs",""),"hr",""))),"")))),IF(ISNUMBER(Q693),Q693,IF(Q693="","",IFERROR(VALUE(TRIM(SUBSTITUTE(SUBSTITUTE(LOWER(Q693),"hrs",""),"hr",""))),""))))</f>
        <v>227.25</v>
      </c>
      <c r="S693" s="57" t="n">
        <f aca="false">IFERROR(INDEX(RATES!$E$6:$E$28,MATCH(P693,RATES!$A$6:$A$28,0)),0)</f>
        <v>55.8975</v>
      </c>
      <c r="T693" s="61" t="n">
        <f aca="false">IF(ISNUMBER(R693),R693,0)*S693</f>
        <v>12702.706875</v>
      </c>
      <c r="U693" s="61" t="n">
        <f aca="false">T693*INDEX(INPUTS!$H$10:$H$14,MATCH(B693,INPUTS!$A$10:$A$14,0))</f>
        <v>2057.83851375</v>
      </c>
      <c r="V693" s="61" t="n">
        <f aca="false">N(STACK!K693)</f>
        <v>0</v>
      </c>
      <c r="W693" s="61" t="n">
        <f aca="false">T693+U693+V693</f>
        <v>14760.54538875</v>
      </c>
      <c r="X693" s="61" t="n">
        <f aca="false">N(STACK!L693)</f>
        <v>0</v>
      </c>
      <c r="Y693" s="61" t="n">
        <f aca="false">W693-X693</f>
        <v>14760.54538875</v>
      </c>
      <c r="Z693" s="1" t="n">
        <f aca="false">N(STACK!J693)</f>
        <v>0</v>
      </c>
      <c r="AA693" s="1" t="str">
        <f aca="false">TRIM(IF(D693="UNMAPPED","Program not mapped. ","")&amp;IF(OR(K693="UNMAPPED",K693="UNASSIGNED"),"Category needs review. ","")&amp;IF(P693="UNMAPPED","Title not mapped. ","")&amp;IF(AND(P693&lt;&gt;"No staff time",R693=""),"Missing hours. ","")&amp;IF(M693="","Date not readable. ","")&amp;IF(N693="No","Outside fiscal year. ","")&amp;IF(AND(F693="Event",ISNUMBER(R693)),IF(R693&gt;12,"Event hours look high. ",""),"")&amp;IF(G693&gt;0,"See CONFIRM sheet.",""))</f>
        <v/>
      </c>
      <c r="AB693" s="1" t="n">
        <f aca="false">IF(N693="No",0,IF(REVIEW!O693=0,0,IF(G693&gt;0,IF(INDEX(CONFIRM!$J$5:$J$53,G693)&lt;&gt;"",INDEX(CONFIRM!$J$5:$J$53,G693),1),1)))</f>
        <v>1</v>
      </c>
      <c r="AC693" s="1" t="n">
        <f aca="false">IF(AB693=1,IF(COUNTIFS($B$5:B693,B693,$D$5:D693,D693,$AB$5:AB693,1)=1,1,0),0)</f>
        <v>0</v>
      </c>
    </row>
    <row r="694" customFormat="false" ht="15" hidden="false" customHeight="false" outlineLevel="0" collapsed="false">
      <c r="A694" s="48" t="str">
        <f aca="false">STACK!A694</f>
        <v>ASH-0161</v>
      </c>
      <c r="B694" s="48" t="str">
        <f aca="false">STACK!B694</f>
        <v>ASH</v>
      </c>
      <c r="C694" s="48" t="str">
        <f aca="false">STACK!E694</f>
        <v>Paramedic Students</v>
      </c>
      <c r="D694" s="1" t="str">
        <f aca="false">IFERROR(INDEX(MAP!$J$7:$J$101,MATCH(TRIM(C694),MAP!$I$7:$I$101,0)),"UNMAPPED")</f>
        <v>Paramedic Student Field Training</v>
      </c>
      <c r="E694" s="1" t="str">
        <f aca="false">IFERROR(INDEX(MAP!$K$7:$K$101,MATCH(TRIM(C694),MAP!$I$7:$I$101,0)),"")</f>
        <v>Health workforce</v>
      </c>
      <c r="F694" s="1" t="str">
        <f aca="false">IFERROR(INDEX(MAP!$L$7:$L$101,MATCH(TRIM(C694),MAP!$I$7:$I$101,0)),"")</f>
        <v>Monthly</v>
      </c>
      <c r="G694" s="1" t="n">
        <f aca="false">IFERROR(MATCH(A694,CONFIRM!$A$5:$A$53,0),0)</f>
        <v>0</v>
      </c>
      <c r="H694" s="48" t="str">
        <f aca="false">STACK!F694</f>
        <v>HPE</v>
      </c>
      <c r="I694" s="1" t="str">
        <f aca="false">IF(G694&gt;0,IF(INDEX(CONFIRM!$I$5:$I$53,G694)&lt;&gt;"",INDEX(CONFIRM!$I$5:$I$53,G694),H694),H694)</f>
        <v>HPE</v>
      </c>
      <c r="J694" s="1" t="str">
        <f aca="false">IFERROR(INDEX(MAP!$F$7:$F$74,MATCH(TRIM(I694),MAP!$E$7:$E$74,0)),"UNMAPPED")</f>
        <v>Health professions education</v>
      </c>
      <c r="K694" s="1" t="str">
        <f aca="false">IFERROR(INDEX(MAP!$G$7:$G$74,MATCH(TRIM(I694),MAP!$E$7:$E$74,0)),"UNMAPPED")</f>
        <v>7f</v>
      </c>
      <c r="L694" s="49" t="str">
        <f aca="false">STACK!G694</f>
        <v>01/31/2026</v>
      </c>
      <c r="M694" s="59" t="n">
        <f aca="false">IF(G694&gt;0,IF(INDEX(CONFIRM!$G$5:$G$53,G694)&lt;&gt;"",INDEX(CONFIRM!$G$5:$G$53,G694),IF(ISNUMBER(L694),L694,IFERROR(DATEVALUE(L694),""))),IF(ISNUMBER(L694),L694,IFERROR(DATEVALUE(L694),"")))</f>
        <v>46053</v>
      </c>
      <c r="N694" s="1" t="str">
        <f aca="false">IF(M694="","Check",IF(AND(M694&gt;=INPUTS!$C$6,M694&lt;=INPUTS!$C$7),"Yes","No"))</f>
        <v>Yes</v>
      </c>
      <c r="O694" s="48" t="str">
        <f aca="false">STACK!H694</f>
        <v>EMT-P</v>
      </c>
      <c r="P694" s="1" t="str">
        <f aca="false">IF(G694&gt;0,IF(INDEX(CONFIRM!$H$5:$H$53,G694)&lt;&gt;"",INDEX(CONFIRM!$H$5:$H$53,G694),IFERROR(INDEX(MAP!$B$7:$B$156,MATCH(TRIM(O694),MAP!$A$7:$A$156,0)),"UNMAPPED")),IFERROR(INDEX(MAP!$B$7:$B$156,MATCH(TRIM(O694),MAP!$A$7:$A$156,0)),"UNMAPPED"))</f>
        <v>Paramedic</v>
      </c>
      <c r="Q694" s="48" t="str">
        <f aca="false">STACK!I694</f>
        <v>77.5 hrs</v>
      </c>
      <c r="R694" s="60" t="n">
        <f aca="false">IF(G694&gt;0,IF(INDEX(CONFIRM!$F$5:$F$53,G694)&lt;&gt;"",INDEX(CONFIRM!$F$5:$F$53,G694),IF(ISNUMBER(Q694),Q694,IF(Q694="","",IFERROR(VALUE(TRIM(SUBSTITUTE(SUBSTITUTE(LOWER(Q694),"hrs",""),"hr",""))),"")))),IF(ISNUMBER(Q694),Q694,IF(Q694="","",IFERROR(VALUE(TRIM(SUBSTITUTE(SUBSTITUTE(LOWER(Q694),"hrs",""),"hr",""))),""))))</f>
        <v>77.5</v>
      </c>
      <c r="S694" s="57" t="n">
        <f aca="false">IFERROR(INDEX(RATES!$E$6:$E$28,MATCH(P694,RATES!$A$6:$A$28,0)),0)</f>
        <v>34.695</v>
      </c>
      <c r="T694" s="61" t="n">
        <f aca="false">IF(ISNUMBER(R694),R694,0)*S694</f>
        <v>2688.8625</v>
      </c>
      <c r="U694" s="61" t="n">
        <f aca="false">T694*INDEX(INPUTS!$H$10:$H$14,MATCH(B694,INPUTS!$A$10:$A$14,0))</f>
        <v>435.595725</v>
      </c>
      <c r="V694" s="61" t="n">
        <f aca="false">N(STACK!K694)</f>
        <v>15</v>
      </c>
      <c r="W694" s="61" t="n">
        <f aca="false">T694+U694+V694</f>
        <v>3139.458225</v>
      </c>
      <c r="X694" s="61" t="n">
        <f aca="false">N(STACK!L694)</f>
        <v>0</v>
      </c>
      <c r="Y694" s="61" t="n">
        <f aca="false">W694-X694</f>
        <v>3139.458225</v>
      </c>
      <c r="Z694" s="1" t="n">
        <f aca="false">N(STACK!J694)</f>
        <v>7</v>
      </c>
      <c r="AA694" s="1" t="str">
        <f aca="false">TRIM(IF(D694="UNMAPPED","Program not mapped. ","")&amp;IF(OR(K694="UNMAPPED",K694="UNASSIGNED"),"Category needs review. ","")&amp;IF(P694="UNMAPPED","Title not mapped. ","")&amp;IF(AND(P694&lt;&gt;"No staff time",R694=""),"Missing hours. ","")&amp;IF(M694="","Date not readable. ","")&amp;IF(N694="No","Outside fiscal year. ","")&amp;IF(AND(F694="Event",ISNUMBER(R694)),IF(R694&gt;12,"Event hours look high. ",""),"")&amp;IF(G694&gt;0,"See CONFIRM sheet.",""))</f>
        <v/>
      </c>
      <c r="AB694" s="1" t="n">
        <f aca="false">IF(N694="No",0,IF(REVIEW!O694=0,0,IF(G694&gt;0,IF(INDEX(CONFIRM!$J$5:$J$53,G694)&lt;&gt;"",INDEX(CONFIRM!$J$5:$J$53,G694),1),1)))</f>
        <v>1</v>
      </c>
      <c r="AC694" s="1" t="n">
        <f aca="false">IF(AB694=1,IF(COUNTIFS($B$5:B694,B694,$D$5:D694,D694,$AB$5:AB694,1)=1,1,0),0)</f>
        <v>0</v>
      </c>
    </row>
    <row r="695" customFormat="false" ht="15" hidden="false" customHeight="false" outlineLevel="0" collapsed="false">
      <c r="A695" s="48" t="str">
        <f aca="false">STACK!A695</f>
        <v>ASH-0162</v>
      </c>
      <c r="B695" s="48" t="str">
        <f aca="false">STACK!B695</f>
        <v>ASH</v>
      </c>
      <c r="C695" s="48" t="str">
        <f aca="false">STACK!E695</f>
        <v>DPP Classes</v>
      </c>
      <c r="D695" s="1" t="str">
        <f aca="false">IFERROR(INDEX(MAP!$J$7:$J$101,MATCH(TRIM(C695),MAP!$I$7:$I$101,0)),"UNMAPPED")</f>
        <v>Diabetes Prevention Classes</v>
      </c>
      <c r="E695" s="1" t="str">
        <f aca="false">IFERROR(INDEX(MAP!$K$7:$K$101,MATCH(TRIM(C695),MAP!$I$7:$I$101,0)),"")</f>
        <v>Chronic disease prevention</v>
      </c>
      <c r="F695" s="1" t="str">
        <f aca="false">IFERROR(INDEX(MAP!$L$7:$L$101,MATCH(TRIM(C695),MAP!$I$7:$I$101,0)),"")</f>
        <v>Event</v>
      </c>
      <c r="G695" s="1" t="n">
        <f aca="false">IFERROR(MATCH(A695,CONFIRM!$A$5:$A$53,0),0)</f>
        <v>0</v>
      </c>
      <c r="H695" s="48" t="str">
        <f aca="false">STACK!F695</f>
        <v>Comm Hlth Ed</v>
      </c>
      <c r="I695" s="1" t="str">
        <f aca="false">IF(G695&gt;0,IF(INDEX(CONFIRM!$I$5:$I$53,G695)&lt;&gt;"",INDEX(CONFIRM!$I$5:$I$53,G695),H695),H695)</f>
        <v>Comm Hlth Ed</v>
      </c>
      <c r="J695" s="1" t="str">
        <f aca="false">IFERROR(INDEX(MAP!$F$7:$F$74,MATCH(TRIM(I695),MAP!$E$7:$E$74,0)),"UNMAPPED")</f>
        <v>Community health education</v>
      </c>
      <c r="K695" s="1" t="str">
        <f aca="false">IFERROR(INDEX(MAP!$G$7:$G$74,MATCH(TRIM(I695),MAP!$E$7:$E$74,0)),"UNMAPPED")</f>
        <v>7e</v>
      </c>
      <c r="L695" s="49" t="str">
        <f aca="false">STACK!G695</f>
        <v>02/02/2026</v>
      </c>
      <c r="M695" s="59" t="n">
        <f aca="false">IF(G695&gt;0,IF(INDEX(CONFIRM!$G$5:$G$53,G695)&lt;&gt;"",INDEX(CONFIRM!$G$5:$G$53,G695),IF(ISNUMBER(L695),L695,IFERROR(DATEVALUE(L695),""))),IF(ISNUMBER(L695),L695,IFERROR(DATEVALUE(L695),"")))</f>
        <v>46055</v>
      </c>
      <c r="N695" s="1" t="str">
        <f aca="false">IF(M695="","Check",IF(AND(M695&gt;=INPUTS!$C$6,M695&lt;=INPUTS!$C$7),"Yes","No"))</f>
        <v>Yes</v>
      </c>
      <c r="O695" s="48" t="str">
        <f aca="false">STACK!H695</f>
        <v>Health Education Specialist</v>
      </c>
      <c r="P695" s="1" t="str">
        <f aca="false">IF(G695&gt;0,IF(INDEX(CONFIRM!$H$5:$H$53,G695)&lt;&gt;"",INDEX(CONFIRM!$H$5:$H$53,G695),IFERROR(INDEX(MAP!$B$7:$B$156,MATCH(TRIM(O695),MAP!$A$7:$A$156,0)),"UNMAPPED")),IFERROR(INDEX(MAP!$B$7:$B$156,MATCH(TRIM(O695),MAP!$A$7:$A$156,0)),"UNMAPPED"))</f>
        <v>Health Educator</v>
      </c>
      <c r="Q695" s="48" t="n">
        <f aca="false">STACK!I695</f>
        <v>2.25</v>
      </c>
      <c r="R695" s="60" t="n">
        <f aca="false">IF(G695&gt;0,IF(INDEX(CONFIRM!$F$5:$F$53,G695)&lt;&gt;"",INDEX(CONFIRM!$F$5:$F$53,G695),IF(ISNUMBER(Q695),Q695,IF(Q695="","",IFERROR(VALUE(TRIM(SUBSTITUTE(SUBSTITUTE(LOWER(Q695),"hrs",""),"hr",""))),"")))),IF(ISNUMBER(Q695),Q695,IF(Q695="","",IFERROR(VALUE(TRIM(SUBSTITUTE(SUBSTITUTE(LOWER(Q695),"hrs",""),"hr",""))),""))))</f>
        <v>2.25</v>
      </c>
      <c r="S695" s="57" t="n">
        <f aca="false">IFERROR(INDEX(RATES!$E$6:$E$28,MATCH(P695,RATES!$A$6:$A$28,0)),0)</f>
        <v>37.265</v>
      </c>
      <c r="T695" s="61" t="n">
        <f aca="false">IF(ISNUMBER(R695),R695,0)*S695</f>
        <v>83.84625</v>
      </c>
      <c r="U695" s="61" t="n">
        <f aca="false">T695*INDEX(INPUTS!$H$10:$H$14,MATCH(B695,INPUTS!$A$10:$A$14,0))</f>
        <v>13.5830925</v>
      </c>
      <c r="V695" s="61" t="n">
        <f aca="false">N(STACK!K695)</f>
        <v>115</v>
      </c>
      <c r="W695" s="61" t="n">
        <f aca="false">T695+U695+V695</f>
        <v>212.4293425</v>
      </c>
      <c r="X695" s="61" t="n">
        <f aca="false">N(STACK!L695)</f>
        <v>0</v>
      </c>
      <c r="Y695" s="61" t="n">
        <f aca="false">W695-X695</f>
        <v>212.4293425</v>
      </c>
      <c r="Z695" s="1" t="n">
        <f aca="false">N(STACK!J695)</f>
        <v>20</v>
      </c>
      <c r="AA695" s="1" t="str">
        <f aca="false">TRIM(IF(D695="UNMAPPED","Program not mapped. ","")&amp;IF(OR(K695="UNMAPPED",K695="UNASSIGNED"),"Category needs review. ","")&amp;IF(P695="UNMAPPED","Title not mapped. ","")&amp;IF(AND(P695&lt;&gt;"No staff time",R695=""),"Missing hours. ","")&amp;IF(M695="","Date not readable. ","")&amp;IF(N695="No","Outside fiscal year. ","")&amp;IF(AND(F695="Event",ISNUMBER(R695)),IF(R695&gt;12,"Event hours look high. ",""),"")&amp;IF(G695&gt;0,"See CONFIRM sheet.",""))</f>
        <v/>
      </c>
      <c r="AB695" s="1" t="n">
        <f aca="false">IF(N695="No",0,IF(REVIEW!O695=0,0,IF(G695&gt;0,IF(INDEX(CONFIRM!$J$5:$J$53,G695)&lt;&gt;"",INDEX(CONFIRM!$J$5:$J$53,G695),1),1)))</f>
        <v>1</v>
      </c>
      <c r="AC695" s="1" t="n">
        <f aca="false">IF(AB695=1,IF(COUNTIFS($B$5:B695,B695,$D$5:D695,D695,$AB$5:AB695,1)=1,1,0),0)</f>
        <v>0</v>
      </c>
    </row>
    <row r="696" customFormat="false" ht="15" hidden="false" customHeight="false" outlineLevel="0" collapsed="false">
      <c r="A696" s="48" t="str">
        <f aca="false">STACK!A696</f>
        <v>ASH-0163</v>
      </c>
      <c r="B696" s="48" t="str">
        <f aca="false">STACK!B696</f>
        <v>ASH</v>
      </c>
      <c r="C696" s="48" t="str">
        <f aca="false">STACK!E696</f>
        <v>DPP Classes</v>
      </c>
      <c r="D696" s="1" t="str">
        <f aca="false">IFERROR(INDEX(MAP!$J$7:$J$101,MATCH(TRIM(C696),MAP!$I$7:$I$101,0)),"UNMAPPED")</f>
        <v>Diabetes Prevention Classes</v>
      </c>
      <c r="E696" s="1" t="str">
        <f aca="false">IFERROR(INDEX(MAP!$K$7:$K$101,MATCH(TRIM(C696),MAP!$I$7:$I$101,0)),"")</f>
        <v>Chronic disease prevention</v>
      </c>
      <c r="F696" s="1" t="str">
        <f aca="false">IFERROR(INDEX(MAP!$L$7:$L$101,MATCH(TRIM(C696),MAP!$I$7:$I$101,0)),"")</f>
        <v>Event</v>
      </c>
      <c r="G696" s="1" t="n">
        <f aca="false">IFERROR(MATCH(A696,CONFIRM!$A$5:$A$53,0),0)</f>
        <v>0</v>
      </c>
      <c r="H696" s="48" t="str">
        <f aca="false">STACK!F696</f>
        <v>Comm Hlth Ed</v>
      </c>
      <c r="I696" s="1" t="str">
        <f aca="false">IF(G696&gt;0,IF(INDEX(CONFIRM!$I$5:$I$53,G696)&lt;&gt;"",INDEX(CONFIRM!$I$5:$I$53,G696),H696),H696)</f>
        <v>Comm Hlth Ed</v>
      </c>
      <c r="J696" s="1" t="str">
        <f aca="false">IFERROR(INDEX(MAP!$F$7:$F$74,MATCH(TRIM(I696),MAP!$E$7:$E$74,0)),"UNMAPPED")</f>
        <v>Community health education</v>
      </c>
      <c r="K696" s="1" t="str">
        <f aca="false">IFERROR(INDEX(MAP!$G$7:$G$74,MATCH(TRIM(I696),MAP!$E$7:$E$74,0)),"UNMAPPED")</f>
        <v>7e</v>
      </c>
      <c r="L696" s="49" t="str">
        <f aca="false">STACK!G696</f>
        <v>02/02/2026</v>
      </c>
      <c r="M696" s="59" t="n">
        <f aca="false">IF(G696&gt;0,IF(INDEX(CONFIRM!$G$5:$G$53,G696)&lt;&gt;"",INDEX(CONFIRM!$G$5:$G$53,G696),IF(ISNUMBER(L696),L696,IFERROR(DATEVALUE(L696),""))),IF(ISNUMBER(L696),L696,IFERROR(DATEVALUE(L696),"")))</f>
        <v>46055</v>
      </c>
      <c r="N696" s="1" t="str">
        <f aca="false">IF(M696="","Check",IF(AND(M696&gt;=INPUTS!$C$6,M696&lt;=INPUTS!$C$7),"Yes","No"))</f>
        <v>Yes</v>
      </c>
      <c r="O696" s="48" t="str">
        <f aca="false">STACK!H696</f>
        <v>RDN</v>
      </c>
      <c r="P696" s="1" t="str">
        <f aca="false">IF(G696&gt;0,IF(INDEX(CONFIRM!$H$5:$H$53,G696)&lt;&gt;"",INDEX(CONFIRM!$H$5:$H$53,G696),IFERROR(INDEX(MAP!$B$7:$B$156,MATCH(TRIM(O696),MAP!$A$7:$A$156,0)),"UNMAPPED")),IFERROR(INDEX(MAP!$B$7:$B$156,MATCH(TRIM(O696),MAP!$A$7:$A$156,0)),"UNMAPPED"))</f>
        <v>Registered Dietitian</v>
      </c>
      <c r="Q696" s="48" t="n">
        <f aca="false">STACK!I696</f>
        <v>1.75</v>
      </c>
      <c r="R696" s="60" t="n">
        <f aca="false">IF(G696&gt;0,IF(INDEX(CONFIRM!$F$5:$F$53,G696)&lt;&gt;"",INDEX(CONFIRM!$F$5:$F$53,G696),IF(ISNUMBER(Q696),Q696,IF(Q696="","",IFERROR(VALUE(TRIM(SUBSTITUTE(SUBSTITUTE(LOWER(Q696),"hrs",""),"hr",""))),"")))),IF(ISNUMBER(Q696),Q696,IF(Q696="","",IFERROR(VALUE(TRIM(SUBSTITUTE(SUBSTITUTE(LOWER(Q696),"hrs",""),"hr",""))),""))))</f>
        <v>1.75</v>
      </c>
      <c r="S696" s="57" t="n">
        <f aca="false">IFERROR(INDEX(RATES!$E$6:$E$28,MATCH(P696,RATES!$A$6:$A$28,0)),0)</f>
        <v>46.9025</v>
      </c>
      <c r="T696" s="61" t="n">
        <f aca="false">IF(ISNUMBER(R696),R696,0)*S696</f>
        <v>82.079375</v>
      </c>
      <c r="U696" s="61" t="n">
        <f aca="false">T696*INDEX(INPUTS!$H$10:$H$14,MATCH(B696,INPUTS!$A$10:$A$14,0))</f>
        <v>13.29685875</v>
      </c>
      <c r="V696" s="61" t="n">
        <f aca="false">N(STACK!K696)</f>
        <v>0</v>
      </c>
      <c r="W696" s="61" t="n">
        <f aca="false">T696+U696+V696</f>
        <v>95.37623375</v>
      </c>
      <c r="X696" s="61" t="n">
        <f aca="false">N(STACK!L696)</f>
        <v>0</v>
      </c>
      <c r="Y696" s="61" t="n">
        <f aca="false">W696-X696</f>
        <v>95.37623375</v>
      </c>
      <c r="Z696" s="1" t="n">
        <f aca="false">N(STACK!J696)</f>
        <v>0</v>
      </c>
      <c r="AA696" s="1" t="str">
        <f aca="false">TRIM(IF(D696="UNMAPPED","Program not mapped. ","")&amp;IF(OR(K696="UNMAPPED",K696="UNASSIGNED"),"Category needs review. ","")&amp;IF(P696="UNMAPPED","Title not mapped. ","")&amp;IF(AND(P696&lt;&gt;"No staff time",R696=""),"Missing hours. ","")&amp;IF(M696="","Date not readable. ","")&amp;IF(N696="No","Outside fiscal year. ","")&amp;IF(AND(F696="Event",ISNUMBER(R696)),IF(R696&gt;12,"Event hours look high. ",""),"")&amp;IF(G696&gt;0,"See CONFIRM sheet.",""))</f>
        <v/>
      </c>
      <c r="AB696" s="1" t="n">
        <f aca="false">IF(N696="No",0,IF(REVIEW!O696=0,0,IF(G696&gt;0,IF(INDEX(CONFIRM!$J$5:$J$53,G696)&lt;&gt;"",INDEX(CONFIRM!$J$5:$J$53,G696),1),1)))</f>
        <v>1</v>
      </c>
      <c r="AC696" s="1" t="n">
        <f aca="false">IF(AB696=1,IF(COUNTIFS($B$5:B696,B696,$D$5:D696,D696,$AB$5:AB696,1)=1,1,0),0)</f>
        <v>0</v>
      </c>
    </row>
    <row r="697" customFormat="false" ht="15" hidden="false" customHeight="false" outlineLevel="0" collapsed="false">
      <c r="A697" s="48" t="str">
        <f aca="false">STACK!A697</f>
        <v>ASH-0164</v>
      </c>
      <c r="B697" s="48" t="str">
        <f aca="false">STACK!B697</f>
        <v>ASH</v>
      </c>
      <c r="C697" s="48" t="str">
        <f aca="false">STACK!E697</f>
        <v>Grief Support</v>
      </c>
      <c r="D697" s="1" t="str">
        <f aca="false">IFERROR(INDEX(MAP!$J$7:$J$101,MATCH(TRIM(C697),MAP!$I$7:$I$101,0)),"UNMAPPED")</f>
        <v>Grief Support Group</v>
      </c>
      <c r="E697" s="1" t="str">
        <f aca="false">IFERROR(INDEX(MAP!$K$7:$K$101,MATCH(TRIM(C697),MAP!$I$7:$I$101,0)),"")</f>
        <v>Behavioral health</v>
      </c>
      <c r="F697" s="1" t="str">
        <f aca="false">IFERROR(INDEX(MAP!$L$7:$L$101,MATCH(TRIM(C697),MAP!$I$7:$I$101,0)),"")</f>
        <v>Event</v>
      </c>
      <c r="G697" s="1" t="n">
        <f aca="false">IFERROR(MATCH(A697,CONFIRM!$A$5:$A$53,0),0)</f>
        <v>0</v>
      </c>
      <c r="H697" s="48" t="str">
        <f aca="false">STACK!F697</f>
        <v>Support Svcs</v>
      </c>
      <c r="I697" s="1" t="str">
        <f aca="false">IF(G697&gt;0,IF(INDEX(CONFIRM!$I$5:$I$53,G697)&lt;&gt;"",INDEX(CONFIRM!$I$5:$I$53,G697),H697),H697)</f>
        <v>Support Svcs</v>
      </c>
      <c r="J697" s="1" t="str">
        <f aca="false">IFERROR(INDEX(MAP!$F$7:$F$74,MATCH(TRIM(I697),MAP!$E$7:$E$74,0)),"UNMAPPED")</f>
        <v>Health care support services</v>
      </c>
      <c r="K697" s="1" t="str">
        <f aca="false">IFERROR(INDEX(MAP!$G$7:$G$74,MATCH(TRIM(I697),MAP!$E$7:$E$74,0)),"UNMAPPED")</f>
        <v>7e</v>
      </c>
      <c r="L697" s="49" t="str">
        <f aca="false">STACK!G697</f>
        <v>02/02/2026</v>
      </c>
      <c r="M697" s="59" t="n">
        <f aca="false">IF(G697&gt;0,IF(INDEX(CONFIRM!$G$5:$G$53,G697)&lt;&gt;"",INDEX(CONFIRM!$G$5:$G$53,G697),IF(ISNUMBER(L697),L697,IFERROR(DATEVALUE(L697),""))),IF(ISNUMBER(L697),L697,IFERROR(DATEVALUE(L697),"")))</f>
        <v>46055</v>
      </c>
      <c r="N697" s="1" t="str">
        <f aca="false">IF(M697="","Check",IF(AND(M697&gt;=INPUTS!$C$6,M697&lt;=INPUTS!$C$7),"Yes","No"))</f>
        <v>Yes</v>
      </c>
      <c r="O697" s="48" t="str">
        <f aca="false">STACK!H697</f>
        <v>Pastoral Care</v>
      </c>
      <c r="P697" s="1" t="str">
        <f aca="false">IF(G697&gt;0,IF(INDEX(CONFIRM!$H$5:$H$53,G697)&lt;&gt;"",INDEX(CONFIRM!$H$5:$H$53,G697),IFERROR(INDEX(MAP!$B$7:$B$156,MATCH(TRIM(O697),MAP!$A$7:$A$156,0)),"UNMAPPED")),IFERROR(INDEX(MAP!$B$7:$B$156,MATCH(TRIM(O697),MAP!$A$7:$A$156,0)),"UNMAPPED"))</f>
        <v>Chaplain</v>
      </c>
      <c r="Q697" s="48" t="n">
        <f aca="false">STACK!I697</f>
        <v>2.5</v>
      </c>
      <c r="R697" s="60" t="n">
        <f aca="false">IF(G697&gt;0,IF(INDEX(CONFIRM!$F$5:$F$53,G697)&lt;&gt;"",INDEX(CONFIRM!$F$5:$F$53,G697),IF(ISNUMBER(Q697),Q697,IF(Q697="","",IFERROR(VALUE(TRIM(SUBSTITUTE(SUBSTITUTE(LOWER(Q697),"hrs",""),"hr",""))),"")))),IF(ISNUMBER(Q697),Q697,IF(Q697="","",IFERROR(VALUE(TRIM(SUBSTITUTE(SUBSTITUTE(LOWER(Q697),"hrs",""),"hr",""))),""))))</f>
        <v>2.5</v>
      </c>
      <c r="S697" s="57" t="n">
        <f aca="false">IFERROR(INDEX(RATES!$E$6:$E$28,MATCH(P697,RATES!$A$6:$A$28,0)),0)</f>
        <v>39.835</v>
      </c>
      <c r="T697" s="61" t="n">
        <f aca="false">IF(ISNUMBER(R697),R697,0)*S697</f>
        <v>99.5875</v>
      </c>
      <c r="U697" s="61" t="n">
        <f aca="false">T697*INDEX(INPUTS!$H$10:$H$14,MATCH(B697,INPUTS!$A$10:$A$14,0))</f>
        <v>16.133175</v>
      </c>
      <c r="V697" s="61" t="n">
        <f aca="false">N(STACK!K697)</f>
        <v>30</v>
      </c>
      <c r="W697" s="61" t="n">
        <f aca="false">T697+U697+V697</f>
        <v>145.720675</v>
      </c>
      <c r="X697" s="61" t="n">
        <f aca="false">N(STACK!L697)</f>
        <v>0</v>
      </c>
      <c r="Y697" s="61" t="n">
        <f aca="false">W697-X697</f>
        <v>145.720675</v>
      </c>
      <c r="Z697" s="1" t="n">
        <f aca="false">N(STACK!J697)</f>
        <v>9</v>
      </c>
      <c r="AA697" s="1" t="str">
        <f aca="false">TRIM(IF(D697="UNMAPPED","Program not mapped. ","")&amp;IF(OR(K697="UNMAPPED",K697="UNASSIGNED"),"Category needs review. ","")&amp;IF(P697="UNMAPPED","Title not mapped. ","")&amp;IF(AND(P697&lt;&gt;"No staff time",R697=""),"Missing hours. ","")&amp;IF(M697="","Date not readable. ","")&amp;IF(N697="No","Outside fiscal year. ","")&amp;IF(AND(F697="Event",ISNUMBER(R697)),IF(R697&gt;12,"Event hours look high. ",""),"")&amp;IF(G697&gt;0,"See CONFIRM sheet.",""))</f>
        <v/>
      </c>
      <c r="AB697" s="1" t="n">
        <f aca="false">IF(N697="No",0,IF(REVIEW!O697=0,0,IF(G697&gt;0,IF(INDEX(CONFIRM!$J$5:$J$53,G697)&lt;&gt;"",INDEX(CONFIRM!$J$5:$J$53,G697),1),1)))</f>
        <v>1</v>
      </c>
      <c r="AC697" s="1" t="n">
        <f aca="false">IF(AB697=1,IF(COUNTIFS($B$5:B697,B697,$D$5:D697,D697,$AB$5:AB697,1)=1,1,0),0)</f>
        <v>0</v>
      </c>
    </row>
    <row r="698" customFormat="false" ht="15" hidden="false" customHeight="false" outlineLevel="0" collapsed="false">
      <c r="A698" s="48" t="str">
        <f aca="false">STACK!A698</f>
        <v>ASH-0165</v>
      </c>
      <c r="B698" s="48" t="str">
        <f aca="false">STACK!B698</f>
        <v>ASH</v>
      </c>
      <c r="C698" s="48" t="str">
        <f aca="false">STACK!E698</f>
        <v>Grief Support</v>
      </c>
      <c r="D698" s="1" t="str">
        <f aca="false">IFERROR(INDEX(MAP!$J$7:$J$101,MATCH(TRIM(C698),MAP!$I$7:$I$101,0)),"UNMAPPED")</f>
        <v>Grief Support Group</v>
      </c>
      <c r="E698" s="1" t="str">
        <f aca="false">IFERROR(INDEX(MAP!$K$7:$K$101,MATCH(TRIM(C698),MAP!$I$7:$I$101,0)),"")</f>
        <v>Behavioral health</v>
      </c>
      <c r="F698" s="1" t="str">
        <f aca="false">IFERROR(INDEX(MAP!$L$7:$L$101,MATCH(TRIM(C698),MAP!$I$7:$I$101,0)),"")</f>
        <v>Event</v>
      </c>
      <c r="G698" s="1" t="n">
        <f aca="false">IFERROR(MATCH(A698,CONFIRM!$A$5:$A$53,0),0)</f>
        <v>0</v>
      </c>
      <c r="H698" s="48" t="str">
        <f aca="false">STACK!F698</f>
        <v>Support Svcs</v>
      </c>
      <c r="I698" s="1" t="str">
        <f aca="false">IF(G698&gt;0,IF(INDEX(CONFIRM!$I$5:$I$53,G698)&lt;&gt;"",INDEX(CONFIRM!$I$5:$I$53,G698),H698),H698)</f>
        <v>Support Svcs</v>
      </c>
      <c r="J698" s="1" t="str">
        <f aca="false">IFERROR(INDEX(MAP!$F$7:$F$74,MATCH(TRIM(I698),MAP!$E$7:$E$74,0)),"UNMAPPED")</f>
        <v>Health care support services</v>
      </c>
      <c r="K698" s="1" t="str">
        <f aca="false">IFERROR(INDEX(MAP!$G$7:$G$74,MATCH(TRIM(I698),MAP!$E$7:$E$74,0)),"UNMAPPED")</f>
        <v>7e</v>
      </c>
      <c r="L698" s="49" t="str">
        <f aca="false">STACK!G698</f>
        <v>02/02/2026</v>
      </c>
      <c r="M698" s="59" t="n">
        <f aca="false">IF(G698&gt;0,IF(INDEX(CONFIRM!$G$5:$G$53,G698)&lt;&gt;"",INDEX(CONFIRM!$G$5:$G$53,G698),IF(ISNUMBER(L698),L698,IFERROR(DATEVALUE(L698),""))),IF(ISNUMBER(L698),L698,IFERROR(DATEVALUE(L698),"")))</f>
        <v>46055</v>
      </c>
      <c r="N698" s="1" t="str">
        <f aca="false">IF(M698="","Check",IF(AND(M698&gt;=INPUTS!$C$6,M698&lt;=INPUTS!$C$7),"Yes","No"))</f>
        <v>Yes</v>
      </c>
      <c r="O698" s="48" t="str">
        <f aca="false">STACK!H698</f>
        <v>Social Work</v>
      </c>
      <c r="P698" s="1" t="str">
        <f aca="false">IF(G698&gt;0,IF(INDEX(CONFIRM!$H$5:$H$53,G698)&lt;&gt;"",INDEX(CONFIRM!$H$5:$H$53,G698),IFERROR(INDEX(MAP!$B$7:$B$156,MATCH(TRIM(O698),MAP!$A$7:$A$156,0)),"UNMAPPED")),IFERROR(INDEX(MAP!$B$7:$B$156,MATCH(TRIM(O698),MAP!$A$7:$A$156,0)),"UNMAPPED"))</f>
        <v>Social Worker</v>
      </c>
      <c r="Q698" s="48" t="n">
        <f aca="false">STACK!I698</f>
        <v>1.75</v>
      </c>
      <c r="R698" s="60" t="n">
        <f aca="false">IF(G698&gt;0,IF(INDEX(CONFIRM!$F$5:$F$53,G698)&lt;&gt;"",INDEX(CONFIRM!$F$5:$F$53,G698),IF(ISNUMBER(Q698),Q698,IF(Q698="","",IFERROR(VALUE(TRIM(SUBSTITUTE(SUBSTITUTE(LOWER(Q698),"hrs",""),"hr",""))),"")))),IF(ISNUMBER(Q698),Q698,IF(Q698="","",IFERROR(VALUE(TRIM(SUBSTITUTE(SUBSTITUTE(LOWER(Q698),"hrs",""),"hr",""))),""))))</f>
        <v>1.75</v>
      </c>
      <c r="S698" s="57" t="n">
        <f aca="false">IFERROR(INDEX(RATES!$E$6:$E$28,MATCH(P698,RATES!$A$6:$A$28,0)),0)</f>
        <v>45.6175</v>
      </c>
      <c r="T698" s="61" t="n">
        <f aca="false">IF(ISNUMBER(R698),R698,0)*S698</f>
        <v>79.830625</v>
      </c>
      <c r="U698" s="61" t="n">
        <f aca="false">T698*INDEX(INPUTS!$H$10:$H$14,MATCH(B698,INPUTS!$A$10:$A$14,0))</f>
        <v>12.93256125</v>
      </c>
      <c r="V698" s="61" t="n">
        <f aca="false">N(STACK!K698)</f>
        <v>0</v>
      </c>
      <c r="W698" s="61" t="n">
        <f aca="false">T698+U698+V698</f>
        <v>92.76318625</v>
      </c>
      <c r="X698" s="61" t="n">
        <f aca="false">N(STACK!L698)</f>
        <v>0</v>
      </c>
      <c r="Y698" s="61" t="n">
        <f aca="false">W698-X698</f>
        <v>92.76318625</v>
      </c>
      <c r="Z698" s="1" t="n">
        <f aca="false">N(STACK!J698)</f>
        <v>0</v>
      </c>
      <c r="AA698" s="1" t="str">
        <f aca="false">TRIM(IF(D698="UNMAPPED","Program not mapped. ","")&amp;IF(OR(K698="UNMAPPED",K698="UNASSIGNED"),"Category needs review. ","")&amp;IF(P698="UNMAPPED","Title not mapped. ","")&amp;IF(AND(P698&lt;&gt;"No staff time",R698=""),"Missing hours. ","")&amp;IF(M698="","Date not readable. ","")&amp;IF(N698="No","Outside fiscal year. ","")&amp;IF(AND(F698="Event",ISNUMBER(R698)),IF(R698&gt;12,"Event hours look high. ",""),"")&amp;IF(G698&gt;0,"See CONFIRM sheet.",""))</f>
        <v/>
      </c>
      <c r="AB698" s="1" t="n">
        <f aca="false">IF(N698="No",0,IF(REVIEW!O698=0,0,IF(G698&gt;0,IF(INDEX(CONFIRM!$J$5:$J$53,G698)&lt;&gt;"",INDEX(CONFIRM!$J$5:$J$53,G698),1),1)))</f>
        <v>1</v>
      </c>
      <c r="AC698" s="1" t="n">
        <f aca="false">IF(AB698=1,IF(COUNTIFS($B$5:B698,B698,$D$5:D698,D698,$AB$5:AB698,1)=1,1,0),0)</f>
        <v>0</v>
      </c>
    </row>
    <row r="699" customFormat="false" ht="15" hidden="false" customHeight="false" outlineLevel="0" collapsed="false">
      <c r="A699" s="48" t="str">
        <f aca="false">STACK!A699</f>
        <v>ASH-0166</v>
      </c>
      <c r="B699" s="48" t="str">
        <f aca="false">STACK!B699</f>
        <v>ASH</v>
      </c>
      <c r="C699" s="48" t="str">
        <f aca="false">STACK!E699</f>
        <v>Regional Health Coalition Mtg</v>
      </c>
      <c r="D699" s="1" t="str">
        <f aca="false">IFERROR(INDEX(MAP!$J$7:$J$101,MATCH(TRIM(C699),MAP!$I$7:$I$101,0)),"UNMAPPED")</f>
        <v>Regional Health Coalition</v>
      </c>
      <c r="E699" s="1" t="str">
        <f aca="false">IFERROR(INDEX(MAP!$K$7:$K$101,MATCH(TRIM(C699),MAP!$I$7:$I$101,0)),"")</f>
        <v>Community benefit infrastructure</v>
      </c>
      <c r="F699" s="1" t="str">
        <f aca="false">IFERROR(INDEX(MAP!$L$7:$L$101,MATCH(TRIM(C699),MAP!$I$7:$I$101,0)),"")</f>
        <v>Event</v>
      </c>
      <c r="G699" s="1" t="n">
        <f aca="false">IFERROR(MATCH(A699,CONFIRM!$A$5:$A$53,0),0)</f>
        <v>0</v>
      </c>
      <c r="H699" s="48" t="str">
        <f aca="false">STACK!F699</f>
        <v>CB-Coalition Bldg</v>
      </c>
      <c r="I699" s="1" t="str">
        <f aca="false">IF(G699&gt;0,IF(INDEX(CONFIRM!$I$5:$I$53,G699)&lt;&gt;"",INDEX(CONFIRM!$I$5:$I$53,G699),H699),H699)</f>
        <v>CB-Coalition Bldg</v>
      </c>
      <c r="J699" s="1" t="str">
        <f aca="false">IFERROR(INDEX(MAP!$F$7:$F$74,MATCH(TRIM(I699),MAP!$E$7:$E$74,0)),"UNMAPPED")</f>
        <v>Community building: coalition building</v>
      </c>
      <c r="K699" s="1" t="str">
        <f aca="false">IFERROR(INDEX(MAP!$G$7:$G$74,MATCH(TRIM(I699),MAP!$E$7:$E$74,0)),"UNMAPPED")</f>
        <v>II-6</v>
      </c>
      <c r="L699" s="49" t="str">
        <f aca="false">STACK!G699</f>
        <v>02/04/2026</v>
      </c>
      <c r="M699" s="59" t="n">
        <f aca="false">IF(G699&gt;0,IF(INDEX(CONFIRM!$G$5:$G$53,G699)&lt;&gt;"",INDEX(CONFIRM!$G$5:$G$53,G699),IF(ISNUMBER(L699),L699,IFERROR(DATEVALUE(L699),""))),IF(ISNUMBER(L699),L699,IFERROR(DATEVALUE(L699),"")))</f>
        <v>46057</v>
      </c>
      <c r="N699" s="1" t="str">
        <f aca="false">IF(M699="","Check",IF(AND(M699&gt;=INPUTS!$C$6,M699&lt;=INPUTS!$C$7),"Yes","No"))</f>
        <v>Yes</v>
      </c>
      <c r="O699" s="48" t="str">
        <f aca="false">STACK!H699</f>
        <v>CB Manager</v>
      </c>
      <c r="P699" s="1" t="str">
        <f aca="false">IF(G699&gt;0,IF(INDEX(CONFIRM!$H$5:$H$53,G699)&lt;&gt;"",INDEX(CONFIRM!$H$5:$H$53,G699),IFERROR(INDEX(MAP!$B$7:$B$156,MATCH(TRIM(O699),MAP!$A$7:$A$156,0)),"UNMAPPED")),IFERROR(INDEX(MAP!$B$7:$B$156,MATCH(TRIM(O699),MAP!$A$7:$A$156,0)),"UNMAPPED"))</f>
        <v>Community Benefit Manager</v>
      </c>
      <c r="Q699" s="48" t="n">
        <f aca="false">STACK!I699</f>
        <v>2.5</v>
      </c>
      <c r="R699" s="60" t="n">
        <f aca="false">IF(G699&gt;0,IF(INDEX(CONFIRM!$F$5:$F$53,G699)&lt;&gt;"",INDEX(CONFIRM!$F$5:$F$53,G699),IF(ISNUMBER(Q699),Q699,IF(Q699="","",IFERROR(VALUE(TRIM(SUBSTITUTE(SUBSTITUTE(LOWER(Q699),"hrs",""),"hr",""))),"")))),IF(ISNUMBER(Q699),Q699,IF(Q699="","",IFERROR(VALUE(TRIM(SUBSTITUTE(SUBSTITUTE(LOWER(Q699),"hrs",""),"hr",""))),""))))</f>
        <v>2.5</v>
      </c>
      <c r="S699" s="57" t="n">
        <f aca="false">IFERROR(INDEX(RATES!$E$6:$E$28,MATCH(P699,RATES!$A$6:$A$28,0)),0)</f>
        <v>59.11</v>
      </c>
      <c r="T699" s="61" t="n">
        <f aca="false">IF(ISNUMBER(R699),R699,0)*S699</f>
        <v>147.775</v>
      </c>
      <c r="U699" s="61" t="n">
        <f aca="false">T699*INDEX(INPUTS!$H$10:$H$14,MATCH(B699,INPUTS!$A$10:$A$14,0))</f>
        <v>23.93955</v>
      </c>
      <c r="V699" s="61" t="n">
        <f aca="false">N(STACK!K699)</f>
        <v>0</v>
      </c>
      <c r="W699" s="61" t="n">
        <f aca="false">T699+U699+V699</f>
        <v>171.71455</v>
      </c>
      <c r="X699" s="61" t="n">
        <f aca="false">N(STACK!L699)</f>
        <v>0</v>
      </c>
      <c r="Y699" s="61" t="n">
        <f aca="false">W699-X699</f>
        <v>171.71455</v>
      </c>
      <c r="Z699" s="1" t="n">
        <f aca="false">N(STACK!J699)</f>
        <v>0</v>
      </c>
      <c r="AA699" s="1" t="str">
        <f aca="false">TRIM(IF(D699="UNMAPPED","Program not mapped. ","")&amp;IF(OR(K699="UNMAPPED",K699="UNASSIGNED"),"Category needs review. ","")&amp;IF(P699="UNMAPPED","Title not mapped. ","")&amp;IF(AND(P699&lt;&gt;"No staff time",R699=""),"Missing hours. ","")&amp;IF(M699="","Date not readable. ","")&amp;IF(N699="No","Outside fiscal year. ","")&amp;IF(AND(F699="Event",ISNUMBER(R699)),IF(R699&gt;12,"Event hours look high. ",""),"")&amp;IF(G699&gt;0,"See CONFIRM sheet.",""))</f>
        <v/>
      </c>
      <c r="AB699" s="1" t="n">
        <f aca="false">IF(N699="No",0,IF(REVIEW!O699=0,0,IF(G699&gt;0,IF(INDEX(CONFIRM!$J$5:$J$53,G699)&lt;&gt;"",INDEX(CONFIRM!$J$5:$J$53,G699),1),1)))</f>
        <v>1</v>
      </c>
      <c r="AC699" s="1" t="n">
        <f aca="false">IF(AB699=1,IF(COUNTIFS($B$5:B699,B699,$D$5:D699,D699,$AB$5:AB699,1)=1,1,0),0)</f>
        <v>0</v>
      </c>
    </row>
    <row r="700" customFormat="false" ht="15" hidden="false" customHeight="false" outlineLevel="0" collapsed="false">
      <c r="A700" s="48" t="str">
        <f aca="false">STACK!A700</f>
        <v>ASH-0167</v>
      </c>
      <c r="B700" s="48" t="str">
        <f aca="false">STACK!B700</f>
        <v>ASH</v>
      </c>
      <c r="C700" s="48" t="str">
        <f aca="false">STACK!E700</f>
        <v>Regional Health Coalition Mtg</v>
      </c>
      <c r="D700" s="1" t="str">
        <f aca="false">IFERROR(INDEX(MAP!$J$7:$J$101,MATCH(TRIM(C700),MAP!$I$7:$I$101,0)),"UNMAPPED")</f>
        <v>Regional Health Coalition</v>
      </c>
      <c r="E700" s="1" t="str">
        <f aca="false">IFERROR(INDEX(MAP!$K$7:$K$101,MATCH(TRIM(C700),MAP!$I$7:$I$101,0)),"")</f>
        <v>Community benefit infrastructure</v>
      </c>
      <c r="F700" s="1" t="str">
        <f aca="false">IFERROR(INDEX(MAP!$L$7:$L$101,MATCH(TRIM(C700),MAP!$I$7:$I$101,0)),"")</f>
        <v>Event</v>
      </c>
      <c r="G700" s="1" t="n">
        <f aca="false">IFERROR(MATCH(A700,CONFIRM!$A$5:$A$53,0),0)</f>
        <v>0</v>
      </c>
      <c r="H700" s="48" t="str">
        <f aca="false">STACK!F700</f>
        <v>CB-Coalition Bldg</v>
      </c>
      <c r="I700" s="1" t="str">
        <f aca="false">IF(G700&gt;0,IF(INDEX(CONFIRM!$I$5:$I$53,G700)&lt;&gt;"",INDEX(CONFIRM!$I$5:$I$53,G700),H700),H700)</f>
        <v>CB-Coalition Bldg</v>
      </c>
      <c r="J700" s="1" t="str">
        <f aca="false">IFERROR(INDEX(MAP!$F$7:$F$74,MATCH(TRIM(I700),MAP!$E$7:$E$74,0)),"UNMAPPED")</f>
        <v>Community building: coalition building</v>
      </c>
      <c r="K700" s="1" t="str">
        <f aca="false">IFERROR(INDEX(MAP!$G$7:$G$74,MATCH(TRIM(I700),MAP!$E$7:$E$74,0)),"UNMAPPED")</f>
        <v>II-6</v>
      </c>
      <c r="L700" s="49" t="str">
        <f aca="false">STACK!G700</f>
        <v>02/04/2026</v>
      </c>
      <c r="M700" s="59" t="n">
        <f aca="false">IF(G700&gt;0,IF(INDEX(CONFIRM!$G$5:$G$53,G700)&lt;&gt;"",INDEX(CONFIRM!$G$5:$G$53,G700),IF(ISNUMBER(L700),L700,IFERROR(DATEVALUE(L700),""))),IF(ISNUMBER(L700),L700,IFERROR(DATEVALUE(L700),"")))</f>
        <v>46057</v>
      </c>
      <c r="N700" s="1" t="str">
        <f aca="false">IF(M700="","Check",IF(AND(M700&gt;=INPUTS!$C$6,M700&lt;=INPUTS!$C$7),"Yes","No"))</f>
        <v>Yes</v>
      </c>
      <c r="O700" s="48" t="str">
        <f aca="false">STACK!H700</f>
        <v>Director, Mission</v>
      </c>
      <c r="P700" s="1" t="str">
        <f aca="false">IF(G700&gt;0,IF(INDEX(CONFIRM!$H$5:$H$53,G700)&lt;&gt;"",INDEX(CONFIRM!$H$5:$H$53,G700),IFERROR(INDEX(MAP!$B$7:$B$156,MATCH(TRIM(O700),MAP!$A$7:$A$156,0)),"UNMAPPED")),IFERROR(INDEX(MAP!$B$7:$B$156,MATCH(TRIM(O700),MAP!$A$7:$A$156,0)),"UNMAPPED"))</f>
        <v>Director</v>
      </c>
      <c r="Q700" s="48" t="n">
        <f aca="false">STACK!I700</f>
        <v>2.5</v>
      </c>
      <c r="R700" s="60" t="n">
        <f aca="false">IF(G700&gt;0,IF(INDEX(CONFIRM!$F$5:$F$53,G700)&lt;&gt;"",INDEX(CONFIRM!$F$5:$F$53,G700),IF(ISNUMBER(Q700),Q700,IF(Q700="","",IFERROR(VALUE(TRIM(SUBSTITUTE(SUBSTITUTE(LOWER(Q700),"hrs",""),"hr",""))),"")))),IF(ISNUMBER(Q700),Q700,IF(Q700="","",IFERROR(VALUE(TRIM(SUBSTITUTE(SUBSTITUTE(LOWER(Q700),"hrs",""),"hr",""))),""))))</f>
        <v>2.5</v>
      </c>
      <c r="S700" s="57" t="n">
        <f aca="false">IFERROR(INDEX(RATES!$E$6:$E$28,MATCH(P700,RATES!$A$6:$A$28,0)),0)</f>
        <v>92.52</v>
      </c>
      <c r="T700" s="61" t="n">
        <f aca="false">IF(ISNUMBER(R700),R700,0)*S700</f>
        <v>231.3</v>
      </c>
      <c r="U700" s="61" t="n">
        <f aca="false">T700*INDEX(INPUTS!$H$10:$H$14,MATCH(B700,INPUTS!$A$10:$A$14,0))</f>
        <v>37.4706</v>
      </c>
      <c r="V700" s="61" t="n">
        <f aca="false">N(STACK!K700)</f>
        <v>50</v>
      </c>
      <c r="W700" s="61" t="n">
        <f aca="false">T700+U700+V700</f>
        <v>318.7706</v>
      </c>
      <c r="X700" s="61" t="n">
        <f aca="false">N(STACK!L700)</f>
        <v>0</v>
      </c>
      <c r="Y700" s="61" t="n">
        <f aca="false">W700-X700</f>
        <v>318.7706</v>
      </c>
      <c r="Z700" s="1" t="n">
        <f aca="false">N(STACK!J700)</f>
        <v>0</v>
      </c>
      <c r="AA700" s="1" t="str">
        <f aca="false">TRIM(IF(D700="UNMAPPED","Program not mapped. ","")&amp;IF(OR(K700="UNMAPPED",K700="UNASSIGNED"),"Category needs review. ","")&amp;IF(P700="UNMAPPED","Title not mapped. ","")&amp;IF(AND(P700&lt;&gt;"No staff time",R700=""),"Missing hours. ","")&amp;IF(M700="","Date not readable. ","")&amp;IF(N700="No","Outside fiscal year. ","")&amp;IF(AND(F700="Event",ISNUMBER(R700)),IF(R700&gt;12,"Event hours look high. ",""),"")&amp;IF(G700&gt;0,"See CONFIRM sheet.",""))</f>
        <v/>
      </c>
      <c r="AB700" s="1" t="n">
        <f aca="false">IF(N700="No",0,IF(REVIEW!O700=0,0,IF(G700&gt;0,IF(INDEX(CONFIRM!$J$5:$J$53,G700)&lt;&gt;"",INDEX(CONFIRM!$J$5:$J$53,G700),1),1)))</f>
        <v>1</v>
      </c>
      <c r="AC700" s="1" t="n">
        <f aca="false">IF(AB700=1,IF(COUNTIFS($B$5:B700,B700,$D$5:D700,D700,$AB$5:AB700,1)=1,1,0),0)</f>
        <v>0</v>
      </c>
    </row>
    <row r="701" customFormat="false" ht="15" hidden="false" customHeight="false" outlineLevel="0" collapsed="false">
      <c r="A701" s="48" t="str">
        <f aca="false">STACK!A701</f>
        <v>ASH-0168</v>
      </c>
      <c r="B701" s="48" t="str">
        <f aca="false">STACK!B701</f>
        <v>ASH</v>
      </c>
      <c r="C701" s="48" t="str">
        <f aca="false">STACK!E701</f>
        <v>Leadership Academy</v>
      </c>
      <c r="D701" s="1" t="str">
        <f aca="false">IFERROR(INDEX(MAP!$J$7:$J$101,MATCH(TRIM(C701),MAP!$I$7:$I$101,0)),"UNMAPPED")</f>
        <v>Neighborhood Leadership Academy</v>
      </c>
      <c r="E701" s="1" t="str">
        <f aca="false">IFERROR(INDEX(MAP!$K$7:$K$101,MATCH(TRIM(C701),MAP!$I$7:$I$101,0)),"")</f>
        <v>Community benefit infrastructure</v>
      </c>
      <c r="F701" s="1" t="str">
        <f aca="false">IFERROR(INDEX(MAP!$L$7:$L$101,MATCH(TRIM(C701),MAP!$I$7:$I$101,0)),"")</f>
        <v>Event</v>
      </c>
      <c r="G701" s="1" t="n">
        <f aca="false">IFERROR(MATCH(A701,CONFIRM!$A$5:$A$53,0),0)</f>
        <v>0</v>
      </c>
      <c r="H701" s="48" t="str">
        <f aca="false">STACK!F701</f>
        <v>CB-Leadership Dev</v>
      </c>
      <c r="I701" s="1" t="str">
        <f aca="false">IF(G701&gt;0,IF(INDEX(CONFIRM!$I$5:$I$53,G701)&lt;&gt;"",INDEX(CONFIRM!$I$5:$I$53,G701),H701),H701)</f>
        <v>CB-Leadership Dev</v>
      </c>
      <c r="J701" s="1" t="str">
        <f aca="false">IFERROR(INDEX(MAP!$F$7:$F$74,MATCH(TRIM(I701),MAP!$E$7:$E$74,0)),"UNMAPPED")</f>
        <v>Community building: leadership development</v>
      </c>
      <c r="K701" s="1" t="str">
        <f aca="false">IFERROR(INDEX(MAP!$G$7:$G$74,MATCH(TRIM(I701),MAP!$E$7:$E$74,0)),"UNMAPPED")</f>
        <v>II-5</v>
      </c>
      <c r="L701" s="49" t="str">
        <f aca="false">STACK!G701</f>
        <v>02/04/2026</v>
      </c>
      <c r="M701" s="59" t="n">
        <f aca="false">IF(G701&gt;0,IF(INDEX(CONFIRM!$G$5:$G$53,G701)&lt;&gt;"",INDEX(CONFIRM!$G$5:$G$53,G701),IF(ISNUMBER(L701),L701,IFERROR(DATEVALUE(L701),""))),IF(ISNUMBER(L701),L701,IFERROR(DATEVALUE(L701),"")))</f>
        <v>46057</v>
      </c>
      <c r="N701" s="1" t="str">
        <f aca="false">IF(M701="","Check",IF(AND(M701&gt;=INPUTS!$C$6,M701&lt;=INPUTS!$C$7),"Yes","No"))</f>
        <v>Yes</v>
      </c>
      <c r="O701" s="48" t="str">
        <f aca="false">STACK!H701</f>
        <v>Community Educator</v>
      </c>
      <c r="P701" s="1" t="str">
        <f aca="false">IF(G701&gt;0,IF(INDEX(CONFIRM!$H$5:$H$53,G701)&lt;&gt;"",INDEX(CONFIRM!$H$5:$H$53,G701),IFERROR(INDEX(MAP!$B$7:$B$156,MATCH(TRIM(O701),MAP!$A$7:$A$156,0)),"UNMAPPED")),IFERROR(INDEX(MAP!$B$7:$B$156,MATCH(TRIM(O701),MAP!$A$7:$A$156,0)),"UNMAPPED"))</f>
        <v>Health Educator</v>
      </c>
      <c r="Q701" s="48" t="n">
        <f aca="false">STACK!I701</f>
        <v>3.75</v>
      </c>
      <c r="R701" s="60" t="n">
        <f aca="false">IF(G701&gt;0,IF(INDEX(CONFIRM!$F$5:$F$53,G701)&lt;&gt;"",INDEX(CONFIRM!$F$5:$F$53,G701),IF(ISNUMBER(Q701),Q701,IF(Q701="","",IFERROR(VALUE(TRIM(SUBSTITUTE(SUBSTITUTE(LOWER(Q701),"hrs",""),"hr",""))),"")))),IF(ISNUMBER(Q701),Q701,IF(Q701="","",IFERROR(VALUE(TRIM(SUBSTITUTE(SUBSTITUTE(LOWER(Q701),"hrs",""),"hr",""))),""))))</f>
        <v>3.75</v>
      </c>
      <c r="S701" s="57" t="n">
        <f aca="false">IFERROR(INDEX(RATES!$E$6:$E$28,MATCH(P701,RATES!$A$6:$A$28,0)),0)</f>
        <v>37.265</v>
      </c>
      <c r="T701" s="61" t="n">
        <f aca="false">IF(ISNUMBER(R701),R701,0)*S701</f>
        <v>139.74375</v>
      </c>
      <c r="U701" s="61" t="n">
        <f aca="false">T701*INDEX(INPUTS!$H$10:$H$14,MATCH(B701,INPUTS!$A$10:$A$14,0))</f>
        <v>22.6384875</v>
      </c>
      <c r="V701" s="61" t="n">
        <f aca="false">N(STACK!K701)</f>
        <v>0</v>
      </c>
      <c r="W701" s="61" t="n">
        <f aca="false">T701+U701+V701</f>
        <v>162.3822375</v>
      </c>
      <c r="X701" s="61" t="n">
        <f aca="false">N(STACK!L701)</f>
        <v>0</v>
      </c>
      <c r="Y701" s="61" t="n">
        <f aca="false">W701-X701</f>
        <v>162.3822375</v>
      </c>
      <c r="Z701" s="1" t="n">
        <f aca="false">N(STACK!J701)</f>
        <v>0</v>
      </c>
      <c r="AA701" s="1" t="str">
        <f aca="false">TRIM(IF(D701="UNMAPPED","Program not mapped. ","")&amp;IF(OR(K701="UNMAPPED",K701="UNASSIGNED"),"Category needs review. ","")&amp;IF(P701="UNMAPPED","Title not mapped. ","")&amp;IF(AND(P701&lt;&gt;"No staff time",R701=""),"Missing hours. ","")&amp;IF(M701="","Date not readable. ","")&amp;IF(N701="No","Outside fiscal year. ","")&amp;IF(AND(F701="Event",ISNUMBER(R701)),IF(R701&gt;12,"Event hours look high. ",""),"")&amp;IF(G701&gt;0,"See CONFIRM sheet.",""))</f>
        <v/>
      </c>
      <c r="AB701" s="1" t="n">
        <f aca="false">IF(N701="No",0,IF(REVIEW!O701=0,0,IF(G701&gt;0,IF(INDEX(CONFIRM!$J$5:$J$53,G701)&lt;&gt;"",INDEX(CONFIRM!$J$5:$J$53,G701),1),1)))</f>
        <v>1</v>
      </c>
      <c r="AC701" s="1" t="n">
        <f aca="false">IF(AB701=1,IF(COUNTIFS($B$5:B701,B701,$D$5:D701,D701,$AB$5:AB701,1)=1,1,0),0)</f>
        <v>0</v>
      </c>
    </row>
    <row r="702" customFormat="false" ht="15" hidden="false" customHeight="false" outlineLevel="0" collapsed="false">
      <c r="A702" s="48" t="str">
        <f aca="false">STACK!A702</f>
        <v>ASH-0169</v>
      </c>
      <c r="B702" s="48" t="str">
        <f aca="false">STACK!B702</f>
        <v>ASH</v>
      </c>
      <c r="C702" s="48" t="str">
        <f aca="false">STACK!E702</f>
        <v>Leadership Academy</v>
      </c>
      <c r="D702" s="1" t="str">
        <f aca="false">IFERROR(INDEX(MAP!$J$7:$J$101,MATCH(TRIM(C702),MAP!$I$7:$I$101,0)),"UNMAPPED")</f>
        <v>Neighborhood Leadership Academy</v>
      </c>
      <c r="E702" s="1" t="str">
        <f aca="false">IFERROR(INDEX(MAP!$K$7:$K$101,MATCH(TRIM(C702),MAP!$I$7:$I$101,0)),"")</f>
        <v>Community benefit infrastructure</v>
      </c>
      <c r="F702" s="1" t="str">
        <f aca="false">IFERROR(INDEX(MAP!$L$7:$L$101,MATCH(TRIM(C702),MAP!$I$7:$I$101,0)),"")</f>
        <v>Event</v>
      </c>
      <c r="G702" s="1" t="n">
        <f aca="false">IFERROR(MATCH(A702,CONFIRM!$A$5:$A$53,0),0)</f>
        <v>0</v>
      </c>
      <c r="H702" s="48" t="str">
        <f aca="false">STACK!F702</f>
        <v>CB-Leadership Dev</v>
      </c>
      <c r="I702" s="1" t="str">
        <f aca="false">IF(G702&gt;0,IF(INDEX(CONFIRM!$I$5:$I$53,G702)&lt;&gt;"",INDEX(CONFIRM!$I$5:$I$53,G702),H702),H702)</f>
        <v>CB-Leadership Dev</v>
      </c>
      <c r="J702" s="1" t="str">
        <f aca="false">IFERROR(INDEX(MAP!$F$7:$F$74,MATCH(TRIM(I702),MAP!$E$7:$E$74,0)),"UNMAPPED")</f>
        <v>Community building: leadership development</v>
      </c>
      <c r="K702" s="1" t="str">
        <f aca="false">IFERROR(INDEX(MAP!$G$7:$G$74,MATCH(TRIM(I702),MAP!$E$7:$E$74,0)),"UNMAPPED")</f>
        <v>II-5</v>
      </c>
      <c r="L702" s="49" t="str">
        <f aca="false">STACK!G702</f>
        <v>02/04/2026</v>
      </c>
      <c r="M702" s="59" t="n">
        <f aca="false">IF(G702&gt;0,IF(INDEX(CONFIRM!$G$5:$G$53,G702)&lt;&gt;"",INDEX(CONFIRM!$G$5:$G$53,G702),IF(ISNUMBER(L702),L702,IFERROR(DATEVALUE(L702),""))),IF(ISNUMBER(L702),L702,IFERROR(DATEVALUE(L702),"")))</f>
        <v>46057</v>
      </c>
      <c r="N702" s="1" t="str">
        <f aca="false">IF(M702="","Check",IF(AND(M702&gt;=INPUTS!$C$6,M702&lt;=INPUTS!$C$7),"Yes","No"))</f>
        <v>Yes</v>
      </c>
      <c r="O702" s="48" t="str">
        <f aca="false">STACK!H702</f>
        <v>Prog Coord</v>
      </c>
      <c r="P702" s="1" t="str">
        <f aca="false">IF(G702&gt;0,IF(INDEX(CONFIRM!$H$5:$H$53,G702)&lt;&gt;"",INDEX(CONFIRM!$H$5:$H$53,G702),IFERROR(INDEX(MAP!$B$7:$B$156,MATCH(TRIM(O702),MAP!$A$7:$A$156,0)),"UNMAPPED")),IFERROR(INDEX(MAP!$B$7:$B$156,MATCH(TRIM(O702),MAP!$A$7:$A$156,0)),"UNMAPPED"))</f>
        <v>Program Coordinator</v>
      </c>
      <c r="Q702" s="48" t="n">
        <f aca="false">STACK!I702</f>
        <v>4.75</v>
      </c>
      <c r="R702" s="60" t="n">
        <f aca="false">IF(G702&gt;0,IF(INDEX(CONFIRM!$F$5:$F$53,G702)&lt;&gt;"",INDEX(CONFIRM!$F$5:$F$53,G702),IF(ISNUMBER(Q702),Q702,IF(Q702="","",IFERROR(VALUE(TRIM(SUBSTITUTE(SUBSTITUTE(LOWER(Q702),"hrs",""),"hr",""))),"")))),IF(ISNUMBER(Q702),Q702,IF(Q702="","",IFERROR(VALUE(TRIM(SUBSTITUTE(SUBSTITUTE(LOWER(Q702),"hrs",""),"hr",""))),""))))</f>
        <v>4.75</v>
      </c>
      <c r="S702" s="57" t="n">
        <f aca="false">IFERROR(INDEX(RATES!$E$6:$E$28,MATCH(P702,RATES!$A$6:$A$28,0)),0)</f>
        <v>35.3375</v>
      </c>
      <c r="T702" s="61" t="n">
        <f aca="false">IF(ISNUMBER(R702),R702,0)*S702</f>
        <v>167.853125</v>
      </c>
      <c r="U702" s="61" t="n">
        <f aca="false">T702*INDEX(INPUTS!$H$10:$H$14,MATCH(B702,INPUTS!$A$10:$A$14,0))</f>
        <v>27.19220625</v>
      </c>
      <c r="V702" s="61" t="n">
        <f aca="false">N(STACK!K702)</f>
        <v>330</v>
      </c>
      <c r="W702" s="61" t="n">
        <f aca="false">T702+U702+V702</f>
        <v>525.04533125</v>
      </c>
      <c r="X702" s="61" t="n">
        <f aca="false">N(STACK!L702)</f>
        <v>0</v>
      </c>
      <c r="Y702" s="61" t="n">
        <f aca="false">W702-X702</f>
        <v>525.04533125</v>
      </c>
      <c r="Z702" s="1" t="n">
        <f aca="false">N(STACK!J702)</f>
        <v>19</v>
      </c>
      <c r="AA702" s="1" t="str">
        <f aca="false">TRIM(IF(D702="UNMAPPED","Program not mapped. ","")&amp;IF(OR(K702="UNMAPPED",K702="UNASSIGNED"),"Category needs review. ","")&amp;IF(P702="UNMAPPED","Title not mapped. ","")&amp;IF(AND(P702&lt;&gt;"No staff time",R702=""),"Missing hours. ","")&amp;IF(M702="","Date not readable. ","")&amp;IF(N702="No","Outside fiscal year. ","")&amp;IF(AND(F702="Event",ISNUMBER(R702)),IF(R702&gt;12,"Event hours look high. ",""),"")&amp;IF(G702&gt;0,"See CONFIRM sheet.",""))</f>
        <v/>
      </c>
      <c r="AB702" s="1" t="n">
        <f aca="false">IF(N702="No",0,IF(REVIEW!O702=0,0,IF(G702&gt;0,IF(INDEX(CONFIRM!$J$5:$J$53,G702)&lt;&gt;"",INDEX(CONFIRM!$J$5:$J$53,G702),1),1)))</f>
        <v>1</v>
      </c>
      <c r="AC702" s="1" t="n">
        <f aca="false">IF(AB702=1,IF(COUNTIFS($B$5:B702,B702,$D$5:D702,D702,$AB$5:AB702,1)=1,1,0),0)</f>
        <v>0</v>
      </c>
    </row>
    <row r="703" customFormat="false" ht="15" hidden="false" customHeight="false" outlineLevel="0" collapsed="false">
      <c r="A703" s="48" t="str">
        <f aca="false">STACK!A703</f>
        <v>ASH-0170</v>
      </c>
      <c r="B703" s="48" t="str">
        <f aca="false">STACK!B703</f>
        <v>ASH</v>
      </c>
      <c r="C703" s="48" t="str">
        <f aca="false">STACK!E703</f>
        <v>Car Seat Checks</v>
      </c>
      <c r="D703" s="1" t="str">
        <f aca="false">IFERROR(INDEX(MAP!$J$7:$J$101,MATCH(TRIM(C703),MAP!$I$7:$I$101,0)),"UNMAPPED")</f>
        <v>Car Seat Safety Checks</v>
      </c>
      <c r="E703" s="1" t="str">
        <f aca="false">IFERROR(INDEX(MAP!$K$7:$K$101,MATCH(TRIM(C703),MAP!$I$7:$I$101,0)),"")</f>
        <v>Maternal and child health</v>
      </c>
      <c r="F703" s="1" t="str">
        <f aca="false">IFERROR(INDEX(MAP!$L$7:$L$101,MATCH(TRIM(C703),MAP!$I$7:$I$101,0)),"")</f>
        <v>Event</v>
      </c>
      <c r="G703" s="1" t="n">
        <f aca="false">IFERROR(MATCH(A703,CONFIRM!$A$5:$A$53,0),0)</f>
        <v>0</v>
      </c>
      <c r="H703" s="48" t="str">
        <f aca="false">STACK!F703</f>
        <v>Comm Hlth Ed</v>
      </c>
      <c r="I703" s="1" t="str">
        <f aca="false">IF(G703&gt;0,IF(INDEX(CONFIRM!$I$5:$I$53,G703)&lt;&gt;"",INDEX(CONFIRM!$I$5:$I$53,G703),H703),H703)</f>
        <v>Comm Hlth Ed</v>
      </c>
      <c r="J703" s="1" t="str">
        <f aca="false">IFERROR(INDEX(MAP!$F$7:$F$74,MATCH(TRIM(I703),MAP!$E$7:$E$74,0)),"UNMAPPED")</f>
        <v>Community health education</v>
      </c>
      <c r="K703" s="1" t="str">
        <f aca="false">IFERROR(INDEX(MAP!$G$7:$G$74,MATCH(TRIM(I703),MAP!$E$7:$E$74,0)),"UNMAPPED")</f>
        <v>7e</v>
      </c>
      <c r="L703" s="49" t="str">
        <f aca="false">STACK!G703</f>
        <v>02/11/2026</v>
      </c>
      <c r="M703" s="59" t="n">
        <f aca="false">IF(G703&gt;0,IF(INDEX(CONFIRM!$G$5:$G$53,G703)&lt;&gt;"",INDEX(CONFIRM!$G$5:$G$53,G703),IF(ISNUMBER(L703),L703,IFERROR(DATEVALUE(L703),""))),IF(ISNUMBER(L703),L703,IFERROR(DATEVALUE(L703),"")))</f>
        <v>46064</v>
      </c>
      <c r="N703" s="1" t="str">
        <f aca="false">IF(M703="","Check",IF(AND(M703&gt;=INPUTS!$C$6,M703&lt;=INPUTS!$C$7),"Yes","No"))</f>
        <v>Yes</v>
      </c>
      <c r="O703" s="48" t="str">
        <f aca="false">STACK!H703</f>
        <v> Paramedic</v>
      </c>
      <c r="P703" s="1" t="str">
        <f aca="false">IF(G703&gt;0,IF(INDEX(CONFIRM!$H$5:$H$53,G703)&lt;&gt;"",INDEX(CONFIRM!$H$5:$H$53,G703),IFERROR(INDEX(MAP!$B$7:$B$156,MATCH(TRIM(O703),MAP!$A$7:$A$156,0)),"UNMAPPED")),IFERROR(INDEX(MAP!$B$7:$B$156,MATCH(TRIM(O703),MAP!$A$7:$A$156,0)),"UNMAPPED"))</f>
        <v>Paramedic</v>
      </c>
      <c r="Q703" s="48" t="n">
        <f aca="false">STACK!I703</f>
        <v>3</v>
      </c>
      <c r="R703" s="60" t="n">
        <f aca="false">IF(G703&gt;0,IF(INDEX(CONFIRM!$F$5:$F$53,G703)&lt;&gt;"",INDEX(CONFIRM!$F$5:$F$53,G703),IF(ISNUMBER(Q703),Q703,IF(Q703="","",IFERROR(VALUE(TRIM(SUBSTITUTE(SUBSTITUTE(LOWER(Q703),"hrs",""),"hr",""))),"")))),IF(ISNUMBER(Q703),Q703,IF(Q703="","",IFERROR(VALUE(TRIM(SUBSTITUTE(SUBSTITUTE(LOWER(Q703),"hrs",""),"hr",""))),""))))</f>
        <v>3</v>
      </c>
      <c r="S703" s="57" t="n">
        <f aca="false">IFERROR(INDEX(RATES!$E$6:$E$28,MATCH(P703,RATES!$A$6:$A$28,0)),0)</f>
        <v>34.695</v>
      </c>
      <c r="T703" s="61" t="n">
        <f aca="false">IF(ISNUMBER(R703),R703,0)*S703</f>
        <v>104.085</v>
      </c>
      <c r="U703" s="61" t="n">
        <f aca="false">T703*INDEX(INPUTS!$H$10:$H$14,MATCH(B703,INPUTS!$A$10:$A$14,0))</f>
        <v>16.86177</v>
      </c>
      <c r="V703" s="61" t="n">
        <f aca="false">N(STACK!K703)</f>
        <v>795</v>
      </c>
      <c r="W703" s="61" t="n">
        <f aca="false">T703+U703+V703</f>
        <v>915.94677</v>
      </c>
      <c r="X703" s="61" t="n">
        <f aca="false">N(STACK!L703)</f>
        <v>565</v>
      </c>
      <c r="Y703" s="61" t="n">
        <f aca="false">W703-X703</f>
        <v>350.94677</v>
      </c>
      <c r="Z703" s="1" t="n">
        <f aca="false">N(STACK!J703)</f>
        <v>33</v>
      </c>
      <c r="AA703" s="1" t="str">
        <f aca="false">TRIM(IF(D703="UNMAPPED","Program not mapped. ","")&amp;IF(OR(K703="UNMAPPED",K703="UNASSIGNED"),"Category needs review. ","")&amp;IF(P703="UNMAPPED","Title not mapped. ","")&amp;IF(AND(P703&lt;&gt;"No staff time",R703=""),"Missing hours. ","")&amp;IF(M703="","Date not readable. ","")&amp;IF(N703="No","Outside fiscal year. ","")&amp;IF(AND(F703="Event",ISNUMBER(R703)),IF(R703&gt;12,"Event hours look high. ",""),"")&amp;IF(G703&gt;0,"See CONFIRM sheet.",""))</f>
        <v/>
      </c>
      <c r="AB703" s="1" t="n">
        <f aca="false">IF(N703="No",0,IF(REVIEW!O703=0,0,IF(G703&gt;0,IF(INDEX(CONFIRM!$J$5:$J$53,G703)&lt;&gt;"",INDEX(CONFIRM!$J$5:$J$53,G703),1),1)))</f>
        <v>1</v>
      </c>
      <c r="AC703" s="1" t="n">
        <f aca="false">IF(AB703=1,IF(COUNTIFS($B$5:B703,B703,$D$5:D703,D703,$AB$5:AB703,1)=1,1,0),0)</f>
        <v>0</v>
      </c>
    </row>
    <row r="704" customFormat="false" ht="15" hidden="false" customHeight="false" outlineLevel="0" collapsed="false">
      <c r="A704" s="48" t="str">
        <f aca="false">STACK!A704</f>
        <v>ASH-0171</v>
      </c>
      <c r="B704" s="48" t="str">
        <f aca="false">STACK!B704</f>
        <v>ASH</v>
      </c>
      <c r="C704" s="48" t="str">
        <f aca="false">STACK!E704</f>
        <v>Car Seat Checks</v>
      </c>
      <c r="D704" s="1" t="str">
        <f aca="false">IFERROR(INDEX(MAP!$J$7:$J$101,MATCH(TRIM(C704),MAP!$I$7:$I$101,0)),"UNMAPPED")</f>
        <v>Car Seat Safety Checks</v>
      </c>
      <c r="E704" s="1" t="str">
        <f aca="false">IFERROR(INDEX(MAP!$K$7:$K$101,MATCH(TRIM(C704),MAP!$I$7:$I$101,0)),"")</f>
        <v>Maternal and child health</v>
      </c>
      <c r="F704" s="1" t="str">
        <f aca="false">IFERROR(INDEX(MAP!$L$7:$L$101,MATCH(TRIM(C704),MAP!$I$7:$I$101,0)),"")</f>
        <v>Event</v>
      </c>
      <c r="G704" s="1" t="n">
        <f aca="false">IFERROR(MATCH(A704,CONFIRM!$A$5:$A$53,0),0)</f>
        <v>0</v>
      </c>
      <c r="H704" s="48" t="str">
        <f aca="false">STACK!F704</f>
        <v>Comm Hlth Ed</v>
      </c>
      <c r="I704" s="1" t="str">
        <f aca="false">IF(G704&gt;0,IF(INDEX(CONFIRM!$I$5:$I$53,G704)&lt;&gt;"",INDEX(CONFIRM!$I$5:$I$53,G704),H704),H704)</f>
        <v>Comm Hlth Ed</v>
      </c>
      <c r="J704" s="1" t="str">
        <f aca="false">IFERROR(INDEX(MAP!$F$7:$F$74,MATCH(TRIM(I704),MAP!$E$7:$E$74,0)),"UNMAPPED")</f>
        <v>Community health education</v>
      </c>
      <c r="K704" s="1" t="str">
        <f aca="false">IFERROR(INDEX(MAP!$G$7:$G$74,MATCH(TRIM(I704),MAP!$E$7:$E$74,0)),"UNMAPPED")</f>
        <v>7e</v>
      </c>
      <c r="L704" s="49" t="str">
        <f aca="false">STACK!G704</f>
        <v>02/11/2026</v>
      </c>
      <c r="M704" s="59" t="n">
        <f aca="false">IF(G704&gt;0,IF(INDEX(CONFIRM!$G$5:$G$53,G704)&lt;&gt;"",INDEX(CONFIRM!$G$5:$G$53,G704),IF(ISNUMBER(L704),L704,IFERROR(DATEVALUE(L704),""))),IF(ISNUMBER(L704),L704,IFERROR(DATEVALUE(L704),"")))</f>
        <v>46064</v>
      </c>
      <c r="N704" s="1" t="str">
        <f aca="false">IF(M704="","Check",IF(AND(M704&gt;=INPUTS!$C$6,M704&lt;=INPUTS!$C$7),"Yes","No"))</f>
        <v>Yes</v>
      </c>
      <c r="O704" s="48" t="str">
        <f aca="false">STACK!H704</f>
        <v>RN - Outreach</v>
      </c>
      <c r="P704" s="1" t="str">
        <f aca="false">IF(G704&gt;0,IF(INDEX(CONFIRM!$H$5:$H$53,G704)&lt;&gt;"",INDEX(CONFIRM!$H$5:$H$53,G704),IFERROR(INDEX(MAP!$B$7:$B$156,MATCH(TRIM(O704),MAP!$A$7:$A$156,0)),"UNMAPPED")),IFERROR(INDEX(MAP!$B$7:$B$156,MATCH(TRIM(O704),MAP!$A$7:$A$156,0)),"UNMAPPED"))</f>
        <v>Registered Nurse</v>
      </c>
      <c r="Q704" s="48" t="n">
        <f aca="false">STACK!I704</f>
        <v>3.25</v>
      </c>
      <c r="R704" s="60" t="n">
        <f aca="false">IF(G704&gt;0,IF(INDEX(CONFIRM!$F$5:$F$53,G704)&lt;&gt;"",INDEX(CONFIRM!$F$5:$F$53,G704),IF(ISNUMBER(Q704),Q704,IF(Q704="","",IFERROR(VALUE(TRIM(SUBSTITUTE(SUBSTITUTE(LOWER(Q704),"hrs",""),"hr",""))),"")))),IF(ISNUMBER(Q704),Q704,IF(Q704="","",IFERROR(VALUE(TRIM(SUBSTITUTE(SUBSTITUTE(LOWER(Q704),"hrs",""),"hr",""))),""))))</f>
        <v>3.25</v>
      </c>
      <c r="S704" s="57" t="n">
        <f aca="false">IFERROR(INDEX(RATES!$E$6:$E$28,MATCH(P704,RATES!$A$6:$A$28,0)),0)</f>
        <v>55.8975</v>
      </c>
      <c r="T704" s="61" t="n">
        <f aca="false">IF(ISNUMBER(R704),R704,0)*S704</f>
        <v>181.666875</v>
      </c>
      <c r="U704" s="61" t="n">
        <f aca="false">T704*INDEX(INPUTS!$H$10:$H$14,MATCH(B704,INPUTS!$A$10:$A$14,0))</f>
        <v>29.43003375</v>
      </c>
      <c r="V704" s="61" t="n">
        <f aca="false">N(STACK!K704)</f>
        <v>0</v>
      </c>
      <c r="W704" s="61" t="n">
        <f aca="false">T704+U704+V704</f>
        <v>211.09690875</v>
      </c>
      <c r="X704" s="61" t="n">
        <f aca="false">N(STACK!L704)</f>
        <v>0</v>
      </c>
      <c r="Y704" s="61" t="n">
        <f aca="false">W704-X704</f>
        <v>211.09690875</v>
      </c>
      <c r="Z704" s="1" t="n">
        <f aca="false">N(STACK!J704)</f>
        <v>0</v>
      </c>
      <c r="AA704" s="1" t="str">
        <f aca="false">TRIM(IF(D704="UNMAPPED","Program not mapped. ","")&amp;IF(OR(K704="UNMAPPED",K704="UNASSIGNED"),"Category needs review. ","")&amp;IF(P704="UNMAPPED","Title not mapped. ","")&amp;IF(AND(P704&lt;&gt;"No staff time",R704=""),"Missing hours. ","")&amp;IF(M704="","Date not readable. ","")&amp;IF(N704="No","Outside fiscal year. ","")&amp;IF(AND(F704="Event",ISNUMBER(R704)),IF(R704&gt;12,"Event hours look high. ",""),"")&amp;IF(G704&gt;0,"See CONFIRM sheet.",""))</f>
        <v/>
      </c>
      <c r="AB704" s="1" t="n">
        <f aca="false">IF(N704="No",0,IF(REVIEW!O704=0,0,IF(G704&gt;0,IF(INDEX(CONFIRM!$J$5:$J$53,G704)&lt;&gt;"",INDEX(CONFIRM!$J$5:$J$53,G704),1),1)))</f>
        <v>1</v>
      </c>
      <c r="AC704" s="1" t="n">
        <f aca="false">IF(AB704=1,IF(COUNTIFS($B$5:B704,B704,$D$5:D704,D704,$AB$5:AB704,1)=1,1,0),0)</f>
        <v>0</v>
      </c>
    </row>
    <row r="705" customFormat="false" ht="15" hidden="false" customHeight="false" outlineLevel="0" collapsed="false">
      <c r="A705" s="48" t="str">
        <f aca="false">STACK!A705</f>
        <v>ASH-0172</v>
      </c>
      <c r="B705" s="48" t="str">
        <f aca="false">STACK!B705</f>
        <v>ASH</v>
      </c>
      <c r="C705" s="48" t="str">
        <f aca="false">STACK!E705</f>
        <v>DPP Classes</v>
      </c>
      <c r="D705" s="1" t="str">
        <f aca="false">IFERROR(INDEX(MAP!$J$7:$J$101,MATCH(TRIM(C705),MAP!$I$7:$I$101,0)),"UNMAPPED")</f>
        <v>Diabetes Prevention Classes</v>
      </c>
      <c r="E705" s="1" t="str">
        <f aca="false">IFERROR(INDEX(MAP!$K$7:$K$101,MATCH(TRIM(C705),MAP!$I$7:$I$101,0)),"")</f>
        <v>Chronic disease prevention</v>
      </c>
      <c r="F705" s="1" t="str">
        <f aca="false">IFERROR(INDEX(MAP!$L$7:$L$101,MATCH(TRIM(C705),MAP!$I$7:$I$101,0)),"")</f>
        <v>Event</v>
      </c>
      <c r="G705" s="1" t="n">
        <f aca="false">IFERROR(MATCH(A705,CONFIRM!$A$5:$A$53,0),0)</f>
        <v>0</v>
      </c>
      <c r="H705" s="48" t="str">
        <f aca="false">STACK!F705</f>
        <v>Comm Hlth Ed</v>
      </c>
      <c r="I705" s="1" t="str">
        <f aca="false">IF(G705&gt;0,IF(INDEX(CONFIRM!$I$5:$I$53,G705)&lt;&gt;"",INDEX(CONFIRM!$I$5:$I$53,G705),H705),H705)</f>
        <v>Comm Hlth Ed</v>
      </c>
      <c r="J705" s="1" t="str">
        <f aca="false">IFERROR(INDEX(MAP!$F$7:$F$74,MATCH(TRIM(I705),MAP!$E$7:$E$74,0)),"UNMAPPED")</f>
        <v>Community health education</v>
      </c>
      <c r="K705" s="1" t="str">
        <f aca="false">IFERROR(INDEX(MAP!$G$7:$G$74,MATCH(TRIM(I705),MAP!$E$7:$E$74,0)),"UNMAPPED")</f>
        <v>7e</v>
      </c>
      <c r="L705" s="49" t="str">
        <f aca="false">STACK!G705</f>
        <v>02/14/2026</v>
      </c>
      <c r="M705" s="59" t="n">
        <f aca="false">IF(G705&gt;0,IF(INDEX(CONFIRM!$G$5:$G$53,G705)&lt;&gt;"",INDEX(CONFIRM!$G$5:$G$53,G705),IF(ISNUMBER(L705),L705,IFERROR(DATEVALUE(L705),""))),IF(ISNUMBER(L705),L705,IFERROR(DATEVALUE(L705),"")))</f>
        <v>46067</v>
      </c>
      <c r="N705" s="1" t="str">
        <f aca="false">IF(M705="","Check",IF(AND(M705&gt;=INPUTS!$C$6,M705&lt;=INPUTS!$C$7),"Yes","No"))</f>
        <v>Yes</v>
      </c>
      <c r="O705" s="48" t="str">
        <f aca="false">STACK!H705</f>
        <v>Health Ed </v>
      </c>
      <c r="P705" s="1" t="str">
        <f aca="false">IF(G705&gt;0,IF(INDEX(CONFIRM!$H$5:$H$53,G705)&lt;&gt;"",INDEX(CONFIRM!$H$5:$H$53,G705),IFERROR(INDEX(MAP!$B$7:$B$156,MATCH(TRIM(O705),MAP!$A$7:$A$156,0)),"UNMAPPED")),IFERROR(INDEX(MAP!$B$7:$B$156,MATCH(TRIM(O705),MAP!$A$7:$A$156,0)),"UNMAPPED"))</f>
        <v>Health Educator</v>
      </c>
      <c r="Q705" s="48" t="n">
        <f aca="false">STACK!I705</f>
        <v>2.25</v>
      </c>
      <c r="R705" s="60" t="n">
        <f aca="false">IF(G705&gt;0,IF(INDEX(CONFIRM!$F$5:$F$53,G705)&lt;&gt;"",INDEX(CONFIRM!$F$5:$F$53,G705),IF(ISNUMBER(Q705),Q705,IF(Q705="","",IFERROR(VALUE(TRIM(SUBSTITUTE(SUBSTITUTE(LOWER(Q705),"hrs",""),"hr",""))),"")))),IF(ISNUMBER(Q705),Q705,IF(Q705="","",IFERROR(VALUE(TRIM(SUBSTITUTE(SUBSTITUTE(LOWER(Q705),"hrs",""),"hr",""))),""))))</f>
        <v>2.25</v>
      </c>
      <c r="S705" s="57" t="n">
        <f aca="false">IFERROR(INDEX(RATES!$E$6:$E$28,MATCH(P705,RATES!$A$6:$A$28,0)),0)</f>
        <v>37.265</v>
      </c>
      <c r="T705" s="61" t="n">
        <f aca="false">IF(ISNUMBER(R705),R705,0)*S705</f>
        <v>83.84625</v>
      </c>
      <c r="U705" s="61" t="n">
        <f aca="false">T705*INDEX(INPUTS!$H$10:$H$14,MATCH(B705,INPUTS!$A$10:$A$14,0))</f>
        <v>13.5830925</v>
      </c>
      <c r="V705" s="61" t="n">
        <f aca="false">N(STACK!K705)</f>
        <v>160</v>
      </c>
      <c r="W705" s="61" t="n">
        <f aca="false">T705+U705+V705</f>
        <v>257.4293425</v>
      </c>
      <c r="X705" s="61" t="n">
        <f aca="false">N(STACK!L705)</f>
        <v>0</v>
      </c>
      <c r="Y705" s="61" t="n">
        <f aca="false">W705-X705</f>
        <v>257.4293425</v>
      </c>
      <c r="Z705" s="1" t="n">
        <f aca="false">N(STACK!J705)</f>
        <v>13</v>
      </c>
      <c r="AA705" s="1" t="str">
        <f aca="false">TRIM(IF(D705="UNMAPPED","Program not mapped. ","")&amp;IF(OR(K705="UNMAPPED",K705="UNASSIGNED"),"Category needs review. ","")&amp;IF(P705="UNMAPPED","Title not mapped. ","")&amp;IF(AND(P705&lt;&gt;"No staff time",R705=""),"Missing hours. ","")&amp;IF(M705="","Date not readable. ","")&amp;IF(N705="No","Outside fiscal year. ","")&amp;IF(AND(F705="Event",ISNUMBER(R705)),IF(R705&gt;12,"Event hours look high. ",""),"")&amp;IF(G705&gt;0,"See CONFIRM sheet.",""))</f>
        <v/>
      </c>
      <c r="AB705" s="1" t="n">
        <f aca="false">IF(N705="No",0,IF(REVIEW!O705=0,0,IF(G705&gt;0,IF(INDEX(CONFIRM!$J$5:$J$53,G705)&lt;&gt;"",INDEX(CONFIRM!$J$5:$J$53,G705),1),1)))</f>
        <v>1</v>
      </c>
      <c r="AC705" s="1" t="n">
        <f aca="false">IF(AB705=1,IF(COUNTIFS($B$5:B705,B705,$D$5:D705,D705,$AB$5:AB705,1)=1,1,0),0)</f>
        <v>0</v>
      </c>
    </row>
    <row r="706" customFormat="false" ht="15" hidden="false" customHeight="false" outlineLevel="0" collapsed="false">
      <c r="A706" s="48" t="str">
        <f aca="false">STACK!A706</f>
        <v>ASH-0173</v>
      </c>
      <c r="B706" s="48" t="str">
        <f aca="false">STACK!B706</f>
        <v>ASH</v>
      </c>
      <c r="C706" s="48" t="str">
        <f aca="false">STACK!E706</f>
        <v>DPP Classes</v>
      </c>
      <c r="D706" s="1" t="str">
        <f aca="false">IFERROR(INDEX(MAP!$J$7:$J$101,MATCH(TRIM(C706),MAP!$I$7:$I$101,0)),"UNMAPPED")</f>
        <v>Diabetes Prevention Classes</v>
      </c>
      <c r="E706" s="1" t="str">
        <f aca="false">IFERROR(INDEX(MAP!$K$7:$K$101,MATCH(TRIM(C706),MAP!$I$7:$I$101,0)),"")</f>
        <v>Chronic disease prevention</v>
      </c>
      <c r="F706" s="1" t="str">
        <f aca="false">IFERROR(INDEX(MAP!$L$7:$L$101,MATCH(TRIM(C706),MAP!$I$7:$I$101,0)),"")</f>
        <v>Event</v>
      </c>
      <c r="G706" s="1" t="n">
        <f aca="false">IFERROR(MATCH(A706,CONFIRM!$A$5:$A$53,0),0)</f>
        <v>0</v>
      </c>
      <c r="H706" s="48" t="str">
        <f aca="false">STACK!F706</f>
        <v>Comm Hlth Ed</v>
      </c>
      <c r="I706" s="1" t="str">
        <f aca="false">IF(G706&gt;0,IF(INDEX(CONFIRM!$I$5:$I$53,G706)&lt;&gt;"",INDEX(CONFIRM!$I$5:$I$53,G706),H706),H706)</f>
        <v>Comm Hlth Ed</v>
      </c>
      <c r="J706" s="1" t="str">
        <f aca="false">IFERROR(INDEX(MAP!$F$7:$F$74,MATCH(TRIM(I706),MAP!$E$7:$E$74,0)),"UNMAPPED")</f>
        <v>Community health education</v>
      </c>
      <c r="K706" s="1" t="str">
        <f aca="false">IFERROR(INDEX(MAP!$G$7:$G$74,MATCH(TRIM(I706),MAP!$E$7:$E$74,0)),"UNMAPPED")</f>
        <v>7e</v>
      </c>
      <c r="L706" s="49" t="str">
        <f aca="false">STACK!G706</f>
        <v>02/14/2026</v>
      </c>
      <c r="M706" s="59" t="n">
        <f aca="false">IF(G706&gt;0,IF(INDEX(CONFIRM!$G$5:$G$53,G706)&lt;&gt;"",INDEX(CONFIRM!$G$5:$G$53,G706),IF(ISNUMBER(L706),L706,IFERROR(DATEVALUE(L706),""))),IF(ISNUMBER(L706),L706,IFERROR(DATEVALUE(L706),"")))</f>
        <v>46067</v>
      </c>
      <c r="N706" s="1" t="str">
        <f aca="false">IF(M706="","Check",IF(AND(M706&gt;=INPUTS!$C$6,M706&lt;=INPUTS!$C$7),"Yes","No"))</f>
        <v>Yes</v>
      </c>
      <c r="O706" s="48" t="str">
        <f aca="false">STACK!H706</f>
        <v>Nutritionist</v>
      </c>
      <c r="P706" s="1" t="str">
        <f aca="false">IF(G706&gt;0,IF(INDEX(CONFIRM!$H$5:$H$53,G706)&lt;&gt;"",INDEX(CONFIRM!$H$5:$H$53,G706),IFERROR(INDEX(MAP!$B$7:$B$156,MATCH(TRIM(O706),MAP!$A$7:$A$156,0)),"UNMAPPED")),IFERROR(INDEX(MAP!$B$7:$B$156,MATCH(TRIM(O706),MAP!$A$7:$A$156,0)),"UNMAPPED"))</f>
        <v>Registered Dietitian</v>
      </c>
      <c r="Q706" s="48" t="n">
        <f aca="false">STACK!I706</f>
        <v>2</v>
      </c>
      <c r="R706" s="60" t="n">
        <f aca="false">IF(G706&gt;0,IF(INDEX(CONFIRM!$F$5:$F$53,G706)&lt;&gt;"",INDEX(CONFIRM!$F$5:$F$53,G706),IF(ISNUMBER(Q706),Q706,IF(Q706="","",IFERROR(VALUE(TRIM(SUBSTITUTE(SUBSTITUTE(LOWER(Q706),"hrs",""),"hr",""))),"")))),IF(ISNUMBER(Q706),Q706,IF(Q706="","",IFERROR(VALUE(TRIM(SUBSTITUTE(SUBSTITUTE(LOWER(Q706),"hrs",""),"hr",""))),""))))</f>
        <v>2</v>
      </c>
      <c r="S706" s="57" t="n">
        <f aca="false">IFERROR(INDEX(RATES!$E$6:$E$28,MATCH(P706,RATES!$A$6:$A$28,0)),0)</f>
        <v>46.9025</v>
      </c>
      <c r="T706" s="61" t="n">
        <f aca="false">IF(ISNUMBER(R706),R706,0)*S706</f>
        <v>93.805</v>
      </c>
      <c r="U706" s="61" t="n">
        <f aca="false">T706*INDEX(INPUTS!$H$10:$H$14,MATCH(B706,INPUTS!$A$10:$A$14,0))</f>
        <v>15.19641</v>
      </c>
      <c r="V706" s="61" t="n">
        <f aca="false">N(STACK!K706)</f>
        <v>0</v>
      </c>
      <c r="W706" s="61" t="n">
        <f aca="false">T706+U706+V706</f>
        <v>109.00141</v>
      </c>
      <c r="X706" s="61" t="n">
        <f aca="false">N(STACK!L706)</f>
        <v>0</v>
      </c>
      <c r="Y706" s="61" t="n">
        <f aca="false">W706-X706</f>
        <v>109.00141</v>
      </c>
      <c r="Z706" s="1" t="n">
        <f aca="false">N(STACK!J706)</f>
        <v>0</v>
      </c>
      <c r="AA706" s="1" t="str">
        <f aca="false">TRIM(IF(D706="UNMAPPED","Program not mapped. ","")&amp;IF(OR(K706="UNMAPPED",K706="UNASSIGNED"),"Category needs review. ","")&amp;IF(P706="UNMAPPED","Title not mapped. ","")&amp;IF(AND(P706&lt;&gt;"No staff time",R706=""),"Missing hours. ","")&amp;IF(M706="","Date not readable. ","")&amp;IF(N706="No","Outside fiscal year. ","")&amp;IF(AND(F706="Event",ISNUMBER(R706)),IF(R706&gt;12,"Event hours look high. ",""),"")&amp;IF(G706&gt;0,"See CONFIRM sheet.",""))</f>
        <v/>
      </c>
      <c r="AB706" s="1" t="n">
        <f aca="false">IF(N706="No",0,IF(REVIEW!O706=0,0,IF(G706&gt;0,IF(INDEX(CONFIRM!$J$5:$J$53,G706)&lt;&gt;"",INDEX(CONFIRM!$J$5:$J$53,G706),1),1)))</f>
        <v>1</v>
      </c>
      <c r="AC706" s="1" t="n">
        <f aca="false">IF(AB706=1,IF(COUNTIFS($B$5:B706,B706,$D$5:D706,D706,$AB$5:AB706,1)=1,1,0),0)</f>
        <v>0</v>
      </c>
    </row>
    <row r="707" customFormat="false" ht="15" hidden="false" customHeight="false" outlineLevel="0" collapsed="false">
      <c r="A707" s="48" t="str">
        <f aca="false">STACK!A707</f>
        <v>ASH-0174</v>
      </c>
      <c r="B707" s="48" t="str">
        <f aca="false">STACK!B707</f>
        <v>ASH</v>
      </c>
      <c r="C707" s="48" t="str">
        <f aca="false">STACK!E707</f>
        <v>BP Checks</v>
      </c>
      <c r="D707" s="1" t="str">
        <f aca="false">IFERROR(INDEX(MAP!$J$7:$J$101,MATCH(TRIM(C707),MAP!$I$7:$I$101,0)),"UNMAPPED")</f>
        <v>Community Blood Pressure Checks</v>
      </c>
      <c r="E707" s="1" t="str">
        <f aca="false">IFERROR(INDEX(MAP!$K$7:$K$101,MATCH(TRIM(C707),MAP!$I$7:$I$101,0)),"")</f>
        <v>Chronic disease prevention</v>
      </c>
      <c r="F707" s="1" t="str">
        <f aca="false">IFERROR(INDEX(MAP!$L$7:$L$101,MATCH(TRIM(C707),MAP!$I$7:$I$101,0)),"")</f>
        <v>Event</v>
      </c>
      <c r="G707" s="1" t="n">
        <f aca="false">IFERROR(MATCH(A707,CONFIRM!$A$5:$A$53,0),0)</f>
        <v>0</v>
      </c>
      <c r="H707" s="48" t="str">
        <f aca="false">STACK!F707</f>
        <v>Clinical Svcs</v>
      </c>
      <c r="I707" s="1" t="str">
        <f aca="false">IF(G707&gt;0,IF(INDEX(CONFIRM!$I$5:$I$53,G707)&lt;&gt;"",INDEX(CONFIRM!$I$5:$I$53,G707),H707),H707)</f>
        <v>Clinical Svcs</v>
      </c>
      <c r="J707" s="1" t="str">
        <f aca="false">IFERROR(INDEX(MAP!$F$7:$F$74,MATCH(TRIM(I707),MAP!$E$7:$E$74,0)),"UNMAPPED")</f>
        <v>Community-based clinical services</v>
      </c>
      <c r="K707" s="1" t="str">
        <f aca="false">IFERROR(INDEX(MAP!$G$7:$G$74,MATCH(TRIM(I707),MAP!$E$7:$E$74,0)),"UNMAPPED")</f>
        <v>7e</v>
      </c>
      <c r="L707" s="49" t="str">
        <f aca="false">STACK!G707</f>
        <v>02/21/2026</v>
      </c>
      <c r="M707" s="59" t="n">
        <f aca="false">IF(G707&gt;0,IF(INDEX(CONFIRM!$G$5:$G$53,G707)&lt;&gt;"",INDEX(CONFIRM!$G$5:$G$53,G707),IF(ISNUMBER(L707),L707,IFERROR(DATEVALUE(L707),""))),IF(ISNUMBER(L707),L707,IFERROR(DATEVALUE(L707),"")))</f>
        <v>46074</v>
      </c>
      <c r="N707" s="1" t="str">
        <f aca="false">IF(M707="","Check",IF(AND(M707&gt;=INPUTS!$C$6,M707&lt;=INPUTS!$C$7),"Yes","No"))</f>
        <v>Yes</v>
      </c>
      <c r="O707" s="48" t="str">
        <f aca="false">STACK!H707</f>
        <v>Clinical RN</v>
      </c>
      <c r="P707" s="1" t="str">
        <f aca="false">IF(G707&gt;0,IF(INDEX(CONFIRM!$H$5:$H$53,G707)&lt;&gt;"",INDEX(CONFIRM!$H$5:$H$53,G707),IFERROR(INDEX(MAP!$B$7:$B$156,MATCH(TRIM(O707),MAP!$A$7:$A$156,0)),"UNMAPPED")),IFERROR(INDEX(MAP!$B$7:$B$156,MATCH(TRIM(O707),MAP!$A$7:$A$156,0)),"UNMAPPED"))</f>
        <v>Registered Nurse</v>
      </c>
      <c r="Q707" s="48" t="n">
        <f aca="false">STACK!I707</f>
        <v>4</v>
      </c>
      <c r="R707" s="60" t="n">
        <f aca="false">IF(G707&gt;0,IF(INDEX(CONFIRM!$F$5:$F$53,G707)&lt;&gt;"",INDEX(CONFIRM!$F$5:$F$53,G707),IF(ISNUMBER(Q707),Q707,IF(Q707="","",IFERROR(VALUE(TRIM(SUBSTITUTE(SUBSTITUTE(LOWER(Q707),"hrs",""),"hr",""))),"")))),IF(ISNUMBER(Q707),Q707,IF(Q707="","",IFERROR(VALUE(TRIM(SUBSTITUTE(SUBSTITUTE(LOWER(Q707),"hrs",""),"hr",""))),""))))</f>
        <v>4</v>
      </c>
      <c r="S707" s="57" t="n">
        <f aca="false">IFERROR(INDEX(RATES!$E$6:$E$28,MATCH(P707,RATES!$A$6:$A$28,0)),0)</f>
        <v>55.8975</v>
      </c>
      <c r="T707" s="61" t="n">
        <f aca="false">IF(ISNUMBER(R707),R707,0)*S707</f>
        <v>223.59</v>
      </c>
      <c r="U707" s="61" t="n">
        <f aca="false">T707*INDEX(INPUTS!$H$10:$H$14,MATCH(B707,INPUTS!$A$10:$A$14,0))</f>
        <v>36.22158</v>
      </c>
      <c r="V707" s="61" t="n">
        <f aca="false">N(STACK!K707)</f>
        <v>50</v>
      </c>
      <c r="W707" s="61" t="n">
        <f aca="false">T707+U707+V707</f>
        <v>309.81158</v>
      </c>
      <c r="X707" s="61" t="n">
        <f aca="false">N(STACK!L707)</f>
        <v>0</v>
      </c>
      <c r="Y707" s="61" t="n">
        <f aca="false">W707-X707</f>
        <v>309.81158</v>
      </c>
      <c r="Z707" s="1" t="n">
        <f aca="false">N(STACK!J707)</f>
        <v>64</v>
      </c>
      <c r="AA707" s="1" t="str">
        <f aca="false">TRIM(IF(D707="UNMAPPED","Program not mapped. ","")&amp;IF(OR(K707="UNMAPPED",K707="UNASSIGNED"),"Category needs review. ","")&amp;IF(P707="UNMAPPED","Title not mapped. ","")&amp;IF(AND(P707&lt;&gt;"No staff time",R707=""),"Missing hours. ","")&amp;IF(M707="","Date not readable. ","")&amp;IF(N707="No","Outside fiscal year. ","")&amp;IF(AND(F707="Event",ISNUMBER(R707)),IF(R707&gt;12,"Event hours look high. ",""),"")&amp;IF(G707&gt;0,"See CONFIRM sheet.",""))</f>
        <v/>
      </c>
      <c r="AB707" s="1" t="n">
        <f aca="false">IF(N707="No",0,IF(REVIEW!O707=0,0,IF(G707&gt;0,IF(INDEX(CONFIRM!$J$5:$J$53,G707)&lt;&gt;"",INDEX(CONFIRM!$J$5:$J$53,G707),1),1)))</f>
        <v>1</v>
      </c>
      <c r="AC707" s="1" t="n">
        <f aca="false">IF(AB707=1,IF(COUNTIFS($B$5:B707,B707,$D$5:D707,D707,$AB$5:AB707,1)=1,1,0),0)</f>
        <v>0</v>
      </c>
    </row>
    <row r="708" customFormat="false" ht="15" hidden="false" customHeight="false" outlineLevel="0" collapsed="false">
      <c r="A708" s="48" t="str">
        <f aca="false">STACK!A708</f>
        <v>ASH-0175</v>
      </c>
      <c r="B708" s="48" t="str">
        <f aca="false">STACK!B708</f>
        <v>ASH</v>
      </c>
      <c r="C708" s="48" t="str">
        <f aca="false">STACK!E708</f>
        <v>Mobile Screening Unit</v>
      </c>
      <c r="D708" s="1" t="str">
        <f aca="false">IFERROR(INDEX(MAP!$J$7:$J$101,MATCH(TRIM(C708),MAP!$I$7:$I$101,0)),"UNMAPPED")</f>
        <v>Mobile Health Screening Unit</v>
      </c>
      <c r="E708" s="1" t="str">
        <f aca="false">IFERROR(INDEX(MAP!$K$7:$K$101,MATCH(TRIM(C708),MAP!$I$7:$I$101,0)),"")</f>
        <v>Access to care</v>
      </c>
      <c r="F708" s="1" t="str">
        <f aca="false">IFERROR(INDEX(MAP!$L$7:$L$101,MATCH(TRIM(C708),MAP!$I$7:$I$101,0)),"")</f>
        <v>Monthly</v>
      </c>
      <c r="G708" s="1" t="n">
        <f aca="false">IFERROR(MATCH(A708,CONFIRM!$A$5:$A$53,0),0)</f>
        <v>0</v>
      </c>
      <c r="H708" s="48" t="str">
        <f aca="false">STACK!F708</f>
        <v>Clinical Svcs</v>
      </c>
      <c r="I708" s="1" t="str">
        <f aca="false">IF(G708&gt;0,IF(INDEX(CONFIRM!$I$5:$I$53,G708)&lt;&gt;"",INDEX(CONFIRM!$I$5:$I$53,G708),H708),H708)</f>
        <v>Clinical Svcs</v>
      </c>
      <c r="J708" s="1" t="str">
        <f aca="false">IFERROR(INDEX(MAP!$F$7:$F$74,MATCH(TRIM(I708),MAP!$E$7:$E$74,0)),"UNMAPPED")</f>
        <v>Community-based clinical services</v>
      </c>
      <c r="K708" s="1" t="str">
        <f aca="false">IFERROR(INDEX(MAP!$G$7:$G$74,MATCH(TRIM(I708),MAP!$E$7:$E$74,0)),"UNMAPPED")</f>
        <v>7e</v>
      </c>
      <c r="L708" s="49" t="str">
        <f aca="false">STACK!G708</f>
        <v>02/28/2026</v>
      </c>
      <c r="M708" s="59" t="n">
        <f aca="false">IF(G708&gt;0,IF(INDEX(CONFIRM!$G$5:$G$53,G708)&lt;&gt;"",INDEX(CONFIRM!$G$5:$G$53,G708),IF(ISNUMBER(L708),L708,IFERROR(DATEVALUE(L708),""))),IF(ISNUMBER(L708),L708,IFERROR(DATEVALUE(L708),"")))</f>
        <v>46081</v>
      </c>
      <c r="N708" s="1" t="str">
        <f aca="false">IF(M708="","Check",IF(AND(M708&gt;=INPUTS!$C$6,M708&lt;=INPUTS!$C$7),"Yes","No"))</f>
        <v>Yes</v>
      </c>
      <c r="O708" s="48" t="str">
        <f aca="false">STACK!H708</f>
        <v>CHW II</v>
      </c>
      <c r="P708" s="1" t="str">
        <f aca="false">IF(G708&gt;0,IF(INDEX(CONFIRM!$H$5:$H$53,G708)&lt;&gt;"",INDEX(CONFIRM!$H$5:$H$53,G708),IFERROR(INDEX(MAP!$B$7:$B$156,MATCH(TRIM(O708),MAP!$A$7:$A$156,0)),"UNMAPPED")),IFERROR(INDEX(MAP!$B$7:$B$156,MATCH(TRIM(O708),MAP!$A$7:$A$156,0)),"UNMAPPED"))</f>
        <v>Community Health Worker</v>
      </c>
      <c r="Q708" s="48" t="n">
        <f aca="false">STACK!I708</f>
        <v>77.5</v>
      </c>
      <c r="R708" s="60" t="n">
        <f aca="false">IF(G708&gt;0,IF(INDEX(CONFIRM!$F$5:$F$53,G708)&lt;&gt;"",INDEX(CONFIRM!$F$5:$F$53,G708),IF(ISNUMBER(Q708),Q708,IF(Q708="","",IFERROR(VALUE(TRIM(SUBSTITUTE(SUBSTITUTE(LOWER(Q708),"hrs",""),"hr",""))),"")))),IF(ISNUMBER(Q708),Q708,IF(Q708="","",IFERROR(VALUE(TRIM(SUBSTITUTE(SUBSTITUTE(LOWER(Q708),"hrs",""),"hr",""))),""))))</f>
        <v>77.5</v>
      </c>
      <c r="S708" s="57" t="n">
        <f aca="false">IFERROR(INDEX(RATES!$E$6:$E$28,MATCH(P708,RATES!$A$6:$A$28,0)),0)</f>
        <v>27.6275</v>
      </c>
      <c r="T708" s="61" t="n">
        <f aca="false">IF(ISNUMBER(R708),R708,0)*S708</f>
        <v>2141.13125</v>
      </c>
      <c r="U708" s="61" t="n">
        <f aca="false">T708*INDEX(INPUTS!$H$10:$H$14,MATCH(B708,INPUTS!$A$10:$A$14,0))</f>
        <v>346.8632625</v>
      </c>
      <c r="V708" s="61" t="n">
        <f aca="false">N(STACK!K708)</f>
        <v>0</v>
      </c>
      <c r="W708" s="61" t="n">
        <f aca="false">T708+U708+V708</f>
        <v>2487.9945125</v>
      </c>
      <c r="X708" s="61" t="n">
        <f aca="false">N(STACK!L708)</f>
        <v>0</v>
      </c>
      <c r="Y708" s="61" t="n">
        <f aca="false">W708-X708</f>
        <v>2487.9945125</v>
      </c>
      <c r="Z708" s="1" t="n">
        <f aca="false">N(STACK!J708)</f>
        <v>0</v>
      </c>
      <c r="AA708" s="1" t="str">
        <f aca="false">TRIM(IF(D708="UNMAPPED","Program not mapped. ","")&amp;IF(OR(K708="UNMAPPED",K708="UNASSIGNED"),"Category needs review. ","")&amp;IF(P708="UNMAPPED","Title not mapped. ","")&amp;IF(AND(P708&lt;&gt;"No staff time",R708=""),"Missing hours. ","")&amp;IF(M708="","Date not readable. ","")&amp;IF(N708="No","Outside fiscal year. ","")&amp;IF(AND(F708="Event",ISNUMBER(R708)),IF(R708&gt;12,"Event hours look high. ",""),"")&amp;IF(G708&gt;0,"See CONFIRM sheet.",""))</f>
        <v/>
      </c>
      <c r="AB708" s="1" t="n">
        <f aca="false">IF(N708="No",0,IF(REVIEW!O708=0,0,IF(G708&gt;0,IF(INDEX(CONFIRM!$J$5:$J$53,G708)&lt;&gt;"",INDEX(CONFIRM!$J$5:$J$53,G708),1),1)))</f>
        <v>1</v>
      </c>
      <c r="AC708" s="1" t="n">
        <f aca="false">IF(AB708=1,IF(COUNTIFS($B$5:B708,B708,$D$5:D708,D708,$AB$5:AB708,1)=1,1,0),0)</f>
        <v>0</v>
      </c>
    </row>
    <row r="709" customFormat="false" ht="15" hidden="false" customHeight="false" outlineLevel="0" collapsed="false">
      <c r="A709" s="48" t="str">
        <f aca="false">STACK!A709</f>
        <v>ASH-0176</v>
      </c>
      <c r="B709" s="48" t="str">
        <f aca="false">STACK!B709</f>
        <v>ASH</v>
      </c>
      <c r="C709" s="48" t="str">
        <f aca="false">STACK!E709</f>
        <v>Mobile Screening Unit</v>
      </c>
      <c r="D709" s="1" t="str">
        <f aca="false">IFERROR(INDEX(MAP!$J$7:$J$101,MATCH(TRIM(C709),MAP!$I$7:$I$101,0)),"UNMAPPED")</f>
        <v>Mobile Health Screening Unit</v>
      </c>
      <c r="E709" s="1" t="str">
        <f aca="false">IFERROR(INDEX(MAP!$K$7:$K$101,MATCH(TRIM(C709),MAP!$I$7:$I$101,0)),"")</f>
        <v>Access to care</v>
      </c>
      <c r="F709" s="1" t="str">
        <f aca="false">IFERROR(INDEX(MAP!$L$7:$L$101,MATCH(TRIM(C709),MAP!$I$7:$I$101,0)),"")</f>
        <v>Monthly</v>
      </c>
      <c r="G709" s="1" t="n">
        <f aca="false">IFERROR(MATCH(A709,CONFIRM!$A$5:$A$53,0),0)</f>
        <v>0</v>
      </c>
      <c r="H709" s="48" t="str">
        <f aca="false">STACK!F709</f>
        <v>Clinical Svcs</v>
      </c>
      <c r="I709" s="1" t="str">
        <f aca="false">IF(G709&gt;0,IF(INDEX(CONFIRM!$I$5:$I$53,G709)&lt;&gt;"",INDEX(CONFIRM!$I$5:$I$53,G709),H709),H709)</f>
        <v>Clinical Svcs</v>
      </c>
      <c r="J709" s="1" t="str">
        <f aca="false">IFERROR(INDEX(MAP!$F$7:$F$74,MATCH(TRIM(I709),MAP!$E$7:$E$74,0)),"UNMAPPED")</f>
        <v>Community-based clinical services</v>
      </c>
      <c r="K709" s="1" t="str">
        <f aca="false">IFERROR(INDEX(MAP!$G$7:$G$74,MATCH(TRIM(I709),MAP!$E$7:$E$74,0)),"UNMAPPED")</f>
        <v>7e</v>
      </c>
      <c r="L709" s="49" t="str">
        <f aca="false">STACK!G709</f>
        <v>02/28/2026</v>
      </c>
      <c r="M709" s="59" t="n">
        <f aca="false">IF(G709&gt;0,IF(INDEX(CONFIRM!$G$5:$G$53,G709)&lt;&gt;"",INDEX(CONFIRM!$G$5:$G$53,G709),IF(ISNUMBER(L709),L709,IFERROR(DATEVALUE(L709),""))),IF(ISNUMBER(L709),L709,IFERROR(DATEVALUE(L709),"")))</f>
        <v>46081</v>
      </c>
      <c r="N709" s="1" t="str">
        <f aca="false">IF(M709="","Check",IF(AND(M709&gt;=INPUTS!$C$6,M709&lt;=INPUTS!$C$7),"Yes","No"))</f>
        <v>Yes</v>
      </c>
      <c r="O709" s="48" t="str">
        <f aca="false">STACK!H709</f>
        <v>CMA</v>
      </c>
      <c r="P709" s="1" t="str">
        <f aca="false">IF(G709&gt;0,IF(INDEX(CONFIRM!$H$5:$H$53,G709)&lt;&gt;"",INDEX(CONFIRM!$H$5:$H$53,G709),IFERROR(INDEX(MAP!$B$7:$B$156,MATCH(TRIM(O709),MAP!$A$7:$A$156,0)),"UNMAPPED")),IFERROR(INDEX(MAP!$B$7:$B$156,MATCH(TRIM(O709),MAP!$A$7:$A$156,0)),"UNMAPPED"))</f>
        <v>Medical Assistant</v>
      </c>
      <c r="Q709" s="48" t="n">
        <f aca="false">STACK!I709</f>
        <v>92</v>
      </c>
      <c r="R709" s="60" t="n">
        <f aca="false">IF(G709&gt;0,IF(INDEX(CONFIRM!$F$5:$F$53,G709)&lt;&gt;"",INDEX(CONFIRM!$F$5:$F$53,G709),IF(ISNUMBER(Q709),Q709,IF(Q709="","",IFERROR(VALUE(TRIM(SUBSTITUTE(SUBSTITUTE(LOWER(Q709),"hrs",""),"hr",""))),"")))),IF(ISNUMBER(Q709),Q709,IF(Q709="","",IFERROR(VALUE(TRIM(SUBSTITUTE(SUBSTITUTE(LOWER(Q709),"hrs",""),"hr",""))),""))))</f>
        <v>92</v>
      </c>
      <c r="S709" s="57" t="n">
        <f aca="false">IFERROR(INDEX(RATES!$E$6:$E$28,MATCH(P709,RATES!$A$6:$A$28,0)),0)</f>
        <v>25.37875</v>
      </c>
      <c r="T709" s="61" t="n">
        <f aca="false">IF(ISNUMBER(R709),R709,0)*S709</f>
        <v>2334.845</v>
      </c>
      <c r="U709" s="61" t="n">
        <f aca="false">T709*INDEX(INPUTS!$H$10:$H$14,MATCH(B709,INPUTS!$A$10:$A$14,0))</f>
        <v>378.24489</v>
      </c>
      <c r="V709" s="61" t="n">
        <f aca="false">N(STACK!K709)</f>
        <v>0</v>
      </c>
      <c r="W709" s="61" t="n">
        <f aca="false">T709+U709+V709</f>
        <v>2713.08989</v>
      </c>
      <c r="X709" s="61" t="n">
        <f aca="false">N(STACK!L709)</f>
        <v>0</v>
      </c>
      <c r="Y709" s="61" t="n">
        <f aca="false">W709-X709</f>
        <v>2713.08989</v>
      </c>
      <c r="Z709" s="1" t="n">
        <f aca="false">N(STACK!J709)</f>
        <v>0</v>
      </c>
      <c r="AA709" s="1" t="str">
        <f aca="false">TRIM(IF(D709="UNMAPPED","Program not mapped. ","")&amp;IF(OR(K709="UNMAPPED",K709="UNASSIGNED"),"Category needs review. ","")&amp;IF(P709="UNMAPPED","Title not mapped. ","")&amp;IF(AND(P709&lt;&gt;"No staff time",R709=""),"Missing hours. ","")&amp;IF(M709="","Date not readable. ","")&amp;IF(N709="No","Outside fiscal year. ","")&amp;IF(AND(F709="Event",ISNUMBER(R709)),IF(R709&gt;12,"Event hours look high. ",""),"")&amp;IF(G709&gt;0,"See CONFIRM sheet.",""))</f>
        <v/>
      </c>
      <c r="AB709" s="1" t="n">
        <f aca="false">IF(N709="No",0,IF(REVIEW!O709=0,0,IF(G709&gt;0,IF(INDEX(CONFIRM!$J$5:$J$53,G709)&lt;&gt;"",INDEX(CONFIRM!$J$5:$J$53,G709),1),1)))</f>
        <v>1</v>
      </c>
      <c r="AC709" s="1" t="n">
        <f aca="false">IF(AB709=1,IF(COUNTIFS($B$5:B709,B709,$D$5:D709,D709,$AB$5:AB709,1)=1,1,0),0)</f>
        <v>0</v>
      </c>
    </row>
    <row r="710" customFormat="false" ht="15" hidden="false" customHeight="false" outlineLevel="0" collapsed="false">
      <c r="A710" s="48" t="str">
        <f aca="false">STACK!A710</f>
        <v>ASH-0177</v>
      </c>
      <c r="B710" s="48" t="str">
        <f aca="false">STACK!B710</f>
        <v>ASH</v>
      </c>
      <c r="C710" s="48" t="str">
        <f aca="false">STACK!E710</f>
        <v>Mobile Screening Unit</v>
      </c>
      <c r="D710" s="1" t="str">
        <f aca="false">IFERROR(INDEX(MAP!$J$7:$J$101,MATCH(TRIM(C710),MAP!$I$7:$I$101,0)),"UNMAPPED")</f>
        <v>Mobile Health Screening Unit</v>
      </c>
      <c r="E710" s="1" t="str">
        <f aca="false">IFERROR(INDEX(MAP!$K$7:$K$101,MATCH(TRIM(C710),MAP!$I$7:$I$101,0)),"")</f>
        <v>Access to care</v>
      </c>
      <c r="F710" s="1" t="str">
        <f aca="false">IFERROR(INDEX(MAP!$L$7:$L$101,MATCH(TRIM(C710),MAP!$I$7:$I$101,0)),"")</f>
        <v>Monthly</v>
      </c>
      <c r="G710" s="1" t="n">
        <f aca="false">IFERROR(MATCH(A710,CONFIRM!$A$5:$A$53,0),0)</f>
        <v>0</v>
      </c>
      <c r="H710" s="48" t="str">
        <f aca="false">STACK!F710</f>
        <v>Clinical Svcs</v>
      </c>
      <c r="I710" s="1" t="str">
        <f aca="false">IF(G710&gt;0,IF(INDEX(CONFIRM!$I$5:$I$53,G710)&lt;&gt;"",INDEX(CONFIRM!$I$5:$I$53,G710),H710),H710)</f>
        <v>Clinical Svcs</v>
      </c>
      <c r="J710" s="1" t="str">
        <f aca="false">IFERROR(INDEX(MAP!$F$7:$F$74,MATCH(TRIM(I710),MAP!$E$7:$E$74,0)),"UNMAPPED")</f>
        <v>Community-based clinical services</v>
      </c>
      <c r="K710" s="1" t="str">
        <f aca="false">IFERROR(INDEX(MAP!$G$7:$G$74,MATCH(TRIM(I710),MAP!$E$7:$E$74,0)),"UNMAPPED")</f>
        <v>7e</v>
      </c>
      <c r="L710" s="49" t="str">
        <f aca="false">STACK!G710</f>
        <v>02/28/2026</v>
      </c>
      <c r="M710" s="59" t="n">
        <f aca="false">IF(G710&gt;0,IF(INDEX(CONFIRM!$G$5:$G$53,G710)&lt;&gt;"",INDEX(CONFIRM!$G$5:$G$53,G710),IF(ISNUMBER(L710),L710,IFERROR(DATEVALUE(L710),""))),IF(ISNUMBER(L710),L710,IFERROR(DATEVALUE(L710),"")))</f>
        <v>46081</v>
      </c>
      <c r="N710" s="1" t="str">
        <f aca="false">IF(M710="","Check",IF(AND(M710&gt;=INPUTS!$C$6,M710&lt;=INPUTS!$C$7),"Yes","No"))</f>
        <v>Yes</v>
      </c>
      <c r="O710" s="48" t="str">
        <f aca="false">STACK!H710</f>
        <v>Clinical RN</v>
      </c>
      <c r="P710" s="1" t="str">
        <f aca="false">IF(G710&gt;0,IF(INDEX(CONFIRM!$H$5:$H$53,G710)&lt;&gt;"",INDEX(CONFIRM!$H$5:$H$53,G710),IFERROR(INDEX(MAP!$B$7:$B$156,MATCH(TRIM(O710),MAP!$A$7:$A$156,0)),"UNMAPPED")),IFERROR(INDEX(MAP!$B$7:$B$156,MATCH(TRIM(O710),MAP!$A$7:$A$156,0)),"UNMAPPED"))</f>
        <v>Registered Nurse</v>
      </c>
      <c r="Q710" s="48" t="n">
        <f aca="false">STACK!I710</f>
        <v>99.75</v>
      </c>
      <c r="R710" s="60" t="n">
        <f aca="false">IF(G710&gt;0,IF(INDEX(CONFIRM!$F$5:$F$53,G710)&lt;&gt;"",INDEX(CONFIRM!$F$5:$F$53,G710),IF(ISNUMBER(Q710),Q710,IF(Q710="","",IFERROR(VALUE(TRIM(SUBSTITUTE(SUBSTITUTE(LOWER(Q710),"hrs",""),"hr",""))),"")))),IF(ISNUMBER(Q710),Q710,IF(Q710="","",IFERROR(VALUE(TRIM(SUBSTITUTE(SUBSTITUTE(LOWER(Q710),"hrs",""),"hr",""))),""))))</f>
        <v>99.75</v>
      </c>
      <c r="S710" s="57" t="n">
        <f aca="false">IFERROR(INDEX(RATES!$E$6:$E$28,MATCH(P710,RATES!$A$6:$A$28,0)),0)</f>
        <v>55.8975</v>
      </c>
      <c r="T710" s="61" t="n">
        <f aca="false">IF(ISNUMBER(R710),R710,0)*S710</f>
        <v>5575.775625</v>
      </c>
      <c r="U710" s="61" t="n">
        <f aca="false">T710*INDEX(INPUTS!$H$10:$H$14,MATCH(B710,INPUTS!$A$10:$A$14,0))</f>
        <v>903.27565125</v>
      </c>
      <c r="V710" s="61" t="n">
        <f aca="false">N(STACK!K710)</f>
        <v>9455</v>
      </c>
      <c r="W710" s="61" t="n">
        <f aca="false">T710+U710+V710</f>
        <v>15934.05127625</v>
      </c>
      <c r="X710" s="61" t="n">
        <f aca="false">N(STACK!L710)</f>
        <v>0</v>
      </c>
      <c r="Y710" s="61" t="n">
        <f aca="false">W710-X710</f>
        <v>15934.05127625</v>
      </c>
      <c r="Z710" s="1" t="n">
        <f aca="false">N(STACK!J710)</f>
        <v>142</v>
      </c>
      <c r="AA710" s="1" t="str">
        <f aca="false">TRIM(IF(D710="UNMAPPED","Program not mapped. ","")&amp;IF(OR(K710="UNMAPPED",K710="UNASSIGNED"),"Category needs review. ","")&amp;IF(P710="UNMAPPED","Title not mapped. ","")&amp;IF(AND(P710&lt;&gt;"No staff time",R710=""),"Missing hours. ","")&amp;IF(M710="","Date not readable. ","")&amp;IF(N710="No","Outside fiscal year. ","")&amp;IF(AND(F710="Event",ISNUMBER(R710)),IF(R710&gt;12,"Event hours look high. ",""),"")&amp;IF(G710&gt;0,"See CONFIRM sheet.",""))</f>
        <v/>
      </c>
      <c r="AB710" s="1" t="n">
        <f aca="false">IF(N710="No",0,IF(REVIEW!O710=0,0,IF(G710&gt;0,IF(INDEX(CONFIRM!$J$5:$J$53,G710)&lt;&gt;"",INDEX(CONFIRM!$J$5:$J$53,G710),1),1)))</f>
        <v>1</v>
      </c>
      <c r="AC710" s="1" t="n">
        <f aca="false">IF(AB710=1,IF(COUNTIFS($B$5:B710,B710,$D$5:D710,D710,$AB$5:AB710,1)=1,1,0),0)</f>
        <v>0</v>
      </c>
    </row>
    <row r="711" customFormat="false" ht="15" hidden="false" customHeight="false" outlineLevel="0" collapsed="false">
      <c r="A711" s="48" t="str">
        <f aca="false">STACK!A711</f>
        <v>ASH-0178</v>
      </c>
      <c r="B711" s="48" t="str">
        <f aca="false">STACK!B711</f>
        <v>ASH</v>
      </c>
      <c r="C711" s="48" t="str">
        <f aca="false">STACK!E711</f>
        <v>CHW Outreach</v>
      </c>
      <c r="D711" s="1" t="str">
        <f aca="false">IFERROR(INDEX(MAP!$J$7:$J$101,MATCH(TRIM(C711),MAP!$I$7:$I$101,0)),"UNMAPPED")</f>
        <v>Community Health Worker Outreach</v>
      </c>
      <c r="E711" s="1" t="str">
        <f aca="false">IFERROR(INDEX(MAP!$K$7:$K$101,MATCH(TRIM(C711),MAP!$I$7:$I$101,0)),"")</f>
        <v>Access to care</v>
      </c>
      <c r="F711" s="1" t="str">
        <f aca="false">IFERROR(INDEX(MAP!$L$7:$L$101,MATCH(TRIM(C711),MAP!$I$7:$I$101,0)),"")</f>
        <v>Monthly</v>
      </c>
      <c r="G711" s="1" t="n">
        <f aca="false">IFERROR(MATCH(A711,CONFIRM!$A$5:$A$53,0),0)</f>
        <v>0</v>
      </c>
      <c r="H711" s="48" t="str">
        <f aca="false">STACK!F711</f>
        <v>Support Svcs</v>
      </c>
      <c r="I711" s="1" t="str">
        <f aca="false">IF(G711&gt;0,IF(INDEX(CONFIRM!$I$5:$I$53,G711)&lt;&gt;"",INDEX(CONFIRM!$I$5:$I$53,G711),H711),H711)</f>
        <v>Support Svcs</v>
      </c>
      <c r="J711" s="1" t="str">
        <f aca="false">IFERROR(INDEX(MAP!$F$7:$F$74,MATCH(TRIM(I711),MAP!$E$7:$E$74,0)),"UNMAPPED")</f>
        <v>Health care support services</v>
      </c>
      <c r="K711" s="1" t="str">
        <f aca="false">IFERROR(INDEX(MAP!$G$7:$G$74,MATCH(TRIM(I711),MAP!$E$7:$E$74,0)),"UNMAPPED")</f>
        <v>7e</v>
      </c>
      <c r="L711" s="49" t="str">
        <f aca="false">STACK!G711</f>
        <v>02/28/2026</v>
      </c>
      <c r="M711" s="59" t="n">
        <f aca="false">IF(G711&gt;0,IF(INDEX(CONFIRM!$G$5:$G$53,G711)&lt;&gt;"",INDEX(CONFIRM!$G$5:$G$53,G711),IF(ISNUMBER(L711),L711,IFERROR(DATEVALUE(L711),""))),IF(ISNUMBER(L711),L711,IFERROR(DATEVALUE(L711),"")))</f>
        <v>46081</v>
      </c>
      <c r="N711" s="1" t="str">
        <f aca="false">IF(M711="","Check",IF(AND(M711&gt;=INPUTS!$C$6,M711&lt;=INPUTS!$C$7),"Yes","No"))</f>
        <v>Yes</v>
      </c>
      <c r="O711" s="48" t="str">
        <f aca="false">STACK!H711</f>
        <v>CHW</v>
      </c>
      <c r="P711" s="1" t="str">
        <f aca="false">IF(G711&gt;0,IF(INDEX(CONFIRM!$H$5:$H$53,G711)&lt;&gt;"",INDEX(CONFIRM!$H$5:$H$53,G711),IFERROR(INDEX(MAP!$B$7:$B$156,MATCH(TRIM(O711),MAP!$A$7:$A$156,0)),"UNMAPPED")),IFERROR(INDEX(MAP!$B$7:$B$156,MATCH(TRIM(O711),MAP!$A$7:$A$156,0)),"UNMAPPED"))</f>
        <v>Community Health Worker</v>
      </c>
      <c r="Q711" s="48" t="n">
        <f aca="false">STACK!I711</f>
        <v>338.75</v>
      </c>
      <c r="R711" s="60" t="n">
        <f aca="false">IF(G711&gt;0,IF(INDEX(CONFIRM!$F$5:$F$53,G711)&lt;&gt;"",INDEX(CONFIRM!$F$5:$F$53,G711),IF(ISNUMBER(Q711),Q711,IF(Q711="","",IFERROR(VALUE(TRIM(SUBSTITUTE(SUBSTITUTE(LOWER(Q711),"hrs",""),"hr",""))),"")))),IF(ISNUMBER(Q711),Q711,IF(Q711="","",IFERROR(VALUE(TRIM(SUBSTITUTE(SUBSTITUTE(LOWER(Q711),"hrs",""),"hr",""))),""))))</f>
        <v>338.75</v>
      </c>
      <c r="S711" s="57" t="n">
        <f aca="false">IFERROR(INDEX(RATES!$E$6:$E$28,MATCH(P711,RATES!$A$6:$A$28,0)),0)</f>
        <v>27.6275</v>
      </c>
      <c r="T711" s="61" t="n">
        <f aca="false">IF(ISNUMBER(R711),R711,0)*S711</f>
        <v>9358.815625</v>
      </c>
      <c r="U711" s="61" t="n">
        <f aca="false">T711*INDEX(INPUTS!$H$10:$H$14,MATCH(B711,INPUTS!$A$10:$A$14,0))</f>
        <v>1516.12813125</v>
      </c>
      <c r="V711" s="61" t="n">
        <f aca="false">N(STACK!K711)</f>
        <v>1300</v>
      </c>
      <c r="W711" s="61" t="n">
        <f aca="false">T711+U711+V711</f>
        <v>12174.94375625</v>
      </c>
      <c r="X711" s="61" t="n">
        <f aca="false">N(STACK!L711)</f>
        <v>0</v>
      </c>
      <c r="Y711" s="61" t="n">
        <f aca="false">W711-X711</f>
        <v>12174.94375625</v>
      </c>
      <c r="Z711" s="1" t="n">
        <f aca="false">N(STACK!J711)</f>
        <v>457</v>
      </c>
      <c r="AA711" s="1" t="str">
        <f aca="false">TRIM(IF(D711="UNMAPPED","Program not mapped. ","")&amp;IF(OR(K711="UNMAPPED",K711="UNASSIGNED"),"Category needs review. ","")&amp;IF(P711="UNMAPPED","Title not mapped. ","")&amp;IF(AND(P711&lt;&gt;"No staff time",R711=""),"Missing hours. ","")&amp;IF(M711="","Date not readable. ","")&amp;IF(N711="No","Outside fiscal year. ","")&amp;IF(AND(F711="Event",ISNUMBER(R711)),IF(R711&gt;12,"Event hours look high. ",""),"")&amp;IF(G711&gt;0,"See CONFIRM sheet.",""))</f>
        <v/>
      </c>
      <c r="AB711" s="1" t="n">
        <f aca="false">IF(N711="No",0,IF(REVIEW!O711=0,0,IF(G711&gt;0,IF(INDEX(CONFIRM!$J$5:$J$53,G711)&lt;&gt;"",INDEX(CONFIRM!$J$5:$J$53,G711),1),1)))</f>
        <v>1</v>
      </c>
      <c r="AC711" s="1" t="n">
        <f aca="false">IF(AB711=1,IF(COUNTIFS($B$5:B711,B711,$D$5:D711,D711,$AB$5:AB711,1)=1,1,0),0)</f>
        <v>0</v>
      </c>
    </row>
    <row r="712" customFormat="false" ht="15" hidden="false" customHeight="false" outlineLevel="0" collapsed="false">
      <c r="A712" s="48" t="str">
        <f aca="false">STACK!A712</f>
        <v>ASH-0179</v>
      </c>
      <c r="B712" s="48" t="str">
        <f aca="false">STACK!B712</f>
        <v>ASH</v>
      </c>
      <c r="C712" s="48" t="str">
        <f aca="false">STACK!E712</f>
        <v>CHW Outreach</v>
      </c>
      <c r="D712" s="1" t="str">
        <f aca="false">IFERROR(INDEX(MAP!$J$7:$J$101,MATCH(TRIM(C712),MAP!$I$7:$I$101,0)),"UNMAPPED")</f>
        <v>Community Health Worker Outreach</v>
      </c>
      <c r="E712" s="1" t="str">
        <f aca="false">IFERROR(INDEX(MAP!$K$7:$K$101,MATCH(TRIM(C712),MAP!$I$7:$I$101,0)),"")</f>
        <v>Access to care</v>
      </c>
      <c r="F712" s="1" t="str">
        <f aca="false">IFERROR(INDEX(MAP!$L$7:$L$101,MATCH(TRIM(C712),MAP!$I$7:$I$101,0)),"")</f>
        <v>Monthly</v>
      </c>
      <c r="G712" s="1" t="n">
        <f aca="false">IFERROR(MATCH(A712,CONFIRM!$A$5:$A$53,0),0)</f>
        <v>0</v>
      </c>
      <c r="H712" s="48" t="str">
        <f aca="false">STACK!F712</f>
        <v>Support Svcs</v>
      </c>
      <c r="I712" s="1" t="str">
        <f aca="false">IF(G712&gt;0,IF(INDEX(CONFIRM!$I$5:$I$53,G712)&lt;&gt;"",INDEX(CONFIRM!$I$5:$I$53,G712),H712),H712)</f>
        <v>Support Svcs</v>
      </c>
      <c r="J712" s="1" t="str">
        <f aca="false">IFERROR(INDEX(MAP!$F$7:$F$74,MATCH(TRIM(I712),MAP!$E$7:$E$74,0)),"UNMAPPED")</f>
        <v>Health care support services</v>
      </c>
      <c r="K712" s="1" t="str">
        <f aca="false">IFERROR(INDEX(MAP!$G$7:$G$74,MATCH(TRIM(I712),MAP!$E$7:$E$74,0)),"UNMAPPED")</f>
        <v>7e</v>
      </c>
      <c r="L712" s="49" t="str">
        <f aca="false">STACK!G712</f>
        <v>02/28/2026</v>
      </c>
      <c r="M712" s="59" t="n">
        <f aca="false">IF(G712&gt;0,IF(INDEX(CONFIRM!$G$5:$G$53,G712)&lt;&gt;"",INDEX(CONFIRM!$G$5:$G$53,G712),IF(ISNUMBER(L712),L712,IFERROR(DATEVALUE(L712),""))),IF(ISNUMBER(L712),L712,IFERROR(DATEVALUE(L712),"")))</f>
        <v>46081</v>
      </c>
      <c r="N712" s="1" t="str">
        <f aca="false">IF(M712="","Check",IF(AND(M712&gt;=INPUTS!$C$6,M712&lt;=INPUTS!$C$7),"Yes","No"))</f>
        <v>Yes</v>
      </c>
      <c r="O712" s="48" t="str">
        <f aca="false">STACK!H712</f>
        <v>Financial Navigator</v>
      </c>
      <c r="P712" s="1" t="str">
        <f aca="false">IF(G712&gt;0,IF(INDEX(CONFIRM!$H$5:$H$53,G712)&lt;&gt;"",INDEX(CONFIRM!$H$5:$H$53,G712),IFERROR(INDEX(MAP!$B$7:$B$156,MATCH(TRIM(O712),MAP!$A$7:$A$156,0)),"UNMAPPED")),IFERROR(INDEX(MAP!$B$7:$B$156,MATCH(TRIM(O712),MAP!$A$7:$A$156,0)),"UNMAPPED"))</f>
        <v>Patient Navigator</v>
      </c>
      <c r="Q712" s="48" t="n">
        <f aca="false">STACK!I712</f>
        <v>131.25</v>
      </c>
      <c r="R712" s="60" t="n">
        <f aca="false">IF(G712&gt;0,IF(INDEX(CONFIRM!$F$5:$F$53,G712)&lt;&gt;"",INDEX(CONFIRM!$F$5:$F$53,G712),IF(ISNUMBER(Q712),Q712,IF(Q712="","",IFERROR(VALUE(TRIM(SUBSTITUTE(SUBSTITUTE(LOWER(Q712),"hrs",""),"hr",""))),"")))),IF(ISNUMBER(Q712),Q712,IF(Q712="","",IFERROR(VALUE(TRIM(SUBSTITUTE(SUBSTITUTE(LOWER(Q712),"hrs",""),"hr",""))),""))))</f>
        <v>131.25</v>
      </c>
      <c r="S712" s="57" t="n">
        <f aca="false">IFERROR(INDEX(RATES!$E$6:$E$28,MATCH(P712,RATES!$A$6:$A$28,0)),0)</f>
        <v>30.84</v>
      </c>
      <c r="T712" s="61" t="n">
        <f aca="false">IF(ISNUMBER(R712),R712,0)*S712</f>
        <v>4047.75</v>
      </c>
      <c r="U712" s="61" t="n">
        <f aca="false">T712*INDEX(INPUTS!$H$10:$H$14,MATCH(B712,INPUTS!$A$10:$A$14,0))</f>
        <v>655.7355</v>
      </c>
      <c r="V712" s="61" t="n">
        <f aca="false">N(STACK!K712)</f>
        <v>0</v>
      </c>
      <c r="W712" s="61" t="n">
        <f aca="false">T712+U712+V712</f>
        <v>4703.4855</v>
      </c>
      <c r="X712" s="61" t="n">
        <f aca="false">N(STACK!L712)</f>
        <v>0</v>
      </c>
      <c r="Y712" s="61" t="n">
        <f aca="false">W712-X712</f>
        <v>4703.4855</v>
      </c>
      <c r="Z712" s="1" t="n">
        <f aca="false">N(STACK!J712)</f>
        <v>0</v>
      </c>
      <c r="AA712" s="1" t="str">
        <f aca="false">TRIM(IF(D712="UNMAPPED","Program not mapped. ","")&amp;IF(OR(K712="UNMAPPED",K712="UNASSIGNED"),"Category needs review. ","")&amp;IF(P712="UNMAPPED","Title not mapped. ","")&amp;IF(AND(P712&lt;&gt;"No staff time",R712=""),"Missing hours. ","")&amp;IF(M712="","Date not readable. ","")&amp;IF(N712="No","Outside fiscal year. ","")&amp;IF(AND(F712="Event",ISNUMBER(R712)),IF(R712&gt;12,"Event hours look high. ",""),"")&amp;IF(G712&gt;0,"See CONFIRM sheet.",""))</f>
        <v/>
      </c>
      <c r="AB712" s="1" t="n">
        <f aca="false">IF(N712="No",0,IF(REVIEW!O712=0,0,IF(G712&gt;0,IF(INDEX(CONFIRM!$J$5:$J$53,G712)&lt;&gt;"",INDEX(CONFIRM!$J$5:$J$53,G712),1),1)))</f>
        <v>1</v>
      </c>
      <c r="AC712" s="1" t="n">
        <f aca="false">IF(AB712=1,IF(COUNTIFS($B$5:B712,B712,$D$5:D712,D712,$AB$5:AB712,1)=1,1,0),0)</f>
        <v>0</v>
      </c>
    </row>
    <row r="713" customFormat="false" ht="15" hidden="false" customHeight="false" outlineLevel="0" collapsed="false">
      <c r="A713" s="48" t="str">
        <f aca="false">STACK!A713</f>
        <v>ASH-0180</v>
      </c>
      <c r="B713" s="48" t="str">
        <f aca="false">STACK!B713</f>
        <v>ASH</v>
      </c>
      <c r="C713" s="48" t="str">
        <f aca="false">STACK!E713</f>
        <v>Produce Rx</v>
      </c>
      <c r="D713" s="1" t="str">
        <f aca="false">IFERROR(INDEX(MAP!$J$7:$J$101,MATCH(TRIM(C713),MAP!$I$7:$I$101,0)),"UNMAPPED")</f>
        <v>Produce Prescription Program</v>
      </c>
      <c r="E713" s="1" t="str">
        <f aca="false">IFERROR(INDEX(MAP!$K$7:$K$101,MATCH(TRIM(C713),MAP!$I$7:$I$101,0)),"")</f>
        <v>Food and housing security</v>
      </c>
      <c r="F713" s="1" t="str">
        <f aca="false">IFERROR(INDEX(MAP!$L$7:$L$101,MATCH(TRIM(C713),MAP!$I$7:$I$101,0)),"")</f>
        <v>Monthly</v>
      </c>
      <c r="G713" s="1" t="n">
        <f aca="false">IFERROR(MATCH(A713,CONFIRM!$A$5:$A$53,0),0)</f>
        <v>0</v>
      </c>
      <c r="H713" s="48" t="str">
        <f aca="false">STACK!F713</f>
        <v>Support Svcs</v>
      </c>
      <c r="I713" s="1" t="str">
        <f aca="false">IF(G713&gt;0,IF(INDEX(CONFIRM!$I$5:$I$53,G713)&lt;&gt;"",INDEX(CONFIRM!$I$5:$I$53,G713),H713),H713)</f>
        <v>Support Svcs</v>
      </c>
      <c r="J713" s="1" t="str">
        <f aca="false">IFERROR(INDEX(MAP!$F$7:$F$74,MATCH(TRIM(I713),MAP!$E$7:$E$74,0)),"UNMAPPED")</f>
        <v>Health care support services</v>
      </c>
      <c r="K713" s="1" t="str">
        <f aca="false">IFERROR(INDEX(MAP!$G$7:$G$74,MATCH(TRIM(I713),MAP!$E$7:$E$74,0)),"UNMAPPED")</f>
        <v>7e</v>
      </c>
      <c r="L713" s="49" t="str">
        <f aca="false">STACK!G713</f>
        <v>02/28/2026</v>
      </c>
      <c r="M713" s="59" t="n">
        <f aca="false">IF(G713&gt;0,IF(INDEX(CONFIRM!$G$5:$G$53,G713)&lt;&gt;"",INDEX(CONFIRM!$G$5:$G$53,G713),IF(ISNUMBER(L713),L713,IFERROR(DATEVALUE(L713),""))),IF(ISNUMBER(L713),L713,IFERROR(DATEVALUE(L713),"")))</f>
        <v>46081</v>
      </c>
      <c r="N713" s="1" t="str">
        <f aca="false">IF(M713="","Check",IF(AND(M713&gt;=INPUTS!$C$6,M713&lt;=INPUTS!$C$7),"Yes","No"))</f>
        <v>Yes</v>
      </c>
      <c r="O713" s="48" t="str">
        <f aca="false">STACK!H713</f>
        <v>chw ii</v>
      </c>
      <c r="P713" s="1" t="str">
        <f aca="false">IF(G713&gt;0,IF(INDEX(CONFIRM!$H$5:$H$53,G713)&lt;&gt;"",INDEX(CONFIRM!$H$5:$H$53,G713),IFERROR(INDEX(MAP!$B$7:$B$156,MATCH(TRIM(O713),MAP!$A$7:$A$156,0)),"UNMAPPED")),IFERROR(INDEX(MAP!$B$7:$B$156,MATCH(TRIM(O713),MAP!$A$7:$A$156,0)),"UNMAPPED"))</f>
        <v>Community Health Worker</v>
      </c>
      <c r="Q713" s="48" t="n">
        <f aca="false">STACK!I713</f>
        <v>62</v>
      </c>
      <c r="R713" s="60" t="n">
        <f aca="false">IF(G713&gt;0,IF(INDEX(CONFIRM!$F$5:$F$53,G713)&lt;&gt;"",INDEX(CONFIRM!$F$5:$F$53,G713),IF(ISNUMBER(Q713),Q713,IF(Q713="","",IFERROR(VALUE(TRIM(SUBSTITUTE(SUBSTITUTE(LOWER(Q713),"hrs",""),"hr",""))),"")))),IF(ISNUMBER(Q713),Q713,IF(Q713="","",IFERROR(VALUE(TRIM(SUBSTITUTE(SUBSTITUTE(LOWER(Q713),"hrs",""),"hr",""))),""))))</f>
        <v>62</v>
      </c>
      <c r="S713" s="57" t="n">
        <f aca="false">IFERROR(INDEX(RATES!$E$6:$E$28,MATCH(P713,RATES!$A$6:$A$28,0)),0)</f>
        <v>27.6275</v>
      </c>
      <c r="T713" s="61" t="n">
        <f aca="false">IF(ISNUMBER(R713),R713,0)*S713</f>
        <v>1712.905</v>
      </c>
      <c r="U713" s="61" t="n">
        <f aca="false">T713*INDEX(INPUTS!$H$10:$H$14,MATCH(B713,INPUTS!$A$10:$A$14,0))</f>
        <v>277.49061</v>
      </c>
      <c r="V713" s="61" t="n">
        <f aca="false">N(STACK!K713)</f>
        <v>0</v>
      </c>
      <c r="W713" s="61" t="n">
        <f aca="false">T713+U713+V713</f>
        <v>1990.39561</v>
      </c>
      <c r="X713" s="61" t="n">
        <f aca="false">N(STACK!L713)</f>
        <v>0</v>
      </c>
      <c r="Y713" s="61" t="n">
        <f aca="false">W713-X713</f>
        <v>1990.39561</v>
      </c>
      <c r="Z713" s="1" t="n">
        <f aca="false">N(STACK!J713)</f>
        <v>0</v>
      </c>
      <c r="AA713" s="1" t="str">
        <f aca="false">TRIM(IF(D713="UNMAPPED","Program not mapped. ","")&amp;IF(OR(K713="UNMAPPED",K713="UNASSIGNED"),"Category needs review. ","")&amp;IF(P713="UNMAPPED","Title not mapped. ","")&amp;IF(AND(P713&lt;&gt;"No staff time",R713=""),"Missing hours. ","")&amp;IF(M713="","Date not readable. ","")&amp;IF(N713="No","Outside fiscal year. ","")&amp;IF(AND(F713="Event",ISNUMBER(R713)),IF(R713&gt;12,"Event hours look high. ",""),"")&amp;IF(G713&gt;0,"See CONFIRM sheet.",""))</f>
        <v/>
      </c>
      <c r="AB713" s="1" t="n">
        <f aca="false">IF(N713="No",0,IF(REVIEW!O713=0,0,IF(G713&gt;0,IF(INDEX(CONFIRM!$J$5:$J$53,G713)&lt;&gt;"",INDEX(CONFIRM!$J$5:$J$53,G713),1),1)))</f>
        <v>1</v>
      </c>
      <c r="AC713" s="1" t="n">
        <f aca="false">IF(AB713=1,IF(COUNTIFS($B$5:B713,B713,$D$5:D713,D713,$AB$5:AB713,1)=1,1,0),0)</f>
        <v>0</v>
      </c>
    </row>
    <row r="714" customFormat="false" ht="15" hidden="false" customHeight="false" outlineLevel="0" collapsed="false">
      <c r="A714" s="48" t="str">
        <f aca="false">STACK!A714</f>
        <v>ASH-0181</v>
      </c>
      <c r="B714" s="48" t="str">
        <f aca="false">STACK!B714</f>
        <v>ASH</v>
      </c>
      <c r="C714" s="48" t="str">
        <f aca="false">STACK!E714</f>
        <v>Produce Rx</v>
      </c>
      <c r="D714" s="1" t="str">
        <f aca="false">IFERROR(INDEX(MAP!$J$7:$J$101,MATCH(TRIM(C714),MAP!$I$7:$I$101,0)),"UNMAPPED")</f>
        <v>Produce Prescription Program</v>
      </c>
      <c r="E714" s="1" t="str">
        <f aca="false">IFERROR(INDEX(MAP!$K$7:$K$101,MATCH(TRIM(C714),MAP!$I$7:$I$101,0)),"")</f>
        <v>Food and housing security</v>
      </c>
      <c r="F714" s="1" t="str">
        <f aca="false">IFERROR(INDEX(MAP!$L$7:$L$101,MATCH(TRIM(C714),MAP!$I$7:$I$101,0)),"")</f>
        <v>Monthly</v>
      </c>
      <c r="G714" s="1" t="n">
        <f aca="false">IFERROR(MATCH(A714,CONFIRM!$A$5:$A$53,0),0)</f>
        <v>0</v>
      </c>
      <c r="H714" s="48" t="str">
        <f aca="false">STACK!F714</f>
        <v>Support Svcs</v>
      </c>
      <c r="I714" s="1" t="str">
        <f aca="false">IF(G714&gt;0,IF(INDEX(CONFIRM!$I$5:$I$53,G714)&lt;&gt;"",INDEX(CONFIRM!$I$5:$I$53,G714),H714),H714)</f>
        <v>Support Svcs</v>
      </c>
      <c r="J714" s="1" t="str">
        <f aca="false">IFERROR(INDEX(MAP!$F$7:$F$74,MATCH(TRIM(I714),MAP!$E$7:$E$74,0)),"UNMAPPED")</f>
        <v>Health care support services</v>
      </c>
      <c r="K714" s="1" t="str">
        <f aca="false">IFERROR(INDEX(MAP!$G$7:$G$74,MATCH(TRIM(I714),MAP!$E$7:$E$74,0)),"UNMAPPED")</f>
        <v>7e</v>
      </c>
      <c r="L714" s="49" t="str">
        <f aca="false">STACK!G714</f>
        <v>02/28/2026</v>
      </c>
      <c r="M714" s="59" t="n">
        <f aca="false">IF(G714&gt;0,IF(INDEX(CONFIRM!$G$5:$G$53,G714)&lt;&gt;"",INDEX(CONFIRM!$G$5:$G$53,G714),IF(ISNUMBER(L714),L714,IFERROR(DATEVALUE(L714),""))),IF(ISNUMBER(L714),L714,IFERROR(DATEVALUE(L714),"")))</f>
        <v>46081</v>
      </c>
      <c r="N714" s="1" t="str">
        <f aca="false">IF(M714="","Check",IF(AND(M714&gt;=INPUTS!$C$6,M714&lt;=INPUTS!$C$7),"Yes","No"))</f>
        <v>Yes</v>
      </c>
      <c r="O714" s="48" t="str">
        <f aca="false">STACK!H714</f>
        <v>Registered Dietitian</v>
      </c>
      <c r="P714" s="1" t="str">
        <f aca="false">IF(G714&gt;0,IF(INDEX(CONFIRM!$H$5:$H$53,G714)&lt;&gt;"",INDEX(CONFIRM!$H$5:$H$53,G714),IFERROR(INDEX(MAP!$B$7:$B$156,MATCH(TRIM(O714),MAP!$A$7:$A$156,0)),"UNMAPPED")),IFERROR(INDEX(MAP!$B$7:$B$156,MATCH(TRIM(O714),MAP!$A$7:$A$156,0)),"UNMAPPED"))</f>
        <v>Registered Dietitian</v>
      </c>
      <c r="Q714" s="48" t="n">
        <f aca="false">STACK!I714</f>
        <v>31.75</v>
      </c>
      <c r="R714" s="60" t="n">
        <f aca="false">IF(G714&gt;0,IF(INDEX(CONFIRM!$F$5:$F$53,G714)&lt;&gt;"",INDEX(CONFIRM!$F$5:$F$53,G714),IF(ISNUMBER(Q714),Q714,IF(Q714="","",IFERROR(VALUE(TRIM(SUBSTITUTE(SUBSTITUTE(LOWER(Q714),"hrs",""),"hr",""))),"")))),IF(ISNUMBER(Q714),Q714,IF(Q714="","",IFERROR(VALUE(TRIM(SUBSTITUTE(SUBSTITUTE(LOWER(Q714),"hrs",""),"hr",""))),""))))</f>
        <v>31.75</v>
      </c>
      <c r="S714" s="57" t="n">
        <f aca="false">IFERROR(INDEX(RATES!$E$6:$E$28,MATCH(P714,RATES!$A$6:$A$28,0)),0)</f>
        <v>46.9025</v>
      </c>
      <c r="T714" s="61" t="n">
        <f aca="false">IF(ISNUMBER(R714),R714,0)*S714</f>
        <v>1489.154375</v>
      </c>
      <c r="U714" s="61" t="n">
        <f aca="false">T714*INDEX(INPUTS!$H$10:$H$14,MATCH(B714,INPUTS!$A$10:$A$14,0))</f>
        <v>241.24300875</v>
      </c>
      <c r="V714" s="61" t="n">
        <f aca="false">N(STACK!K714)</f>
        <v>9905</v>
      </c>
      <c r="W714" s="61" t="n">
        <f aca="false">T714+U714+V714</f>
        <v>11635.39738375</v>
      </c>
      <c r="X714" s="61" t="n">
        <f aca="false">N(STACK!L714)</f>
        <v>5170</v>
      </c>
      <c r="Y714" s="61" t="n">
        <f aca="false">W714-X714</f>
        <v>6465.39738375</v>
      </c>
      <c r="Z714" s="1" t="n">
        <f aca="false">N(STACK!J714)</f>
        <v>168</v>
      </c>
      <c r="AA714" s="1" t="str">
        <f aca="false">TRIM(IF(D714="UNMAPPED","Program not mapped. ","")&amp;IF(OR(K714="UNMAPPED",K714="UNASSIGNED"),"Category needs review. ","")&amp;IF(P714="UNMAPPED","Title not mapped. ","")&amp;IF(AND(P714&lt;&gt;"No staff time",R714=""),"Missing hours. ","")&amp;IF(M714="","Date not readable. ","")&amp;IF(N714="No","Outside fiscal year. ","")&amp;IF(AND(F714="Event",ISNUMBER(R714)),IF(R714&gt;12,"Event hours look high. ",""),"")&amp;IF(G714&gt;0,"See CONFIRM sheet.",""))</f>
        <v/>
      </c>
      <c r="AB714" s="1" t="n">
        <f aca="false">IF(N714="No",0,IF(REVIEW!O714=0,0,IF(G714&gt;0,IF(INDEX(CONFIRM!$J$5:$J$53,G714)&lt;&gt;"",INDEX(CONFIRM!$J$5:$J$53,G714),1),1)))</f>
        <v>1</v>
      </c>
      <c r="AC714" s="1" t="n">
        <f aca="false">IF(AB714=1,IF(COUNTIFS($B$5:B714,B714,$D$5:D714,D714,$AB$5:AB714,1)=1,1,0),0)</f>
        <v>0</v>
      </c>
    </row>
    <row r="715" customFormat="false" ht="15" hidden="false" customHeight="false" outlineLevel="0" collapsed="false">
      <c r="A715" s="48" t="str">
        <f aca="false">STACK!A715</f>
        <v>ASH-0182</v>
      </c>
      <c r="B715" s="48" t="str">
        <f aca="false">STACK!B715</f>
        <v>ASH</v>
      </c>
      <c r="C715" s="48" t="str">
        <f aca="false">STACK!E715</f>
        <v>CHNA (system)</v>
      </c>
      <c r="D715" s="1" t="str">
        <f aca="false">IFERROR(INDEX(MAP!$J$7:$J$101,MATCH(TRIM(C715),MAP!$I$7:$I$101,0)),"UNMAPPED")</f>
        <v>Community Health Needs Assessment</v>
      </c>
      <c r="E715" s="1" t="str">
        <f aca="false">IFERROR(INDEX(MAP!$K$7:$K$101,MATCH(TRIM(C715),MAP!$I$7:$I$101,0)),"")</f>
        <v>Community benefit infrastructure</v>
      </c>
      <c r="F715" s="1" t="str">
        <f aca="false">IFERROR(INDEX(MAP!$L$7:$L$101,MATCH(TRIM(C715),MAP!$I$7:$I$101,0)),"")</f>
        <v>Monthly</v>
      </c>
      <c r="G715" s="1" t="n">
        <f aca="false">IFERROR(MATCH(A715,CONFIRM!$A$5:$A$53,0),0)</f>
        <v>0</v>
      </c>
      <c r="H715" s="48" t="str">
        <f aca="false">STACK!F715</f>
        <v>CB Admin</v>
      </c>
      <c r="I715" s="1" t="str">
        <f aca="false">IF(G715&gt;0,IF(INDEX(CONFIRM!$I$5:$I$53,G715)&lt;&gt;"",INDEX(CONFIRM!$I$5:$I$53,G715),H715),H715)</f>
        <v>CB Admin</v>
      </c>
      <c r="J715" s="1" t="str">
        <f aca="false">IFERROR(INDEX(MAP!$F$7:$F$74,MATCH(TRIM(I715),MAP!$E$7:$E$74,0)),"UNMAPPED")</f>
        <v>Community benefit operations</v>
      </c>
      <c r="K715" s="1" t="str">
        <f aca="false">IFERROR(INDEX(MAP!$G$7:$G$74,MATCH(TRIM(I715),MAP!$E$7:$E$74,0)),"UNMAPPED")</f>
        <v>7e</v>
      </c>
      <c r="L715" s="49" t="str">
        <f aca="false">STACK!G715</f>
        <v>02/28/2026</v>
      </c>
      <c r="M715" s="59" t="n">
        <f aca="false">IF(G715&gt;0,IF(INDEX(CONFIRM!$G$5:$G$53,G715)&lt;&gt;"",INDEX(CONFIRM!$G$5:$G$53,G715),IF(ISNUMBER(L715),L715,IFERROR(DATEVALUE(L715),""))),IF(ISNUMBER(L715),L715,IFERROR(DATEVALUE(L715),"")))</f>
        <v>46081</v>
      </c>
      <c r="N715" s="1" t="str">
        <f aca="false">IF(M715="","Check",IF(AND(M715&gt;=INPUTS!$C$6,M715&lt;=INPUTS!$C$7),"Yes","No"))</f>
        <v>Yes</v>
      </c>
      <c r="O715" s="48" t="str">
        <f aca="false">STACK!H715</f>
        <v>Community Benefit Mgr</v>
      </c>
      <c r="P715" s="1" t="str">
        <f aca="false">IF(G715&gt;0,IF(INDEX(CONFIRM!$H$5:$H$53,G715)&lt;&gt;"",INDEX(CONFIRM!$H$5:$H$53,G715),IFERROR(INDEX(MAP!$B$7:$B$156,MATCH(TRIM(O715),MAP!$A$7:$A$156,0)),"UNMAPPED")),IFERROR(INDEX(MAP!$B$7:$B$156,MATCH(TRIM(O715),MAP!$A$7:$A$156,0)),"UNMAPPED"))</f>
        <v>Community Benefit Manager</v>
      </c>
      <c r="Q715" s="48" t="n">
        <f aca="false">STACK!I715</f>
        <v>121.75</v>
      </c>
      <c r="R715" s="60" t="n">
        <f aca="false">IF(G715&gt;0,IF(INDEX(CONFIRM!$F$5:$F$53,G715)&lt;&gt;"",INDEX(CONFIRM!$F$5:$F$53,G715),IF(ISNUMBER(Q715),Q715,IF(Q715="","",IFERROR(VALUE(TRIM(SUBSTITUTE(SUBSTITUTE(LOWER(Q715),"hrs",""),"hr",""))),"")))),IF(ISNUMBER(Q715),Q715,IF(Q715="","",IFERROR(VALUE(TRIM(SUBSTITUTE(SUBSTITUTE(LOWER(Q715),"hrs",""),"hr",""))),""))))</f>
        <v>121.75</v>
      </c>
      <c r="S715" s="57" t="n">
        <f aca="false">IFERROR(INDEX(RATES!$E$6:$E$28,MATCH(P715,RATES!$A$6:$A$28,0)),0)</f>
        <v>59.11</v>
      </c>
      <c r="T715" s="61" t="n">
        <f aca="false">IF(ISNUMBER(R715),R715,0)*S715</f>
        <v>7196.6425</v>
      </c>
      <c r="U715" s="61" t="n">
        <f aca="false">T715*INDEX(INPUTS!$H$10:$H$14,MATCH(B715,INPUTS!$A$10:$A$14,0))</f>
        <v>1165.856085</v>
      </c>
      <c r="V715" s="61" t="n">
        <f aca="false">N(STACK!K715)</f>
        <v>3915</v>
      </c>
      <c r="W715" s="61" t="n">
        <f aca="false">T715+U715+V715</f>
        <v>12277.498585</v>
      </c>
      <c r="X715" s="61" t="n">
        <f aca="false">N(STACK!L715)</f>
        <v>0</v>
      </c>
      <c r="Y715" s="61" t="n">
        <f aca="false">W715-X715</f>
        <v>12277.498585</v>
      </c>
      <c r="Z715" s="1" t="n">
        <f aca="false">N(STACK!J715)</f>
        <v>0</v>
      </c>
      <c r="AA715" s="1" t="str">
        <f aca="false">TRIM(IF(D715="UNMAPPED","Program not mapped. ","")&amp;IF(OR(K715="UNMAPPED",K715="UNASSIGNED"),"Category needs review. ","")&amp;IF(P715="UNMAPPED","Title not mapped. ","")&amp;IF(AND(P715&lt;&gt;"No staff time",R715=""),"Missing hours. ","")&amp;IF(M715="","Date not readable. ","")&amp;IF(N715="No","Outside fiscal year. ","")&amp;IF(AND(F715="Event",ISNUMBER(R715)),IF(R715&gt;12,"Event hours look high. ",""),"")&amp;IF(G715&gt;0,"See CONFIRM sheet.",""))</f>
        <v/>
      </c>
      <c r="AB715" s="1" t="n">
        <f aca="false">IF(N715="No",0,IF(REVIEW!O715=0,0,IF(G715&gt;0,IF(INDEX(CONFIRM!$J$5:$J$53,G715)&lt;&gt;"",INDEX(CONFIRM!$J$5:$J$53,G715),1),1)))</f>
        <v>0</v>
      </c>
      <c r="AC715" s="1" t="n">
        <f aca="false">IF(AB715=1,IF(COUNTIFS($B$5:B715,B715,$D$5:D715,D715,$AB$5:AB715,1)=1,1,0),0)</f>
        <v>0</v>
      </c>
    </row>
    <row r="716" customFormat="false" ht="15" hidden="false" customHeight="false" outlineLevel="0" collapsed="false">
      <c r="A716" s="48" t="str">
        <f aca="false">STACK!A716</f>
        <v>ASH-0183</v>
      </c>
      <c r="B716" s="48" t="str">
        <f aca="false">STACK!B716</f>
        <v>ASH</v>
      </c>
      <c r="C716" s="48" t="str">
        <f aca="false">STACK!E716</f>
        <v>CHNA (system)</v>
      </c>
      <c r="D716" s="1" t="str">
        <f aca="false">IFERROR(INDEX(MAP!$J$7:$J$101,MATCH(TRIM(C716),MAP!$I$7:$I$101,0)),"UNMAPPED")</f>
        <v>Community Health Needs Assessment</v>
      </c>
      <c r="E716" s="1" t="str">
        <f aca="false">IFERROR(INDEX(MAP!$K$7:$K$101,MATCH(TRIM(C716),MAP!$I$7:$I$101,0)),"")</f>
        <v>Community benefit infrastructure</v>
      </c>
      <c r="F716" s="1" t="str">
        <f aca="false">IFERROR(INDEX(MAP!$L$7:$L$101,MATCH(TRIM(C716),MAP!$I$7:$I$101,0)),"")</f>
        <v>Monthly</v>
      </c>
      <c r="G716" s="1" t="n">
        <f aca="false">IFERROR(MATCH(A716,CONFIRM!$A$5:$A$53,0),0)</f>
        <v>0</v>
      </c>
      <c r="H716" s="48" t="str">
        <f aca="false">STACK!F716</f>
        <v>CB Admin</v>
      </c>
      <c r="I716" s="1" t="str">
        <f aca="false">IF(G716&gt;0,IF(INDEX(CONFIRM!$I$5:$I$53,G716)&lt;&gt;"",INDEX(CONFIRM!$I$5:$I$53,G716),H716),H716)</f>
        <v>CB Admin</v>
      </c>
      <c r="J716" s="1" t="str">
        <f aca="false">IFERROR(INDEX(MAP!$F$7:$F$74,MATCH(TRIM(I716),MAP!$E$7:$E$74,0)),"UNMAPPED")</f>
        <v>Community benefit operations</v>
      </c>
      <c r="K716" s="1" t="str">
        <f aca="false">IFERROR(INDEX(MAP!$G$7:$G$74,MATCH(TRIM(I716),MAP!$E$7:$E$74,0)),"UNMAPPED")</f>
        <v>7e</v>
      </c>
      <c r="L716" s="49" t="str">
        <f aca="false">STACK!G716</f>
        <v>02/28/2026</v>
      </c>
      <c r="M716" s="59" t="n">
        <f aca="false">IF(G716&gt;0,IF(INDEX(CONFIRM!$G$5:$G$53,G716)&lt;&gt;"",INDEX(CONFIRM!$G$5:$G$53,G716),IF(ISNUMBER(L716),L716,IFERROR(DATEVALUE(L716),""))),IF(ISNUMBER(L716),L716,IFERROR(DATEVALUE(L716),"")))</f>
        <v>46081</v>
      </c>
      <c r="N716" s="1" t="str">
        <f aca="false">IF(M716="","Check",IF(AND(M716&gt;=INPUTS!$C$6,M716&lt;=INPUTS!$C$7),"Yes","No"))</f>
        <v>Yes</v>
      </c>
      <c r="O716" s="48" t="str">
        <f aca="false">STACK!H716</f>
        <v>Analyst </v>
      </c>
      <c r="P716" s="1" t="str">
        <f aca="false">IF(G716&gt;0,IF(INDEX(CONFIRM!$H$5:$H$53,G716)&lt;&gt;"",INDEX(CONFIRM!$H$5:$H$53,G716),IFERROR(INDEX(MAP!$B$7:$B$156,MATCH(TRIM(O716),MAP!$A$7:$A$156,0)),"UNMAPPED")),IFERROR(INDEX(MAP!$B$7:$B$156,MATCH(TRIM(O716),MAP!$A$7:$A$156,0)),"UNMAPPED"))</f>
        <v>Data Analyst</v>
      </c>
      <c r="Q716" s="48" t="n">
        <f aca="false">STACK!I716</f>
        <v>71</v>
      </c>
      <c r="R716" s="60" t="n">
        <f aca="false">IF(G716&gt;0,IF(INDEX(CONFIRM!$F$5:$F$53,G716)&lt;&gt;"",INDEX(CONFIRM!$F$5:$F$53,G716),IF(ISNUMBER(Q716),Q716,IF(Q716="","",IFERROR(VALUE(TRIM(SUBSTITUTE(SUBSTITUTE(LOWER(Q716),"hrs",""),"hr",""))),"")))),IF(ISNUMBER(Q716),Q716,IF(Q716="","",IFERROR(VALUE(TRIM(SUBSTITUTE(SUBSTITUTE(LOWER(Q716),"hrs",""),"hr",""))),""))))</f>
        <v>71</v>
      </c>
      <c r="S716" s="57" t="n">
        <f aca="false">IFERROR(INDEX(RATES!$E$6:$E$28,MATCH(P716,RATES!$A$6:$A$28,0)),0)</f>
        <v>48.83</v>
      </c>
      <c r="T716" s="61" t="n">
        <f aca="false">IF(ISNUMBER(R716),R716,0)*S716</f>
        <v>3466.93</v>
      </c>
      <c r="U716" s="61" t="n">
        <f aca="false">T716*INDEX(INPUTS!$H$10:$H$14,MATCH(B716,INPUTS!$A$10:$A$14,0))</f>
        <v>561.64266</v>
      </c>
      <c r="V716" s="61" t="n">
        <f aca="false">N(STACK!K716)</f>
        <v>0</v>
      </c>
      <c r="W716" s="61" t="n">
        <f aca="false">T716+U716+V716</f>
        <v>4028.57266</v>
      </c>
      <c r="X716" s="61" t="n">
        <f aca="false">N(STACK!L716)</f>
        <v>0</v>
      </c>
      <c r="Y716" s="61" t="n">
        <f aca="false">W716-X716</f>
        <v>4028.57266</v>
      </c>
      <c r="Z716" s="1" t="n">
        <f aca="false">N(STACK!J716)</f>
        <v>0</v>
      </c>
      <c r="AA716" s="1" t="str">
        <f aca="false">TRIM(IF(D716="UNMAPPED","Program not mapped. ","")&amp;IF(OR(K716="UNMAPPED",K716="UNASSIGNED"),"Category needs review. ","")&amp;IF(P716="UNMAPPED","Title not mapped. ","")&amp;IF(AND(P716&lt;&gt;"No staff time",R716=""),"Missing hours. ","")&amp;IF(M716="","Date not readable. ","")&amp;IF(N716="No","Outside fiscal year. ","")&amp;IF(AND(F716="Event",ISNUMBER(R716)),IF(R716&gt;12,"Event hours look high. ",""),"")&amp;IF(G716&gt;0,"See CONFIRM sheet.",""))</f>
        <v/>
      </c>
      <c r="AB716" s="1" t="n">
        <f aca="false">IF(N716="No",0,IF(REVIEW!O716=0,0,IF(G716&gt;0,IF(INDEX(CONFIRM!$J$5:$J$53,G716)&lt;&gt;"",INDEX(CONFIRM!$J$5:$J$53,G716),1),1)))</f>
        <v>0</v>
      </c>
      <c r="AC716" s="1" t="n">
        <f aca="false">IF(AB716=1,IF(COUNTIFS($B$5:B716,B716,$D$5:D716,D716,$AB$5:AB716,1)=1,1,0),0)</f>
        <v>0</v>
      </c>
    </row>
    <row r="717" customFormat="false" ht="15" hidden="false" customHeight="false" outlineLevel="0" collapsed="false">
      <c r="A717" s="48" t="str">
        <f aca="false">STACK!A717</f>
        <v>ASH-0184</v>
      </c>
      <c r="B717" s="48" t="str">
        <f aca="false">STACK!B717</f>
        <v>ASH</v>
      </c>
      <c r="C717" s="48" t="str">
        <f aca="false">STACK!E717</f>
        <v>CB Program Admin</v>
      </c>
      <c r="D717" s="1" t="str">
        <f aca="false">IFERROR(INDEX(MAP!$J$7:$J$101,MATCH(TRIM(C717),MAP!$I$7:$I$101,0)),"UNMAPPED")</f>
        <v>Community Benefit Program Administration</v>
      </c>
      <c r="E717" s="1" t="str">
        <f aca="false">IFERROR(INDEX(MAP!$K$7:$K$101,MATCH(TRIM(C717),MAP!$I$7:$I$101,0)),"")</f>
        <v>Community benefit infrastructure</v>
      </c>
      <c r="F717" s="1" t="str">
        <f aca="false">IFERROR(INDEX(MAP!$L$7:$L$101,MATCH(TRIM(C717),MAP!$I$7:$I$101,0)),"")</f>
        <v>Monthly</v>
      </c>
      <c r="G717" s="1" t="n">
        <f aca="false">IFERROR(MATCH(A717,CONFIRM!$A$5:$A$53,0),0)</f>
        <v>0</v>
      </c>
      <c r="H717" s="48" t="str">
        <f aca="false">STACK!F717</f>
        <v>CB Admin</v>
      </c>
      <c r="I717" s="1" t="str">
        <f aca="false">IF(G717&gt;0,IF(INDEX(CONFIRM!$I$5:$I$53,G717)&lt;&gt;"",INDEX(CONFIRM!$I$5:$I$53,G717),H717),H717)</f>
        <v>CB Admin</v>
      </c>
      <c r="J717" s="1" t="str">
        <f aca="false">IFERROR(INDEX(MAP!$F$7:$F$74,MATCH(TRIM(I717),MAP!$E$7:$E$74,0)),"UNMAPPED")</f>
        <v>Community benefit operations</v>
      </c>
      <c r="K717" s="1" t="str">
        <f aca="false">IFERROR(INDEX(MAP!$G$7:$G$74,MATCH(TRIM(I717),MAP!$E$7:$E$74,0)),"UNMAPPED")</f>
        <v>7e</v>
      </c>
      <c r="L717" s="49" t="str">
        <f aca="false">STACK!G717</f>
        <v>02/28/2026</v>
      </c>
      <c r="M717" s="59" t="n">
        <f aca="false">IF(G717&gt;0,IF(INDEX(CONFIRM!$G$5:$G$53,G717)&lt;&gt;"",INDEX(CONFIRM!$G$5:$G$53,G717),IF(ISNUMBER(L717),L717,IFERROR(DATEVALUE(L717),""))),IF(ISNUMBER(L717),L717,IFERROR(DATEVALUE(L717),"")))</f>
        <v>46081</v>
      </c>
      <c r="N717" s="1" t="str">
        <f aca="false">IF(M717="","Check",IF(AND(M717&gt;=INPUTS!$C$6,M717&lt;=INPUTS!$C$7),"Yes","No"))</f>
        <v>Yes</v>
      </c>
      <c r="O717" s="48" t="str">
        <f aca="false">STACK!H717</f>
        <v>Admin Asst</v>
      </c>
      <c r="P717" s="1" t="str">
        <f aca="false">IF(G717&gt;0,IF(INDEX(CONFIRM!$H$5:$H$53,G717)&lt;&gt;"",INDEX(CONFIRM!$H$5:$H$53,G717),IFERROR(INDEX(MAP!$B$7:$B$156,MATCH(TRIM(O717),MAP!$A$7:$A$156,0)),"UNMAPPED")),IFERROR(INDEX(MAP!$B$7:$B$156,MATCH(TRIM(O717),MAP!$A$7:$A$156,0)),"UNMAPPED"))</f>
        <v>Administrative Assistant</v>
      </c>
      <c r="Q717" s="48" t="n">
        <f aca="false">STACK!I717</f>
        <v>57</v>
      </c>
      <c r="R717" s="60" t="n">
        <f aca="false">IF(G717&gt;0,IF(INDEX(CONFIRM!$F$5:$F$53,G717)&lt;&gt;"",INDEX(CONFIRM!$F$5:$F$53,G717),IF(ISNUMBER(Q717),Q717,IF(Q717="","",IFERROR(VALUE(TRIM(SUBSTITUTE(SUBSTITUTE(LOWER(Q717),"hrs",""),"hr",""))),"")))),IF(ISNUMBER(Q717),Q717,IF(Q717="","",IFERROR(VALUE(TRIM(SUBSTITUTE(SUBSTITUTE(LOWER(Q717),"hrs",""),"hr",""))),""))))</f>
        <v>57</v>
      </c>
      <c r="S717" s="57" t="n">
        <f aca="false">IFERROR(INDEX(RATES!$E$6:$E$28,MATCH(P717,RATES!$A$6:$A$28,0)),0)</f>
        <v>26.985</v>
      </c>
      <c r="T717" s="61" t="n">
        <f aca="false">IF(ISNUMBER(R717),R717,0)*S717</f>
        <v>1538.145</v>
      </c>
      <c r="U717" s="61" t="n">
        <f aca="false">T717*INDEX(INPUTS!$H$10:$H$14,MATCH(B717,INPUTS!$A$10:$A$14,0))</f>
        <v>249.17949</v>
      </c>
      <c r="V717" s="61" t="n">
        <f aca="false">N(STACK!K717)</f>
        <v>0</v>
      </c>
      <c r="W717" s="61" t="n">
        <f aca="false">T717+U717+V717</f>
        <v>1787.32449</v>
      </c>
      <c r="X717" s="61" t="n">
        <f aca="false">N(STACK!L717)</f>
        <v>0</v>
      </c>
      <c r="Y717" s="61" t="n">
        <f aca="false">W717-X717</f>
        <v>1787.32449</v>
      </c>
      <c r="Z717" s="1" t="n">
        <f aca="false">N(STACK!J717)</f>
        <v>0</v>
      </c>
      <c r="AA717" s="1" t="str">
        <f aca="false">TRIM(IF(D717="UNMAPPED","Program not mapped. ","")&amp;IF(OR(K717="UNMAPPED",K717="UNASSIGNED"),"Category needs review. ","")&amp;IF(P717="UNMAPPED","Title not mapped. ","")&amp;IF(AND(P717&lt;&gt;"No staff time",R717=""),"Missing hours. ","")&amp;IF(M717="","Date not readable. ","")&amp;IF(N717="No","Outside fiscal year. ","")&amp;IF(AND(F717="Event",ISNUMBER(R717)),IF(R717&gt;12,"Event hours look high. ",""),"")&amp;IF(G717&gt;0,"See CONFIRM sheet.",""))</f>
        <v/>
      </c>
      <c r="AB717" s="1" t="n">
        <f aca="false">IF(N717="No",0,IF(REVIEW!O717=0,0,IF(G717&gt;0,IF(INDEX(CONFIRM!$J$5:$J$53,G717)&lt;&gt;"",INDEX(CONFIRM!$J$5:$J$53,G717),1),1)))</f>
        <v>1</v>
      </c>
      <c r="AC717" s="1" t="n">
        <f aca="false">IF(AB717=1,IF(COUNTIFS($B$5:B717,B717,$D$5:D717,D717,$AB$5:AB717,1)=1,1,0),0)</f>
        <v>0</v>
      </c>
    </row>
    <row r="718" customFormat="false" ht="15" hidden="false" customHeight="false" outlineLevel="0" collapsed="false">
      <c r="A718" s="48" t="str">
        <f aca="false">STACK!A718</f>
        <v>ASH-0185</v>
      </c>
      <c r="B718" s="48" t="str">
        <f aca="false">STACK!B718</f>
        <v>ASH</v>
      </c>
      <c r="C718" s="48" t="str">
        <f aca="false">STACK!E718</f>
        <v>CB Program Admin</v>
      </c>
      <c r="D718" s="1" t="str">
        <f aca="false">IFERROR(INDEX(MAP!$J$7:$J$101,MATCH(TRIM(C718),MAP!$I$7:$I$101,0)),"UNMAPPED")</f>
        <v>Community Benefit Program Administration</v>
      </c>
      <c r="E718" s="1" t="str">
        <f aca="false">IFERROR(INDEX(MAP!$K$7:$K$101,MATCH(TRIM(C718),MAP!$I$7:$I$101,0)),"")</f>
        <v>Community benefit infrastructure</v>
      </c>
      <c r="F718" s="1" t="str">
        <f aca="false">IFERROR(INDEX(MAP!$L$7:$L$101,MATCH(TRIM(C718),MAP!$I$7:$I$101,0)),"")</f>
        <v>Monthly</v>
      </c>
      <c r="G718" s="1" t="n">
        <f aca="false">IFERROR(MATCH(A718,CONFIRM!$A$5:$A$53,0),0)</f>
        <v>0</v>
      </c>
      <c r="H718" s="48" t="str">
        <f aca="false">STACK!F718</f>
        <v>CB Admin</v>
      </c>
      <c r="I718" s="1" t="str">
        <f aca="false">IF(G718&gt;0,IF(INDEX(CONFIRM!$I$5:$I$53,G718)&lt;&gt;"",INDEX(CONFIRM!$I$5:$I$53,G718),H718),H718)</f>
        <v>CB Admin</v>
      </c>
      <c r="J718" s="1" t="str">
        <f aca="false">IFERROR(INDEX(MAP!$F$7:$F$74,MATCH(TRIM(I718),MAP!$E$7:$E$74,0)),"UNMAPPED")</f>
        <v>Community benefit operations</v>
      </c>
      <c r="K718" s="1" t="str">
        <f aca="false">IFERROR(INDEX(MAP!$G$7:$G$74,MATCH(TRIM(I718),MAP!$E$7:$E$74,0)),"UNMAPPED")</f>
        <v>7e</v>
      </c>
      <c r="L718" s="49" t="str">
        <f aca="false">STACK!G718</f>
        <v>02/28/2026</v>
      </c>
      <c r="M718" s="59" t="n">
        <f aca="false">IF(G718&gt;0,IF(INDEX(CONFIRM!$G$5:$G$53,G718)&lt;&gt;"",INDEX(CONFIRM!$G$5:$G$53,G718),IF(ISNUMBER(L718),L718,IFERROR(DATEVALUE(L718),""))),IF(ISNUMBER(L718),L718,IFERROR(DATEVALUE(L718),"")))</f>
        <v>46081</v>
      </c>
      <c r="N718" s="1" t="str">
        <f aca="false">IF(M718="","Check",IF(AND(M718&gt;=INPUTS!$C$6,M718&lt;=INPUTS!$C$7),"Yes","No"))</f>
        <v>Yes</v>
      </c>
      <c r="O718" s="48" t="str">
        <f aca="false">STACK!H718</f>
        <v>Community Benefit Manager</v>
      </c>
      <c r="P718" s="1" t="str">
        <f aca="false">IF(G718&gt;0,IF(INDEX(CONFIRM!$H$5:$H$53,G718)&lt;&gt;"",INDEX(CONFIRM!$H$5:$H$53,G718),IFERROR(INDEX(MAP!$B$7:$B$156,MATCH(TRIM(O718),MAP!$A$7:$A$156,0)),"UNMAPPED")),IFERROR(INDEX(MAP!$B$7:$B$156,MATCH(TRIM(O718),MAP!$A$7:$A$156,0)),"UNMAPPED"))</f>
        <v>Community Benefit Manager</v>
      </c>
      <c r="Q718" s="48" t="n">
        <f aca="false">STACK!I718</f>
        <v>66.75</v>
      </c>
      <c r="R718" s="60" t="n">
        <f aca="false">IF(G718&gt;0,IF(INDEX(CONFIRM!$F$5:$F$53,G718)&lt;&gt;"",INDEX(CONFIRM!$F$5:$F$53,G718),IF(ISNUMBER(Q718),Q718,IF(Q718="","",IFERROR(VALUE(TRIM(SUBSTITUTE(SUBSTITUTE(LOWER(Q718),"hrs",""),"hr",""))),"")))),IF(ISNUMBER(Q718),Q718,IF(Q718="","",IFERROR(VALUE(TRIM(SUBSTITUTE(SUBSTITUTE(LOWER(Q718),"hrs",""),"hr",""))),""))))</f>
        <v>66.75</v>
      </c>
      <c r="S718" s="57" t="n">
        <f aca="false">IFERROR(INDEX(RATES!$E$6:$E$28,MATCH(P718,RATES!$A$6:$A$28,0)),0)</f>
        <v>59.11</v>
      </c>
      <c r="T718" s="61" t="n">
        <f aca="false">IF(ISNUMBER(R718),R718,0)*S718</f>
        <v>3945.5925</v>
      </c>
      <c r="U718" s="61" t="n">
        <f aca="false">T718*INDEX(INPUTS!$H$10:$H$14,MATCH(B718,INPUTS!$A$10:$A$14,0))</f>
        <v>639.185985</v>
      </c>
      <c r="V718" s="61" t="n">
        <f aca="false">N(STACK!K718)</f>
        <v>485</v>
      </c>
      <c r="W718" s="61" t="n">
        <f aca="false">T718+U718+V718</f>
        <v>5069.778485</v>
      </c>
      <c r="X718" s="61" t="n">
        <f aca="false">N(STACK!L718)</f>
        <v>0</v>
      </c>
      <c r="Y718" s="61" t="n">
        <f aca="false">W718-X718</f>
        <v>5069.778485</v>
      </c>
      <c r="Z718" s="1" t="n">
        <f aca="false">N(STACK!J718)</f>
        <v>0</v>
      </c>
      <c r="AA718" s="1" t="str">
        <f aca="false">TRIM(IF(D718="UNMAPPED","Program not mapped. ","")&amp;IF(OR(K718="UNMAPPED",K718="UNASSIGNED"),"Category needs review. ","")&amp;IF(P718="UNMAPPED","Title not mapped. ","")&amp;IF(AND(P718&lt;&gt;"No staff time",R718=""),"Missing hours. ","")&amp;IF(M718="","Date not readable. ","")&amp;IF(N718="No","Outside fiscal year. ","")&amp;IF(AND(F718="Event",ISNUMBER(R718)),IF(R718&gt;12,"Event hours look high. ",""),"")&amp;IF(G718&gt;0,"See CONFIRM sheet.",""))</f>
        <v/>
      </c>
      <c r="AB718" s="1" t="n">
        <f aca="false">IF(N718="No",0,IF(REVIEW!O718=0,0,IF(G718&gt;0,IF(INDEX(CONFIRM!$J$5:$J$53,G718)&lt;&gt;"",INDEX(CONFIRM!$J$5:$J$53,G718),1),1)))</f>
        <v>1</v>
      </c>
      <c r="AC718" s="1" t="n">
        <f aca="false">IF(AB718=1,IF(COUNTIFS($B$5:B718,B718,$D$5:D718,D718,$AB$5:AB718,1)=1,1,0),0)</f>
        <v>0</v>
      </c>
    </row>
    <row r="719" customFormat="false" ht="15" hidden="false" customHeight="false" outlineLevel="0" collapsed="false">
      <c r="A719" s="48" t="str">
        <f aca="false">STACK!A719</f>
        <v>ASH-0186</v>
      </c>
      <c r="B719" s="48" t="str">
        <f aca="false">STACK!B719</f>
        <v>ASH</v>
      </c>
      <c r="C719" s="48" t="str">
        <f aca="false">STACK!E719</f>
        <v>Fall Prevention</v>
      </c>
      <c r="D719" s="1" t="str">
        <f aca="false">IFERROR(INDEX(MAP!$J$7:$J$101,MATCH(TRIM(C719),MAP!$I$7:$I$101,0)),"UNMAPPED")</f>
        <v>Fall Prevention Classes for Older Adults</v>
      </c>
      <c r="E719" s="1" t="str">
        <f aca="false">IFERROR(INDEX(MAP!$K$7:$K$101,MATCH(TRIM(C719),MAP!$I$7:$I$101,0)),"")</f>
        <v>Chronic disease prevention</v>
      </c>
      <c r="F719" s="1" t="str">
        <f aca="false">IFERROR(INDEX(MAP!$L$7:$L$101,MATCH(TRIM(C719),MAP!$I$7:$I$101,0)),"")</f>
        <v>Event</v>
      </c>
      <c r="G719" s="1" t="n">
        <f aca="false">IFERROR(MATCH(A719,CONFIRM!$A$5:$A$53,0),0)</f>
        <v>0</v>
      </c>
      <c r="H719" s="48" t="str">
        <f aca="false">STACK!F719</f>
        <v>Comm Hlth Ed</v>
      </c>
      <c r="I719" s="1" t="str">
        <f aca="false">IF(G719&gt;0,IF(INDEX(CONFIRM!$I$5:$I$53,G719)&lt;&gt;"",INDEX(CONFIRM!$I$5:$I$53,G719),H719),H719)</f>
        <v>Comm Hlth Ed</v>
      </c>
      <c r="J719" s="1" t="str">
        <f aca="false">IFERROR(INDEX(MAP!$F$7:$F$74,MATCH(TRIM(I719),MAP!$E$7:$E$74,0)),"UNMAPPED")</f>
        <v>Community health education</v>
      </c>
      <c r="K719" s="1" t="str">
        <f aca="false">IFERROR(INDEX(MAP!$G$7:$G$74,MATCH(TRIM(I719),MAP!$E$7:$E$74,0)),"UNMAPPED")</f>
        <v>7e</v>
      </c>
      <c r="L719" s="49" t="str">
        <f aca="false">STACK!G719</f>
        <v>02/28/2026</v>
      </c>
      <c r="M719" s="59" t="n">
        <f aca="false">IF(G719&gt;0,IF(INDEX(CONFIRM!$G$5:$G$53,G719)&lt;&gt;"",INDEX(CONFIRM!$G$5:$G$53,G719),IF(ISNUMBER(L719),L719,IFERROR(DATEVALUE(L719),""))),IF(ISNUMBER(L719),L719,IFERROR(DATEVALUE(L719),"")))</f>
        <v>46081</v>
      </c>
      <c r="N719" s="1" t="str">
        <f aca="false">IF(M719="","Check",IF(AND(M719&gt;=INPUTS!$C$6,M719&lt;=INPUTS!$C$7),"Yes","No"))</f>
        <v>Yes</v>
      </c>
      <c r="O719" s="48" t="str">
        <f aca="false">STACK!H719</f>
        <v>Resp Therapist</v>
      </c>
      <c r="P719" s="1" t="str">
        <f aca="false">IF(G719&gt;0,IF(INDEX(CONFIRM!$H$5:$H$53,G719)&lt;&gt;"",INDEX(CONFIRM!$H$5:$H$53,G719),IFERROR(INDEX(MAP!$B$7:$B$156,MATCH(TRIM(O719),MAP!$A$7:$A$156,0)),"UNMAPPED")),IFERROR(INDEX(MAP!$B$7:$B$156,MATCH(TRIM(O719),MAP!$A$7:$A$156,0)),"UNMAPPED"))</f>
        <v>Licensed Therapist</v>
      </c>
      <c r="Q719" s="48" t="n">
        <f aca="false">STACK!I719</f>
        <v>2</v>
      </c>
      <c r="R719" s="60" t="n">
        <f aca="false">IF(G719&gt;0,IF(INDEX(CONFIRM!$F$5:$F$53,G719)&lt;&gt;"",INDEX(CONFIRM!$F$5:$F$53,G719),IF(ISNUMBER(Q719),Q719,IF(Q719="","",IFERROR(VALUE(TRIM(SUBSTITUTE(SUBSTITUTE(LOWER(Q719),"hrs",""),"hr",""))),"")))),IF(ISNUMBER(Q719),Q719,IF(Q719="","",IFERROR(VALUE(TRIM(SUBSTITUTE(SUBSTITUTE(LOWER(Q719),"hrs",""),"hr",""))),""))))</f>
        <v>2</v>
      </c>
      <c r="S719" s="57" t="n">
        <f aca="false">IFERROR(INDEX(RATES!$E$6:$E$28,MATCH(P719,RATES!$A$6:$A$28,0)),0)</f>
        <v>53.97</v>
      </c>
      <c r="T719" s="61" t="n">
        <f aca="false">IF(ISNUMBER(R719),R719,0)*S719</f>
        <v>107.94</v>
      </c>
      <c r="U719" s="61" t="n">
        <f aca="false">T719*INDEX(INPUTS!$H$10:$H$14,MATCH(B719,INPUTS!$A$10:$A$14,0))</f>
        <v>17.48628</v>
      </c>
      <c r="V719" s="61" t="n">
        <f aca="false">N(STACK!K719)</f>
        <v>100</v>
      </c>
      <c r="W719" s="61" t="n">
        <f aca="false">T719+U719+V719</f>
        <v>225.42628</v>
      </c>
      <c r="X719" s="61" t="n">
        <f aca="false">N(STACK!L719)</f>
        <v>0</v>
      </c>
      <c r="Y719" s="61" t="n">
        <f aca="false">W719-X719</f>
        <v>225.42628</v>
      </c>
      <c r="Z719" s="1" t="n">
        <f aca="false">N(STACK!J719)</f>
        <v>14</v>
      </c>
      <c r="AA719" s="1" t="str">
        <f aca="false">TRIM(IF(D719="UNMAPPED","Program not mapped. ","")&amp;IF(OR(K719="UNMAPPED",K719="UNASSIGNED"),"Category needs review. ","")&amp;IF(P719="UNMAPPED","Title not mapped. ","")&amp;IF(AND(P719&lt;&gt;"No staff time",R719=""),"Missing hours. ","")&amp;IF(M719="","Date not readable. ","")&amp;IF(N719="No","Outside fiscal year. ","")&amp;IF(AND(F719="Event",ISNUMBER(R719)),IF(R719&gt;12,"Event hours look high. ",""),"")&amp;IF(G719&gt;0,"See CONFIRM sheet.",""))</f>
        <v/>
      </c>
      <c r="AB719" s="1" t="n">
        <f aca="false">IF(N719="No",0,IF(REVIEW!O719=0,0,IF(G719&gt;0,IF(INDEX(CONFIRM!$J$5:$J$53,G719)&lt;&gt;"",INDEX(CONFIRM!$J$5:$J$53,G719),1),1)))</f>
        <v>1</v>
      </c>
      <c r="AC719" s="1" t="n">
        <f aca="false">IF(AB719=1,IF(COUNTIFS($B$5:B719,B719,$D$5:D719,D719,$AB$5:AB719,1)=1,1,0),0)</f>
        <v>0</v>
      </c>
    </row>
    <row r="720" customFormat="false" ht="15" hidden="false" customHeight="false" outlineLevel="0" collapsed="false">
      <c r="A720" s="48" t="str">
        <f aca="false">STACK!A720</f>
        <v>ASH-0187</v>
      </c>
      <c r="B720" s="48" t="str">
        <f aca="false">STACK!B720</f>
        <v>ASH</v>
      </c>
      <c r="C720" s="48" t="str">
        <f aca="false">STACK!E720</f>
        <v>Nursing Clinicals</v>
      </c>
      <c r="D720" s="1" t="str">
        <f aca="false">IFERROR(INDEX(MAP!$J$7:$J$101,MATCH(TRIM(C720),MAP!$I$7:$I$101,0)),"UNMAPPED")</f>
        <v>Nursing Student Clinical Rotations</v>
      </c>
      <c r="E720" s="1" t="str">
        <f aca="false">IFERROR(INDEX(MAP!$K$7:$K$101,MATCH(TRIM(C720),MAP!$I$7:$I$101,0)),"")</f>
        <v>Health workforce</v>
      </c>
      <c r="F720" s="1" t="str">
        <f aca="false">IFERROR(INDEX(MAP!$L$7:$L$101,MATCH(TRIM(C720),MAP!$I$7:$I$101,0)),"")</f>
        <v>Monthly</v>
      </c>
      <c r="G720" s="1" t="n">
        <f aca="false">IFERROR(MATCH(A720,CONFIRM!$A$5:$A$53,0),0)</f>
        <v>0</v>
      </c>
      <c r="H720" s="48" t="str">
        <f aca="false">STACK!F720</f>
        <v>HPE</v>
      </c>
      <c r="I720" s="1" t="str">
        <f aca="false">IF(G720&gt;0,IF(INDEX(CONFIRM!$I$5:$I$53,G720)&lt;&gt;"",INDEX(CONFIRM!$I$5:$I$53,G720),H720),H720)</f>
        <v>HPE</v>
      </c>
      <c r="J720" s="1" t="str">
        <f aca="false">IFERROR(INDEX(MAP!$F$7:$F$74,MATCH(TRIM(I720),MAP!$E$7:$E$74,0)),"UNMAPPED")</f>
        <v>Health professions education</v>
      </c>
      <c r="K720" s="1" t="str">
        <f aca="false">IFERROR(INDEX(MAP!$G$7:$G$74,MATCH(TRIM(I720),MAP!$E$7:$E$74,0)),"UNMAPPED")</f>
        <v>7f</v>
      </c>
      <c r="L720" s="49" t="str">
        <f aca="false">STACK!G720</f>
        <v>02/28/2026</v>
      </c>
      <c r="M720" s="59" t="n">
        <f aca="false">IF(G720&gt;0,IF(INDEX(CONFIRM!$G$5:$G$53,G720)&lt;&gt;"",INDEX(CONFIRM!$G$5:$G$53,G720),IF(ISNUMBER(L720),L720,IFERROR(DATEVALUE(L720),""))),IF(ISNUMBER(L720),L720,IFERROR(DATEVALUE(L720),"")))</f>
        <v>46081</v>
      </c>
      <c r="N720" s="1" t="str">
        <f aca="false">IF(M720="","Check",IF(AND(M720&gt;=INPUTS!$C$6,M720&lt;=INPUTS!$C$7),"Yes","No"))</f>
        <v>Yes</v>
      </c>
      <c r="O720" s="48" t="str">
        <f aca="false">STACK!H720</f>
        <v>Educator, Nursing</v>
      </c>
      <c r="P720" s="1" t="str">
        <f aca="false">IF(G720&gt;0,IF(INDEX(CONFIRM!$H$5:$H$53,G720)&lt;&gt;"",INDEX(CONFIRM!$H$5:$H$53,G720),IFERROR(INDEX(MAP!$B$7:$B$156,MATCH(TRIM(O720),MAP!$A$7:$A$156,0)),"UNMAPPED")),IFERROR(INDEX(MAP!$B$7:$B$156,MATCH(TRIM(O720),MAP!$A$7:$A$156,0)),"UNMAPPED"))</f>
        <v>Clinical Nurse Educator</v>
      </c>
      <c r="Q720" s="48" t="n">
        <f aca="false">STACK!I720</f>
        <v>131.75</v>
      </c>
      <c r="R720" s="60" t="n">
        <f aca="false">IF(G720&gt;0,IF(INDEX(CONFIRM!$F$5:$F$53,G720)&lt;&gt;"",INDEX(CONFIRM!$F$5:$F$53,G720),IF(ISNUMBER(Q720),Q720,IF(Q720="","",IFERROR(VALUE(TRIM(SUBSTITUTE(SUBSTITUTE(LOWER(Q720),"hrs",""),"hr",""))),"")))),IF(ISNUMBER(Q720),Q720,IF(Q720="","",IFERROR(VALUE(TRIM(SUBSTITUTE(SUBSTITUTE(LOWER(Q720),"hrs",""),"hr",""))),""))))</f>
        <v>131.75</v>
      </c>
      <c r="S720" s="57" t="n">
        <f aca="false">IFERROR(INDEX(RATES!$E$6:$E$28,MATCH(P720,RATES!$A$6:$A$28,0)),0)</f>
        <v>62.965</v>
      </c>
      <c r="T720" s="61" t="n">
        <f aca="false">IF(ISNUMBER(R720),R720,0)*S720</f>
        <v>8295.63875</v>
      </c>
      <c r="U720" s="61" t="n">
        <f aca="false">T720*INDEX(INPUTS!$H$10:$H$14,MATCH(B720,INPUTS!$A$10:$A$14,0))</f>
        <v>1343.8934775</v>
      </c>
      <c r="V720" s="61" t="n">
        <f aca="false">N(STACK!K720)</f>
        <v>995</v>
      </c>
      <c r="W720" s="61" t="n">
        <f aca="false">T720+U720+V720</f>
        <v>10634.5322275</v>
      </c>
      <c r="X720" s="61" t="n">
        <f aca="false">N(STACK!L720)</f>
        <v>0</v>
      </c>
      <c r="Y720" s="61" t="n">
        <f aca="false">W720-X720</f>
        <v>10634.5322275</v>
      </c>
      <c r="Z720" s="1" t="n">
        <f aca="false">N(STACK!J720)</f>
        <v>43</v>
      </c>
      <c r="AA720" s="1" t="str">
        <f aca="false">TRIM(IF(D720="UNMAPPED","Program not mapped. ","")&amp;IF(OR(K720="UNMAPPED",K720="UNASSIGNED"),"Category needs review. ","")&amp;IF(P720="UNMAPPED","Title not mapped. ","")&amp;IF(AND(P720&lt;&gt;"No staff time",R720=""),"Missing hours. ","")&amp;IF(M720="","Date not readable. ","")&amp;IF(N720="No","Outside fiscal year. ","")&amp;IF(AND(F720="Event",ISNUMBER(R720)),IF(R720&gt;12,"Event hours look high. ",""),"")&amp;IF(G720&gt;0,"See CONFIRM sheet.",""))</f>
        <v/>
      </c>
      <c r="AB720" s="1" t="n">
        <f aca="false">IF(N720="No",0,IF(REVIEW!O720=0,0,IF(G720&gt;0,IF(INDEX(CONFIRM!$J$5:$J$53,G720)&lt;&gt;"",INDEX(CONFIRM!$J$5:$J$53,G720),1),1)))</f>
        <v>1</v>
      </c>
      <c r="AC720" s="1" t="n">
        <f aca="false">IF(AB720=1,IF(COUNTIFS($B$5:B720,B720,$D$5:D720,D720,$AB$5:AB720,1)=1,1,0),0)</f>
        <v>0</v>
      </c>
    </row>
    <row r="721" customFormat="false" ht="15" hidden="false" customHeight="false" outlineLevel="0" collapsed="false">
      <c r="A721" s="48" t="str">
        <f aca="false">STACK!A721</f>
        <v>ASH-0188</v>
      </c>
      <c r="B721" s="48" t="str">
        <f aca="false">STACK!B721</f>
        <v>ASH</v>
      </c>
      <c r="C721" s="48" t="str">
        <f aca="false">STACK!E721</f>
        <v>Nursing Clinicals</v>
      </c>
      <c r="D721" s="1" t="str">
        <f aca="false">IFERROR(INDEX(MAP!$J$7:$J$101,MATCH(TRIM(C721),MAP!$I$7:$I$101,0)),"UNMAPPED")</f>
        <v>Nursing Student Clinical Rotations</v>
      </c>
      <c r="E721" s="1" t="str">
        <f aca="false">IFERROR(INDEX(MAP!$K$7:$K$101,MATCH(TRIM(C721),MAP!$I$7:$I$101,0)),"")</f>
        <v>Health workforce</v>
      </c>
      <c r="F721" s="1" t="str">
        <f aca="false">IFERROR(INDEX(MAP!$L$7:$L$101,MATCH(TRIM(C721),MAP!$I$7:$I$101,0)),"")</f>
        <v>Monthly</v>
      </c>
      <c r="G721" s="1" t="n">
        <f aca="false">IFERROR(MATCH(A721,CONFIRM!$A$5:$A$53,0),0)</f>
        <v>0</v>
      </c>
      <c r="H721" s="48" t="str">
        <f aca="false">STACK!F721</f>
        <v>HPE</v>
      </c>
      <c r="I721" s="1" t="str">
        <f aca="false">IF(G721&gt;0,IF(INDEX(CONFIRM!$I$5:$I$53,G721)&lt;&gt;"",INDEX(CONFIRM!$I$5:$I$53,G721),H721),H721)</f>
        <v>HPE</v>
      </c>
      <c r="J721" s="1" t="str">
        <f aca="false">IFERROR(INDEX(MAP!$F$7:$F$74,MATCH(TRIM(I721),MAP!$E$7:$E$74,0)),"UNMAPPED")</f>
        <v>Health professions education</v>
      </c>
      <c r="K721" s="1" t="str">
        <f aca="false">IFERROR(INDEX(MAP!$G$7:$G$74,MATCH(TRIM(I721),MAP!$E$7:$E$74,0)),"UNMAPPED")</f>
        <v>7f</v>
      </c>
      <c r="L721" s="49" t="str">
        <f aca="false">STACK!G721</f>
        <v>02/28/2026</v>
      </c>
      <c r="M721" s="59" t="n">
        <f aca="false">IF(G721&gt;0,IF(INDEX(CONFIRM!$G$5:$G$53,G721)&lt;&gt;"",INDEX(CONFIRM!$G$5:$G$53,G721),IF(ISNUMBER(L721),L721,IFERROR(DATEVALUE(L721),""))),IF(ISNUMBER(L721),L721,IFERROR(DATEVALUE(L721),"")))</f>
        <v>46081</v>
      </c>
      <c r="N721" s="1" t="str">
        <f aca="false">IF(M721="","Check",IF(AND(M721&gt;=INPUTS!$C$6,M721&lt;=INPUTS!$C$7),"Yes","No"))</f>
        <v>Yes</v>
      </c>
      <c r="O721" s="48" t="str">
        <f aca="false">STACK!H721</f>
        <v>Clinical RN</v>
      </c>
      <c r="P721" s="1" t="str">
        <f aca="false">IF(G721&gt;0,IF(INDEX(CONFIRM!$H$5:$H$53,G721)&lt;&gt;"",INDEX(CONFIRM!$H$5:$H$53,G721),IFERROR(INDEX(MAP!$B$7:$B$156,MATCH(TRIM(O721),MAP!$A$7:$A$156,0)),"UNMAPPED")),IFERROR(INDEX(MAP!$B$7:$B$156,MATCH(TRIM(O721),MAP!$A$7:$A$156,0)),"UNMAPPED"))</f>
        <v>Registered Nurse</v>
      </c>
      <c r="Q721" s="48" t="n">
        <f aca="false">STACK!I721</f>
        <v>207.75</v>
      </c>
      <c r="R721" s="60" t="n">
        <f aca="false">IF(G721&gt;0,IF(INDEX(CONFIRM!$F$5:$F$53,G721)&lt;&gt;"",INDEX(CONFIRM!$F$5:$F$53,G721),IF(ISNUMBER(Q721),Q721,IF(Q721="","",IFERROR(VALUE(TRIM(SUBSTITUTE(SUBSTITUTE(LOWER(Q721),"hrs",""),"hr",""))),"")))),IF(ISNUMBER(Q721),Q721,IF(Q721="","",IFERROR(VALUE(TRIM(SUBSTITUTE(SUBSTITUTE(LOWER(Q721),"hrs",""),"hr",""))),""))))</f>
        <v>207.75</v>
      </c>
      <c r="S721" s="57" t="n">
        <f aca="false">IFERROR(INDEX(RATES!$E$6:$E$28,MATCH(P721,RATES!$A$6:$A$28,0)),0)</f>
        <v>55.8975</v>
      </c>
      <c r="T721" s="61" t="n">
        <f aca="false">IF(ISNUMBER(R721),R721,0)*S721</f>
        <v>11612.705625</v>
      </c>
      <c r="U721" s="61" t="n">
        <f aca="false">T721*INDEX(INPUTS!$H$10:$H$14,MATCH(B721,INPUTS!$A$10:$A$14,0))</f>
        <v>1881.25831125</v>
      </c>
      <c r="V721" s="61" t="n">
        <f aca="false">N(STACK!K721)</f>
        <v>0</v>
      </c>
      <c r="W721" s="61" t="n">
        <f aca="false">T721+U721+V721</f>
        <v>13493.96393625</v>
      </c>
      <c r="X721" s="61" t="n">
        <f aca="false">N(STACK!L721)</f>
        <v>0</v>
      </c>
      <c r="Y721" s="61" t="n">
        <f aca="false">W721-X721</f>
        <v>13493.96393625</v>
      </c>
      <c r="Z721" s="1" t="n">
        <f aca="false">N(STACK!J721)</f>
        <v>0</v>
      </c>
      <c r="AA721" s="1" t="str">
        <f aca="false">TRIM(IF(D721="UNMAPPED","Program not mapped. ","")&amp;IF(OR(K721="UNMAPPED",K721="UNASSIGNED"),"Category needs review. ","")&amp;IF(P721="UNMAPPED","Title not mapped. ","")&amp;IF(AND(P721&lt;&gt;"No staff time",R721=""),"Missing hours. ","")&amp;IF(M721="","Date not readable. ","")&amp;IF(N721="No","Outside fiscal year. ","")&amp;IF(AND(F721="Event",ISNUMBER(R721)),IF(R721&gt;12,"Event hours look high. ",""),"")&amp;IF(G721&gt;0,"See CONFIRM sheet.",""))</f>
        <v/>
      </c>
      <c r="AB721" s="1" t="n">
        <f aca="false">IF(N721="No",0,IF(REVIEW!O721=0,0,IF(G721&gt;0,IF(INDEX(CONFIRM!$J$5:$J$53,G721)&lt;&gt;"",INDEX(CONFIRM!$J$5:$J$53,G721),1),1)))</f>
        <v>1</v>
      </c>
      <c r="AC721" s="1" t="n">
        <f aca="false">IF(AB721=1,IF(COUNTIFS($B$5:B721,B721,$D$5:D721,D721,$AB$5:AB721,1)=1,1,0),0)</f>
        <v>0</v>
      </c>
    </row>
    <row r="722" customFormat="false" ht="15" hidden="false" customHeight="false" outlineLevel="0" collapsed="false">
      <c r="A722" s="48" t="str">
        <f aca="false">STACK!A722</f>
        <v>ASH-0189</v>
      </c>
      <c r="B722" s="48" t="str">
        <f aca="false">STACK!B722</f>
        <v>ASH</v>
      </c>
      <c r="C722" s="48" t="str">
        <f aca="false">STACK!E722</f>
        <v>Paramedic Students</v>
      </c>
      <c r="D722" s="1" t="str">
        <f aca="false">IFERROR(INDEX(MAP!$J$7:$J$101,MATCH(TRIM(C722),MAP!$I$7:$I$101,0)),"UNMAPPED")</f>
        <v>Paramedic Student Field Training</v>
      </c>
      <c r="E722" s="1" t="str">
        <f aca="false">IFERROR(INDEX(MAP!$K$7:$K$101,MATCH(TRIM(C722),MAP!$I$7:$I$101,0)),"")</f>
        <v>Health workforce</v>
      </c>
      <c r="F722" s="1" t="str">
        <f aca="false">IFERROR(INDEX(MAP!$L$7:$L$101,MATCH(TRIM(C722),MAP!$I$7:$I$101,0)),"")</f>
        <v>Monthly</v>
      </c>
      <c r="G722" s="1" t="n">
        <f aca="false">IFERROR(MATCH(A722,CONFIRM!$A$5:$A$53,0),0)</f>
        <v>0</v>
      </c>
      <c r="H722" s="48" t="str">
        <f aca="false">STACK!F722</f>
        <v>HPE</v>
      </c>
      <c r="I722" s="1" t="str">
        <f aca="false">IF(G722&gt;0,IF(INDEX(CONFIRM!$I$5:$I$53,G722)&lt;&gt;"",INDEX(CONFIRM!$I$5:$I$53,G722),H722),H722)</f>
        <v>HPE</v>
      </c>
      <c r="J722" s="1" t="str">
        <f aca="false">IFERROR(INDEX(MAP!$F$7:$F$74,MATCH(TRIM(I722),MAP!$E$7:$E$74,0)),"UNMAPPED")</f>
        <v>Health professions education</v>
      </c>
      <c r="K722" s="1" t="str">
        <f aca="false">IFERROR(INDEX(MAP!$G$7:$G$74,MATCH(TRIM(I722),MAP!$E$7:$E$74,0)),"UNMAPPED")</f>
        <v>7f</v>
      </c>
      <c r="L722" s="49" t="str">
        <f aca="false">STACK!G722</f>
        <v>02/28/2026</v>
      </c>
      <c r="M722" s="59" t="n">
        <f aca="false">IF(G722&gt;0,IF(INDEX(CONFIRM!$G$5:$G$53,G722)&lt;&gt;"",INDEX(CONFIRM!$G$5:$G$53,G722),IF(ISNUMBER(L722),L722,IFERROR(DATEVALUE(L722),""))),IF(ISNUMBER(L722),L722,IFERROR(DATEVALUE(L722),"")))</f>
        <v>46081</v>
      </c>
      <c r="N722" s="1" t="str">
        <f aca="false">IF(M722="","Check",IF(AND(M722&gt;=INPUTS!$C$6,M722&lt;=INPUTS!$C$7),"Yes","No"))</f>
        <v>Yes</v>
      </c>
      <c r="O722" s="48" t="str">
        <f aca="false">STACK!H722</f>
        <v>EMT-P</v>
      </c>
      <c r="P722" s="1" t="str">
        <f aca="false">IF(G722&gt;0,IF(INDEX(CONFIRM!$H$5:$H$53,G722)&lt;&gt;"",INDEX(CONFIRM!$H$5:$H$53,G722),IFERROR(INDEX(MAP!$B$7:$B$156,MATCH(TRIM(O722),MAP!$A$7:$A$156,0)),"UNMAPPED")),IFERROR(INDEX(MAP!$B$7:$B$156,MATCH(TRIM(O722),MAP!$A$7:$A$156,0)),"UNMAPPED"))</f>
        <v>Paramedic</v>
      </c>
      <c r="Q722" s="48" t="n">
        <f aca="false">STACK!I722</f>
        <v>52</v>
      </c>
      <c r="R722" s="60" t="n">
        <f aca="false">IF(G722&gt;0,IF(INDEX(CONFIRM!$F$5:$F$53,G722)&lt;&gt;"",INDEX(CONFIRM!$F$5:$F$53,G722),IF(ISNUMBER(Q722),Q722,IF(Q722="","",IFERROR(VALUE(TRIM(SUBSTITUTE(SUBSTITUTE(LOWER(Q722),"hrs",""),"hr",""))),"")))),IF(ISNUMBER(Q722),Q722,IF(Q722="","",IFERROR(VALUE(TRIM(SUBSTITUTE(SUBSTITUTE(LOWER(Q722),"hrs",""),"hr",""))),""))))</f>
        <v>52</v>
      </c>
      <c r="S722" s="57" t="n">
        <f aca="false">IFERROR(INDEX(RATES!$E$6:$E$28,MATCH(P722,RATES!$A$6:$A$28,0)),0)</f>
        <v>34.695</v>
      </c>
      <c r="T722" s="61" t="n">
        <f aca="false">IF(ISNUMBER(R722),R722,0)*S722</f>
        <v>1804.14</v>
      </c>
      <c r="U722" s="61" t="n">
        <f aca="false">T722*INDEX(INPUTS!$H$10:$H$14,MATCH(B722,INPUTS!$A$10:$A$14,0))</f>
        <v>292.27068</v>
      </c>
      <c r="V722" s="61" t="n">
        <f aca="false">N(STACK!K722)</f>
        <v>25</v>
      </c>
      <c r="W722" s="61" t="n">
        <f aca="false">T722+U722+V722</f>
        <v>2121.41068</v>
      </c>
      <c r="X722" s="61" t="n">
        <f aca="false">N(STACK!L722)</f>
        <v>0</v>
      </c>
      <c r="Y722" s="61" t="n">
        <f aca="false">W722-X722</f>
        <v>2121.41068</v>
      </c>
      <c r="Z722" s="1" t="n">
        <f aca="false">N(STACK!J722)</f>
        <v>6</v>
      </c>
      <c r="AA722" s="1" t="str">
        <f aca="false">TRIM(IF(D722="UNMAPPED","Program not mapped. ","")&amp;IF(OR(K722="UNMAPPED",K722="UNASSIGNED"),"Category needs review. ","")&amp;IF(P722="UNMAPPED","Title not mapped. ","")&amp;IF(AND(P722&lt;&gt;"No staff time",R722=""),"Missing hours. ","")&amp;IF(M722="","Date not readable. ","")&amp;IF(N722="No","Outside fiscal year. ","")&amp;IF(AND(F722="Event",ISNUMBER(R722)),IF(R722&gt;12,"Event hours look high. ",""),"")&amp;IF(G722&gt;0,"See CONFIRM sheet.",""))</f>
        <v/>
      </c>
      <c r="AB722" s="1" t="n">
        <f aca="false">IF(N722="No",0,IF(REVIEW!O722=0,0,IF(G722&gt;0,IF(INDEX(CONFIRM!$J$5:$J$53,G722)&lt;&gt;"",INDEX(CONFIRM!$J$5:$J$53,G722),1),1)))</f>
        <v>1</v>
      </c>
      <c r="AC722" s="1" t="n">
        <f aca="false">IF(AB722=1,IF(COUNTIFS($B$5:B722,B722,$D$5:D722,D722,$AB$5:AB722,1)=1,1,0),0)</f>
        <v>0</v>
      </c>
    </row>
    <row r="723" customFormat="false" ht="15" hidden="false" customHeight="false" outlineLevel="0" collapsed="false">
      <c r="A723" s="48" t="str">
        <f aca="false">STACK!A723</f>
        <v>ASH-0190</v>
      </c>
      <c r="B723" s="48" t="str">
        <f aca="false">STACK!B723</f>
        <v>ASH</v>
      </c>
      <c r="C723" s="48" t="str">
        <f aca="false">STACK!E723</f>
        <v>Car Seat Checks</v>
      </c>
      <c r="D723" s="1" t="str">
        <f aca="false">IFERROR(INDEX(MAP!$J$7:$J$101,MATCH(TRIM(C723),MAP!$I$7:$I$101,0)),"UNMAPPED")</f>
        <v>Car Seat Safety Checks</v>
      </c>
      <c r="E723" s="1" t="str">
        <f aca="false">IFERROR(INDEX(MAP!$K$7:$K$101,MATCH(TRIM(C723),MAP!$I$7:$I$101,0)),"")</f>
        <v>Maternal and child health</v>
      </c>
      <c r="F723" s="1" t="str">
        <f aca="false">IFERROR(INDEX(MAP!$L$7:$L$101,MATCH(TRIM(C723),MAP!$I$7:$I$101,0)),"")</f>
        <v>Event</v>
      </c>
      <c r="G723" s="1" t="n">
        <f aca="false">IFERROR(MATCH(A723,CONFIRM!$A$5:$A$53,0),0)</f>
        <v>0</v>
      </c>
      <c r="H723" s="48" t="str">
        <f aca="false">STACK!F723</f>
        <v>Comm Hlth Ed</v>
      </c>
      <c r="I723" s="1" t="str">
        <f aca="false">IF(G723&gt;0,IF(INDEX(CONFIRM!$I$5:$I$53,G723)&lt;&gt;"",INDEX(CONFIRM!$I$5:$I$53,G723),H723),H723)</f>
        <v>Comm Hlth Ed</v>
      </c>
      <c r="J723" s="1" t="str">
        <f aca="false">IFERROR(INDEX(MAP!$F$7:$F$74,MATCH(TRIM(I723),MAP!$E$7:$E$74,0)),"UNMAPPED")</f>
        <v>Community health education</v>
      </c>
      <c r="K723" s="1" t="str">
        <f aca="false">IFERROR(INDEX(MAP!$G$7:$G$74,MATCH(TRIM(I723),MAP!$E$7:$E$74,0)),"UNMAPPED")</f>
        <v>7e</v>
      </c>
      <c r="L723" s="49" t="str">
        <f aca="false">STACK!G723</f>
        <v>03/07/2026</v>
      </c>
      <c r="M723" s="59" t="n">
        <f aca="false">IF(G723&gt;0,IF(INDEX(CONFIRM!$G$5:$G$53,G723)&lt;&gt;"",INDEX(CONFIRM!$G$5:$G$53,G723),IF(ISNUMBER(L723),L723,IFERROR(DATEVALUE(L723),""))),IF(ISNUMBER(L723),L723,IFERROR(DATEVALUE(L723),"")))</f>
        <v>46088</v>
      </c>
      <c r="N723" s="1" t="str">
        <f aca="false">IF(M723="","Check",IF(AND(M723&gt;=INPUTS!$C$6,M723&lt;=INPUTS!$C$7),"Yes","No"))</f>
        <v>Yes</v>
      </c>
      <c r="O723" s="48" t="str">
        <f aca="false">STACK!H723</f>
        <v>Paramedic</v>
      </c>
      <c r="P723" s="1" t="str">
        <f aca="false">IF(G723&gt;0,IF(INDEX(CONFIRM!$H$5:$H$53,G723)&lt;&gt;"",INDEX(CONFIRM!$H$5:$H$53,G723),IFERROR(INDEX(MAP!$B$7:$B$156,MATCH(TRIM(O723),MAP!$A$7:$A$156,0)),"UNMAPPED")),IFERROR(INDEX(MAP!$B$7:$B$156,MATCH(TRIM(O723),MAP!$A$7:$A$156,0)),"UNMAPPED"))</f>
        <v>Paramedic</v>
      </c>
      <c r="Q723" s="48" t="n">
        <f aca="false">STACK!I723</f>
        <v>3.5</v>
      </c>
      <c r="R723" s="60" t="n">
        <f aca="false">IF(G723&gt;0,IF(INDEX(CONFIRM!$F$5:$F$53,G723)&lt;&gt;"",INDEX(CONFIRM!$F$5:$F$53,G723),IF(ISNUMBER(Q723),Q723,IF(Q723="","",IFERROR(VALUE(TRIM(SUBSTITUTE(SUBSTITUTE(LOWER(Q723),"hrs",""),"hr",""))),"")))),IF(ISNUMBER(Q723),Q723,IF(Q723="","",IFERROR(VALUE(TRIM(SUBSTITUTE(SUBSTITUTE(LOWER(Q723),"hrs",""),"hr",""))),""))))</f>
        <v>3.5</v>
      </c>
      <c r="S723" s="57" t="n">
        <f aca="false">IFERROR(INDEX(RATES!$E$6:$E$28,MATCH(P723,RATES!$A$6:$A$28,0)),0)</f>
        <v>34.695</v>
      </c>
      <c r="T723" s="61" t="n">
        <f aca="false">IF(ISNUMBER(R723),R723,0)*S723</f>
        <v>121.4325</v>
      </c>
      <c r="U723" s="61" t="n">
        <f aca="false">T723*INDEX(INPUTS!$H$10:$H$14,MATCH(B723,INPUTS!$A$10:$A$14,0))</f>
        <v>19.672065</v>
      </c>
      <c r="V723" s="61" t="n">
        <f aca="false">N(STACK!K723)</f>
        <v>525</v>
      </c>
      <c r="W723" s="61" t="n">
        <f aca="false">T723+U723+V723</f>
        <v>666.104565</v>
      </c>
      <c r="X723" s="61" t="n">
        <f aca="false">N(STACK!L723)</f>
        <v>420</v>
      </c>
      <c r="Y723" s="61" t="n">
        <f aca="false">W723-X723</f>
        <v>246.104565</v>
      </c>
      <c r="Z723" s="1" t="n">
        <f aca="false">N(STACK!J723)</f>
        <v>20</v>
      </c>
      <c r="AA723" s="1" t="str">
        <f aca="false">TRIM(IF(D723="UNMAPPED","Program not mapped. ","")&amp;IF(OR(K723="UNMAPPED",K723="UNASSIGNED"),"Category needs review. ","")&amp;IF(P723="UNMAPPED","Title not mapped. ","")&amp;IF(AND(P723&lt;&gt;"No staff time",R723=""),"Missing hours. ","")&amp;IF(M723="","Date not readable. ","")&amp;IF(N723="No","Outside fiscal year. ","")&amp;IF(AND(F723="Event",ISNUMBER(R723)),IF(R723&gt;12,"Event hours look high. ",""),"")&amp;IF(G723&gt;0,"See CONFIRM sheet.",""))</f>
        <v/>
      </c>
      <c r="AB723" s="1" t="n">
        <f aca="false">IF(N723="No",0,IF(REVIEW!O723=0,0,IF(G723&gt;0,IF(INDEX(CONFIRM!$J$5:$J$53,G723)&lt;&gt;"",INDEX(CONFIRM!$J$5:$J$53,G723),1),1)))</f>
        <v>1</v>
      </c>
      <c r="AC723" s="1" t="n">
        <f aca="false">IF(AB723=1,IF(COUNTIFS($B$5:B723,B723,$D$5:D723,D723,$AB$5:AB723,1)=1,1,0),0)</f>
        <v>0</v>
      </c>
    </row>
    <row r="724" customFormat="false" ht="15" hidden="false" customHeight="false" outlineLevel="0" collapsed="false">
      <c r="A724" s="48" t="str">
        <f aca="false">STACK!A724</f>
        <v>ASH-0191</v>
      </c>
      <c r="B724" s="48" t="str">
        <f aca="false">STACK!B724</f>
        <v>ASH</v>
      </c>
      <c r="C724" s="48" t="str">
        <f aca="false">STACK!E724</f>
        <v>Car Seat Checks</v>
      </c>
      <c r="D724" s="1" t="str">
        <f aca="false">IFERROR(INDEX(MAP!$J$7:$J$101,MATCH(TRIM(C724),MAP!$I$7:$I$101,0)),"UNMAPPED")</f>
        <v>Car Seat Safety Checks</v>
      </c>
      <c r="E724" s="1" t="str">
        <f aca="false">IFERROR(INDEX(MAP!$K$7:$K$101,MATCH(TRIM(C724),MAP!$I$7:$I$101,0)),"")</f>
        <v>Maternal and child health</v>
      </c>
      <c r="F724" s="1" t="str">
        <f aca="false">IFERROR(INDEX(MAP!$L$7:$L$101,MATCH(TRIM(C724),MAP!$I$7:$I$101,0)),"")</f>
        <v>Event</v>
      </c>
      <c r="G724" s="1" t="n">
        <f aca="false">IFERROR(MATCH(A724,CONFIRM!$A$5:$A$53,0),0)</f>
        <v>0</v>
      </c>
      <c r="H724" s="48" t="str">
        <f aca="false">STACK!F724</f>
        <v>Comm Hlth Ed</v>
      </c>
      <c r="I724" s="1" t="str">
        <f aca="false">IF(G724&gt;0,IF(INDEX(CONFIRM!$I$5:$I$53,G724)&lt;&gt;"",INDEX(CONFIRM!$I$5:$I$53,G724),H724),H724)</f>
        <v>Comm Hlth Ed</v>
      </c>
      <c r="J724" s="1" t="str">
        <f aca="false">IFERROR(INDEX(MAP!$F$7:$F$74,MATCH(TRIM(I724),MAP!$E$7:$E$74,0)),"UNMAPPED")</f>
        <v>Community health education</v>
      </c>
      <c r="K724" s="1" t="str">
        <f aca="false">IFERROR(INDEX(MAP!$G$7:$G$74,MATCH(TRIM(I724),MAP!$E$7:$E$74,0)),"UNMAPPED")</f>
        <v>7e</v>
      </c>
      <c r="L724" s="49" t="str">
        <f aca="false">STACK!G724</f>
        <v>03/07/2026</v>
      </c>
      <c r="M724" s="59" t="n">
        <f aca="false">IF(G724&gt;0,IF(INDEX(CONFIRM!$G$5:$G$53,G724)&lt;&gt;"",INDEX(CONFIRM!$G$5:$G$53,G724),IF(ISNUMBER(L724),L724,IFERROR(DATEVALUE(L724),""))),IF(ISNUMBER(L724),L724,IFERROR(DATEVALUE(L724),"")))</f>
        <v>46088</v>
      </c>
      <c r="N724" s="1" t="str">
        <f aca="false">IF(M724="","Check",IF(AND(M724&gt;=INPUTS!$C$6,M724&lt;=INPUTS!$C$7),"Yes","No"))</f>
        <v>Yes</v>
      </c>
      <c r="O724" s="48" t="str">
        <f aca="false">STACK!H724</f>
        <v> RN III</v>
      </c>
      <c r="P724" s="1" t="str">
        <f aca="false">IF(G724&gt;0,IF(INDEX(CONFIRM!$H$5:$H$53,G724)&lt;&gt;"",INDEX(CONFIRM!$H$5:$H$53,G724),IFERROR(INDEX(MAP!$B$7:$B$156,MATCH(TRIM(O724),MAP!$A$7:$A$156,0)),"UNMAPPED")),IFERROR(INDEX(MAP!$B$7:$B$156,MATCH(TRIM(O724),MAP!$A$7:$A$156,0)),"UNMAPPED"))</f>
        <v>Registered Nurse</v>
      </c>
      <c r="Q724" s="48" t="n">
        <f aca="false">STACK!I724</f>
        <v>3.5</v>
      </c>
      <c r="R724" s="60" t="n">
        <f aca="false">IF(G724&gt;0,IF(INDEX(CONFIRM!$F$5:$F$53,G724)&lt;&gt;"",INDEX(CONFIRM!$F$5:$F$53,G724),IF(ISNUMBER(Q724),Q724,IF(Q724="","",IFERROR(VALUE(TRIM(SUBSTITUTE(SUBSTITUTE(LOWER(Q724),"hrs",""),"hr",""))),"")))),IF(ISNUMBER(Q724),Q724,IF(Q724="","",IFERROR(VALUE(TRIM(SUBSTITUTE(SUBSTITUTE(LOWER(Q724),"hrs",""),"hr",""))),""))))</f>
        <v>3.5</v>
      </c>
      <c r="S724" s="57" t="n">
        <f aca="false">IFERROR(INDEX(RATES!$E$6:$E$28,MATCH(P724,RATES!$A$6:$A$28,0)),0)</f>
        <v>55.8975</v>
      </c>
      <c r="T724" s="61" t="n">
        <f aca="false">IF(ISNUMBER(R724),R724,0)*S724</f>
        <v>195.64125</v>
      </c>
      <c r="U724" s="61" t="n">
        <f aca="false">T724*INDEX(INPUTS!$H$10:$H$14,MATCH(B724,INPUTS!$A$10:$A$14,0))</f>
        <v>31.6938825</v>
      </c>
      <c r="V724" s="61" t="n">
        <f aca="false">N(STACK!K724)</f>
        <v>0</v>
      </c>
      <c r="W724" s="61" t="n">
        <f aca="false">T724+U724+V724</f>
        <v>227.3351325</v>
      </c>
      <c r="X724" s="61" t="n">
        <f aca="false">N(STACK!L724)</f>
        <v>0</v>
      </c>
      <c r="Y724" s="61" t="n">
        <f aca="false">W724-X724</f>
        <v>227.3351325</v>
      </c>
      <c r="Z724" s="1" t="n">
        <f aca="false">N(STACK!J724)</f>
        <v>0</v>
      </c>
      <c r="AA724" s="1" t="str">
        <f aca="false">TRIM(IF(D724="UNMAPPED","Program not mapped. ","")&amp;IF(OR(K724="UNMAPPED",K724="UNASSIGNED"),"Category needs review. ","")&amp;IF(P724="UNMAPPED","Title not mapped. ","")&amp;IF(AND(P724&lt;&gt;"No staff time",R724=""),"Missing hours. ","")&amp;IF(M724="","Date not readable. ","")&amp;IF(N724="No","Outside fiscal year. ","")&amp;IF(AND(F724="Event",ISNUMBER(R724)),IF(R724&gt;12,"Event hours look high. ",""),"")&amp;IF(G724&gt;0,"See CONFIRM sheet.",""))</f>
        <v/>
      </c>
      <c r="AB724" s="1" t="n">
        <f aca="false">IF(N724="No",0,IF(REVIEW!O724=0,0,IF(G724&gt;0,IF(INDEX(CONFIRM!$J$5:$J$53,G724)&lt;&gt;"",INDEX(CONFIRM!$J$5:$J$53,G724),1),1)))</f>
        <v>1</v>
      </c>
      <c r="AC724" s="1" t="n">
        <f aca="false">IF(AB724=1,IF(COUNTIFS($B$5:B724,B724,$D$5:D724,D724,$AB$5:AB724,1)=1,1,0),0)</f>
        <v>0</v>
      </c>
    </row>
    <row r="725" customFormat="false" ht="15" hidden="false" customHeight="false" outlineLevel="0" collapsed="false">
      <c r="A725" s="48" t="str">
        <f aca="false">STACK!A725</f>
        <v>ASH-0192</v>
      </c>
      <c r="B725" s="48" t="str">
        <f aca="false">STACK!B725</f>
        <v>ASH</v>
      </c>
      <c r="C725" s="48" t="str">
        <f aca="false">STACK!E725</f>
        <v>BP Checks</v>
      </c>
      <c r="D725" s="1" t="str">
        <f aca="false">IFERROR(INDEX(MAP!$J$7:$J$101,MATCH(TRIM(C725),MAP!$I$7:$I$101,0)),"UNMAPPED")</f>
        <v>Community Blood Pressure Checks</v>
      </c>
      <c r="E725" s="1" t="str">
        <f aca="false">IFERROR(INDEX(MAP!$K$7:$K$101,MATCH(TRIM(C725),MAP!$I$7:$I$101,0)),"")</f>
        <v>Chronic disease prevention</v>
      </c>
      <c r="F725" s="1" t="str">
        <f aca="false">IFERROR(INDEX(MAP!$L$7:$L$101,MATCH(TRIM(C725),MAP!$I$7:$I$101,0)),"")</f>
        <v>Event</v>
      </c>
      <c r="G725" s="1" t="n">
        <f aca="false">IFERROR(MATCH(A725,CONFIRM!$A$5:$A$53,0),0)</f>
        <v>0</v>
      </c>
      <c r="H725" s="48" t="str">
        <f aca="false">STACK!F725</f>
        <v>Clinical Svcs</v>
      </c>
      <c r="I725" s="1" t="str">
        <f aca="false">IF(G725&gt;0,IF(INDEX(CONFIRM!$I$5:$I$53,G725)&lt;&gt;"",INDEX(CONFIRM!$I$5:$I$53,G725),H725),H725)</f>
        <v>Clinical Svcs</v>
      </c>
      <c r="J725" s="1" t="str">
        <f aca="false">IFERROR(INDEX(MAP!$F$7:$F$74,MATCH(TRIM(I725),MAP!$E$7:$E$74,0)),"UNMAPPED")</f>
        <v>Community-based clinical services</v>
      </c>
      <c r="K725" s="1" t="str">
        <f aca="false">IFERROR(INDEX(MAP!$G$7:$G$74,MATCH(TRIM(I725),MAP!$E$7:$E$74,0)),"UNMAPPED")</f>
        <v>7e</v>
      </c>
      <c r="L725" s="49" t="str">
        <f aca="false">STACK!G725</f>
        <v>03/09/2026</v>
      </c>
      <c r="M725" s="59" t="n">
        <f aca="false">IF(G725&gt;0,IF(INDEX(CONFIRM!$G$5:$G$53,G725)&lt;&gt;"",INDEX(CONFIRM!$G$5:$G$53,G725),IF(ISNUMBER(L725),L725,IFERROR(DATEVALUE(L725),""))),IF(ISNUMBER(L725),L725,IFERROR(DATEVALUE(L725),"")))</f>
        <v>46090</v>
      </c>
      <c r="N725" s="1" t="str">
        <f aca="false">IF(M725="","Check",IF(AND(M725&gt;=INPUTS!$C$6,M725&lt;=INPUTS!$C$7),"Yes","No"))</f>
        <v>Yes</v>
      </c>
      <c r="O725" s="48" t="str">
        <f aca="false">STACK!H725</f>
        <v>RN III</v>
      </c>
      <c r="P725" s="1" t="str">
        <f aca="false">IF(G725&gt;0,IF(INDEX(CONFIRM!$H$5:$H$53,G725)&lt;&gt;"",INDEX(CONFIRM!$H$5:$H$53,G725),IFERROR(INDEX(MAP!$B$7:$B$156,MATCH(TRIM(O725),MAP!$A$7:$A$156,0)),"UNMAPPED")),IFERROR(INDEX(MAP!$B$7:$B$156,MATCH(TRIM(O725),MAP!$A$7:$A$156,0)),"UNMAPPED"))</f>
        <v>Registered Nurse</v>
      </c>
      <c r="Q725" s="48" t="n">
        <f aca="false">STACK!I725</f>
        <v>3.75</v>
      </c>
      <c r="R725" s="60" t="n">
        <f aca="false">IF(G725&gt;0,IF(INDEX(CONFIRM!$F$5:$F$53,G725)&lt;&gt;"",INDEX(CONFIRM!$F$5:$F$53,G725),IF(ISNUMBER(Q725),Q725,IF(Q725="","",IFERROR(VALUE(TRIM(SUBSTITUTE(SUBSTITUTE(LOWER(Q725),"hrs",""),"hr",""))),"")))),IF(ISNUMBER(Q725),Q725,IF(Q725="","",IFERROR(VALUE(TRIM(SUBSTITUTE(SUBSTITUTE(LOWER(Q725),"hrs",""),"hr",""))),""))))</f>
        <v>3.75</v>
      </c>
      <c r="S725" s="57" t="n">
        <f aca="false">IFERROR(INDEX(RATES!$E$6:$E$28,MATCH(P725,RATES!$A$6:$A$28,0)),0)</f>
        <v>55.8975</v>
      </c>
      <c r="T725" s="61" t="n">
        <f aca="false">IF(ISNUMBER(R725),R725,0)*S725</f>
        <v>209.615625</v>
      </c>
      <c r="U725" s="61" t="n">
        <f aca="false">T725*INDEX(INPUTS!$H$10:$H$14,MATCH(B725,INPUTS!$A$10:$A$14,0))</f>
        <v>33.95773125</v>
      </c>
      <c r="V725" s="61" t="n">
        <f aca="false">N(STACK!K725)</f>
        <v>95</v>
      </c>
      <c r="W725" s="61" t="n">
        <f aca="false">T725+U725+V725</f>
        <v>338.57335625</v>
      </c>
      <c r="X725" s="61" t="n">
        <f aca="false">N(STACK!L725)</f>
        <v>0</v>
      </c>
      <c r="Y725" s="61" t="n">
        <f aca="false">W725-X725</f>
        <v>338.57335625</v>
      </c>
      <c r="Z725" s="1" t="n">
        <f aca="false">N(STACK!J725)</f>
        <v>56</v>
      </c>
      <c r="AA725" s="1" t="str">
        <f aca="false">TRIM(IF(D725="UNMAPPED","Program not mapped. ","")&amp;IF(OR(K725="UNMAPPED",K725="UNASSIGNED"),"Category needs review. ","")&amp;IF(P725="UNMAPPED","Title not mapped. ","")&amp;IF(AND(P725&lt;&gt;"No staff time",R725=""),"Missing hours. ","")&amp;IF(M725="","Date not readable. ","")&amp;IF(N725="No","Outside fiscal year. ","")&amp;IF(AND(F725="Event",ISNUMBER(R725)),IF(R725&gt;12,"Event hours look high. ",""),"")&amp;IF(G725&gt;0,"See CONFIRM sheet.",""))</f>
        <v/>
      </c>
      <c r="AB725" s="1" t="n">
        <f aca="false">IF(N725="No",0,IF(REVIEW!O725=0,0,IF(G725&gt;0,IF(INDEX(CONFIRM!$J$5:$J$53,G725)&lt;&gt;"",INDEX(CONFIRM!$J$5:$J$53,G725),1),1)))</f>
        <v>1</v>
      </c>
      <c r="AC725" s="1" t="n">
        <f aca="false">IF(AB725=1,IF(COUNTIFS($B$5:B725,B725,$D$5:D725,D725,$AB$5:AB725,1)=1,1,0),0)</f>
        <v>0</v>
      </c>
    </row>
    <row r="726" customFormat="false" ht="15" hidden="false" customHeight="false" outlineLevel="0" collapsed="false">
      <c r="A726" s="48" t="str">
        <f aca="false">STACK!A726</f>
        <v>ASH-0193</v>
      </c>
      <c r="B726" s="48" t="str">
        <f aca="false">STACK!B726</f>
        <v>ASH</v>
      </c>
      <c r="C726" s="48" t="str">
        <f aca="false">STACK!E726</f>
        <v>Fall Prevention</v>
      </c>
      <c r="D726" s="1" t="str">
        <f aca="false">IFERROR(INDEX(MAP!$J$7:$J$101,MATCH(TRIM(C726),MAP!$I$7:$I$101,0)),"UNMAPPED")</f>
        <v>Fall Prevention Classes for Older Adults</v>
      </c>
      <c r="E726" s="1" t="str">
        <f aca="false">IFERROR(INDEX(MAP!$K$7:$K$101,MATCH(TRIM(C726),MAP!$I$7:$I$101,0)),"")</f>
        <v>Chronic disease prevention</v>
      </c>
      <c r="F726" s="1" t="str">
        <f aca="false">IFERROR(INDEX(MAP!$L$7:$L$101,MATCH(TRIM(C726),MAP!$I$7:$I$101,0)),"")</f>
        <v>Event</v>
      </c>
      <c r="G726" s="1" t="n">
        <f aca="false">IFERROR(MATCH(A726,CONFIRM!$A$5:$A$53,0),0)</f>
        <v>0</v>
      </c>
      <c r="H726" s="48" t="str">
        <f aca="false">STACK!F726</f>
        <v>Comm Hlth Ed</v>
      </c>
      <c r="I726" s="1" t="str">
        <f aca="false">IF(G726&gt;0,IF(INDEX(CONFIRM!$I$5:$I$53,G726)&lt;&gt;"",INDEX(CONFIRM!$I$5:$I$53,G726),H726),H726)</f>
        <v>Comm Hlth Ed</v>
      </c>
      <c r="J726" s="1" t="str">
        <f aca="false">IFERROR(INDEX(MAP!$F$7:$F$74,MATCH(TRIM(I726),MAP!$E$7:$E$74,0)),"UNMAPPED")</f>
        <v>Community health education</v>
      </c>
      <c r="K726" s="1" t="str">
        <f aca="false">IFERROR(INDEX(MAP!$G$7:$G$74,MATCH(TRIM(I726),MAP!$E$7:$E$74,0)),"UNMAPPED")</f>
        <v>7e</v>
      </c>
      <c r="L726" s="49" t="str">
        <f aca="false">STACK!G726</f>
        <v>03/14/2026</v>
      </c>
      <c r="M726" s="59" t="n">
        <f aca="false">IF(G726&gt;0,IF(INDEX(CONFIRM!$G$5:$G$53,G726)&lt;&gt;"",INDEX(CONFIRM!$G$5:$G$53,G726),IF(ISNUMBER(L726),L726,IFERROR(DATEVALUE(L726),""))),IF(ISNUMBER(L726),L726,IFERROR(DATEVALUE(L726),"")))</f>
        <v>46095</v>
      </c>
      <c r="N726" s="1" t="str">
        <f aca="false">IF(M726="","Check",IF(AND(M726&gt;=INPUTS!$C$6,M726&lt;=INPUTS!$C$7),"Yes","No"))</f>
        <v>Yes</v>
      </c>
      <c r="O726" s="48" t="str">
        <f aca="false">STACK!H726</f>
        <v>Respiratory Therapist</v>
      </c>
      <c r="P726" s="1" t="str">
        <f aca="false">IF(G726&gt;0,IF(INDEX(CONFIRM!$H$5:$H$53,G726)&lt;&gt;"",INDEX(CONFIRM!$H$5:$H$53,G726),IFERROR(INDEX(MAP!$B$7:$B$156,MATCH(TRIM(O726),MAP!$A$7:$A$156,0)),"UNMAPPED")),IFERROR(INDEX(MAP!$B$7:$B$156,MATCH(TRIM(O726),MAP!$A$7:$A$156,0)),"UNMAPPED"))</f>
        <v>Licensed Therapist</v>
      </c>
      <c r="Q726" s="48" t="n">
        <f aca="false">STACK!I726</f>
        <v>2</v>
      </c>
      <c r="R726" s="60" t="n">
        <f aca="false">IF(G726&gt;0,IF(INDEX(CONFIRM!$F$5:$F$53,G726)&lt;&gt;"",INDEX(CONFIRM!$F$5:$F$53,G726),IF(ISNUMBER(Q726),Q726,IF(Q726="","",IFERROR(VALUE(TRIM(SUBSTITUTE(SUBSTITUTE(LOWER(Q726),"hrs",""),"hr",""))),"")))),IF(ISNUMBER(Q726),Q726,IF(Q726="","",IFERROR(VALUE(TRIM(SUBSTITUTE(SUBSTITUTE(LOWER(Q726),"hrs",""),"hr",""))),""))))</f>
        <v>2</v>
      </c>
      <c r="S726" s="57" t="n">
        <f aca="false">IFERROR(INDEX(RATES!$E$6:$E$28,MATCH(P726,RATES!$A$6:$A$28,0)),0)</f>
        <v>53.97</v>
      </c>
      <c r="T726" s="61" t="n">
        <f aca="false">IF(ISNUMBER(R726),R726,0)*S726</f>
        <v>107.94</v>
      </c>
      <c r="U726" s="61" t="n">
        <f aca="false">T726*INDEX(INPUTS!$H$10:$H$14,MATCH(B726,INPUTS!$A$10:$A$14,0))</f>
        <v>17.48628</v>
      </c>
      <c r="V726" s="61" t="n">
        <f aca="false">N(STACK!K726)</f>
        <v>90</v>
      </c>
      <c r="W726" s="61" t="n">
        <f aca="false">T726+U726+V726</f>
        <v>215.42628</v>
      </c>
      <c r="X726" s="61" t="n">
        <f aca="false">N(STACK!L726)</f>
        <v>0</v>
      </c>
      <c r="Y726" s="61" t="n">
        <f aca="false">W726-X726</f>
        <v>215.42628</v>
      </c>
      <c r="Z726" s="1" t="n">
        <f aca="false">N(STACK!J726)</f>
        <v>20</v>
      </c>
      <c r="AA726" s="1" t="str">
        <f aca="false">TRIM(IF(D726="UNMAPPED","Program not mapped. ","")&amp;IF(OR(K726="UNMAPPED",K726="UNASSIGNED"),"Category needs review. ","")&amp;IF(P726="UNMAPPED","Title not mapped. ","")&amp;IF(AND(P726&lt;&gt;"No staff time",R726=""),"Missing hours. ","")&amp;IF(M726="","Date not readable. ","")&amp;IF(N726="No","Outside fiscal year. ","")&amp;IF(AND(F726="Event",ISNUMBER(R726)),IF(R726&gt;12,"Event hours look high. ",""),"")&amp;IF(G726&gt;0,"See CONFIRM sheet.",""))</f>
        <v/>
      </c>
      <c r="AB726" s="1" t="n">
        <f aca="false">IF(N726="No",0,IF(REVIEW!O726=0,0,IF(G726&gt;0,IF(INDEX(CONFIRM!$J$5:$J$53,G726)&lt;&gt;"",INDEX(CONFIRM!$J$5:$J$53,G726),1),1)))</f>
        <v>1</v>
      </c>
      <c r="AC726" s="1" t="n">
        <f aca="false">IF(AB726=1,IF(COUNTIFS($B$5:B726,B726,$D$5:D726,D726,$AB$5:AB726,1)=1,1,0),0)</f>
        <v>0</v>
      </c>
    </row>
    <row r="727" customFormat="false" ht="15" hidden="false" customHeight="false" outlineLevel="0" collapsed="false">
      <c r="A727" s="48" t="str">
        <f aca="false">STACK!A727</f>
        <v>ASH-0194</v>
      </c>
      <c r="B727" s="48" t="str">
        <f aca="false">STACK!B727</f>
        <v>ASH</v>
      </c>
      <c r="C727" s="48" t="str">
        <f aca="false">STACK!E727</f>
        <v>BP Checks</v>
      </c>
      <c r="D727" s="1" t="str">
        <f aca="false">IFERROR(INDEX(MAP!$J$7:$J$101,MATCH(TRIM(C727),MAP!$I$7:$I$101,0)),"UNMAPPED")</f>
        <v>Community Blood Pressure Checks</v>
      </c>
      <c r="E727" s="1" t="str">
        <f aca="false">IFERROR(INDEX(MAP!$K$7:$K$101,MATCH(TRIM(C727),MAP!$I$7:$I$101,0)),"")</f>
        <v>Chronic disease prevention</v>
      </c>
      <c r="F727" s="1" t="str">
        <f aca="false">IFERROR(INDEX(MAP!$L$7:$L$101,MATCH(TRIM(C727),MAP!$I$7:$I$101,0)),"")</f>
        <v>Event</v>
      </c>
      <c r="G727" s="1" t="n">
        <f aca="false">IFERROR(MATCH(A727,CONFIRM!$A$5:$A$53,0),0)</f>
        <v>0</v>
      </c>
      <c r="H727" s="48" t="str">
        <f aca="false">STACK!F727</f>
        <v>Clinical Svcs</v>
      </c>
      <c r="I727" s="1" t="str">
        <f aca="false">IF(G727&gt;0,IF(INDEX(CONFIRM!$I$5:$I$53,G727)&lt;&gt;"",INDEX(CONFIRM!$I$5:$I$53,G727),H727),H727)</f>
        <v>Clinical Svcs</v>
      </c>
      <c r="J727" s="1" t="str">
        <f aca="false">IFERROR(INDEX(MAP!$F$7:$F$74,MATCH(TRIM(I727),MAP!$E$7:$E$74,0)),"UNMAPPED")</f>
        <v>Community-based clinical services</v>
      </c>
      <c r="K727" s="1" t="str">
        <f aca="false">IFERROR(INDEX(MAP!$G$7:$G$74,MATCH(TRIM(I727),MAP!$E$7:$E$74,0)),"UNMAPPED")</f>
        <v>7e</v>
      </c>
      <c r="L727" s="49" t="str">
        <f aca="false">STACK!G727</f>
        <v>03/18/2026</v>
      </c>
      <c r="M727" s="59" t="n">
        <f aca="false">IF(G727&gt;0,IF(INDEX(CONFIRM!$G$5:$G$53,G727)&lt;&gt;"",INDEX(CONFIRM!$G$5:$G$53,G727),IF(ISNUMBER(L727),L727,IFERROR(DATEVALUE(L727),""))),IF(ISNUMBER(L727),L727,IFERROR(DATEVALUE(L727),"")))</f>
        <v>46099</v>
      </c>
      <c r="N727" s="1" t="str">
        <f aca="false">IF(M727="","Check",IF(AND(M727&gt;=INPUTS!$C$6,M727&lt;=INPUTS!$C$7),"Yes","No"))</f>
        <v>Yes</v>
      </c>
      <c r="O727" s="48" t="str">
        <f aca="false">STACK!H727</f>
        <v>RN - Outreach</v>
      </c>
      <c r="P727" s="1" t="str">
        <f aca="false">IF(G727&gt;0,IF(INDEX(CONFIRM!$H$5:$H$53,G727)&lt;&gt;"",INDEX(CONFIRM!$H$5:$H$53,G727),IFERROR(INDEX(MAP!$B$7:$B$156,MATCH(TRIM(O727),MAP!$A$7:$A$156,0)),"UNMAPPED")),IFERROR(INDEX(MAP!$B$7:$B$156,MATCH(TRIM(O727),MAP!$A$7:$A$156,0)),"UNMAPPED"))</f>
        <v>Registered Nurse</v>
      </c>
      <c r="Q727" s="48" t="n">
        <f aca="false">STACK!I727</f>
        <v>3.25</v>
      </c>
      <c r="R727" s="60" t="n">
        <f aca="false">IF(G727&gt;0,IF(INDEX(CONFIRM!$F$5:$F$53,G727)&lt;&gt;"",INDEX(CONFIRM!$F$5:$F$53,G727),IF(ISNUMBER(Q727),Q727,IF(Q727="","",IFERROR(VALUE(TRIM(SUBSTITUTE(SUBSTITUTE(LOWER(Q727),"hrs",""),"hr",""))),"")))),IF(ISNUMBER(Q727),Q727,IF(Q727="","",IFERROR(VALUE(TRIM(SUBSTITUTE(SUBSTITUTE(LOWER(Q727),"hrs",""),"hr",""))),""))))</f>
        <v>3.25</v>
      </c>
      <c r="S727" s="57" t="n">
        <f aca="false">IFERROR(INDEX(RATES!$E$6:$E$28,MATCH(P727,RATES!$A$6:$A$28,0)),0)</f>
        <v>55.8975</v>
      </c>
      <c r="T727" s="61" t="n">
        <f aca="false">IF(ISNUMBER(R727),R727,0)*S727</f>
        <v>181.666875</v>
      </c>
      <c r="U727" s="61" t="n">
        <f aca="false">T727*INDEX(INPUTS!$H$10:$H$14,MATCH(B727,INPUTS!$A$10:$A$14,0))</f>
        <v>29.43003375</v>
      </c>
      <c r="V727" s="61" t="n">
        <f aca="false">N(STACK!K727)</f>
        <v>110</v>
      </c>
      <c r="W727" s="61" t="n">
        <f aca="false">T727+U727+V727</f>
        <v>321.09690875</v>
      </c>
      <c r="X727" s="61" t="n">
        <f aca="false">N(STACK!L727)</f>
        <v>0</v>
      </c>
      <c r="Y727" s="61" t="n">
        <f aca="false">W727-X727</f>
        <v>321.09690875</v>
      </c>
      <c r="Z727" s="1" t="n">
        <f aca="false">N(STACK!J727)</f>
        <v>74</v>
      </c>
      <c r="AA727" s="1" t="str">
        <f aca="false">TRIM(IF(D727="UNMAPPED","Program not mapped. ","")&amp;IF(OR(K727="UNMAPPED",K727="UNASSIGNED"),"Category needs review. ","")&amp;IF(P727="UNMAPPED","Title not mapped. ","")&amp;IF(AND(P727&lt;&gt;"No staff time",R727=""),"Missing hours. ","")&amp;IF(M727="","Date not readable. ","")&amp;IF(N727="No","Outside fiscal year. ","")&amp;IF(AND(F727="Event",ISNUMBER(R727)),IF(R727&gt;12,"Event hours look high. ",""),"")&amp;IF(G727&gt;0,"See CONFIRM sheet.",""))</f>
        <v/>
      </c>
      <c r="AB727" s="1" t="n">
        <f aca="false">IF(N727="No",0,IF(REVIEW!O727=0,0,IF(G727&gt;0,IF(INDEX(CONFIRM!$J$5:$J$53,G727)&lt;&gt;"",INDEX(CONFIRM!$J$5:$J$53,G727),1),1)))</f>
        <v>1</v>
      </c>
      <c r="AC727" s="1" t="n">
        <f aca="false">IF(AB727=1,IF(COUNTIFS($B$5:B727,B727,$D$5:D727,D727,$AB$5:AB727,1)=1,1,0),0)</f>
        <v>0</v>
      </c>
    </row>
    <row r="728" customFormat="false" ht="15" hidden="false" customHeight="false" outlineLevel="0" collapsed="false">
      <c r="A728" s="48" t="str">
        <f aca="false">STACK!A728</f>
        <v>ASH-0195</v>
      </c>
      <c r="B728" s="48" t="str">
        <f aca="false">STACK!B728</f>
        <v>ASH</v>
      </c>
      <c r="C728" s="48" t="str">
        <f aca="false">STACK!E728</f>
        <v>Mobile Screening Unit</v>
      </c>
      <c r="D728" s="1" t="str">
        <f aca="false">IFERROR(INDEX(MAP!$J$7:$J$101,MATCH(TRIM(C728),MAP!$I$7:$I$101,0)),"UNMAPPED")</f>
        <v>Mobile Health Screening Unit</v>
      </c>
      <c r="E728" s="1" t="str">
        <f aca="false">IFERROR(INDEX(MAP!$K$7:$K$101,MATCH(TRIM(C728),MAP!$I$7:$I$101,0)),"")</f>
        <v>Access to care</v>
      </c>
      <c r="F728" s="1" t="str">
        <f aca="false">IFERROR(INDEX(MAP!$L$7:$L$101,MATCH(TRIM(C728),MAP!$I$7:$I$101,0)),"")</f>
        <v>Monthly</v>
      </c>
      <c r="G728" s="1" t="n">
        <f aca="false">IFERROR(MATCH(A728,CONFIRM!$A$5:$A$53,0),0)</f>
        <v>0</v>
      </c>
      <c r="H728" s="48" t="str">
        <f aca="false">STACK!F728</f>
        <v>Clinical Svcs</v>
      </c>
      <c r="I728" s="1" t="str">
        <f aca="false">IF(G728&gt;0,IF(INDEX(CONFIRM!$I$5:$I$53,G728)&lt;&gt;"",INDEX(CONFIRM!$I$5:$I$53,G728),H728),H728)</f>
        <v>Clinical Svcs</v>
      </c>
      <c r="J728" s="1" t="str">
        <f aca="false">IFERROR(INDEX(MAP!$F$7:$F$74,MATCH(TRIM(I728),MAP!$E$7:$E$74,0)),"UNMAPPED")</f>
        <v>Community-based clinical services</v>
      </c>
      <c r="K728" s="1" t="str">
        <f aca="false">IFERROR(INDEX(MAP!$G$7:$G$74,MATCH(TRIM(I728),MAP!$E$7:$E$74,0)),"UNMAPPED")</f>
        <v>7e</v>
      </c>
      <c r="L728" s="49" t="str">
        <f aca="false">STACK!G728</f>
        <v>03/31/2026</v>
      </c>
      <c r="M728" s="59" t="n">
        <f aca="false">IF(G728&gt;0,IF(INDEX(CONFIRM!$G$5:$G$53,G728)&lt;&gt;"",INDEX(CONFIRM!$G$5:$G$53,G728),IF(ISNUMBER(L728),L728,IFERROR(DATEVALUE(L728),""))),IF(ISNUMBER(L728),L728,IFERROR(DATEVALUE(L728),"")))</f>
        <v>46112</v>
      </c>
      <c r="N728" s="1" t="str">
        <f aca="false">IF(M728="","Check",IF(AND(M728&gt;=INPUTS!$C$6,M728&lt;=INPUTS!$C$7),"Yes","No"))</f>
        <v>Yes</v>
      </c>
      <c r="O728" s="48" t="str">
        <f aca="false">STACK!H728</f>
        <v>Comm Health Worker</v>
      </c>
      <c r="P728" s="1" t="str">
        <f aca="false">IF(G728&gt;0,IF(INDEX(CONFIRM!$H$5:$H$53,G728)&lt;&gt;"",INDEX(CONFIRM!$H$5:$H$53,G728),IFERROR(INDEX(MAP!$B$7:$B$156,MATCH(TRIM(O728),MAP!$A$7:$A$156,0)),"UNMAPPED")),IFERROR(INDEX(MAP!$B$7:$B$156,MATCH(TRIM(O728),MAP!$A$7:$A$156,0)),"UNMAPPED"))</f>
        <v>Community Health Worker</v>
      </c>
      <c r="Q728" s="48" t="n">
        <f aca="false">STACK!I728</f>
        <v>78.25</v>
      </c>
      <c r="R728" s="60" t="n">
        <f aca="false">IF(G728&gt;0,IF(INDEX(CONFIRM!$F$5:$F$53,G728)&lt;&gt;"",INDEX(CONFIRM!$F$5:$F$53,G728),IF(ISNUMBER(Q728),Q728,IF(Q728="","",IFERROR(VALUE(TRIM(SUBSTITUTE(SUBSTITUTE(LOWER(Q728),"hrs",""),"hr",""))),"")))),IF(ISNUMBER(Q728),Q728,IF(Q728="","",IFERROR(VALUE(TRIM(SUBSTITUTE(SUBSTITUTE(LOWER(Q728),"hrs",""),"hr",""))),""))))</f>
        <v>78.25</v>
      </c>
      <c r="S728" s="57" t="n">
        <f aca="false">IFERROR(INDEX(RATES!$E$6:$E$28,MATCH(P728,RATES!$A$6:$A$28,0)),0)</f>
        <v>27.6275</v>
      </c>
      <c r="T728" s="61" t="n">
        <f aca="false">IF(ISNUMBER(R728),R728,0)*S728</f>
        <v>2161.851875</v>
      </c>
      <c r="U728" s="61" t="n">
        <f aca="false">T728*INDEX(INPUTS!$H$10:$H$14,MATCH(B728,INPUTS!$A$10:$A$14,0))</f>
        <v>350.22000375</v>
      </c>
      <c r="V728" s="61" t="n">
        <f aca="false">N(STACK!K728)</f>
        <v>0</v>
      </c>
      <c r="W728" s="61" t="n">
        <f aca="false">T728+U728+V728</f>
        <v>2512.07187875</v>
      </c>
      <c r="X728" s="61" t="n">
        <f aca="false">N(STACK!L728)</f>
        <v>0</v>
      </c>
      <c r="Y728" s="61" t="n">
        <f aca="false">W728-X728</f>
        <v>2512.07187875</v>
      </c>
      <c r="Z728" s="1" t="n">
        <f aca="false">N(STACK!J728)</f>
        <v>0</v>
      </c>
      <c r="AA728" s="1" t="str">
        <f aca="false">TRIM(IF(D728="UNMAPPED","Program not mapped. ","")&amp;IF(OR(K728="UNMAPPED",K728="UNASSIGNED"),"Category needs review. ","")&amp;IF(P728="UNMAPPED","Title not mapped. ","")&amp;IF(AND(P728&lt;&gt;"No staff time",R728=""),"Missing hours. ","")&amp;IF(M728="","Date not readable. ","")&amp;IF(N728="No","Outside fiscal year. ","")&amp;IF(AND(F728="Event",ISNUMBER(R728)),IF(R728&gt;12,"Event hours look high. ",""),"")&amp;IF(G728&gt;0,"See CONFIRM sheet.",""))</f>
        <v/>
      </c>
      <c r="AB728" s="1" t="n">
        <f aca="false">IF(N728="No",0,IF(REVIEW!O728=0,0,IF(G728&gt;0,IF(INDEX(CONFIRM!$J$5:$J$53,G728)&lt;&gt;"",INDEX(CONFIRM!$J$5:$J$53,G728),1),1)))</f>
        <v>1</v>
      </c>
      <c r="AC728" s="1" t="n">
        <f aca="false">IF(AB728=1,IF(COUNTIFS($B$5:B728,B728,$D$5:D728,D728,$AB$5:AB728,1)=1,1,0),0)</f>
        <v>0</v>
      </c>
    </row>
    <row r="729" customFormat="false" ht="15" hidden="false" customHeight="false" outlineLevel="0" collapsed="false">
      <c r="A729" s="48" t="str">
        <f aca="false">STACK!A729</f>
        <v>ASH-0196</v>
      </c>
      <c r="B729" s="48" t="str">
        <f aca="false">STACK!B729</f>
        <v>ASH</v>
      </c>
      <c r="C729" s="48" t="str">
        <f aca="false">STACK!E729</f>
        <v>Mobile Screening Unit</v>
      </c>
      <c r="D729" s="1" t="str">
        <f aca="false">IFERROR(INDEX(MAP!$J$7:$J$101,MATCH(TRIM(C729),MAP!$I$7:$I$101,0)),"UNMAPPED")</f>
        <v>Mobile Health Screening Unit</v>
      </c>
      <c r="E729" s="1" t="str">
        <f aca="false">IFERROR(INDEX(MAP!$K$7:$K$101,MATCH(TRIM(C729),MAP!$I$7:$I$101,0)),"")</f>
        <v>Access to care</v>
      </c>
      <c r="F729" s="1" t="str">
        <f aca="false">IFERROR(INDEX(MAP!$L$7:$L$101,MATCH(TRIM(C729),MAP!$I$7:$I$101,0)),"")</f>
        <v>Monthly</v>
      </c>
      <c r="G729" s="1" t="n">
        <f aca="false">IFERROR(MATCH(A729,CONFIRM!$A$5:$A$53,0),0)</f>
        <v>0</v>
      </c>
      <c r="H729" s="48" t="str">
        <f aca="false">STACK!F729</f>
        <v>Clinical Svcs</v>
      </c>
      <c r="I729" s="1" t="str">
        <f aca="false">IF(G729&gt;0,IF(INDEX(CONFIRM!$I$5:$I$53,G729)&lt;&gt;"",INDEX(CONFIRM!$I$5:$I$53,G729),H729),H729)</f>
        <v>Clinical Svcs</v>
      </c>
      <c r="J729" s="1" t="str">
        <f aca="false">IFERROR(INDEX(MAP!$F$7:$F$74,MATCH(TRIM(I729),MAP!$E$7:$E$74,0)),"UNMAPPED")</f>
        <v>Community-based clinical services</v>
      </c>
      <c r="K729" s="1" t="str">
        <f aca="false">IFERROR(INDEX(MAP!$G$7:$G$74,MATCH(TRIM(I729),MAP!$E$7:$E$74,0)),"UNMAPPED")</f>
        <v>7e</v>
      </c>
      <c r="L729" s="49" t="str">
        <f aca="false">STACK!G729</f>
        <v>03/31/2026</v>
      </c>
      <c r="M729" s="59" t="n">
        <f aca="false">IF(G729&gt;0,IF(INDEX(CONFIRM!$G$5:$G$53,G729)&lt;&gt;"",INDEX(CONFIRM!$G$5:$G$53,G729),IF(ISNUMBER(L729),L729,IFERROR(DATEVALUE(L729),""))),IF(ISNUMBER(L729),L729,IFERROR(DATEVALUE(L729),"")))</f>
        <v>46112</v>
      </c>
      <c r="N729" s="1" t="str">
        <f aca="false">IF(M729="","Check",IF(AND(M729&gt;=INPUTS!$C$6,M729&lt;=INPUTS!$C$7),"Yes","No"))</f>
        <v>Yes</v>
      </c>
      <c r="O729" s="48" t="str">
        <f aca="false">STACK!H729</f>
        <v>Medical Assistant</v>
      </c>
      <c r="P729" s="1" t="str">
        <f aca="false">IF(G729&gt;0,IF(INDEX(CONFIRM!$H$5:$H$53,G729)&lt;&gt;"",INDEX(CONFIRM!$H$5:$H$53,G729),IFERROR(INDEX(MAP!$B$7:$B$156,MATCH(TRIM(O729),MAP!$A$7:$A$156,0)),"UNMAPPED")),IFERROR(INDEX(MAP!$B$7:$B$156,MATCH(TRIM(O729),MAP!$A$7:$A$156,0)),"UNMAPPED"))</f>
        <v>Medical Assistant</v>
      </c>
      <c r="Q729" s="48" t="n">
        <f aca="false">STACK!I729</f>
        <v>76.5</v>
      </c>
      <c r="R729" s="60" t="n">
        <f aca="false">IF(G729&gt;0,IF(INDEX(CONFIRM!$F$5:$F$53,G729)&lt;&gt;"",INDEX(CONFIRM!$F$5:$F$53,G729),IF(ISNUMBER(Q729),Q729,IF(Q729="","",IFERROR(VALUE(TRIM(SUBSTITUTE(SUBSTITUTE(LOWER(Q729),"hrs",""),"hr",""))),"")))),IF(ISNUMBER(Q729),Q729,IF(Q729="","",IFERROR(VALUE(TRIM(SUBSTITUTE(SUBSTITUTE(LOWER(Q729),"hrs",""),"hr",""))),""))))</f>
        <v>76.5</v>
      </c>
      <c r="S729" s="57" t="n">
        <f aca="false">IFERROR(INDEX(RATES!$E$6:$E$28,MATCH(P729,RATES!$A$6:$A$28,0)),0)</f>
        <v>25.37875</v>
      </c>
      <c r="T729" s="61" t="n">
        <f aca="false">IF(ISNUMBER(R729),R729,0)*S729</f>
        <v>1941.474375</v>
      </c>
      <c r="U729" s="61" t="n">
        <f aca="false">T729*INDEX(INPUTS!$H$10:$H$14,MATCH(B729,INPUTS!$A$10:$A$14,0))</f>
        <v>314.51884875</v>
      </c>
      <c r="V729" s="61" t="n">
        <f aca="false">N(STACK!K729)</f>
        <v>0</v>
      </c>
      <c r="W729" s="61" t="n">
        <f aca="false">T729+U729+V729</f>
        <v>2255.99322375</v>
      </c>
      <c r="X729" s="61" t="n">
        <f aca="false">N(STACK!L729)</f>
        <v>0</v>
      </c>
      <c r="Y729" s="61" t="n">
        <f aca="false">W729-X729</f>
        <v>2255.99322375</v>
      </c>
      <c r="Z729" s="1" t="n">
        <f aca="false">N(STACK!J729)</f>
        <v>0</v>
      </c>
      <c r="AA729" s="1" t="str">
        <f aca="false">TRIM(IF(D729="UNMAPPED","Program not mapped. ","")&amp;IF(OR(K729="UNMAPPED",K729="UNASSIGNED"),"Category needs review. ","")&amp;IF(P729="UNMAPPED","Title not mapped. ","")&amp;IF(AND(P729&lt;&gt;"No staff time",R729=""),"Missing hours. ","")&amp;IF(M729="","Date not readable. ","")&amp;IF(N729="No","Outside fiscal year. ","")&amp;IF(AND(F729="Event",ISNUMBER(R729)),IF(R729&gt;12,"Event hours look high. ",""),"")&amp;IF(G729&gt;0,"See CONFIRM sheet.",""))</f>
        <v/>
      </c>
      <c r="AB729" s="1" t="n">
        <f aca="false">IF(N729="No",0,IF(REVIEW!O729=0,0,IF(G729&gt;0,IF(INDEX(CONFIRM!$J$5:$J$53,G729)&lt;&gt;"",INDEX(CONFIRM!$J$5:$J$53,G729),1),1)))</f>
        <v>1</v>
      </c>
      <c r="AC729" s="1" t="n">
        <f aca="false">IF(AB729=1,IF(COUNTIFS($B$5:B729,B729,$D$5:D729,D729,$AB$5:AB729,1)=1,1,0),0)</f>
        <v>0</v>
      </c>
    </row>
    <row r="730" customFormat="false" ht="15" hidden="false" customHeight="false" outlineLevel="0" collapsed="false">
      <c r="A730" s="48" t="str">
        <f aca="false">STACK!A730</f>
        <v>ASH-0197</v>
      </c>
      <c r="B730" s="48" t="str">
        <f aca="false">STACK!B730</f>
        <v>ASH</v>
      </c>
      <c r="C730" s="48" t="str">
        <f aca="false">STACK!E730</f>
        <v>Mobile Screening Unit</v>
      </c>
      <c r="D730" s="1" t="str">
        <f aca="false">IFERROR(INDEX(MAP!$J$7:$J$101,MATCH(TRIM(C730),MAP!$I$7:$I$101,0)),"UNMAPPED")</f>
        <v>Mobile Health Screening Unit</v>
      </c>
      <c r="E730" s="1" t="str">
        <f aca="false">IFERROR(INDEX(MAP!$K$7:$K$101,MATCH(TRIM(C730),MAP!$I$7:$I$101,0)),"")</f>
        <v>Access to care</v>
      </c>
      <c r="F730" s="1" t="str">
        <f aca="false">IFERROR(INDEX(MAP!$L$7:$L$101,MATCH(TRIM(C730),MAP!$I$7:$I$101,0)),"")</f>
        <v>Monthly</v>
      </c>
      <c r="G730" s="1" t="n">
        <f aca="false">IFERROR(MATCH(A730,CONFIRM!$A$5:$A$53,0),0)</f>
        <v>0</v>
      </c>
      <c r="H730" s="48" t="str">
        <f aca="false">STACK!F730</f>
        <v>Clinical Svcs</v>
      </c>
      <c r="I730" s="1" t="str">
        <f aca="false">IF(G730&gt;0,IF(INDEX(CONFIRM!$I$5:$I$53,G730)&lt;&gt;"",INDEX(CONFIRM!$I$5:$I$53,G730),H730),H730)</f>
        <v>Clinical Svcs</v>
      </c>
      <c r="J730" s="1" t="str">
        <f aca="false">IFERROR(INDEX(MAP!$F$7:$F$74,MATCH(TRIM(I730),MAP!$E$7:$E$74,0)),"UNMAPPED")</f>
        <v>Community-based clinical services</v>
      </c>
      <c r="K730" s="1" t="str">
        <f aca="false">IFERROR(INDEX(MAP!$G$7:$G$74,MATCH(TRIM(I730),MAP!$E$7:$E$74,0)),"UNMAPPED")</f>
        <v>7e</v>
      </c>
      <c r="L730" s="49" t="str">
        <f aca="false">STACK!G730</f>
        <v>03/31/2026</v>
      </c>
      <c r="M730" s="59" t="n">
        <f aca="false">IF(G730&gt;0,IF(INDEX(CONFIRM!$G$5:$G$53,G730)&lt;&gt;"",INDEX(CONFIRM!$G$5:$G$53,G730),IF(ISNUMBER(L730),L730,IFERROR(DATEVALUE(L730),""))),IF(ISNUMBER(L730),L730,IFERROR(DATEVALUE(L730),"")))</f>
        <v>46112</v>
      </c>
      <c r="N730" s="1" t="str">
        <f aca="false">IF(M730="","Check",IF(AND(M730&gt;=INPUTS!$C$6,M730&lt;=INPUTS!$C$7),"Yes","No"))</f>
        <v>Yes</v>
      </c>
      <c r="O730" s="48" t="str">
        <f aca="false">STACK!H730</f>
        <v>Reg Nurse</v>
      </c>
      <c r="P730" s="1" t="str">
        <f aca="false">IF(G730&gt;0,IF(INDEX(CONFIRM!$H$5:$H$53,G730)&lt;&gt;"",INDEX(CONFIRM!$H$5:$H$53,G730),IFERROR(INDEX(MAP!$B$7:$B$156,MATCH(TRIM(O730),MAP!$A$7:$A$156,0)),"UNMAPPED")),IFERROR(INDEX(MAP!$B$7:$B$156,MATCH(TRIM(O730),MAP!$A$7:$A$156,0)),"UNMAPPED"))</f>
        <v>Registered Nurse</v>
      </c>
      <c r="Q730" s="48" t="n">
        <f aca="false">STACK!I730</f>
        <v>73</v>
      </c>
      <c r="R730" s="60" t="n">
        <f aca="false">IF(G730&gt;0,IF(INDEX(CONFIRM!$F$5:$F$53,G730)&lt;&gt;"",INDEX(CONFIRM!$F$5:$F$53,G730),IF(ISNUMBER(Q730),Q730,IF(Q730="","",IFERROR(VALUE(TRIM(SUBSTITUTE(SUBSTITUTE(LOWER(Q730),"hrs",""),"hr",""))),"")))),IF(ISNUMBER(Q730),Q730,IF(Q730="","",IFERROR(VALUE(TRIM(SUBSTITUTE(SUBSTITUTE(LOWER(Q730),"hrs",""),"hr",""))),""))))</f>
        <v>73</v>
      </c>
      <c r="S730" s="57" t="n">
        <f aca="false">IFERROR(INDEX(RATES!$E$6:$E$28,MATCH(P730,RATES!$A$6:$A$28,0)),0)</f>
        <v>55.8975</v>
      </c>
      <c r="T730" s="61" t="n">
        <f aca="false">IF(ISNUMBER(R730),R730,0)*S730</f>
        <v>4080.5175</v>
      </c>
      <c r="U730" s="61" t="n">
        <f aca="false">T730*INDEX(INPUTS!$H$10:$H$14,MATCH(B730,INPUTS!$A$10:$A$14,0))</f>
        <v>661.043835</v>
      </c>
      <c r="V730" s="61" t="n">
        <f aca="false">N(STACK!K730)</f>
        <v>5875</v>
      </c>
      <c r="W730" s="61" t="n">
        <f aca="false">T730+U730+V730</f>
        <v>10616.561335</v>
      </c>
      <c r="X730" s="61" t="n">
        <f aca="false">N(STACK!L730)</f>
        <v>0</v>
      </c>
      <c r="Y730" s="61" t="n">
        <f aca="false">W730-X730</f>
        <v>10616.561335</v>
      </c>
      <c r="Z730" s="1" t="n">
        <f aca="false">N(STACK!J730)</f>
        <v>163</v>
      </c>
      <c r="AA730" s="1" t="str">
        <f aca="false">TRIM(IF(D730="UNMAPPED","Program not mapped. ","")&amp;IF(OR(K730="UNMAPPED",K730="UNASSIGNED"),"Category needs review. ","")&amp;IF(P730="UNMAPPED","Title not mapped. ","")&amp;IF(AND(P730&lt;&gt;"No staff time",R730=""),"Missing hours. ","")&amp;IF(M730="","Date not readable. ","")&amp;IF(N730="No","Outside fiscal year. ","")&amp;IF(AND(F730="Event",ISNUMBER(R730)),IF(R730&gt;12,"Event hours look high. ",""),"")&amp;IF(G730&gt;0,"See CONFIRM sheet.",""))</f>
        <v/>
      </c>
      <c r="AB730" s="1" t="n">
        <f aca="false">IF(N730="No",0,IF(REVIEW!O730=0,0,IF(G730&gt;0,IF(INDEX(CONFIRM!$J$5:$J$53,G730)&lt;&gt;"",INDEX(CONFIRM!$J$5:$J$53,G730),1),1)))</f>
        <v>1</v>
      </c>
      <c r="AC730" s="1" t="n">
        <f aca="false">IF(AB730=1,IF(COUNTIFS($B$5:B730,B730,$D$5:D730,D730,$AB$5:AB730,1)=1,1,0),0)</f>
        <v>0</v>
      </c>
    </row>
    <row r="731" customFormat="false" ht="15" hidden="false" customHeight="false" outlineLevel="0" collapsed="false">
      <c r="A731" s="48" t="str">
        <f aca="false">STACK!A731</f>
        <v>ASH-0198</v>
      </c>
      <c r="B731" s="48" t="str">
        <f aca="false">STACK!B731</f>
        <v>ASH</v>
      </c>
      <c r="C731" s="48" t="str">
        <f aca="false">STACK!E731</f>
        <v>CHW Outreach</v>
      </c>
      <c r="D731" s="1" t="str">
        <f aca="false">IFERROR(INDEX(MAP!$J$7:$J$101,MATCH(TRIM(C731),MAP!$I$7:$I$101,0)),"UNMAPPED")</f>
        <v>Community Health Worker Outreach</v>
      </c>
      <c r="E731" s="1" t="str">
        <f aca="false">IFERROR(INDEX(MAP!$K$7:$K$101,MATCH(TRIM(C731),MAP!$I$7:$I$101,0)),"")</f>
        <v>Access to care</v>
      </c>
      <c r="F731" s="1" t="str">
        <f aca="false">IFERROR(INDEX(MAP!$L$7:$L$101,MATCH(TRIM(C731),MAP!$I$7:$I$101,0)),"")</f>
        <v>Monthly</v>
      </c>
      <c r="G731" s="1" t="n">
        <f aca="false">IFERROR(MATCH(A731,CONFIRM!$A$5:$A$53,0),0)</f>
        <v>0</v>
      </c>
      <c r="H731" s="48" t="str">
        <f aca="false">STACK!F731</f>
        <v>Support Svcs</v>
      </c>
      <c r="I731" s="1" t="str">
        <f aca="false">IF(G731&gt;0,IF(INDEX(CONFIRM!$I$5:$I$53,G731)&lt;&gt;"",INDEX(CONFIRM!$I$5:$I$53,G731),H731),H731)</f>
        <v>Support Svcs</v>
      </c>
      <c r="J731" s="1" t="str">
        <f aca="false">IFERROR(INDEX(MAP!$F$7:$F$74,MATCH(TRIM(I731),MAP!$E$7:$E$74,0)),"UNMAPPED")</f>
        <v>Health care support services</v>
      </c>
      <c r="K731" s="1" t="str">
        <f aca="false">IFERROR(INDEX(MAP!$G$7:$G$74,MATCH(TRIM(I731),MAP!$E$7:$E$74,0)),"UNMAPPED")</f>
        <v>7e</v>
      </c>
      <c r="L731" s="49" t="str">
        <f aca="false">STACK!G731</f>
        <v>03/31/2026</v>
      </c>
      <c r="M731" s="59" t="n">
        <f aca="false">IF(G731&gt;0,IF(INDEX(CONFIRM!$G$5:$G$53,G731)&lt;&gt;"",INDEX(CONFIRM!$G$5:$G$53,G731),IF(ISNUMBER(L731),L731,IFERROR(DATEVALUE(L731),""))),IF(ISNUMBER(L731),L731,IFERROR(DATEVALUE(L731),"")))</f>
        <v>46112</v>
      </c>
      <c r="N731" s="1" t="str">
        <f aca="false">IF(M731="","Check",IF(AND(M731&gt;=INPUTS!$C$6,M731&lt;=INPUTS!$C$7),"Yes","No"))</f>
        <v>Yes</v>
      </c>
      <c r="O731" s="48" t="str">
        <f aca="false">STACK!H731</f>
        <v>Community Health Worker</v>
      </c>
      <c r="P731" s="1" t="str">
        <f aca="false">IF(G731&gt;0,IF(INDEX(CONFIRM!$H$5:$H$53,G731)&lt;&gt;"",INDEX(CONFIRM!$H$5:$H$53,G731),IFERROR(INDEX(MAP!$B$7:$B$156,MATCH(TRIM(O731),MAP!$A$7:$A$156,0)),"UNMAPPED")),IFERROR(INDEX(MAP!$B$7:$B$156,MATCH(TRIM(O731),MAP!$A$7:$A$156,0)),"UNMAPPED"))</f>
        <v>Community Health Worker</v>
      </c>
      <c r="Q731" s="48" t="n">
        <f aca="false">STACK!I731</f>
        <v>321</v>
      </c>
      <c r="R731" s="60" t="n">
        <f aca="false">IF(G731&gt;0,IF(INDEX(CONFIRM!$F$5:$F$53,G731)&lt;&gt;"",INDEX(CONFIRM!$F$5:$F$53,G731),IF(ISNUMBER(Q731),Q731,IF(Q731="","",IFERROR(VALUE(TRIM(SUBSTITUTE(SUBSTITUTE(LOWER(Q731),"hrs",""),"hr",""))),"")))),IF(ISNUMBER(Q731),Q731,IF(Q731="","",IFERROR(VALUE(TRIM(SUBSTITUTE(SUBSTITUTE(LOWER(Q731),"hrs",""),"hr",""))),""))))</f>
        <v>321</v>
      </c>
      <c r="S731" s="57" t="n">
        <f aca="false">IFERROR(INDEX(RATES!$E$6:$E$28,MATCH(P731,RATES!$A$6:$A$28,0)),0)</f>
        <v>27.6275</v>
      </c>
      <c r="T731" s="61" t="n">
        <f aca="false">IF(ISNUMBER(R731),R731,0)*S731</f>
        <v>8868.4275</v>
      </c>
      <c r="U731" s="61" t="n">
        <f aca="false">T731*INDEX(INPUTS!$H$10:$H$14,MATCH(B731,INPUTS!$A$10:$A$14,0))</f>
        <v>1436.685255</v>
      </c>
      <c r="V731" s="61" t="n">
        <f aca="false">N(STACK!K731)</f>
        <v>1615</v>
      </c>
      <c r="W731" s="61" t="n">
        <f aca="false">T731+U731+V731</f>
        <v>11920.112755</v>
      </c>
      <c r="X731" s="61" t="n">
        <f aca="false">N(STACK!L731)</f>
        <v>7500</v>
      </c>
      <c r="Y731" s="61" t="n">
        <f aca="false">W731-X731</f>
        <v>4420.112755</v>
      </c>
      <c r="Z731" s="1" t="n">
        <f aca="false">N(STACK!J731)</f>
        <v>468</v>
      </c>
      <c r="AA731" s="1" t="str">
        <f aca="false">TRIM(IF(D731="UNMAPPED","Program not mapped. ","")&amp;IF(OR(K731="UNMAPPED",K731="UNASSIGNED"),"Category needs review. ","")&amp;IF(P731="UNMAPPED","Title not mapped. ","")&amp;IF(AND(P731&lt;&gt;"No staff time",R731=""),"Missing hours. ","")&amp;IF(M731="","Date not readable. ","")&amp;IF(N731="No","Outside fiscal year. ","")&amp;IF(AND(F731="Event",ISNUMBER(R731)),IF(R731&gt;12,"Event hours look high. ",""),"")&amp;IF(G731&gt;0,"See CONFIRM sheet.",""))</f>
        <v/>
      </c>
      <c r="AB731" s="1" t="n">
        <f aca="false">IF(N731="No",0,IF(REVIEW!O731=0,0,IF(G731&gt;0,IF(INDEX(CONFIRM!$J$5:$J$53,G731)&lt;&gt;"",INDEX(CONFIRM!$J$5:$J$53,G731),1),1)))</f>
        <v>1</v>
      </c>
      <c r="AC731" s="1" t="n">
        <f aca="false">IF(AB731=1,IF(COUNTIFS($B$5:B731,B731,$D$5:D731,D731,$AB$5:AB731,1)=1,1,0),0)</f>
        <v>0</v>
      </c>
    </row>
    <row r="732" customFormat="false" ht="15" hidden="false" customHeight="false" outlineLevel="0" collapsed="false">
      <c r="A732" s="48" t="str">
        <f aca="false">STACK!A732</f>
        <v>ASH-0199</v>
      </c>
      <c r="B732" s="48" t="str">
        <f aca="false">STACK!B732</f>
        <v>ASH</v>
      </c>
      <c r="C732" s="48" t="str">
        <f aca="false">STACK!E732</f>
        <v>CHW Outreach</v>
      </c>
      <c r="D732" s="1" t="str">
        <f aca="false">IFERROR(INDEX(MAP!$J$7:$J$101,MATCH(TRIM(C732),MAP!$I$7:$I$101,0)),"UNMAPPED")</f>
        <v>Community Health Worker Outreach</v>
      </c>
      <c r="E732" s="1" t="str">
        <f aca="false">IFERROR(INDEX(MAP!$K$7:$K$101,MATCH(TRIM(C732),MAP!$I$7:$I$101,0)),"")</f>
        <v>Access to care</v>
      </c>
      <c r="F732" s="1" t="str">
        <f aca="false">IFERROR(INDEX(MAP!$L$7:$L$101,MATCH(TRIM(C732),MAP!$I$7:$I$101,0)),"")</f>
        <v>Monthly</v>
      </c>
      <c r="G732" s="1" t="n">
        <f aca="false">IFERROR(MATCH(A732,CONFIRM!$A$5:$A$53,0),0)</f>
        <v>5</v>
      </c>
      <c r="H732" s="48" t="str">
        <f aca="false">STACK!F732</f>
        <v>Support Svcs</v>
      </c>
      <c r="I732" s="1" t="str">
        <f aca="false">IF(G732&gt;0,IF(INDEX(CONFIRM!$I$5:$I$53,G732)&lt;&gt;"",INDEX(CONFIRM!$I$5:$I$53,G732),H732),H732)</f>
        <v>Support Svcs</v>
      </c>
      <c r="J732" s="1" t="str">
        <f aca="false">IFERROR(INDEX(MAP!$F$7:$F$74,MATCH(TRIM(I732),MAP!$E$7:$E$74,0)),"UNMAPPED")</f>
        <v>Health care support services</v>
      </c>
      <c r="K732" s="1" t="str">
        <f aca="false">IFERROR(INDEX(MAP!$G$7:$G$74,MATCH(TRIM(I732),MAP!$E$7:$E$74,0)),"UNMAPPED")</f>
        <v>7e</v>
      </c>
      <c r="L732" s="49" t="str">
        <f aca="false">STACK!G732</f>
        <v>03/31/2026</v>
      </c>
      <c r="M732" s="59" t="n">
        <f aca="false">IF(G732&gt;0,IF(INDEX(CONFIRM!$G$5:$G$53,G732)&lt;&gt;"",INDEX(CONFIRM!$G$5:$G$53,G732),IF(ISNUMBER(L732),L732,IFERROR(DATEVALUE(L732),""))),IF(ISNUMBER(L732),L732,IFERROR(DATEVALUE(L732),"")))</f>
        <v>46112</v>
      </c>
      <c r="N732" s="1" t="str">
        <f aca="false">IF(M732="","Check",IF(AND(M732&gt;=INPUTS!$C$6,M732&lt;=INPUTS!$C$7),"Yes","No"))</f>
        <v>Yes</v>
      </c>
      <c r="O732" s="48" t="str">
        <f aca="false">STACK!H732</f>
        <v>Care Navigator</v>
      </c>
      <c r="P732" s="1" t="str">
        <f aca="false">IF(G732&gt;0,IF(INDEX(CONFIRM!$H$5:$H$53,G732)&lt;&gt;"",INDEX(CONFIRM!$H$5:$H$53,G732),IFERROR(INDEX(MAP!$B$7:$B$156,MATCH(TRIM(O732),MAP!$A$7:$A$156,0)),"UNMAPPED")),IFERROR(INDEX(MAP!$B$7:$B$156,MATCH(TRIM(O732),MAP!$A$7:$A$156,0)),"UNMAPPED"))</f>
        <v>Patient Navigator</v>
      </c>
      <c r="Q732" s="48" t="str">
        <f aca="false">STACK!I732</f>
        <v/>
      </c>
      <c r="R732" s="60" t="n">
        <f aca="false">IF(G732&gt;0,IF(INDEX(CONFIRM!$F$5:$F$53,G732)&lt;&gt;"",INDEX(CONFIRM!$F$5:$F$53,G732),IF(ISNUMBER(Q732),Q732,IF(Q732="","",IFERROR(VALUE(TRIM(SUBSTITUTE(SUBSTITUTE(LOWER(Q732),"hrs",""),"hr",""))),"")))),IF(ISNUMBER(Q732),Q732,IF(Q732="","",IFERROR(VALUE(TRIM(SUBSTITUTE(SUBSTITUTE(LOWER(Q732),"hrs",""),"hr",""))),""))))</f>
        <v>137.5</v>
      </c>
      <c r="S732" s="57" t="n">
        <f aca="false">IFERROR(INDEX(RATES!$E$6:$E$28,MATCH(P732,RATES!$A$6:$A$28,0)),0)</f>
        <v>30.84</v>
      </c>
      <c r="T732" s="61" t="n">
        <f aca="false">IF(ISNUMBER(R732),R732,0)*S732</f>
        <v>4240.5</v>
      </c>
      <c r="U732" s="61" t="n">
        <f aca="false">T732*INDEX(INPUTS!$H$10:$H$14,MATCH(B732,INPUTS!$A$10:$A$14,0))</f>
        <v>686.961</v>
      </c>
      <c r="V732" s="61" t="n">
        <f aca="false">N(STACK!K732)</f>
        <v>0</v>
      </c>
      <c r="W732" s="61" t="n">
        <f aca="false">T732+U732+V732</f>
        <v>4927.461</v>
      </c>
      <c r="X732" s="61" t="n">
        <f aca="false">N(STACK!L732)</f>
        <v>0</v>
      </c>
      <c r="Y732" s="61" t="n">
        <f aca="false">W732-X732</f>
        <v>4927.461</v>
      </c>
      <c r="Z732" s="1" t="n">
        <f aca="false">N(STACK!J732)</f>
        <v>0</v>
      </c>
      <c r="AA732" s="1" t="str">
        <f aca="false">TRIM(IF(D732="UNMAPPED","Program not mapped. ","")&amp;IF(OR(K732="UNMAPPED",K732="UNASSIGNED"),"Category needs review. ","")&amp;IF(P732="UNMAPPED","Title not mapped. ","")&amp;IF(AND(P732&lt;&gt;"No staff time",R732=""),"Missing hours. ","")&amp;IF(M732="","Date not readable. ","")&amp;IF(N732="No","Outside fiscal year. ","")&amp;IF(AND(F732="Event",ISNUMBER(R732)),IF(R732&gt;12,"Event hours look high. ",""),"")&amp;IF(G732&gt;0,"See CONFIRM sheet.",""))</f>
        <v>See CONFIRM sheet.</v>
      </c>
      <c r="AB732" s="1" t="n">
        <f aca="false">IF(N732="No",0,IF(REVIEW!O732=0,0,IF(G732&gt;0,IF(INDEX(CONFIRM!$J$5:$J$53,G732)&lt;&gt;"",INDEX(CONFIRM!$J$5:$J$53,G732),1),1)))</f>
        <v>1</v>
      </c>
      <c r="AC732" s="1" t="n">
        <f aca="false">IF(AB732=1,IF(COUNTIFS($B$5:B732,B732,$D$5:D732,D732,$AB$5:AB732,1)=1,1,0),0)</f>
        <v>0</v>
      </c>
    </row>
    <row r="733" customFormat="false" ht="15" hidden="false" customHeight="false" outlineLevel="0" collapsed="false">
      <c r="A733" s="48" t="str">
        <f aca="false">STACK!A733</f>
        <v>ASH-0200</v>
      </c>
      <c r="B733" s="48" t="str">
        <f aca="false">STACK!B733</f>
        <v>ASH</v>
      </c>
      <c r="C733" s="48" t="str">
        <f aca="false">STACK!E733</f>
        <v>Produce Rx</v>
      </c>
      <c r="D733" s="1" t="str">
        <f aca="false">IFERROR(INDEX(MAP!$J$7:$J$101,MATCH(TRIM(C733),MAP!$I$7:$I$101,0)),"UNMAPPED")</f>
        <v>Produce Prescription Program</v>
      </c>
      <c r="E733" s="1" t="str">
        <f aca="false">IFERROR(INDEX(MAP!$K$7:$K$101,MATCH(TRIM(C733),MAP!$I$7:$I$101,0)),"")</f>
        <v>Food and housing security</v>
      </c>
      <c r="F733" s="1" t="str">
        <f aca="false">IFERROR(INDEX(MAP!$L$7:$L$101,MATCH(TRIM(C733),MAP!$I$7:$I$101,0)),"")</f>
        <v>Monthly</v>
      </c>
      <c r="G733" s="1" t="n">
        <f aca="false">IFERROR(MATCH(A733,CONFIRM!$A$5:$A$53,0),0)</f>
        <v>0</v>
      </c>
      <c r="H733" s="48" t="str">
        <f aca="false">STACK!F733</f>
        <v>Support Svcs</v>
      </c>
      <c r="I733" s="1" t="str">
        <f aca="false">IF(G733&gt;0,IF(INDEX(CONFIRM!$I$5:$I$53,G733)&lt;&gt;"",INDEX(CONFIRM!$I$5:$I$53,G733),H733),H733)</f>
        <v>Support Svcs</v>
      </c>
      <c r="J733" s="1" t="str">
        <f aca="false">IFERROR(INDEX(MAP!$F$7:$F$74,MATCH(TRIM(I733),MAP!$E$7:$E$74,0)),"UNMAPPED")</f>
        <v>Health care support services</v>
      </c>
      <c r="K733" s="1" t="str">
        <f aca="false">IFERROR(INDEX(MAP!$G$7:$G$74,MATCH(TRIM(I733),MAP!$E$7:$E$74,0)),"UNMAPPED")</f>
        <v>7e</v>
      </c>
      <c r="L733" s="49" t="str">
        <f aca="false">STACK!G733</f>
        <v>03/31/2026</v>
      </c>
      <c r="M733" s="59" t="n">
        <f aca="false">IF(G733&gt;0,IF(INDEX(CONFIRM!$G$5:$G$53,G733)&lt;&gt;"",INDEX(CONFIRM!$G$5:$G$53,G733),IF(ISNUMBER(L733),L733,IFERROR(DATEVALUE(L733),""))),IF(ISNUMBER(L733),L733,IFERROR(DATEVALUE(L733),"")))</f>
        <v>46112</v>
      </c>
      <c r="N733" s="1" t="str">
        <f aca="false">IF(M733="","Check",IF(AND(M733&gt;=INPUTS!$C$6,M733&lt;=INPUTS!$C$7),"Yes","No"))</f>
        <v>Yes</v>
      </c>
      <c r="O733" s="48" t="str">
        <f aca="false">STACK!H733</f>
        <v>C.H.W.</v>
      </c>
      <c r="P733" s="1" t="str">
        <f aca="false">IF(G733&gt;0,IF(INDEX(CONFIRM!$H$5:$H$53,G733)&lt;&gt;"",INDEX(CONFIRM!$H$5:$H$53,G733),IFERROR(INDEX(MAP!$B$7:$B$156,MATCH(TRIM(O733),MAP!$A$7:$A$156,0)),"UNMAPPED")),IFERROR(INDEX(MAP!$B$7:$B$156,MATCH(TRIM(O733),MAP!$A$7:$A$156,0)),"UNMAPPED"))</f>
        <v>Community Health Worker</v>
      </c>
      <c r="Q733" s="48" t="n">
        <f aca="false">STACK!I733</f>
        <v>42.5</v>
      </c>
      <c r="R733" s="60" t="n">
        <f aca="false">IF(G733&gt;0,IF(INDEX(CONFIRM!$F$5:$F$53,G733)&lt;&gt;"",INDEX(CONFIRM!$F$5:$F$53,G733),IF(ISNUMBER(Q733),Q733,IF(Q733="","",IFERROR(VALUE(TRIM(SUBSTITUTE(SUBSTITUTE(LOWER(Q733),"hrs",""),"hr",""))),"")))),IF(ISNUMBER(Q733),Q733,IF(Q733="","",IFERROR(VALUE(TRIM(SUBSTITUTE(SUBSTITUTE(LOWER(Q733),"hrs",""),"hr",""))),""))))</f>
        <v>42.5</v>
      </c>
      <c r="S733" s="57" t="n">
        <f aca="false">IFERROR(INDEX(RATES!$E$6:$E$28,MATCH(P733,RATES!$A$6:$A$28,0)),0)</f>
        <v>27.6275</v>
      </c>
      <c r="T733" s="61" t="n">
        <f aca="false">IF(ISNUMBER(R733),R733,0)*S733</f>
        <v>1174.16875</v>
      </c>
      <c r="U733" s="61" t="n">
        <f aca="false">T733*INDEX(INPUTS!$H$10:$H$14,MATCH(B733,INPUTS!$A$10:$A$14,0))</f>
        <v>190.2153375</v>
      </c>
      <c r="V733" s="61" t="n">
        <f aca="false">N(STACK!K733)</f>
        <v>0</v>
      </c>
      <c r="W733" s="61" t="n">
        <f aca="false">T733+U733+V733</f>
        <v>1364.3840875</v>
      </c>
      <c r="X733" s="61" t="n">
        <f aca="false">N(STACK!L733)</f>
        <v>0</v>
      </c>
      <c r="Y733" s="61" t="n">
        <f aca="false">W733-X733</f>
        <v>1364.3840875</v>
      </c>
      <c r="Z733" s="1" t="n">
        <f aca="false">N(STACK!J733)</f>
        <v>0</v>
      </c>
      <c r="AA733" s="1" t="str">
        <f aca="false">TRIM(IF(D733="UNMAPPED","Program not mapped. ","")&amp;IF(OR(K733="UNMAPPED",K733="UNASSIGNED"),"Category needs review. ","")&amp;IF(P733="UNMAPPED","Title not mapped. ","")&amp;IF(AND(P733&lt;&gt;"No staff time",R733=""),"Missing hours. ","")&amp;IF(M733="","Date not readable. ","")&amp;IF(N733="No","Outside fiscal year. ","")&amp;IF(AND(F733="Event",ISNUMBER(R733)),IF(R733&gt;12,"Event hours look high. ",""),"")&amp;IF(G733&gt;0,"See CONFIRM sheet.",""))</f>
        <v/>
      </c>
      <c r="AB733" s="1" t="n">
        <f aca="false">IF(N733="No",0,IF(REVIEW!O733=0,0,IF(G733&gt;0,IF(INDEX(CONFIRM!$J$5:$J$53,G733)&lt;&gt;"",INDEX(CONFIRM!$J$5:$J$53,G733),1),1)))</f>
        <v>1</v>
      </c>
      <c r="AC733" s="1" t="n">
        <f aca="false">IF(AB733=1,IF(COUNTIFS($B$5:B733,B733,$D$5:D733,D733,$AB$5:AB733,1)=1,1,0),0)</f>
        <v>0</v>
      </c>
    </row>
    <row r="734" customFormat="false" ht="15" hidden="false" customHeight="false" outlineLevel="0" collapsed="false">
      <c r="A734" s="48" t="str">
        <f aca="false">STACK!A734</f>
        <v>ASH-0201</v>
      </c>
      <c r="B734" s="48" t="str">
        <f aca="false">STACK!B734</f>
        <v>ASH</v>
      </c>
      <c r="C734" s="48" t="str">
        <f aca="false">STACK!E734</f>
        <v>Produce Rx</v>
      </c>
      <c r="D734" s="1" t="str">
        <f aca="false">IFERROR(INDEX(MAP!$J$7:$J$101,MATCH(TRIM(C734),MAP!$I$7:$I$101,0)),"UNMAPPED")</f>
        <v>Produce Prescription Program</v>
      </c>
      <c r="E734" s="1" t="str">
        <f aca="false">IFERROR(INDEX(MAP!$K$7:$K$101,MATCH(TRIM(C734),MAP!$I$7:$I$101,0)),"")</f>
        <v>Food and housing security</v>
      </c>
      <c r="F734" s="1" t="str">
        <f aca="false">IFERROR(INDEX(MAP!$L$7:$L$101,MATCH(TRIM(C734),MAP!$I$7:$I$101,0)),"")</f>
        <v>Monthly</v>
      </c>
      <c r="G734" s="1" t="n">
        <f aca="false">IFERROR(MATCH(A734,CONFIRM!$A$5:$A$53,0),0)</f>
        <v>0</v>
      </c>
      <c r="H734" s="48" t="str">
        <f aca="false">STACK!F734</f>
        <v>Support Svcs</v>
      </c>
      <c r="I734" s="1" t="str">
        <f aca="false">IF(G734&gt;0,IF(INDEX(CONFIRM!$I$5:$I$53,G734)&lt;&gt;"",INDEX(CONFIRM!$I$5:$I$53,G734),H734),H734)</f>
        <v>Support Svcs</v>
      </c>
      <c r="J734" s="1" t="str">
        <f aca="false">IFERROR(INDEX(MAP!$F$7:$F$74,MATCH(TRIM(I734),MAP!$E$7:$E$74,0)),"UNMAPPED")</f>
        <v>Health care support services</v>
      </c>
      <c r="K734" s="1" t="str">
        <f aca="false">IFERROR(INDEX(MAP!$G$7:$G$74,MATCH(TRIM(I734),MAP!$E$7:$E$74,0)),"UNMAPPED")</f>
        <v>7e</v>
      </c>
      <c r="L734" s="49" t="str">
        <f aca="false">STACK!G734</f>
        <v>03/31/2026</v>
      </c>
      <c r="M734" s="59" t="n">
        <f aca="false">IF(G734&gt;0,IF(INDEX(CONFIRM!$G$5:$G$53,G734)&lt;&gt;"",INDEX(CONFIRM!$G$5:$G$53,G734),IF(ISNUMBER(L734),L734,IFERROR(DATEVALUE(L734),""))),IF(ISNUMBER(L734),L734,IFERROR(DATEVALUE(L734),"")))</f>
        <v>46112</v>
      </c>
      <c r="N734" s="1" t="str">
        <f aca="false">IF(M734="","Check",IF(AND(M734&gt;=INPUTS!$C$6,M734&lt;=INPUTS!$C$7),"Yes","No"))</f>
        <v>Yes</v>
      </c>
      <c r="O734" s="48" t="str">
        <f aca="false">STACK!H734</f>
        <v>RD</v>
      </c>
      <c r="P734" s="1" t="str">
        <f aca="false">IF(G734&gt;0,IF(INDEX(CONFIRM!$H$5:$H$53,G734)&lt;&gt;"",INDEX(CONFIRM!$H$5:$H$53,G734),IFERROR(INDEX(MAP!$B$7:$B$156,MATCH(TRIM(O734),MAP!$A$7:$A$156,0)),"UNMAPPED")),IFERROR(INDEX(MAP!$B$7:$B$156,MATCH(TRIM(O734),MAP!$A$7:$A$156,0)),"UNMAPPED"))</f>
        <v>Registered Dietitian</v>
      </c>
      <c r="Q734" s="48" t="n">
        <f aca="false">STACK!I734</f>
        <v>21.75</v>
      </c>
      <c r="R734" s="60" t="n">
        <f aca="false">IF(G734&gt;0,IF(INDEX(CONFIRM!$F$5:$F$53,G734)&lt;&gt;"",INDEX(CONFIRM!$F$5:$F$53,G734),IF(ISNUMBER(Q734),Q734,IF(Q734="","",IFERROR(VALUE(TRIM(SUBSTITUTE(SUBSTITUTE(LOWER(Q734),"hrs",""),"hr",""))),"")))),IF(ISNUMBER(Q734),Q734,IF(Q734="","",IFERROR(VALUE(TRIM(SUBSTITUTE(SUBSTITUTE(LOWER(Q734),"hrs",""),"hr",""))),""))))</f>
        <v>21.75</v>
      </c>
      <c r="S734" s="57" t="n">
        <f aca="false">IFERROR(INDEX(RATES!$E$6:$E$28,MATCH(P734,RATES!$A$6:$A$28,0)),0)</f>
        <v>46.9025</v>
      </c>
      <c r="T734" s="61" t="n">
        <f aca="false">IF(ISNUMBER(R734),R734,0)*S734</f>
        <v>1020.129375</v>
      </c>
      <c r="U734" s="61" t="n">
        <f aca="false">T734*INDEX(INPUTS!$H$10:$H$14,MATCH(B734,INPUTS!$A$10:$A$14,0))</f>
        <v>165.26095875</v>
      </c>
      <c r="V734" s="61" t="n">
        <f aca="false">N(STACK!K734)</f>
        <v>12935</v>
      </c>
      <c r="W734" s="61" t="n">
        <f aca="false">T734+U734+V734</f>
        <v>14120.39033375</v>
      </c>
      <c r="X734" s="61" t="n">
        <f aca="false">N(STACK!L734)</f>
        <v>6760</v>
      </c>
      <c r="Y734" s="61" t="n">
        <f aca="false">W734-X734</f>
        <v>7360.39033375</v>
      </c>
      <c r="Z734" s="1" t="n">
        <f aca="false">N(STACK!J734)</f>
        <v>185</v>
      </c>
      <c r="AA734" s="1" t="str">
        <f aca="false">TRIM(IF(D734="UNMAPPED","Program not mapped. ","")&amp;IF(OR(K734="UNMAPPED",K734="UNASSIGNED"),"Category needs review. ","")&amp;IF(P734="UNMAPPED","Title not mapped. ","")&amp;IF(AND(P734&lt;&gt;"No staff time",R734=""),"Missing hours. ","")&amp;IF(M734="","Date not readable. ","")&amp;IF(N734="No","Outside fiscal year. ","")&amp;IF(AND(F734="Event",ISNUMBER(R734)),IF(R734&gt;12,"Event hours look high. ",""),"")&amp;IF(G734&gt;0,"See CONFIRM sheet.",""))</f>
        <v/>
      </c>
      <c r="AB734" s="1" t="n">
        <f aca="false">IF(N734="No",0,IF(REVIEW!O734=0,0,IF(G734&gt;0,IF(INDEX(CONFIRM!$J$5:$J$53,G734)&lt;&gt;"",INDEX(CONFIRM!$J$5:$J$53,G734),1),1)))</f>
        <v>1</v>
      </c>
      <c r="AC734" s="1" t="n">
        <f aca="false">IF(AB734=1,IF(COUNTIFS($B$5:B734,B734,$D$5:D734,D734,$AB$5:AB734,1)=1,1,0),0)</f>
        <v>0</v>
      </c>
    </row>
    <row r="735" customFormat="false" ht="15" hidden="false" customHeight="false" outlineLevel="0" collapsed="false">
      <c r="A735" s="48" t="str">
        <f aca="false">STACK!A735</f>
        <v>ASH-0202</v>
      </c>
      <c r="B735" s="48" t="str">
        <f aca="false">STACK!B735</f>
        <v>ASH</v>
      </c>
      <c r="C735" s="48" t="str">
        <f aca="false">STACK!E735</f>
        <v>CHNA (system)</v>
      </c>
      <c r="D735" s="1" t="str">
        <f aca="false">IFERROR(INDEX(MAP!$J$7:$J$101,MATCH(TRIM(C735),MAP!$I$7:$I$101,0)),"UNMAPPED")</f>
        <v>Community Health Needs Assessment</v>
      </c>
      <c r="E735" s="1" t="str">
        <f aca="false">IFERROR(INDEX(MAP!$K$7:$K$101,MATCH(TRIM(C735),MAP!$I$7:$I$101,0)),"")</f>
        <v>Community benefit infrastructure</v>
      </c>
      <c r="F735" s="1" t="str">
        <f aca="false">IFERROR(INDEX(MAP!$L$7:$L$101,MATCH(TRIM(C735),MAP!$I$7:$I$101,0)),"")</f>
        <v>Monthly</v>
      </c>
      <c r="G735" s="1" t="n">
        <f aca="false">IFERROR(MATCH(A735,CONFIRM!$A$5:$A$53,0),0)</f>
        <v>0</v>
      </c>
      <c r="H735" s="48" t="str">
        <f aca="false">STACK!F735</f>
        <v>CB Admin</v>
      </c>
      <c r="I735" s="1" t="str">
        <f aca="false">IF(G735&gt;0,IF(INDEX(CONFIRM!$I$5:$I$53,G735)&lt;&gt;"",INDEX(CONFIRM!$I$5:$I$53,G735),H735),H735)</f>
        <v>CB Admin</v>
      </c>
      <c r="J735" s="1" t="str">
        <f aca="false">IFERROR(INDEX(MAP!$F$7:$F$74,MATCH(TRIM(I735),MAP!$E$7:$E$74,0)),"UNMAPPED")</f>
        <v>Community benefit operations</v>
      </c>
      <c r="K735" s="1" t="str">
        <f aca="false">IFERROR(INDEX(MAP!$G$7:$G$74,MATCH(TRIM(I735),MAP!$E$7:$E$74,0)),"UNMAPPED")</f>
        <v>7e</v>
      </c>
      <c r="L735" s="49" t="str">
        <f aca="false">STACK!G735</f>
        <v>03/31/2026</v>
      </c>
      <c r="M735" s="59" t="n">
        <f aca="false">IF(G735&gt;0,IF(INDEX(CONFIRM!$G$5:$G$53,G735)&lt;&gt;"",INDEX(CONFIRM!$G$5:$G$53,G735),IF(ISNUMBER(L735),L735,IFERROR(DATEVALUE(L735),""))),IF(ISNUMBER(L735),L735,IFERROR(DATEVALUE(L735),"")))</f>
        <v>46112</v>
      </c>
      <c r="N735" s="1" t="str">
        <f aca="false">IF(M735="","Check",IF(AND(M735&gt;=INPUTS!$C$6,M735&lt;=INPUTS!$C$7),"Yes","No"))</f>
        <v>Yes</v>
      </c>
      <c r="O735" s="48" t="str">
        <f aca="false">STACK!H735</f>
        <v>Community Health Manager</v>
      </c>
      <c r="P735" s="1" t="str">
        <f aca="false">IF(G735&gt;0,IF(INDEX(CONFIRM!$H$5:$H$53,G735)&lt;&gt;"",INDEX(CONFIRM!$H$5:$H$53,G735),IFERROR(INDEX(MAP!$B$7:$B$156,MATCH(TRIM(O735),MAP!$A$7:$A$156,0)),"UNMAPPED")),IFERROR(INDEX(MAP!$B$7:$B$156,MATCH(TRIM(O735),MAP!$A$7:$A$156,0)),"UNMAPPED"))</f>
        <v>Community Benefit Manager</v>
      </c>
      <c r="Q735" s="48" t="n">
        <f aca="false">STACK!I735</f>
        <v>90.75</v>
      </c>
      <c r="R735" s="60" t="n">
        <f aca="false">IF(G735&gt;0,IF(INDEX(CONFIRM!$F$5:$F$53,G735)&lt;&gt;"",INDEX(CONFIRM!$F$5:$F$53,G735),IF(ISNUMBER(Q735),Q735,IF(Q735="","",IFERROR(VALUE(TRIM(SUBSTITUTE(SUBSTITUTE(LOWER(Q735),"hrs",""),"hr",""))),"")))),IF(ISNUMBER(Q735),Q735,IF(Q735="","",IFERROR(VALUE(TRIM(SUBSTITUTE(SUBSTITUTE(LOWER(Q735),"hrs",""),"hr",""))),""))))</f>
        <v>90.75</v>
      </c>
      <c r="S735" s="57" t="n">
        <f aca="false">IFERROR(INDEX(RATES!$E$6:$E$28,MATCH(P735,RATES!$A$6:$A$28,0)),0)</f>
        <v>59.11</v>
      </c>
      <c r="T735" s="61" t="n">
        <f aca="false">IF(ISNUMBER(R735),R735,0)*S735</f>
        <v>5364.2325</v>
      </c>
      <c r="U735" s="61" t="n">
        <f aca="false">T735*INDEX(INPUTS!$H$10:$H$14,MATCH(B735,INPUTS!$A$10:$A$14,0))</f>
        <v>869.005665</v>
      </c>
      <c r="V735" s="61" t="n">
        <f aca="false">N(STACK!K735)</f>
        <v>10320</v>
      </c>
      <c r="W735" s="61" t="n">
        <f aca="false">T735+U735+V735</f>
        <v>16553.238165</v>
      </c>
      <c r="X735" s="61" t="n">
        <f aca="false">N(STACK!L735)</f>
        <v>0</v>
      </c>
      <c r="Y735" s="61" t="n">
        <f aca="false">W735-X735</f>
        <v>16553.238165</v>
      </c>
      <c r="Z735" s="1" t="n">
        <f aca="false">N(STACK!J735)</f>
        <v>0</v>
      </c>
      <c r="AA735" s="1" t="str">
        <f aca="false">TRIM(IF(D735="UNMAPPED","Program not mapped. ","")&amp;IF(OR(K735="UNMAPPED",K735="UNASSIGNED"),"Category needs review. ","")&amp;IF(P735="UNMAPPED","Title not mapped. ","")&amp;IF(AND(P735&lt;&gt;"No staff time",R735=""),"Missing hours. ","")&amp;IF(M735="","Date not readable. ","")&amp;IF(N735="No","Outside fiscal year. ","")&amp;IF(AND(F735="Event",ISNUMBER(R735)),IF(R735&gt;12,"Event hours look high. ",""),"")&amp;IF(G735&gt;0,"See CONFIRM sheet.",""))</f>
        <v/>
      </c>
      <c r="AB735" s="1" t="n">
        <f aca="false">IF(N735="No",0,IF(REVIEW!O735=0,0,IF(G735&gt;0,IF(INDEX(CONFIRM!$J$5:$J$53,G735)&lt;&gt;"",INDEX(CONFIRM!$J$5:$J$53,G735),1),1)))</f>
        <v>0</v>
      </c>
      <c r="AC735" s="1" t="n">
        <f aca="false">IF(AB735=1,IF(COUNTIFS($B$5:B735,B735,$D$5:D735,D735,$AB$5:AB735,1)=1,1,0),0)</f>
        <v>0</v>
      </c>
    </row>
    <row r="736" customFormat="false" ht="15" hidden="false" customHeight="false" outlineLevel="0" collapsed="false">
      <c r="A736" s="48" t="str">
        <f aca="false">STACK!A736</f>
        <v>ASH-0203</v>
      </c>
      <c r="B736" s="48" t="str">
        <f aca="false">STACK!B736</f>
        <v>ASH</v>
      </c>
      <c r="C736" s="48" t="str">
        <f aca="false">STACK!E736</f>
        <v>CHNA (system)</v>
      </c>
      <c r="D736" s="1" t="str">
        <f aca="false">IFERROR(INDEX(MAP!$J$7:$J$101,MATCH(TRIM(C736),MAP!$I$7:$I$101,0)),"UNMAPPED")</f>
        <v>Community Health Needs Assessment</v>
      </c>
      <c r="E736" s="1" t="str">
        <f aca="false">IFERROR(INDEX(MAP!$K$7:$K$101,MATCH(TRIM(C736),MAP!$I$7:$I$101,0)),"")</f>
        <v>Community benefit infrastructure</v>
      </c>
      <c r="F736" s="1" t="str">
        <f aca="false">IFERROR(INDEX(MAP!$L$7:$L$101,MATCH(TRIM(C736),MAP!$I$7:$I$101,0)),"")</f>
        <v>Monthly</v>
      </c>
      <c r="G736" s="1" t="n">
        <f aca="false">IFERROR(MATCH(A736,CONFIRM!$A$5:$A$53,0),0)</f>
        <v>0</v>
      </c>
      <c r="H736" s="48" t="str">
        <f aca="false">STACK!F736</f>
        <v>CB Admin</v>
      </c>
      <c r="I736" s="1" t="str">
        <f aca="false">IF(G736&gt;0,IF(INDEX(CONFIRM!$I$5:$I$53,G736)&lt;&gt;"",INDEX(CONFIRM!$I$5:$I$53,G736),H736),H736)</f>
        <v>CB Admin</v>
      </c>
      <c r="J736" s="1" t="str">
        <f aca="false">IFERROR(INDEX(MAP!$F$7:$F$74,MATCH(TRIM(I736),MAP!$E$7:$E$74,0)),"UNMAPPED")</f>
        <v>Community benefit operations</v>
      </c>
      <c r="K736" s="1" t="str">
        <f aca="false">IFERROR(INDEX(MAP!$G$7:$G$74,MATCH(TRIM(I736),MAP!$E$7:$E$74,0)),"UNMAPPED")</f>
        <v>7e</v>
      </c>
      <c r="L736" s="49" t="str">
        <f aca="false">STACK!G736</f>
        <v>03/31/2026</v>
      </c>
      <c r="M736" s="59" t="n">
        <f aca="false">IF(G736&gt;0,IF(INDEX(CONFIRM!$G$5:$G$53,G736)&lt;&gt;"",INDEX(CONFIRM!$G$5:$G$53,G736),IF(ISNUMBER(L736),L736,IFERROR(DATEVALUE(L736),""))),IF(ISNUMBER(L736),L736,IFERROR(DATEVALUE(L736),"")))</f>
        <v>46112</v>
      </c>
      <c r="N736" s="1" t="str">
        <f aca="false">IF(M736="","Check",IF(AND(M736&gt;=INPUTS!$C$6,M736&lt;=INPUTS!$C$7),"Yes","No"))</f>
        <v>Yes</v>
      </c>
      <c r="O736" s="48" t="str">
        <f aca="false">STACK!H736</f>
        <v>Analyst</v>
      </c>
      <c r="P736" s="1" t="str">
        <f aca="false">IF(G736&gt;0,IF(INDEX(CONFIRM!$H$5:$H$53,G736)&lt;&gt;"",INDEX(CONFIRM!$H$5:$H$53,G736),IFERROR(INDEX(MAP!$B$7:$B$156,MATCH(TRIM(O736),MAP!$A$7:$A$156,0)),"UNMAPPED")),IFERROR(INDEX(MAP!$B$7:$B$156,MATCH(TRIM(O736),MAP!$A$7:$A$156,0)),"UNMAPPED"))</f>
        <v>Data Analyst</v>
      </c>
      <c r="Q736" s="48" t="n">
        <f aca="false">STACK!I736</f>
        <v>99.25</v>
      </c>
      <c r="R736" s="60" t="n">
        <f aca="false">IF(G736&gt;0,IF(INDEX(CONFIRM!$F$5:$F$53,G736)&lt;&gt;"",INDEX(CONFIRM!$F$5:$F$53,G736),IF(ISNUMBER(Q736),Q736,IF(Q736="","",IFERROR(VALUE(TRIM(SUBSTITUTE(SUBSTITUTE(LOWER(Q736),"hrs",""),"hr",""))),"")))),IF(ISNUMBER(Q736),Q736,IF(Q736="","",IFERROR(VALUE(TRIM(SUBSTITUTE(SUBSTITUTE(LOWER(Q736),"hrs",""),"hr",""))),""))))</f>
        <v>99.25</v>
      </c>
      <c r="S736" s="57" t="n">
        <f aca="false">IFERROR(INDEX(RATES!$E$6:$E$28,MATCH(P736,RATES!$A$6:$A$28,0)),0)</f>
        <v>48.83</v>
      </c>
      <c r="T736" s="61" t="n">
        <f aca="false">IF(ISNUMBER(R736),R736,0)*S736</f>
        <v>4846.3775</v>
      </c>
      <c r="U736" s="61" t="n">
        <f aca="false">T736*INDEX(INPUTS!$H$10:$H$14,MATCH(B736,INPUTS!$A$10:$A$14,0))</f>
        <v>785.113155</v>
      </c>
      <c r="V736" s="61" t="n">
        <f aca="false">N(STACK!K736)</f>
        <v>0</v>
      </c>
      <c r="W736" s="61" t="n">
        <f aca="false">T736+U736+V736</f>
        <v>5631.490655</v>
      </c>
      <c r="X736" s="61" t="n">
        <f aca="false">N(STACK!L736)</f>
        <v>0</v>
      </c>
      <c r="Y736" s="61" t="n">
        <f aca="false">W736-X736</f>
        <v>5631.490655</v>
      </c>
      <c r="Z736" s="1" t="n">
        <f aca="false">N(STACK!J736)</f>
        <v>0</v>
      </c>
      <c r="AA736" s="1" t="str">
        <f aca="false">TRIM(IF(D736="UNMAPPED","Program not mapped. ","")&amp;IF(OR(K736="UNMAPPED",K736="UNASSIGNED"),"Category needs review. ","")&amp;IF(P736="UNMAPPED","Title not mapped. ","")&amp;IF(AND(P736&lt;&gt;"No staff time",R736=""),"Missing hours. ","")&amp;IF(M736="","Date not readable. ","")&amp;IF(N736="No","Outside fiscal year. ","")&amp;IF(AND(F736="Event",ISNUMBER(R736)),IF(R736&gt;12,"Event hours look high. ",""),"")&amp;IF(G736&gt;0,"See CONFIRM sheet.",""))</f>
        <v/>
      </c>
      <c r="AB736" s="1" t="n">
        <f aca="false">IF(N736="No",0,IF(REVIEW!O736=0,0,IF(G736&gt;0,IF(INDEX(CONFIRM!$J$5:$J$53,G736)&lt;&gt;"",INDEX(CONFIRM!$J$5:$J$53,G736),1),1)))</f>
        <v>0</v>
      </c>
      <c r="AC736" s="1" t="n">
        <f aca="false">IF(AB736=1,IF(COUNTIFS($B$5:B736,B736,$D$5:D736,D736,$AB$5:AB736,1)=1,1,0),0)</f>
        <v>0</v>
      </c>
    </row>
    <row r="737" customFormat="false" ht="15" hidden="false" customHeight="false" outlineLevel="0" collapsed="false">
      <c r="A737" s="48" t="str">
        <f aca="false">STACK!A737</f>
        <v>ASH-0204</v>
      </c>
      <c r="B737" s="48" t="str">
        <f aca="false">STACK!B737</f>
        <v>ASH</v>
      </c>
      <c r="C737" s="48" t="str">
        <f aca="false">STACK!E737</f>
        <v>CB Program Admin</v>
      </c>
      <c r="D737" s="1" t="str">
        <f aca="false">IFERROR(INDEX(MAP!$J$7:$J$101,MATCH(TRIM(C737),MAP!$I$7:$I$101,0)),"UNMAPPED")</f>
        <v>Community Benefit Program Administration</v>
      </c>
      <c r="E737" s="1" t="str">
        <f aca="false">IFERROR(INDEX(MAP!$K$7:$K$101,MATCH(TRIM(C737),MAP!$I$7:$I$101,0)),"")</f>
        <v>Community benefit infrastructure</v>
      </c>
      <c r="F737" s="1" t="str">
        <f aca="false">IFERROR(INDEX(MAP!$L$7:$L$101,MATCH(TRIM(C737),MAP!$I$7:$I$101,0)),"")</f>
        <v>Monthly</v>
      </c>
      <c r="G737" s="1" t="n">
        <f aca="false">IFERROR(MATCH(A737,CONFIRM!$A$5:$A$53,0),0)</f>
        <v>0</v>
      </c>
      <c r="H737" s="48" t="str">
        <f aca="false">STACK!F737</f>
        <v>CB Admin</v>
      </c>
      <c r="I737" s="1" t="str">
        <f aca="false">IF(G737&gt;0,IF(INDEX(CONFIRM!$I$5:$I$53,G737)&lt;&gt;"",INDEX(CONFIRM!$I$5:$I$53,G737),H737),H737)</f>
        <v>CB Admin</v>
      </c>
      <c r="J737" s="1" t="str">
        <f aca="false">IFERROR(INDEX(MAP!$F$7:$F$74,MATCH(TRIM(I737),MAP!$E$7:$E$74,0)),"UNMAPPED")</f>
        <v>Community benefit operations</v>
      </c>
      <c r="K737" s="1" t="str">
        <f aca="false">IFERROR(INDEX(MAP!$G$7:$G$74,MATCH(TRIM(I737),MAP!$E$7:$E$74,0)),"UNMAPPED")</f>
        <v>7e</v>
      </c>
      <c r="L737" s="49" t="str">
        <f aca="false">STACK!G737</f>
        <v>03/31/2026</v>
      </c>
      <c r="M737" s="59" t="n">
        <f aca="false">IF(G737&gt;0,IF(INDEX(CONFIRM!$G$5:$G$53,G737)&lt;&gt;"",INDEX(CONFIRM!$G$5:$G$53,G737),IF(ISNUMBER(L737),L737,IFERROR(DATEVALUE(L737),""))),IF(ISNUMBER(L737),L737,IFERROR(DATEVALUE(L737),"")))</f>
        <v>46112</v>
      </c>
      <c r="N737" s="1" t="str">
        <f aca="false">IF(M737="","Check",IF(AND(M737&gt;=INPUTS!$C$6,M737&lt;=INPUTS!$C$7),"Yes","No"))</f>
        <v>Yes</v>
      </c>
      <c r="O737" s="48" t="str">
        <f aca="false">STACK!H737</f>
        <v>Admin Asst</v>
      </c>
      <c r="P737" s="1" t="str">
        <f aca="false">IF(G737&gt;0,IF(INDEX(CONFIRM!$H$5:$H$53,G737)&lt;&gt;"",INDEX(CONFIRM!$H$5:$H$53,G737),IFERROR(INDEX(MAP!$B$7:$B$156,MATCH(TRIM(O737),MAP!$A$7:$A$156,0)),"UNMAPPED")),IFERROR(INDEX(MAP!$B$7:$B$156,MATCH(TRIM(O737),MAP!$A$7:$A$156,0)),"UNMAPPED"))</f>
        <v>Administrative Assistant</v>
      </c>
      <c r="Q737" s="48" t="n">
        <f aca="false">STACK!I737</f>
        <v>48.25</v>
      </c>
      <c r="R737" s="60" t="n">
        <f aca="false">IF(G737&gt;0,IF(INDEX(CONFIRM!$F$5:$F$53,G737)&lt;&gt;"",INDEX(CONFIRM!$F$5:$F$53,G737),IF(ISNUMBER(Q737),Q737,IF(Q737="","",IFERROR(VALUE(TRIM(SUBSTITUTE(SUBSTITUTE(LOWER(Q737),"hrs",""),"hr",""))),"")))),IF(ISNUMBER(Q737),Q737,IF(Q737="","",IFERROR(VALUE(TRIM(SUBSTITUTE(SUBSTITUTE(LOWER(Q737),"hrs",""),"hr",""))),""))))</f>
        <v>48.25</v>
      </c>
      <c r="S737" s="57" t="n">
        <f aca="false">IFERROR(INDEX(RATES!$E$6:$E$28,MATCH(P737,RATES!$A$6:$A$28,0)),0)</f>
        <v>26.985</v>
      </c>
      <c r="T737" s="61" t="n">
        <f aca="false">IF(ISNUMBER(R737),R737,0)*S737</f>
        <v>1302.02625</v>
      </c>
      <c r="U737" s="61" t="n">
        <f aca="false">T737*INDEX(INPUTS!$H$10:$H$14,MATCH(B737,INPUTS!$A$10:$A$14,0))</f>
        <v>210.9282525</v>
      </c>
      <c r="V737" s="61" t="n">
        <f aca="false">N(STACK!K737)</f>
        <v>0</v>
      </c>
      <c r="W737" s="61" t="n">
        <f aca="false">T737+U737+V737</f>
        <v>1512.9545025</v>
      </c>
      <c r="X737" s="61" t="n">
        <f aca="false">N(STACK!L737)</f>
        <v>0</v>
      </c>
      <c r="Y737" s="61" t="n">
        <f aca="false">W737-X737</f>
        <v>1512.9545025</v>
      </c>
      <c r="Z737" s="1" t="n">
        <f aca="false">N(STACK!J737)</f>
        <v>0</v>
      </c>
      <c r="AA737" s="1" t="str">
        <f aca="false">TRIM(IF(D737="UNMAPPED","Program not mapped. ","")&amp;IF(OR(K737="UNMAPPED",K737="UNASSIGNED"),"Category needs review. ","")&amp;IF(P737="UNMAPPED","Title not mapped. ","")&amp;IF(AND(P737&lt;&gt;"No staff time",R737=""),"Missing hours. ","")&amp;IF(M737="","Date not readable. ","")&amp;IF(N737="No","Outside fiscal year. ","")&amp;IF(AND(F737="Event",ISNUMBER(R737)),IF(R737&gt;12,"Event hours look high. ",""),"")&amp;IF(G737&gt;0,"See CONFIRM sheet.",""))</f>
        <v/>
      </c>
      <c r="AB737" s="1" t="n">
        <f aca="false">IF(N737="No",0,IF(REVIEW!O737=0,0,IF(G737&gt;0,IF(INDEX(CONFIRM!$J$5:$J$53,G737)&lt;&gt;"",INDEX(CONFIRM!$J$5:$J$53,G737),1),1)))</f>
        <v>1</v>
      </c>
      <c r="AC737" s="1" t="n">
        <f aca="false">IF(AB737=1,IF(COUNTIFS($B$5:B737,B737,$D$5:D737,D737,$AB$5:AB737,1)=1,1,0),0)</f>
        <v>0</v>
      </c>
    </row>
    <row r="738" customFormat="false" ht="15" hidden="false" customHeight="false" outlineLevel="0" collapsed="false">
      <c r="A738" s="48" t="str">
        <f aca="false">STACK!A738</f>
        <v>ASH-0205</v>
      </c>
      <c r="B738" s="48" t="str">
        <f aca="false">STACK!B738</f>
        <v>ASH</v>
      </c>
      <c r="C738" s="48" t="str">
        <f aca="false">STACK!E738</f>
        <v>CB Program Admin</v>
      </c>
      <c r="D738" s="1" t="str">
        <f aca="false">IFERROR(INDEX(MAP!$J$7:$J$101,MATCH(TRIM(C738),MAP!$I$7:$I$101,0)),"UNMAPPED")</f>
        <v>Community Benefit Program Administration</v>
      </c>
      <c r="E738" s="1" t="str">
        <f aca="false">IFERROR(INDEX(MAP!$K$7:$K$101,MATCH(TRIM(C738),MAP!$I$7:$I$101,0)),"")</f>
        <v>Community benefit infrastructure</v>
      </c>
      <c r="F738" s="1" t="str">
        <f aca="false">IFERROR(INDEX(MAP!$L$7:$L$101,MATCH(TRIM(C738),MAP!$I$7:$I$101,0)),"")</f>
        <v>Monthly</v>
      </c>
      <c r="G738" s="1" t="n">
        <f aca="false">IFERROR(MATCH(A738,CONFIRM!$A$5:$A$53,0),0)</f>
        <v>0</v>
      </c>
      <c r="H738" s="48" t="str">
        <f aca="false">STACK!F738</f>
        <v>CB Admin</v>
      </c>
      <c r="I738" s="1" t="str">
        <f aca="false">IF(G738&gt;0,IF(INDEX(CONFIRM!$I$5:$I$53,G738)&lt;&gt;"",INDEX(CONFIRM!$I$5:$I$53,G738),H738),H738)</f>
        <v>CB Admin</v>
      </c>
      <c r="J738" s="1" t="str">
        <f aca="false">IFERROR(INDEX(MAP!$F$7:$F$74,MATCH(TRIM(I738),MAP!$E$7:$E$74,0)),"UNMAPPED")</f>
        <v>Community benefit operations</v>
      </c>
      <c r="K738" s="1" t="str">
        <f aca="false">IFERROR(INDEX(MAP!$G$7:$G$74,MATCH(TRIM(I738),MAP!$E$7:$E$74,0)),"UNMAPPED")</f>
        <v>7e</v>
      </c>
      <c r="L738" s="49" t="str">
        <f aca="false">STACK!G738</f>
        <v>03/31/2026</v>
      </c>
      <c r="M738" s="59" t="n">
        <f aca="false">IF(G738&gt;0,IF(INDEX(CONFIRM!$G$5:$G$53,G738)&lt;&gt;"",INDEX(CONFIRM!$G$5:$G$53,G738),IF(ISNUMBER(L738),L738,IFERROR(DATEVALUE(L738),""))),IF(ISNUMBER(L738),L738,IFERROR(DATEVALUE(L738),"")))</f>
        <v>46112</v>
      </c>
      <c r="N738" s="1" t="str">
        <f aca="false">IF(M738="","Check",IF(AND(M738&gt;=INPUTS!$C$6,M738&lt;=INPUTS!$C$7),"Yes","No"))</f>
        <v>Yes</v>
      </c>
      <c r="O738" s="48" t="str">
        <f aca="false">STACK!H738</f>
        <v>CB Manager</v>
      </c>
      <c r="P738" s="1" t="str">
        <f aca="false">IF(G738&gt;0,IF(INDEX(CONFIRM!$H$5:$H$53,G738)&lt;&gt;"",INDEX(CONFIRM!$H$5:$H$53,G738),IFERROR(INDEX(MAP!$B$7:$B$156,MATCH(TRIM(O738),MAP!$A$7:$A$156,0)),"UNMAPPED")),IFERROR(INDEX(MAP!$B$7:$B$156,MATCH(TRIM(O738),MAP!$A$7:$A$156,0)),"UNMAPPED"))</f>
        <v>Community Benefit Manager</v>
      </c>
      <c r="Q738" s="48" t="n">
        <f aca="false">STACK!I738</f>
        <v>75.5</v>
      </c>
      <c r="R738" s="60" t="n">
        <f aca="false">IF(G738&gt;0,IF(INDEX(CONFIRM!$F$5:$F$53,G738)&lt;&gt;"",INDEX(CONFIRM!$F$5:$F$53,G738),IF(ISNUMBER(Q738),Q738,IF(Q738="","",IFERROR(VALUE(TRIM(SUBSTITUTE(SUBSTITUTE(LOWER(Q738),"hrs",""),"hr",""))),"")))),IF(ISNUMBER(Q738),Q738,IF(Q738="","",IFERROR(VALUE(TRIM(SUBSTITUTE(SUBSTITUTE(LOWER(Q738),"hrs",""),"hr",""))),""))))</f>
        <v>75.5</v>
      </c>
      <c r="S738" s="57" t="n">
        <f aca="false">IFERROR(INDEX(RATES!$E$6:$E$28,MATCH(P738,RATES!$A$6:$A$28,0)),0)</f>
        <v>59.11</v>
      </c>
      <c r="T738" s="61" t="n">
        <f aca="false">IF(ISNUMBER(R738),R738,0)*S738</f>
        <v>4462.805</v>
      </c>
      <c r="U738" s="61" t="n">
        <f aca="false">T738*INDEX(INPUTS!$H$10:$H$14,MATCH(B738,INPUTS!$A$10:$A$14,0))</f>
        <v>722.97441</v>
      </c>
      <c r="V738" s="61" t="n">
        <f aca="false">N(STACK!K738)</f>
        <v>625</v>
      </c>
      <c r="W738" s="61" t="n">
        <f aca="false">T738+U738+V738</f>
        <v>5810.77941</v>
      </c>
      <c r="X738" s="61" t="n">
        <f aca="false">N(STACK!L738)</f>
        <v>0</v>
      </c>
      <c r="Y738" s="61" t="n">
        <f aca="false">W738-X738</f>
        <v>5810.77941</v>
      </c>
      <c r="Z738" s="1" t="n">
        <f aca="false">N(STACK!J738)</f>
        <v>0</v>
      </c>
      <c r="AA738" s="1" t="str">
        <f aca="false">TRIM(IF(D738="UNMAPPED","Program not mapped. ","")&amp;IF(OR(K738="UNMAPPED",K738="UNASSIGNED"),"Category needs review. ","")&amp;IF(P738="UNMAPPED","Title not mapped. ","")&amp;IF(AND(P738&lt;&gt;"No staff time",R738=""),"Missing hours. ","")&amp;IF(M738="","Date not readable. ","")&amp;IF(N738="No","Outside fiscal year. ","")&amp;IF(AND(F738="Event",ISNUMBER(R738)),IF(R738&gt;12,"Event hours look high. ",""),"")&amp;IF(G738&gt;0,"See CONFIRM sheet.",""))</f>
        <v/>
      </c>
      <c r="AB738" s="1" t="n">
        <f aca="false">IF(N738="No",0,IF(REVIEW!O738=0,0,IF(G738&gt;0,IF(INDEX(CONFIRM!$J$5:$J$53,G738)&lt;&gt;"",INDEX(CONFIRM!$J$5:$J$53,G738),1),1)))</f>
        <v>1</v>
      </c>
      <c r="AC738" s="1" t="n">
        <f aca="false">IF(AB738=1,IF(COUNTIFS($B$5:B738,B738,$D$5:D738,D738,$AB$5:AB738,1)=1,1,0),0)</f>
        <v>0</v>
      </c>
    </row>
    <row r="739" customFormat="false" ht="15" hidden="false" customHeight="false" outlineLevel="0" collapsed="false">
      <c r="A739" s="48" t="str">
        <f aca="false">STACK!A739</f>
        <v>ASH-0206</v>
      </c>
      <c r="B739" s="48" t="str">
        <f aca="false">STACK!B739</f>
        <v>ASH</v>
      </c>
      <c r="C739" s="48" t="str">
        <f aca="false">STACK!E739</f>
        <v>Nursing Clinicals</v>
      </c>
      <c r="D739" s="1" t="str">
        <f aca="false">IFERROR(INDEX(MAP!$J$7:$J$101,MATCH(TRIM(C739),MAP!$I$7:$I$101,0)),"UNMAPPED")</f>
        <v>Nursing Student Clinical Rotations</v>
      </c>
      <c r="E739" s="1" t="str">
        <f aca="false">IFERROR(INDEX(MAP!$K$7:$K$101,MATCH(TRIM(C739),MAP!$I$7:$I$101,0)),"")</f>
        <v>Health workforce</v>
      </c>
      <c r="F739" s="1" t="str">
        <f aca="false">IFERROR(INDEX(MAP!$L$7:$L$101,MATCH(TRIM(C739),MAP!$I$7:$I$101,0)),"")</f>
        <v>Monthly</v>
      </c>
      <c r="G739" s="1" t="n">
        <f aca="false">IFERROR(MATCH(A739,CONFIRM!$A$5:$A$53,0),0)</f>
        <v>0</v>
      </c>
      <c r="H739" s="48" t="str">
        <f aca="false">STACK!F739</f>
        <v>HPE</v>
      </c>
      <c r="I739" s="1" t="str">
        <f aca="false">IF(G739&gt;0,IF(INDEX(CONFIRM!$I$5:$I$53,G739)&lt;&gt;"",INDEX(CONFIRM!$I$5:$I$53,G739),H739),H739)</f>
        <v>HPE</v>
      </c>
      <c r="J739" s="1" t="str">
        <f aca="false">IFERROR(INDEX(MAP!$F$7:$F$74,MATCH(TRIM(I739),MAP!$E$7:$E$74,0)),"UNMAPPED")</f>
        <v>Health professions education</v>
      </c>
      <c r="K739" s="1" t="str">
        <f aca="false">IFERROR(INDEX(MAP!$G$7:$G$74,MATCH(TRIM(I739),MAP!$E$7:$E$74,0)),"UNMAPPED")</f>
        <v>7f</v>
      </c>
      <c r="L739" s="49" t="str">
        <f aca="false">STACK!G739</f>
        <v>03/31/2026</v>
      </c>
      <c r="M739" s="59" t="n">
        <f aca="false">IF(G739&gt;0,IF(INDEX(CONFIRM!$G$5:$G$53,G739)&lt;&gt;"",INDEX(CONFIRM!$G$5:$G$53,G739),IF(ISNUMBER(L739),L739,IFERROR(DATEVALUE(L739),""))),IF(ISNUMBER(L739),L739,IFERROR(DATEVALUE(L739),"")))</f>
        <v>46112</v>
      </c>
      <c r="N739" s="1" t="str">
        <f aca="false">IF(M739="","Check",IF(AND(M739&gt;=INPUTS!$C$6,M739&lt;=INPUTS!$C$7),"Yes","No"))</f>
        <v>Yes</v>
      </c>
      <c r="O739" s="48" t="str">
        <f aca="false">STACK!H739</f>
        <v>Clinical Nurse Educator</v>
      </c>
      <c r="P739" s="1" t="str">
        <f aca="false">IF(G739&gt;0,IF(INDEX(CONFIRM!$H$5:$H$53,G739)&lt;&gt;"",INDEX(CONFIRM!$H$5:$H$53,G739),IFERROR(INDEX(MAP!$B$7:$B$156,MATCH(TRIM(O739),MAP!$A$7:$A$156,0)),"UNMAPPED")),IFERROR(INDEX(MAP!$B$7:$B$156,MATCH(TRIM(O739),MAP!$A$7:$A$156,0)),"UNMAPPED"))</f>
        <v>Clinical Nurse Educator</v>
      </c>
      <c r="Q739" s="48" t="n">
        <f aca="false">STACK!I739</f>
        <v>105</v>
      </c>
      <c r="R739" s="60" t="n">
        <f aca="false">IF(G739&gt;0,IF(INDEX(CONFIRM!$F$5:$F$53,G739)&lt;&gt;"",INDEX(CONFIRM!$F$5:$F$53,G739),IF(ISNUMBER(Q739),Q739,IF(Q739="","",IFERROR(VALUE(TRIM(SUBSTITUTE(SUBSTITUTE(LOWER(Q739),"hrs",""),"hr",""))),"")))),IF(ISNUMBER(Q739),Q739,IF(Q739="","",IFERROR(VALUE(TRIM(SUBSTITUTE(SUBSTITUTE(LOWER(Q739),"hrs",""),"hr",""))),""))))</f>
        <v>105</v>
      </c>
      <c r="S739" s="57" t="n">
        <f aca="false">IFERROR(INDEX(RATES!$E$6:$E$28,MATCH(P739,RATES!$A$6:$A$28,0)),0)</f>
        <v>62.965</v>
      </c>
      <c r="T739" s="61" t="n">
        <f aca="false">IF(ISNUMBER(R739),R739,0)*S739</f>
        <v>6611.325</v>
      </c>
      <c r="U739" s="61" t="n">
        <f aca="false">T739*INDEX(INPUTS!$H$10:$H$14,MATCH(B739,INPUTS!$A$10:$A$14,0))</f>
        <v>1071.03465</v>
      </c>
      <c r="V739" s="61" t="n">
        <f aca="false">N(STACK!K739)</f>
        <v>1130</v>
      </c>
      <c r="W739" s="61" t="n">
        <f aca="false">T739+U739+V739</f>
        <v>8812.35965</v>
      </c>
      <c r="X739" s="61" t="n">
        <f aca="false">N(STACK!L739)</f>
        <v>0</v>
      </c>
      <c r="Y739" s="61" t="n">
        <f aca="false">W739-X739</f>
        <v>8812.35965</v>
      </c>
      <c r="Z739" s="1" t="n">
        <f aca="false">N(STACK!J739)</f>
        <v>27</v>
      </c>
      <c r="AA739" s="1" t="str">
        <f aca="false">TRIM(IF(D739="UNMAPPED","Program not mapped. ","")&amp;IF(OR(K739="UNMAPPED",K739="UNASSIGNED"),"Category needs review. ","")&amp;IF(P739="UNMAPPED","Title not mapped. ","")&amp;IF(AND(P739&lt;&gt;"No staff time",R739=""),"Missing hours. ","")&amp;IF(M739="","Date not readable. ","")&amp;IF(N739="No","Outside fiscal year. ","")&amp;IF(AND(F739="Event",ISNUMBER(R739)),IF(R739&gt;12,"Event hours look high. ",""),"")&amp;IF(G739&gt;0,"See CONFIRM sheet.",""))</f>
        <v/>
      </c>
      <c r="AB739" s="1" t="n">
        <f aca="false">IF(N739="No",0,IF(REVIEW!O739=0,0,IF(G739&gt;0,IF(INDEX(CONFIRM!$J$5:$J$53,G739)&lt;&gt;"",INDEX(CONFIRM!$J$5:$J$53,G739),1),1)))</f>
        <v>1</v>
      </c>
      <c r="AC739" s="1" t="n">
        <f aca="false">IF(AB739=1,IF(COUNTIFS($B$5:B739,B739,$D$5:D739,D739,$AB$5:AB739,1)=1,1,0),0)</f>
        <v>0</v>
      </c>
    </row>
    <row r="740" customFormat="false" ht="15" hidden="false" customHeight="false" outlineLevel="0" collapsed="false">
      <c r="A740" s="48" t="str">
        <f aca="false">STACK!A740</f>
        <v>ASH-0207</v>
      </c>
      <c r="B740" s="48" t="str">
        <f aca="false">STACK!B740</f>
        <v>ASH</v>
      </c>
      <c r="C740" s="48" t="str">
        <f aca="false">STACK!E740</f>
        <v>Nursing Clinicals</v>
      </c>
      <c r="D740" s="1" t="str">
        <f aca="false">IFERROR(INDEX(MAP!$J$7:$J$101,MATCH(TRIM(C740),MAP!$I$7:$I$101,0)),"UNMAPPED")</f>
        <v>Nursing Student Clinical Rotations</v>
      </c>
      <c r="E740" s="1" t="str">
        <f aca="false">IFERROR(INDEX(MAP!$K$7:$K$101,MATCH(TRIM(C740),MAP!$I$7:$I$101,0)),"")</f>
        <v>Health workforce</v>
      </c>
      <c r="F740" s="1" t="str">
        <f aca="false">IFERROR(INDEX(MAP!$L$7:$L$101,MATCH(TRIM(C740),MAP!$I$7:$I$101,0)),"")</f>
        <v>Monthly</v>
      </c>
      <c r="G740" s="1" t="n">
        <f aca="false">IFERROR(MATCH(A740,CONFIRM!$A$5:$A$53,0),0)</f>
        <v>0</v>
      </c>
      <c r="H740" s="48" t="str">
        <f aca="false">STACK!F740</f>
        <v>HPE</v>
      </c>
      <c r="I740" s="1" t="str">
        <f aca="false">IF(G740&gt;0,IF(INDEX(CONFIRM!$I$5:$I$53,G740)&lt;&gt;"",INDEX(CONFIRM!$I$5:$I$53,G740),H740),H740)</f>
        <v>HPE</v>
      </c>
      <c r="J740" s="1" t="str">
        <f aca="false">IFERROR(INDEX(MAP!$F$7:$F$74,MATCH(TRIM(I740),MAP!$E$7:$E$74,0)),"UNMAPPED")</f>
        <v>Health professions education</v>
      </c>
      <c r="K740" s="1" t="str">
        <f aca="false">IFERROR(INDEX(MAP!$G$7:$G$74,MATCH(TRIM(I740),MAP!$E$7:$E$74,0)),"UNMAPPED")</f>
        <v>7f</v>
      </c>
      <c r="L740" s="49" t="str">
        <f aca="false">STACK!G740</f>
        <v>03/31/2026</v>
      </c>
      <c r="M740" s="59" t="n">
        <f aca="false">IF(G740&gt;0,IF(INDEX(CONFIRM!$G$5:$G$53,G740)&lt;&gt;"",INDEX(CONFIRM!$G$5:$G$53,G740),IF(ISNUMBER(L740),L740,IFERROR(DATEVALUE(L740),""))),IF(ISNUMBER(L740),L740,IFERROR(DATEVALUE(L740),"")))</f>
        <v>46112</v>
      </c>
      <c r="N740" s="1" t="str">
        <f aca="false">IF(M740="","Check",IF(AND(M740&gt;=INPUTS!$C$6,M740&lt;=INPUTS!$C$7),"Yes","No"))</f>
        <v>Yes</v>
      </c>
      <c r="O740" s="48" t="str">
        <f aca="false">STACK!H740</f>
        <v>Charge RN</v>
      </c>
      <c r="P740" s="1" t="str">
        <f aca="false">IF(G740&gt;0,IF(INDEX(CONFIRM!$H$5:$H$53,G740)&lt;&gt;"",INDEX(CONFIRM!$H$5:$H$53,G740),IFERROR(INDEX(MAP!$B$7:$B$156,MATCH(TRIM(O740),MAP!$A$7:$A$156,0)),"UNMAPPED")),IFERROR(INDEX(MAP!$B$7:$B$156,MATCH(TRIM(O740),MAP!$A$7:$A$156,0)),"UNMAPPED"))</f>
        <v>Registered Nurse</v>
      </c>
      <c r="Q740" s="48" t="n">
        <f aca="false">STACK!I740</f>
        <v>186.75</v>
      </c>
      <c r="R740" s="60" t="n">
        <f aca="false">IF(G740&gt;0,IF(INDEX(CONFIRM!$F$5:$F$53,G740)&lt;&gt;"",INDEX(CONFIRM!$F$5:$F$53,G740),IF(ISNUMBER(Q740),Q740,IF(Q740="","",IFERROR(VALUE(TRIM(SUBSTITUTE(SUBSTITUTE(LOWER(Q740),"hrs",""),"hr",""))),"")))),IF(ISNUMBER(Q740),Q740,IF(Q740="","",IFERROR(VALUE(TRIM(SUBSTITUTE(SUBSTITUTE(LOWER(Q740),"hrs",""),"hr",""))),""))))</f>
        <v>186.75</v>
      </c>
      <c r="S740" s="57" t="n">
        <f aca="false">IFERROR(INDEX(RATES!$E$6:$E$28,MATCH(P740,RATES!$A$6:$A$28,0)),0)</f>
        <v>55.8975</v>
      </c>
      <c r="T740" s="61" t="n">
        <f aca="false">IF(ISNUMBER(R740),R740,0)*S740</f>
        <v>10438.858125</v>
      </c>
      <c r="U740" s="61" t="n">
        <f aca="false">T740*INDEX(INPUTS!$H$10:$H$14,MATCH(B740,INPUTS!$A$10:$A$14,0))</f>
        <v>1691.09501625</v>
      </c>
      <c r="V740" s="61" t="n">
        <f aca="false">N(STACK!K740)</f>
        <v>0</v>
      </c>
      <c r="W740" s="61" t="n">
        <f aca="false">T740+U740+V740</f>
        <v>12129.95314125</v>
      </c>
      <c r="X740" s="61" t="n">
        <f aca="false">N(STACK!L740)</f>
        <v>0</v>
      </c>
      <c r="Y740" s="61" t="n">
        <f aca="false">W740-X740</f>
        <v>12129.95314125</v>
      </c>
      <c r="Z740" s="1" t="n">
        <f aca="false">N(STACK!J740)</f>
        <v>0</v>
      </c>
      <c r="AA740" s="1" t="str">
        <f aca="false">TRIM(IF(D740="UNMAPPED","Program not mapped. ","")&amp;IF(OR(K740="UNMAPPED",K740="UNASSIGNED"),"Category needs review. ","")&amp;IF(P740="UNMAPPED","Title not mapped. ","")&amp;IF(AND(P740&lt;&gt;"No staff time",R740=""),"Missing hours. ","")&amp;IF(M740="","Date not readable. ","")&amp;IF(N740="No","Outside fiscal year. ","")&amp;IF(AND(F740="Event",ISNUMBER(R740)),IF(R740&gt;12,"Event hours look high. ",""),"")&amp;IF(G740&gt;0,"See CONFIRM sheet.",""))</f>
        <v/>
      </c>
      <c r="AB740" s="1" t="n">
        <f aca="false">IF(N740="No",0,IF(REVIEW!O740=0,0,IF(G740&gt;0,IF(INDEX(CONFIRM!$J$5:$J$53,G740)&lt;&gt;"",INDEX(CONFIRM!$J$5:$J$53,G740),1),1)))</f>
        <v>1</v>
      </c>
      <c r="AC740" s="1" t="n">
        <f aca="false">IF(AB740=1,IF(COUNTIFS($B$5:B740,B740,$D$5:D740,D740,$AB$5:AB740,1)=1,1,0),0)</f>
        <v>0</v>
      </c>
    </row>
    <row r="741" customFormat="false" ht="15" hidden="false" customHeight="false" outlineLevel="0" collapsed="false">
      <c r="A741" s="48" t="str">
        <f aca="false">STACK!A741</f>
        <v>ASH-0208</v>
      </c>
      <c r="B741" s="48" t="str">
        <f aca="false">STACK!B741</f>
        <v>ASH</v>
      </c>
      <c r="C741" s="48" t="str">
        <f aca="false">STACK!E741</f>
        <v>Paramedic Students</v>
      </c>
      <c r="D741" s="1" t="str">
        <f aca="false">IFERROR(INDEX(MAP!$J$7:$J$101,MATCH(TRIM(C741),MAP!$I$7:$I$101,0)),"UNMAPPED")</f>
        <v>Paramedic Student Field Training</v>
      </c>
      <c r="E741" s="1" t="str">
        <f aca="false">IFERROR(INDEX(MAP!$K$7:$K$101,MATCH(TRIM(C741),MAP!$I$7:$I$101,0)),"")</f>
        <v>Health workforce</v>
      </c>
      <c r="F741" s="1" t="str">
        <f aca="false">IFERROR(INDEX(MAP!$L$7:$L$101,MATCH(TRIM(C741),MAP!$I$7:$I$101,0)),"")</f>
        <v>Monthly</v>
      </c>
      <c r="G741" s="1" t="n">
        <f aca="false">IFERROR(MATCH(A741,CONFIRM!$A$5:$A$53,0),0)</f>
        <v>0</v>
      </c>
      <c r="H741" s="48" t="str">
        <f aca="false">STACK!F741</f>
        <v>HPE</v>
      </c>
      <c r="I741" s="1" t="str">
        <f aca="false">IF(G741&gt;0,IF(INDEX(CONFIRM!$I$5:$I$53,G741)&lt;&gt;"",INDEX(CONFIRM!$I$5:$I$53,G741),H741),H741)</f>
        <v>HPE</v>
      </c>
      <c r="J741" s="1" t="str">
        <f aca="false">IFERROR(INDEX(MAP!$F$7:$F$74,MATCH(TRIM(I741),MAP!$E$7:$E$74,0)),"UNMAPPED")</f>
        <v>Health professions education</v>
      </c>
      <c r="K741" s="1" t="str">
        <f aca="false">IFERROR(INDEX(MAP!$G$7:$G$74,MATCH(TRIM(I741),MAP!$E$7:$E$74,0)),"UNMAPPED")</f>
        <v>7f</v>
      </c>
      <c r="L741" s="49" t="str">
        <f aca="false">STACK!G741</f>
        <v>03/31/2026</v>
      </c>
      <c r="M741" s="59" t="n">
        <f aca="false">IF(G741&gt;0,IF(INDEX(CONFIRM!$G$5:$G$53,G741)&lt;&gt;"",INDEX(CONFIRM!$G$5:$G$53,G741),IF(ISNUMBER(L741),L741,IFERROR(DATEVALUE(L741),""))),IF(ISNUMBER(L741),L741,IFERROR(DATEVALUE(L741),"")))</f>
        <v>46112</v>
      </c>
      <c r="N741" s="1" t="str">
        <f aca="false">IF(M741="","Check",IF(AND(M741&gt;=INPUTS!$C$6,M741&lt;=INPUTS!$C$7),"Yes","No"))</f>
        <v>Yes</v>
      </c>
      <c r="O741" s="48" t="str">
        <f aca="false">STACK!H741</f>
        <v>Flight Paramedic</v>
      </c>
      <c r="P741" s="1" t="str">
        <f aca="false">IF(G741&gt;0,IF(INDEX(CONFIRM!$H$5:$H$53,G741)&lt;&gt;"",INDEX(CONFIRM!$H$5:$H$53,G741),IFERROR(INDEX(MAP!$B$7:$B$156,MATCH(TRIM(O741),MAP!$A$7:$A$156,0)),"UNMAPPED")),IFERROR(INDEX(MAP!$B$7:$B$156,MATCH(TRIM(O741),MAP!$A$7:$A$156,0)),"UNMAPPED"))</f>
        <v>Paramedic</v>
      </c>
      <c r="Q741" s="48" t="n">
        <f aca="false">STACK!I741</f>
        <v>77.5</v>
      </c>
      <c r="R741" s="60" t="n">
        <f aca="false">IF(G741&gt;0,IF(INDEX(CONFIRM!$F$5:$F$53,G741)&lt;&gt;"",INDEX(CONFIRM!$F$5:$F$53,G741),IF(ISNUMBER(Q741),Q741,IF(Q741="","",IFERROR(VALUE(TRIM(SUBSTITUTE(SUBSTITUTE(LOWER(Q741),"hrs",""),"hr",""))),"")))),IF(ISNUMBER(Q741),Q741,IF(Q741="","",IFERROR(VALUE(TRIM(SUBSTITUTE(SUBSTITUTE(LOWER(Q741),"hrs",""),"hr",""))),""))))</f>
        <v>77.5</v>
      </c>
      <c r="S741" s="57" t="n">
        <f aca="false">IFERROR(INDEX(RATES!$E$6:$E$28,MATCH(P741,RATES!$A$6:$A$28,0)),0)</f>
        <v>34.695</v>
      </c>
      <c r="T741" s="61" t="n">
        <f aca="false">IF(ISNUMBER(R741),R741,0)*S741</f>
        <v>2688.8625</v>
      </c>
      <c r="U741" s="61" t="n">
        <f aca="false">T741*INDEX(INPUTS!$H$10:$H$14,MATCH(B741,INPUTS!$A$10:$A$14,0))</f>
        <v>435.595725</v>
      </c>
      <c r="V741" s="61" t="n">
        <f aca="false">N(STACK!K741)</f>
        <v>100</v>
      </c>
      <c r="W741" s="61" t="n">
        <f aca="false">T741+U741+V741</f>
        <v>3224.458225</v>
      </c>
      <c r="X741" s="61" t="n">
        <f aca="false">N(STACK!L741)</f>
        <v>0</v>
      </c>
      <c r="Y741" s="61" t="n">
        <f aca="false">W741-X741</f>
        <v>3224.458225</v>
      </c>
      <c r="Z741" s="1" t="n">
        <f aca="false">N(STACK!J741)</f>
        <v>4</v>
      </c>
      <c r="AA741" s="1" t="str">
        <f aca="false">TRIM(IF(D741="UNMAPPED","Program not mapped. ","")&amp;IF(OR(K741="UNMAPPED",K741="UNASSIGNED"),"Category needs review. ","")&amp;IF(P741="UNMAPPED","Title not mapped. ","")&amp;IF(AND(P741&lt;&gt;"No staff time",R741=""),"Missing hours. ","")&amp;IF(M741="","Date not readable. ","")&amp;IF(N741="No","Outside fiscal year. ","")&amp;IF(AND(F741="Event",ISNUMBER(R741)),IF(R741&gt;12,"Event hours look high. ",""),"")&amp;IF(G741&gt;0,"See CONFIRM sheet.",""))</f>
        <v/>
      </c>
      <c r="AB741" s="1" t="n">
        <f aca="false">IF(N741="No",0,IF(REVIEW!O741=0,0,IF(G741&gt;0,IF(INDEX(CONFIRM!$J$5:$J$53,G741)&lt;&gt;"",INDEX(CONFIRM!$J$5:$J$53,G741),1),1)))</f>
        <v>1</v>
      </c>
      <c r="AC741" s="1" t="n">
        <f aca="false">IF(AB741=1,IF(COUNTIFS($B$5:B741,B741,$D$5:D741,D741,$AB$5:AB741,1)=1,1,0),0)</f>
        <v>0</v>
      </c>
    </row>
    <row r="742" customFormat="false" ht="15" hidden="false" customHeight="false" outlineLevel="0" collapsed="false">
      <c r="A742" s="48" t="str">
        <f aca="false">STACK!A742</f>
        <v>ASH-0209</v>
      </c>
      <c r="B742" s="48" t="str">
        <f aca="false">STACK!B742</f>
        <v>ASH</v>
      </c>
      <c r="C742" s="48" t="str">
        <f aca="false">STACK!E742</f>
        <v>Grief Support</v>
      </c>
      <c r="D742" s="1" t="str">
        <f aca="false">IFERROR(INDEX(MAP!$J$7:$J$101,MATCH(TRIM(C742),MAP!$I$7:$I$101,0)),"UNMAPPED")</f>
        <v>Grief Support Group</v>
      </c>
      <c r="E742" s="1" t="str">
        <f aca="false">IFERROR(INDEX(MAP!$K$7:$K$101,MATCH(TRIM(C742),MAP!$I$7:$I$101,0)),"")</f>
        <v>Behavioral health</v>
      </c>
      <c r="F742" s="1" t="str">
        <f aca="false">IFERROR(INDEX(MAP!$L$7:$L$101,MATCH(TRIM(C742),MAP!$I$7:$I$101,0)),"")</f>
        <v>Event</v>
      </c>
      <c r="G742" s="1" t="n">
        <f aca="false">IFERROR(MATCH(A742,CONFIRM!$A$5:$A$53,0),0)</f>
        <v>0</v>
      </c>
      <c r="H742" s="48" t="str">
        <f aca="false">STACK!F742</f>
        <v>Support Svcs</v>
      </c>
      <c r="I742" s="1" t="str">
        <f aca="false">IF(G742&gt;0,IF(INDEX(CONFIRM!$I$5:$I$53,G742)&lt;&gt;"",INDEX(CONFIRM!$I$5:$I$53,G742),H742),H742)</f>
        <v>Support Svcs</v>
      </c>
      <c r="J742" s="1" t="str">
        <f aca="false">IFERROR(INDEX(MAP!$F$7:$F$74,MATCH(TRIM(I742),MAP!$E$7:$E$74,0)),"UNMAPPED")</f>
        <v>Health care support services</v>
      </c>
      <c r="K742" s="1" t="str">
        <f aca="false">IFERROR(INDEX(MAP!$G$7:$G$74,MATCH(TRIM(I742),MAP!$E$7:$E$74,0)),"UNMAPPED")</f>
        <v>7e</v>
      </c>
      <c r="L742" s="49" t="str">
        <f aca="false">STACK!G742</f>
        <v>04/06/2026</v>
      </c>
      <c r="M742" s="59" t="n">
        <f aca="false">IF(G742&gt;0,IF(INDEX(CONFIRM!$G$5:$G$53,G742)&lt;&gt;"",INDEX(CONFIRM!$G$5:$G$53,G742),IF(ISNUMBER(L742),L742,IFERROR(DATEVALUE(L742),""))),IF(ISNUMBER(L742),L742,IFERROR(DATEVALUE(L742),"")))</f>
        <v>46118</v>
      </c>
      <c r="N742" s="1" t="str">
        <f aca="false">IF(M742="","Check",IF(AND(M742&gt;=INPUTS!$C$6,M742&lt;=INPUTS!$C$7),"Yes","No"))</f>
        <v>Yes</v>
      </c>
      <c r="O742" s="48" t="str">
        <f aca="false">STACK!H742</f>
        <v> Pastoral Care</v>
      </c>
      <c r="P742" s="1" t="str">
        <f aca="false">IF(G742&gt;0,IF(INDEX(CONFIRM!$H$5:$H$53,G742)&lt;&gt;"",INDEX(CONFIRM!$H$5:$H$53,G742),IFERROR(INDEX(MAP!$B$7:$B$156,MATCH(TRIM(O742),MAP!$A$7:$A$156,0)),"UNMAPPED")),IFERROR(INDEX(MAP!$B$7:$B$156,MATCH(TRIM(O742),MAP!$A$7:$A$156,0)),"UNMAPPED"))</f>
        <v>Chaplain</v>
      </c>
      <c r="Q742" s="48" t="n">
        <f aca="false">STACK!I742</f>
        <v>2.5</v>
      </c>
      <c r="R742" s="60" t="n">
        <f aca="false">IF(G742&gt;0,IF(INDEX(CONFIRM!$F$5:$F$53,G742)&lt;&gt;"",INDEX(CONFIRM!$F$5:$F$53,G742),IF(ISNUMBER(Q742),Q742,IF(Q742="","",IFERROR(VALUE(TRIM(SUBSTITUTE(SUBSTITUTE(LOWER(Q742),"hrs",""),"hr",""))),"")))),IF(ISNUMBER(Q742),Q742,IF(Q742="","",IFERROR(VALUE(TRIM(SUBSTITUTE(SUBSTITUTE(LOWER(Q742),"hrs",""),"hr",""))),""))))</f>
        <v>2.5</v>
      </c>
      <c r="S742" s="57" t="n">
        <f aca="false">IFERROR(INDEX(RATES!$E$6:$E$28,MATCH(P742,RATES!$A$6:$A$28,0)),0)</f>
        <v>39.835</v>
      </c>
      <c r="T742" s="61" t="n">
        <f aca="false">IF(ISNUMBER(R742),R742,0)*S742</f>
        <v>99.5875</v>
      </c>
      <c r="U742" s="61" t="n">
        <f aca="false">T742*INDEX(INPUTS!$H$10:$H$14,MATCH(B742,INPUTS!$A$10:$A$14,0))</f>
        <v>16.133175</v>
      </c>
      <c r="V742" s="61" t="n">
        <f aca="false">N(STACK!K742)</f>
        <v>20</v>
      </c>
      <c r="W742" s="61" t="n">
        <f aca="false">T742+U742+V742</f>
        <v>135.720675</v>
      </c>
      <c r="X742" s="61" t="n">
        <f aca="false">N(STACK!L742)</f>
        <v>0</v>
      </c>
      <c r="Y742" s="61" t="n">
        <f aca="false">W742-X742</f>
        <v>135.720675</v>
      </c>
      <c r="Z742" s="1" t="n">
        <f aca="false">N(STACK!J742)</f>
        <v>14</v>
      </c>
      <c r="AA742" s="1" t="str">
        <f aca="false">TRIM(IF(D742="UNMAPPED","Program not mapped. ","")&amp;IF(OR(K742="UNMAPPED",K742="UNASSIGNED"),"Category needs review. ","")&amp;IF(P742="UNMAPPED","Title not mapped. ","")&amp;IF(AND(P742&lt;&gt;"No staff time",R742=""),"Missing hours. ","")&amp;IF(M742="","Date not readable. ","")&amp;IF(N742="No","Outside fiscal year. ","")&amp;IF(AND(F742="Event",ISNUMBER(R742)),IF(R742&gt;12,"Event hours look high. ",""),"")&amp;IF(G742&gt;0,"See CONFIRM sheet.",""))</f>
        <v/>
      </c>
      <c r="AB742" s="1" t="n">
        <f aca="false">IF(N742="No",0,IF(REVIEW!O742=0,0,IF(G742&gt;0,IF(INDEX(CONFIRM!$J$5:$J$53,G742)&lt;&gt;"",INDEX(CONFIRM!$J$5:$J$53,G742),1),1)))</f>
        <v>1</v>
      </c>
      <c r="AC742" s="1" t="n">
        <f aca="false">IF(AB742=1,IF(COUNTIFS($B$5:B742,B742,$D$5:D742,D742,$AB$5:AB742,1)=1,1,0),0)</f>
        <v>0</v>
      </c>
    </row>
    <row r="743" customFormat="false" ht="15" hidden="false" customHeight="false" outlineLevel="0" collapsed="false">
      <c r="A743" s="48" t="str">
        <f aca="false">STACK!A743</f>
        <v>ASH-0210</v>
      </c>
      <c r="B743" s="48" t="str">
        <f aca="false">STACK!B743</f>
        <v>ASH</v>
      </c>
      <c r="C743" s="48" t="str">
        <f aca="false">STACK!E743</f>
        <v>Grief Support</v>
      </c>
      <c r="D743" s="1" t="str">
        <f aca="false">IFERROR(INDEX(MAP!$J$7:$J$101,MATCH(TRIM(C743),MAP!$I$7:$I$101,0)),"UNMAPPED")</f>
        <v>Grief Support Group</v>
      </c>
      <c r="E743" s="1" t="str">
        <f aca="false">IFERROR(INDEX(MAP!$K$7:$K$101,MATCH(TRIM(C743),MAP!$I$7:$I$101,0)),"")</f>
        <v>Behavioral health</v>
      </c>
      <c r="F743" s="1" t="str">
        <f aca="false">IFERROR(INDEX(MAP!$L$7:$L$101,MATCH(TRIM(C743),MAP!$I$7:$I$101,0)),"")</f>
        <v>Event</v>
      </c>
      <c r="G743" s="1" t="n">
        <f aca="false">IFERROR(MATCH(A743,CONFIRM!$A$5:$A$53,0),0)</f>
        <v>0</v>
      </c>
      <c r="H743" s="48" t="str">
        <f aca="false">STACK!F743</f>
        <v>Support Svcs</v>
      </c>
      <c r="I743" s="1" t="str">
        <f aca="false">IF(G743&gt;0,IF(INDEX(CONFIRM!$I$5:$I$53,G743)&lt;&gt;"",INDEX(CONFIRM!$I$5:$I$53,G743),H743),H743)</f>
        <v>Support Svcs</v>
      </c>
      <c r="J743" s="1" t="str">
        <f aca="false">IFERROR(INDEX(MAP!$F$7:$F$74,MATCH(TRIM(I743),MAP!$E$7:$E$74,0)),"UNMAPPED")</f>
        <v>Health care support services</v>
      </c>
      <c r="K743" s="1" t="str">
        <f aca="false">IFERROR(INDEX(MAP!$G$7:$G$74,MATCH(TRIM(I743),MAP!$E$7:$E$74,0)),"UNMAPPED")</f>
        <v>7e</v>
      </c>
      <c r="L743" s="49" t="str">
        <f aca="false">STACK!G743</f>
        <v>04/06/2026</v>
      </c>
      <c r="M743" s="59" t="n">
        <f aca="false">IF(G743&gt;0,IF(INDEX(CONFIRM!$G$5:$G$53,G743)&lt;&gt;"",INDEX(CONFIRM!$G$5:$G$53,G743),IF(ISNUMBER(L743),L743,IFERROR(DATEVALUE(L743),""))),IF(ISNUMBER(L743),L743,IFERROR(DATEVALUE(L743),"")))</f>
        <v>46118</v>
      </c>
      <c r="N743" s="1" t="str">
        <f aca="false">IF(M743="","Check",IF(AND(M743&gt;=INPUTS!$C$6,M743&lt;=INPUTS!$C$7),"Yes","No"))</f>
        <v>Yes</v>
      </c>
      <c r="O743" s="48" t="str">
        <f aca="false">STACK!H743</f>
        <v>Clinical Social Worker</v>
      </c>
      <c r="P743" s="1" t="str">
        <f aca="false">IF(G743&gt;0,IF(INDEX(CONFIRM!$H$5:$H$53,G743)&lt;&gt;"",INDEX(CONFIRM!$H$5:$H$53,G743),IFERROR(INDEX(MAP!$B$7:$B$156,MATCH(TRIM(O743),MAP!$A$7:$A$156,0)),"UNMAPPED")),IFERROR(INDEX(MAP!$B$7:$B$156,MATCH(TRIM(O743),MAP!$A$7:$A$156,0)),"UNMAPPED"))</f>
        <v>Social Worker</v>
      </c>
      <c r="Q743" s="48" t="str">
        <f aca="false">STACK!I743</f>
        <v>1.5 hrs</v>
      </c>
      <c r="R743" s="60" t="n">
        <f aca="false">IF(G743&gt;0,IF(INDEX(CONFIRM!$F$5:$F$53,G743)&lt;&gt;"",INDEX(CONFIRM!$F$5:$F$53,G743),IF(ISNUMBER(Q743),Q743,IF(Q743="","",IFERROR(VALUE(TRIM(SUBSTITUTE(SUBSTITUTE(LOWER(Q743),"hrs",""),"hr",""))),"")))),IF(ISNUMBER(Q743),Q743,IF(Q743="","",IFERROR(VALUE(TRIM(SUBSTITUTE(SUBSTITUTE(LOWER(Q743),"hrs",""),"hr",""))),""))))</f>
        <v>1.5</v>
      </c>
      <c r="S743" s="57" t="n">
        <f aca="false">IFERROR(INDEX(RATES!$E$6:$E$28,MATCH(P743,RATES!$A$6:$A$28,0)),0)</f>
        <v>45.6175</v>
      </c>
      <c r="T743" s="61" t="n">
        <f aca="false">IF(ISNUMBER(R743),R743,0)*S743</f>
        <v>68.42625</v>
      </c>
      <c r="U743" s="61" t="n">
        <f aca="false">T743*INDEX(INPUTS!$H$10:$H$14,MATCH(B743,INPUTS!$A$10:$A$14,0))</f>
        <v>11.0850525</v>
      </c>
      <c r="V743" s="61" t="n">
        <f aca="false">N(STACK!K743)</f>
        <v>0</v>
      </c>
      <c r="W743" s="61" t="n">
        <f aca="false">T743+U743+V743</f>
        <v>79.5113025</v>
      </c>
      <c r="X743" s="61" t="n">
        <f aca="false">N(STACK!L743)</f>
        <v>0</v>
      </c>
      <c r="Y743" s="61" t="n">
        <f aca="false">W743-X743</f>
        <v>79.5113025</v>
      </c>
      <c r="Z743" s="1" t="n">
        <f aca="false">N(STACK!J743)</f>
        <v>0</v>
      </c>
      <c r="AA743" s="1" t="str">
        <f aca="false">TRIM(IF(D743="UNMAPPED","Program not mapped. ","")&amp;IF(OR(K743="UNMAPPED",K743="UNASSIGNED"),"Category needs review. ","")&amp;IF(P743="UNMAPPED","Title not mapped. ","")&amp;IF(AND(P743&lt;&gt;"No staff time",R743=""),"Missing hours. ","")&amp;IF(M743="","Date not readable. ","")&amp;IF(N743="No","Outside fiscal year. ","")&amp;IF(AND(F743="Event",ISNUMBER(R743)),IF(R743&gt;12,"Event hours look high. ",""),"")&amp;IF(G743&gt;0,"See CONFIRM sheet.",""))</f>
        <v/>
      </c>
      <c r="AB743" s="1" t="n">
        <f aca="false">IF(N743="No",0,IF(REVIEW!O743=0,0,IF(G743&gt;0,IF(INDEX(CONFIRM!$J$5:$J$53,G743)&lt;&gt;"",INDEX(CONFIRM!$J$5:$J$53,G743),1),1)))</f>
        <v>1</v>
      </c>
      <c r="AC743" s="1" t="n">
        <f aca="false">IF(AB743=1,IF(COUNTIFS($B$5:B743,B743,$D$5:D743,D743,$AB$5:AB743,1)=1,1,0),0)</f>
        <v>0</v>
      </c>
    </row>
    <row r="744" customFormat="false" ht="15" hidden="false" customHeight="false" outlineLevel="0" collapsed="false">
      <c r="A744" s="48" t="str">
        <f aca="false">STACK!A744</f>
        <v>ASH-0211</v>
      </c>
      <c r="B744" s="48" t="str">
        <f aca="false">STACK!B744</f>
        <v>ASH</v>
      </c>
      <c r="C744" s="48" t="str">
        <f aca="false">STACK!E744</f>
        <v>Fall Prevention</v>
      </c>
      <c r="D744" s="1" t="str">
        <f aca="false">IFERROR(INDEX(MAP!$J$7:$J$101,MATCH(TRIM(C744),MAP!$I$7:$I$101,0)),"UNMAPPED")</f>
        <v>Fall Prevention Classes for Older Adults</v>
      </c>
      <c r="E744" s="1" t="str">
        <f aca="false">IFERROR(INDEX(MAP!$K$7:$K$101,MATCH(TRIM(C744),MAP!$I$7:$I$101,0)),"")</f>
        <v>Chronic disease prevention</v>
      </c>
      <c r="F744" s="1" t="str">
        <f aca="false">IFERROR(INDEX(MAP!$L$7:$L$101,MATCH(TRIM(C744),MAP!$I$7:$I$101,0)),"")</f>
        <v>Event</v>
      </c>
      <c r="G744" s="1" t="n">
        <f aca="false">IFERROR(MATCH(A744,CONFIRM!$A$5:$A$53,0),0)</f>
        <v>0</v>
      </c>
      <c r="H744" s="48" t="str">
        <f aca="false">STACK!F744</f>
        <v>Comm Hlth Ed</v>
      </c>
      <c r="I744" s="1" t="str">
        <f aca="false">IF(G744&gt;0,IF(INDEX(CONFIRM!$I$5:$I$53,G744)&lt;&gt;"",INDEX(CONFIRM!$I$5:$I$53,G744),H744),H744)</f>
        <v>Comm Hlth Ed</v>
      </c>
      <c r="J744" s="1" t="str">
        <f aca="false">IFERROR(INDEX(MAP!$F$7:$F$74,MATCH(TRIM(I744),MAP!$E$7:$E$74,0)),"UNMAPPED")</f>
        <v>Community health education</v>
      </c>
      <c r="K744" s="1" t="str">
        <f aca="false">IFERROR(INDEX(MAP!$G$7:$G$74,MATCH(TRIM(I744),MAP!$E$7:$E$74,0)),"UNMAPPED")</f>
        <v>7e</v>
      </c>
      <c r="L744" s="49" t="str">
        <f aca="false">STACK!G744</f>
        <v>04/11/2026</v>
      </c>
      <c r="M744" s="59" t="n">
        <f aca="false">IF(G744&gt;0,IF(INDEX(CONFIRM!$G$5:$G$53,G744)&lt;&gt;"",INDEX(CONFIRM!$G$5:$G$53,G744),IF(ISNUMBER(L744),L744,IFERROR(DATEVALUE(L744),""))),IF(ISNUMBER(L744),L744,IFERROR(DATEVALUE(L744),"")))</f>
        <v>46123</v>
      </c>
      <c r="N744" s="1" t="str">
        <f aca="false">IF(M744="","Check",IF(AND(M744&gt;=INPUTS!$C$6,M744&lt;=INPUTS!$C$7),"Yes","No"))</f>
        <v>Yes</v>
      </c>
      <c r="O744" s="48" t="str">
        <f aca="false">STACK!H744</f>
        <v>DPT</v>
      </c>
      <c r="P744" s="1" t="str">
        <f aca="false">IF(G744&gt;0,IF(INDEX(CONFIRM!$H$5:$H$53,G744)&lt;&gt;"",INDEX(CONFIRM!$H$5:$H$53,G744),IFERROR(INDEX(MAP!$B$7:$B$156,MATCH(TRIM(O744),MAP!$A$7:$A$156,0)),"UNMAPPED")),IFERROR(INDEX(MAP!$B$7:$B$156,MATCH(TRIM(O744),MAP!$A$7:$A$156,0)),"UNMAPPED"))</f>
        <v>Licensed Therapist</v>
      </c>
      <c r="Q744" s="48" t="n">
        <f aca="false">STACK!I744</f>
        <v>2</v>
      </c>
      <c r="R744" s="60" t="n">
        <f aca="false">IF(G744&gt;0,IF(INDEX(CONFIRM!$F$5:$F$53,G744)&lt;&gt;"",INDEX(CONFIRM!$F$5:$F$53,G744),IF(ISNUMBER(Q744),Q744,IF(Q744="","",IFERROR(VALUE(TRIM(SUBSTITUTE(SUBSTITUTE(LOWER(Q744),"hrs",""),"hr",""))),"")))),IF(ISNUMBER(Q744),Q744,IF(Q744="","",IFERROR(VALUE(TRIM(SUBSTITUTE(SUBSTITUTE(LOWER(Q744),"hrs",""),"hr",""))),""))))</f>
        <v>2</v>
      </c>
      <c r="S744" s="57" t="n">
        <f aca="false">IFERROR(INDEX(RATES!$E$6:$E$28,MATCH(P744,RATES!$A$6:$A$28,0)),0)</f>
        <v>53.97</v>
      </c>
      <c r="T744" s="61" t="n">
        <f aca="false">IF(ISNUMBER(R744),R744,0)*S744</f>
        <v>107.94</v>
      </c>
      <c r="U744" s="61" t="n">
        <f aca="false">T744*INDEX(INPUTS!$H$10:$H$14,MATCH(B744,INPUTS!$A$10:$A$14,0))</f>
        <v>17.48628</v>
      </c>
      <c r="V744" s="61" t="n">
        <f aca="false">N(STACK!K744)</f>
        <v>40</v>
      </c>
      <c r="W744" s="61" t="n">
        <f aca="false">T744+U744+V744</f>
        <v>165.42628</v>
      </c>
      <c r="X744" s="61" t="n">
        <f aca="false">N(STACK!L744)</f>
        <v>0</v>
      </c>
      <c r="Y744" s="61" t="n">
        <f aca="false">W744-X744</f>
        <v>165.42628</v>
      </c>
      <c r="Z744" s="1" t="n">
        <f aca="false">N(STACK!J744)</f>
        <v>19</v>
      </c>
      <c r="AA744" s="1" t="str">
        <f aca="false">TRIM(IF(D744="UNMAPPED","Program not mapped. ","")&amp;IF(OR(K744="UNMAPPED",K744="UNASSIGNED"),"Category needs review. ","")&amp;IF(P744="UNMAPPED","Title not mapped. ","")&amp;IF(AND(P744&lt;&gt;"No staff time",R744=""),"Missing hours. ","")&amp;IF(M744="","Date not readable. ","")&amp;IF(N744="No","Outside fiscal year. ","")&amp;IF(AND(F744="Event",ISNUMBER(R744)),IF(R744&gt;12,"Event hours look high. ",""),"")&amp;IF(G744&gt;0,"See CONFIRM sheet.",""))</f>
        <v/>
      </c>
      <c r="AB744" s="1" t="n">
        <f aca="false">IF(N744="No",0,IF(REVIEW!O744=0,0,IF(G744&gt;0,IF(INDEX(CONFIRM!$J$5:$J$53,G744)&lt;&gt;"",INDEX(CONFIRM!$J$5:$J$53,G744),1),1)))</f>
        <v>1</v>
      </c>
      <c r="AC744" s="1" t="n">
        <f aca="false">IF(AB744=1,IF(COUNTIFS($B$5:B744,B744,$D$5:D744,D744,$AB$5:AB744,1)=1,1,0),0)</f>
        <v>0</v>
      </c>
    </row>
    <row r="745" customFormat="false" ht="15" hidden="false" customHeight="false" outlineLevel="0" collapsed="false">
      <c r="A745" s="48" t="str">
        <f aca="false">STACK!A745</f>
        <v>ASH-0212</v>
      </c>
      <c r="B745" s="48" t="str">
        <f aca="false">STACK!B745</f>
        <v>ASH</v>
      </c>
      <c r="C745" s="48" t="str">
        <f aca="false">STACK!E745</f>
        <v>Grief Support</v>
      </c>
      <c r="D745" s="1" t="str">
        <f aca="false">IFERROR(INDEX(MAP!$J$7:$J$101,MATCH(TRIM(C745),MAP!$I$7:$I$101,0)),"UNMAPPED")</f>
        <v>Grief Support Group</v>
      </c>
      <c r="E745" s="1" t="str">
        <f aca="false">IFERROR(INDEX(MAP!$K$7:$K$101,MATCH(TRIM(C745),MAP!$I$7:$I$101,0)),"")</f>
        <v>Behavioral health</v>
      </c>
      <c r="F745" s="1" t="str">
        <f aca="false">IFERROR(INDEX(MAP!$L$7:$L$101,MATCH(TRIM(C745),MAP!$I$7:$I$101,0)),"")</f>
        <v>Event</v>
      </c>
      <c r="G745" s="1" t="n">
        <f aca="false">IFERROR(MATCH(A745,CONFIRM!$A$5:$A$53,0),0)</f>
        <v>0</v>
      </c>
      <c r="H745" s="48" t="str">
        <f aca="false">STACK!F745</f>
        <v>Support Svcs</v>
      </c>
      <c r="I745" s="1" t="str">
        <f aca="false">IF(G745&gt;0,IF(INDEX(CONFIRM!$I$5:$I$53,G745)&lt;&gt;"",INDEX(CONFIRM!$I$5:$I$53,G745),H745),H745)</f>
        <v>Support Svcs</v>
      </c>
      <c r="J745" s="1" t="str">
        <f aca="false">IFERROR(INDEX(MAP!$F$7:$F$74,MATCH(TRIM(I745),MAP!$E$7:$E$74,0)),"UNMAPPED")</f>
        <v>Health care support services</v>
      </c>
      <c r="K745" s="1" t="str">
        <f aca="false">IFERROR(INDEX(MAP!$G$7:$G$74,MATCH(TRIM(I745),MAP!$E$7:$E$74,0)),"UNMAPPED")</f>
        <v>7e</v>
      </c>
      <c r="L745" s="49" t="str">
        <f aca="false">STACK!G745</f>
        <v>04/16/2026</v>
      </c>
      <c r="M745" s="59" t="n">
        <f aca="false">IF(G745&gt;0,IF(INDEX(CONFIRM!$G$5:$G$53,G745)&lt;&gt;"",INDEX(CONFIRM!$G$5:$G$53,G745),IF(ISNUMBER(L745),L745,IFERROR(DATEVALUE(L745),""))),IF(ISNUMBER(L745),L745,IFERROR(DATEVALUE(L745),"")))</f>
        <v>46128</v>
      </c>
      <c r="N745" s="1" t="str">
        <f aca="false">IF(M745="","Check",IF(AND(M745&gt;=INPUTS!$C$6,M745&lt;=INPUTS!$C$7),"Yes","No"))</f>
        <v>Yes</v>
      </c>
      <c r="O745" s="48" t="str">
        <f aca="false">STACK!H745</f>
        <v>Spiritual Care</v>
      </c>
      <c r="P745" s="1" t="str">
        <f aca="false">IF(G745&gt;0,IF(INDEX(CONFIRM!$H$5:$H$53,G745)&lt;&gt;"",INDEX(CONFIRM!$H$5:$H$53,G745),IFERROR(INDEX(MAP!$B$7:$B$156,MATCH(TRIM(O745),MAP!$A$7:$A$156,0)),"UNMAPPED")),IFERROR(INDEX(MAP!$B$7:$B$156,MATCH(TRIM(O745),MAP!$A$7:$A$156,0)),"UNMAPPED"))</f>
        <v>Chaplain</v>
      </c>
      <c r="Q745" s="48" t="str">
        <f aca="false">STACK!I745</f>
        <v>2.5 hrs</v>
      </c>
      <c r="R745" s="60" t="n">
        <f aca="false">IF(G745&gt;0,IF(INDEX(CONFIRM!$F$5:$F$53,G745)&lt;&gt;"",INDEX(CONFIRM!$F$5:$F$53,G745),IF(ISNUMBER(Q745),Q745,IF(Q745="","",IFERROR(VALUE(TRIM(SUBSTITUTE(SUBSTITUTE(LOWER(Q745),"hrs",""),"hr",""))),"")))),IF(ISNUMBER(Q745),Q745,IF(Q745="","",IFERROR(VALUE(TRIM(SUBSTITUTE(SUBSTITUTE(LOWER(Q745),"hrs",""),"hr",""))),""))))</f>
        <v>2.5</v>
      </c>
      <c r="S745" s="57" t="n">
        <f aca="false">IFERROR(INDEX(RATES!$E$6:$E$28,MATCH(P745,RATES!$A$6:$A$28,0)),0)</f>
        <v>39.835</v>
      </c>
      <c r="T745" s="61" t="n">
        <f aca="false">IF(ISNUMBER(R745),R745,0)*S745</f>
        <v>99.5875</v>
      </c>
      <c r="U745" s="61" t="n">
        <f aca="false">T745*INDEX(INPUTS!$H$10:$H$14,MATCH(B745,INPUTS!$A$10:$A$14,0))</f>
        <v>16.133175</v>
      </c>
      <c r="V745" s="61" t="n">
        <f aca="false">N(STACK!K745)</f>
        <v>55</v>
      </c>
      <c r="W745" s="61" t="n">
        <f aca="false">T745+U745+V745</f>
        <v>170.720675</v>
      </c>
      <c r="X745" s="61" t="n">
        <f aca="false">N(STACK!L745)</f>
        <v>0</v>
      </c>
      <c r="Y745" s="61" t="n">
        <f aca="false">W745-X745</f>
        <v>170.720675</v>
      </c>
      <c r="Z745" s="1" t="n">
        <f aca="false">N(STACK!J745)</f>
        <v>12</v>
      </c>
      <c r="AA745" s="1" t="str">
        <f aca="false">TRIM(IF(D745="UNMAPPED","Program not mapped. ","")&amp;IF(OR(K745="UNMAPPED",K745="UNASSIGNED"),"Category needs review. ","")&amp;IF(P745="UNMAPPED","Title not mapped. ","")&amp;IF(AND(P745&lt;&gt;"No staff time",R745=""),"Missing hours. ","")&amp;IF(M745="","Date not readable. ","")&amp;IF(N745="No","Outside fiscal year. ","")&amp;IF(AND(F745="Event",ISNUMBER(R745)),IF(R745&gt;12,"Event hours look high. ",""),"")&amp;IF(G745&gt;0,"See CONFIRM sheet.",""))</f>
        <v/>
      </c>
      <c r="AB745" s="1" t="n">
        <f aca="false">IF(N745="No",0,IF(REVIEW!O745=0,0,IF(G745&gt;0,IF(INDEX(CONFIRM!$J$5:$J$53,G745)&lt;&gt;"",INDEX(CONFIRM!$J$5:$J$53,G745),1),1)))</f>
        <v>1</v>
      </c>
      <c r="AC745" s="1" t="n">
        <f aca="false">IF(AB745=1,IF(COUNTIFS($B$5:B745,B745,$D$5:D745,D745,$AB$5:AB745,1)=1,1,0),0)</f>
        <v>0</v>
      </c>
    </row>
    <row r="746" customFormat="false" ht="15" hidden="false" customHeight="false" outlineLevel="0" collapsed="false">
      <c r="A746" s="48" t="str">
        <f aca="false">STACK!A746</f>
        <v>ASH-0213</v>
      </c>
      <c r="B746" s="48" t="str">
        <f aca="false">STACK!B746</f>
        <v>ASH</v>
      </c>
      <c r="C746" s="48" t="str">
        <f aca="false">STACK!E746</f>
        <v>Grief Support</v>
      </c>
      <c r="D746" s="1" t="str">
        <f aca="false">IFERROR(INDEX(MAP!$J$7:$J$101,MATCH(TRIM(C746),MAP!$I$7:$I$101,0)),"UNMAPPED")</f>
        <v>Grief Support Group</v>
      </c>
      <c r="E746" s="1" t="str">
        <f aca="false">IFERROR(INDEX(MAP!$K$7:$K$101,MATCH(TRIM(C746),MAP!$I$7:$I$101,0)),"")</f>
        <v>Behavioral health</v>
      </c>
      <c r="F746" s="1" t="str">
        <f aca="false">IFERROR(INDEX(MAP!$L$7:$L$101,MATCH(TRIM(C746),MAP!$I$7:$I$101,0)),"")</f>
        <v>Event</v>
      </c>
      <c r="G746" s="1" t="n">
        <f aca="false">IFERROR(MATCH(A746,CONFIRM!$A$5:$A$53,0),0)</f>
        <v>0</v>
      </c>
      <c r="H746" s="48" t="str">
        <f aca="false">STACK!F746</f>
        <v>Support Svcs</v>
      </c>
      <c r="I746" s="1" t="str">
        <f aca="false">IF(G746&gt;0,IF(INDEX(CONFIRM!$I$5:$I$53,G746)&lt;&gt;"",INDEX(CONFIRM!$I$5:$I$53,G746),H746),H746)</f>
        <v>Support Svcs</v>
      </c>
      <c r="J746" s="1" t="str">
        <f aca="false">IFERROR(INDEX(MAP!$F$7:$F$74,MATCH(TRIM(I746),MAP!$E$7:$E$74,0)),"UNMAPPED")</f>
        <v>Health care support services</v>
      </c>
      <c r="K746" s="1" t="str">
        <f aca="false">IFERROR(INDEX(MAP!$G$7:$G$74,MATCH(TRIM(I746),MAP!$E$7:$E$74,0)),"UNMAPPED")</f>
        <v>7e</v>
      </c>
      <c r="L746" s="49" t="str">
        <f aca="false">STACK!G746</f>
        <v>04/16/2026</v>
      </c>
      <c r="M746" s="59" t="n">
        <f aca="false">IF(G746&gt;0,IF(INDEX(CONFIRM!$G$5:$G$53,G746)&lt;&gt;"",INDEX(CONFIRM!$G$5:$G$53,G746),IF(ISNUMBER(L746),L746,IFERROR(DATEVALUE(L746),""))),IF(ISNUMBER(L746),L746,IFERROR(DATEVALUE(L746),"")))</f>
        <v>46128</v>
      </c>
      <c r="N746" s="1" t="str">
        <f aca="false">IF(M746="","Check",IF(AND(M746&gt;=INPUTS!$C$6,M746&lt;=INPUTS!$C$7),"Yes","No"))</f>
        <v>Yes</v>
      </c>
      <c r="O746" s="48" t="str">
        <f aca="false">STACK!H746</f>
        <v>LMSW</v>
      </c>
      <c r="P746" s="1" t="str">
        <f aca="false">IF(G746&gt;0,IF(INDEX(CONFIRM!$H$5:$H$53,G746)&lt;&gt;"",INDEX(CONFIRM!$H$5:$H$53,G746),IFERROR(INDEX(MAP!$B$7:$B$156,MATCH(TRIM(O746),MAP!$A$7:$A$156,0)),"UNMAPPED")),IFERROR(INDEX(MAP!$B$7:$B$156,MATCH(TRIM(O746),MAP!$A$7:$A$156,0)),"UNMAPPED"))</f>
        <v>Social Worker</v>
      </c>
      <c r="Q746" s="48" t="n">
        <f aca="false">STACK!I746</f>
        <v>1.75</v>
      </c>
      <c r="R746" s="60" t="n">
        <f aca="false">IF(G746&gt;0,IF(INDEX(CONFIRM!$F$5:$F$53,G746)&lt;&gt;"",INDEX(CONFIRM!$F$5:$F$53,G746),IF(ISNUMBER(Q746),Q746,IF(Q746="","",IFERROR(VALUE(TRIM(SUBSTITUTE(SUBSTITUTE(LOWER(Q746),"hrs",""),"hr",""))),"")))),IF(ISNUMBER(Q746),Q746,IF(Q746="","",IFERROR(VALUE(TRIM(SUBSTITUTE(SUBSTITUTE(LOWER(Q746),"hrs",""),"hr",""))),""))))</f>
        <v>1.75</v>
      </c>
      <c r="S746" s="57" t="n">
        <f aca="false">IFERROR(INDEX(RATES!$E$6:$E$28,MATCH(P746,RATES!$A$6:$A$28,0)),0)</f>
        <v>45.6175</v>
      </c>
      <c r="T746" s="61" t="n">
        <f aca="false">IF(ISNUMBER(R746),R746,0)*S746</f>
        <v>79.830625</v>
      </c>
      <c r="U746" s="61" t="n">
        <f aca="false">T746*INDEX(INPUTS!$H$10:$H$14,MATCH(B746,INPUTS!$A$10:$A$14,0))</f>
        <v>12.93256125</v>
      </c>
      <c r="V746" s="61" t="n">
        <f aca="false">N(STACK!K746)</f>
        <v>0</v>
      </c>
      <c r="W746" s="61" t="n">
        <f aca="false">T746+U746+V746</f>
        <v>92.76318625</v>
      </c>
      <c r="X746" s="61" t="n">
        <f aca="false">N(STACK!L746)</f>
        <v>0</v>
      </c>
      <c r="Y746" s="61" t="n">
        <f aca="false">W746-X746</f>
        <v>92.76318625</v>
      </c>
      <c r="Z746" s="1" t="n">
        <f aca="false">N(STACK!J746)</f>
        <v>0</v>
      </c>
      <c r="AA746" s="1" t="str">
        <f aca="false">TRIM(IF(D746="UNMAPPED","Program not mapped. ","")&amp;IF(OR(K746="UNMAPPED",K746="UNASSIGNED"),"Category needs review. ","")&amp;IF(P746="UNMAPPED","Title not mapped. ","")&amp;IF(AND(P746&lt;&gt;"No staff time",R746=""),"Missing hours. ","")&amp;IF(M746="","Date not readable. ","")&amp;IF(N746="No","Outside fiscal year. ","")&amp;IF(AND(F746="Event",ISNUMBER(R746)),IF(R746&gt;12,"Event hours look high. ",""),"")&amp;IF(G746&gt;0,"See CONFIRM sheet.",""))</f>
        <v/>
      </c>
      <c r="AB746" s="1" t="n">
        <f aca="false">IF(N746="No",0,IF(REVIEW!O746=0,0,IF(G746&gt;0,IF(INDEX(CONFIRM!$J$5:$J$53,G746)&lt;&gt;"",INDEX(CONFIRM!$J$5:$J$53,G746),1),1)))</f>
        <v>1</v>
      </c>
      <c r="AC746" s="1" t="n">
        <f aca="false">IF(AB746=1,IF(COUNTIFS($B$5:B746,B746,$D$5:D746,D746,$AB$5:AB746,1)=1,1,0),0)</f>
        <v>0</v>
      </c>
    </row>
    <row r="747" customFormat="false" ht="15" hidden="false" customHeight="false" outlineLevel="0" collapsed="false">
      <c r="A747" s="48" t="str">
        <f aca="false">STACK!A747</f>
        <v>ASH-0214</v>
      </c>
      <c r="B747" s="48" t="str">
        <f aca="false">STACK!B747</f>
        <v>ASH</v>
      </c>
      <c r="C747" s="48" t="str">
        <f aca="false">STACK!E747</f>
        <v>Regional Health Coalition Mtg</v>
      </c>
      <c r="D747" s="1" t="str">
        <f aca="false">IFERROR(INDEX(MAP!$J$7:$J$101,MATCH(TRIM(C747),MAP!$I$7:$I$101,0)),"UNMAPPED")</f>
        <v>Regional Health Coalition</v>
      </c>
      <c r="E747" s="1" t="str">
        <f aca="false">IFERROR(INDEX(MAP!$K$7:$K$101,MATCH(TRIM(C747),MAP!$I$7:$I$101,0)),"")</f>
        <v>Community benefit infrastructure</v>
      </c>
      <c r="F747" s="1" t="str">
        <f aca="false">IFERROR(INDEX(MAP!$L$7:$L$101,MATCH(TRIM(C747),MAP!$I$7:$I$101,0)),"")</f>
        <v>Event</v>
      </c>
      <c r="G747" s="1" t="n">
        <f aca="false">IFERROR(MATCH(A747,CONFIRM!$A$5:$A$53,0),0)</f>
        <v>0</v>
      </c>
      <c r="H747" s="48" t="str">
        <f aca="false">STACK!F747</f>
        <v>CB-Coalition Bldg</v>
      </c>
      <c r="I747" s="1" t="str">
        <f aca="false">IF(G747&gt;0,IF(INDEX(CONFIRM!$I$5:$I$53,G747)&lt;&gt;"",INDEX(CONFIRM!$I$5:$I$53,G747),H747),H747)</f>
        <v>CB-Coalition Bldg</v>
      </c>
      <c r="J747" s="1" t="str">
        <f aca="false">IFERROR(INDEX(MAP!$F$7:$F$74,MATCH(TRIM(I747),MAP!$E$7:$E$74,0)),"UNMAPPED")</f>
        <v>Community building: coalition building</v>
      </c>
      <c r="K747" s="1" t="str">
        <f aca="false">IFERROR(INDEX(MAP!$G$7:$G$74,MATCH(TRIM(I747),MAP!$E$7:$E$74,0)),"UNMAPPED")</f>
        <v>II-6</v>
      </c>
      <c r="L747" s="49" t="str">
        <f aca="false">STACK!G747</f>
        <v>04/17/2026</v>
      </c>
      <c r="M747" s="59" t="n">
        <f aca="false">IF(G747&gt;0,IF(INDEX(CONFIRM!$G$5:$G$53,G747)&lt;&gt;"",INDEX(CONFIRM!$G$5:$G$53,G747),IF(ISNUMBER(L747),L747,IFERROR(DATEVALUE(L747),""))),IF(ISNUMBER(L747),L747,IFERROR(DATEVALUE(L747),"")))</f>
        <v>46129</v>
      </c>
      <c r="N747" s="1" t="str">
        <f aca="false">IF(M747="","Check",IF(AND(M747&gt;=INPUTS!$C$6,M747&lt;=INPUTS!$C$7),"Yes","No"))</f>
        <v>Yes</v>
      </c>
      <c r="O747" s="48" t="str">
        <f aca="false">STACK!H747</f>
        <v>Community Health Manager</v>
      </c>
      <c r="P747" s="1" t="str">
        <f aca="false">IF(G747&gt;0,IF(INDEX(CONFIRM!$H$5:$H$53,G747)&lt;&gt;"",INDEX(CONFIRM!$H$5:$H$53,G747),IFERROR(INDEX(MAP!$B$7:$B$156,MATCH(TRIM(O747),MAP!$A$7:$A$156,0)),"UNMAPPED")),IFERROR(INDEX(MAP!$B$7:$B$156,MATCH(TRIM(O747),MAP!$A$7:$A$156,0)),"UNMAPPED"))</f>
        <v>Community Benefit Manager</v>
      </c>
      <c r="Q747" s="48" t="n">
        <f aca="false">STACK!I747</f>
        <v>2</v>
      </c>
      <c r="R747" s="60" t="n">
        <f aca="false">IF(G747&gt;0,IF(INDEX(CONFIRM!$F$5:$F$53,G747)&lt;&gt;"",INDEX(CONFIRM!$F$5:$F$53,G747),IF(ISNUMBER(Q747),Q747,IF(Q747="","",IFERROR(VALUE(TRIM(SUBSTITUTE(SUBSTITUTE(LOWER(Q747),"hrs",""),"hr",""))),"")))),IF(ISNUMBER(Q747),Q747,IF(Q747="","",IFERROR(VALUE(TRIM(SUBSTITUTE(SUBSTITUTE(LOWER(Q747),"hrs",""),"hr",""))),""))))</f>
        <v>2</v>
      </c>
      <c r="S747" s="57" t="n">
        <f aca="false">IFERROR(INDEX(RATES!$E$6:$E$28,MATCH(P747,RATES!$A$6:$A$28,0)),0)</f>
        <v>59.11</v>
      </c>
      <c r="T747" s="61" t="n">
        <f aca="false">IF(ISNUMBER(R747),R747,0)*S747</f>
        <v>118.22</v>
      </c>
      <c r="U747" s="61" t="n">
        <f aca="false">T747*INDEX(INPUTS!$H$10:$H$14,MATCH(B747,INPUTS!$A$10:$A$14,0))</f>
        <v>19.15164</v>
      </c>
      <c r="V747" s="61" t="n">
        <f aca="false">N(STACK!K747)</f>
        <v>0</v>
      </c>
      <c r="W747" s="61" t="n">
        <f aca="false">T747+U747+V747</f>
        <v>137.37164</v>
      </c>
      <c r="X747" s="61" t="n">
        <f aca="false">N(STACK!L747)</f>
        <v>0</v>
      </c>
      <c r="Y747" s="61" t="n">
        <f aca="false">W747-X747</f>
        <v>137.37164</v>
      </c>
      <c r="Z747" s="1" t="n">
        <f aca="false">N(STACK!J747)</f>
        <v>0</v>
      </c>
      <c r="AA747" s="1" t="str">
        <f aca="false">TRIM(IF(D747="UNMAPPED","Program not mapped. ","")&amp;IF(OR(K747="UNMAPPED",K747="UNASSIGNED"),"Category needs review. ","")&amp;IF(P747="UNMAPPED","Title not mapped. ","")&amp;IF(AND(P747&lt;&gt;"No staff time",R747=""),"Missing hours. ","")&amp;IF(M747="","Date not readable. ","")&amp;IF(N747="No","Outside fiscal year. ","")&amp;IF(AND(F747="Event",ISNUMBER(R747)),IF(R747&gt;12,"Event hours look high. ",""),"")&amp;IF(G747&gt;0,"See CONFIRM sheet.",""))</f>
        <v/>
      </c>
      <c r="AB747" s="1" t="n">
        <f aca="false">IF(N747="No",0,IF(REVIEW!O747=0,0,IF(G747&gt;0,IF(INDEX(CONFIRM!$J$5:$J$53,G747)&lt;&gt;"",INDEX(CONFIRM!$J$5:$J$53,G747),1),1)))</f>
        <v>1</v>
      </c>
      <c r="AC747" s="1" t="n">
        <f aca="false">IF(AB747=1,IF(COUNTIFS($B$5:B747,B747,$D$5:D747,D747,$AB$5:AB747,1)=1,1,0),0)</f>
        <v>0</v>
      </c>
    </row>
    <row r="748" customFormat="false" ht="15" hidden="false" customHeight="false" outlineLevel="0" collapsed="false">
      <c r="A748" s="48" t="str">
        <f aca="false">STACK!A748</f>
        <v>ASH-0215</v>
      </c>
      <c r="B748" s="48" t="str">
        <f aca="false">STACK!B748</f>
        <v>ASH</v>
      </c>
      <c r="C748" s="48" t="str">
        <f aca="false">STACK!E748</f>
        <v>Regional Health Coalition Mtg</v>
      </c>
      <c r="D748" s="1" t="str">
        <f aca="false">IFERROR(INDEX(MAP!$J$7:$J$101,MATCH(TRIM(C748),MAP!$I$7:$I$101,0)),"UNMAPPED")</f>
        <v>Regional Health Coalition</v>
      </c>
      <c r="E748" s="1" t="str">
        <f aca="false">IFERROR(INDEX(MAP!$K$7:$K$101,MATCH(TRIM(C748),MAP!$I$7:$I$101,0)),"")</f>
        <v>Community benefit infrastructure</v>
      </c>
      <c r="F748" s="1" t="str">
        <f aca="false">IFERROR(INDEX(MAP!$L$7:$L$101,MATCH(TRIM(C748),MAP!$I$7:$I$101,0)),"")</f>
        <v>Event</v>
      </c>
      <c r="G748" s="1" t="n">
        <f aca="false">IFERROR(MATCH(A748,CONFIRM!$A$5:$A$53,0),0)</f>
        <v>0</v>
      </c>
      <c r="H748" s="48" t="str">
        <f aca="false">STACK!F748</f>
        <v>CB-Coalition Bldg</v>
      </c>
      <c r="I748" s="1" t="str">
        <f aca="false">IF(G748&gt;0,IF(INDEX(CONFIRM!$I$5:$I$53,G748)&lt;&gt;"",INDEX(CONFIRM!$I$5:$I$53,G748),H748),H748)</f>
        <v>CB-Coalition Bldg</v>
      </c>
      <c r="J748" s="1" t="str">
        <f aca="false">IFERROR(INDEX(MAP!$F$7:$F$74,MATCH(TRIM(I748),MAP!$E$7:$E$74,0)),"UNMAPPED")</f>
        <v>Community building: coalition building</v>
      </c>
      <c r="K748" s="1" t="str">
        <f aca="false">IFERROR(INDEX(MAP!$G$7:$G$74,MATCH(TRIM(I748),MAP!$E$7:$E$74,0)),"UNMAPPED")</f>
        <v>II-6</v>
      </c>
      <c r="L748" s="49" t="str">
        <f aca="false">STACK!G748</f>
        <v>04/17/2026</v>
      </c>
      <c r="M748" s="59" t="n">
        <f aca="false">IF(G748&gt;0,IF(INDEX(CONFIRM!$G$5:$G$53,G748)&lt;&gt;"",INDEX(CONFIRM!$G$5:$G$53,G748),IF(ISNUMBER(L748),L748,IFERROR(DATEVALUE(L748),""))),IF(ISNUMBER(L748),L748,IFERROR(DATEVALUE(L748),"")))</f>
        <v>46129</v>
      </c>
      <c r="N748" s="1" t="str">
        <f aca="false">IF(M748="","Check",IF(AND(M748&gt;=INPUTS!$C$6,M748&lt;=INPUTS!$C$7),"Yes","No"))</f>
        <v>Yes</v>
      </c>
      <c r="O748" s="48" t="str">
        <f aca="false">STACK!H748</f>
        <v>Assoc. Director</v>
      </c>
      <c r="P748" s="1" t="str">
        <f aca="false">IF(G748&gt;0,IF(INDEX(CONFIRM!$H$5:$H$53,G748)&lt;&gt;"",INDEX(CONFIRM!$H$5:$H$53,G748),IFERROR(INDEX(MAP!$B$7:$B$156,MATCH(TRIM(O748),MAP!$A$7:$A$156,0)),"UNMAPPED")),IFERROR(INDEX(MAP!$B$7:$B$156,MATCH(TRIM(O748),MAP!$A$7:$A$156,0)),"UNMAPPED"))</f>
        <v>Director</v>
      </c>
      <c r="Q748" s="48" t="n">
        <f aca="false">STACK!I748</f>
        <v>2.25</v>
      </c>
      <c r="R748" s="60" t="n">
        <f aca="false">IF(G748&gt;0,IF(INDEX(CONFIRM!$F$5:$F$53,G748)&lt;&gt;"",INDEX(CONFIRM!$F$5:$F$53,G748),IF(ISNUMBER(Q748),Q748,IF(Q748="","",IFERROR(VALUE(TRIM(SUBSTITUTE(SUBSTITUTE(LOWER(Q748),"hrs",""),"hr",""))),"")))),IF(ISNUMBER(Q748),Q748,IF(Q748="","",IFERROR(VALUE(TRIM(SUBSTITUTE(SUBSTITUTE(LOWER(Q748),"hrs",""),"hr",""))),""))))</f>
        <v>2.25</v>
      </c>
      <c r="S748" s="57" t="n">
        <f aca="false">IFERROR(INDEX(RATES!$E$6:$E$28,MATCH(P748,RATES!$A$6:$A$28,0)),0)</f>
        <v>92.52</v>
      </c>
      <c r="T748" s="61" t="n">
        <f aca="false">IF(ISNUMBER(R748),R748,0)*S748</f>
        <v>208.17</v>
      </c>
      <c r="U748" s="61" t="n">
        <f aca="false">T748*INDEX(INPUTS!$H$10:$H$14,MATCH(B748,INPUTS!$A$10:$A$14,0))</f>
        <v>33.72354</v>
      </c>
      <c r="V748" s="61" t="n">
        <f aca="false">N(STACK!K748)</f>
        <v>15</v>
      </c>
      <c r="W748" s="61" t="n">
        <f aca="false">T748+U748+V748</f>
        <v>256.89354</v>
      </c>
      <c r="X748" s="61" t="n">
        <f aca="false">N(STACK!L748)</f>
        <v>0</v>
      </c>
      <c r="Y748" s="61" t="n">
        <f aca="false">W748-X748</f>
        <v>256.89354</v>
      </c>
      <c r="Z748" s="1" t="n">
        <f aca="false">N(STACK!J748)</f>
        <v>0</v>
      </c>
      <c r="AA748" s="1" t="str">
        <f aca="false">TRIM(IF(D748="UNMAPPED","Program not mapped. ","")&amp;IF(OR(K748="UNMAPPED",K748="UNASSIGNED"),"Category needs review. ","")&amp;IF(P748="UNMAPPED","Title not mapped. ","")&amp;IF(AND(P748&lt;&gt;"No staff time",R748=""),"Missing hours. ","")&amp;IF(M748="","Date not readable. ","")&amp;IF(N748="No","Outside fiscal year. ","")&amp;IF(AND(F748="Event",ISNUMBER(R748)),IF(R748&gt;12,"Event hours look high. ",""),"")&amp;IF(G748&gt;0,"See CONFIRM sheet.",""))</f>
        <v/>
      </c>
      <c r="AB748" s="1" t="n">
        <f aca="false">IF(N748="No",0,IF(REVIEW!O748=0,0,IF(G748&gt;0,IF(INDEX(CONFIRM!$J$5:$J$53,G748)&lt;&gt;"",INDEX(CONFIRM!$J$5:$J$53,G748),1),1)))</f>
        <v>1</v>
      </c>
      <c r="AC748" s="1" t="n">
        <f aca="false">IF(AB748=1,IF(COUNTIFS($B$5:B748,B748,$D$5:D748,D748,$AB$5:AB748,1)=1,1,0),0)</f>
        <v>0</v>
      </c>
    </row>
    <row r="749" customFormat="false" ht="15" hidden="false" customHeight="false" outlineLevel="0" collapsed="false">
      <c r="A749" s="48" t="str">
        <f aca="false">STACK!A749</f>
        <v>ASH-0216</v>
      </c>
      <c r="B749" s="48" t="str">
        <f aca="false">STACK!B749</f>
        <v>ASH</v>
      </c>
      <c r="C749" s="48" t="str">
        <f aca="false">STACK!E749</f>
        <v>In-Kind Supplies</v>
      </c>
      <c r="D749" s="1" t="str">
        <f aca="false">IFERROR(INDEX(MAP!$J$7:$J$101,MATCH(TRIM(C749),MAP!$I$7:$I$101,0)),"UNMAPPED")</f>
        <v>In-Kind Medical Supply Donations</v>
      </c>
      <c r="E749" s="1" t="str">
        <f aca="false">IFERROR(INDEX(MAP!$K$7:$K$101,MATCH(TRIM(C749),MAP!$I$7:$I$101,0)),"")</f>
        <v>Access to care</v>
      </c>
      <c r="F749" s="1" t="str">
        <f aca="false">IFERROR(INDEX(MAP!$L$7:$L$101,MATCH(TRIM(C749),MAP!$I$7:$I$101,0)),"")</f>
        <v>Contribution</v>
      </c>
      <c r="G749" s="1" t="n">
        <f aca="false">IFERROR(MATCH(A749,CONFIRM!$A$5:$A$53,0),0)</f>
        <v>0</v>
      </c>
      <c r="H749" s="48" t="str">
        <f aca="false">STACK!F749</f>
        <v>Contributions</v>
      </c>
      <c r="I749" s="1" t="str">
        <f aca="false">IF(G749&gt;0,IF(INDEX(CONFIRM!$I$5:$I$53,G749)&lt;&gt;"",INDEX(CONFIRM!$I$5:$I$53,G749),H749),H749)</f>
        <v>Contributions</v>
      </c>
      <c r="J749" s="1" t="str">
        <f aca="false">IFERROR(INDEX(MAP!$F$7:$F$74,MATCH(TRIM(I749),MAP!$E$7:$E$74,0)),"UNMAPPED")</f>
        <v>Cash and in-kind contributions</v>
      </c>
      <c r="K749" s="1" t="str">
        <f aca="false">IFERROR(INDEX(MAP!$G$7:$G$74,MATCH(TRIM(I749),MAP!$E$7:$E$74,0)),"UNMAPPED")</f>
        <v>7i</v>
      </c>
      <c r="L749" s="49" t="str">
        <f aca="false">STACK!G749</f>
        <v>04/20/2026</v>
      </c>
      <c r="M749" s="59" t="n">
        <f aca="false">IF(G749&gt;0,IF(INDEX(CONFIRM!$G$5:$G$53,G749)&lt;&gt;"",INDEX(CONFIRM!$G$5:$G$53,G749),IF(ISNUMBER(L749),L749,IFERROR(DATEVALUE(L749),""))),IF(ISNUMBER(L749),L749,IFERROR(DATEVALUE(L749),"")))</f>
        <v>46132</v>
      </c>
      <c r="N749" s="1" t="str">
        <f aca="false">IF(M749="","Check",IF(AND(M749&gt;=INPUTS!$C$6,M749&lt;=INPUTS!$C$7),"Yes","No"))</f>
        <v>Yes</v>
      </c>
      <c r="O749" s="48" t="str">
        <f aca="false">STACK!H749</f>
        <v>N/A</v>
      </c>
      <c r="P749" s="1" t="str">
        <f aca="false">IF(G749&gt;0,IF(INDEX(CONFIRM!$H$5:$H$53,G749)&lt;&gt;"",INDEX(CONFIRM!$H$5:$H$53,G749),IFERROR(INDEX(MAP!$B$7:$B$156,MATCH(TRIM(O749),MAP!$A$7:$A$156,0)),"UNMAPPED")),IFERROR(INDEX(MAP!$B$7:$B$156,MATCH(TRIM(O749),MAP!$A$7:$A$156,0)),"UNMAPPED"))</f>
        <v>No staff time</v>
      </c>
      <c r="Q749" s="48" t="str">
        <f aca="false">STACK!I749</f>
        <v/>
      </c>
      <c r="R749" s="60" t="str">
        <f aca="false">IF(G749&gt;0,IF(INDEX(CONFIRM!$F$5:$F$53,G749)&lt;&gt;"",INDEX(CONFIRM!$F$5:$F$53,G749),IF(ISNUMBER(Q749),Q749,IF(Q749="","",IFERROR(VALUE(TRIM(SUBSTITUTE(SUBSTITUTE(LOWER(Q749),"hrs",""),"hr",""))),"")))),IF(ISNUMBER(Q749),Q749,IF(Q749="","",IFERROR(VALUE(TRIM(SUBSTITUTE(SUBSTITUTE(LOWER(Q749),"hrs",""),"hr",""))),""))))</f>
        <v/>
      </c>
      <c r="S749" s="57" t="n">
        <f aca="false">IFERROR(INDEX(RATES!$E$6:$E$28,MATCH(P749,RATES!$A$6:$A$28,0)),0)</f>
        <v>0</v>
      </c>
      <c r="T749" s="61" t="n">
        <f aca="false">IF(ISNUMBER(R749),R749,0)*S749</f>
        <v>0</v>
      </c>
      <c r="U749" s="61" t="n">
        <f aca="false">T749*INDEX(INPUTS!$H$10:$H$14,MATCH(B749,INPUTS!$A$10:$A$14,0))</f>
        <v>0</v>
      </c>
      <c r="V749" s="61" t="n">
        <f aca="false">N(STACK!K749)</f>
        <v>7505</v>
      </c>
      <c r="W749" s="61" t="n">
        <f aca="false">T749+U749+V749</f>
        <v>7505</v>
      </c>
      <c r="X749" s="61" t="n">
        <f aca="false">N(STACK!L749)</f>
        <v>0</v>
      </c>
      <c r="Y749" s="61" t="n">
        <f aca="false">W749-X749</f>
        <v>7505</v>
      </c>
      <c r="Z749" s="1" t="n">
        <f aca="false">N(STACK!J749)</f>
        <v>0</v>
      </c>
      <c r="AA749" s="1" t="str">
        <f aca="false">TRIM(IF(D749="UNMAPPED","Program not mapped. ","")&amp;IF(OR(K749="UNMAPPED",K749="UNASSIGNED"),"Category needs review. ","")&amp;IF(P749="UNMAPPED","Title not mapped. ","")&amp;IF(AND(P749&lt;&gt;"No staff time",R749=""),"Missing hours. ","")&amp;IF(M749="","Date not readable. ","")&amp;IF(N749="No","Outside fiscal year. ","")&amp;IF(AND(F749="Event",ISNUMBER(R749)),IF(R749&gt;12,"Event hours look high. ",""),"")&amp;IF(G749&gt;0,"See CONFIRM sheet.",""))</f>
        <v/>
      </c>
      <c r="AB749" s="1" t="n">
        <f aca="false">IF(N749="No",0,IF(REVIEW!O749=0,0,IF(G749&gt;0,IF(INDEX(CONFIRM!$J$5:$J$53,G749)&lt;&gt;"",INDEX(CONFIRM!$J$5:$J$53,G749),1),1)))</f>
        <v>1</v>
      </c>
      <c r="AC749" s="1" t="n">
        <f aca="false">IF(AB749=1,IF(COUNTIFS($B$5:B749,B749,$D$5:D749,D749,$AB$5:AB749,1)=1,1,0),0)</f>
        <v>0</v>
      </c>
    </row>
    <row r="750" customFormat="false" ht="15" hidden="false" customHeight="false" outlineLevel="0" collapsed="false">
      <c r="A750" s="48" t="str">
        <f aca="false">STACK!A750</f>
        <v>ASH-0217</v>
      </c>
      <c r="B750" s="48" t="str">
        <f aca="false">STACK!B750</f>
        <v>ASH</v>
      </c>
      <c r="C750" s="48" t="str">
        <f aca="false">STACK!E750</f>
        <v>Mobile Screening Unit</v>
      </c>
      <c r="D750" s="1" t="str">
        <f aca="false">IFERROR(INDEX(MAP!$J$7:$J$101,MATCH(TRIM(C750),MAP!$I$7:$I$101,0)),"UNMAPPED")</f>
        <v>Mobile Health Screening Unit</v>
      </c>
      <c r="E750" s="1" t="str">
        <f aca="false">IFERROR(INDEX(MAP!$K$7:$K$101,MATCH(TRIM(C750),MAP!$I$7:$I$101,0)),"")</f>
        <v>Access to care</v>
      </c>
      <c r="F750" s="1" t="str">
        <f aca="false">IFERROR(INDEX(MAP!$L$7:$L$101,MATCH(TRIM(C750),MAP!$I$7:$I$101,0)),"")</f>
        <v>Monthly</v>
      </c>
      <c r="G750" s="1" t="n">
        <f aca="false">IFERROR(MATCH(A750,CONFIRM!$A$5:$A$53,0),0)</f>
        <v>0</v>
      </c>
      <c r="H750" s="48" t="str">
        <f aca="false">STACK!F750</f>
        <v>Clinical Svcs</v>
      </c>
      <c r="I750" s="1" t="str">
        <f aca="false">IF(G750&gt;0,IF(INDEX(CONFIRM!$I$5:$I$53,G750)&lt;&gt;"",INDEX(CONFIRM!$I$5:$I$53,G750),H750),H750)</f>
        <v>Clinical Svcs</v>
      </c>
      <c r="J750" s="1" t="str">
        <f aca="false">IFERROR(INDEX(MAP!$F$7:$F$74,MATCH(TRIM(I750),MAP!$E$7:$E$74,0)),"UNMAPPED")</f>
        <v>Community-based clinical services</v>
      </c>
      <c r="K750" s="1" t="str">
        <f aca="false">IFERROR(INDEX(MAP!$G$7:$G$74,MATCH(TRIM(I750),MAP!$E$7:$E$74,0)),"UNMAPPED")</f>
        <v>7e</v>
      </c>
      <c r="L750" s="49" t="str">
        <f aca="false">STACK!G750</f>
        <v>04/30/2026</v>
      </c>
      <c r="M750" s="59" t="n">
        <f aca="false">IF(G750&gt;0,IF(INDEX(CONFIRM!$G$5:$G$53,G750)&lt;&gt;"",INDEX(CONFIRM!$G$5:$G$53,G750),IF(ISNUMBER(L750),L750,IFERROR(DATEVALUE(L750),""))),IF(ISNUMBER(L750),L750,IFERROR(DATEVALUE(L750),"")))</f>
        <v>46142</v>
      </c>
      <c r="N750" s="1" t="str">
        <f aca="false">IF(M750="","Check",IF(AND(M750&gt;=INPUTS!$C$6,M750&lt;=INPUTS!$C$7),"Yes","No"))</f>
        <v>Yes</v>
      </c>
      <c r="O750" s="48" t="str">
        <f aca="false">STACK!H750</f>
        <v>CHW II</v>
      </c>
      <c r="P750" s="1" t="str">
        <f aca="false">IF(G750&gt;0,IF(INDEX(CONFIRM!$H$5:$H$53,G750)&lt;&gt;"",INDEX(CONFIRM!$H$5:$H$53,G750),IFERROR(INDEX(MAP!$B$7:$B$156,MATCH(TRIM(O750),MAP!$A$7:$A$156,0)),"UNMAPPED")),IFERROR(INDEX(MAP!$B$7:$B$156,MATCH(TRIM(O750),MAP!$A$7:$A$156,0)),"UNMAPPED"))</f>
        <v>Community Health Worker</v>
      </c>
      <c r="Q750" s="48" t="n">
        <f aca="false">STACK!I750</f>
        <v>80.75</v>
      </c>
      <c r="R750" s="60" t="n">
        <f aca="false">IF(G750&gt;0,IF(INDEX(CONFIRM!$F$5:$F$53,G750)&lt;&gt;"",INDEX(CONFIRM!$F$5:$F$53,G750),IF(ISNUMBER(Q750),Q750,IF(Q750="","",IFERROR(VALUE(TRIM(SUBSTITUTE(SUBSTITUTE(LOWER(Q750),"hrs",""),"hr",""))),"")))),IF(ISNUMBER(Q750),Q750,IF(Q750="","",IFERROR(VALUE(TRIM(SUBSTITUTE(SUBSTITUTE(LOWER(Q750),"hrs",""),"hr",""))),""))))</f>
        <v>80.75</v>
      </c>
      <c r="S750" s="57" t="n">
        <f aca="false">IFERROR(INDEX(RATES!$E$6:$E$28,MATCH(P750,RATES!$A$6:$A$28,0)),0)</f>
        <v>27.6275</v>
      </c>
      <c r="T750" s="61" t="n">
        <f aca="false">IF(ISNUMBER(R750),R750,0)*S750</f>
        <v>2230.920625</v>
      </c>
      <c r="U750" s="61" t="n">
        <f aca="false">T750*INDEX(INPUTS!$H$10:$H$14,MATCH(B750,INPUTS!$A$10:$A$14,0))</f>
        <v>361.40914125</v>
      </c>
      <c r="V750" s="61" t="n">
        <f aca="false">N(STACK!K750)</f>
        <v>0</v>
      </c>
      <c r="W750" s="61" t="n">
        <f aca="false">T750+U750+V750</f>
        <v>2592.32976625</v>
      </c>
      <c r="X750" s="61" t="n">
        <f aca="false">N(STACK!L750)</f>
        <v>0</v>
      </c>
      <c r="Y750" s="61" t="n">
        <f aca="false">W750-X750</f>
        <v>2592.32976625</v>
      </c>
      <c r="Z750" s="1" t="n">
        <f aca="false">N(STACK!J750)</f>
        <v>0</v>
      </c>
      <c r="AA750" s="1" t="str">
        <f aca="false">TRIM(IF(D750="UNMAPPED","Program not mapped. ","")&amp;IF(OR(K750="UNMAPPED",K750="UNASSIGNED"),"Category needs review. ","")&amp;IF(P750="UNMAPPED","Title not mapped. ","")&amp;IF(AND(P750&lt;&gt;"No staff time",R750=""),"Missing hours. ","")&amp;IF(M750="","Date not readable. ","")&amp;IF(N750="No","Outside fiscal year. ","")&amp;IF(AND(F750="Event",ISNUMBER(R750)),IF(R750&gt;12,"Event hours look high. ",""),"")&amp;IF(G750&gt;0,"See CONFIRM sheet.",""))</f>
        <v/>
      </c>
      <c r="AB750" s="1" t="n">
        <f aca="false">IF(N750="No",0,IF(REVIEW!O750=0,0,IF(G750&gt;0,IF(INDEX(CONFIRM!$J$5:$J$53,G750)&lt;&gt;"",INDEX(CONFIRM!$J$5:$J$53,G750),1),1)))</f>
        <v>1</v>
      </c>
      <c r="AC750" s="1" t="n">
        <f aca="false">IF(AB750=1,IF(COUNTIFS($B$5:B750,B750,$D$5:D750,D750,$AB$5:AB750,1)=1,1,0),0)</f>
        <v>0</v>
      </c>
    </row>
    <row r="751" customFormat="false" ht="15" hidden="false" customHeight="false" outlineLevel="0" collapsed="false">
      <c r="A751" s="48" t="str">
        <f aca="false">STACK!A751</f>
        <v>ASH-0218</v>
      </c>
      <c r="B751" s="48" t="str">
        <f aca="false">STACK!B751</f>
        <v>ASH</v>
      </c>
      <c r="C751" s="48" t="str">
        <f aca="false">STACK!E751</f>
        <v>Mobile Screening Unit</v>
      </c>
      <c r="D751" s="1" t="str">
        <f aca="false">IFERROR(INDEX(MAP!$J$7:$J$101,MATCH(TRIM(C751),MAP!$I$7:$I$101,0)),"UNMAPPED")</f>
        <v>Mobile Health Screening Unit</v>
      </c>
      <c r="E751" s="1" t="str">
        <f aca="false">IFERROR(INDEX(MAP!$K$7:$K$101,MATCH(TRIM(C751),MAP!$I$7:$I$101,0)),"")</f>
        <v>Access to care</v>
      </c>
      <c r="F751" s="1" t="str">
        <f aca="false">IFERROR(INDEX(MAP!$L$7:$L$101,MATCH(TRIM(C751),MAP!$I$7:$I$101,0)),"")</f>
        <v>Monthly</v>
      </c>
      <c r="G751" s="1" t="n">
        <f aca="false">IFERROR(MATCH(A751,CONFIRM!$A$5:$A$53,0),0)</f>
        <v>0</v>
      </c>
      <c r="H751" s="48" t="str">
        <f aca="false">STACK!F751</f>
        <v>Clinical Svcs</v>
      </c>
      <c r="I751" s="1" t="str">
        <f aca="false">IF(G751&gt;0,IF(INDEX(CONFIRM!$I$5:$I$53,G751)&lt;&gt;"",INDEX(CONFIRM!$I$5:$I$53,G751),H751),H751)</f>
        <v>Clinical Svcs</v>
      </c>
      <c r="J751" s="1" t="str">
        <f aca="false">IFERROR(INDEX(MAP!$F$7:$F$74,MATCH(TRIM(I751),MAP!$E$7:$E$74,0)),"UNMAPPED")</f>
        <v>Community-based clinical services</v>
      </c>
      <c r="K751" s="1" t="str">
        <f aca="false">IFERROR(INDEX(MAP!$G$7:$G$74,MATCH(TRIM(I751),MAP!$E$7:$E$74,0)),"UNMAPPED")</f>
        <v>7e</v>
      </c>
      <c r="L751" s="49" t="str">
        <f aca="false">STACK!G751</f>
        <v>04/30/2026</v>
      </c>
      <c r="M751" s="59" t="n">
        <f aca="false">IF(G751&gt;0,IF(INDEX(CONFIRM!$G$5:$G$53,G751)&lt;&gt;"",INDEX(CONFIRM!$G$5:$G$53,G751),IF(ISNUMBER(L751),L751,IFERROR(DATEVALUE(L751),""))),IF(ISNUMBER(L751),L751,IFERROR(DATEVALUE(L751),"")))</f>
        <v>46142</v>
      </c>
      <c r="N751" s="1" t="str">
        <f aca="false">IF(M751="","Check",IF(AND(M751&gt;=INPUTS!$C$6,M751&lt;=INPUTS!$C$7),"Yes","No"))</f>
        <v>Yes</v>
      </c>
      <c r="O751" s="48" t="str">
        <f aca="false">STACK!H751</f>
        <v>Certified Medical Assistant</v>
      </c>
      <c r="P751" s="1" t="str">
        <f aca="false">IF(G751&gt;0,IF(INDEX(CONFIRM!$H$5:$H$53,G751)&lt;&gt;"",INDEX(CONFIRM!$H$5:$H$53,G751),IFERROR(INDEX(MAP!$B$7:$B$156,MATCH(TRIM(O751),MAP!$A$7:$A$156,0)),"UNMAPPED")),IFERROR(INDEX(MAP!$B$7:$B$156,MATCH(TRIM(O751),MAP!$A$7:$A$156,0)),"UNMAPPED"))</f>
        <v>Medical Assistant</v>
      </c>
      <c r="Q751" s="48" t="n">
        <f aca="false">STACK!I751</f>
        <v>80.25</v>
      </c>
      <c r="R751" s="60" t="n">
        <f aca="false">IF(G751&gt;0,IF(INDEX(CONFIRM!$F$5:$F$53,G751)&lt;&gt;"",INDEX(CONFIRM!$F$5:$F$53,G751),IF(ISNUMBER(Q751),Q751,IF(Q751="","",IFERROR(VALUE(TRIM(SUBSTITUTE(SUBSTITUTE(LOWER(Q751),"hrs",""),"hr",""))),"")))),IF(ISNUMBER(Q751),Q751,IF(Q751="","",IFERROR(VALUE(TRIM(SUBSTITUTE(SUBSTITUTE(LOWER(Q751),"hrs",""),"hr",""))),""))))</f>
        <v>80.25</v>
      </c>
      <c r="S751" s="57" t="n">
        <f aca="false">IFERROR(INDEX(RATES!$E$6:$E$28,MATCH(P751,RATES!$A$6:$A$28,0)),0)</f>
        <v>25.37875</v>
      </c>
      <c r="T751" s="61" t="n">
        <f aca="false">IF(ISNUMBER(R751),R751,0)*S751</f>
        <v>2036.6446875</v>
      </c>
      <c r="U751" s="61" t="n">
        <f aca="false">T751*INDEX(INPUTS!$H$10:$H$14,MATCH(B751,INPUTS!$A$10:$A$14,0))</f>
        <v>329.936439375</v>
      </c>
      <c r="V751" s="61" t="n">
        <f aca="false">N(STACK!K751)</f>
        <v>0</v>
      </c>
      <c r="W751" s="61" t="n">
        <f aca="false">T751+U751+V751</f>
        <v>2366.581126875</v>
      </c>
      <c r="X751" s="61" t="n">
        <f aca="false">N(STACK!L751)</f>
        <v>0</v>
      </c>
      <c r="Y751" s="61" t="n">
        <f aca="false">W751-X751</f>
        <v>2366.581126875</v>
      </c>
      <c r="Z751" s="1" t="n">
        <f aca="false">N(STACK!J751)</f>
        <v>0</v>
      </c>
      <c r="AA751" s="1" t="str">
        <f aca="false">TRIM(IF(D751="UNMAPPED","Program not mapped. ","")&amp;IF(OR(K751="UNMAPPED",K751="UNASSIGNED"),"Category needs review. ","")&amp;IF(P751="UNMAPPED","Title not mapped. ","")&amp;IF(AND(P751&lt;&gt;"No staff time",R751=""),"Missing hours. ","")&amp;IF(M751="","Date not readable. ","")&amp;IF(N751="No","Outside fiscal year. ","")&amp;IF(AND(F751="Event",ISNUMBER(R751)),IF(R751&gt;12,"Event hours look high. ",""),"")&amp;IF(G751&gt;0,"See CONFIRM sheet.",""))</f>
        <v/>
      </c>
      <c r="AB751" s="1" t="n">
        <f aca="false">IF(N751="No",0,IF(REVIEW!O751=0,0,IF(G751&gt;0,IF(INDEX(CONFIRM!$J$5:$J$53,G751)&lt;&gt;"",INDEX(CONFIRM!$J$5:$J$53,G751),1),1)))</f>
        <v>1</v>
      </c>
      <c r="AC751" s="1" t="n">
        <f aca="false">IF(AB751=1,IF(COUNTIFS($B$5:B751,B751,$D$5:D751,D751,$AB$5:AB751,1)=1,1,0),0)</f>
        <v>0</v>
      </c>
    </row>
    <row r="752" customFormat="false" ht="15" hidden="false" customHeight="false" outlineLevel="0" collapsed="false">
      <c r="A752" s="48" t="str">
        <f aca="false">STACK!A752</f>
        <v>ASH-0219</v>
      </c>
      <c r="B752" s="48" t="str">
        <f aca="false">STACK!B752</f>
        <v>ASH</v>
      </c>
      <c r="C752" s="48" t="str">
        <f aca="false">STACK!E752</f>
        <v>Mobile Screening Unit</v>
      </c>
      <c r="D752" s="1" t="str">
        <f aca="false">IFERROR(INDEX(MAP!$J$7:$J$101,MATCH(TRIM(C752),MAP!$I$7:$I$101,0)),"UNMAPPED")</f>
        <v>Mobile Health Screening Unit</v>
      </c>
      <c r="E752" s="1" t="str">
        <f aca="false">IFERROR(INDEX(MAP!$K$7:$K$101,MATCH(TRIM(C752),MAP!$I$7:$I$101,0)),"")</f>
        <v>Access to care</v>
      </c>
      <c r="F752" s="1" t="str">
        <f aca="false">IFERROR(INDEX(MAP!$L$7:$L$101,MATCH(TRIM(C752),MAP!$I$7:$I$101,0)),"")</f>
        <v>Monthly</v>
      </c>
      <c r="G752" s="1" t="n">
        <f aca="false">IFERROR(MATCH(A752,CONFIRM!$A$5:$A$53,0),0)</f>
        <v>0</v>
      </c>
      <c r="H752" s="48" t="str">
        <f aca="false">STACK!F752</f>
        <v>Clinical Svcs</v>
      </c>
      <c r="I752" s="1" t="str">
        <f aca="false">IF(G752&gt;0,IF(INDEX(CONFIRM!$I$5:$I$53,G752)&lt;&gt;"",INDEX(CONFIRM!$I$5:$I$53,G752),H752),H752)</f>
        <v>Clinical Svcs</v>
      </c>
      <c r="J752" s="1" t="str">
        <f aca="false">IFERROR(INDEX(MAP!$F$7:$F$74,MATCH(TRIM(I752),MAP!$E$7:$E$74,0)),"UNMAPPED")</f>
        <v>Community-based clinical services</v>
      </c>
      <c r="K752" s="1" t="str">
        <f aca="false">IFERROR(INDEX(MAP!$G$7:$G$74,MATCH(TRIM(I752),MAP!$E$7:$E$74,0)),"UNMAPPED")</f>
        <v>7e</v>
      </c>
      <c r="L752" s="49" t="str">
        <f aca="false">STACK!G752</f>
        <v>04/30/2026</v>
      </c>
      <c r="M752" s="59" t="n">
        <f aca="false">IF(G752&gt;0,IF(INDEX(CONFIRM!$G$5:$G$53,G752)&lt;&gt;"",INDEX(CONFIRM!$G$5:$G$53,G752),IF(ISNUMBER(L752),L752,IFERROR(DATEVALUE(L752),""))),IF(ISNUMBER(L752),L752,IFERROR(DATEVALUE(L752),"")))</f>
        <v>46142</v>
      </c>
      <c r="N752" s="1" t="str">
        <f aca="false">IF(M752="","Check",IF(AND(M752&gt;=INPUTS!$C$6,M752&lt;=INPUTS!$C$7),"Yes","No"))</f>
        <v>Yes</v>
      </c>
      <c r="O752" s="48" t="str">
        <f aca="false">STACK!H752</f>
        <v>RN</v>
      </c>
      <c r="P752" s="1" t="str">
        <f aca="false">IF(G752&gt;0,IF(INDEX(CONFIRM!$H$5:$H$53,G752)&lt;&gt;"",INDEX(CONFIRM!$H$5:$H$53,G752),IFERROR(INDEX(MAP!$B$7:$B$156,MATCH(TRIM(O752),MAP!$A$7:$A$156,0)),"UNMAPPED")),IFERROR(INDEX(MAP!$B$7:$B$156,MATCH(TRIM(O752),MAP!$A$7:$A$156,0)),"UNMAPPED"))</f>
        <v>Registered Nurse</v>
      </c>
      <c r="Q752" s="48" t="n">
        <f aca="false">STACK!I752</f>
        <v>90</v>
      </c>
      <c r="R752" s="60" t="n">
        <f aca="false">IF(G752&gt;0,IF(INDEX(CONFIRM!$F$5:$F$53,G752)&lt;&gt;"",INDEX(CONFIRM!$F$5:$F$53,G752),IF(ISNUMBER(Q752),Q752,IF(Q752="","",IFERROR(VALUE(TRIM(SUBSTITUTE(SUBSTITUTE(LOWER(Q752),"hrs",""),"hr",""))),"")))),IF(ISNUMBER(Q752),Q752,IF(Q752="","",IFERROR(VALUE(TRIM(SUBSTITUTE(SUBSTITUTE(LOWER(Q752),"hrs",""),"hr",""))),""))))</f>
        <v>90</v>
      </c>
      <c r="S752" s="57" t="n">
        <f aca="false">IFERROR(INDEX(RATES!$E$6:$E$28,MATCH(P752,RATES!$A$6:$A$28,0)),0)</f>
        <v>55.8975</v>
      </c>
      <c r="T752" s="61" t="n">
        <f aca="false">IF(ISNUMBER(R752),R752,0)*S752</f>
        <v>5030.775</v>
      </c>
      <c r="U752" s="61" t="n">
        <f aca="false">T752*INDEX(INPUTS!$H$10:$H$14,MATCH(B752,INPUTS!$A$10:$A$14,0))</f>
        <v>814.98555</v>
      </c>
      <c r="V752" s="61" t="n">
        <f aca="false">N(STACK!K752)</f>
        <v>9160</v>
      </c>
      <c r="W752" s="61" t="n">
        <f aca="false">T752+U752+V752</f>
        <v>15005.76055</v>
      </c>
      <c r="X752" s="61" t="n">
        <f aca="false">N(STACK!L752)</f>
        <v>0</v>
      </c>
      <c r="Y752" s="61" t="n">
        <f aca="false">W752-X752</f>
        <v>15005.76055</v>
      </c>
      <c r="Z752" s="1" t="n">
        <f aca="false">N(STACK!J752)</f>
        <v>305</v>
      </c>
      <c r="AA752" s="1" t="str">
        <f aca="false">TRIM(IF(D752="UNMAPPED","Program not mapped. ","")&amp;IF(OR(K752="UNMAPPED",K752="UNASSIGNED"),"Category needs review. ","")&amp;IF(P752="UNMAPPED","Title not mapped. ","")&amp;IF(AND(P752&lt;&gt;"No staff time",R752=""),"Missing hours. ","")&amp;IF(M752="","Date not readable. ","")&amp;IF(N752="No","Outside fiscal year. ","")&amp;IF(AND(F752="Event",ISNUMBER(R752)),IF(R752&gt;12,"Event hours look high. ",""),"")&amp;IF(G752&gt;0,"See CONFIRM sheet.",""))</f>
        <v/>
      </c>
      <c r="AB752" s="1" t="n">
        <f aca="false">IF(N752="No",0,IF(REVIEW!O752=0,0,IF(G752&gt;0,IF(INDEX(CONFIRM!$J$5:$J$53,G752)&lt;&gt;"",INDEX(CONFIRM!$J$5:$J$53,G752),1),1)))</f>
        <v>1</v>
      </c>
      <c r="AC752" s="1" t="n">
        <f aca="false">IF(AB752=1,IF(COUNTIFS($B$5:B752,B752,$D$5:D752,D752,$AB$5:AB752,1)=1,1,0),0)</f>
        <v>0</v>
      </c>
    </row>
    <row r="753" customFormat="false" ht="15" hidden="false" customHeight="false" outlineLevel="0" collapsed="false">
      <c r="A753" s="48" t="str">
        <f aca="false">STACK!A753</f>
        <v>ASH-0220</v>
      </c>
      <c r="B753" s="48" t="str">
        <f aca="false">STACK!B753</f>
        <v>ASH</v>
      </c>
      <c r="C753" s="48" t="str">
        <f aca="false">STACK!E753</f>
        <v>Car Seat Checks</v>
      </c>
      <c r="D753" s="1" t="str">
        <f aca="false">IFERROR(INDEX(MAP!$J$7:$J$101,MATCH(TRIM(C753),MAP!$I$7:$I$101,0)),"UNMAPPED")</f>
        <v>Car Seat Safety Checks</v>
      </c>
      <c r="E753" s="1" t="str">
        <f aca="false">IFERROR(INDEX(MAP!$K$7:$K$101,MATCH(TRIM(C753),MAP!$I$7:$I$101,0)),"")</f>
        <v>Maternal and child health</v>
      </c>
      <c r="F753" s="1" t="str">
        <f aca="false">IFERROR(INDEX(MAP!$L$7:$L$101,MATCH(TRIM(C753),MAP!$I$7:$I$101,0)),"")</f>
        <v>Event</v>
      </c>
      <c r="G753" s="1" t="n">
        <f aca="false">IFERROR(MATCH(A753,CONFIRM!$A$5:$A$53,0),0)</f>
        <v>0</v>
      </c>
      <c r="H753" s="48" t="str">
        <f aca="false">STACK!F753</f>
        <v>Comm Hlth Ed</v>
      </c>
      <c r="I753" s="1" t="str">
        <f aca="false">IF(G753&gt;0,IF(INDEX(CONFIRM!$I$5:$I$53,G753)&lt;&gt;"",INDEX(CONFIRM!$I$5:$I$53,G753),H753),H753)</f>
        <v>Comm Hlth Ed</v>
      </c>
      <c r="J753" s="1" t="str">
        <f aca="false">IFERROR(INDEX(MAP!$F$7:$F$74,MATCH(TRIM(I753),MAP!$E$7:$E$74,0)),"UNMAPPED")</f>
        <v>Community health education</v>
      </c>
      <c r="K753" s="1" t="str">
        <f aca="false">IFERROR(INDEX(MAP!$G$7:$G$74,MATCH(TRIM(I753),MAP!$E$7:$E$74,0)),"UNMAPPED")</f>
        <v>7e</v>
      </c>
      <c r="L753" s="49" t="str">
        <f aca="false">STACK!G753</f>
        <v>04/30/2026</v>
      </c>
      <c r="M753" s="59" t="n">
        <f aca="false">IF(G753&gt;0,IF(INDEX(CONFIRM!$G$5:$G$53,G753)&lt;&gt;"",INDEX(CONFIRM!$G$5:$G$53,G753),IF(ISNUMBER(L753),L753,IFERROR(DATEVALUE(L753),""))),IF(ISNUMBER(L753),L753,IFERROR(DATEVALUE(L753),"")))</f>
        <v>46142</v>
      </c>
      <c r="N753" s="1" t="str">
        <f aca="false">IF(M753="","Check",IF(AND(M753&gt;=INPUTS!$C$6,M753&lt;=INPUTS!$C$7),"Yes","No"))</f>
        <v>Yes</v>
      </c>
      <c r="O753" s="48" t="str">
        <f aca="false">STACK!H753</f>
        <v>Flight Paramedic</v>
      </c>
      <c r="P753" s="1" t="str">
        <f aca="false">IF(G753&gt;0,IF(INDEX(CONFIRM!$H$5:$H$53,G753)&lt;&gt;"",INDEX(CONFIRM!$H$5:$H$53,G753),IFERROR(INDEX(MAP!$B$7:$B$156,MATCH(TRIM(O753),MAP!$A$7:$A$156,0)),"UNMAPPED")),IFERROR(INDEX(MAP!$B$7:$B$156,MATCH(TRIM(O753),MAP!$A$7:$A$156,0)),"UNMAPPED"))</f>
        <v>Paramedic</v>
      </c>
      <c r="Q753" s="48" t="n">
        <f aca="false">STACK!I753</f>
        <v>4</v>
      </c>
      <c r="R753" s="60" t="n">
        <f aca="false">IF(G753&gt;0,IF(INDEX(CONFIRM!$F$5:$F$53,G753)&lt;&gt;"",INDEX(CONFIRM!$F$5:$F$53,G753),IF(ISNUMBER(Q753),Q753,IF(Q753="","",IFERROR(VALUE(TRIM(SUBSTITUTE(SUBSTITUTE(LOWER(Q753),"hrs",""),"hr",""))),"")))),IF(ISNUMBER(Q753),Q753,IF(Q753="","",IFERROR(VALUE(TRIM(SUBSTITUTE(SUBSTITUTE(LOWER(Q753),"hrs",""),"hr",""))),""))))</f>
        <v>4</v>
      </c>
      <c r="S753" s="57" t="n">
        <f aca="false">IFERROR(INDEX(RATES!$E$6:$E$28,MATCH(P753,RATES!$A$6:$A$28,0)),0)</f>
        <v>34.695</v>
      </c>
      <c r="T753" s="61" t="n">
        <f aca="false">IF(ISNUMBER(R753),R753,0)*S753</f>
        <v>138.78</v>
      </c>
      <c r="U753" s="61" t="n">
        <f aca="false">T753*INDEX(INPUTS!$H$10:$H$14,MATCH(B753,INPUTS!$A$10:$A$14,0))</f>
        <v>22.48236</v>
      </c>
      <c r="V753" s="61" t="n">
        <f aca="false">N(STACK!K753)</f>
        <v>300</v>
      </c>
      <c r="W753" s="61" t="n">
        <f aca="false">T753+U753+V753</f>
        <v>461.26236</v>
      </c>
      <c r="X753" s="61" t="n">
        <f aca="false">N(STACK!L753)</f>
        <v>560</v>
      </c>
      <c r="Y753" s="61" t="n">
        <f aca="false">W753-X753</f>
        <v>-98.73764</v>
      </c>
      <c r="Z753" s="1" t="n">
        <f aca="false">N(STACK!J753)</f>
        <v>20</v>
      </c>
      <c r="AA753" s="1" t="str">
        <f aca="false">TRIM(IF(D753="UNMAPPED","Program not mapped. ","")&amp;IF(OR(K753="UNMAPPED",K753="UNASSIGNED"),"Category needs review. ","")&amp;IF(P753="UNMAPPED","Title not mapped. ","")&amp;IF(AND(P753&lt;&gt;"No staff time",R753=""),"Missing hours. ","")&amp;IF(M753="","Date not readable. ","")&amp;IF(N753="No","Outside fiscal year. ","")&amp;IF(AND(F753="Event",ISNUMBER(R753)),IF(R753&gt;12,"Event hours look high. ",""),"")&amp;IF(G753&gt;0,"See CONFIRM sheet.",""))</f>
        <v/>
      </c>
      <c r="AB753" s="1" t="n">
        <f aca="false">IF(N753="No",0,IF(REVIEW!O753=0,0,IF(G753&gt;0,IF(INDEX(CONFIRM!$J$5:$J$53,G753)&lt;&gt;"",INDEX(CONFIRM!$J$5:$J$53,G753),1),1)))</f>
        <v>1</v>
      </c>
      <c r="AC753" s="1" t="n">
        <f aca="false">IF(AB753=1,IF(COUNTIFS($B$5:B753,B753,$D$5:D753,D753,$AB$5:AB753,1)=1,1,0),0)</f>
        <v>0</v>
      </c>
    </row>
    <row r="754" customFormat="false" ht="15" hidden="false" customHeight="false" outlineLevel="0" collapsed="false">
      <c r="A754" s="48" t="str">
        <f aca="false">STACK!A754</f>
        <v>ASH-0221</v>
      </c>
      <c r="B754" s="48" t="str">
        <f aca="false">STACK!B754</f>
        <v>ASH</v>
      </c>
      <c r="C754" s="48" t="str">
        <f aca="false">STACK!E754</f>
        <v>Car Seat Checks</v>
      </c>
      <c r="D754" s="1" t="str">
        <f aca="false">IFERROR(INDEX(MAP!$J$7:$J$101,MATCH(TRIM(C754),MAP!$I$7:$I$101,0)),"UNMAPPED")</f>
        <v>Car Seat Safety Checks</v>
      </c>
      <c r="E754" s="1" t="str">
        <f aca="false">IFERROR(INDEX(MAP!$K$7:$K$101,MATCH(TRIM(C754),MAP!$I$7:$I$101,0)),"")</f>
        <v>Maternal and child health</v>
      </c>
      <c r="F754" s="1" t="str">
        <f aca="false">IFERROR(INDEX(MAP!$L$7:$L$101,MATCH(TRIM(C754),MAP!$I$7:$I$101,0)),"")</f>
        <v>Event</v>
      </c>
      <c r="G754" s="1" t="n">
        <f aca="false">IFERROR(MATCH(A754,CONFIRM!$A$5:$A$53,0),0)</f>
        <v>0</v>
      </c>
      <c r="H754" s="48" t="str">
        <f aca="false">STACK!F754</f>
        <v>Comm Hlth Ed</v>
      </c>
      <c r="I754" s="1" t="str">
        <f aca="false">IF(G754&gt;0,IF(INDEX(CONFIRM!$I$5:$I$53,G754)&lt;&gt;"",INDEX(CONFIRM!$I$5:$I$53,G754),H754),H754)</f>
        <v>Comm Hlth Ed</v>
      </c>
      <c r="J754" s="1" t="str">
        <f aca="false">IFERROR(INDEX(MAP!$F$7:$F$74,MATCH(TRIM(I754),MAP!$E$7:$E$74,0)),"UNMAPPED")</f>
        <v>Community health education</v>
      </c>
      <c r="K754" s="1" t="str">
        <f aca="false">IFERROR(INDEX(MAP!$G$7:$G$74,MATCH(TRIM(I754),MAP!$E$7:$E$74,0)),"UNMAPPED")</f>
        <v>7e</v>
      </c>
      <c r="L754" s="49" t="str">
        <f aca="false">STACK!G754</f>
        <v>04/30/2026</v>
      </c>
      <c r="M754" s="59" t="n">
        <f aca="false">IF(G754&gt;0,IF(INDEX(CONFIRM!$G$5:$G$53,G754)&lt;&gt;"",INDEX(CONFIRM!$G$5:$G$53,G754),IF(ISNUMBER(L754),L754,IFERROR(DATEVALUE(L754),""))),IF(ISNUMBER(L754),L754,IFERROR(DATEVALUE(L754),"")))</f>
        <v>46142</v>
      </c>
      <c r="N754" s="1" t="str">
        <f aca="false">IF(M754="","Check",IF(AND(M754&gt;=INPUTS!$C$6,M754&lt;=INPUTS!$C$7),"Yes","No"))</f>
        <v>Yes</v>
      </c>
      <c r="O754" s="48" t="str">
        <f aca="false">STACK!H754</f>
        <v>RN</v>
      </c>
      <c r="P754" s="1" t="str">
        <f aca="false">IF(G754&gt;0,IF(INDEX(CONFIRM!$H$5:$H$53,G754)&lt;&gt;"",INDEX(CONFIRM!$H$5:$H$53,G754),IFERROR(INDEX(MAP!$B$7:$B$156,MATCH(TRIM(O754),MAP!$A$7:$A$156,0)),"UNMAPPED")),IFERROR(INDEX(MAP!$B$7:$B$156,MATCH(TRIM(O754),MAP!$A$7:$A$156,0)),"UNMAPPED"))</f>
        <v>Registered Nurse</v>
      </c>
      <c r="Q754" s="48" t="n">
        <f aca="false">STACK!I754</f>
        <v>3.5</v>
      </c>
      <c r="R754" s="60" t="n">
        <f aca="false">IF(G754&gt;0,IF(INDEX(CONFIRM!$F$5:$F$53,G754)&lt;&gt;"",INDEX(CONFIRM!$F$5:$F$53,G754),IF(ISNUMBER(Q754),Q754,IF(Q754="","",IFERROR(VALUE(TRIM(SUBSTITUTE(SUBSTITUTE(LOWER(Q754),"hrs",""),"hr",""))),"")))),IF(ISNUMBER(Q754),Q754,IF(Q754="","",IFERROR(VALUE(TRIM(SUBSTITUTE(SUBSTITUTE(LOWER(Q754),"hrs",""),"hr",""))),""))))</f>
        <v>3.5</v>
      </c>
      <c r="S754" s="57" t="n">
        <f aca="false">IFERROR(INDEX(RATES!$E$6:$E$28,MATCH(P754,RATES!$A$6:$A$28,0)),0)</f>
        <v>55.8975</v>
      </c>
      <c r="T754" s="61" t="n">
        <f aca="false">IF(ISNUMBER(R754),R754,0)*S754</f>
        <v>195.64125</v>
      </c>
      <c r="U754" s="61" t="n">
        <f aca="false">T754*INDEX(INPUTS!$H$10:$H$14,MATCH(B754,INPUTS!$A$10:$A$14,0))</f>
        <v>31.6938825</v>
      </c>
      <c r="V754" s="61" t="n">
        <f aca="false">N(STACK!K754)</f>
        <v>0</v>
      </c>
      <c r="W754" s="61" t="n">
        <f aca="false">T754+U754+V754</f>
        <v>227.3351325</v>
      </c>
      <c r="X754" s="61" t="n">
        <f aca="false">N(STACK!L754)</f>
        <v>0</v>
      </c>
      <c r="Y754" s="61" t="n">
        <f aca="false">W754-X754</f>
        <v>227.3351325</v>
      </c>
      <c r="Z754" s="1" t="n">
        <f aca="false">N(STACK!J754)</f>
        <v>0</v>
      </c>
      <c r="AA754" s="1" t="str">
        <f aca="false">TRIM(IF(D754="UNMAPPED","Program not mapped. ","")&amp;IF(OR(K754="UNMAPPED",K754="UNASSIGNED"),"Category needs review. ","")&amp;IF(P754="UNMAPPED","Title not mapped. ","")&amp;IF(AND(P754&lt;&gt;"No staff time",R754=""),"Missing hours. ","")&amp;IF(M754="","Date not readable. ","")&amp;IF(N754="No","Outside fiscal year. ","")&amp;IF(AND(F754="Event",ISNUMBER(R754)),IF(R754&gt;12,"Event hours look high. ",""),"")&amp;IF(G754&gt;0,"See CONFIRM sheet.",""))</f>
        <v/>
      </c>
      <c r="AB754" s="1" t="n">
        <f aca="false">IF(N754="No",0,IF(REVIEW!O754=0,0,IF(G754&gt;0,IF(INDEX(CONFIRM!$J$5:$J$53,G754)&lt;&gt;"",INDEX(CONFIRM!$J$5:$J$53,G754),1),1)))</f>
        <v>1</v>
      </c>
      <c r="AC754" s="1" t="n">
        <f aca="false">IF(AB754=1,IF(COUNTIFS($B$5:B754,B754,$D$5:D754,D754,$AB$5:AB754,1)=1,1,0),0)</f>
        <v>0</v>
      </c>
    </row>
    <row r="755" customFormat="false" ht="15" hidden="false" customHeight="false" outlineLevel="0" collapsed="false">
      <c r="A755" s="48" t="str">
        <f aca="false">STACK!A755</f>
        <v>ASH-0222</v>
      </c>
      <c r="B755" s="48" t="str">
        <f aca="false">STACK!B755</f>
        <v>ASH</v>
      </c>
      <c r="C755" s="48" t="str">
        <f aca="false">STACK!E755</f>
        <v>CHW Outreach</v>
      </c>
      <c r="D755" s="1" t="str">
        <f aca="false">IFERROR(INDEX(MAP!$J$7:$J$101,MATCH(TRIM(C755),MAP!$I$7:$I$101,0)),"UNMAPPED")</f>
        <v>Community Health Worker Outreach</v>
      </c>
      <c r="E755" s="1" t="str">
        <f aca="false">IFERROR(INDEX(MAP!$K$7:$K$101,MATCH(TRIM(C755),MAP!$I$7:$I$101,0)),"")</f>
        <v>Access to care</v>
      </c>
      <c r="F755" s="1" t="str">
        <f aca="false">IFERROR(INDEX(MAP!$L$7:$L$101,MATCH(TRIM(C755),MAP!$I$7:$I$101,0)),"")</f>
        <v>Monthly</v>
      </c>
      <c r="G755" s="1" t="n">
        <f aca="false">IFERROR(MATCH(A755,CONFIRM!$A$5:$A$53,0),0)</f>
        <v>0</v>
      </c>
      <c r="H755" s="48" t="str">
        <f aca="false">STACK!F755</f>
        <v>Support Svcs</v>
      </c>
      <c r="I755" s="1" t="str">
        <f aca="false">IF(G755&gt;0,IF(INDEX(CONFIRM!$I$5:$I$53,G755)&lt;&gt;"",INDEX(CONFIRM!$I$5:$I$53,G755),H755),H755)</f>
        <v>Support Svcs</v>
      </c>
      <c r="J755" s="1" t="str">
        <f aca="false">IFERROR(INDEX(MAP!$F$7:$F$74,MATCH(TRIM(I755),MAP!$E$7:$E$74,0)),"UNMAPPED")</f>
        <v>Health care support services</v>
      </c>
      <c r="K755" s="1" t="str">
        <f aca="false">IFERROR(INDEX(MAP!$G$7:$G$74,MATCH(TRIM(I755),MAP!$E$7:$E$74,0)),"UNMAPPED")</f>
        <v>7e</v>
      </c>
      <c r="L755" s="49" t="str">
        <f aca="false">STACK!G755</f>
        <v>04/30/2026</v>
      </c>
      <c r="M755" s="59" t="n">
        <f aca="false">IF(G755&gt;0,IF(INDEX(CONFIRM!$G$5:$G$53,G755)&lt;&gt;"",INDEX(CONFIRM!$G$5:$G$53,G755),IF(ISNUMBER(L755),L755,IFERROR(DATEVALUE(L755),""))),IF(ISNUMBER(L755),L755,IFERROR(DATEVALUE(L755),"")))</f>
        <v>46142</v>
      </c>
      <c r="N755" s="1" t="str">
        <f aca="false">IF(M755="","Check",IF(AND(M755&gt;=INPUTS!$C$6,M755&lt;=INPUTS!$C$7),"Yes","No"))</f>
        <v>Yes</v>
      </c>
      <c r="O755" s="48" t="str">
        <f aca="false">STACK!H755</f>
        <v>Promotora</v>
      </c>
      <c r="P755" s="1" t="str">
        <f aca="false">IF(G755&gt;0,IF(INDEX(CONFIRM!$H$5:$H$53,G755)&lt;&gt;"",INDEX(CONFIRM!$H$5:$H$53,G755),IFERROR(INDEX(MAP!$B$7:$B$156,MATCH(TRIM(O755),MAP!$A$7:$A$156,0)),"UNMAPPED")),IFERROR(INDEX(MAP!$B$7:$B$156,MATCH(TRIM(O755),MAP!$A$7:$A$156,0)),"UNMAPPED"))</f>
        <v>Community Health Worker</v>
      </c>
      <c r="Q755" s="48" t="n">
        <f aca="false">STACK!I755</f>
        <v>328.75</v>
      </c>
      <c r="R755" s="60" t="n">
        <f aca="false">IF(G755&gt;0,IF(INDEX(CONFIRM!$F$5:$F$53,G755)&lt;&gt;"",INDEX(CONFIRM!$F$5:$F$53,G755),IF(ISNUMBER(Q755),Q755,IF(Q755="","",IFERROR(VALUE(TRIM(SUBSTITUTE(SUBSTITUTE(LOWER(Q755),"hrs",""),"hr",""))),"")))),IF(ISNUMBER(Q755),Q755,IF(Q755="","",IFERROR(VALUE(TRIM(SUBSTITUTE(SUBSTITUTE(LOWER(Q755),"hrs",""),"hr",""))),""))))</f>
        <v>328.75</v>
      </c>
      <c r="S755" s="57" t="n">
        <f aca="false">IFERROR(INDEX(RATES!$E$6:$E$28,MATCH(P755,RATES!$A$6:$A$28,0)),0)</f>
        <v>27.6275</v>
      </c>
      <c r="T755" s="61" t="n">
        <f aca="false">IF(ISNUMBER(R755),R755,0)*S755</f>
        <v>9082.540625</v>
      </c>
      <c r="U755" s="61" t="n">
        <f aca="false">T755*INDEX(INPUTS!$H$10:$H$14,MATCH(B755,INPUTS!$A$10:$A$14,0))</f>
        <v>1471.37158125</v>
      </c>
      <c r="V755" s="61" t="n">
        <f aca="false">N(STACK!K755)</f>
        <v>1605</v>
      </c>
      <c r="W755" s="61" t="n">
        <f aca="false">T755+U755+V755</f>
        <v>12158.91220625</v>
      </c>
      <c r="X755" s="61" t="n">
        <f aca="false">N(STACK!L755)</f>
        <v>0</v>
      </c>
      <c r="Y755" s="61" t="n">
        <f aca="false">W755-X755</f>
        <v>12158.91220625</v>
      </c>
      <c r="Z755" s="1" t="n">
        <f aca="false">N(STACK!J755)</f>
        <v>380</v>
      </c>
      <c r="AA755" s="1" t="str">
        <f aca="false">TRIM(IF(D755="UNMAPPED","Program not mapped. ","")&amp;IF(OR(K755="UNMAPPED",K755="UNASSIGNED"),"Category needs review. ","")&amp;IF(P755="UNMAPPED","Title not mapped. ","")&amp;IF(AND(P755&lt;&gt;"No staff time",R755=""),"Missing hours. ","")&amp;IF(M755="","Date not readable. ","")&amp;IF(N755="No","Outside fiscal year. ","")&amp;IF(AND(F755="Event",ISNUMBER(R755)),IF(R755&gt;12,"Event hours look high. ",""),"")&amp;IF(G755&gt;0,"See CONFIRM sheet.",""))</f>
        <v/>
      </c>
      <c r="AB755" s="1" t="n">
        <f aca="false">IF(N755="No",0,IF(REVIEW!O755=0,0,IF(G755&gt;0,IF(INDEX(CONFIRM!$J$5:$J$53,G755)&lt;&gt;"",INDEX(CONFIRM!$J$5:$J$53,G755),1),1)))</f>
        <v>1</v>
      </c>
      <c r="AC755" s="1" t="n">
        <f aca="false">IF(AB755=1,IF(COUNTIFS($B$5:B755,B755,$D$5:D755,D755,$AB$5:AB755,1)=1,1,0),0)</f>
        <v>0</v>
      </c>
    </row>
    <row r="756" customFormat="false" ht="15" hidden="false" customHeight="false" outlineLevel="0" collapsed="false">
      <c r="A756" s="48" t="str">
        <f aca="false">STACK!A756</f>
        <v>ASH-0223</v>
      </c>
      <c r="B756" s="48" t="str">
        <f aca="false">STACK!B756</f>
        <v>ASH</v>
      </c>
      <c r="C756" s="48" t="str">
        <f aca="false">STACK!E756</f>
        <v>CHW Outreach</v>
      </c>
      <c r="D756" s="1" t="str">
        <f aca="false">IFERROR(INDEX(MAP!$J$7:$J$101,MATCH(TRIM(C756),MAP!$I$7:$I$101,0)),"UNMAPPED")</f>
        <v>Community Health Worker Outreach</v>
      </c>
      <c r="E756" s="1" t="str">
        <f aca="false">IFERROR(INDEX(MAP!$K$7:$K$101,MATCH(TRIM(C756),MAP!$I$7:$I$101,0)),"")</f>
        <v>Access to care</v>
      </c>
      <c r="F756" s="1" t="str">
        <f aca="false">IFERROR(INDEX(MAP!$L$7:$L$101,MATCH(TRIM(C756),MAP!$I$7:$I$101,0)),"")</f>
        <v>Monthly</v>
      </c>
      <c r="G756" s="1" t="n">
        <f aca="false">IFERROR(MATCH(A756,CONFIRM!$A$5:$A$53,0),0)</f>
        <v>0</v>
      </c>
      <c r="H756" s="48" t="str">
        <f aca="false">STACK!F756</f>
        <v>Support Svcs</v>
      </c>
      <c r="I756" s="1" t="str">
        <f aca="false">IF(G756&gt;0,IF(INDEX(CONFIRM!$I$5:$I$53,G756)&lt;&gt;"",INDEX(CONFIRM!$I$5:$I$53,G756),H756),H756)</f>
        <v>Support Svcs</v>
      </c>
      <c r="J756" s="1" t="str">
        <f aca="false">IFERROR(INDEX(MAP!$F$7:$F$74,MATCH(TRIM(I756),MAP!$E$7:$E$74,0)),"UNMAPPED")</f>
        <v>Health care support services</v>
      </c>
      <c r="K756" s="1" t="str">
        <f aca="false">IFERROR(INDEX(MAP!$G$7:$G$74,MATCH(TRIM(I756),MAP!$E$7:$E$74,0)),"UNMAPPED")</f>
        <v>7e</v>
      </c>
      <c r="L756" s="49" t="str">
        <f aca="false">STACK!G756</f>
        <v>04/30/2026</v>
      </c>
      <c r="M756" s="59" t="n">
        <f aca="false">IF(G756&gt;0,IF(INDEX(CONFIRM!$G$5:$G$53,G756)&lt;&gt;"",INDEX(CONFIRM!$G$5:$G$53,G756),IF(ISNUMBER(L756),L756,IFERROR(DATEVALUE(L756),""))),IF(ISNUMBER(L756),L756,IFERROR(DATEVALUE(L756),"")))</f>
        <v>46142</v>
      </c>
      <c r="N756" s="1" t="str">
        <f aca="false">IF(M756="","Check",IF(AND(M756&gt;=INPUTS!$C$6,M756&lt;=INPUTS!$C$7),"Yes","No"))</f>
        <v>Yes</v>
      </c>
      <c r="O756" s="48" t="str">
        <f aca="false">STACK!H756</f>
        <v>Navigator</v>
      </c>
      <c r="P756" s="1" t="str">
        <f aca="false">IF(G756&gt;0,IF(INDEX(CONFIRM!$H$5:$H$53,G756)&lt;&gt;"",INDEX(CONFIRM!$H$5:$H$53,G756),IFERROR(INDEX(MAP!$B$7:$B$156,MATCH(TRIM(O756),MAP!$A$7:$A$156,0)),"UNMAPPED")),IFERROR(INDEX(MAP!$B$7:$B$156,MATCH(TRIM(O756),MAP!$A$7:$A$156,0)),"UNMAPPED"))</f>
        <v>Patient Navigator</v>
      </c>
      <c r="Q756" s="48" t="n">
        <f aca="false">STACK!I756</f>
        <v>149</v>
      </c>
      <c r="R756" s="60" t="n">
        <f aca="false">IF(G756&gt;0,IF(INDEX(CONFIRM!$F$5:$F$53,G756)&lt;&gt;"",INDEX(CONFIRM!$F$5:$F$53,G756),IF(ISNUMBER(Q756),Q756,IF(Q756="","",IFERROR(VALUE(TRIM(SUBSTITUTE(SUBSTITUTE(LOWER(Q756),"hrs",""),"hr",""))),"")))),IF(ISNUMBER(Q756),Q756,IF(Q756="","",IFERROR(VALUE(TRIM(SUBSTITUTE(SUBSTITUTE(LOWER(Q756),"hrs",""),"hr",""))),""))))</f>
        <v>149</v>
      </c>
      <c r="S756" s="57" t="n">
        <f aca="false">IFERROR(INDEX(RATES!$E$6:$E$28,MATCH(P756,RATES!$A$6:$A$28,0)),0)</f>
        <v>30.84</v>
      </c>
      <c r="T756" s="61" t="n">
        <f aca="false">IF(ISNUMBER(R756),R756,0)*S756</f>
        <v>4595.16</v>
      </c>
      <c r="U756" s="61" t="n">
        <f aca="false">T756*INDEX(INPUTS!$H$10:$H$14,MATCH(B756,INPUTS!$A$10:$A$14,0))</f>
        <v>744.41592</v>
      </c>
      <c r="V756" s="61" t="n">
        <f aca="false">N(STACK!K756)</f>
        <v>0</v>
      </c>
      <c r="W756" s="61" t="n">
        <f aca="false">T756+U756+V756</f>
        <v>5339.57592</v>
      </c>
      <c r="X756" s="61" t="n">
        <f aca="false">N(STACK!L756)</f>
        <v>0</v>
      </c>
      <c r="Y756" s="61" t="n">
        <f aca="false">W756-X756</f>
        <v>5339.57592</v>
      </c>
      <c r="Z756" s="1" t="n">
        <f aca="false">N(STACK!J756)</f>
        <v>0</v>
      </c>
      <c r="AA756" s="1" t="str">
        <f aca="false">TRIM(IF(D756="UNMAPPED","Program not mapped. ","")&amp;IF(OR(K756="UNMAPPED",K756="UNASSIGNED"),"Category needs review. ","")&amp;IF(P756="UNMAPPED","Title not mapped. ","")&amp;IF(AND(P756&lt;&gt;"No staff time",R756=""),"Missing hours. ","")&amp;IF(M756="","Date not readable. ","")&amp;IF(N756="No","Outside fiscal year. ","")&amp;IF(AND(F756="Event",ISNUMBER(R756)),IF(R756&gt;12,"Event hours look high. ",""),"")&amp;IF(G756&gt;0,"See CONFIRM sheet.",""))</f>
        <v/>
      </c>
      <c r="AB756" s="1" t="n">
        <f aca="false">IF(N756="No",0,IF(REVIEW!O756=0,0,IF(G756&gt;0,IF(INDEX(CONFIRM!$J$5:$J$53,G756)&lt;&gt;"",INDEX(CONFIRM!$J$5:$J$53,G756),1),1)))</f>
        <v>1</v>
      </c>
      <c r="AC756" s="1" t="n">
        <f aca="false">IF(AB756=1,IF(COUNTIFS($B$5:B756,B756,$D$5:D756,D756,$AB$5:AB756,1)=1,1,0),0)</f>
        <v>0</v>
      </c>
    </row>
    <row r="757" customFormat="false" ht="15" hidden="false" customHeight="false" outlineLevel="0" collapsed="false">
      <c r="A757" s="48" t="str">
        <f aca="false">STACK!A757</f>
        <v>ASH-0224</v>
      </c>
      <c r="B757" s="48" t="str">
        <f aca="false">STACK!B757</f>
        <v>ASH</v>
      </c>
      <c r="C757" s="48" t="str">
        <f aca="false">STACK!E757</f>
        <v>Produce Rx</v>
      </c>
      <c r="D757" s="1" t="str">
        <f aca="false">IFERROR(INDEX(MAP!$J$7:$J$101,MATCH(TRIM(C757),MAP!$I$7:$I$101,0)),"UNMAPPED")</f>
        <v>Produce Prescription Program</v>
      </c>
      <c r="E757" s="1" t="str">
        <f aca="false">IFERROR(INDEX(MAP!$K$7:$K$101,MATCH(TRIM(C757),MAP!$I$7:$I$101,0)),"")</f>
        <v>Food and housing security</v>
      </c>
      <c r="F757" s="1" t="str">
        <f aca="false">IFERROR(INDEX(MAP!$L$7:$L$101,MATCH(TRIM(C757),MAP!$I$7:$I$101,0)),"")</f>
        <v>Monthly</v>
      </c>
      <c r="G757" s="1" t="n">
        <f aca="false">IFERROR(MATCH(A757,CONFIRM!$A$5:$A$53,0),0)</f>
        <v>0</v>
      </c>
      <c r="H757" s="48" t="str">
        <f aca="false">STACK!F757</f>
        <v>Support Svcs</v>
      </c>
      <c r="I757" s="1" t="str">
        <f aca="false">IF(G757&gt;0,IF(INDEX(CONFIRM!$I$5:$I$53,G757)&lt;&gt;"",INDEX(CONFIRM!$I$5:$I$53,G757),H757),H757)</f>
        <v>Support Svcs</v>
      </c>
      <c r="J757" s="1" t="str">
        <f aca="false">IFERROR(INDEX(MAP!$F$7:$F$74,MATCH(TRIM(I757),MAP!$E$7:$E$74,0)),"UNMAPPED")</f>
        <v>Health care support services</v>
      </c>
      <c r="K757" s="1" t="str">
        <f aca="false">IFERROR(INDEX(MAP!$G$7:$G$74,MATCH(TRIM(I757),MAP!$E$7:$E$74,0)),"UNMAPPED")</f>
        <v>7e</v>
      </c>
      <c r="L757" s="49" t="str">
        <f aca="false">STACK!G757</f>
        <v>04/30/2026</v>
      </c>
      <c r="M757" s="59" t="n">
        <f aca="false">IF(G757&gt;0,IF(INDEX(CONFIRM!$G$5:$G$53,G757)&lt;&gt;"",INDEX(CONFIRM!$G$5:$G$53,G757),IF(ISNUMBER(L757),L757,IFERROR(DATEVALUE(L757),""))),IF(ISNUMBER(L757),L757,IFERROR(DATEVALUE(L757),"")))</f>
        <v>46142</v>
      </c>
      <c r="N757" s="1" t="str">
        <f aca="false">IF(M757="","Check",IF(AND(M757&gt;=INPUTS!$C$6,M757&lt;=INPUTS!$C$7),"Yes","No"))</f>
        <v>Yes</v>
      </c>
      <c r="O757" s="48" t="str">
        <f aca="false">STACK!H757</f>
        <v>Promotora</v>
      </c>
      <c r="P757" s="1" t="str">
        <f aca="false">IF(G757&gt;0,IF(INDEX(CONFIRM!$H$5:$H$53,G757)&lt;&gt;"",INDEX(CONFIRM!$H$5:$H$53,G757),IFERROR(INDEX(MAP!$B$7:$B$156,MATCH(TRIM(O757),MAP!$A$7:$A$156,0)),"UNMAPPED")),IFERROR(INDEX(MAP!$B$7:$B$156,MATCH(TRIM(O757),MAP!$A$7:$A$156,0)),"UNMAPPED"))</f>
        <v>Community Health Worker</v>
      </c>
      <c r="Q757" s="48" t="n">
        <f aca="false">STACK!I757</f>
        <v>43.5</v>
      </c>
      <c r="R757" s="60" t="n">
        <f aca="false">IF(G757&gt;0,IF(INDEX(CONFIRM!$F$5:$F$53,G757)&lt;&gt;"",INDEX(CONFIRM!$F$5:$F$53,G757),IF(ISNUMBER(Q757),Q757,IF(Q757="","",IFERROR(VALUE(TRIM(SUBSTITUTE(SUBSTITUTE(LOWER(Q757),"hrs",""),"hr",""))),"")))),IF(ISNUMBER(Q757),Q757,IF(Q757="","",IFERROR(VALUE(TRIM(SUBSTITUTE(SUBSTITUTE(LOWER(Q757),"hrs",""),"hr",""))),""))))</f>
        <v>43.5</v>
      </c>
      <c r="S757" s="57" t="n">
        <f aca="false">IFERROR(INDEX(RATES!$E$6:$E$28,MATCH(P757,RATES!$A$6:$A$28,0)),0)</f>
        <v>27.6275</v>
      </c>
      <c r="T757" s="61" t="n">
        <f aca="false">IF(ISNUMBER(R757),R757,0)*S757</f>
        <v>1201.79625</v>
      </c>
      <c r="U757" s="61" t="n">
        <f aca="false">T757*INDEX(INPUTS!$H$10:$H$14,MATCH(B757,INPUTS!$A$10:$A$14,0))</f>
        <v>194.6909925</v>
      </c>
      <c r="V757" s="61" t="n">
        <f aca="false">N(STACK!K757)</f>
        <v>0</v>
      </c>
      <c r="W757" s="61" t="n">
        <f aca="false">T757+U757+V757</f>
        <v>1396.4872425</v>
      </c>
      <c r="X757" s="61" t="n">
        <f aca="false">N(STACK!L757)</f>
        <v>0</v>
      </c>
      <c r="Y757" s="61" t="n">
        <f aca="false">W757-X757</f>
        <v>1396.4872425</v>
      </c>
      <c r="Z757" s="1" t="n">
        <f aca="false">N(STACK!J757)</f>
        <v>0</v>
      </c>
      <c r="AA757" s="1" t="str">
        <f aca="false">TRIM(IF(D757="UNMAPPED","Program not mapped. ","")&amp;IF(OR(K757="UNMAPPED",K757="UNASSIGNED"),"Category needs review. ","")&amp;IF(P757="UNMAPPED","Title not mapped. ","")&amp;IF(AND(P757&lt;&gt;"No staff time",R757=""),"Missing hours. ","")&amp;IF(M757="","Date not readable. ","")&amp;IF(N757="No","Outside fiscal year. ","")&amp;IF(AND(F757="Event",ISNUMBER(R757)),IF(R757&gt;12,"Event hours look high. ",""),"")&amp;IF(G757&gt;0,"See CONFIRM sheet.",""))</f>
        <v/>
      </c>
      <c r="AB757" s="1" t="n">
        <f aca="false">IF(N757="No",0,IF(REVIEW!O757=0,0,IF(G757&gt;0,IF(INDEX(CONFIRM!$J$5:$J$53,G757)&lt;&gt;"",INDEX(CONFIRM!$J$5:$J$53,G757),1),1)))</f>
        <v>1</v>
      </c>
      <c r="AC757" s="1" t="n">
        <f aca="false">IF(AB757=1,IF(COUNTIFS($B$5:B757,B757,$D$5:D757,D757,$AB$5:AB757,1)=1,1,0),0)</f>
        <v>0</v>
      </c>
    </row>
    <row r="758" customFormat="false" ht="15" hidden="false" customHeight="false" outlineLevel="0" collapsed="false">
      <c r="A758" s="48" t="str">
        <f aca="false">STACK!A758</f>
        <v>ASH-0225</v>
      </c>
      <c r="B758" s="48" t="str">
        <f aca="false">STACK!B758</f>
        <v>ASH</v>
      </c>
      <c r="C758" s="48" t="str">
        <f aca="false">STACK!E758</f>
        <v>Produce Rx</v>
      </c>
      <c r="D758" s="1" t="str">
        <f aca="false">IFERROR(INDEX(MAP!$J$7:$J$101,MATCH(TRIM(C758),MAP!$I$7:$I$101,0)),"UNMAPPED")</f>
        <v>Produce Prescription Program</v>
      </c>
      <c r="E758" s="1" t="str">
        <f aca="false">IFERROR(INDEX(MAP!$K$7:$K$101,MATCH(TRIM(C758),MAP!$I$7:$I$101,0)),"")</f>
        <v>Food and housing security</v>
      </c>
      <c r="F758" s="1" t="str">
        <f aca="false">IFERROR(INDEX(MAP!$L$7:$L$101,MATCH(TRIM(C758),MAP!$I$7:$I$101,0)),"")</f>
        <v>Monthly</v>
      </c>
      <c r="G758" s="1" t="n">
        <f aca="false">IFERROR(MATCH(A758,CONFIRM!$A$5:$A$53,0),0)</f>
        <v>0</v>
      </c>
      <c r="H758" s="48" t="str">
        <f aca="false">STACK!F758</f>
        <v>Support Svcs</v>
      </c>
      <c r="I758" s="1" t="str">
        <f aca="false">IF(G758&gt;0,IF(INDEX(CONFIRM!$I$5:$I$53,G758)&lt;&gt;"",INDEX(CONFIRM!$I$5:$I$53,G758),H758),H758)</f>
        <v>Support Svcs</v>
      </c>
      <c r="J758" s="1" t="str">
        <f aca="false">IFERROR(INDEX(MAP!$F$7:$F$74,MATCH(TRIM(I758),MAP!$E$7:$E$74,0)),"UNMAPPED")</f>
        <v>Health care support services</v>
      </c>
      <c r="K758" s="1" t="str">
        <f aca="false">IFERROR(INDEX(MAP!$G$7:$G$74,MATCH(TRIM(I758),MAP!$E$7:$E$74,0)),"UNMAPPED")</f>
        <v>7e</v>
      </c>
      <c r="L758" s="49" t="str">
        <f aca="false">STACK!G758</f>
        <v>04/30/2026</v>
      </c>
      <c r="M758" s="59" t="n">
        <f aca="false">IF(G758&gt;0,IF(INDEX(CONFIRM!$G$5:$G$53,G758)&lt;&gt;"",INDEX(CONFIRM!$G$5:$G$53,G758),IF(ISNUMBER(L758),L758,IFERROR(DATEVALUE(L758),""))),IF(ISNUMBER(L758),L758,IFERROR(DATEVALUE(L758),"")))</f>
        <v>46142</v>
      </c>
      <c r="N758" s="1" t="str">
        <f aca="false">IF(M758="","Check",IF(AND(M758&gt;=INPUTS!$C$6,M758&lt;=INPUTS!$C$7),"Yes","No"))</f>
        <v>Yes</v>
      </c>
      <c r="O758" s="48" t="str">
        <f aca="false">STACK!H758</f>
        <v>rdn</v>
      </c>
      <c r="P758" s="1" t="str">
        <f aca="false">IF(G758&gt;0,IF(INDEX(CONFIRM!$H$5:$H$53,G758)&lt;&gt;"",INDEX(CONFIRM!$H$5:$H$53,G758),IFERROR(INDEX(MAP!$B$7:$B$156,MATCH(TRIM(O758),MAP!$A$7:$A$156,0)),"UNMAPPED")),IFERROR(INDEX(MAP!$B$7:$B$156,MATCH(TRIM(O758),MAP!$A$7:$A$156,0)),"UNMAPPED"))</f>
        <v>Registered Dietitian</v>
      </c>
      <c r="Q758" s="48" t="n">
        <f aca="false">STACK!I758</f>
        <v>21</v>
      </c>
      <c r="R758" s="60" t="n">
        <f aca="false">IF(G758&gt;0,IF(INDEX(CONFIRM!$F$5:$F$53,G758)&lt;&gt;"",INDEX(CONFIRM!$F$5:$F$53,G758),IF(ISNUMBER(Q758),Q758,IF(Q758="","",IFERROR(VALUE(TRIM(SUBSTITUTE(SUBSTITUTE(LOWER(Q758),"hrs",""),"hr",""))),"")))),IF(ISNUMBER(Q758),Q758,IF(Q758="","",IFERROR(VALUE(TRIM(SUBSTITUTE(SUBSTITUTE(LOWER(Q758),"hrs",""),"hr",""))),""))))</f>
        <v>21</v>
      </c>
      <c r="S758" s="57" t="n">
        <f aca="false">IFERROR(INDEX(RATES!$E$6:$E$28,MATCH(P758,RATES!$A$6:$A$28,0)),0)</f>
        <v>46.9025</v>
      </c>
      <c r="T758" s="61" t="n">
        <f aca="false">IF(ISNUMBER(R758),R758,0)*S758</f>
        <v>984.9525</v>
      </c>
      <c r="U758" s="61" t="n">
        <f aca="false">T758*INDEX(INPUTS!$H$10:$H$14,MATCH(B758,INPUTS!$A$10:$A$14,0))</f>
        <v>159.562305</v>
      </c>
      <c r="V758" s="61" t="n">
        <f aca="false">N(STACK!K758)</f>
        <v>9505</v>
      </c>
      <c r="W758" s="61" t="n">
        <f aca="false">T758+U758+V758</f>
        <v>10649.514805</v>
      </c>
      <c r="X758" s="61" t="n">
        <f aca="false">N(STACK!L758)</f>
        <v>5070</v>
      </c>
      <c r="Y758" s="61" t="n">
        <f aca="false">W758-X758</f>
        <v>5579.514805</v>
      </c>
      <c r="Z758" s="1" t="n">
        <f aca="false">N(STACK!J758)</f>
        <v>146</v>
      </c>
      <c r="AA758" s="1" t="str">
        <f aca="false">TRIM(IF(D758="UNMAPPED","Program not mapped. ","")&amp;IF(OR(K758="UNMAPPED",K758="UNASSIGNED"),"Category needs review. ","")&amp;IF(P758="UNMAPPED","Title not mapped. ","")&amp;IF(AND(P758&lt;&gt;"No staff time",R758=""),"Missing hours. ","")&amp;IF(M758="","Date not readable. ","")&amp;IF(N758="No","Outside fiscal year. ","")&amp;IF(AND(F758="Event",ISNUMBER(R758)),IF(R758&gt;12,"Event hours look high. ",""),"")&amp;IF(G758&gt;0,"See CONFIRM sheet.",""))</f>
        <v/>
      </c>
      <c r="AB758" s="1" t="n">
        <f aca="false">IF(N758="No",0,IF(REVIEW!O758=0,0,IF(G758&gt;0,IF(INDEX(CONFIRM!$J$5:$J$53,G758)&lt;&gt;"",INDEX(CONFIRM!$J$5:$J$53,G758),1),1)))</f>
        <v>1</v>
      </c>
      <c r="AC758" s="1" t="n">
        <f aca="false">IF(AB758=1,IF(COUNTIFS($B$5:B758,B758,$D$5:D758,D758,$AB$5:AB758,1)=1,1,0),0)</f>
        <v>0</v>
      </c>
    </row>
    <row r="759" customFormat="false" ht="15" hidden="false" customHeight="false" outlineLevel="0" collapsed="false">
      <c r="A759" s="48" t="str">
        <f aca="false">STACK!A759</f>
        <v>ASH-0226</v>
      </c>
      <c r="B759" s="48" t="str">
        <f aca="false">STACK!B759</f>
        <v>ASH</v>
      </c>
      <c r="C759" s="48" t="str">
        <f aca="false">STACK!E759</f>
        <v>CB Program Admin</v>
      </c>
      <c r="D759" s="1" t="str">
        <f aca="false">IFERROR(INDEX(MAP!$J$7:$J$101,MATCH(TRIM(C759),MAP!$I$7:$I$101,0)),"UNMAPPED")</f>
        <v>Community Benefit Program Administration</v>
      </c>
      <c r="E759" s="1" t="str">
        <f aca="false">IFERROR(INDEX(MAP!$K$7:$K$101,MATCH(TRIM(C759),MAP!$I$7:$I$101,0)),"")</f>
        <v>Community benefit infrastructure</v>
      </c>
      <c r="F759" s="1" t="str">
        <f aca="false">IFERROR(INDEX(MAP!$L$7:$L$101,MATCH(TRIM(C759),MAP!$I$7:$I$101,0)),"")</f>
        <v>Monthly</v>
      </c>
      <c r="G759" s="1" t="n">
        <f aca="false">IFERROR(MATCH(A759,CONFIRM!$A$5:$A$53,0),0)</f>
        <v>0</v>
      </c>
      <c r="H759" s="48" t="str">
        <f aca="false">STACK!F759</f>
        <v>CB Admin</v>
      </c>
      <c r="I759" s="1" t="str">
        <f aca="false">IF(G759&gt;0,IF(INDEX(CONFIRM!$I$5:$I$53,G759)&lt;&gt;"",INDEX(CONFIRM!$I$5:$I$53,G759),H759),H759)</f>
        <v>CB Admin</v>
      </c>
      <c r="J759" s="1" t="str">
        <f aca="false">IFERROR(INDEX(MAP!$F$7:$F$74,MATCH(TRIM(I759),MAP!$E$7:$E$74,0)),"UNMAPPED")</f>
        <v>Community benefit operations</v>
      </c>
      <c r="K759" s="1" t="str">
        <f aca="false">IFERROR(INDEX(MAP!$G$7:$G$74,MATCH(TRIM(I759),MAP!$E$7:$E$74,0)),"UNMAPPED")</f>
        <v>7e</v>
      </c>
      <c r="L759" s="49" t="str">
        <f aca="false">STACK!G759</f>
        <v>04/30/2026</v>
      </c>
      <c r="M759" s="59" t="n">
        <f aca="false">IF(G759&gt;0,IF(INDEX(CONFIRM!$G$5:$G$53,G759)&lt;&gt;"",INDEX(CONFIRM!$G$5:$G$53,G759),IF(ISNUMBER(L759),L759,IFERROR(DATEVALUE(L759),""))),IF(ISNUMBER(L759),L759,IFERROR(DATEVALUE(L759),"")))</f>
        <v>46142</v>
      </c>
      <c r="N759" s="1" t="str">
        <f aca="false">IF(M759="","Check",IF(AND(M759&gt;=INPUTS!$C$6,M759&lt;=INPUTS!$C$7),"Yes","No"))</f>
        <v>Yes</v>
      </c>
      <c r="O759" s="48" t="str">
        <f aca="false">STACK!H759</f>
        <v> Unit Secretary</v>
      </c>
      <c r="P759" s="1" t="str">
        <f aca="false">IF(G759&gt;0,IF(INDEX(CONFIRM!$H$5:$H$53,G759)&lt;&gt;"",INDEX(CONFIRM!$H$5:$H$53,G759),IFERROR(INDEX(MAP!$B$7:$B$156,MATCH(TRIM(O759),MAP!$A$7:$A$156,0)),"UNMAPPED")),IFERROR(INDEX(MAP!$B$7:$B$156,MATCH(TRIM(O759),MAP!$A$7:$A$156,0)),"UNMAPPED"))</f>
        <v>Administrative Assistant</v>
      </c>
      <c r="Q759" s="48" t="n">
        <f aca="false">STACK!I759</f>
        <v>51.75</v>
      </c>
      <c r="R759" s="60" t="n">
        <f aca="false">IF(G759&gt;0,IF(INDEX(CONFIRM!$F$5:$F$53,G759)&lt;&gt;"",INDEX(CONFIRM!$F$5:$F$53,G759),IF(ISNUMBER(Q759),Q759,IF(Q759="","",IFERROR(VALUE(TRIM(SUBSTITUTE(SUBSTITUTE(LOWER(Q759),"hrs",""),"hr",""))),"")))),IF(ISNUMBER(Q759),Q759,IF(Q759="","",IFERROR(VALUE(TRIM(SUBSTITUTE(SUBSTITUTE(LOWER(Q759),"hrs",""),"hr",""))),""))))</f>
        <v>51.75</v>
      </c>
      <c r="S759" s="57" t="n">
        <f aca="false">IFERROR(INDEX(RATES!$E$6:$E$28,MATCH(P759,RATES!$A$6:$A$28,0)),0)</f>
        <v>26.985</v>
      </c>
      <c r="T759" s="61" t="n">
        <f aca="false">IF(ISNUMBER(R759),R759,0)*S759</f>
        <v>1396.47375</v>
      </c>
      <c r="U759" s="61" t="n">
        <f aca="false">T759*INDEX(INPUTS!$H$10:$H$14,MATCH(B759,INPUTS!$A$10:$A$14,0))</f>
        <v>226.2287475</v>
      </c>
      <c r="V759" s="61" t="n">
        <f aca="false">N(STACK!K759)</f>
        <v>0</v>
      </c>
      <c r="W759" s="61" t="n">
        <f aca="false">T759+U759+V759</f>
        <v>1622.7024975</v>
      </c>
      <c r="X759" s="61" t="n">
        <f aca="false">N(STACK!L759)</f>
        <v>0</v>
      </c>
      <c r="Y759" s="61" t="n">
        <f aca="false">W759-X759</f>
        <v>1622.7024975</v>
      </c>
      <c r="Z759" s="1" t="n">
        <f aca="false">N(STACK!J759)</f>
        <v>0</v>
      </c>
      <c r="AA759" s="1" t="str">
        <f aca="false">TRIM(IF(D759="UNMAPPED","Program not mapped. ","")&amp;IF(OR(K759="UNMAPPED",K759="UNASSIGNED"),"Category needs review. ","")&amp;IF(P759="UNMAPPED","Title not mapped. ","")&amp;IF(AND(P759&lt;&gt;"No staff time",R759=""),"Missing hours. ","")&amp;IF(M759="","Date not readable. ","")&amp;IF(N759="No","Outside fiscal year. ","")&amp;IF(AND(F759="Event",ISNUMBER(R759)),IF(R759&gt;12,"Event hours look high. ",""),"")&amp;IF(G759&gt;0,"See CONFIRM sheet.",""))</f>
        <v/>
      </c>
      <c r="AB759" s="1" t="n">
        <f aca="false">IF(N759="No",0,IF(REVIEW!O759=0,0,IF(G759&gt;0,IF(INDEX(CONFIRM!$J$5:$J$53,G759)&lt;&gt;"",INDEX(CONFIRM!$J$5:$J$53,G759),1),1)))</f>
        <v>1</v>
      </c>
      <c r="AC759" s="1" t="n">
        <f aca="false">IF(AB759=1,IF(COUNTIFS($B$5:B759,B759,$D$5:D759,D759,$AB$5:AB759,1)=1,1,0),0)</f>
        <v>0</v>
      </c>
    </row>
    <row r="760" customFormat="false" ht="15" hidden="false" customHeight="false" outlineLevel="0" collapsed="false">
      <c r="A760" s="48" t="str">
        <f aca="false">STACK!A760</f>
        <v>ASH-0227</v>
      </c>
      <c r="B760" s="48" t="str">
        <f aca="false">STACK!B760</f>
        <v>ASH</v>
      </c>
      <c r="C760" s="48" t="str">
        <f aca="false">STACK!E760</f>
        <v>CB Program Admin</v>
      </c>
      <c r="D760" s="1" t="str">
        <f aca="false">IFERROR(INDEX(MAP!$J$7:$J$101,MATCH(TRIM(C760),MAP!$I$7:$I$101,0)),"UNMAPPED")</f>
        <v>Community Benefit Program Administration</v>
      </c>
      <c r="E760" s="1" t="str">
        <f aca="false">IFERROR(INDEX(MAP!$K$7:$K$101,MATCH(TRIM(C760),MAP!$I$7:$I$101,0)),"")</f>
        <v>Community benefit infrastructure</v>
      </c>
      <c r="F760" s="1" t="str">
        <f aca="false">IFERROR(INDEX(MAP!$L$7:$L$101,MATCH(TRIM(C760),MAP!$I$7:$I$101,0)),"")</f>
        <v>Monthly</v>
      </c>
      <c r="G760" s="1" t="n">
        <f aca="false">IFERROR(MATCH(A760,CONFIRM!$A$5:$A$53,0),0)</f>
        <v>0</v>
      </c>
      <c r="H760" s="48" t="str">
        <f aca="false">STACK!F760</f>
        <v>CB Admin</v>
      </c>
      <c r="I760" s="1" t="str">
        <f aca="false">IF(G760&gt;0,IF(INDEX(CONFIRM!$I$5:$I$53,G760)&lt;&gt;"",INDEX(CONFIRM!$I$5:$I$53,G760),H760),H760)</f>
        <v>CB Admin</v>
      </c>
      <c r="J760" s="1" t="str">
        <f aca="false">IFERROR(INDEX(MAP!$F$7:$F$74,MATCH(TRIM(I760),MAP!$E$7:$E$74,0)),"UNMAPPED")</f>
        <v>Community benefit operations</v>
      </c>
      <c r="K760" s="1" t="str">
        <f aca="false">IFERROR(INDEX(MAP!$G$7:$G$74,MATCH(TRIM(I760),MAP!$E$7:$E$74,0)),"UNMAPPED")</f>
        <v>7e</v>
      </c>
      <c r="L760" s="49" t="str">
        <f aca="false">STACK!G760</f>
        <v>04/30/2026</v>
      </c>
      <c r="M760" s="59" t="n">
        <f aca="false">IF(G760&gt;0,IF(INDEX(CONFIRM!$G$5:$G$53,G760)&lt;&gt;"",INDEX(CONFIRM!$G$5:$G$53,G760),IF(ISNUMBER(L760),L760,IFERROR(DATEVALUE(L760),""))),IF(ISNUMBER(L760),L760,IFERROR(DATEVALUE(L760),"")))</f>
        <v>46142</v>
      </c>
      <c r="N760" s="1" t="str">
        <f aca="false">IF(M760="","Check",IF(AND(M760&gt;=INPUTS!$C$6,M760&lt;=INPUTS!$C$7),"Yes","No"))</f>
        <v>Yes</v>
      </c>
      <c r="O760" s="48" t="str">
        <f aca="false">STACK!H760</f>
        <v>Community Benefit Mgr </v>
      </c>
      <c r="P760" s="1" t="str">
        <f aca="false">IF(G760&gt;0,IF(INDEX(CONFIRM!$H$5:$H$53,G760)&lt;&gt;"",INDEX(CONFIRM!$H$5:$H$53,G760),IFERROR(INDEX(MAP!$B$7:$B$156,MATCH(TRIM(O760),MAP!$A$7:$A$156,0)),"UNMAPPED")),IFERROR(INDEX(MAP!$B$7:$B$156,MATCH(TRIM(O760),MAP!$A$7:$A$156,0)),"UNMAPPED"))</f>
        <v>Community Benefit Manager</v>
      </c>
      <c r="Q760" s="48" t="n">
        <f aca="false">STACK!I760</f>
        <v>58.5</v>
      </c>
      <c r="R760" s="60" t="n">
        <f aca="false">IF(G760&gt;0,IF(INDEX(CONFIRM!$F$5:$F$53,G760)&lt;&gt;"",INDEX(CONFIRM!$F$5:$F$53,G760),IF(ISNUMBER(Q760),Q760,IF(Q760="","",IFERROR(VALUE(TRIM(SUBSTITUTE(SUBSTITUTE(LOWER(Q760),"hrs",""),"hr",""))),"")))),IF(ISNUMBER(Q760),Q760,IF(Q760="","",IFERROR(VALUE(TRIM(SUBSTITUTE(SUBSTITUTE(LOWER(Q760),"hrs",""),"hr",""))),""))))</f>
        <v>58.5</v>
      </c>
      <c r="S760" s="57" t="n">
        <f aca="false">IFERROR(INDEX(RATES!$E$6:$E$28,MATCH(P760,RATES!$A$6:$A$28,0)),0)</f>
        <v>59.11</v>
      </c>
      <c r="T760" s="61" t="n">
        <f aca="false">IF(ISNUMBER(R760),R760,0)*S760</f>
        <v>3457.935</v>
      </c>
      <c r="U760" s="61" t="n">
        <f aca="false">T760*INDEX(INPUTS!$H$10:$H$14,MATCH(B760,INPUTS!$A$10:$A$14,0))</f>
        <v>560.18547</v>
      </c>
      <c r="V760" s="61" t="n">
        <f aca="false">N(STACK!K760)</f>
        <v>665</v>
      </c>
      <c r="W760" s="61" t="n">
        <f aca="false">T760+U760+V760</f>
        <v>4683.12047</v>
      </c>
      <c r="X760" s="61" t="n">
        <f aca="false">N(STACK!L760)</f>
        <v>0</v>
      </c>
      <c r="Y760" s="61" t="n">
        <f aca="false">W760-X760</f>
        <v>4683.12047</v>
      </c>
      <c r="Z760" s="1" t="n">
        <f aca="false">N(STACK!J760)</f>
        <v>0</v>
      </c>
      <c r="AA760" s="1" t="str">
        <f aca="false">TRIM(IF(D760="UNMAPPED","Program not mapped. ","")&amp;IF(OR(K760="UNMAPPED",K760="UNASSIGNED"),"Category needs review. ","")&amp;IF(P760="UNMAPPED","Title not mapped. ","")&amp;IF(AND(P760&lt;&gt;"No staff time",R760=""),"Missing hours. ","")&amp;IF(M760="","Date not readable. ","")&amp;IF(N760="No","Outside fiscal year. ","")&amp;IF(AND(F760="Event",ISNUMBER(R760)),IF(R760&gt;12,"Event hours look high. ",""),"")&amp;IF(G760&gt;0,"See CONFIRM sheet.",""))</f>
        <v/>
      </c>
      <c r="AB760" s="1" t="n">
        <f aca="false">IF(N760="No",0,IF(REVIEW!O760=0,0,IF(G760&gt;0,IF(INDEX(CONFIRM!$J$5:$J$53,G760)&lt;&gt;"",INDEX(CONFIRM!$J$5:$J$53,G760),1),1)))</f>
        <v>1</v>
      </c>
      <c r="AC760" s="1" t="n">
        <f aca="false">IF(AB760=1,IF(COUNTIFS($B$5:B760,B760,$D$5:D760,D760,$AB$5:AB760,1)=1,1,0),0)</f>
        <v>0</v>
      </c>
    </row>
    <row r="761" customFormat="false" ht="15" hidden="false" customHeight="false" outlineLevel="0" collapsed="false">
      <c r="A761" s="48" t="str">
        <f aca="false">STACK!A761</f>
        <v>ASH-0228</v>
      </c>
      <c r="B761" s="48" t="str">
        <f aca="false">STACK!B761</f>
        <v>ASH</v>
      </c>
      <c r="C761" s="48" t="str">
        <f aca="false">STACK!E761</f>
        <v>Nursing Clinicals</v>
      </c>
      <c r="D761" s="1" t="str">
        <f aca="false">IFERROR(INDEX(MAP!$J$7:$J$101,MATCH(TRIM(C761),MAP!$I$7:$I$101,0)),"UNMAPPED")</f>
        <v>Nursing Student Clinical Rotations</v>
      </c>
      <c r="E761" s="1" t="str">
        <f aca="false">IFERROR(INDEX(MAP!$K$7:$K$101,MATCH(TRIM(C761),MAP!$I$7:$I$101,0)),"")</f>
        <v>Health workforce</v>
      </c>
      <c r="F761" s="1" t="str">
        <f aca="false">IFERROR(INDEX(MAP!$L$7:$L$101,MATCH(TRIM(C761),MAP!$I$7:$I$101,0)),"")</f>
        <v>Monthly</v>
      </c>
      <c r="G761" s="1" t="n">
        <f aca="false">IFERROR(MATCH(A761,CONFIRM!$A$5:$A$53,0),0)</f>
        <v>0</v>
      </c>
      <c r="H761" s="48" t="str">
        <f aca="false">STACK!F761</f>
        <v>HPE</v>
      </c>
      <c r="I761" s="1" t="str">
        <f aca="false">IF(G761&gt;0,IF(INDEX(CONFIRM!$I$5:$I$53,G761)&lt;&gt;"",INDEX(CONFIRM!$I$5:$I$53,G761),H761),H761)</f>
        <v>HPE</v>
      </c>
      <c r="J761" s="1" t="str">
        <f aca="false">IFERROR(INDEX(MAP!$F$7:$F$74,MATCH(TRIM(I761),MAP!$E$7:$E$74,0)),"UNMAPPED")</f>
        <v>Health professions education</v>
      </c>
      <c r="K761" s="1" t="str">
        <f aca="false">IFERROR(INDEX(MAP!$G$7:$G$74,MATCH(TRIM(I761),MAP!$E$7:$E$74,0)),"UNMAPPED")</f>
        <v>7f</v>
      </c>
      <c r="L761" s="49" t="str">
        <f aca="false">STACK!G761</f>
        <v>04/30/2026</v>
      </c>
      <c r="M761" s="59" t="n">
        <f aca="false">IF(G761&gt;0,IF(INDEX(CONFIRM!$G$5:$G$53,G761)&lt;&gt;"",INDEX(CONFIRM!$G$5:$G$53,G761),IF(ISNUMBER(L761),L761,IFERROR(DATEVALUE(L761),""))),IF(ISNUMBER(L761),L761,IFERROR(DATEVALUE(L761),"")))</f>
        <v>46142</v>
      </c>
      <c r="N761" s="1" t="str">
        <f aca="false">IF(M761="","Check",IF(AND(M761&gt;=INPUTS!$C$6,M761&lt;=INPUTS!$C$7),"Yes","No"))</f>
        <v>Yes</v>
      </c>
      <c r="O761" s="48" t="str">
        <f aca="false">STACK!H761</f>
        <v>Nurse Educator</v>
      </c>
      <c r="P761" s="1" t="str">
        <f aca="false">IF(G761&gt;0,IF(INDEX(CONFIRM!$H$5:$H$53,G761)&lt;&gt;"",INDEX(CONFIRM!$H$5:$H$53,G761),IFERROR(INDEX(MAP!$B$7:$B$156,MATCH(TRIM(O761),MAP!$A$7:$A$156,0)),"UNMAPPED")),IFERROR(INDEX(MAP!$B$7:$B$156,MATCH(TRIM(O761),MAP!$A$7:$A$156,0)),"UNMAPPED"))</f>
        <v>Clinical Nurse Educator</v>
      </c>
      <c r="Q761" s="48" t="n">
        <f aca="false">STACK!I761</f>
        <v>142.25</v>
      </c>
      <c r="R761" s="60" t="n">
        <f aca="false">IF(G761&gt;0,IF(INDEX(CONFIRM!$F$5:$F$53,G761)&lt;&gt;"",INDEX(CONFIRM!$F$5:$F$53,G761),IF(ISNUMBER(Q761),Q761,IF(Q761="","",IFERROR(VALUE(TRIM(SUBSTITUTE(SUBSTITUTE(LOWER(Q761),"hrs",""),"hr",""))),"")))),IF(ISNUMBER(Q761),Q761,IF(Q761="","",IFERROR(VALUE(TRIM(SUBSTITUTE(SUBSTITUTE(LOWER(Q761),"hrs",""),"hr",""))),""))))</f>
        <v>142.25</v>
      </c>
      <c r="S761" s="57" t="n">
        <f aca="false">IFERROR(INDEX(RATES!$E$6:$E$28,MATCH(P761,RATES!$A$6:$A$28,0)),0)</f>
        <v>62.965</v>
      </c>
      <c r="T761" s="61" t="n">
        <f aca="false">IF(ISNUMBER(R761),R761,0)*S761</f>
        <v>8956.77125</v>
      </c>
      <c r="U761" s="61" t="n">
        <f aca="false">T761*INDEX(INPUTS!$H$10:$H$14,MATCH(B761,INPUTS!$A$10:$A$14,0))</f>
        <v>1450.9969425</v>
      </c>
      <c r="V761" s="61" t="n">
        <f aca="false">N(STACK!K761)</f>
        <v>525</v>
      </c>
      <c r="W761" s="61" t="n">
        <f aca="false">T761+U761+V761</f>
        <v>10932.7681925</v>
      </c>
      <c r="X761" s="61" t="n">
        <f aca="false">N(STACK!L761)</f>
        <v>0</v>
      </c>
      <c r="Y761" s="61" t="n">
        <f aca="false">W761-X761</f>
        <v>10932.7681925</v>
      </c>
      <c r="Z761" s="1" t="n">
        <f aca="false">N(STACK!J761)</f>
        <v>38</v>
      </c>
      <c r="AA761" s="1" t="str">
        <f aca="false">TRIM(IF(D761="UNMAPPED","Program not mapped. ","")&amp;IF(OR(K761="UNMAPPED",K761="UNASSIGNED"),"Category needs review. ","")&amp;IF(P761="UNMAPPED","Title not mapped. ","")&amp;IF(AND(P761&lt;&gt;"No staff time",R761=""),"Missing hours. ","")&amp;IF(M761="","Date not readable. ","")&amp;IF(N761="No","Outside fiscal year. ","")&amp;IF(AND(F761="Event",ISNUMBER(R761)),IF(R761&gt;12,"Event hours look high. ",""),"")&amp;IF(G761&gt;0,"See CONFIRM sheet.",""))</f>
        <v/>
      </c>
      <c r="AB761" s="1" t="n">
        <f aca="false">IF(N761="No",0,IF(REVIEW!O761=0,0,IF(G761&gt;0,IF(INDEX(CONFIRM!$J$5:$J$53,G761)&lt;&gt;"",INDEX(CONFIRM!$J$5:$J$53,G761),1),1)))</f>
        <v>1</v>
      </c>
      <c r="AC761" s="1" t="n">
        <f aca="false">IF(AB761=1,IF(COUNTIFS($B$5:B761,B761,$D$5:D761,D761,$AB$5:AB761,1)=1,1,0),0)</f>
        <v>0</v>
      </c>
    </row>
    <row r="762" customFormat="false" ht="15" hidden="false" customHeight="false" outlineLevel="0" collapsed="false">
      <c r="A762" s="48" t="str">
        <f aca="false">STACK!A762</f>
        <v>ASH-0229</v>
      </c>
      <c r="B762" s="48" t="str">
        <f aca="false">STACK!B762</f>
        <v>ASH</v>
      </c>
      <c r="C762" s="48" t="str">
        <f aca="false">STACK!E762</f>
        <v>Nursing Clinicals</v>
      </c>
      <c r="D762" s="1" t="str">
        <f aca="false">IFERROR(INDEX(MAP!$J$7:$J$101,MATCH(TRIM(C762),MAP!$I$7:$I$101,0)),"UNMAPPED")</f>
        <v>Nursing Student Clinical Rotations</v>
      </c>
      <c r="E762" s="1" t="str">
        <f aca="false">IFERROR(INDEX(MAP!$K$7:$K$101,MATCH(TRIM(C762),MAP!$I$7:$I$101,0)),"")</f>
        <v>Health workforce</v>
      </c>
      <c r="F762" s="1" t="str">
        <f aca="false">IFERROR(INDEX(MAP!$L$7:$L$101,MATCH(TRIM(C762),MAP!$I$7:$I$101,0)),"")</f>
        <v>Monthly</v>
      </c>
      <c r="G762" s="1" t="n">
        <f aca="false">IFERROR(MATCH(A762,CONFIRM!$A$5:$A$53,0),0)</f>
        <v>0</v>
      </c>
      <c r="H762" s="48" t="str">
        <f aca="false">STACK!F762</f>
        <v>HPE</v>
      </c>
      <c r="I762" s="1" t="str">
        <f aca="false">IF(G762&gt;0,IF(INDEX(CONFIRM!$I$5:$I$53,G762)&lt;&gt;"",INDEX(CONFIRM!$I$5:$I$53,G762),H762),H762)</f>
        <v>HPE</v>
      </c>
      <c r="J762" s="1" t="str">
        <f aca="false">IFERROR(INDEX(MAP!$F$7:$F$74,MATCH(TRIM(I762),MAP!$E$7:$E$74,0)),"UNMAPPED")</f>
        <v>Health professions education</v>
      </c>
      <c r="K762" s="1" t="str">
        <f aca="false">IFERROR(INDEX(MAP!$G$7:$G$74,MATCH(TRIM(I762),MAP!$E$7:$E$74,0)),"UNMAPPED")</f>
        <v>7f</v>
      </c>
      <c r="L762" s="49" t="str">
        <f aca="false">STACK!G762</f>
        <v>04/30/2026</v>
      </c>
      <c r="M762" s="59" t="n">
        <f aca="false">IF(G762&gt;0,IF(INDEX(CONFIRM!$G$5:$G$53,G762)&lt;&gt;"",INDEX(CONFIRM!$G$5:$G$53,G762),IF(ISNUMBER(L762),L762,IFERROR(DATEVALUE(L762),""))),IF(ISNUMBER(L762),L762,IFERROR(DATEVALUE(L762),"")))</f>
        <v>46142</v>
      </c>
      <c r="N762" s="1" t="str">
        <f aca="false">IF(M762="","Check",IF(AND(M762&gt;=INPUTS!$C$6,M762&lt;=INPUTS!$C$7),"Yes","No"))</f>
        <v>Yes</v>
      </c>
      <c r="O762" s="48" t="str">
        <f aca="false">STACK!H762</f>
        <v>Clinical RN</v>
      </c>
      <c r="P762" s="1" t="str">
        <f aca="false">IF(G762&gt;0,IF(INDEX(CONFIRM!$H$5:$H$53,G762)&lt;&gt;"",INDEX(CONFIRM!$H$5:$H$53,G762),IFERROR(INDEX(MAP!$B$7:$B$156,MATCH(TRIM(O762),MAP!$A$7:$A$156,0)),"UNMAPPED")),IFERROR(INDEX(MAP!$B$7:$B$156,MATCH(TRIM(O762),MAP!$A$7:$A$156,0)),"UNMAPPED"))</f>
        <v>Registered Nurse</v>
      </c>
      <c r="Q762" s="48" t="n">
        <f aca="false">STACK!I762</f>
        <v>222.75</v>
      </c>
      <c r="R762" s="60" t="n">
        <f aca="false">IF(G762&gt;0,IF(INDEX(CONFIRM!$F$5:$F$53,G762)&lt;&gt;"",INDEX(CONFIRM!$F$5:$F$53,G762),IF(ISNUMBER(Q762),Q762,IF(Q762="","",IFERROR(VALUE(TRIM(SUBSTITUTE(SUBSTITUTE(LOWER(Q762),"hrs",""),"hr",""))),"")))),IF(ISNUMBER(Q762),Q762,IF(Q762="","",IFERROR(VALUE(TRIM(SUBSTITUTE(SUBSTITUTE(LOWER(Q762),"hrs",""),"hr",""))),""))))</f>
        <v>222.75</v>
      </c>
      <c r="S762" s="57" t="n">
        <f aca="false">IFERROR(INDEX(RATES!$E$6:$E$28,MATCH(P762,RATES!$A$6:$A$28,0)),0)</f>
        <v>55.8975</v>
      </c>
      <c r="T762" s="61" t="n">
        <f aca="false">IF(ISNUMBER(R762),R762,0)*S762</f>
        <v>12451.168125</v>
      </c>
      <c r="U762" s="61" t="n">
        <f aca="false">T762*INDEX(INPUTS!$H$10:$H$14,MATCH(B762,INPUTS!$A$10:$A$14,0))</f>
        <v>2017.08923625</v>
      </c>
      <c r="V762" s="61" t="n">
        <f aca="false">N(STACK!K762)</f>
        <v>0</v>
      </c>
      <c r="W762" s="61" t="n">
        <f aca="false">T762+U762+V762</f>
        <v>14468.25736125</v>
      </c>
      <c r="X762" s="61" t="n">
        <f aca="false">N(STACK!L762)</f>
        <v>0</v>
      </c>
      <c r="Y762" s="61" t="n">
        <f aca="false">W762-X762</f>
        <v>14468.25736125</v>
      </c>
      <c r="Z762" s="1" t="n">
        <f aca="false">N(STACK!J762)</f>
        <v>0</v>
      </c>
      <c r="AA762" s="1" t="str">
        <f aca="false">TRIM(IF(D762="UNMAPPED","Program not mapped. ","")&amp;IF(OR(K762="UNMAPPED",K762="UNASSIGNED"),"Category needs review. ","")&amp;IF(P762="UNMAPPED","Title not mapped. ","")&amp;IF(AND(P762&lt;&gt;"No staff time",R762=""),"Missing hours. ","")&amp;IF(M762="","Date not readable. ","")&amp;IF(N762="No","Outside fiscal year. ","")&amp;IF(AND(F762="Event",ISNUMBER(R762)),IF(R762&gt;12,"Event hours look high. ",""),"")&amp;IF(G762&gt;0,"See CONFIRM sheet.",""))</f>
        <v/>
      </c>
      <c r="AB762" s="1" t="n">
        <f aca="false">IF(N762="No",0,IF(REVIEW!O762=0,0,IF(G762&gt;0,IF(INDEX(CONFIRM!$J$5:$J$53,G762)&lt;&gt;"",INDEX(CONFIRM!$J$5:$J$53,G762),1),1)))</f>
        <v>1</v>
      </c>
      <c r="AC762" s="1" t="n">
        <f aca="false">IF(AB762=1,IF(COUNTIFS($B$5:B762,B762,$D$5:D762,D762,$AB$5:AB762,1)=1,1,0),0)</f>
        <v>0</v>
      </c>
    </row>
    <row r="763" customFormat="false" ht="15" hidden="false" customHeight="false" outlineLevel="0" collapsed="false">
      <c r="A763" s="48" t="str">
        <f aca="false">STACK!A763</f>
        <v>ASH-0230</v>
      </c>
      <c r="B763" s="48" t="str">
        <f aca="false">STACK!B763</f>
        <v>ASH</v>
      </c>
      <c r="C763" s="48" t="str">
        <f aca="false">STACK!E763</f>
        <v>Paramedic Students</v>
      </c>
      <c r="D763" s="1" t="str">
        <f aca="false">IFERROR(INDEX(MAP!$J$7:$J$101,MATCH(TRIM(C763),MAP!$I$7:$I$101,0)),"UNMAPPED")</f>
        <v>Paramedic Student Field Training</v>
      </c>
      <c r="E763" s="1" t="str">
        <f aca="false">IFERROR(INDEX(MAP!$K$7:$K$101,MATCH(TRIM(C763),MAP!$I$7:$I$101,0)),"")</f>
        <v>Health workforce</v>
      </c>
      <c r="F763" s="1" t="str">
        <f aca="false">IFERROR(INDEX(MAP!$L$7:$L$101,MATCH(TRIM(C763),MAP!$I$7:$I$101,0)),"")</f>
        <v>Monthly</v>
      </c>
      <c r="G763" s="1" t="n">
        <f aca="false">IFERROR(MATCH(A763,CONFIRM!$A$5:$A$53,0),0)</f>
        <v>0</v>
      </c>
      <c r="H763" s="48" t="str">
        <f aca="false">STACK!F763</f>
        <v>HPE</v>
      </c>
      <c r="I763" s="1" t="str">
        <f aca="false">IF(G763&gt;0,IF(INDEX(CONFIRM!$I$5:$I$53,G763)&lt;&gt;"",INDEX(CONFIRM!$I$5:$I$53,G763),H763),H763)</f>
        <v>HPE</v>
      </c>
      <c r="J763" s="1" t="str">
        <f aca="false">IFERROR(INDEX(MAP!$F$7:$F$74,MATCH(TRIM(I763),MAP!$E$7:$E$74,0)),"UNMAPPED")</f>
        <v>Health professions education</v>
      </c>
      <c r="K763" s="1" t="str">
        <f aca="false">IFERROR(INDEX(MAP!$G$7:$G$74,MATCH(TRIM(I763),MAP!$E$7:$E$74,0)),"UNMAPPED")</f>
        <v>7f</v>
      </c>
      <c r="L763" s="49" t="str">
        <f aca="false">STACK!G763</f>
        <v>04/30/2026</v>
      </c>
      <c r="M763" s="59" t="n">
        <f aca="false">IF(G763&gt;0,IF(INDEX(CONFIRM!$G$5:$G$53,G763)&lt;&gt;"",INDEX(CONFIRM!$G$5:$G$53,G763),IF(ISNUMBER(L763),L763,IFERROR(DATEVALUE(L763),""))),IF(ISNUMBER(L763),L763,IFERROR(DATEVALUE(L763),"")))</f>
        <v>46142</v>
      </c>
      <c r="N763" s="1" t="str">
        <f aca="false">IF(M763="","Check",IF(AND(M763&gt;=INPUTS!$C$6,M763&lt;=INPUTS!$C$7),"Yes","No"))</f>
        <v>Yes</v>
      </c>
      <c r="O763" s="48" t="str">
        <f aca="false">STACK!H763</f>
        <v>EMT-P</v>
      </c>
      <c r="P763" s="1" t="str">
        <f aca="false">IF(G763&gt;0,IF(INDEX(CONFIRM!$H$5:$H$53,G763)&lt;&gt;"",INDEX(CONFIRM!$H$5:$H$53,G763),IFERROR(INDEX(MAP!$B$7:$B$156,MATCH(TRIM(O763),MAP!$A$7:$A$156,0)),"UNMAPPED")),IFERROR(INDEX(MAP!$B$7:$B$156,MATCH(TRIM(O763),MAP!$A$7:$A$156,0)),"UNMAPPED"))</f>
        <v>Paramedic</v>
      </c>
      <c r="Q763" s="48" t="n">
        <f aca="false">STACK!I763</f>
        <v>64</v>
      </c>
      <c r="R763" s="60" t="n">
        <f aca="false">IF(G763&gt;0,IF(INDEX(CONFIRM!$F$5:$F$53,G763)&lt;&gt;"",INDEX(CONFIRM!$F$5:$F$53,G763),IF(ISNUMBER(Q763),Q763,IF(Q763="","",IFERROR(VALUE(TRIM(SUBSTITUTE(SUBSTITUTE(LOWER(Q763),"hrs",""),"hr",""))),"")))),IF(ISNUMBER(Q763),Q763,IF(Q763="","",IFERROR(VALUE(TRIM(SUBSTITUTE(SUBSTITUTE(LOWER(Q763),"hrs",""),"hr",""))),""))))</f>
        <v>64</v>
      </c>
      <c r="S763" s="57" t="n">
        <f aca="false">IFERROR(INDEX(RATES!$E$6:$E$28,MATCH(P763,RATES!$A$6:$A$28,0)),0)</f>
        <v>34.695</v>
      </c>
      <c r="T763" s="61" t="n">
        <f aca="false">IF(ISNUMBER(R763),R763,0)*S763</f>
        <v>2220.48</v>
      </c>
      <c r="U763" s="61" t="n">
        <f aca="false">T763*INDEX(INPUTS!$H$10:$H$14,MATCH(B763,INPUTS!$A$10:$A$14,0))</f>
        <v>359.71776</v>
      </c>
      <c r="V763" s="61" t="n">
        <f aca="false">N(STACK!K763)</f>
        <v>10</v>
      </c>
      <c r="W763" s="61" t="n">
        <f aca="false">T763+U763+V763</f>
        <v>2590.19776</v>
      </c>
      <c r="X763" s="61" t="n">
        <f aca="false">N(STACK!L763)</f>
        <v>0</v>
      </c>
      <c r="Y763" s="61" t="n">
        <f aca="false">W763-X763</f>
        <v>2590.19776</v>
      </c>
      <c r="Z763" s="1" t="n">
        <f aca="false">N(STACK!J763)</f>
        <v>3</v>
      </c>
      <c r="AA763" s="1" t="str">
        <f aca="false">TRIM(IF(D763="UNMAPPED","Program not mapped. ","")&amp;IF(OR(K763="UNMAPPED",K763="UNASSIGNED"),"Category needs review. ","")&amp;IF(P763="UNMAPPED","Title not mapped. ","")&amp;IF(AND(P763&lt;&gt;"No staff time",R763=""),"Missing hours. ","")&amp;IF(M763="","Date not readable. ","")&amp;IF(N763="No","Outside fiscal year. ","")&amp;IF(AND(F763="Event",ISNUMBER(R763)),IF(R763&gt;12,"Event hours look high. ",""),"")&amp;IF(G763&gt;0,"See CONFIRM sheet.",""))</f>
        <v/>
      </c>
      <c r="AB763" s="1" t="n">
        <f aca="false">IF(N763="No",0,IF(REVIEW!O763=0,0,IF(G763&gt;0,IF(INDEX(CONFIRM!$J$5:$J$53,G763)&lt;&gt;"",INDEX(CONFIRM!$J$5:$J$53,G763),1),1)))</f>
        <v>1</v>
      </c>
      <c r="AC763" s="1" t="n">
        <f aca="false">IF(AB763=1,IF(COUNTIFS($B$5:B763,B763,$D$5:D763,D763,$AB$5:AB763,1)=1,1,0),0)</f>
        <v>0</v>
      </c>
    </row>
    <row r="764" customFormat="false" ht="15" hidden="false" customHeight="false" outlineLevel="0" collapsed="false">
      <c r="A764" s="48" t="str">
        <f aca="false">STACK!A764</f>
        <v>ASH-0231</v>
      </c>
      <c r="B764" s="48" t="str">
        <f aca="false">STACK!B764</f>
        <v>ASH</v>
      </c>
      <c r="C764" s="48" t="str">
        <f aca="false">STACK!E764</f>
        <v>BP Checks</v>
      </c>
      <c r="D764" s="1" t="str">
        <f aca="false">IFERROR(INDEX(MAP!$J$7:$J$101,MATCH(TRIM(C764),MAP!$I$7:$I$101,0)),"UNMAPPED")</f>
        <v>Community Blood Pressure Checks</v>
      </c>
      <c r="E764" s="1" t="str">
        <f aca="false">IFERROR(INDEX(MAP!$K$7:$K$101,MATCH(TRIM(C764),MAP!$I$7:$I$101,0)),"")</f>
        <v>Chronic disease prevention</v>
      </c>
      <c r="F764" s="1" t="str">
        <f aca="false">IFERROR(INDEX(MAP!$L$7:$L$101,MATCH(TRIM(C764),MAP!$I$7:$I$101,0)),"")</f>
        <v>Event</v>
      </c>
      <c r="G764" s="1" t="n">
        <f aca="false">IFERROR(MATCH(A764,CONFIRM!$A$5:$A$53,0),0)</f>
        <v>0</v>
      </c>
      <c r="H764" s="48" t="str">
        <f aca="false">STACK!F764</f>
        <v>Clinical Svcs</v>
      </c>
      <c r="I764" s="1" t="str">
        <f aca="false">IF(G764&gt;0,IF(INDEX(CONFIRM!$I$5:$I$53,G764)&lt;&gt;"",INDEX(CONFIRM!$I$5:$I$53,G764),H764),H764)</f>
        <v>Clinical Svcs</v>
      </c>
      <c r="J764" s="1" t="str">
        <f aca="false">IFERROR(INDEX(MAP!$F$7:$F$74,MATCH(TRIM(I764),MAP!$E$7:$E$74,0)),"UNMAPPED")</f>
        <v>Community-based clinical services</v>
      </c>
      <c r="K764" s="1" t="str">
        <f aca="false">IFERROR(INDEX(MAP!$G$7:$G$74,MATCH(TRIM(I764),MAP!$E$7:$E$74,0)),"UNMAPPED")</f>
        <v>7e</v>
      </c>
      <c r="L764" s="49" t="str">
        <f aca="false">STACK!G764</f>
        <v>05/01/2026</v>
      </c>
      <c r="M764" s="59" t="n">
        <f aca="false">IF(G764&gt;0,IF(INDEX(CONFIRM!$G$5:$G$53,G764)&lt;&gt;"",INDEX(CONFIRM!$G$5:$G$53,G764),IF(ISNUMBER(L764),L764,IFERROR(DATEVALUE(L764),""))),IF(ISNUMBER(L764),L764,IFERROR(DATEVALUE(L764),"")))</f>
        <v>46143</v>
      </c>
      <c r="N764" s="1" t="str">
        <f aca="false">IF(M764="","Check",IF(AND(M764&gt;=INPUTS!$C$6,M764&lt;=INPUTS!$C$7),"Yes","No"))</f>
        <v>Yes</v>
      </c>
      <c r="O764" s="48" t="str">
        <f aca="false">STACK!H764</f>
        <v>Registered Nurse</v>
      </c>
      <c r="P764" s="1" t="str">
        <f aca="false">IF(G764&gt;0,IF(INDEX(CONFIRM!$H$5:$H$53,G764)&lt;&gt;"",INDEX(CONFIRM!$H$5:$H$53,G764),IFERROR(INDEX(MAP!$B$7:$B$156,MATCH(TRIM(O764),MAP!$A$7:$A$156,0)),"UNMAPPED")),IFERROR(INDEX(MAP!$B$7:$B$156,MATCH(TRIM(O764),MAP!$A$7:$A$156,0)),"UNMAPPED"))</f>
        <v>Registered Nurse</v>
      </c>
      <c r="Q764" s="48" t="n">
        <f aca="false">STACK!I764</f>
        <v>3</v>
      </c>
      <c r="R764" s="60" t="n">
        <f aca="false">IF(G764&gt;0,IF(INDEX(CONFIRM!$F$5:$F$53,G764)&lt;&gt;"",INDEX(CONFIRM!$F$5:$F$53,G764),IF(ISNUMBER(Q764),Q764,IF(Q764="","",IFERROR(VALUE(TRIM(SUBSTITUTE(SUBSTITUTE(LOWER(Q764),"hrs",""),"hr",""))),"")))),IF(ISNUMBER(Q764),Q764,IF(Q764="","",IFERROR(VALUE(TRIM(SUBSTITUTE(SUBSTITUTE(LOWER(Q764),"hrs",""),"hr",""))),""))))</f>
        <v>3</v>
      </c>
      <c r="S764" s="57" t="n">
        <f aca="false">IFERROR(INDEX(RATES!$E$6:$E$28,MATCH(P764,RATES!$A$6:$A$28,0)),0)</f>
        <v>55.8975</v>
      </c>
      <c r="T764" s="61" t="n">
        <f aca="false">IF(ISNUMBER(R764),R764,0)*S764</f>
        <v>167.6925</v>
      </c>
      <c r="U764" s="61" t="n">
        <f aca="false">T764*INDEX(INPUTS!$H$10:$H$14,MATCH(B764,INPUTS!$A$10:$A$14,0))</f>
        <v>27.166185</v>
      </c>
      <c r="V764" s="61" t="n">
        <f aca="false">N(STACK!K764)</f>
        <v>115</v>
      </c>
      <c r="W764" s="61" t="n">
        <f aca="false">T764+U764+V764</f>
        <v>309.858685</v>
      </c>
      <c r="X764" s="61" t="n">
        <f aca="false">N(STACK!L764)</f>
        <v>0</v>
      </c>
      <c r="Y764" s="61" t="n">
        <f aca="false">W764-X764</f>
        <v>309.858685</v>
      </c>
      <c r="Z764" s="1" t="n">
        <f aca="false">N(STACK!J764)</f>
        <v>65</v>
      </c>
      <c r="AA764" s="1" t="str">
        <f aca="false">TRIM(IF(D764="UNMAPPED","Program not mapped. ","")&amp;IF(OR(K764="UNMAPPED",K764="UNASSIGNED"),"Category needs review. ","")&amp;IF(P764="UNMAPPED","Title not mapped. ","")&amp;IF(AND(P764&lt;&gt;"No staff time",R764=""),"Missing hours. ","")&amp;IF(M764="","Date not readable. ","")&amp;IF(N764="No","Outside fiscal year. ","")&amp;IF(AND(F764="Event",ISNUMBER(R764)),IF(R764&gt;12,"Event hours look high. ",""),"")&amp;IF(G764&gt;0,"See CONFIRM sheet.",""))</f>
        <v/>
      </c>
      <c r="AB764" s="1" t="n">
        <f aca="false">IF(N764="No",0,IF(REVIEW!O764=0,0,IF(G764&gt;0,IF(INDEX(CONFIRM!$J$5:$J$53,G764)&lt;&gt;"",INDEX(CONFIRM!$J$5:$J$53,G764),1),1)))</f>
        <v>1</v>
      </c>
      <c r="AC764" s="1" t="n">
        <f aca="false">IF(AB764=1,IF(COUNTIFS($B$5:B764,B764,$D$5:D764,D764,$AB$5:AB764,1)=1,1,0),0)</f>
        <v>0</v>
      </c>
    </row>
    <row r="765" customFormat="false" ht="15" hidden="false" customHeight="false" outlineLevel="0" collapsed="false">
      <c r="A765" s="48" t="str">
        <f aca="false">STACK!A765</f>
        <v>ASH-0232</v>
      </c>
      <c r="B765" s="48" t="str">
        <f aca="false">STACK!B765</f>
        <v>ASH</v>
      </c>
      <c r="C765" s="48" t="str">
        <f aca="false">STACK!E765</f>
        <v>DPP Classes</v>
      </c>
      <c r="D765" s="1" t="str">
        <f aca="false">IFERROR(INDEX(MAP!$J$7:$J$101,MATCH(TRIM(C765),MAP!$I$7:$I$101,0)),"UNMAPPED")</f>
        <v>Diabetes Prevention Classes</v>
      </c>
      <c r="E765" s="1" t="str">
        <f aca="false">IFERROR(INDEX(MAP!$K$7:$K$101,MATCH(TRIM(C765),MAP!$I$7:$I$101,0)),"")</f>
        <v>Chronic disease prevention</v>
      </c>
      <c r="F765" s="1" t="str">
        <f aca="false">IFERROR(INDEX(MAP!$L$7:$L$101,MATCH(TRIM(C765),MAP!$I$7:$I$101,0)),"")</f>
        <v>Event</v>
      </c>
      <c r="G765" s="1" t="n">
        <f aca="false">IFERROR(MATCH(A765,CONFIRM!$A$5:$A$53,0),0)</f>
        <v>0</v>
      </c>
      <c r="H765" s="48" t="str">
        <f aca="false">STACK!F765</f>
        <v>Comm Hlth Ed</v>
      </c>
      <c r="I765" s="1" t="str">
        <f aca="false">IF(G765&gt;0,IF(INDEX(CONFIRM!$I$5:$I$53,G765)&lt;&gt;"",INDEX(CONFIRM!$I$5:$I$53,G765),H765),H765)</f>
        <v>Comm Hlth Ed</v>
      </c>
      <c r="J765" s="1" t="str">
        <f aca="false">IFERROR(INDEX(MAP!$F$7:$F$74,MATCH(TRIM(I765),MAP!$E$7:$E$74,0)),"UNMAPPED")</f>
        <v>Community health education</v>
      </c>
      <c r="K765" s="1" t="str">
        <f aca="false">IFERROR(INDEX(MAP!$G$7:$G$74,MATCH(TRIM(I765),MAP!$E$7:$E$74,0)),"UNMAPPED")</f>
        <v>7e</v>
      </c>
      <c r="L765" s="49" t="str">
        <f aca="false">STACK!G765</f>
        <v>05/02/2026</v>
      </c>
      <c r="M765" s="59" t="n">
        <f aca="false">IF(G765&gt;0,IF(INDEX(CONFIRM!$G$5:$G$53,G765)&lt;&gt;"",INDEX(CONFIRM!$G$5:$G$53,G765),IF(ISNUMBER(L765),L765,IFERROR(DATEVALUE(L765),""))),IF(ISNUMBER(L765),L765,IFERROR(DATEVALUE(L765),"")))</f>
        <v>46144</v>
      </c>
      <c r="N765" s="1" t="str">
        <f aca="false">IF(M765="","Check",IF(AND(M765&gt;=INPUTS!$C$6,M765&lt;=INPUTS!$C$7),"Yes","No"))</f>
        <v>Yes</v>
      </c>
      <c r="O765" s="48" t="str">
        <f aca="false">STACK!H765</f>
        <v>Health Ed</v>
      </c>
      <c r="P765" s="1" t="str">
        <f aca="false">IF(G765&gt;0,IF(INDEX(CONFIRM!$H$5:$H$53,G765)&lt;&gt;"",INDEX(CONFIRM!$H$5:$H$53,G765),IFERROR(INDEX(MAP!$B$7:$B$156,MATCH(TRIM(O765),MAP!$A$7:$A$156,0)),"UNMAPPED")),IFERROR(INDEX(MAP!$B$7:$B$156,MATCH(TRIM(O765),MAP!$A$7:$A$156,0)),"UNMAPPED"))</f>
        <v>Health Educator</v>
      </c>
      <c r="Q765" s="48" t="n">
        <f aca="false">STACK!I765</f>
        <v>2</v>
      </c>
      <c r="R765" s="60" t="n">
        <f aca="false">IF(G765&gt;0,IF(INDEX(CONFIRM!$F$5:$F$53,G765)&lt;&gt;"",INDEX(CONFIRM!$F$5:$F$53,G765),IF(ISNUMBER(Q765),Q765,IF(Q765="","",IFERROR(VALUE(TRIM(SUBSTITUTE(SUBSTITUTE(LOWER(Q765),"hrs",""),"hr",""))),"")))),IF(ISNUMBER(Q765),Q765,IF(Q765="","",IFERROR(VALUE(TRIM(SUBSTITUTE(SUBSTITUTE(LOWER(Q765),"hrs",""),"hr",""))),""))))</f>
        <v>2</v>
      </c>
      <c r="S765" s="57" t="n">
        <f aca="false">IFERROR(INDEX(RATES!$E$6:$E$28,MATCH(P765,RATES!$A$6:$A$28,0)),0)</f>
        <v>37.265</v>
      </c>
      <c r="T765" s="61" t="n">
        <f aca="false">IF(ISNUMBER(R765),R765,0)*S765</f>
        <v>74.53</v>
      </c>
      <c r="U765" s="61" t="n">
        <f aca="false">T765*INDEX(INPUTS!$H$10:$H$14,MATCH(B765,INPUTS!$A$10:$A$14,0))</f>
        <v>12.07386</v>
      </c>
      <c r="V765" s="61" t="n">
        <f aca="false">N(STACK!K765)</f>
        <v>80</v>
      </c>
      <c r="W765" s="61" t="n">
        <f aca="false">T765+U765+V765</f>
        <v>166.60386</v>
      </c>
      <c r="X765" s="61" t="n">
        <f aca="false">N(STACK!L765)</f>
        <v>0</v>
      </c>
      <c r="Y765" s="61" t="n">
        <f aca="false">W765-X765</f>
        <v>166.60386</v>
      </c>
      <c r="Z765" s="1" t="n">
        <f aca="false">N(STACK!J765)</f>
        <v>11</v>
      </c>
      <c r="AA765" s="1" t="str">
        <f aca="false">TRIM(IF(D765="UNMAPPED","Program not mapped. ","")&amp;IF(OR(K765="UNMAPPED",K765="UNASSIGNED"),"Category needs review. ","")&amp;IF(P765="UNMAPPED","Title not mapped. ","")&amp;IF(AND(P765&lt;&gt;"No staff time",R765=""),"Missing hours. ","")&amp;IF(M765="","Date not readable. ","")&amp;IF(N765="No","Outside fiscal year. ","")&amp;IF(AND(F765="Event",ISNUMBER(R765)),IF(R765&gt;12,"Event hours look high. ",""),"")&amp;IF(G765&gt;0,"See CONFIRM sheet.",""))</f>
        <v/>
      </c>
      <c r="AB765" s="1" t="n">
        <f aca="false">IF(N765="No",0,IF(REVIEW!O765=0,0,IF(G765&gt;0,IF(INDEX(CONFIRM!$J$5:$J$53,G765)&lt;&gt;"",INDEX(CONFIRM!$J$5:$J$53,G765),1),1)))</f>
        <v>1</v>
      </c>
      <c r="AC765" s="1" t="n">
        <f aca="false">IF(AB765=1,IF(COUNTIFS($B$5:B765,B765,$D$5:D765,D765,$AB$5:AB765,1)=1,1,0),0)</f>
        <v>0</v>
      </c>
    </row>
    <row r="766" customFormat="false" ht="15" hidden="false" customHeight="false" outlineLevel="0" collapsed="false">
      <c r="A766" s="48" t="str">
        <f aca="false">STACK!A766</f>
        <v>ASH-0233</v>
      </c>
      <c r="B766" s="48" t="str">
        <f aca="false">STACK!B766</f>
        <v>ASH</v>
      </c>
      <c r="C766" s="48" t="str">
        <f aca="false">STACK!E766</f>
        <v>DPP Classes</v>
      </c>
      <c r="D766" s="1" t="str">
        <f aca="false">IFERROR(INDEX(MAP!$J$7:$J$101,MATCH(TRIM(C766),MAP!$I$7:$I$101,0)),"UNMAPPED")</f>
        <v>Diabetes Prevention Classes</v>
      </c>
      <c r="E766" s="1" t="str">
        <f aca="false">IFERROR(INDEX(MAP!$K$7:$K$101,MATCH(TRIM(C766),MAP!$I$7:$I$101,0)),"")</f>
        <v>Chronic disease prevention</v>
      </c>
      <c r="F766" s="1" t="str">
        <f aca="false">IFERROR(INDEX(MAP!$L$7:$L$101,MATCH(TRIM(C766),MAP!$I$7:$I$101,0)),"")</f>
        <v>Event</v>
      </c>
      <c r="G766" s="1" t="n">
        <f aca="false">IFERROR(MATCH(A766,CONFIRM!$A$5:$A$53,0),0)</f>
        <v>0</v>
      </c>
      <c r="H766" s="48" t="str">
        <f aca="false">STACK!F766</f>
        <v>Comm Hlth Ed</v>
      </c>
      <c r="I766" s="1" t="str">
        <f aca="false">IF(G766&gt;0,IF(INDEX(CONFIRM!$I$5:$I$53,G766)&lt;&gt;"",INDEX(CONFIRM!$I$5:$I$53,G766),H766),H766)</f>
        <v>Comm Hlth Ed</v>
      </c>
      <c r="J766" s="1" t="str">
        <f aca="false">IFERROR(INDEX(MAP!$F$7:$F$74,MATCH(TRIM(I766),MAP!$E$7:$E$74,0)),"UNMAPPED")</f>
        <v>Community health education</v>
      </c>
      <c r="K766" s="1" t="str">
        <f aca="false">IFERROR(INDEX(MAP!$G$7:$G$74,MATCH(TRIM(I766),MAP!$E$7:$E$74,0)),"UNMAPPED")</f>
        <v>7e</v>
      </c>
      <c r="L766" s="49" t="str">
        <f aca="false">STACK!G766</f>
        <v>05/02/2026</v>
      </c>
      <c r="M766" s="59" t="n">
        <f aca="false">IF(G766&gt;0,IF(INDEX(CONFIRM!$G$5:$G$53,G766)&lt;&gt;"",INDEX(CONFIRM!$G$5:$G$53,G766),IF(ISNUMBER(L766),L766,IFERROR(DATEVALUE(L766),""))),IF(ISNUMBER(L766),L766,IFERROR(DATEVALUE(L766),"")))</f>
        <v>46144</v>
      </c>
      <c r="N766" s="1" t="str">
        <f aca="false">IF(M766="","Check",IF(AND(M766&gt;=INPUTS!$C$6,M766&lt;=INPUTS!$C$7),"Yes","No"))</f>
        <v>Yes</v>
      </c>
      <c r="O766" s="48" t="str">
        <f aca="false">STACK!H766</f>
        <v> RD</v>
      </c>
      <c r="P766" s="1" t="str">
        <f aca="false">IF(G766&gt;0,IF(INDEX(CONFIRM!$H$5:$H$53,G766)&lt;&gt;"",INDEX(CONFIRM!$H$5:$H$53,G766),IFERROR(INDEX(MAP!$B$7:$B$156,MATCH(TRIM(O766),MAP!$A$7:$A$156,0)),"UNMAPPED")),IFERROR(INDEX(MAP!$B$7:$B$156,MATCH(TRIM(O766),MAP!$A$7:$A$156,0)),"UNMAPPED"))</f>
        <v>Registered Dietitian</v>
      </c>
      <c r="Q766" s="48" t="n">
        <f aca="false">STACK!I766</f>
        <v>1.75</v>
      </c>
      <c r="R766" s="60" t="n">
        <f aca="false">IF(G766&gt;0,IF(INDEX(CONFIRM!$F$5:$F$53,G766)&lt;&gt;"",INDEX(CONFIRM!$F$5:$F$53,G766),IF(ISNUMBER(Q766),Q766,IF(Q766="","",IFERROR(VALUE(TRIM(SUBSTITUTE(SUBSTITUTE(LOWER(Q766),"hrs",""),"hr",""))),"")))),IF(ISNUMBER(Q766),Q766,IF(Q766="","",IFERROR(VALUE(TRIM(SUBSTITUTE(SUBSTITUTE(LOWER(Q766),"hrs",""),"hr",""))),""))))</f>
        <v>1.75</v>
      </c>
      <c r="S766" s="57" t="n">
        <f aca="false">IFERROR(INDEX(RATES!$E$6:$E$28,MATCH(P766,RATES!$A$6:$A$28,0)),0)</f>
        <v>46.9025</v>
      </c>
      <c r="T766" s="61" t="n">
        <f aca="false">IF(ISNUMBER(R766),R766,0)*S766</f>
        <v>82.079375</v>
      </c>
      <c r="U766" s="61" t="n">
        <f aca="false">T766*INDEX(INPUTS!$H$10:$H$14,MATCH(B766,INPUTS!$A$10:$A$14,0))</f>
        <v>13.29685875</v>
      </c>
      <c r="V766" s="61" t="n">
        <f aca="false">N(STACK!K766)</f>
        <v>0</v>
      </c>
      <c r="W766" s="61" t="n">
        <f aca="false">T766+U766+V766</f>
        <v>95.37623375</v>
      </c>
      <c r="X766" s="61" t="n">
        <f aca="false">N(STACK!L766)</f>
        <v>0</v>
      </c>
      <c r="Y766" s="61" t="n">
        <f aca="false">W766-X766</f>
        <v>95.37623375</v>
      </c>
      <c r="Z766" s="1" t="n">
        <f aca="false">N(STACK!J766)</f>
        <v>0</v>
      </c>
      <c r="AA766" s="1" t="str">
        <f aca="false">TRIM(IF(D766="UNMAPPED","Program not mapped. ","")&amp;IF(OR(K766="UNMAPPED",K766="UNASSIGNED"),"Category needs review. ","")&amp;IF(P766="UNMAPPED","Title not mapped. ","")&amp;IF(AND(P766&lt;&gt;"No staff time",R766=""),"Missing hours. ","")&amp;IF(M766="","Date not readable. ","")&amp;IF(N766="No","Outside fiscal year. ","")&amp;IF(AND(F766="Event",ISNUMBER(R766)),IF(R766&gt;12,"Event hours look high. ",""),"")&amp;IF(G766&gt;0,"See CONFIRM sheet.",""))</f>
        <v/>
      </c>
      <c r="AB766" s="1" t="n">
        <f aca="false">IF(N766="No",0,IF(REVIEW!O766=0,0,IF(G766&gt;0,IF(INDEX(CONFIRM!$J$5:$J$53,G766)&lt;&gt;"",INDEX(CONFIRM!$J$5:$J$53,G766),1),1)))</f>
        <v>1</v>
      </c>
      <c r="AC766" s="1" t="n">
        <f aca="false">IF(AB766=1,IF(COUNTIFS($B$5:B766,B766,$D$5:D766,D766,$AB$5:AB766,1)=1,1,0),0)</f>
        <v>0</v>
      </c>
    </row>
    <row r="767" customFormat="false" ht="15" hidden="false" customHeight="false" outlineLevel="0" collapsed="false">
      <c r="A767" s="48" t="str">
        <f aca="false">STACK!A767</f>
        <v>ASH-0234</v>
      </c>
      <c r="B767" s="48" t="str">
        <f aca="false">STACK!B767</f>
        <v>ASH</v>
      </c>
      <c r="C767" s="48" t="str">
        <f aca="false">STACK!E767</f>
        <v>Car Seat Checks</v>
      </c>
      <c r="D767" s="1" t="str">
        <f aca="false">IFERROR(INDEX(MAP!$J$7:$J$101,MATCH(TRIM(C767),MAP!$I$7:$I$101,0)),"UNMAPPED")</f>
        <v>Car Seat Safety Checks</v>
      </c>
      <c r="E767" s="1" t="str">
        <f aca="false">IFERROR(INDEX(MAP!$K$7:$K$101,MATCH(TRIM(C767),MAP!$I$7:$I$101,0)),"")</f>
        <v>Maternal and child health</v>
      </c>
      <c r="F767" s="1" t="str">
        <f aca="false">IFERROR(INDEX(MAP!$L$7:$L$101,MATCH(TRIM(C767),MAP!$I$7:$I$101,0)),"")</f>
        <v>Event</v>
      </c>
      <c r="G767" s="1" t="n">
        <f aca="false">IFERROR(MATCH(A767,CONFIRM!$A$5:$A$53,0),0)</f>
        <v>0</v>
      </c>
      <c r="H767" s="48" t="str">
        <f aca="false">STACK!F767</f>
        <v>Comm Hlth Ed</v>
      </c>
      <c r="I767" s="1" t="str">
        <f aca="false">IF(G767&gt;0,IF(INDEX(CONFIRM!$I$5:$I$53,G767)&lt;&gt;"",INDEX(CONFIRM!$I$5:$I$53,G767),H767),H767)</f>
        <v>Comm Hlth Ed</v>
      </c>
      <c r="J767" s="1" t="str">
        <f aca="false">IFERROR(INDEX(MAP!$F$7:$F$74,MATCH(TRIM(I767),MAP!$E$7:$E$74,0)),"UNMAPPED")</f>
        <v>Community health education</v>
      </c>
      <c r="K767" s="1" t="str">
        <f aca="false">IFERROR(INDEX(MAP!$G$7:$G$74,MATCH(TRIM(I767),MAP!$E$7:$E$74,0)),"UNMAPPED")</f>
        <v>7e</v>
      </c>
      <c r="L767" s="49" t="str">
        <f aca="false">STACK!G767</f>
        <v>05/04/2026</v>
      </c>
      <c r="M767" s="59" t="n">
        <f aca="false">IF(G767&gt;0,IF(INDEX(CONFIRM!$G$5:$G$53,G767)&lt;&gt;"",INDEX(CONFIRM!$G$5:$G$53,G767),IF(ISNUMBER(L767),L767,IFERROR(DATEVALUE(L767),""))),IF(ISNUMBER(L767),L767,IFERROR(DATEVALUE(L767),"")))</f>
        <v>46146</v>
      </c>
      <c r="N767" s="1" t="str">
        <f aca="false">IF(M767="","Check",IF(AND(M767&gt;=INPUTS!$C$6,M767&lt;=INPUTS!$C$7),"Yes","No"))</f>
        <v>Yes</v>
      </c>
      <c r="O767" s="48" t="str">
        <f aca="false">STACK!H767</f>
        <v>EMT-P</v>
      </c>
      <c r="P767" s="1" t="str">
        <f aca="false">IF(G767&gt;0,IF(INDEX(CONFIRM!$H$5:$H$53,G767)&lt;&gt;"",INDEX(CONFIRM!$H$5:$H$53,G767),IFERROR(INDEX(MAP!$B$7:$B$156,MATCH(TRIM(O767),MAP!$A$7:$A$156,0)),"UNMAPPED")),IFERROR(INDEX(MAP!$B$7:$B$156,MATCH(TRIM(O767),MAP!$A$7:$A$156,0)),"UNMAPPED"))</f>
        <v>Paramedic</v>
      </c>
      <c r="Q767" s="48" t="n">
        <f aca="false">STACK!I767</f>
        <v>3.75</v>
      </c>
      <c r="R767" s="60" t="n">
        <f aca="false">IF(G767&gt;0,IF(INDEX(CONFIRM!$F$5:$F$53,G767)&lt;&gt;"",INDEX(CONFIRM!$F$5:$F$53,G767),IF(ISNUMBER(Q767),Q767,IF(Q767="","",IFERROR(VALUE(TRIM(SUBSTITUTE(SUBSTITUTE(LOWER(Q767),"hrs",""),"hr",""))),"")))),IF(ISNUMBER(Q767),Q767,IF(Q767="","",IFERROR(VALUE(TRIM(SUBSTITUTE(SUBSTITUTE(LOWER(Q767),"hrs",""),"hr",""))),""))))</f>
        <v>3.75</v>
      </c>
      <c r="S767" s="57" t="n">
        <f aca="false">IFERROR(INDEX(RATES!$E$6:$E$28,MATCH(P767,RATES!$A$6:$A$28,0)),0)</f>
        <v>34.695</v>
      </c>
      <c r="T767" s="61" t="n">
        <f aca="false">IF(ISNUMBER(R767),R767,0)*S767</f>
        <v>130.10625</v>
      </c>
      <c r="U767" s="61" t="n">
        <f aca="false">T767*INDEX(INPUTS!$H$10:$H$14,MATCH(B767,INPUTS!$A$10:$A$14,0))</f>
        <v>21.0772125</v>
      </c>
      <c r="V767" s="61" t="n">
        <f aca="false">N(STACK!K767)</f>
        <v>595</v>
      </c>
      <c r="W767" s="61" t="n">
        <f aca="false">T767+U767+V767</f>
        <v>746.1834625</v>
      </c>
      <c r="X767" s="61" t="n">
        <f aca="false">N(STACK!L767)</f>
        <v>70</v>
      </c>
      <c r="Y767" s="61" t="n">
        <f aca="false">W767-X767</f>
        <v>676.1834625</v>
      </c>
      <c r="Z767" s="1" t="n">
        <f aca="false">N(STACK!J767)</f>
        <v>31</v>
      </c>
      <c r="AA767" s="1" t="str">
        <f aca="false">TRIM(IF(D767="UNMAPPED","Program not mapped. ","")&amp;IF(OR(K767="UNMAPPED",K767="UNASSIGNED"),"Category needs review. ","")&amp;IF(P767="UNMAPPED","Title not mapped. ","")&amp;IF(AND(P767&lt;&gt;"No staff time",R767=""),"Missing hours. ","")&amp;IF(M767="","Date not readable. ","")&amp;IF(N767="No","Outside fiscal year. ","")&amp;IF(AND(F767="Event",ISNUMBER(R767)),IF(R767&gt;12,"Event hours look high. ",""),"")&amp;IF(G767&gt;0,"See CONFIRM sheet.",""))</f>
        <v/>
      </c>
      <c r="AB767" s="1" t="n">
        <f aca="false">IF(N767="No",0,IF(REVIEW!O767=0,0,IF(G767&gt;0,IF(INDEX(CONFIRM!$J$5:$J$53,G767)&lt;&gt;"",INDEX(CONFIRM!$J$5:$J$53,G767),1),1)))</f>
        <v>1</v>
      </c>
      <c r="AC767" s="1" t="n">
        <f aca="false">IF(AB767=1,IF(COUNTIFS($B$5:B767,B767,$D$5:D767,D767,$AB$5:AB767,1)=1,1,0),0)</f>
        <v>0</v>
      </c>
    </row>
    <row r="768" customFormat="false" ht="15" hidden="false" customHeight="false" outlineLevel="0" collapsed="false">
      <c r="A768" s="48" t="str">
        <f aca="false">STACK!A768</f>
        <v>ASH-0235</v>
      </c>
      <c r="B768" s="48" t="str">
        <f aca="false">STACK!B768</f>
        <v>ASH</v>
      </c>
      <c r="C768" s="48" t="str">
        <f aca="false">STACK!E768</f>
        <v>Car Seat Checks</v>
      </c>
      <c r="D768" s="1" t="str">
        <f aca="false">IFERROR(INDEX(MAP!$J$7:$J$101,MATCH(TRIM(C768),MAP!$I$7:$I$101,0)),"UNMAPPED")</f>
        <v>Car Seat Safety Checks</v>
      </c>
      <c r="E768" s="1" t="str">
        <f aca="false">IFERROR(INDEX(MAP!$K$7:$K$101,MATCH(TRIM(C768),MAP!$I$7:$I$101,0)),"")</f>
        <v>Maternal and child health</v>
      </c>
      <c r="F768" s="1" t="str">
        <f aca="false">IFERROR(INDEX(MAP!$L$7:$L$101,MATCH(TRIM(C768),MAP!$I$7:$I$101,0)),"")</f>
        <v>Event</v>
      </c>
      <c r="G768" s="1" t="n">
        <f aca="false">IFERROR(MATCH(A768,CONFIRM!$A$5:$A$53,0),0)</f>
        <v>0</v>
      </c>
      <c r="H768" s="48" t="str">
        <f aca="false">STACK!F768</f>
        <v>Comm Hlth Ed</v>
      </c>
      <c r="I768" s="1" t="str">
        <f aca="false">IF(G768&gt;0,IF(INDEX(CONFIRM!$I$5:$I$53,G768)&lt;&gt;"",INDEX(CONFIRM!$I$5:$I$53,G768),H768),H768)</f>
        <v>Comm Hlth Ed</v>
      </c>
      <c r="J768" s="1" t="str">
        <f aca="false">IFERROR(INDEX(MAP!$F$7:$F$74,MATCH(TRIM(I768),MAP!$E$7:$E$74,0)),"UNMAPPED")</f>
        <v>Community health education</v>
      </c>
      <c r="K768" s="1" t="str">
        <f aca="false">IFERROR(INDEX(MAP!$G$7:$G$74,MATCH(TRIM(I768),MAP!$E$7:$E$74,0)),"UNMAPPED")</f>
        <v>7e</v>
      </c>
      <c r="L768" s="49" t="str">
        <f aca="false">STACK!G768</f>
        <v>05/04/2026</v>
      </c>
      <c r="M768" s="59" t="n">
        <f aca="false">IF(G768&gt;0,IF(INDEX(CONFIRM!$G$5:$G$53,G768)&lt;&gt;"",INDEX(CONFIRM!$G$5:$G$53,G768),IF(ISNUMBER(L768),L768,IFERROR(DATEVALUE(L768),""))),IF(ISNUMBER(L768),L768,IFERROR(DATEVALUE(L768),"")))</f>
        <v>46146</v>
      </c>
      <c r="N768" s="1" t="str">
        <f aca="false">IF(M768="","Check",IF(AND(M768&gt;=INPUTS!$C$6,M768&lt;=INPUTS!$C$7),"Yes","No"))</f>
        <v>Yes</v>
      </c>
      <c r="O768" s="48" t="str">
        <f aca="false">STACK!H768</f>
        <v> RN</v>
      </c>
      <c r="P768" s="1" t="str">
        <f aca="false">IF(G768&gt;0,IF(INDEX(CONFIRM!$H$5:$H$53,G768)&lt;&gt;"",INDEX(CONFIRM!$H$5:$H$53,G768),IFERROR(INDEX(MAP!$B$7:$B$156,MATCH(TRIM(O768),MAP!$A$7:$A$156,0)),"UNMAPPED")),IFERROR(INDEX(MAP!$B$7:$B$156,MATCH(TRIM(O768),MAP!$A$7:$A$156,0)),"UNMAPPED"))</f>
        <v>Registered Nurse</v>
      </c>
      <c r="Q768" s="48" t="n">
        <f aca="false">STACK!I768</f>
        <v>4</v>
      </c>
      <c r="R768" s="60" t="n">
        <f aca="false">IF(G768&gt;0,IF(INDEX(CONFIRM!$F$5:$F$53,G768)&lt;&gt;"",INDEX(CONFIRM!$F$5:$F$53,G768),IF(ISNUMBER(Q768),Q768,IF(Q768="","",IFERROR(VALUE(TRIM(SUBSTITUTE(SUBSTITUTE(LOWER(Q768),"hrs",""),"hr",""))),"")))),IF(ISNUMBER(Q768),Q768,IF(Q768="","",IFERROR(VALUE(TRIM(SUBSTITUTE(SUBSTITUTE(LOWER(Q768),"hrs",""),"hr",""))),""))))</f>
        <v>4</v>
      </c>
      <c r="S768" s="57" t="n">
        <f aca="false">IFERROR(INDEX(RATES!$E$6:$E$28,MATCH(P768,RATES!$A$6:$A$28,0)),0)</f>
        <v>55.8975</v>
      </c>
      <c r="T768" s="61" t="n">
        <f aca="false">IF(ISNUMBER(R768),R768,0)*S768</f>
        <v>223.59</v>
      </c>
      <c r="U768" s="61" t="n">
        <f aca="false">T768*INDEX(INPUTS!$H$10:$H$14,MATCH(B768,INPUTS!$A$10:$A$14,0))</f>
        <v>36.22158</v>
      </c>
      <c r="V768" s="61" t="n">
        <f aca="false">N(STACK!K768)</f>
        <v>0</v>
      </c>
      <c r="W768" s="61" t="n">
        <f aca="false">T768+U768+V768</f>
        <v>259.81158</v>
      </c>
      <c r="X768" s="61" t="n">
        <f aca="false">N(STACK!L768)</f>
        <v>0</v>
      </c>
      <c r="Y768" s="61" t="n">
        <f aca="false">W768-X768</f>
        <v>259.81158</v>
      </c>
      <c r="Z768" s="1" t="n">
        <f aca="false">N(STACK!J768)</f>
        <v>0</v>
      </c>
      <c r="AA768" s="1" t="str">
        <f aca="false">TRIM(IF(D768="UNMAPPED","Program not mapped. ","")&amp;IF(OR(K768="UNMAPPED",K768="UNASSIGNED"),"Category needs review. ","")&amp;IF(P768="UNMAPPED","Title not mapped. ","")&amp;IF(AND(P768&lt;&gt;"No staff time",R768=""),"Missing hours. ","")&amp;IF(M768="","Date not readable. ","")&amp;IF(N768="No","Outside fiscal year. ","")&amp;IF(AND(F768="Event",ISNUMBER(R768)),IF(R768&gt;12,"Event hours look high. ",""),"")&amp;IF(G768&gt;0,"See CONFIRM sheet.",""))</f>
        <v/>
      </c>
      <c r="AB768" s="1" t="n">
        <f aca="false">IF(N768="No",0,IF(REVIEW!O768=0,0,IF(G768&gt;0,IF(INDEX(CONFIRM!$J$5:$J$53,G768)&lt;&gt;"",INDEX(CONFIRM!$J$5:$J$53,G768),1),1)))</f>
        <v>1</v>
      </c>
      <c r="AC768" s="1" t="n">
        <f aca="false">IF(AB768=1,IF(COUNTIFS($B$5:B768,B768,$D$5:D768,D768,$AB$5:AB768,1)=1,1,0),0)</f>
        <v>0</v>
      </c>
    </row>
    <row r="769" customFormat="false" ht="15" hidden="false" customHeight="false" outlineLevel="0" collapsed="false">
      <c r="A769" s="48" t="str">
        <f aca="false">STACK!A769</f>
        <v>ASH-0236</v>
      </c>
      <c r="B769" s="48" t="str">
        <f aca="false">STACK!B769</f>
        <v>ASH</v>
      </c>
      <c r="C769" s="48" t="str">
        <f aca="false">STACK!E769</f>
        <v>Housing Partnership</v>
      </c>
      <c r="D769" s="1" t="str">
        <f aca="false">IFERROR(INDEX(MAP!$J$7:$J$101,MATCH(TRIM(C769),MAP!$I$7:$I$101,0)),"UNMAPPED")</f>
        <v>Affordable Housing Partnership</v>
      </c>
      <c r="E769" s="1" t="str">
        <f aca="false">IFERROR(INDEX(MAP!$K$7:$K$101,MATCH(TRIM(C769),MAP!$I$7:$I$101,0)),"")</f>
        <v>Food and housing security</v>
      </c>
      <c r="F769" s="1" t="str">
        <f aca="false">IFERROR(INDEX(MAP!$L$7:$L$101,MATCH(TRIM(C769),MAP!$I$7:$I$101,0)),"")</f>
        <v>Event</v>
      </c>
      <c r="G769" s="1" t="n">
        <f aca="false">IFERROR(MATCH(A769,CONFIRM!$A$5:$A$53,0),0)</f>
        <v>0</v>
      </c>
      <c r="H769" s="48" t="str">
        <f aca="false">STACK!F769</f>
        <v>CB-Housing</v>
      </c>
      <c r="I769" s="1" t="str">
        <f aca="false">IF(G769&gt;0,IF(INDEX(CONFIRM!$I$5:$I$53,G769)&lt;&gt;"",INDEX(CONFIRM!$I$5:$I$53,G769),H769),H769)</f>
        <v>CB-Housing</v>
      </c>
      <c r="J769" s="1" t="str">
        <f aca="false">IFERROR(INDEX(MAP!$F$7:$F$74,MATCH(TRIM(I769),MAP!$E$7:$E$74,0)),"UNMAPPED")</f>
        <v>Community building: physical improvements and housing</v>
      </c>
      <c r="K769" s="1" t="str">
        <f aca="false">IFERROR(INDEX(MAP!$G$7:$G$74,MATCH(TRIM(I769),MAP!$E$7:$E$74,0)),"UNMAPPED")</f>
        <v>II-1</v>
      </c>
      <c r="L769" s="49" t="str">
        <f aca="false">STACK!G769</f>
        <v>05/25/2026</v>
      </c>
      <c r="M769" s="59" t="n">
        <f aca="false">IF(G769&gt;0,IF(INDEX(CONFIRM!$G$5:$G$53,G769)&lt;&gt;"",INDEX(CONFIRM!$G$5:$G$53,G769),IF(ISNUMBER(L769),L769,IFERROR(DATEVALUE(L769),""))),IF(ISNUMBER(L769),L769,IFERROR(DATEVALUE(L769),"")))</f>
        <v>46167</v>
      </c>
      <c r="N769" s="1" t="str">
        <f aca="false">IF(M769="","Check",IF(AND(M769&gt;=INPUTS!$C$6,M769&lt;=INPUTS!$C$7),"Yes","No"))</f>
        <v>Yes</v>
      </c>
      <c r="O769" s="48" t="str">
        <f aca="false">STACK!H769</f>
        <v>Dir.</v>
      </c>
      <c r="P769" s="1" t="str">
        <f aca="false">IF(G769&gt;0,IF(INDEX(CONFIRM!$H$5:$H$53,G769)&lt;&gt;"",INDEX(CONFIRM!$H$5:$H$53,G769),IFERROR(INDEX(MAP!$B$7:$B$156,MATCH(TRIM(O769),MAP!$A$7:$A$156,0)),"UNMAPPED")),IFERROR(INDEX(MAP!$B$7:$B$156,MATCH(TRIM(O769),MAP!$A$7:$A$156,0)),"UNMAPPED"))</f>
        <v>Director</v>
      </c>
      <c r="Q769" s="48" t="n">
        <f aca="false">STACK!I769</f>
        <v>5.75</v>
      </c>
      <c r="R769" s="60" t="n">
        <f aca="false">IF(G769&gt;0,IF(INDEX(CONFIRM!$F$5:$F$53,G769)&lt;&gt;"",INDEX(CONFIRM!$F$5:$F$53,G769),IF(ISNUMBER(Q769),Q769,IF(Q769="","",IFERROR(VALUE(TRIM(SUBSTITUTE(SUBSTITUTE(LOWER(Q769),"hrs",""),"hr",""))),"")))),IF(ISNUMBER(Q769),Q769,IF(Q769="","",IFERROR(VALUE(TRIM(SUBSTITUTE(SUBSTITUTE(LOWER(Q769),"hrs",""),"hr",""))),""))))</f>
        <v>5.75</v>
      </c>
      <c r="S769" s="57" t="n">
        <f aca="false">IFERROR(INDEX(RATES!$E$6:$E$28,MATCH(P769,RATES!$A$6:$A$28,0)),0)</f>
        <v>92.52</v>
      </c>
      <c r="T769" s="61" t="n">
        <f aca="false">IF(ISNUMBER(R769),R769,0)*S769</f>
        <v>531.99</v>
      </c>
      <c r="U769" s="61" t="n">
        <f aca="false">T769*INDEX(INPUTS!$H$10:$H$14,MATCH(B769,INPUTS!$A$10:$A$14,0))</f>
        <v>86.18238</v>
      </c>
      <c r="V769" s="61" t="n">
        <f aca="false">N(STACK!K769)</f>
        <v>85895</v>
      </c>
      <c r="W769" s="61" t="n">
        <f aca="false">T769+U769+V769</f>
        <v>86513.17238</v>
      </c>
      <c r="X769" s="61" t="n">
        <f aca="false">N(STACK!L769)</f>
        <v>0</v>
      </c>
      <c r="Y769" s="61" t="n">
        <f aca="false">W769-X769</f>
        <v>86513.17238</v>
      </c>
      <c r="Z769" s="1" t="n">
        <f aca="false">N(STACK!J769)</f>
        <v>0</v>
      </c>
      <c r="AA769" s="1" t="str">
        <f aca="false">TRIM(IF(D769="UNMAPPED","Program not mapped. ","")&amp;IF(OR(K769="UNMAPPED",K769="UNASSIGNED"),"Category needs review. ","")&amp;IF(P769="UNMAPPED","Title not mapped. ","")&amp;IF(AND(P769&lt;&gt;"No staff time",R769=""),"Missing hours. ","")&amp;IF(M769="","Date not readable. ","")&amp;IF(N769="No","Outside fiscal year. ","")&amp;IF(AND(F769="Event",ISNUMBER(R769)),IF(R769&gt;12,"Event hours look high. ",""),"")&amp;IF(G769&gt;0,"See CONFIRM sheet.",""))</f>
        <v/>
      </c>
      <c r="AB769" s="1" t="n">
        <f aca="false">IF(N769="No",0,IF(REVIEW!O769=0,0,IF(G769&gt;0,IF(INDEX(CONFIRM!$J$5:$J$53,G769)&lt;&gt;"",INDEX(CONFIRM!$J$5:$J$53,G769),1),1)))</f>
        <v>1</v>
      </c>
      <c r="AC769" s="1" t="n">
        <f aca="false">IF(AB769=1,IF(COUNTIFS($B$5:B769,B769,$D$5:D769,D769,$AB$5:AB769,1)=1,1,0),0)</f>
        <v>0</v>
      </c>
    </row>
    <row r="770" customFormat="false" ht="15" hidden="false" customHeight="false" outlineLevel="0" collapsed="false">
      <c r="A770" s="48" t="str">
        <f aca="false">STACK!A770</f>
        <v>ASH-0237</v>
      </c>
      <c r="B770" s="48" t="str">
        <f aca="false">STACK!B770</f>
        <v>ASH</v>
      </c>
      <c r="C770" s="48" t="str">
        <f aca="false">STACK!E770</f>
        <v>Housing Partnership</v>
      </c>
      <c r="D770" s="1" t="str">
        <f aca="false">IFERROR(INDEX(MAP!$J$7:$J$101,MATCH(TRIM(C770),MAP!$I$7:$I$101,0)),"UNMAPPED")</f>
        <v>Affordable Housing Partnership</v>
      </c>
      <c r="E770" s="1" t="str">
        <f aca="false">IFERROR(INDEX(MAP!$K$7:$K$101,MATCH(TRIM(C770),MAP!$I$7:$I$101,0)),"")</f>
        <v>Food and housing security</v>
      </c>
      <c r="F770" s="1" t="str">
        <f aca="false">IFERROR(INDEX(MAP!$L$7:$L$101,MATCH(TRIM(C770),MAP!$I$7:$I$101,0)),"")</f>
        <v>Event</v>
      </c>
      <c r="G770" s="1" t="n">
        <f aca="false">IFERROR(MATCH(A770,CONFIRM!$A$5:$A$53,0),0)</f>
        <v>0</v>
      </c>
      <c r="H770" s="48" t="str">
        <f aca="false">STACK!F770</f>
        <v>CB-Housing</v>
      </c>
      <c r="I770" s="1" t="str">
        <f aca="false">IF(G770&gt;0,IF(INDEX(CONFIRM!$I$5:$I$53,G770)&lt;&gt;"",INDEX(CONFIRM!$I$5:$I$53,G770),H770),H770)</f>
        <v>CB-Housing</v>
      </c>
      <c r="J770" s="1" t="str">
        <f aca="false">IFERROR(INDEX(MAP!$F$7:$F$74,MATCH(TRIM(I770),MAP!$E$7:$E$74,0)),"UNMAPPED")</f>
        <v>Community building: physical improvements and housing</v>
      </c>
      <c r="K770" s="1" t="str">
        <f aca="false">IFERROR(INDEX(MAP!$G$7:$G$74,MATCH(TRIM(I770),MAP!$E$7:$E$74,0)),"UNMAPPED")</f>
        <v>II-1</v>
      </c>
      <c r="L770" s="49" t="str">
        <f aca="false">STACK!G770</f>
        <v>05/25/2026</v>
      </c>
      <c r="M770" s="59" t="n">
        <f aca="false">IF(G770&gt;0,IF(INDEX(CONFIRM!$G$5:$G$53,G770)&lt;&gt;"",INDEX(CONFIRM!$G$5:$G$53,G770),IF(ISNUMBER(L770),L770,IFERROR(DATEVALUE(L770),""))),IF(ISNUMBER(L770),L770,IFERROR(DATEVALUE(L770),"")))</f>
        <v>46167</v>
      </c>
      <c r="N770" s="1" t="str">
        <f aca="false">IF(M770="","Check",IF(AND(M770&gt;=INPUTS!$C$6,M770&lt;=INPUTS!$C$7),"Yes","No"))</f>
        <v>Yes</v>
      </c>
      <c r="O770" s="48" t="str">
        <f aca="false">STACK!H770</f>
        <v>Prog Coord</v>
      </c>
      <c r="P770" s="1" t="str">
        <f aca="false">IF(G770&gt;0,IF(INDEX(CONFIRM!$H$5:$H$53,G770)&lt;&gt;"",INDEX(CONFIRM!$H$5:$H$53,G770),IFERROR(INDEX(MAP!$B$7:$B$156,MATCH(TRIM(O770),MAP!$A$7:$A$156,0)),"UNMAPPED")),IFERROR(INDEX(MAP!$B$7:$B$156,MATCH(TRIM(O770),MAP!$A$7:$A$156,0)),"UNMAPPED"))</f>
        <v>Program Coordinator</v>
      </c>
      <c r="Q770" s="48" t="n">
        <f aca="false">STACK!I770</f>
        <v>9.25</v>
      </c>
      <c r="R770" s="60" t="n">
        <f aca="false">IF(G770&gt;0,IF(INDEX(CONFIRM!$F$5:$F$53,G770)&lt;&gt;"",INDEX(CONFIRM!$F$5:$F$53,G770),IF(ISNUMBER(Q770),Q770,IF(Q770="","",IFERROR(VALUE(TRIM(SUBSTITUTE(SUBSTITUTE(LOWER(Q770),"hrs",""),"hr",""))),"")))),IF(ISNUMBER(Q770),Q770,IF(Q770="","",IFERROR(VALUE(TRIM(SUBSTITUTE(SUBSTITUTE(LOWER(Q770),"hrs",""),"hr",""))),""))))</f>
        <v>9.25</v>
      </c>
      <c r="S770" s="57" t="n">
        <f aca="false">IFERROR(INDEX(RATES!$E$6:$E$28,MATCH(P770,RATES!$A$6:$A$28,0)),0)</f>
        <v>35.3375</v>
      </c>
      <c r="T770" s="61" t="n">
        <f aca="false">IF(ISNUMBER(R770),R770,0)*S770</f>
        <v>326.871875</v>
      </c>
      <c r="U770" s="61" t="n">
        <f aca="false">T770*INDEX(INPUTS!$H$10:$H$14,MATCH(B770,INPUTS!$A$10:$A$14,0))</f>
        <v>52.95324375</v>
      </c>
      <c r="V770" s="61" t="n">
        <f aca="false">N(STACK!K770)</f>
        <v>0</v>
      </c>
      <c r="W770" s="61" t="n">
        <f aca="false">T770+U770+V770</f>
        <v>379.82511875</v>
      </c>
      <c r="X770" s="61" t="n">
        <f aca="false">N(STACK!L770)</f>
        <v>0</v>
      </c>
      <c r="Y770" s="61" t="n">
        <f aca="false">W770-X770</f>
        <v>379.82511875</v>
      </c>
      <c r="Z770" s="1" t="n">
        <f aca="false">N(STACK!J770)</f>
        <v>0</v>
      </c>
      <c r="AA770" s="1" t="str">
        <f aca="false">TRIM(IF(D770="UNMAPPED","Program not mapped. ","")&amp;IF(OR(K770="UNMAPPED",K770="UNASSIGNED"),"Category needs review. ","")&amp;IF(P770="UNMAPPED","Title not mapped. ","")&amp;IF(AND(P770&lt;&gt;"No staff time",R770=""),"Missing hours. ","")&amp;IF(M770="","Date not readable. ","")&amp;IF(N770="No","Outside fiscal year. ","")&amp;IF(AND(F770="Event",ISNUMBER(R770)),IF(R770&gt;12,"Event hours look high. ",""),"")&amp;IF(G770&gt;0,"See CONFIRM sheet.",""))</f>
        <v/>
      </c>
      <c r="AB770" s="1" t="n">
        <f aca="false">IF(N770="No",0,IF(REVIEW!O770=0,0,IF(G770&gt;0,IF(INDEX(CONFIRM!$J$5:$J$53,G770)&lt;&gt;"",INDEX(CONFIRM!$J$5:$J$53,G770),1),1)))</f>
        <v>1</v>
      </c>
      <c r="AC770" s="1" t="n">
        <f aca="false">IF(AB770=1,IF(COUNTIFS($B$5:B770,B770,$D$5:D770,D770,$AB$5:AB770,1)=1,1,0),0)</f>
        <v>0</v>
      </c>
    </row>
    <row r="771" customFormat="false" ht="15" hidden="false" customHeight="false" outlineLevel="0" collapsed="false">
      <c r="A771" s="48" t="str">
        <f aca="false">STACK!A771</f>
        <v>ASH-0238</v>
      </c>
      <c r="B771" s="48" t="str">
        <f aca="false">STACK!B771</f>
        <v>ASH</v>
      </c>
      <c r="C771" s="48" t="str">
        <f aca="false">STACK!E771</f>
        <v>Leadership Academy</v>
      </c>
      <c r="D771" s="1" t="str">
        <f aca="false">IFERROR(INDEX(MAP!$J$7:$J$101,MATCH(TRIM(C771),MAP!$I$7:$I$101,0)),"UNMAPPED")</f>
        <v>Neighborhood Leadership Academy</v>
      </c>
      <c r="E771" s="1" t="str">
        <f aca="false">IFERROR(INDEX(MAP!$K$7:$K$101,MATCH(TRIM(C771),MAP!$I$7:$I$101,0)),"")</f>
        <v>Community benefit infrastructure</v>
      </c>
      <c r="F771" s="1" t="str">
        <f aca="false">IFERROR(INDEX(MAP!$L$7:$L$101,MATCH(TRIM(C771),MAP!$I$7:$I$101,0)),"")</f>
        <v>Event</v>
      </c>
      <c r="G771" s="1" t="n">
        <f aca="false">IFERROR(MATCH(A771,CONFIRM!$A$5:$A$53,0),0)</f>
        <v>0</v>
      </c>
      <c r="H771" s="48" t="str">
        <f aca="false">STACK!F771</f>
        <v>CB-Leadership Dev</v>
      </c>
      <c r="I771" s="1" t="str">
        <f aca="false">IF(G771&gt;0,IF(INDEX(CONFIRM!$I$5:$I$53,G771)&lt;&gt;"",INDEX(CONFIRM!$I$5:$I$53,G771),H771),H771)</f>
        <v>CB-Leadership Dev</v>
      </c>
      <c r="J771" s="1" t="str">
        <f aca="false">IFERROR(INDEX(MAP!$F$7:$F$74,MATCH(TRIM(I771),MAP!$E$7:$E$74,0)),"UNMAPPED")</f>
        <v>Community building: leadership development</v>
      </c>
      <c r="K771" s="1" t="str">
        <f aca="false">IFERROR(INDEX(MAP!$G$7:$G$74,MATCH(TRIM(I771),MAP!$E$7:$E$74,0)),"UNMAPPED")</f>
        <v>II-5</v>
      </c>
      <c r="L771" s="49" t="str">
        <f aca="false">STACK!G771</f>
        <v>05/26/2026</v>
      </c>
      <c r="M771" s="59" t="n">
        <f aca="false">IF(G771&gt;0,IF(INDEX(CONFIRM!$G$5:$G$53,G771)&lt;&gt;"",INDEX(CONFIRM!$G$5:$G$53,G771),IF(ISNUMBER(L771),L771,IFERROR(DATEVALUE(L771),""))),IF(ISNUMBER(L771),L771,IFERROR(DATEVALUE(L771),"")))</f>
        <v>46168</v>
      </c>
      <c r="N771" s="1" t="str">
        <f aca="false">IF(M771="","Check",IF(AND(M771&gt;=INPUTS!$C$6,M771&lt;=INPUTS!$C$7),"Yes","No"))</f>
        <v>Yes</v>
      </c>
      <c r="O771" s="48" t="str">
        <f aca="false">STACK!H771</f>
        <v>Hlth Educator </v>
      </c>
      <c r="P771" s="1" t="str">
        <f aca="false">IF(G771&gt;0,IF(INDEX(CONFIRM!$H$5:$H$53,G771)&lt;&gt;"",INDEX(CONFIRM!$H$5:$H$53,G771),IFERROR(INDEX(MAP!$B$7:$B$156,MATCH(TRIM(O771),MAP!$A$7:$A$156,0)),"UNMAPPED")),IFERROR(INDEX(MAP!$B$7:$B$156,MATCH(TRIM(O771),MAP!$A$7:$A$156,0)),"UNMAPPED"))</f>
        <v>Health Educator</v>
      </c>
      <c r="Q771" s="48" t="n">
        <f aca="false">STACK!I771</f>
        <v>4</v>
      </c>
      <c r="R771" s="60" t="n">
        <f aca="false">IF(G771&gt;0,IF(INDEX(CONFIRM!$F$5:$F$53,G771)&lt;&gt;"",INDEX(CONFIRM!$F$5:$F$53,G771),IF(ISNUMBER(Q771),Q771,IF(Q771="","",IFERROR(VALUE(TRIM(SUBSTITUTE(SUBSTITUTE(LOWER(Q771),"hrs",""),"hr",""))),"")))),IF(ISNUMBER(Q771),Q771,IF(Q771="","",IFERROR(VALUE(TRIM(SUBSTITUTE(SUBSTITUTE(LOWER(Q771),"hrs",""),"hr",""))),""))))</f>
        <v>4</v>
      </c>
      <c r="S771" s="57" t="n">
        <f aca="false">IFERROR(INDEX(RATES!$E$6:$E$28,MATCH(P771,RATES!$A$6:$A$28,0)),0)</f>
        <v>37.265</v>
      </c>
      <c r="T771" s="61" t="n">
        <f aca="false">IF(ISNUMBER(R771),R771,0)*S771</f>
        <v>149.06</v>
      </c>
      <c r="U771" s="61" t="n">
        <f aca="false">T771*INDEX(INPUTS!$H$10:$H$14,MATCH(B771,INPUTS!$A$10:$A$14,0))</f>
        <v>24.14772</v>
      </c>
      <c r="V771" s="61" t="n">
        <f aca="false">N(STACK!K771)</f>
        <v>0</v>
      </c>
      <c r="W771" s="61" t="n">
        <f aca="false">T771+U771+V771</f>
        <v>173.20772</v>
      </c>
      <c r="X771" s="61" t="n">
        <f aca="false">N(STACK!L771)</f>
        <v>0</v>
      </c>
      <c r="Y771" s="61" t="n">
        <f aca="false">W771-X771</f>
        <v>173.20772</v>
      </c>
      <c r="Z771" s="1" t="n">
        <f aca="false">N(STACK!J771)</f>
        <v>0</v>
      </c>
      <c r="AA771" s="1" t="str">
        <f aca="false">TRIM(IF(D771="UNMAPPED","Program not mapped. ","")&amp;IF(OR(K771="UNMAPPED",K771="UNASSIGNED"),"Category needs review. ","")&amp;IF(P771="UNMAPPED","Title not mapped. ","")&amp;IF(AND(P771&lt;&gt;"No staff time",R771=""),"Missing hours. ","")&amp;IF(M771="","Date not readable. ","")&amp;IF(N771="No","Outside fiscal year. ","")&amp;IF(AND(F771="Event",ISNUMBER(R771)),IF(R771&gt;12,"Event hours look high. ",""),"")&amp;IF(G771&gt;0,"See CONFIRM sheet.",""))</f>
        <v/>
      </c>
      <c r="AB771" s="1" t="n">
        <f aca="false">IF(N771="No",0,IF(REVIEW!O771=0,0,IF(G771&gt;0,IF(INDEX(CONFIRM!$J$5:$J$53,G771)&lt;&gt;"",INDEX(CONFIRM!$J$5:$J$53,G771),1),1)))</f>
        <v>1</v>
      </c>
      <c r="AC771" s="1" t="n">
        <f aca="false">IF(AB771=1,IF(COUNTIFS($B$5:B771,B771,$D$5:D771,D771,$AB$5:AB771,1)=1,1,0),0)</f>
        <v>0</v>
      </c>
    </row>
    <row r="772" customFormat="false" ht="15" hidden="false" customHeight="false" outlineLevel="0" collapsed="false">
      <c r="A772" s="48" t="str">
        <f aca="false">STACK!A772</f>
        <v>ASH-0239</v>
      </c>
      <c r="B772" s="48" t="str">
        <f aca="false">STACK!B772</f>
        <v>ASH</v>
      </c>
      <c r="C772" s="48" t="str">
        <f aca="false">STACK!E772</f>
        <v>Leadership Academy</v>
      </c>
      <c r="D772" s="1" t="str">
        <f aca="false">IFERROR(INDEX(MAP!$J$7:$J$101,MATCH(TRIM(C772),MAP!$I$7:$I$101,0)),"UNMAPPED")</f>
        <v>Neighborhood Leadership Academy</v>
      </c>
      <c r="E772" s="1" t="str">
        <f aca="false">IFERROR(INDEX(MAP!$K$7:$K$101,MATCH(TRIM(C772),MAP!$I$7:$I$101,0)),"")</f>
        <v>Community benefit infrastructure</v>
      </c>
      <c r="F772" s="1" t="str">
        <f aca="false">IFERROR(INDEX(MAP!$L$7:$L$101,MATCH(TRIM(C772),MAP!$I$7:$I$101,0)),"")</f>
        <v>Event</v>
      </c>
      <c r="G772" s="1" t="n">
        <f aca="false">IFERROR(MATCH(A772,CONFIRM!$A$5:$A$53,0),0)</f>
        <v>0</v>
      </c>
      <c r="H772" s="48" t="str">
        <f aca="false">STACK!F772</f>
        <v>CB-Leadership Dev</v>
      </c>
      <c r="I772" s="1" t="str">
        <f aca="false">IF(G772&gt;0,IF(INDEX(CONFIRM!$I$5:$I$53,G772)&lt;&gt;"",INDEX(CONFIRM!$I$5:$I$53,G772),H772),H772)</f>
        <v>CB-Leadership Dev</v>
      </c>
      <c r="J772" s="1" t="str">
        <f aca="false">IFERROR(INDEX(MAP!$F$7:$F$74,MATCH(TRIM(I772),MAP!$E$7:$E$74,0)),"UNMAPPED")</f>
        <v>Community building: leadership development</v>
      </c>
      <c r="K772" s="1" t="str">
        <f aca="false">IFERROR(INDEX(MAP!$G$7:$G$74,MATCH(TRIM(I772),MAP!$E$7:$E$74,0)),"UNMAPPED")</f>
        <v>II-5</v>
      </c>
      <c r="L772" s="49" t="str">
        <f aca="false">STACK!G772</f>
        <v>05/26/2026</v>
      </c>
      <c r="M772" s="59" t="n">
        <f aca="false">IF(G772&gt;0,IF(INDEX(CONFIRM!$G$5:$G$53,G772)&lt;&gt;"",INDEX(CONFIRM!$G$5:$G$53,G772),IF(ISNUMBER(L772),L772,IFERROR(DATEVALUE(L772),""))),IF(ISNUMBER(L772),L772,IFERROR(DATEVALUE(L772),"")))</f>
        <v>46168</v>
      </c>
      <c r="N772" s="1" t="str">
        <f aca="false">IF(M772="","Check",IF(AND(M772&gt;=INPUTS!$C$6,M772&lt;=INPUTS!$C$7),"Yes","No"))</f>
        <v>Yes</v>
      </c>
      <c r="O772" s="48" t="str">
        <f aca="false">STACK!H772</f>
        <v>Volunteer Coordinator</v>
      </c>
      <c r="P772" s="1" t="str">
        <f aca="false">IF(G772&gt;0,IF(INDEX(CONFIRM!$H$5:$H$53,G772)&lt;&gt;"",INDEX(CONFIRM!$H$5:$H$53,G772),IFERROR(INDEX(MAP!$B$7:$B$156,MATCH(TRIM(O772),MAP!$A$7:$A$156,0)),"UNMAPPED")),IFERROR(INDEX(MAP!$B$7:$B$156,MATCH(TRIM(O772),MAP!$A$7:$A$156,0)),"UNMAPPED"))</f>
        <v>Program Coordinator</v>
      </c>
      <c r="Q772" s="48" t="n">
        <f aca="false">STACK!I772</f>
        <v>4.25</v>
      </c>
      <c r="R772" s="60" t="n">
        <f aca="false">IF(G772&gt;0,IF(INDEX(CONFIRM!$F$5:$F$53,G772)&lt;&gt;"",INDEX(CONFIRM!$F$5:$F$53,G772),IF(ISNUMBER(Q772),Q772,IF(Q772="","",IFERROR(VALUE(TRIM(SUBSTITUTE(SUBSTITUTE(LOWER(Q772),"hrs",""),"hr",""))),"")))),IF(ISNUMBER(Q772),Q772,IF(Q772="","",IFERROR(VALUE(TRIM(SUBSTITUTE(SUBSTITUTE(LOWER(Q772),"hrs",""),"hr",""))),""))))</f>
        <v>4.25</v>
      </c>
      <c r="S772" s="57" t="n">
        <f aca="false">IFERROR(INDEX(RATES!$E$6:$E$28,MATCH(P772,RATES!$A$6:$A$28,0)),0)</f>
        <v>35.3375</v>
      </c>
      <c r="T772" s="61" t="n">
        <f aca="false">IF(ISNUMBER(R772),R772,0)*S772</f>
        <v>150.184375</v>
      </c>
      <c r="U772" s="61" t="n">
        <f aca="false">T772*INDEX(INPUTS!$H$10:$H$14,MATCH(B772,INPUTS!$A$10:$A$14,0))</f>
        <v>24.32986875</v>
      </c>
      <c r="V772" s="61" t="n">
        <f aca="false">N(STACK!K772)</f>
        <v>740</v>
      </c>
      <c r="W772" s="61" t="n">
        <f aca="false">T772+U772+V772</f>
        <v>914.51424375</v>
      </c>
      <c r="X772" s="61" t="n">
        <f aca="false">N(STACK!L772)</f>
        <v>0</v>
      </c>
      <c r="Y772" s="61" t="n">
        <f aca="false">W772-X772</f>
        <v>914.51424375</v>
      </c>
      <c r="Z772" s="1" t="n">
        <f aca="false">N(STACK!J772)</f>
        <v>18</v>
      </c>
      <c r="AA772" s="1" t="str">
        <f aca="false">TRIM(IF(D772="UNMAPPED","Program not mapped. ","")&amp;IF(OR(K772="UNMAPPED",K772="UNASSIGNED"),"Category needs review. ","")&amp;IF(P772="UNMAPPED","Title not mapped. ","")&amp;IF(AND(P772&lt;&gt;"No staff time",R772=""),"Missing hours. ","")&amp;IF(M772="","Date not readable. ","")&amp;IF(N772="No","Outside fiscal year. ","")&amp;IF(AND(F772="Event",ISNUMBER(R772)),IF(R772&gt;12,"Event hours look high. ",""),"")&amp;IF(G772&gt;0,"See CONFIRM sheet.",""))</f>
        <v/>
      </c>
      <c r="AB772" s="1" t="n">
        <f aca="false">IF(N772="No",0,IF(REVIEW!O772=0,0,IF(G772&gt;0,IF(INDEX(CONFIRM!$J$5:$J$53,G772)&lt;&gt;"",INDEX(CONFIRM!$J$5:$J$53,G772),1),1)))</f>
        <v>1</v>
      </c>
      <c r="AC772" s="1" t="n">
        <f aca="false">IF(AB772=1,IF(COUNTIFS($B$5:B772,B772,$D$5:D772,D772,$AB$5:AB772,1)=1,1,0),0)</f>
        <v>0</v>
      </c>
    </row>
    <row r="773" customFormat="false" ht="15" hidden="false" customHeight="false" outlineLevel="0" collapsed="false">
      <c r="A773" s="48" t="str">
        <f aca="false">STACK!A773</f>
        <v>ASH-0240</v>
      </c>
      <c r="B773" s="48" t="str">
        <f aca="false">STACK!B773</f>
        <v>ASH</v>
      </c>
      <c r="C773" s="48" t="str">
        <f aca="false">STACK!E773</f>
        <v>MH First Aid</v>
      </c>
      <c r="D773" s="1" t="str">
        <f aca="false">IFERROR(INDEX(MAP!$J$7:$J$101,MATCH(TRIM(C773),MAP!$I$7:$I$101,0)),"UNMAPPED")</f>
        <v>Mental Health First Aid Training</v>
      </c>
      <c r="E773" s="1" t="str">
        <f aca="false">IFERROR(INDEX(MAP!$K$7:$K$101,MATCH(TRIM(C773),MAP!$I$7:$I$101,0)),"")</f>
        <v>Behavioral health</v>
      </c>
      <c r="F773" s="1" t="str">
        <f aca="false">IFERROR(INDEX(MAP!$L$7:$L$101,MATCH(TRIM(C773),MAP!$I$7:$I$101,0)),"")</f>
        <v>Event</v>
      </c>
      <c r="G773" s="1" t="n">
        <f aca="false">IFERROR(MATCH(A773,CONFIRM!$A$5:$A$53,0),0)</f>
        <v>0</v>
      </c>
      <c r="H773" s="48" t="str">
        <f aca="false">STACK!F773</f>
        <v>Comm Hlth Ed</v>
      </c>
      <c r="I773" s="1" t="str">
        <f aca="false">IF(G773&gt;0,IF(INDEX(CONFIRM!$I$5:$I$53,G773)&lt;&gt;"",INDEX(CONFIRM!$I$5:$I$53,G773),H773),H773)</f>
        <v>Comm Hlth Ed</v>
      </c>
      <c r="J773" s="1" t="str">
        <f aca="false">IFERROR(INDEX(MAP!$F$7:$F$74,MATCH(TRIM(I773),MAP!$E$7:$E$74,0)),"UNMAPPED")</f>
        <v>Community health education</v>
      </c>
      <c r="K773" s="1" t="str">
        <f aca="false">IFERROR(INDEX(MAP!$G$7:$G$74,MATCH(TRIM(I773),MAP!$E$7:$E$74,0)),"UNMAPPED")</f>
        <v>7e</v>
      </c>
      <c r="L773" s="49" t="str">
        <f aca="false">STACK!G773</f>
        <v>05/29/2026</v>
      </c>
      <c r="M773" s="59" t="n">
        <f aca="false">IF(G773&gt;0,IF(INDEX(CONFIRM!$G$5:$G$53,G773)&lt;&gt;"",INDEX(CONFIRM!$G$5:$G$53,G773),IF(ISNUMBER(L773),L773,IFERROR(DATEVALUE(L773),""))),IF(ISNUMBER(L773),L773,IFERROR(DATEVALUE(L773),"")))</f>
        <v>46171</v>
      </c>
      <c r="N773" s="1" t="str">
        <f aca="false">IF(M773="","Check",IF(AND(M773&gt;=INPUTS!$C$6,M773&lt;=INPUTS!$C$7),"Yes","No"))</f>
        <v>Yes</v>
      </c>
      <c r="O773" s="48" t="str">
        <f aca="false">STACK!H773</f>
        <v>Health Education Specialist</v>
      </c>
      <c r="P773" s="1" t="str">
        <f aca="false">IF(G773&gt;0,IF(INDEX(CONFIRM!$H$5:$H$53,G773)&lt;&gt;"",INDEX(CONFIRM!$H$5:$H$53,G773),IFERROR(INDEX(MAP!$B$7:$B$156,MATCH(TRIM(O773),MAP!$A$7:$A$156,0)),"UNMAPPED")),IFERROR(INDEX(MAP!$B$7:$B$156,MATCH(TRIM(O773),MAP!$A$7:$A$156,0)),"UNMAPPED"))</f>
        <v>Health Educator</v>
      </c>
      <c r="Q773" s="48" t="n">
        <f aca="false">STACK!I773</f>
        <v>8</v>
      </c>
      <c r="R773" s="60" t="n">
        <f aca="false">IF(G773&gt;0,IF(INDEX(CONFIRM!$F$5:$F$53,G773)&lt;&gt;"",INDEX(CONFIRM!$F$5:$F$53,G773),IF(ISNUMBER(Q773),Q773,IF(Q773="","",IFERROR(VALUE(TRIM(SUBSTITUTE(SUBSTITUTE(LOWER(Q773),"hrs",""),"hr",""))),"")))),IF(ISNUMBER(Q773),Q773,IF(Q773="","",IFERROR(VALUE(TRIM(SUBSTITUTE(SUBSTITUTE(LOWER(Q773),"hrs",""),"hr",""))),""))))</f>
        <v>8</v>
      </c>
      <c r="S773" s="57" t="n">
        <f aca="false">IFERROR(INDEX(RATES!$E$6:$E$28,MATCH(P773,RATES!$A$6:$A$28,0)),0)</f>
        <v>37.265</v>
      </c>
      <c r="T773" s="61" t="n">
        <f aca="false">IF(ISNUMBER(R773),R773,0)*S773</f>
        <v>298.12</v>
      </c>
      <c r="U773" s="61" t="n">
        <f aca="false">T773*INDEX(INPUTS!$H$10:$H$14,MATCH(B773,INPUTS!$A$10:$A$14,0))</f>
        <v>48.29544</v>
      </c>
      <c r="V773" s="61" t="n">
        <f aca="false">N(STACK!K773)</f>
        <v>0</v>
      </c>
      <c r="W773" s="61" t="n">
        <f aca="false">T773+U773+V773</f>
        <v>346.41544</v>
      </c>
      <c r="X773" s="61" t="n">
        <f aca="false">N(STACK!L773)</f>
        <v>0</v>
      </c>
      <c r="Y773" s="61" t="n">
        <f aca="false">W773-X773</f>
        <v>346.41544</v>
      </c>
      <c r="Z773" s="1" t="n">
        <f aca="false">N(STACK!J773)</f>
        <v>0</v>
      </c>
      <c r="AA773" s="1" t="str">
        <f aca="false">TRIM(IF(D773="UNMAPPED","Program not mapped. ","")&amp;IF(OR(K773="UNMAPPED",K773="UNASSIGNED"),"Category needs review. ","")&amp;IF(P773="UNMAPPED","Title not mapped. ","")&amp;IF(AND(P773&lt;&gt;"No staff time",R773=""),"Missing hours. ","")&amp;IF(M773="","Date not readable. ","")&amp;IF(N773="No","Outside fiscal year. ","")&amp;IF(AND(F773="Event",ISNUMBER(R773)),IF(R773&gt;12,"Event hours look high. ",""),"")&amp;IF(G773&gt;0,"See CONFIRM sheet.",""))</f>
        <v/>
      </c>
      <c r="AB773" s="1" t="n">
        <f aca="false">IF(N773="No",0,IF(REVIEW!O773=0,0,IF(G773&gt;0,IF(INDEX(CONFIRM!$J$5:$J$53,G773)&lt;&gt;"",INDEX(CONFIRM!$J$5:$J$53,G773),1),1)))</f>
        <v>1</v>
      </c>
      <c r="AC773" s="1" t="n">
        <f aca="false">IF(AB773=1,IF(COUNTIFS($B$5:B773,B773,$D$5:D773,D773,$AB$5:AB773,1)=1,1,0),0)</f>
        <v>0</v>
      </c>
    </row>
    <row r="774" customFormat="false" ht="15" hidden="false" customHeight="false" outlineLevel="0" collapsed="false">
      <c r="A774" s="48" t="str">
        <f aca="false">STACK!A774</f>
        <v>ASH-0241</v>
      </c>
      <c r="B774" s="48" t="str">
        <f aca="false">STACK!B774</f>
        <v>ASH</v>
      </c>
      <c r="C774" s="48" t="str">
        <f aca="false">STACK!E774</f>
        <v>MH First Aid</v>
      </c>
      <c r="D774" s="1" t="str">
        <f aca="false">IFERROR(INDEX(MAP!$J$7:$J$101,MATCH(TRIM(C774),MAP!$I$7:$I$101,0)),"UNMAPPED")</f>
        <v>Mental Health First Aid Training</v>
      </c>
      <c r="E774" s="1" t="str">
        <f aca="false">IFERROR(INDEX(MAP!$K$7:$K$101,MATCH(TRIM(C774),MAP!$I$7:$I$101,0)),"")</f>
        <v>Behavioral health</v>
      </c>
      <c r="F774" s="1" t="str">
        <f aca="false">IFERROR(INDEX(MAP!$L$7:$L$101,MATCH(TRIM(C774),MAP!$I$7:$I$101,0)),"")</f>
        <v>Event</v>
      </c>
      <c r="G774" s="1" t="n">
        <f aca="false">IFERROR(MATCH(A774,CONFIRM!$A$5:$A$53,0),0)</f>
        <v>0</v>
      </c>
      <c r="H774" s="48" t="str">
        <f aca="false">STACK!F774</f>
        <v>Comm Hlth Ed</v>
      </c>
      <c r="I774" s="1" t="str">
        <f aca="false">IF(G774&gt;0,IF(INDEX(CONFIRM!$I$5:$I$53,G774)&lt;&gt;"",INDEX(CONFIRM!$I$5:$I$53,G774),H774),H774)</f>
        <v>Comm Hlth Ed</v>
      </c>
      <c r="J774" s="1" t="str">
        <f aca="false">IFERROR(INDEX(MAP!$F$7:$F$74,MATCH(TRIM(I774),MAP!$E$7:$E$74,0)),"UNMAPPED")</f>
        <v>Community health education</v>
      </c>
      <c r="K774" s="1" t="str">
        <f aca="false">IFERROR(INDEX(MAP!$G$7:$G$74,MATCH(TRIM(I774),MAP!$E$7:$E$74,0)),"UNMAPPED")</f>
        <v>7e</v>
      </c>
      <c r="L774" s="49" t="str">
        <f aca="false">STACK!G774</f>
        <v>05/29/2026</v>
      </c>
      <c r="M774" s="59" t="n">
        <f aca="false">IF(G774&gt;0,IF(INDEX(CONFIRM!$G$5:$G$53,G774)&lt;&gt;"",INDEX(CONFIRM!$G$5:$G$53,G774),IF(ISNUMBER(L774),L774,IFERROR(DATEVALUE(L774),""))),IF(ISNUMBER(L774),L774,IFERROR(DATEVALUE(L774),"")))</f>
        <v>46171</v>
      </c>
      <c r="N774" s="1" t="str">
        <f aca="false">IF(M774="","Check",IF(AND(M774&gt;=INPUTS!$C$6,M774&lt;=INPUTS!$C$7),"Yes","No"))</f>
        <v>Yes</v>
      </c>
      <c r="O774" s="48" t="str">
        <f aca="false">STACK!H774</f>
        <v>MSW</v>
      </c>
      <c r="P774" s="1" t="str">
        <f aca="false">IF(G774&gt;0,IF(INDEX(CONFIRM!$H$5:$H$53,G774)&lt;&gt;"",INDEX(CONFIRM!$H$5:$H$53,G774),IFERROR(INDEX(MAP!$B$7:$B$156,MATCH(TRIM(O774),MAP!$A$7:$A$156,0)),"UNMAPPED")),IFERROR(INDEX(MAP!$B$7:$B$156,MATCH(TRIM(O774),MAP!$A$7:$A$156,0)),"UNMAPPED"))</f>
        <v>Social Worker</v>
      </c>
      <c r="Q774" s="48" t="str">
        <f aca="false">STACK!I774</f>
        <v>8 hrs</v>
      </c>
      <c r="R774" s="60" t="n">
        <f aca="false">IF(G774&gt;0,IF(INDEX(CONFIRM!$F$5:$F$53,G774)&lt;&gt;"",INDEX(CONFIRM!$F$5:$F$53,G774),IF(ISNUMBER(Q774),Q774,IF(Q774="","",IFERROR(VALUE(TRIM(SUBSTITUTE(SUBSTITUTE(LOWER(Q774),"hrs",""),"hr",""))),"")))),IF(ISNUMBER(Q774),Q774,IF(Q774="","",IFERROR(VALUE(TRIM(SUBSTITUTE(SUBSTITUTE(LOWER(Q774),"hrs",""),"hr",""))),""))))</f>
        <v>8</v>
      </c>
      <c r="S774" s="57" t="n">
        <f aca="false">IFERROR(INDEX(RATES!$E$6:$E$28,MATCH(P774,RATES!$A$6:$A$28,0)),0)</f>
        <v>45.6175</v>
      </c>
      <c r="T774" s="61" t="n">
        <f aca="false">IF(ISNUMBER(R774),R774,0)*S774</f>
        <v>364.94</v>
      </c>
      <c r="U774" s="61" t="n">
        <f aca="false">T774*INDEX(INPUTS!$H$10:$H$14,MATCH(B774,INPUTS!$A$10:$A$14,0))</f>
        <v>59.12028</v>
      </c>
      <c r="V774" s="61" t="n">
        <f aca="false">N(STACK!K774)</f>
        <v>575</v>
      </c>
      <c r="W774" s="61" t="n">
        <f aca="false">T774+U774+V774</f>
        <v>999.06028</v>
      </c>
      <c r="X774" s="61" t="n">
        <f aca="false">N(STACK!L774)</f>
        <v>0</v>
      </c>
      <c r="Y774" s="61" t="n">
        <f aca="false">W774-X774</f>
        <v>999.06028</v>
      </c>
      <c r="Z774" s="1" t="n">
        <f aca="false">N(STACK!J774)</f>
        <v>14</v>
      </c>
      <c r="AA774" s="1" t="str">
        <f aca="false">TRIM(IF(D774="UNMAPPED","Program not mapped. ","")&amp;IF(OR(K774="UNMAPPED",K774="UNASSIGNED"),"Category needs review. ","")&amp;IF(P774="UNMAPPED","Title not mapped. ","")&amp;IF(AND(P774&lt;&gt;"No staff time",R774=""),"Missing hours. ","")&amp;IF(M774="","Date not readable. ","")&amp;IF(N774="No","Outside fiscal year. ","")&amp;IF(AND(F774="Event",ISNUMBER(R774)),IF(R774&gt;12,"Event hours look high. ",""),"")&amp;IF(G774&gt;0,"See CONFIRM sheet.",""))</f>
        <v/>
      </c>
      <c r="AB774" s="1" t="n">
        <f aca="false">IF(N774="No",0,IF(REVIEW!O774=0,0,IF(G774&gt;0,IF(INDEX(CONFIRM!$J$5:$J$53,G774)&lt;&gt;"",INDEX(CONFIRM!$J$5:$J$53,G774),1),1)))</f>
        <v>1</v>
      </c>
      <c r="AC774" s="1" t="n">
        <f aca="false">IF(AB774=1,IF(COUNTIFS($B$5:B774,B774,$D$5:D774,D774,$AB$5:AB774,1)=1,1,0),0)</f>
        <v>0</v>
      </c>
    </row>
    <row r="775" customFormat="false" ht="15" hidden="false" customHeight="false" outlineLevel="0" collapsed="false">
      <c r="A775" s="48" t="str">
        <f aca="false">STACK!A775</f>
        <v>ASH-0242</v>
      </c>
      <c r="B775" s="48" t="str">
        <f aca="false">STACK!B775</f>
        <v>ASH</v>
      </c>
      <c r="C775" s="48" t="str">
        <f aca="false">STACK!E775</f>
        <v>Grief Support</v>
      </c>
      <c r="D775" s="1" t="str">
        <f aca="false">IFERROR(INDEX(MAP!$J$7:$J$101,MATCH(TRIM(C775),MAP!$I$7:$I$101,0)),"UNMAPPED")</f>
        <v>Grief Support Group</v>
      </c>
      <c r="E775" s="1" t="str">
        <f aca="false">IFERROR(INDEX(MAP!$K$7:$K$101,MATCH(TRIM(C775),MAP!$I$7:$I$101,0)),"")</f>
        <v>Behavioral health</v>
      </c>
      <c r="F775" s="1" t="str">
        <f aca="false">IFERROR(INDEX(MAP!$L$7:$L$101,MATCH(TRIM(C775),MAP!$I$7:$I$101,0)),"")</f>
        <v>Event</v>
      </c>
      <c r="G775" s="1" t="n">
        <f aca="false">IFERROR(MATCH(A775,CONFIRM!$A$5:$A$53,0),0)</f>
        <v>0</v>
      </c>
      <c r="H775" s="48" t="str">
        <f aca="false">STACK!F775</f>
        <v>Support Svcs</v>
      </c>
      <c r="I775" s="1" t="str">
        <f aca="false">IF(G775&gt;0,IF(INDEX(CONFIRM!$I$5:$I$53,G775)&lt;&gt;"",INDEX(CONFIRM!$I$5:$I$53,G775),H775),H775)</f>
        <v>Support Svcs</v>
      </c>
      <c r="J775" s="1" t="str">
        <f aca="false">IFERROR(INDEX(MAP!$F$7:$F$74,MATCH(TRIM(I775),MAP!$E$7:$E$74,0)),"UNMAPPED")</f>
        <v>Health care support services</v>
      </c>
      <c r="K775" s="1" t="str">
        <f aca="false">IFERROR(INDEX(MAP!$G$7:$G$74,MATCH(TRIM(I775),MAP!$E$7:$E$74,0)),"UNMAPPED")</f>
        <v>7e</v>
      </c>
      <c r="L775" s="49" t="str">
        <f aca="false">STACK!G775</f>
        <v>05/30/2026</v>
      </c>
      <c r="M775" s="59" t="n">
        <f aca="false">IF(G775&gt;0,IF(INDEX(CONFIRM!$G$5:$G$53,G775)&lt;&gt;"",INDEX(CONFIRM!$G$5:$G$53,G775),IF(ISNUMBER(L775),L775,IFERROR(DATEVALUE(L775),""))),IF(ISNUMBER(L775),L775,IFERROR(DATEVALUE(L775),"")))</f>
        <v>46172</v>
      </c>
      <c r="N775" s="1" t="str">
        <f aca="false">IF(M775="","Check",IF(AND(M775&gt;=INPUTS!$C$6,M775&lt;=INPUTS!$C$7),"Yes","No"))</f>
        <v>Yes</v>
      </c>
      <c r="O775" s="48" t="str">
        <f aca="false">STACK!H775</f>
        <v>Staff Chaplain</v>
      </c>
      <c r="P775" s="1" t="str">
        <f aca="false">IF(G775&gt;0,IF(INDEX(CONFIRM!$H$5:$H$53,G775)&lt;&gt;"",INDEX(CONFIRM!$H$5:$H$53,G775),IFERROR(INDEX(MAP!$B$7:$B$156,MATCH(TRIM(O775),MAP!$A$7:$A$156,0)),"UNMAPPED")),IFERROR(INDEX(MAP!$B$7:$B$156,MATCH(TRIM(O775),MAP!$A$7:$A$156,0)),"UNMAPPED"))</f>
        <v>Chaplain</v>
      </c>
      <c r="Q775" s="48" t="n">
        <f aca="false">STACK!I775</f>
        <v>2.25</v>
      </c>
      <c r="R775" s="60" t="n">
        <f aca="false">IF(G775&gt;0,IF(INDEX(CONFIRM!$F$5:$F$53,G775)&lt;&gt;"",INDEX(CONFIRM!$F$5:$F$53,G775),IF(ISNUMBER(Q775),Q775,IF(Q775="","",IFERROR(VALUE(TRIM(SUBSTITUTE(SUBSTITUTE(LOWER(Q775),"hrs",""),"hr",""))),"")))),IF(ISNUMBER(Q775),Q775,IF(Q775="","",IFERROR(VALUE(TRIM(SUBSTITUTE(SUBSTITUTE(LOWER(Q775),"hrs",""),"hr",""))),""))))</f>
        <v>2.25</v>
      </c>
      <c r="S775" s="57" t="n">
        <f aca="false">IFERROR(INDEX(RATES!$E$6:$E$28,MATCH(P775,RATES!$A$6:$A$28,0)),0)</f>
        <v>39.835</v>
      </c>
      <c r="T775" s="61" t="n">
        <f aca="false">IF(ISNUMBER(R775),R775,0)*S775</f>
        <v>89.62875</v>
      </c>
      <c r="U775" s="61" t="n">
        <f aca="false">T775*INDEX(INPUTS!$H$10:$H$14,MATCH(B775,INPUTS!$A$10:$A$14,0))</f>
        <v>14.5198575</v>
      </c>
      <c r="V775" s="61" t="n">
        <f aca="false">N(STACK!K775)</f>
        <v>35</v>
      </c>
      <c r="W775" s="61" t="n">
        <f aca="false">T775+U775+V775</f>
        <v>139.1486075</v>
      </c>
      <c r="X775" s="61" t="n">
        <f aca="false">N(STACK!L775)</f>
        <v>0</v>
      </c>
      <c r="Y775" s="61" t="n">
        <f aca="false">W775-X775</f>
        <v>139.1486075</v>
      </c>
      <c r="Z775" s="1" t="n">
        <f aca="false">N(STACK!J775)</f>
        <v>11</v>
      </c>
      <c r="AA775" s="1" t="str">
        <f aca="false">TRIM(IF(D775="UNMAPPED","Program not mapped. ","")&amp;IF(OR(K775="UNMAPPED",K775="UNASSIGNED"),"Category needs review. ","")&amp;IF(P775="UNMAPPED","Title not mapped. ","")&amp;IF(AND(P775&lt;&gt;"No staff time",R775=""),"Missing hours. ","")&amp;IF(M775="","Date not readable. ","")&amp;IF(N775="No","Outside fiscal year. ","")&amp;IF(AND(F775="Event",ISNUMBER(R775)),IF(R775&gt;12,"Event hours look high. ",""),"")&amp;IF(G775&gt;0,"See CONFIRM sheet.",""))</f>
        <v/>
      </c>
      <c r="AB775" s="1" t="n">
        <f aca="false">IF(N775="No",0,IF(REVIEW!O775=0,0,IF(G775&gt;0,IF(INDEX(CONFIRM!$J$5:$J$53,G775)&lt;&gt;"",INDEX(CONFIRM!$J$5:$J$53,G775),1),1)))</f>
        <v>1</v>
      </c>
      <c r="AC775" s="1" t="n">
        <f aca="false">IF(AB775=1,IF(COUNTIFS($B$5:B775,B775,$D$5:D775,D775,$AB$5:AB775,1)=1,1,0),0)</f>
        <v>0</v>
      </c>
    </row>
    <row r="776" customFormat="false" ht="15" hidden="false" customHeight="false" outlineLevel="0" collapsed="false">
      <c r="A776" s="48" t="str">
        <f aca="false">STACK!A776</f>
        <v>ASH-0243</v>
      </c>
      <c r="B776" s="48" t="str">
        <f aca="false">STACK!B776</f>
        <v>ASH</v>
      </c>
      <c r="C776" s="48" t="str">
        <f aca="false">STACK!E776</f>
        <v>Grief Support</v>
      </c>
      <c r="D776" s="1" t="str">
        <f aca="false">IFERROR(INDEX(MAP!$J$7:$J$101,MATCH(TRIM(C776),MAP!$I$7:$I$101,0)),"UNMAPPED")</f>
        <v>Grief Support Group</v>
      </c>
      <c r="E776" s="1" t="str">
        <f aca="false">IFERROR(INDEX(MAP!$K$7:$K$101,MATCH(TRIM(C776),MAP!$I$7:$I$101,0)),"")</f>
        <v>Behavioral health</v>
      </c>
      <c r="F776" s="1" t="str">
        <f aca="false">IFERROR(INDEX(MAP!$L$7:$L$101,MATCH(TRIM(C776),MAP!$I$7:$I$101,0)),"")</f>
        <v>Event</v>
      </c>
      <c r="G776" s="1" t="n">
        <f aca="false">IFERROR(MATCH(A776,CONFIRM!$A$5:$A$53,0),0)</f>
        <v>0</v>
      </c>
      <c r="H776" s="48" t="str">
        <f aca="false">STACK!F776</f>
        <v>Support Svcs</v>
      </c>
      <c r="I776" s="1" t="str">
        <f aca="false">IF(G776&gt;0,IF(INDEX(CONFIRM!$I$5:$I$53,G776)&lt;&gt;"",INDEX(CONFIRM!$I$5:$I$53,G776),H776),H776)</f>
        <v>Support Svcs</v>
      </c>
      <c r="J776" s="1" t="str">
        <f aca="false">IFERROR(INDEX(MAP!$F$7:$F$74,MATCH(TRIM(I776),MAP!$E$7:$E$74,0)),"UNMAPPED")</f>
        <v>Health care support services</v>
      </c>
      <c r="K776" s="1" t="str">
        <f aca="false">IFERROR(INDEX(MAP!$G$7:$G$74,MATCH(TRIM(I776),MAP!$E$7:$E$74,0)),"UNMAPPED")</f>
        <v>7e</v>
      </c>
      <c r="L776" s="49" t="str">
        <f aca="false">STACK!G776</f>
        <v>05/30/2026</v>
      </c>
      <c r="M776" s="59" t="n">
        <f aca="false">IF(G776&gt;0,IF(INDEX(CONFIRM!$G$5:$G$53,G776)&lt;&gt;"",INDEX(CONFIRM!$G$5:$G$53,G776),IF(ISNUMBER(L776),L776,IFERROR(DATEVALUE(L776),""))),IF(ISNUMBER(L776),L776,IFERROR(DATEVALUE(L776),"")))</f>
        <v>46172</v>
      </c>
      <c r="N776" s="1" t="str">
        <f aca="false">IF(M776="","Check",IF(AND(M776&gt;=INPUTS!$C$6,M776&lt;=INPUTS!$C$7),"Yes","No"))</f>
        <v>Yes</v>
      </c>
      <c r="O776" s="48" t="str">
        <f aca="false">STACK!H776</f>
        <v>LMSW</v>
      </c>
      <c r="P776" s="1" t="str">
        <f aca="false">IF(G776&gt;0,IF(INDEX(CONFIRM!$H$5:$H$53,G776)&lt;&gt;"",INDEX(CONFIRM!$H$5:$H$53,G776),IFERROR(INDEX(MAP!$B$7:$B$156,MATCH(TRIM(O776),MAP!$A$7:$A$156,0)),"UNMAPPED")),IFERROR(INDEX(MAP!$B$7:$B$156,MATCH(TRIM(O776),MAP!$A$7:$A$156,0)),"UNMAPPED"))</f>
        <v>Social Worker</v>
      </c>
      <c r="Q776" s="48" t="n">
        <f aca="false">STACK!I776</f>
        <v>1.5</v>
      </c>
      <c r="R776" s="60" t="n">
        <f aca="false">IF(G776&gt;0,IF(INDEX(CONFIRM!$F$5:$F$53,G776)&lt;&gt;"",INDEX(CONFIRM!$F$5:$F$53,G776),IF(ISNUMBER(Q776),Q776,IF(Q776="","",IFERROR(VALUE(TRIM(SUBSTITUTE(SUBSTITUTE(LOWER(Q776),"hrs",""),"hr",""))),"")))),IF(ISNUMBER(Q776),Q776,IF(Q776="","",IFERROR(VALUE(TRIM(SUBSTITUTE(SUBSTITUTE(LOWER(Q776),"hrs",""),"hr",""))),""))))</f>
        <v>1.5</v>
      </c>
      <c r="S776" s="57" t="n">
        <f aca="false">IFERROR(INDEX(RATES!$E$6:$E$28,MATCH(P776,RATES!$A$6:$A$28,0)),0)</f>
        <v>45.6175</v>
      </c>
      <c r="T776" s="61" t="n">
        <f aca="false">IF(ISNUMBER(R776),R776,0)*S776</f>
        <v>68.42625</v>
      </c>
      <c r="U776" s="61" t="n">
        <f aca="false">T776*INDEX(INPUTS!$H$10:$H$14,MATCH(B776,INPUTS!$A$10:$A$14,0))</f>
        <v>11.0850525</v>
      </c>
      <c r="V776" s="61" t="n">
        <f aca="false">N(STACK!K776)</f>
        <v>0</v>
      </c>
      <c r="W776" s="61" t="n">
        <f aca="false">T776+U776+V776</f>
        <v>79.5113025</v>
      </c>
      <c r="X776" s="61" t="n">
        <f aca="false">N(STACK!L776)</f>
        <v>0</v>
      </c>
      <c r="Y776" s="61" t="n">
        <f aca="false">W776-X776</f>
        <v>79.5113025</v>
      </c>
      <c r="Z776" s="1" t="n">
        <f aca="false">N(STACK!J776)</f>
        <v>0</v>
      </c>
      <c r="AA776" s="1" t="str">
        <f aca="false">TRIM(IF(D776="UNMAPPED","Program not mapped. ","")&amp;IF(OR(K776="UNMAPPED",K776="UNASSIGNED"),"Category needs review. ","")&amp;IF(P776="UNMAPPED","Title not mapped. ","")&amp;IF(AND(P776&lt;&gt;"No staff time",R776=""),"Missing hours. ","")&amp;IF(M776="","Date not readable. ","")&amp;IF(N776="No","Outside fiscal year. ","")&amp;IF(AND(F776="Event",ISNUMBER(R776)),IF(R776&gt;12,"Event hours look high. ",""),"")&amp;IF(G776&gt;0,"See CONFIRM sheet.",""))</f>
        <v/>
      </c>
      <c r="AB776" s="1" t="n">
        <f aca="false">IF(N776="No",0,IF(REVIEW!O776=0,0,IF(G776&gt;0,IF(INDEX(CONFIRM!$J$5:$J$53,G776)&lt;&gt;"",INDEX(CONFIRM!$J$5:$J$53,G776),1),1)))</f>
        <v>1</v>
      </c>
      <c r="AC776" s="1" t="n">
        <f aca="false">IF(AB776=1,IF(COUNTIFS($B$5:B776,B776,$D$5:D776,D776,$AB$5:AB776,1)=1,1,0),0)</f>
        <v>0</v>
      </c>
    </row>
    <row r="777" customFormat="false" ht="15" hidden="false" customHeight="false" outlineLevel="0" collapsed="false">
      <c r="A777" s="48" t="str">
        <f aca="false">STACK!A777</f>
        <v>ASH-0244</v>
      </c>
      <c r="B777" s="48" t="str">
        <f aca="false">STACK!B777</f>
        <v>ASH</v>
      </c>
      <c r="C777" s="48" t="str">
        <f aca="false">STACK!E777</f>
        <v>Mobile Screening Unit</v>
      </c>
      <c r="D777" s="1" t="str">
        <f aca="false">IFERROR(INDEX(MAP!$J$7:$J$101,MATCH(TRIM(C777),MAP!$I$7:$I$101,0)),"UNMAPPED")</f>
        <v>Mobile Health Screening Unit</v>
      </c>
      <c r="E777" s="1" t="str">
        <f aca="false">IFERROR(INDEX(MAP!$K$7:$K$101,MATCH(TRIM(C777),MAP!$I$7:$I$101,0)),"")</f>
        <v>Access to care</v>
      </c>
      <c r="F777" s="1" t="str">
        <f aca="false">IFERROR(INDEX(MAP!$L$7:$L$101,MATCH(TRIM(C777),MAP!$I$7:$I$101,0)),"")</f>
        <v>Monthly</v>
      </c>
      <c r="G777" s="1" t="n">
        <f aca="false">IFERROR(MATCH(A777,CONFIRM!$A$5:$A$53,0),0)</f>
        <v>0</v>
      </c>
      <c r="H777" s="48" t="str">
        <f aca="false">STACK!F777</f>
        <v>Clinical Svcs</v>
      </c>
      <c r="I777" s="1" t="str">
        <f aca="false">IF(G777&gt;0,IF(INDEX(CONFIRM!$I$5:$I$53,G777)&lt;&gt;"",INDEX(CONFIRM!$I$5:$I$53,G777),H777),H777)</f>
        <v>Clinical Svcs</v>
      </c>
      <c r="J777" s="1" t="str">
        <f aca="false">IFERROR(INDEX(MAP!$F$7:$F$74,MATCH(TRIM(I777),MAP!$E$7:$E$74,0)),"UNMAPPED")</f>
        <v>Community-based clinical services</v>
      </c>
      <c r="K777" s="1" t="str">
        <f aca="false">IFERROR(INDEX(MAP!$G$7:$G$74,MATCH(TRIM(I777),MAP!$E$7:$E$74,0)),"UNMAPPED")</f>
        <v>7e</v>
      </c>
      <c r="L777" s="49" t="str">
        <f aca="false">STACK!G777</f>
        <v>05/31/2026</v>
      </c>
      <c r="M777" s="59" t="n">
        <f aca="false">IF(G777&gt;0,IF(INDEX(CONFIRM!$G$5:$G$53,G777)&lt;&gt;"",INDEX(CONFIRM!$G$5:$G$53,G777),IF(ISNUMBER(L777),L777,IFERROR(DATEVALUE(L777),""))),IF(ISNUMBER(L777),L777,IFERROR(DATEVALUE(L777),"")))</f>
        <v>46173</v>
      </c>
      <c r="N777" s="1" t="str">
        <f aca="false">IF(M777="","Check",IF(AND(M777&gt;=INPUTS!$C$6,M777&lt;=INPUTS!$C$7),"Yes","No"))</f>
        <v>Yes</v>
      </c>
      <c r="O777" s="48" t="str">
        <f aca="false">STACK!H777</f>
        <v>CHW</v>
      </c>
      <c r="P777" s="1" t="str">
        <f aca="false">IF(G777&gt;0,IF(INDEX(CONFIRM!$H$5:$H$53,G777)&lt;&gt;"",INDEX(CONFIRM!$H$5:$H$53,G777),IFERROR(INDEX(MAP!$B$7:$B$156,MATCH(TRIM(O777),MAP!$A$7:$A$156,0)),"UNMAPPED")),IFERROR(INDEX(MAP!$B$7:$B$156,MATCH(TRIM(O777),MAP!$A$7:$A$156,0)),"UNMAPPED"))</f>
        <v>Community Health Worker</v>
      </c>
      <c r="Q777" s="48" t="n">
        <f aca="false">STACK!I777</f>
        <v>86.25</v>
      </c>
      <c r="R777" s="60" t="n">
        <f aca="false">IF(G777&gt;0,IF(INDEX(CONFIRM!$F$5:$F$53,G777)&lt;&gt;"",INDEX(CONFIRM!$F$5:$F$53,G777),IF(ISNUMBER(Q777),Q777,IF(Q777="","",IFERROR(VALUE(TRIM(SUBSTITUTE(SUBSTITUTE(LOWER(Q777),"hrs",""),"hr",""))),"")))),IF(ISNUMBER(Q777),Q777,IF(Q777="","",IFERROR(VALUE(TRIM(SUBSTITUTE(SUBSTITUTE(LOWER(Q777),"hrs",""),"hr",""))),""))))</f>
        <v>86.25</v>
      </c>
      <c r="S777" s="57" t="n">
        <f aca="false">IFERROR(INDEX(RATES!$E$6:$E$28,MATCH(P777,RATES!$A$6:$A$28,0)),0)</f>
        <v>27.6275</v>
      </c>
      <c r="T777" s="61" t="n">
        <f aca="false">IF(ISNUMBER(R777),R777,0)*S777</f>
        <v>2382.871875</v>
      </c>
      <c r="U777" s="61" t="n">
        <f aca="false">T777*INDEX(INPUTS!$H$10:$H$14,MATCH(B777,INPUTS!$A$10:$A$14,0))</f>
        <v>386.02524375</v>
      </c>
      <c r="V777" s="61" t="n">
        <f aca="false">N(STACK!K777)</f>
        <v>0</v>
      </c>
      <c r="W777" s="61" t="n">
        <f aca="false">T777+U777+V777</f>
        <v>2768.89711875</v>
      </c>
      <c r="X777" s="61" t="n">
        <f aca="false">N(STACK!L777)</f>
        <v>0</v>
      </c>
      <c r="Y777" s="61" t="n">
        <f aca="false">W777-X777</f>
        <v>2768.89711875</v>
      </c>
      <c r="Z777" s="1" t="n">
        <f aca="false">N(STACK!J777)</f>
        <v>0</v>
      </c>
      <c r="AA777" s="1" t="str">
        <f aca="false">TRIM(IF(D777="UNMAPPED","Program not mapped. ","")&amp;IF(OR(K777="UNMAPPED",K777="UNASSIGNED"),"Category needs review. ","")&amp;IF(P777="UNMAPPED","Title not mapped. ","")&amp;IF(AND(P777&lt;&gt;"No staff time",R777=""),"Missing hours. ","")&amp;IF(M777="","Date not readable. ","")&amp;IF(N777="No","Outside fiscal year. ","")&amp;IF(AND(F777="Event",ISNUMBER(R777)),IF(R777&gt;12,"Event hours look high. ",""),"")&amp;IF(G777&gt;0,"See CONFIRM sheet.",""))</f>
        <v/>
      </c>
      <c r="AB777" s="1" t="n">
        <f aca="false">IF(N777="No",0,IF(REVIEW!O777=0,0,IF(G777&gt;0,IF(INDEX(CONFIRM!$J$5:$J$53,G777)&lt;&gt;"",INDEX(CONFIRM!$J$5:$J$53,G777),1),1)))</f>
        <v>1</v>
      </c>
      <c r="AC777" s="1" t="n">
        <f aca="false">IF(AB777=1,IF(COUNTIFS($B$5:B777,B777,$D$5:D777,D777,$AB$5:AB777,1)=1,1,0),0)</f>
        <v>0</v>
      </c>
    </row>
    <row r="778" customFormat="false" ht="15" hidden="false" customHeight="false" outlineLevel="0" collapsed="false">
      <c r="A778" s="48" t="str">
        <f aca="false">STACK!A778</f>
        <v>ASH-0245</v>
      </c>
      <c r="B778" s="48" t="str">
        <f aca="false">STACK!B778</f>
        <v>ASH</v>
      </c>
      <c r="C778" s="48" t="str">
        <f aca="false">STACK!E778</f>
        <v>Mobile Screening Unit</v>
      </c>
      <c r="D778" s="1" t="str">
        <f aca="false">IFERROR(INDEX(MAP!$J$7:$J$101,MATCH(TRIM(C778),MAP!$I$7:$I$101,0)),"UNMAPPED")</f>
        <v>Mobile Health Screening Unit</v>
      </c>
      <c r="E778" s="1" t="str">
        <f aca="false">IFERROR(INDEX(MAP!$K$7:$K$101,MATCH(TRIM(C778),MAP!$I$7:$I$101,0)),"")</f>
        <v>Access to care</v>
      </c>
      <c r="F778" s="1" t="str">
        <f aca="false">IFERROR(INDEX(MAP!$L$7:$L$101,MATCH(TRIM(C778),MAP!$I$7:$I$101,0)),"")</f>
        <v>Monthly</v>
      </c>
      <c r="G778" s="1" t="n">
        <f aca="false">IFERROR(MATCH(A778,CONFIRM!$A$5:$A$53,0),0)</f>
        <v>0</v>
      </c>
      <c r="H778" s="48" t="str">
        <f aca="false">STACK!F778</f>
        <v>Clinical Svcs</v>
      </c>
      <c r="I778" s="1" t="str">
        <f aca="false">IF(G778&gt;0,IF(INDEX(CONFIRM!$I$5:$I$53,G778)&lt;&gt;"",INDEX(CONFIRM!$I$5:$I$53,G778),H778),H778)</f>
        <v>Clinical Svcs</v>
      </c>
      <c r="J778" s="1" t="str">
        <f aca="false">IFERROR(INDEX(MAP!$F$7:$F$74,MATCH(TRIM(I778),MAP!$E$7:$E$74,0)),"UNMAPPED")</f>
        <v>Community-based clinical services</v>
      </c>
      <c r="K778" s="1" t="str">
        <f aca="false">IFERROR(INDEX(MAP!$G$7:$G$74,MATCH(TRIM(I778),MAP!$E$7:$E$74,0)),"UNMAPPED")</f>
        <v>7e</v>
      </c>
      <c r="L778" s="49" t="str">
        <f aca="false">STACK!G778</f>
        <v>05/31/2026</v>
      </c>
      <c r="M778" s="59" t="n">
        <f aca="false">IF(G778&gt;0,IF(INDEX(CONFIRM!$G$5:$G$53,G778)&lt;&gt;"",INDEX(CONFIRM!$G$5:$G$53,G778),IF(ISNUMBER(L778),L778,IFERROR(DATEVALUE(L778),""))),IF(ISNUMBER(L778),L778,IFERROR(DATEVALUE(L778),"")))</f>
        <v>46173</v>
      </c>
      <c r="N778" s="1" t="str">
        <f aca="false">IF(M778="","Check",IF(AND(M778&gt;=INPUTS!$C$6,M778&lt;=INPUTS!$C$7),"Yes","No"))</f>
        <v>Yes</v>
      </c>
      <c r="O778" s="48" t="str">
        <f aca="false">STACK!H778</f>
        <v>CMA</v>
      </c>
      <c r="P778" s="1" t="str">
        <f aca="false">IF(G778&gt;0,IF(INDEX(CONFIRM!$H$5:$H$53,G778)&lt;&gt;"",INDEX(CONFIRM!$H$5:$H$53,G778),IFERROR(INDEX(MAP!$B$7:$B$156,MATCH(TRIM(O778),MAP!$A$7:$A$156,0)),"UNMAPPED")),IFERROR(INDEX(MAP!$B$7:$B$156,MATCH(TRIM(O778),MAP!$A$7:$A$156,0)),"UNMAPPED"))</f>
        <v>Medical Assistant</v>
      </c>
      <c r="Q778" s="48" t="n">
        <f aca="false">STACK!I778</f>
        <v>71</v>
      </c>
      <c r="R778" s="60" t="n">
        <f aca="false">IF(G778&gt;0,IF(INDEX(CONFIRM!$F$5:$F$53,G778)&lt;&gt;"",INDEX(CONFIRM!$F$5:$F$53,G778),IF(ISNUMBER(Q778),Q778,IF(Q778="","",IFERROR(VALUE(TRIM(SUBSTITUTE(SUBSTITUTE(LOWER(Q778),"hrs",""),"hr",""))),"")))),IF(ISNUMBER(Q778),Q778,IF(Q778="","",IFERROR(VALUE(TRIM(SUBSTITUTE(SUBSTITUTE(LOWER(Q778),"hrs",""),"hr",""))),""))))</f>
        <v>71</v>
      </c>
      <c r="S778" s="57" t="n">
        <f aca="false">IFERROR(INDEX(RATES!$E$6:$E$28,MATCH(P778,RATES!$A$6:$A$28,0)),0)</f>
        <v>25.37875</v>
      </c>
      <c r="T778" s="61" t="n">
        <f aca="false">IF(ISNUMBER(R778),R778,0)*S778</f>
        <v>1801.89125</v>
      </c>
      <c r="U778" s="61" t="n">
        <f aca="false">T778*INDEX(INPUTS!$H$10:$H$14,MATCH(B778,INPUTS!$A$10:$A$14,0))</f>
        <v>291.9063825</v>
      </c>
      <c r="V778" s="61" t="n">
        <f aca="false">N(STACK!K778)</f>
        <v>0</v>
      </c>
      <c r="W778" s="61" t="n">
        <f aca="false">T778+U778+V778</f>
        <v>2093.7976325</v>
      </c>
      <c r="X778" s="61" t="n">
        <f aca="false">N(STACK!L778)</f>
        <v>0</v>
      </c>
      <c r="Y778" s="61" t="n">
        <f aca="false">W778-X778</f>
        <v>2093.7976325</v>
      </c>
      <c r="Z778" s="1" t="n">
        <f aca="false">N(STACK!J778)</f>
        <v>0</v>
      </c>
      <c r="AA778" s="1" t="str">
        <f aca="false">TRIM(IF(D778="UNMAPPED","Program not mapped. ","")&amp;IF(OR(K778="UNMAPPED",K778="UNASSIGNED"),"Category needs review. ","")&amp;IF(P778="UNMAPPED","Title not mapped. ","")&amp;IF(AND(P778&lt;&gt;"No staff time",R778=""),"Missing hours. ","")&amp;IF(M778="","Date not readable. ","")&amp;IF(N778="No","Outside fiscal year. ","")&amp;IF(AND(F778="Event",ISNUMBER(R778)),IF(R778&gt;12,"Event hours look high. ",""),"")&amp;IF(G778&gt;0,"See CONFIRM sheet.",""))</f>
        <v/>
      </c>
      <c r="AB778" s="1" t="n">
        <f aca="false">IF(N778="No",0,IF(REVIEW!O778=0,0,IF(G778&gt;0,IF(INDEX(CONFIRM!$J$5:$J$53,G778)&lt;&gt;"",INDEX(CONFIRM!$J$5:$J$53,G778),1),1)))</f>
        <v>1</v>
      </c>
      <c r="AC778" s="1" t="n">
        <f aca="false">IF(AB778=1,IF(COUNTIFS($B$5:B778,B778,$D$5:D778,D778,$AB$5:AB778,1)=1,1,0),0)</f>
        <v>0</v>
      </c>
    </row>
    <row r="779" customFormat="false" ht="15" hidden="false" customHeight="false" outlineLevel="0" collapsed="false">
      <c r="A779" s="48" t="str">
        <f aca="false">STACK!A779</f>
        <v>ASH-0246</v>
      </c>
      <c r="B779" s="48" t="str">
        <f aca="false">STACK!B779</f>
        <v>ASH</v>
      </c>
      <c r="C779" s="48" t="str">
        <f aca="false">STACK!E779</f>
        <v>Mobile Screening Unit</v>
      </c>
      <c r="D779" s="1" t="str">
        <f aca="false">IFERROR(INDEX(MAP!$J$7:$J$101,MATCH(TRIM(C779),MAP!$I$7:$I$101,0)),"UNMAPPED")</f>
        <v>Mobile Health Screening Unit</v>
      </c>
      <c r="E779" s="1" t="str">
        <f aca="false">IFERROR(INDEX(MAP!$K$7:$K$101,MATCH(TRIM(C779),MAP!$I$7:$I$101,0)),"")</f>
        <v>Access to care</v>
      </c>
      <c r="F779" s="1" t="str">
        <f aca="false">IFERROR(INDEX(MAP!$L$7:$L$101,MATCH(TRIM(C779),MAP!$I$7:$I$101,0)),"")</f>
        <v>Monthly</v>
      </c>
      <c r="G779" s="1" t="n">
        <f aca="false">IFERROR(MATCH(A779,CONFIRM!$A$5:$A$53,0),0)</f>
        <v>0</v>
      </c>
      <c r="H779" s="48" t="str">
        <f aca="false">STACK!F779</f>
        <v>Clinical Svcs</v>
      </c>
      <c r="I779" s="1" t="str">
        <f aca="false">IF(G779&gt;0,IF(INDEX(CONFIRM!$I$5:$I$53,G779)&lt;&gt;"",INDEX(CONFIRM!$I$5:$I$53,G779),H779),H779)</f>
        <v>Clinical Svcs</v>
      </c>
      <c r="J779" s="1" t="str">
        <f aca="false">IFERROR(INDEX(MAP!$F$7:$F$74,MATCH(TRIM(I779),MAP!$E$7:$E$74,0)),"UNMAPPED")</f>
        <v>Community-based clinical services</v>
      </c>
      <c r="K779" s="1" t="str">
        <f aca="false">IFERROR(INDEX(MAP!$G$7:$G$74,MATCH(TRIM(I779),MAP!$E$7:$E$74,0)),"UNMAPPED")</f>
        <v>7e</v>
      </c>
      <c r="L779" s="49" t="str">
        <f aca="false">STACK!G779</f>
        <v>05/31/2026</v>
      </c>
      <c r="M779" s="59" t="n">
        <f aca="false">IF(G779&gt;0,IF(INDEX(CONFIRM!$G$5:$G$53,G779)&lt;&gt;"",INDEX(CONFIRM!$G$5:$G$53,G779),IF(ISNUMBER(L779),L779,IFERROR(DATEVALUE(L779),""))),IF(ISNUMBER(L779),L779,IFERROR(DATEVALUE(L779),"")))</f>
        <v>46173</v>
      </c>
      <c r="N779" s="1" t="str">
        <f aca="false">IF(M779="","Check",IF(AND(M779&gt;=INPUTS!$C$6,M779&lt;=INPUTS!$C$7),"Yes","No"))</f>
        <v>Yes</v>
      </c>
      <c r="O779" s="48" t="str">
        <f aca="false">STACK!H779</f>
        <v>RN </v>
      </c>
      <c r="P779" s="1" t="str">
        <f aca="false">IF(G779&gt;0,IF(INDEX(CONFIRM!$H$5:$H$53,G779)&lt;&gt;"",INDEX(CONFIRM!$H$5:$H$53,G779),IFERROR(INDEX(MAP!$B$7:$B$156,MATCH(TRIM(O779),MAP!$A$7:$A$156,0)),"UNMAPPED")),IFERROR(INDEX(MAP!$B$7:$B$156,MATCH(TRIM(O779),MAP!$A$7:$A$156,0)),"UNMAPPED"))</f>
        <v>Registered Nurse</v>
      </c>
      <c r="Q779" s="48" t="n">
        <f aca="false">STACK!I779</f>
        <v>103.25</v>
      </c>
      <c r="R779" s="60" t="n">
        <f aca="false">IF(G779&gt;0,IF(INDEX(CONFIRM!$F$5:$F$53,G779)&lt;&gt;"",INDEX(CONFIRM!$F$5:$F$53,G779),IF(ISNUMBER(Q779),Q779,IF(Q779="","",IFERROR(VALUE(TRIM(SUBSTITUTE(SUBSTITUTE(LOWER(Q779),"hrs",""),"hr",""))),"")))),IF(ISNUMBER(Q779),Q779,IF(Q779="","",IFERROR(VALUE(TRIM(SUBSTITUTE(SUBSTITUTE(LOWER(Q779),"hrs",""),"hr",""))),""))))</f>
        <v>103.25</v>
      </c>
      <c r="S779" s="57" t="n">
        <f aca="false">IFERROR(INDEX(RATES!$E$6:$E$28,MATCH(P779,RATES!$A$6:$A$28,0)),0)</f>
        <v>55.8975</v>
      </c>
      <c r="T779" s="61" t="n">
        <f aca="false">IF(ISNUMBER(R779),R779,0)*S779</f>
        <v>5771.416875</v>
      </c>
      <c r="U779" s="61" t="n">
        <f aca="false">T779*INDEX(INPUTS!$H$10:$H$14,MATCH(B779,INPUTS!$A$10:$A$14,0))</f>
        <v>934.96953375</v>
      </c>
      <c r="V779" s="61" t="n">
        <f aca="false">N(STACK!K779)</f>
        <v>6340</v>
      </c>
      <c r="W779" s="61" t="n">
        <f aca="false">T779+U779+V779</f>
        <v>13046.38640875</v>
      </c>
      <c r="X779" s="61" t="n">
        <f aca="false">N(STACK!L779)</f>
        <v>0</v>
      </c>
      <c r="Y779" s="61" t="n">
        <f aca="false">W779-X779</f>
        <v>13046.38640875</v>
      </c>
      <c r="Z779" s="1" t="n">
        <f aca="false">N(STACK!J779)</f>
        <v>224</v>
      </c>
      <c r="AA779" s="1" t="str">
        <f aca="false">TRIM(IF(D779="UNMAPPED","Program not mapped. ","")&amp;IF(OR(K779="UNMAPPED",K779="UNASSIGNED"),"Category needs review. ","")&amp;IF(P779="UNMAPPED","Title not mapped. ","")&amp;IF(AND(P779&lt;&gt;"No staff time",R779=""),"Missing hours. ","")&amp;IF(M779="","Date not readable. ","")&amp;IF(N779="No","Outside fiscal year. ","")&amp;IF(AND(F779="Event",ISNUMBER(R779)),IF(R779&gt;12,"Event hours look high. ",""),"")&amp;IF(G779&gt;0,"See CONFIRM sheet.",""))</f>
        <v/>
      </c>
      <c r="AB779" s="1" t="n">
        <f aca="false">IF(N779="No",0,IF(REVIEW!O779=0,0,IF(G779&gt;0,IF(INDEX(CONFIRM!$J$5:$J$53,G779)&lt;&gt;"",INDEX(CONFIRM!$J$5:$J$53,G779),1),1)))</f>
        <v>1</v>
      </c>
      <c r="AC779" s="1" t="n">
        <f aca="false">IF(AB779=1,IF(COUNTIFS($B$5:B779,B779,$D$5:D779,D779,$AB$5:AB779,1)=1,1,0),0)</f>
        <v>0</v>
      </c>
    </row>
    <row r="780" customFormat="false" ht="15" hidden="false" customHeight="false" outlineLevel="0" collapsed="false">
      <c r="A780" s="48" t="str">
        <f aca="false">STACK!A780</f>
        <v>ASH-0247</v>
      </c>
      <c r="B780" s="48" t="str">
        <f aca="false">STACK!B780</f>
        <v>ASH</v>
      </c>
      <c r="C780" s="48" t="str">
        <f aca="false">STACK!E780</f>
        <v>CHW Outreach</v>
      </c>
      <c r="D780" s="1" t="str">
        <f aca="false">IFERROR(INDEX(MAP!$J$7:$J$101,MATCH(TRIM(C780),MAP!$I$7:$I$101,0)),"UNMAPPED")</f>
        <v>Community Health Worker Outreach</v>
      </c>
      <c r="E780" s="1" t="str">
        <f aca="false">IFERROR(INDEX(MAP!$K$7:$K$101,MATCH(TRIM(C780),MAP!$I$7:$I$101,0)),"")</f>
        <v>Access to care</v>
      </c>
      <c r="F780" s="1" t="str">
        <f aca="false">IFERROR(INDEX(MAP!$L$7:$L$101,MATCH(TRIM(C780),MAP!$I$7:$I$101,0)),"")</f>
        <v>Monthly</v>
      </c>
      <c r="G780" s="1" t="n">
        <f aca="false">IFERROR(MATCH(A780,CONFIRM!$A$5:$A$53,0),0)</f>
        <v>0</v>
      </c>
      <c r="H780" s="48" t="str">
        <f aca="false">STACK!F780</f>
        <v>Support Svcs</v>
      </c>
      <c r="I780" s="1" t="str">
        <f aca="false">IF(G780&gt;0,IF(INDEX(CONFIRM!$I$5:$I$53,G780)&lt;&gt;"",INDEX(CONFIRM!$I$5:$I$53,G780),H780),H780)</f>
        <v>Support Svcs</v>
      </c>
      <c r="J780" s="1" t="str">
        <f aca="false">IFERROR(INDEX(MAP!$F$7:$F$74,MATCH(TRIM(I780),MAP!$E$7:$E$74,0)),"UNMAPPED")</f>
        <v>Health care support services</v>
      </c>
      <c r="K780" s="1" t="str">
        <f aca="false">IFERROR(INDEX(MAP!$G$7:$G$74,MATCH(TRIM(I780),MAP!$E$7:$E$74,0)),"UNMAPPED")</f>
        <v>7e</v>
      </c>
      <c r="L780" s="49" t="str">
        <f aca="false">STACK!G780</f>
        <v>05/31/2026</v>
      </c>
      <c r="M780" s="59" t="n">
        <f aca="false">IF(G780&gt;0,IF(INDEX(CONFIRM!$G$5:$G$53,G780)&lt;&gt;"",INDEX(CONFIRM!$G$5:$G$53,G780),IF(ISNUMBER(L780),L780,IFERROR(DATEVALUE(L780),""))),IF(ISNUMBER(L780),L780,IFERROR(DATEVALUE(L780),"")))</f>
        <v>46173</v>
      </c>
      <c r="N780" s="1" t="str">
        <f aca="false">IF(M780="","Check",IF(AND(M780&gt;=INPUTS!$C$6,M780&lt;=INPUTS!$C$7),"Yes","No"))</f>
        <v>Yes</v>
      </c>
      <c r="O780" s="48" t="str">
        <f aca="false">STACK!H780</f>
        <v>Comm Health Worker</v>
      </c>
      <c r="P780" s="1" t="str">
        <f aca="false">IF(G780&gt;0,IF(INDEX(CONFIRM!$H$5:$H$53,G780)&lt;&gt;"",INDEX(CONFIRM!$H$5:$H$53,G780),IFERROR(INDEX(MAP!$B$7:$B$156,MATCH(TRIM(O780),MAP!$A$7:$A$156,0)),"UNMAPPED")),IFERROR(INDEX(MAP!$B$7:$B$156,MATCH(TRIM(O780),MAP!$A$7:$A$156,0)),"UNMAPPED"))</f>
        <v>Community Health Worker</v>
      </c>
      <c r="Q780" s="48" t="n">
        <f aca="false">STACK!I780</f>
        <v>345.75</v>
      </c>
      <c r="R780" s="60" t="n">
        <f aca="false">IF(G780&gt;0,IF(INDEX(CONFIRM!$F$5:$F$53,G780)&lt;&gt;"",INDEX(CONFIRM!$F$5:$F$53,G780),IF(ISNUMBER(Q780),Q780,IF(Q780="","",IFERROR(VALUE(TRIM(SUBSTITUTE(SUBSTITUTE(LOWER(Q780),"hrs",""),"hr",""))),"")))),IF(ISNUMBER(Q780),Q780,IF(Q780="","",IFERROR(VALUE(TRIM(SUBSTITUTE(SUBSTITUTE(LOWER(Q780),"hrs",""),"hr",""))),""))))</f>
        <v>345.75</v>
      </c>
      <c r="S780" s="57" t="n">
        <f aca="false">IFERROR(INDEX(RATES!$E$6:$E$28,MATCH(P780,RATES!$A$6:$A$28,0)),0)</f>
        <v>27.6275</v>
      </c>
      <c r="T780" s="61" t="n">
        <f aca="false">IF(ISNUMBER(R780),R780,0)*S780</f>
        <v>9552.208125</v>
      </c>
      <c r="U780" s="61" t="n">
        <f aca="false">T780*INDEX(INPUTS!$H$10:$H$14,MATCH(B780,INPUTS!$A$10:$A$14,0))</f>
        <v>1547.45771625</v>
      </c>
      <c r="V780" s="61" t="n">
        <f aca="false">N(STACK!K780)</f>
        <v>1635</v>
      </c>
      <c r="W780" s="61" t="n">
        <f aca="false">T780+U780+V780</f>
        <v>12734.66584125</v>
      </c>
      <c r="X780" s="61" t="n">
        <f aca="false">N(STACK!L780)</f>
        <v>0</v>
      </c>
      <c r="Y780" s="61" t="n">
        <f aca="false">W780-X780</f>
        <v>12734.66584125</v>
      </c>
      <c r="Z780" s="1" t="n">
        <f aca="false">N(STACK!J780)</f>
        <v>333</v>
      </c>
      <c r="AA780" s="1" t="str">
        <f aca="false">TRIM(IF(D780="UNMAPPED","Program not mapped. ","")&amp;IF(OR(K780="UNMAPPED",K780="UNASSIGNED"),"Category needs review. ","")&amp;IF(P780="UNMAPPED","Title not mapped. ","")&amp;IF(AND(P780&lt;&gt;"No staff time",R780=""),"Missing hours. ","")&amp;IF(M780="","Date not readable. ","")&amp;IF(N780="No","Outside fiscal year. ","")&amp;IF(AND(F780="Event",ISNUMBER(R780)),IF(R780&gt;12,"Event hours look high. ",""),"")&amp;IF(G780&gt;0,"See CONFIRM sheet.",""))</f>
        <v/>
      </c>
      <c r="AB780" s="1" t="n">
        <f aca="false">IF(N780="No",0,IF(REVIEW!O780=0,0,IF(G780&gt;0,IF(INDEX(CONFIRM!$J$5:$J$53,G780)&lt;&gt;"",INDEX(CONFIRM!$J$5:$J$53,G780),1),1)))</f>
        <v>1</v>
      </c>
      <c r="AC780" s="1" t="n">
        <f aca="false">IF(AB780=1,IF(COUNTIFS($B$5:B780,B780,$D$5:D780,D780,$AB$5:AB780,1)=1,1,0),0)</f>
        <v>0</v>
      </c>
    </row>
    <row r="781" customFormat="false" ht="15" hidden="false" customHeight="false" outlineLevel="0" collapsed="false">
      <c r="A781" s="48" t="str">
        <f aca="false">STACK!A781</f>
        <v>ASH-0248</v>
      </c>
      <c r="B781" s="48" t="str">
        <f aca="false">STACK!B781</f>
        <v>ASH</v>
      </c>
      <c r="C781" s="48" t="str">
        <f aca="false">STACK!E781</f>
        <v>CHW Outreach</v>
      </c>
      <c r="D781" s="1" t="str">
        <f aca="false">IFERROR(INDEX(MAP!$J$7:$J$101,MATCH(TRIM(C781),MAP!$I$7:$I$101,0)),"UNMAPPED")</f>
        <v>Community Health Worker Outreach</v>
      </c>
      <c r="E781" s="1" t="str">
        <f aca="false">IFERROR(INDEX(MAP!$K$7:$K$101,MATCH(TRIM(C781),MAP!$I$7:$I$101,0)),"")</f>
        <v>Access to care</v>
      </c>
      <c r="F781" s="1" t="str">
        <f aca="false">IFERROR(INDEX(MAP!$L$7:$L$101,MATCH(TRIM(C781),MAP!$I$7:$I$101,0)),"")</f>
        <v>Monthly</v>
      </c>
      <c r="G781" s="1" t="n">
        <f aca="false">IFERROR(MATCH(A781,CONFIRM!$A$5:$A$53,0),0)</f>
        <v>0</v>
      </c>
      <c r="H781" s="48" t="str">
        <f aca="false">STACK!F781</f>
        <v>Support Svcs</v>
      </c>
      <c r="I781" s="1" t="str">
        <f aca="false">IF(G781&gt;0,IF(INDEX(CONFIRM!$I$5:$I$53,G781)&lt;&gt;"",INDEX(CONFIRM!$I$5:$I$53,G781),H781),H781)</f>
        <v>Support Svcs</v>
      </c>
      <c r="J781" s="1" t="str">
        <f aca="false">IFERROR(INDEX(MAP!$F$7:$F$74,MATCH(TRIM(I781),MAP!$E$7:$E$74,0)),"UNMAPPED")</f>
        <v>Health care support services</v>
      </c>
      <c r="K781" s="1" t="str">
        <f aca="false">IFERROR(INDEX(MAP!$G$7:$G$74,MATCH(TRIM(I781),MAP!$E$7:$E$74,0)),"UNMAPPED")</f>
        <v>7e</v>
      </c>
      <c r="L781" s="49" t="str">
        <f aca="false">STACK!G781</f>
        <v>05/31/2026</v>
      </c>
      <c r="M781" s="59" t="n">
        <f aca="false">IF(G781&gt;0,IF(INDEX(CONFIRM!$G$5:$G$53,G781)&lt;&gt;"",INDEX(CONFIRM!$G$5:$G$53,G781),IF(ISNUMBER(L781),L781,IFERROR(DATEVALUE(L781),""))),IF(ISNUMBER(L781),L781,IFERROR(DATEVALUE(L781),"")))</f>
        <v>46173</v>
      </c>
      <c r="N781" s="1" t="str">
        <f aca="false">IF(M781="","Check",IF(AND(M781&gt;=INPUTS!$C$6,M781&lt;=INPUTS!$C$7),"Yes","No"))</f>
        <v>Yes</v>
      </c>
      <c r="O781" s="48" t="str">
        <f aca="false">STACK!H781</f>
        <v>Financial Navigator</v>
      </c>
      <c r="P781" s="1" t="str">
        <f aca="false">IF(G781&gt;0,IF(INDEX(CONFIRM!$H$5:$H$53,G781)&lt;&gt;"",INDEX(CONFIRM!$H$5:$H$53,G781),IFERROR(INDEX(MAP!$B$7:$B$156,MATCH(TRIM(O781),MAP!$A$7:$A$156,0)),"UNMAPPED")),IFERROR(INDEX(MAP!$B$7:$B$156,MATCH(TRIM(O781),MAP!$A$7:$A$156,0)),"UNMAPPED"))</f>
        <v>Patient Navigator</v>
      </c>
      <c r="Q781" s="48" t="n">
        <f aca="false">STACK!I781</f>
        <v>147.25</v>
      </c>
      <c r="R781" s="60" t="n">
        <f aca="false">IF(G781&gt;0,IF(INDEX(CONFIRM!$F$5:$F$53,G781)&lt;&gt;"",INDEX(CONFIRM!$F$5:$F$53,G781),IF(ISNUMBER(Q781),Q781,IF(Q781="","",IFERROR(VALUE(TRIM(SUBSTITUTE(SUBSTITUTE(LOWER(Q781),"hrs",""),"hr",""))),"")))),IF(ISNUMBER(Q781),Q781,IF(Q781="","",IFERROR(VALUE(TRIM(SUBSTITUTE(SUBSTITUTE(LOWER(Q781),"hrs",""),"hr",""))),""))))</f>
        <v>147.25</v>
      </c>
      <c r="S781" s="57" t="n">
        <f aca="false">IFERROR(INDEX(RATES!$E$6:$E$28,MATCH(P781,RATES!$A$6:$A$28,0)),0)</f>
        <v>30.84</v>
      </c>
      <c r="T781" s="61" t="n">
        <f aca="false">IF(ISNUMBER(R781),R781,0)*S781</f>
        <v>4541.19</v>
      </c>
      <c r="U781" s="61" t="n">
        <f aca="false">T781*INDEX(INPUTS!$H$10:$H$14,MATCH(B781,INPUTS!$A$10:$A$14,0))</f>
        <v>735.67278</v>
      </c>
      <c r="V781" s="61" t="n">
        <f aca="false">N(STACK!K781)</f>
        <v>0</v>
      </c>
      <c r="W781" s="61" t="n">
        <f aca="false">T781+U781+V781</f>
        <v>5276.86278</v>
      </c>
      <c r="X781" s="61" t="n">
        <f aca="false">N(STACK!L781)</f>
        <v>0</v>
      </c>
      <c r="Y781" s="61" t="n">
        <f aca="false">W781-X781</f>
        <v>5276.86278</v>
      </c>
      <c r="Z781" s="1" t="n">
        <f aca="false">N(STACK!J781)</f>
        <v>0</v>
      </c>
      <c r="AA781" s="1" t="str">
        <f aca="false">TRIM(IF(D781="UNMAPPED","Program not mapped. ","")&amp;IF(OR(K781="UNMAPPED",K781="UNASSIGNED"),"Category needs review. ","")&amp;IF(P781="UNMAPPED","Title not mapped. ","")&amp;IF(AND(P781&lt;&gt;"No staff time",R781=""),"Missing hours. ","")&amp;IF(M781="","Date not readable. ","")&amp;IF(N781="No","Outside fiscal year. ","")&amp;IF(AND(F781="Event",ISNUMBER(R781)),IF(R781&gt;12,"Event hours look high. ",""),"")&amp;IF(G781&gt;0,"See CONFIRM sheet.",""))</f>
        <v/>
      </c>
      <c r="AB781" s="1" t="n">
        <f aca="false">IF(N781="No",0,IF(REVIEW!O781=0,0,IF(G781&gt;0,IF(INDEX(CONFIRM!$J$5:$J$53,G781)&lt;&gt;"",INDEX(CONFIRM!$J$5:$J$53,G781),1),1)))</f>
        <v>1</v>
      </c>
      <c r="AC781" s="1" t="n">
        <f aca="false">IF(AB781=1,IF(COUNTIFS($B$5:B781,B781,$D$5:D781,D781,$AB$5:AB781,1)=1,1,0),0)</f>
        <v>0</v>
      </c>
    </row>
    <row r="782" customFormat="false" ht="15" hidden="false" customHeight="false" outlineLevel="0" collapsed="false">
      <c r="A782" s="48" t="str">
        <f aca="false">STACK!A782</f>
        <v>ASH-0249</v>
      </c>
      <c r="B782" s="48" t="str">
        <f aca="false">STACK!B782</f>
        <v>ASH</v>
      </c>
      <c r="C782" s="48" t="str">
        <f aca="false">STACK!E782</f>
        <v>Produce Rx</v>
      </c>
      <c r="D782" s="1" t="str">
        <f aca="false">IFERROR(INDEX(MAP!$J$7:$J$101,MATCH(TRIM(C782),MAP!$I$7:$I$101,0)),"UNMAPPED")</f>
        <v>Produce Prescription Program</v>
      </c>
      <c r="E782" s="1" t="str">
        <f aca="false">IFERROR(INDEX(MAP!$K$7:$K$101,MATCH(TRIM(C782),MAP!$I$7:$I$101,0)),"")</f>
        <v>Food and housing security</v>
      </c>
      <c r="F782" s="1" t="str">
        <f aca="false">IFERROR(INDEX(MAP!$L$7:$L$101,MATCH(TRIM(C782),MAP!$I$7:$I$101,0)),"")</f>
        <v>Monthly</v>
      </c>
      <c r="G782" s="1" t="n">
        <f aca="false">IFERROR(MATCH(A782,CONFIRM!$A$5:$A$53,0),0)</f>
        <v>0</v>
      </c>
      <c r="H782" s="48" t="str">
        <f aca="false">STACK!F782</f>
        <v>Support Svcs</v>
      </c>
      <c r="I782" s="1" t="str">
        <f aca="false">IF(G782&gt;0,IF(INDEX(CONFIRM!$I$5:$I$53,G782)&lt;&gt;"",INDEX(CONFIRM!$I$5:$I$53,G782),H782),H782)</f>
        <v>Support Svcs</v>
      </c>
      <c r="J782" s="1" t="str">
        <f aca="false">IFERROR(INDEX(MAP!$F$7:$F$74,MATCH(TRIM(I782),MAP!$E$7:$E$74,0)),"UNMAPPED")</f>
        <v>Health care support services</v>
      </c>
      <c r="K782" s="1" t="str">
        <f aca="false">IFERROR(INDEX(MAP!$G$7:$G$74,MATCH(TRIM(I782),MAP!$E$7:$E$74,0)),"UNMAPPED")</f>
        <v>7e</v>
      </c>
      <c r="L782" s="49" t="str">
        <f aca="false">STACK!G782</f>
        <v>05/31/2026</v>
      </c>
      <c r="M782" s="59" t="n">
        <f aca="false">IF(G782&gt;0,IF(INDEX(CONFIRM!$G$5:$G$53,G782)&lt;&gt;"",INDEX(CONFIRM!$G$5:$G$53,G782),IF(ISNUMBER(L782),L782,IFERROR(DATEVALUE(L782),""))),IF(ISNUMBER(L782),L782,IFERROR(DATEVALUE(L782),"")))</f>
        <v>46173</v>
      </c>
      <c r="N782" s="1" t="str">
        <f aca="false">IF(M782="","Check",IF(AND(M782&gt;=INPUTS!$C$6,M782&lt;=INPUTS!$C$7),"Yes","No"))</f>
        <v>Yes</v>
      </c>
      <c r="O782" s="48" t="str">
        <f aca="false">STACK!H782</f>
        <v>CHW</v>
      </c>
      <c r="P782" s="1" t="str">
        <f aca="false">IF(G782&gt;0,IF(INDEX(CONFIRM!$H$5:$H$53,G782)&lt;&gt;"",INDEX(CONFIRM!$H$5:$H$53,G782),IFERROR(INDEX(MAP!$B$7:$B$156,MATCH(TRIM(O782),MAP!$A$7:$A$156,0)),"UNMAPPED")),IFERROR(INDEX(MAP!$B$7:$B$156,MATCH(TRIM(O782),MAP!$A$7:$A$156,0)),"UNMAPPED"))</f>
        <v>Community Health Worker</v>
      </c>
      <c r="Q782" s="48" t="n">
        <f aca="false">STACK!I782</f>
        <v>55</v>
      </c>
      <c r="R782" s="60" t="n">
        <f aca="false">IF(G782&gt;0,IF(INDEX(CONFIRM!$F$5:$F$53,G782)&lt;&gt;"",INDEX(CONFIRM!$F$5:$F$53,G782),IF(ISNUMBER(Q782),Q782,IF(Q782="","",IFERROR(VALUE(TRIM(SUBSTITUTE(SUBSTITUTE(LOWER(Q782),"hrs",""),"hr",""))),"")))),IF(ISNUMBER(Q782),Q782,IF(Q782="","",IFERROR(VALUE(TRIM(SUBSTITUTE(SUBSTITUTE(LOWER(Q782),"hrs",""),"hr",""))),""))))</f>
        <v>55</v>
      </c>
      <c r="S782" s="57" t="n">
        <f aca="false">IFERROR(INDEX(RATES!$E$6:$E$28,MATCH(P782,RATES!$A$6:$A$28,0)),0)</f>
        <v>27.6275</v>
      </c>
      <c r="T782" s="61" t="n">
        <f aca="false">IF(ISNUMBER(R782),R782,0)*S782</f>
        <v>1519.5125</v>
      </c>
      <c r="U782" s="61" t="n">
        <f aca="false">T782*INDEX(INPUTS!$H$10:$H$14,MATCH(B782,INPUTS!$A$10:$A$14,0))</f>
        <v>246.161025</v>
      </c>
      <c r="V782" s="61" t="n">
        <f aca="false">N(STACK!K782)</f>
        <v>0</v>
      </c>
      <c r="W782" s="61" t="n">
        <f aca="false">T782+U782+V782</f>
        <v>1765.673525</v>
      </c>
      <c r="X782" s="61" t="n">
        <f aca="false">N(STACK!L782)</f>
        <v>0</v>
      </c>
      <c r="Y782" s="61" t="n">
        <f aca="false">W782-X782</f>
        <v>1765.673525</v>
      </c>
      <c r="Z782" s="1" t="n">
        <f aca="false">N(STACK!J782)</f>
        <v>0</v>
      </c>
      <c r="AA782" s="1" t="str">
        <f aca="false">TRIM(IF(D782="UNMAPPED","Program not mapped. ","")&amp;IF(OR(K782="UNMAPPED",K782="UNASSIGNED"),"Category needs review. ","")&amp;IF(P782="UNMAPPED","Title not mapped. ","")&amp;IF(AND(P782&lt;&gt;"No staff time",R782=""),"Missing hours. ","")&amp;IF(M782="","Date not readable. ","")&amp;IF(N782="No","Outside fiscal year. ","")&amp;IF(AND(F782="Event",ISNUMBER(R782)),IF(R782&gt;12,"Event hours look high. ",""),"")&amp;IF(G782&gt;0,"See CONFIRM sheet.",""))</f>
        <v/>
      </c>
      <c r="AB782" s="1" t="n">
        <f aca="false">IF(N782="No",0,IF(REVIEW!O782=0,0,IF(G782&gt;0,IF(INDEX(CONFIRM!$J$5:$J$53,G782)&lt;&gt;"",INDEX(CONFIRM!$J$5:$J$53,G782),1),1)))</f>
        <v>1</v>
      </c>
      <c r="AC782" s="1" t="n">
        <f aca="false">IF(AB782=1,IF(COUNTIFS($B$5:B782,B782,$D$5:D782,D782,$AB$5:AB782,1)=1,1,0),0)</f>
        <v>0</v>
      </c>
    </row>
    <row r="783" customFormat="false" ht="15" hidden="false" customHeight="false" outlineLevel="0" collapsed="false">
      <c r="A783" s="48" t="str">
        <f aca="false">STACK!A783</f>
        <v>ASH-0250</v>
      </c>
      <c r="B783" s="48" t="str">
        <f aca="false">STACK!B783</f>
        <v>ASH</v>
      </c>
      <c r="C783" s="48" t="str">
        <f aca="false">STACK!E783</f>
        <v>Produce Rx</v>
      </c>
      <c r="D783" s="1" t="str">
        <f aca="false">IFERROR(INDEX(MAP!$J$7:$J$101,MATCH(TRIM(C783),MAP!$I$7:$I$101,0)),"UNMAPPED")</f>
        <v>Produce Prescription Program</v>
      </c>
      <c r="E783" s="1" t="str">
        <f aca="false">IFERROR(INDEX(MAP!$K$7:$K$101,MATCH(TRIM(C783),MAP!$I$7:$I$101,0)),"")</f>
        <v>Food and housing security</v>
      </c>
      <c r="F783" s="1" t="str">
        <f aca="false">IFERROR(INDEX(MAP!$L$7:$L$101,MATCH(TRIM(C783),MAP!$I$7:$I$101,0)),"")</f>
        <v>Monthly</v>
      </c>
      <c r="G783" s="1" t="n">
        <f aca="false">IFERROR(MATCH(A783,CONFIRM!$A$5:$A$53,0),0)</f>
        <v>0</v>
      </c>
      <c r="H783" s="48" t="str">
        <f aca="false">STACK!F783</f>
        <v>Support Svcs</v>
      </c>
      <c r="I783" s="1" t="str">
        <f aca="false">IF(G783&gt;0,IF(INDEX(CONFIRM!$I$5:$I$53,G783)&lt;&gt;"",INDEX(CONFIRM!$I$5:$I$53,G783),H783),H783)</f>
        <v>Support Svcs</v>
      </c>
      <c r="J783" s="1" t="str">
        <f aca="false">IFERROR(INDEX(MAP!$F$7:$F$74,MATCH(TRIM(I783),MAP!$E$7:$E$74,0)),"UNMAPPED")</f>
        <v>Health care support services</v>
      </c>
      <c r="K783" s="1" t="str">
        <f aca="false">IFERROR(INDEX(MAP!$G$7:$G$74,MATCH(TRIM(I783),MAP!$E$7:$E$74,0)),"UNMAPPED")</f>
        <v>7e</v>
      </c>
      <c r="L783" s="49" t="str">
        <f aca="false">STACK!G783</f>
        <v>05/31/2026</v>
      </c>
      <c r="M783" s="59" t="n">
        <f aca="false">IF(G783&gt;0,IF(INDEX(CONFIRM!$G$5:$G$53,G783)&lt;&gt;"",INDEX(CONFIRM!$G$5:$G$53,G783),IF(ISNUMBER(L783),L783,IFERROR(DATEVALUE(L783),""))),IF(ISNUMBER(L783),L783,IFERROR(DATEVALUE(L783),"")))</f>
        <v>46173</v>
      </c>
      <c r="N783" s="1" t="str">
        <f aca="false">IF(M783="","Check",IF(AND(M783&gt;=INPUTS!$C$6,M783&lt;=INPUTS!$C$7),"Yes","No"))</f>
        <v>Yes</v>
      </c>
      <c r="O783" s="48" t="str">
        <f aca="false">STACK!H783</f>
        <v>RDN</v>
      </c>
      <c r="P783" s="1" t="str">
        <f aca="false">IF(G783&gt;0,IF(INDEX(CONFIRM!$H$5:$H$53,G783)&lt;&gt;"",INDEX(CONFIRM!$H$5:$H$53,G783),IFERROR(INDEX(MAP!$B$7:$B$156,MATCH(TRIM(O783),MAP!$A$7:$A$156,0)),"UNMAPPED")),IFERROR(INDEX(MAP!$B$7:$B$156,MATCH(TRIM(O783),MAP!$A$7:$A$156,0)),"UNMAPPED"))</f>
        <v>Registered Dietitian</v>
      </c>
      <c r="Q783" s="48" t="n">
        <f aca="false">STACK!I783</f>
        <v>26.25</v>
      </c>
      <c r="R783" s="60" t="n">
        <f aca="false">IF(G783&gt;0,IF(INDEX(CONFIRM!$F$5:$F$53,G783)&lt;&gt;"",INDEX(CONFIRM!$F$5:$F$53,G783),IF(ISNUMBER(Q783),Q783,IF(Q783="","",IFERROR(VALUE(TRIM(SUBSTITUTE(SUBSTITUTE(LOWER(Q783),"hrs",""),"hr",""))),"")))),IF(ISNUMBER(Q783),Q783,IF(Q783="","",IFERROR(VALUE(TRIM(SUBSTITUTE(SUBSTITUTE(LOWER(Q783),"hrs",""),"hr",""))),""))))</f>
        <v>26.25</v>
      </c>
      <c r="S783" s="57" t="n">
        <f aca="false">IFERROR(INDEX(RATES!$E$6:$E$28,MATCH(P783,RATES!$A$6:$A$28,0)),0)</f>
        <v>46.9025</v>
      </c>
      <c r="T783" s="61" t="n">
        <f aca="false">IF(ISNUMBER(R783),R783,0)*S783</f>
        <v>1231.190625</v>
      </c>
      <c r="U783" s="61" t="n">
        <f aca="false">T783*INDEX(INPUTS!$H$10:$H$14,MATCH(B783,INPUTS!$A$10:$A$14,0))</f>
        <v>199.45288125</v>
      </c>
      <c r="V783" s="61" t="n">
        <f aca="false">N(STACK!K783)</f>
        <v>10995</v>
      </c>
      <c r="W783" s="61" t="n">
        <f aca="false">T783+U783+V783</f>
        <v>12425.64350625</v>
      </c>
      <c r="X783" s="61" t="n">
        <f aca="false">N(STACK!L783)</f>
        <v>7185</v>
      </c>
      <c r="Y783" s="61" t="n">
        <f aca="false">W783-X783</f>
        <v>5240.64350625</v>
      </c>
      <c r="Z783" s="1" t="n">
        <f aca="false">N(STACK!J783)</f>
        <v>91</v>
      </c>
      <c r="AA783" s="1" t="str">
        <f aca="false">TRIM(IF(D783="UNMAPPED","Program not mapped. ","")&amp;IF(OR(K783="UNMAPPED",K783="UNASSIGNED"),"Category needs review. ","")&amp;IF(P783="UNMAPPED","Title not mapped. ","")&amp;IF(AND(P783&lt;&gt;"No staff time",R783=""),"Missing hours. ","")&amp;IF(M783="","Date not readable. ","")&amp;IF(N783="No","Outside fiscal year. ","")&amp;IF(AND(F783="Event",ISNUMBER(R783)),IF(R783&gt;12,"Event hours look high. ",""),"")&amp;IF(G783&gt;0,"See CONFIRM sheet.",""))</f>
        <v/>
      </c>
      <c r="AB783" s="1" t="n">
        <f aca="false">IF(N783="No",0,IF(REVIEW!O783=0,0,IF(G783&gt;0,IF(INDEX(CONFIRM!$J$5:$J$53,G783)&lt;&gt;"",INDEX(CONFIRM!$J$5:$J$53,G783),1),1)))</f>
        <v>1</v>
      </c>
      <c r="AC783" s="1" t="n">
        <f aca="false">IF(AB783=1,IF(COUNTIFS($B$5:B783,B783,$D$5:D783,D783,$AB$5:AB783,1)=1,1,0),0)</f>
        <v>0</v>
      </c>
    </row>
    <row r="784" customFormat="false" ht="15" hidden="false" customHeight="false" outlineLevel="0" collapsed="false">
      <c r="A784" s="48" t="str">
        <f aca="false">STACK!A784</f>
        <v>ASH-0251</v>
      </c>
      <c r="B784" s="48" t="str">
        <f aca="false">STACK!B784</f>
        <v>ASH</v>
      </c>
      <c r="C784" s="48" t="str">
        <f aca="false">STACK!E784</f>
        <v>CB Program Admin</v>
      </c>
      <c r="D784" s="1" t="str">
        <f aca="false">IFERROR(INDEX(MAP!$J$7:$J$101,MATCH(TRIM(C784),MAP!$I$7:$I$101,0)),"UNMAPPED")</f>
        <v>Community Benefit Program Administration</v>
      </c>
      <c r="E784" s="1" t="str">
        <f aca="false">IFERROR(INDEX(MAP!$K$7:$K$101,MATCH(TRIM(C784),MAP!$I$7:$I$101,0)),"")</f>
        <v>Community benefit infrastructure</v>
      </c>
      <c r="F784" s="1" t="str">
        <f aca="false">IFERROR(INDEX(MAP!$L$7:$L$101,MATCH(TRIM(C784),MAP!$I$7:$I$101,0)),"")</f>
        <v>Monthly</v>
      </c>
      <c r="G784" s="1" t="n">
        <f aca="false">IFERROR(MATCH(A784,CONFIRM!$A$5:$A$53,0),0)</f>
        <v>0</v>
      </c>
      <c r="H784" s="48" t="str">
        <f aca="false">STACK!F784</f>
        <v>CB Admin</v>
      </c>
      <c r="I784" s="1" t="str">
        <f aca="false">IF(G784&gt;0,IF(INDEX(CONFIRM!$I$5:$I$53,G784)&lt;&gt;"",INDEX(CONFIRM!$I$5:$I$53,G784),H784),H784)</f>
        <v>CB Admin</v>
      </c>
      <c r="J784" s="1" t="str">
        <f aca="false">IFERROR(INDEX(MAP!$F$7:$F$74,MATCH(TRIM(I784),MAP!$E$7:$E$74,0)),"UNMAPPED")</f>
        <v>Community benefit operations</v>
      </c>
      <c r="K784" s="1" t="str">
        <f aca="false">IFERROR(INDEX(MAP!$G$7:$G$74,MATCH(TRIM(I784),MAP!$E$7:$E$74,0)),"UNMAPPED")</f>
        <v>7e</v>
      </c>
      <c r="L784" s="49" t="str">
        <f aca="false">STACK!G784</f>
        <v>05/31/2026</v>
      </c>
      <c r="M784" s="59" t="n">
        <f aca="false">IF(G784&gt;0,IF(INDEX(CONFIRM!$G$5:$G$53,G784)&lt;&gt;"",INDEX(CONFIRM!$G$5:$G$53,G784),IF(ISNUMBER(L784),L784,IFERROR(DATEVALUE(L784),""))),IF(ISNUMBER(L784),L784,IFERROR(DATEVALUE(L784),"")))</f>
        <v>46173</v>
      </c>
      <c r="N784" s="1" t="str">
        <f aca="false">IF(M784="","Check",IF(AND(M784&gt;=INPUTS!$C$6,M784&lt;=INPUTS!$C$7),"Yes","No"))</f>
        <v>Yes</v>
      </c>
      <c r="O784" s="48" t="str">
        <f aca="false">STACK!H784</f>
        <v>Admin Asst</v>
      </c>
      <c r="P784" s="1" t="str">
        <f aca="false">IF(G784&gt;0,IF(INDEX(CONFIRM!$H$5:$H$53,G784)&lt;&gt;"",INDEX(CONFIRM!$H$5:$H$53,G784),IFERROR(INDEX(MAP!$B$7:$B$156,MATCH(TRIM(O784),MAP!$A$7:$A$156,0)),"UNMAPPED")),IFERROR(INDEX(MAP!$B$7:$B$156,MATCH(TRIM(O784),MAP!$A$7:$A$156,0)),"UNMAPPED"))</f>
        <v>Administrative Assistant</v>
      </c>
      <c r="Q784" s="48" t="n">
        <f aca="false">STACK!I784</f>
        <v>41.25</v>
      </c>
      <c r="R784" s="60" t="n">
        <f aca="false">IF(G784&gt;0,IF(INDEX(CONFIRM!$F$5:$F$53,G784)&lt;&gt;"",INDEX(CONFIRM!$F$5:$F$53,G784),IF(ISNUMBER(Q784),Q784,IF(Q784="","",IFERROR(VALUE(TRIM(SUBSTITUTE(SUBSTITUTE(LOWER(Q784),"hrs",""),"hr",""))),"")))),IF(ISNUMBER(Q784),Q784,IF(Q784="","",IFERROR(VALUE(TRIM(SUBSTITUTE(SUBSTITUTE(LOWER(Q784),"hrs",""),"hr",""))),""))))</f>
        <v>41.25</v>
      </c>
      <c r="S784" s="57" t="n">
        <f aca="false">IFERROR(INDEX(RATES!$E$6:$E$28,MATCH(P784,RATES!$A$6:$A$28,0)),0)</f>
        <v>26.985</v>
      </c>
      <c r="T784" s="61" t="n">
        <f aca="false">IF(ISNUMBER(R784),R784,0)*S784</f>
        <v>1113.13125</v>
      </c>
      <c r="U784" s="61" t="n">
        <f aca="false">T784*INDEX(INPUTS!$H$10:$H$14,MATCH(B784,INPUTS!$A$10:$A$14,0))</f>
        <v>180.3272625</v>
      </c>
      <c r="V784" s="61" t="n">
        <f aca="false">N(STACK!K784)</f>
        <v>0</v>
      </c>
      <c r="W784" s="61" t="n">
        <f aca="false">T784+U784+V784</f>
        <v>1293.4585125</v>
      </c>
      <c r="X784" s="61" t="n">
        <f aca="false">N(STACK!L784)</f>
        <v>0</v>
      </c>
      <c r="Y784" s="61" t="n">
        <f aca="false">W784-X784</f>
        <v>1293.4585125</v>
      </c>
      <c r="Z784" s="1" t="n">
        <f aca="false">N(STACK!J784)</f>
        <v>0</v>
      </c>
      <c r="AA784" s="1" t="str">
        <f aca="false">TRIM(IF(D784="UNMAPPED","Program not mapped. ","")&amp;IF(OR(K784="UNMAPPED",K784="UNASSIGNED"),"Category needs review. ","")&amp;IF(P784="UNMAPPED","Title not mapped. ","")&amp;IF(AND(P784&lt;&gt;"No staff time",R784=""),"Missing hours. ","")&amp;IF(M784="","Date not readable. ","")&amp;IF(N784="No","Outside fiscal year. ","")&amp;IF(AND(F784="Event",ISNUMBER(R784)),IF(R784&gt;12,"Event hours look high. ",""),"")&amp;IF(G784&gt;0,"See CONFIRM sheet.",""))</f>
        <v/>
      </c>
      <c r="AB784" s="1" t="n">
        <f aca="false">IF(N784="No",0,IF(REVIEW!O784=0,0,IF(G784&gt;0,IF(INDEX(CONFIRM!$J$5:$J$53,G784)&lt;&gt;"",INDEX(CONFIRM!$J$5:$J$53,G784),1),1)))</f>
        <v>1</v>
      </c>
      <c r="AC784" s="1" t="n">
        <f aca="false">IF(AB784=1,IF(COUNTIFS($B$5:B784,B784,$D$5:D784,D784,$AB$5:AB784,1)=1,1,0),0)</f>
        <v>0</v>
      </c>
    </row>
    <row r="785" customFormat="false" ht="15" hidden="false" customHeight="false" outlineLevel="0" collapsed="false">
      <c r="A785" s="48" t="str">
        <f aca="false">STACK!A785</f>
        <v>ASH-0252</v>
      </c>
      <c r="B785" s="48" t="str">
        <f aca="false">STACK!B785</f>
        <v>ASH</v>
      </c>
      <c r="C785" s="48" t="str">
        <f aca="false">STACK!E785</f>
        <v>CB Program Admin</v>
      </c>
      <c r="D785" s="1" t="str">
        <f aca="false">IFERROR(INDEX(MAP!$J$7:$J$101,MATCH(TRIM(C785),MAP!$I$7:$I$101,0)),"UNMAPPED")</f>
        <v>Community Benefit Program Administration</v>
      </c>
      <c r="E785" s="1" t="str">
        <f aca="false">IFERROR(INDEX(MAP!$K$7:$K$101,MATCH(TRIM(C785),MAP!$I$7:$I$101,0)),"")</f>
        <v>Community benefit infrastructure</v>
      </c>
      <c r="F785" s="1" t="str">
        <f aca="false">IFERROR(INDEX(MAP!$L$7:$L$101,MATCH(TRIM(C785),MAP!$I$7:$I$101,0)),"")</f>
        <v>Monthly</v>
      </c>
      <c r="G785" s="1" t="n">
        <f aca="false">IFERROR(MATCH(A785,CONFIRM!$A$5:$A$53,0),0)</f>
        <v>0</v>
      </c>
      <c r="H785" s="48" t="str">
        <f aca="false">STACK!F785</f>
        <v>CB Admin</v>
      </c>
      <c r="I785" s="1" t="str">
        <f aca="false">IF(G785&gt;0,IF(INDEX(CONFIRM!$I$5:$I$53,G785)&lt;&gt;"",INDEX(CONFIRM!$I$5:$I$53,G785),H785),H785)</f>
        <v>CB Admin</v>
      </c>
      <c r="J785" s="1" t="str">
        <f aca="false">IFERROR(INDEX(MAP!$F$7:$F$74,MATCH(TRIM(I785),MAP!$E$7:$E$74,0)),"UNMAPPED")</f>
        <v>Community benefit operations</v>
      </c>
      <c r="K785" s="1" t="str">
        <f aca="false">IFERROR(INDEX(MAP!$G$7:$G$74,MATCH(TRIM(I785),MAP!$E$7:$E$74,0)),"UNMAPPED")</f>
        <v>7e</v>
      </c>
      <c r="L785" s="49" t="str">
        <f aca="false">STACK!G785</f>
        <v>05/31/2026</v>
      </c>
      <c r="M785" s="59" t="n">
        <f aca="false">IF(G785&gt;0,IF(INDEX(CONFIRM!$G$5:$G$53,G785)&lt;&gt;"",INDEX(CONFIRM!$G$5:$G$53,G785),IF(ISNUMBER(L785),L785,IFERROR(DATEVALUE(L785),""))),IF(ISNUMBER(L785),L785,IFERROR(DATEVALUE(L785),"")))</f>
        <v>46173</v>
      </c>
      <c r="N785" s="1" t="str">
        <f aca="false">IF(M785="","Check",IF(AND(M785&gt;=INPUTS!$C$6,M785&lt;=INPUTS!$C$7),"Yes","No"))</f>
        <v>Yes</v>
      </c>
      <c r="O785" s="48" t="str">
        <f aca="false">STACK!H785</f>
        <v>Manager Community Benefit</v>
      </c>
      <c r="P785" s="1" t="str">
        <f aca="false">IF(G785&gt;0,IF(INDEX(CONFIRM!$H$5:$H$53,G785)&lt;&gt;"",INDEX(CONFIRM!$H$5:$H$53,G785),IFERROR(INDEX(MAP!$B$7:$B$156,MATCH(TRIM(O785),MAP!$A$7:$A$156,0)),"UNMAPPED")),IFERROR(INDEX(MAP!$B$7:$B$156,MATCH(TRIM(O785),MAP!$A$7:$A$156,0)),"UNMAPPED"))</f>
        <v>Community Benefit Manager</v>
      </c>
      <c r="Q785" s="48" t="n">
        <f aca="false">STACK!I785</f>
        <v>72.5</v>
      </c>
      <c r="R785" s="60" t="n">
        <f aca="false">IF(G785&gt;0,IF(INDEX(CONFIRM!$F$5:$F$53,G785)&lt;&gt;"",INDEX(CONFIRM!$F$5:$F$53,G785),IF(ISNUMBER(Q785),Q785,IF(Q785="","",IFERROR(VALUE(TRIM(SUBSTITUTE(SUBSTITUTE(LOWER(Q785),"hrs",""),"hr",""))),"")))),IF(ISNUMBER(Q785),Q785,IF(Q785="","",IFERROR(VALUE(TRIM(SUBSTITUTE(SUBSTITUTE(LOWER(Q785),"hrs",""),"hr",""))),""))))</f>
        <v>72.5</v>
      </c>
      <c r="S785" s="57" t="n">
        <f aca="false">IFERROR(INDEX(RATES!$E$6:$E$28,MATCH(P785,RATES!$A$6:$A$28,0)),0)</f>
        <v>59.11</v>
      </c>
      <c r="T785" s="61" t="n">
        <f aca="false">IF(ISNUMBER(R785),R785,0)*S785</f>
        <v>4285.475</v>
      </c>
      <c r="U785" s="61" t="n">
        <f aca="false">T785*INDEX(INPUTS!$H$10:$H$14,MATCH(B785,INPUTS!$A$10:$A$14,0))</f>
        <v>694.24695</v>
      </c>
      <c r="V785" s="61" t="n">
        <f aca="false">N(STACK!K785)</f>
        <v>250</v>
      </c>
      <c r="W785" s="61" t="n">
        <f aca="false">T785+U785+V785</f>
        <v>5229.72195</v>
      </c>
      <c r="X785" s="61" t="n">
        <f aca="false">N(STACK!L785)</f>
        <v>0</v>
      </c>
      <c r="Y785" s="61" t="n">
        <f aca="false">W785-X785</f>
        <v>5229.72195</v>
      </c>
      <c r="Z785" s="1" t="n">
        <f aca="false">N(STACK!J785)</f>
        <v>0</v>
      </c>
      <c r="AA785" s="1" t="str">
        <f aca="false">TRIM(IF(D785="UNMAPPED","Program not mapped. ","")&amp;IF(OR(K785="UNMAPPED",K785="UNASSIGNED"),"Category needs review. ","")&amp;IF(P785="UNMAPPED","Title not mapped. ","")&amp;IF(AND(P785&lt;&gt;"No staff time",R785=""),"Missing hours. ","")&amp;IF(M785="","Date not readable. ","")&amp;IF(N785="No","Outside fiscal year. ","")&amp;IF(AND(F785="Event",ISNUMBER(R785)),IF(R785&gt;12,"Event hours look high. ",""),"")&amp;IF(G785&gt;0,"See CONFIRM sheet.",""))</f>
        <v/>
      </c>
      <c r="AB785" s="1" t="n">
        <f aca="false">IF(N785="No",0,IF(REVIEW!O785=0,0,IF(G785&gt;0,IF(INDEX(CONFIRM!$J$5:$J$53,G785)&lt;&gt;"",INDEX(CONFIRM!$J$5:$J$53,G785),1),1)))</f>
        <v>1</v>
      </c>
      <c r="AC785" s="1" t="n">
        <f aca="false">IF(AB785=1,IF(COUNTIFS($B$5:B785,B785,$D$5:D785,D785,$AB$5:AB785,1)=1,1,0),0)</f>
        <v>0</v>
      </c>
    </row>
    <row r="786" customFormat="false" ht="15" hidden="false" customHeight="false" outlineLevel="0" collapsed="false">
      <c r="A786" s="48" t="str">
        <f aca="false">STACK!A786</f>
        <v>ASH-0253</v>
      </c>
      <c r="B786" s="48" t="str">
        <f aca="false">STACK!B786</f>
        <v>ASH</v>
      </c>
      <c r="C786" s="48" t="str">
        <f aca="false">STACK!E786</f>
        <v>Nursing Clinicals</v>
      </c>
      <c r="D786" s="1" t="str">
        <f aca="false">IFERROR(INDEX(MAP!$J$7:$J$101,MATCH(TRIM(C786),MAP!$I$7:$I$101,0)),"UNMAPPED")</f>
        <v>Nursing Student Clinical Rotations</v>
      </c>
      <c r="E786" s="1" t="str">
        <f aca="false">IFERROR(INDEX(MAP!$K$7:$K$101,MATCH(TRIM(C786),MAP!$I$7:$I$101,0)),"")</f>
        <v>Health workforce</v>
      </c>
      <c r="F786" s="1" t="str">
        <f aca="false">IFERROR(INDEX(MAP!$L$7:$L$101,MATCH(TRIM(C786),MAP!$I$7:$I$101,0)),"")</f>
        <v>Monthly</v>
      </c>
      <c r="G786" s="1" t="n">
        <f aca="false">IFERROR(MATCH(A786,CONFIRM!$A$5:$A$53,0),0)</f>
        <v>0</v>
      </c>
      <c r="H786" s="48" t="str">
        <f aca="false">STACK!F786</f>
        <v>HPE</v>
      </c>
      <c r="I786" s="1" t="str">
        <f aca="false">IF(G786&gt;0,IF(INDEX(CONFIRM!$I$5:$I$53,G786)&lt;&gt;"",INDEX(CONFIRM!$I$5:$I$53,G786),H786),H786)</f>
        <v>HPE</v>
      </c>
      <c r="J786" s="1" t="str">
        <f aca="false">IFERROR(INDEX(MAP!$F$7:$F$74,MATCH(TRIM(I786),MAP!$E$7:$E$74,0)),"UNMAPPED")</f>
        <v>Health professions education</v>
      </c>
      <c r="K786" s="1" t="str">
        <f aca="false">IFERROR(INDEX(MAP!$G$7:$G$74,MATCH(TRIM(I786),MAP!$E$7:$E$74,0)),"UNMAPPED")</f>
        <v>7f</v>
      </c>
      <c r="L786" s="49" t="str">
        <f aca="false">STACK!G786</f>
        <v>05/31/2026</v>
      </c>
      <c r="M786" s="59" t="n">
        <f aca="false">IF(G786&gt;0,IF(INDEX(CONFIRM!$G$5:$G$53,G786)&lt;&gt;"",INDEX(CONFIRM!$G$5:$G$53,G786),IF(ISNUMBER(L786),L786,IFERROR(DATEVALUE(L786),""))),IF(ISNUMBER(L786),L786,IFERROR(DATEVALUE(L786),"")))</f>
        <v>46173</v>
      </c>
      <c r="N786" s="1" t="str">
        <f aca="false">IF(M786="","Check",IF(AND(M786&gt;=INPUTS!$C$6,M786&lt;=INPUTS!$C$7),"Yes","No"))</f>
        <v>Yes</v>
      </c>
      <c r="O786" s="48" t="str">
        <f aca="false">STACK!H786</f>
        <v>Preceptor RN</v>
      </c>
      <c r="P786" s="1" t="str">
        <f aca="false">IF(G786&gt;0,IF(INDEX(CONFIRM!$H$5:$H$53,G786)&lt;&gt;"",INDEX(CONFIRM!$H$5:$H$53,G786),IFERROR(INDEX(MAP!$B$7:$B$156,MATCH(TRIM(O786),MAP!$A$7:$A$156,0)),"UNMAPPED")),IFERROR(INDEX(MAP!$B$7:$B$156,MATCH(TRIM(O786),MAP!$A$7:$A$156,0)),"UNMAPPED"))</f>
        <v>Clinical Nurse Educator</v>
      </c>
      <c r="Q786" s="48" t="n">
        <f aca="false">STACK!I786</f>
        <v>111</v>
      </c>
      <c r="R786" s="60" t="n">
        <f aca="false">IF(G786&gt;0,IF(INDEX(CONFIRM!$F$5:$F$53,G786)&lt;&gt;"",INDEX(CONFIRM!$F$5:$F$53,G786),IF(ISNUMBER(Q786),Q786,IF(Q786="","",IFERROR(VALUE(TRIM(SUBSTITUTE(SUBSTITUTE(LOWER(Q786),"hrs",""),"hr",""))),"")))),IF(ISNUMBER(Q786),Q786,IF(Q786="","",IFERROR(VALUE(TRIM(SUBSTITUTE(SUBSTITUTE(LOWER(Q786),"hrs",""),"hr",""))),""))))</f>
        <v>111</v>
      </c>
      <c r="S786" s="57" t="n">
        <f aca="false">IFERROR(INDEX(RATES!$E$6:$E$28,MATCH(P786,RATES!$A$6:$A$28,0)),0)</f>
        <v>62.965</v>
      </c>
      <c r="T786" s="61" t="n">
        <f aca="false">IF(ISNUMBER(R786),R786,0)*S786</f>
        <v>6989.115</v>
      </c>
      <c r="U786" s="61" t="n">
        <f aca="false">T786*INDEX(INPUTS!$H$10:$H$14,MATCH(B786,INPUTS!$A$10:$A$14,0))</f>
        <v>1132.23663</v>
      </c>
      <c r="V786" s="61" t="n">
        <f aca="false">N(STACK!K786)</f>
        <v>1055</v>
      </c>
      <c r="W786" s="61" t="n">
        <f aca="false">T786+U786+V786</f>
        <v>9176.35163</v>
      </c>
      <c r="X786" s="61" t="n">
        <f aca="false">N(STACK!L786)</f>
        <v>0</v>
      </c>
      <c r="Y786" s="61" t="n">
        <f aca="false">W786-X786</f>
        <v>9176.35163</v>
      </c>
      <c r="Z786" s="1" t="n">
        <f aca="false">N(STACK!J786)</f>
        <v>18</v>
      </c>
      <c r="AA786" s="1" t="str">
        <f aca="false">TRIM(IF(D786="UNMAPPED","Program not mapped. ","")&amp;IF(OR(K786="UNMAPPED",K786="UNASSIGNED"),"Category needs review. ","")&amp;IF(P786="UNMAPPED","Title not mapped. ","")&amp;IF(AND(P786&lt;&gt;"No staff time",R786=""),"Missing hours. ","")&amp;IF(M786="","Date not readable. ","")&amp;IF(N786="No","Outside fiscal year. ","")&amp;IF(AND(F786="Event",ISNUMBER(R786)),IF(R786&gt;12,"Event hours look high. ",""),"")&amp;IF(G786&gt;0,"See CONFIRM sheet.",""))</f>
        <v/>
      </c>
      <c r="AB786" s="1" t="n">
        <f aca="false">IF(N786="No",0,IF(REVIEW!O786=0,0,IF(G786&gt;0,IF(INDEX(CONFIRM!$J$5:$J$53,G786)&lt;&gt;"",INDEX(CONFIRM!$J$5:$J$53,G786),1),1)))</f>
        <v>1</v>
      </c>
      <c r="AC786" s="1" t="n">
        <f aca="false">IF(AB786=1,IF(COUNTIFS($B$5:B786,B786,$D$5:D786,D786,$AB$5:AB786,1)=1,1,0),0)</f>
        <v>0</v>
      </c>
    </row>
    <row r="787" customFormat="false" ht="15" hidden="false" customHeight="false" outlineLevel="0" collapsed="false">
      <c r="A787" s="48" t="str">
        <f aca="false">STACK!A787</f>
        <v>ASH-0254</v>
      </c>
      <c r="B787" s="48" t="str">
        <f aca="false">STACK!B787</f>
        <v>ASH</v>
      </c>
      <c r="C787" s="48" t="str">
        <f aca="false">STACK!E787</f>
        <v>Nursing Clinicals</v>
      </c>
      <c r="D787" s="1" t="str">
        <f aca="false">IFERROR(INDEX(MAP!$J$7:$J$101,MATCH(TRIM(C787),MAP!$I$7:$I$101,0)),"UNMAPPED")</f>
        <v>Nursing Student Clinical Rotations</v>
      </c>
      <c r="E787" s="1" t="str">
        <f aca="false">IFERROR(INDEX(MAP!$K$7:$K$101,MATCH(TRIM(C787),MAP!$I$7:$I$101,0)),"")</f>
        <v>Health workforce</v>
      </c>
      <c r="F787" s="1" t="str">
        <f aca="false">IFERROR(INDEX(MAP!$L$7:$L$101,MATCH(TRIM(C787),MAP!$I$7:$I$101,0)),"")</f>
        <v>Monthly</v>
      </c>
      <c r="G787" s="1" t="n">
        <f aca="false">IFERROR(MATCH(A787,CONFIRM!$A$5:$A$53,0),0)</f>
        <v>0</v>
      </c>
      <c r="H787" s="48" t="str">
        <f aca="false">STACK!F787</f>
        <v>HPE</v>
      </c>
      <c r="I787" s="1" t="str">
        <f aca="false">IF(G787&gt;0,IF(INDEX(CONFIRM!$I$5:$I$53,G787)&lt;&gt;"",INDEX(CONFIRM!$I$5:$I$53,G787),H787),H787)</f>
        <v>HPE</v>
      </c>
      <c r="J787" s="1" t="str">
        <f aca="false">IFERROR(INDEX(MAP!$F$7:$F$74,MATCH(TRIM(I787),MAP!$E$7:$E$74,0)),"UNMAPPED")</f>
        <v>Health professions education</v>
      </c>
      <c r="K787" s="1" t="str">
        <f aca="false">IFERROR(INDEX(MAP!$G$7:$G$74,MATCH(TRIM(I787),MAP!$E$7:$E$74,0)),"UNMAPPED")</f>
        <v>7f</v>
      </c>
      <c r="L787" s="49" t="str">
        <f aca="false">STACK!G787</f>
        <v>05/31/2026</v>
      </c>
      <c r="M787" s="59" t="n">
        <f aca="false">IF(G787&gt;0,IF(INDEX(CONFIRM!$G$5:$G$53,G787)&lt;&gt;"",INDEX(CONFIRM!$G$5:$G$53,G787),IF(ISNUMBER(L787),L787,IFERROR(DATEVALUE(L787),""))),IF(ISNUMBER(L787),L787,IFERROR(DATEVALUE(L787),"")))</f>
        <v>46173</v>
      </c>
      <c r="N787" s="1" t="str">
        <f aca="false">IF(M787="","Check",IF(AND(M787&gt;=INPUTS!$C$6,M787&lt;=INPUTS!$C$7),"Yes","No"))</f>
        <v>Yes</v>
      </c>
      <c r="O787" s="48" t="str">
        <f aca="false">STACK!H787</f>
        <v>Registered Nurse</v>
      </c>
      <c r="P787" s="1" t="str">
        <f aca="false">IF(G787&gt;0,IF(INDEX(CONFIRM!$H$5:$H$53,G787)&lt;&gt;"",INDEX(CONFIRM!$H$5:$H$53,G787),IFERROR(INDEX(MAP!$B$7:$B$156,MATCH(TRIM(O787),MAP!$A$7:$A$156,0)),"UNMAPPED")),IFERROR(INDEX(MAP!$B$7:$B$156,MATCH(TRIM(O787),MAP!$A$7:$A$156,0)),"UNMAPPED"))</f>
        <v>Registered Nurse</v>
      </c>
      <c r="Q787" s="48" t="n">
        <f aca="false">STACK!I787</f>
        <v>213.75</v>
      </c>
      <c r="R787" s="60" t="n">
        <f aca="false">IF(G787&gt;0,IF(INDEX(CONFIRM!$F$5:$F$53,G787)&lt;&gt;"",INDEX(CONFIRM!$F$5:$F$53,G787),IF(ISNUMBER(Q787),Q787,IF(Q787="","",IFERROR(VALUE(TRIM(SUBSTITUTE(SUBSTITUTE(LOWER(Q787),"hrs",""),"hr",""))),"")))),IF(ISNUMBER(Q787),Q787,IF(Q787="","",IFERROR(VALUE(TRIM(SUBSTITUTE(SUBSTITUTE(LOWER(Q787),"hrs",""),"hr",""))),""))))</f>
        <v>213.75</v>
      </c>
      <c r="S787" s="57" t="n">
        <f aca="false">IFERROR(INDEX(RATES!$E$6:$E$28,MATCH(P787,RATES!$A$6:$A$28,0)),0)</f>
        <v>55.8975</v>
      </c>
      <c r="T787" s="61" t="n">
        <f aca="false">IF(ISNUMBER(R787),R787,0)*S787</f>
        <v>11948.090625</v>
      </c>
      <c r="U787" s="61" t="n">
        <f aca="false">T787*INDEX(INPUTS!$H$10:$H$14,MATCH(B787,INPUTS!$A$10:$A$14,0))</f>
        <v>1935.59068125</v>
      </c>
      <c r="V787" s="61" t="n">
        <f aca="false">N(STACK!K787)</f>
        <v>0</v>
      </c>
      <c r="W787" s="61" t="n">
        <f aca="false">T787+U787+V787</f>
        <v>13883.68130625</v>
      </c>
      <c r="X787" s="61" t="n">
        <f aca="false">N(STACK!L787)</f>
        <v>0</v>
      </c>
      <c r="Y787" s="61" t="n">
        <f aca="false">W787-X787</f>
        <v>13883.68130625</v>
      </c>
      <c r="Z787" s="1" t="n">
        <f aca="false">N(STACK!J787)</f>
        <v>0</v>
      </c>
      <c r="AA787" s="1" t="str">
        <f aca="false">TRIM(IF(D787="UNMAPPED","Program not mapped. ","")&amp;IF(OR(K787="UNMAPPED",K787="UNASSIGNED"),"Category needs review. ","")&amp;IF(P787="UNMAPPED","Title not mapped. ","")&amp;IF(AND(P787&lt;&gt;"No staff time",R787=""),"Missing hours. ","")&amp;IF(M787="","Date not readable. ","")&amp;IF(N787="No","Outside fiscal year. ","")&amp;IF(AND(F787="Event",ISNUMBER(R787)),IF(R787&gt;12,"Event hours look high. ",""),"")&amp;IF(G787&gt;0,"See CONFIRM sheet.",""))</f>
        <v/>
      </c>
      <c r="AB787" s="1" t="n">
        <f aca="false">IF(N787="No",0,IF(REVIEW!O787=0,0,IF(G787&gt;0,IF(INDEX(CONFIRM!$J$5:$J$53,G787)&lt;&gt;"",INDEX(CONFIRM!$J$5:$J$53,G787),1),1)))</f>
        <v>1</v>
      </c>
      <c r="AC787" s="1" t="n">
        <f aca="false">IF(AB787=1,IF(COUNTIFS($B$5:B787,B787,$D$5:D787,D787,$AB$5:AB787,1)=1,1,0),0)</f>
        <v>0</v>
      </c>
    </row>
    <row r="788" customFormat="false" ht="15" hidden="false" customHeight="false" outlineLevel="0" collapsed="false">
      <c r="A788" s="48" t="str">
        <f aca="false">STACK!A788</f>
        <v>ASH-0255</v>
      </c>
      <c r="B788" s="48" t="str">
        <f aca="false">STACK!B788</f>
        <v>ASH</v>
      </c>
      <c r="C788" s="48" t="str">
        <f aca="false">STACK!E788</f>
        <v>Paramedic Students</v>
      </c>
      <c r="D788" s="1" t="str">
        <f aca="false">IFERROR(INDEX(MAP!$J$7:$J$101,MATCH(TRIM(C788),MAP!$I$7:$I$101,0)),"UNMAPPED")</f>
        <v>Paramedic Student Field Training</v>
      </c>
      <c r="E788" s="1" t="str">
        <f aca="false">IFERROR(INDEX(MAP!$K$7:$K$101,MATCH(TRIM(C788),MAP!$I$7:$I$101,0)),"")</f>
        <v>Health workforce</v>
      </c>
      <c r="F788" s="1" t="str">
        <f aca="false">IFERROR(INDEX(MAP!$L$7:$L$101,MATCH(TRIM(C788),MAP!$I$7:$I$101,0)),"")</f>
        <v>Monthly</v>
      </c>
      <c r="G788" s="1" t="n">
        <f aca="false">IFERROR(MATCH(A788,CONFIRM!$A$5:$A$53,0),0)</f>
        <v>0</v>
      </c>
      <c r="H788" s="48" t="str">
        <f aca="false">STACK!F788</f>
        <v>HPE</v>
      </c>
      <c r="I788" s="1" t="str">
        <f aca="false">IF(G788&gt;0,IF(INDEX(CONFIRM!$I$5:$I$53,G788)&lt;&gt;"",INDEX(CONFIRM!$I$5:$I$53,G788),H788),H788)</f>
        <v>HPE</v>
      </c>
      <c r="J788" s="1" t="str">
        <f aca="false">IFERROR(INDEX(MAP!$F$7:$F$74,MATCH(TRIM(I788),MAP!$E$7:$E$74,0)),"UNMAPPED")</f>
        <v>Health professions education</v>
      </c>
      <c r="K788" s="1" t="str">
        <f aca="false">IFERROR(INDEX(MAP!$G$7:$G$74,MATCH(TRIM(I788),MAP!$E$7:$E$74,0)),"UNMAPPED")</f>
        <v>7f</v>
      </c>
      <c r="L788" s="49" t="str">
        <f aca="false">STACK!G788</f>
        <v>05/31/2026</v>
      </c>
      <c r="M788" s="59" t="n">
        <f aca="false">IF(G788&gt;0,IF(INDEX(CONFIRM!$G$5:$G$53,G788)&lt;&gt;"",INDEX(CONFIRM!$G$5:$G$53,G788),IF(ISNUMBER(L788),L788,IFERROR(DATEVALUE(L788),""))),IF(ISNUMBER(L788),L788,IFERROR(DATEVALUE(L788),"")))</f>
        <v>46173</v>
      </c>
      <c r="N788" s="1" t="str">
        <f aca="false">IF(M788="","Check",IF(AND(M788&gt;=INPUTS!$C$6,M788&lt;=INPUTS!$C$7),"Yes","No"))</f>
        <v>Yes</v>
      </c>
      <c r="O788" s="48" t="str">
        <f aca="false">STACK!H788</f>
        <v>EMT-P</v>
      </c>
      <c r="P788" s="1" t="str">
        <f aca="false">IF(G788&gt;0,IF(INDEX(CONFIRM!$H$5:$H$53,G788)&lt;&gt;"",INDEX(CONFIRM!$H$5:$H$53,G788),IFERROR(INDEX(MAP!$B$7:$B$156,MATCH(TRIM(O788),MAP!$A$7:$A$156,0)),"UNMAPPED")),IFERROR(INDEX(MAP!$B$7:$B$156,MATCH(TRIM(O788),MAP!$A$7:$A$156,0)),"UNMAPPED"))</f>
        <v>Paramedic</v>
      </c>
      <c r="Q788" s="48" t="n">
        <f aca="false">STACK!I788</f>
        <v>89.5</v>
      </c>
      <c r="R788" s="60" t="n">
        <f aca="false">IF(G788&gt;0,IF(INDEX(CONFIRM!$F$5:$F$53,G788)&lt;&gt;"",INDEX(CONFIRM!$F$5:$F$53,G788),IF(ISNUMBER(Q788),Q788,IF(Q788="","",IFERROR(VALUE(TRIM(SUBSTITUTE(SUBSTITUTE(LOWER(Q788),"hrs",""),"hr",""))),"")))),IF(ISNUMBER(Q788),Q788,IF(Q788="","",IFERROR(VALUE(TRIM(SUBSTITUTE(SUBSTITUTE(LOWER(Q788),"hrs",""),"hr",""))),""))))</f>
        <v>89.5</v>
      </c>
      <c r="S788" s="57" t="n">
        <f aca="false">IFERROR(INDEX(RATES!$E$6:$E$28,MATCH(P788,RATES!$A$6:$A$28,0)),0)</f>
        <v>34.695</v>
      </c>
      <c r="T788" s="61" t="n">
        <f aca="false">IF(ISNUMBER(R788),R788,0)*S788</f>
        <v>3105.2025</v>
      </c>
      <c r="U788" s="61" t="n">
        <f aca="false">T788*INDEX(INPUTS!$H$10:$H$14,MATCH(B788,INPUTS!$A$10:$A$14,0))</f>
        <v>503.042805</v>
      </c>
      <c r="V788" s="61" t="n">
        <f aca="false">N(STACK!K788)</f>
        <v>10</v>
      </c>
      <c r="W788" s="61" t="n">
        <f aca="false">T788+U788+V788</f>
        <v>3618.245305</v>
      </c>
      <c r="X788" s="61" t="n">
        <f aca="false">N(STACK!L788)</f>
        <v>0</v>
      </c>
      <c r="Y788" s="61" t="n">
        <f aca="false">W788-X788</f>
        <v>3618.245305</v>
      </c>
      <c r="Z788" s="1" t="n">
        <f aca="false">N(STACK!J788)</f>
        <v>3</v>
      </c>
      <c r="AA788" s="1" t="str">
        <f aca="false">TRIM(IF(D788="UNMAPPED","Program not mapped. ","")&amp;IF(OR(K788="UNMAPPED",K788="UNASSIGNED"),"Category needs review. ","")&amp;IF(P788="UNMAPPED","Title not mapped. ","")&amp;IF(AND(P788&lt;&gt;"No staff time",R788=""),"Missing hours. ","")&amp;IF(M788="","Date not readable. ","")&amp;IF(N788="No","Outside fiscal year. ","")&amp;IF(AND(F788="Event",ISNUMBER(R788)),IF(R788&gt;12,"Event hours look high. ",""),"")&amp;IF(G788&gt;0,"See CONFIRM sheet.",""))</f>
        <v/>
      </c>
      <c r="AB788" s="1" t="n">
        <f aca="false">IF(N788="No",0,IF(REVIEW!O788=0,0,IF(G788&gt;0,IF(INDEX(CONFIRM!$J$5:$J$53,G788)&lt;&gt;"",INDEX(CONFIRM!$J$5:$J$53,G788),1),1)))</f>
        <v>1</v>
      </c>
      <c r="AC788" s="1" t="n">
        <f aca="false">IF(AB788=1,IF(COUNTIFS($B$5:B788,B788,$D$5:D788,D788,$AB$5:AB788,1)=1,1,0),0)</f>
        <v>0</v>
      </c>
    </row>
    <row r="789" customFormat="false" ht="15" hidden="false" customHeight="false" outlineLevel="0" collapsed="false">
      <c r="A789" s="48" t="str">
        <f aca="false">STACK!A789</f>
        <v>ASH-0256</v>
      </c>
      <c r="B789" s="48" t="str">
        <f aca="false">STACK!B789</f>
        <v>ASH</v>
      </c>
      <c r="C789" s="48" t="str">
        <f aca="false">STACK!E789</f>
        <v>DPP Classes</v>
      </c>
      <c r="D789" s="1" t="str">
        <f aca="false">IFERROR(INDEX(MAP!$J$7:$J$101,MATCH(TRIM(C789),MAP!$I$7:$I$101,0)),"UNMAPPED")</f>
        <v>Diabetes Prevention Classes</v>
      </c>
      <c r="E789" s="1" t="str">
        <f aca="false">IFERROR(INDEX(MAP!$K$7:$K$101,MATCH(TRIM(C789),MAP!$I$7:$I$101,0)),"")</f>
        <v>Chronic disease prevention</v>
      </c>
      <c r="F789" s="1" t="str">
        <f aca="false">IFERROR(INDEX(MAP!$L$7:$L$101,MATCH(TRIM(C789),MAP!$I$7:$I$101,0)),"")</f>
        <v>Event</v>
      </c>
      <c r="G789" s="1" t="n">
        <f aca="false">IFERROR(MATCH(A789,CONFIRM!$A$5:$A$53,0),0)</f>
        <v>0</v>
      </c>
      <c r="H789" s="48" t="str">
        <f aca="false">STACK!F789</f>
        <v>Comm Hlth Ed</v>
      </c>
      <c r="I789" s="1" t="str">
        <f aca="false">IF(G789&gt;0,IF(INDEX(CONFIRM!$I$5:$I$53,G789)&lt;&gt;"",INDEX(CONFIRM!$I$5:$I$53,G789),H789),H789)</f>
        <v>Comm Hlth Ed</v>
      </c>
      <c r="J789" s="1" t="str">
        <f aca="false">IFERROR(INDEX(MAP!$F$7:$F$74,MATCH(TRIM(I789),MAP!$E$7:$E$74,0)),"UNMAPPED")</f>
        <v>Community health education</v>
      </c>
      <c r="K789" s="1" t="str">
        <f aca="false">IFERROR(INDEX(MAP!$G$7:$G$74,MATCH(TRIM(I789),MAP!$E$7:$E$74,0)),"UNMAPPED")</f>
        <v>7e</v>
      </c>
      <c r="L789" s="49" t="str">
        <f aca="false">STACK!G789</f>
        <v>06/03/2026</v>
      </c>
      <c r="M789" s="59" t="n">
        <f aca="false">IF(G789&gt;0,IF(INDEX(CONFIRM!$G$5:$G$53,G789)&lt;&gt;"",INDEX(CONFIRM!$G$5:$G$53,G789),IF(ISNUMBER(L789),L789,IFERROR(DATEVALUE(L789),""))),IF(ISNUMBER(L789),L789,IFERROR(DATEVALUE(L789),"")))</f>
        <v>46176</v>
      </c>
      <c r="N789" s="1" t="str">
        <f aca="false">IF(M789="","Check",IF(AND(M789&gt;=INPUTS!$C$6,M789&lt;=INPUTS!$C$7),"Yes","No"))</f>
        <v>Yes</v>
      </c>
      <c r="O789" s="48" t="str">
        <f aca="false">STACK!H789</f>
        <v>Health Ed</v>
      </c>
      <c r="P789" s="1" t="str">
        <f aca="false">IF(G789&gt;0,IF(INDEX(CONFIRM!$H$5:$H$53,G789)&lt;&gt;"",INDEX(CONFIRM!$H$5:$H$53,G789),IFERROR(INDEX(MAP!$B$7:$B$156,MATCH(TRIM(O789),MAP!$A$7:$A$156,0)),"UNMAPPED")),IFERROR(INDEX(MAP!$B$7:$B$156,MATCH(TRIM(O789),MAP!$A$7:$A$156,0)),"UNMAPPED"))</f>
        <v>Health Educator</v>
      </c>
      <c r="Q789" s="48" t="n">
        <f aca="false">STACK!I789</f>
        <v>2.75</v>
      </c>
      <c r="R789" s="60" t="n">
        <f aca="false">IF(G789&gt;0,IF(INDEX(CONFIRM!$F$5:$F$53,G789)&lt;&gt;"",INDEX(CONFIRM!$F$5:$F$53,G789),IF(ISNUMBER(Q789),Q789,IF(Q789="","",IFERROR(VALUE(TRIM(SUBSTITUTE(SUBSTITUTE(LOWER(Q789),"hrs",""),"hr",""))),"")))),IF(ISNUMBER(Q789),Q789,IF(Q789="","",IFERROR(VALUE(TRIM(SUBSTITUTE(SUBSTITUTE(LOWER(Q789),"hrs",""),"hr",""))),""))))</f>
        <v>2.75</v>
      </c>
      <c r="S789" s="57" t="n">
        <f aca="false">IFERROR(INDEX(RATES!$E$6:$E$28,MATCH(P789,RATES!$A$6:$A$28,0)),0)</f>
        <v>37.265</v>
      </c>
      <c r="T789" s="61" t="n">
        <f aca="false">IF(ISNUMBER(R789),R789,0)*S789</f>
        <v>102.47875</v>
      </c>
      <c r="U789" s="61" t="n">
        <f aca="false">T789*INDEX(INPUTS!$H$10:$H$14,MATCH(B789,INPUTS!$A$10:$A$14,0))</f>
        <v>16.6015575</v>
      </c>
      <c r="V789" s="61" t="n">
        <f aca="false">N(STACK!K789)</f>
        <v>135</v>
      </c>
      <c r="W789" s="61" t="n">
        <f aca="false">T789+U789+V789</f>
        <v>254.0803075</v>
      </c>
      <c r="X789" s="61" t="n">
        <f aca="false">N(STACK!L789)</f>
        <v>0</v>
      </c>
      <c r="Y789" s="61" t="n">
        <f aca="false">W789-X789</f>
        <v>254.0803075</v>
      </c>
      <c r="Z789" s="1" t="n">
        <f aca="false">N(STACK!J789)</f>
        <v>16</v>
      </c>
      <c r="AA789" s="1" t="str">
        <f aca="false">TRIM(IF(D789="UNMAPPED","Program not mapped. ","")&amp;IF(OR(K789="UNMAPPED",K789="UNASSIGNED"),"Category needs review. ","")&amp;IF(P789="UNMAPPED","Title not mapped. ","")&amp;IF(AND(P789&lt;&gt;"No staff time",R789=""),"Missing hours. ","")&amp;IF(M789="","Date not readable. ","")&amp;IF(N789="No","Outside fiscal year. ","")&amp;IF(AND(F789="Event",ISNUMBER(R789)),IF(R789&gt;12,"Event hours look high. ",""),"")&amp;IF(G789&gt;0,"See CONFIRM sheet.",""))</f>
        <v/>
      </c>
      <c r="AB789" s="1" t="n">
        <f aca="false">IF(N789="No",0,IF(REVIEW!O789=0,0,IF(G789&gt;0,IF(INDEX(CONFIRM!$J$5:$J$53,G789)&lt;&gt;"",INDEX(CONFIRM!$J$5:$J$53,G789),1),1)))</f>
        <v>1</v>
      </c>
      <c r="AC789" s="1" t="n">
        <f aca="false">IF(AB789=1,IF(COUNTIFS($B$5:B789,B789,$D$5:D789,D789,$AB$5:AB789,1)=1,1,0),0)</f>
        <v>0</v>
      </c>
    </row>
    <row r="790" customFormat="false" ht="15" hidden="false" customHeight="false" outlineLevel="0" collapsed="false">
      <c r="A790" s="48" t="str">
        <f aca="false">STACK!A790</f>
        <v>ASH-0257</v>
      </c>
      <c r="B790" s="48" t="str">
        <f aca="false">STACK!B790</f>
        <v>ASH</v>
      </c>
      <c r="C790" s="48" t="str">
        <f aca="false">STACK!E790</f>
        <v>DPP Classes</v>
      </c>
      <c r="D790" s="1" t="str">
        <f aca="false">IFERROR(INDEX(MAP!$J$7:$J$101,MATCH(TRIM(C790),MAP!$I$7:$I$101,0)),"UNMAPPED")</f>
        <v>Diabetes Prevention Classes</v>
      </c>
      <c r="E790" s="1" t="str">
        <f aca="false">IFERROR(INDEX(MAP!$K$7:$K$101,MATCH(TRIM(C790),MAP!$I$7:$I$101,0)),"")</f>
        <v>Chronic disease prevention</v>
      </c>
      <c r="F790" s="1" t="str">
        <f aca="false">IFERROR(INDEX(MAP!$L$7:$L$101,MATCH(TRIM(C790),MAP!$I$7:$I$101,0)),"")</f>
        <v>Event</v>
      </c>
      <c r="G790" s="1" t="n">
        <f aca="false">IFERROR(MATCH(A790,CONFIRM!$A$5:$A$53,0),0)</f>
        <v>0</v>
      </c>
      <c r="H790" s="48" t="str">
        <f aca="false">STACK!F790</f>
        <v>Comm Hlth Ed</v>
      </c>
      <c r="I790" s="1" t="str">
        <f aca="false">IF(G790&gt;0,IF(INDEX(CONFIRM!$I$5:$I$53,G790)&lt;&gt;"",INDEX(CONFIRM!$I$5:$I$53,G790),H790),H790)</f>
        <v>Comm Hlth Ed</v>
      </c>
      <c r="J790" s="1" t="str">
        <f aca="false">IFERROR(INDEX(MAP!$F$7:$F$74,MATCH(TRIM(I790),MAP!$E$7:$E$74,0)),"UNMAPPED")</f>
        <v>Community health education</v>
      </c>
      <c r="K790" s="1" t="str">
        <f aca="false">IFERROR(INDEX(MAP!$G$7:$G$74,MATCH(TRIM(I790),MAP!$E$7:$E$74,0)),"UNMAPPED")</f>
        <v>7e</v>
      </c>
      <c r="L790" s="49" t="str">
        <f aca="false">STACK!G790</f>
        <v>06/03/2026</v>
      </c>
      <c r="M790" s="59" t="n">
        <f aca="false">IF(G790&gt;0,IF(INDEX(CONFIRM!$G$5:$G$53,G790)&lt;&gt;"",INDEX(CONFIRM!$G$5:$G$53,G790),IF(ISNUMBER(L790),L790,IFERROR(DATEVALUE(L790),""))),IF(ISNUMBER(L790),L790,IFERROR(DATEVALUE(L790),"")))</f>
        <v>46176</v>
      </c>
      <c r="N790" s="1" t="str">
        <f aca="false">IF(M790="","Check",IF(AND(M790&gt;=INPUTS!$C$6,M790&lt;=INPUTS!$C$7),"Yes","No"))</f>
        <v>Yes</v>
      </c>
      <c r="O790" s="48" t="str">
        <f aca="false">STACK!H790</f>
        <v>rd</v>
      </c>
      <c r="P790" s="1" t="str">
        <f aca="false">IF(G790&gt;0,IF(INDEX(CONFIRM!$H$5:$H$53,G790)&lt;&gt;"",INDEX(CONFIRM!$H$5:$H$53,G790),IFERROR(INDEX(MAP!$B$7:$B$156,MATCH(TRIM(O790),MAP!$A$7:$A$156,0)),"UNMAPPED")),IFERROR(INDEX(MAP!$B$7:$B$156,MATCH(TRIM(O790),MAP!$A$7:$A$156,0)),"UNMAPPED"))</f>
        <v>Registered Dietitian</v>
      </c>
      <c r="Q790" s="48" t="n">
        <f aca="false">STACK!I790</f>
        <v>1.75</v>
      </c>
      <c r="R790" s="60" t="n">
        <f aca="false">IF(G790&gt;0,IF(INDEX(CONFIRM!$F$5:$F$53,G790)&lt;&gt;"",INDEX(CONFIRM!$F$5:$F$53,G790),IF(ISNUMBER(Q790),Q790,IF(Q790="","",IFERROR(VALUE(TRIM(SUBSTITUTE(SUBSTITUTE(LOWER(Q790),"hrs",""),"hr",""))),"")))),IF(ISNUMBER(Q790),Q790,IF(Q790="","",IFERROR(VALUE(TRIM(SUBSTITUTE(SUBSTITUTE(LOWER(Q790),"hrs",""),"hr",""))),""))))</f>
        <v>1.75</v>
      </c>
      <c r="S790" s="57" t="n">
        <f aca="false">IFERROR(INDEX(RATES!$E$6:$E$28,MATCH(P790,RATES!$A$6:$A$28,0)),0)</f>
        <v>46.9025</v>
      </c>
      <c r="T790" s="61" t="n">
        <f aca="false">IF(ISNUMBER(R790),R790,0)*S790</f>
        <v>82.079375</v>
      </c>
      <c r="U790" s="61" t="n">
        <f aca="false">T790*INDEX(INPUTS!$H$10:$H$14,MATCH(B790,INPUTS!$A$10:$A$14,0))</f>
        <v>13.29685875</v>
      </c>
      <c r="V790" s="61" t="n">
        <f aca="false">N(STACK!K790)</f>
        <v>0</v>
      </c>
      <c r="W790" s="61" t="n">
        <f aca="false">T790+U790+V790</f>
        <v>95.37623375</v>
      </c>
      <c r="X790" s="61" t="n">
        <f aca="false">N(STACK!L790)</f>
        <v>0</v>
      </c>
      <c r="Y790" s="61" t="n">
        <f aca="false">W790-X790</f>
        <v>95.37623375</v>
      </c>
      <c r="Z790" s="1" t="n">
        <f aca="false">N(STACK!J790)</f>
        <v>0</v>
      </c>
      <c r="AA790" s="1" t="str">
        <f aca="false">TRIM(IF(D790="UNMAPPED","Program not mapped. ","")&amp;IF(OR(K790="UNMAPPED",K790="UNASSIGNED"),"Category needs review. ","")&amp;IF(P790="UNMAPPED","Title not mapped. ","")&amp;IF(AND(P790&lt;&gt;"No staff time",R790=""),"Missing hours. ","")&amp;IF(M790="","Date not readable. ","")&amp;IF(N790="No","Outside fiscal year. ","")&amp;IF(AND(F790="Event",ISNUMBER(R790)),IF(R790&gt;12,"Event hours look high. ",""),"")&amp;IF(G790&gt;0,"See CONFIRM sheet.",""))</f>
        <v/>
      </c>
      <c r="AB790" s="1" t="n">
        <f aca="false">IF(N790="No",0,IF(REVIEW!O790=0,0,IF(G790&gt;0,IF(INDEX(CONFIRM!$J$5:$J$53,G790)&lt;&gt;"",INDEX(CONFIRM!$J$5:$J$53,G790),1),1)))</f>
        <v>1</v>
      </c>
      <c r="AC790" s="1" t="n">
        <f aca="false">IF(AB790=1,IF(COUNTIFS($B$5:B790,B790,$D$5:D790,D790,$AB$5:AB790,1)=1,1,0),0)</f>
        <v>0</v>
      </c>
    </row>
    <row r="791" customFormat="false" ht="15" hidden="false" customHeight="false" outlineLevel="0" collapsed="false">
      <c r="A791" s="48" t="str">
        <f aca="false">STACK!A791</f>
        <v>ASH-0258</v>
      </c>
      <c r="B791" s="48" t="str">
        <f aca="false">STACK!B791</f>
        <v>ASH</v>
      </c>
      <c r="C791" s="48" t="str">
        <f aca="false">STACK!E791</f>
        <v>Leadership Academy</v>
      </c>
      <c r="D791" s="1" t="str">
        <f aca="false">IFERROR(INDEX(MAP!$J$7:$J$101,MATCH(TRIM(C791),MAP!$I$7:$I$101,0)),"UNMAPPED")</f>
        <v>Neighborhood Leadership Academy</v>
      </c>
      <c r="E791" s="1" t="str">
        <f aca="false">IFERROR(INDEX(MAP!$K$7:$K$101,MATCH(TRIM(C791),MAP!$I$7:$I$101,0)),"")</f>
        <v>Community benefit infrastructure</v>
      </c>
      <c r="F791" s="1" t="str">
        <f aca="false">IFERROR(INDEX(MAP!$L$7:$L$101,MATCH(TRIM(C791),MAP!$I$7:$I$101,0)),"")</f>
        <v>Event</v>
      </c>
      <c r="G791" s="1" t="n">
        <f aca="false">IFERROR(MATCH(A791,CONFIRM!$A$5:$A$53,0),0)</f>
        <v>0</v>
      </c>
      <c r="H791" s="48" t="str">
        <f aca="false">STACK!F791</f>
        <v>CB-Leadership Dev</v>
      </c>
      <c r="I791" s="1" t="str">
        <f aca="false">IF(G791&gt;0,IF(INDEX(CONFIRM!$I$5:$I$53,G791)&lt;&gt;"",INDEX(CONFIRM!$I$5:$I$53,G791),H791),H791)</f>
        <v>CB-Leadership Dev</v>
      </c>
      <c r="J791" s="1" t="str">
        <f aca="false">IFERROR(INDEX(MAP!$F$7:$F$74,MATCH(TRIM(I791),MAP!$E$7:$E$74,0)),"UNMAPPED")</f>
        <v>Community building: leadership development</v>
      </c>
      <c r="K791" s="1" t="str">
        <f aca="false">IFERROR(INDEX(MAP!$G$7:$G$74,MATCH(TRIM(I791),MAP!$E$7:$E$74,0)),"UNMAPPED")</f>
        <v>II-5</v>
      </c>
      <c r="L791" s="49" t="str">
        <f aca="false">STACK!G791</f>
        <v>06/04/2026</v>
      </c>
      <c r="M791" s="59" t="n">
        <f aca="false">IF(G791&gt;0,IF(INDEX(CONFIRM!$G$5:$G$53,G791)&lt;&gt;"",INDEX(CONFIRM!$G$5:$G$53,G791),IF(ISNUMBER(L791),L791,IFERROR(DATEVALUE(L791),""))),IF(ISNUMBER(L791),L791,IFERROR(DATEVALUE(L791),"")))</f>
        <v>46177</v>
      </c>
      <c r="N791" s="1" t="str">
        <f aca="false">IF(M791="","Check",IF(AND(M791&gt;=INPUTS!$C$6,M791&lt;=INPUTS!$C$7),"Yes","No"))</f>
        <v>Yes</v>
      </c>
      <c r="O791" s="48" t="str">
        <f aca="false">STACK!H791</f>
        <v>Wellness Educator</v>
      </c>
      <c r="P791" s="1" t="str">
        <f aca="false">IF(G791&gt;0,IF(INDEX(CONFIRM!$H$5:$H$53,G791)&lt;&gt;"",INDEX(CONFIRM!$H$5:$H$53,G791),IFERROR(INDEX(MAP!$B$7:$B$156,MATCH(TRIM(O791),MAP!$A$7:$A$156,0)),"UNMAPPED")),IFERROR(INDEX(MAP!$B$7:$B$156,MATCH(TRIM(O791),MAP!$A$7:$A$156,0)),"UNMAPPED"))</f>
        <v>Health Educator</v>
      </c>
      <c r="Q791" s="48" t="n">
        <f aca="false">STACK!I791</f>
        <v>3.25</v>
      </c>
      <c r="R791" s="60" t="n">
        <f aca="false">IF(G791&gt;0,IF(INDEX(CONFIRM!$F$5:$F$53,G791)&lt;&gt;"",INDEX(CONFIRM!$F$5:$F$53,G791),IF(ISNUMBER(Q791),Q791,IF(Q791="","",IFERROR(VALUE(TRIM(SUBSTITUTE(SUBSTITUTE(LOWER(Q791),"hrs",""),"hr",""))),"")))),IF(ISNUMBER(Q791),Q791,IF(Q791="","",IFERROR(VALUE(TRIM(SUBSTITUTE(SUBSTITUTE(LOWER(Q791),"hrs",""),"hr",""))),""))))</f>
        <v>3.25</v>
      </c>
      <c r="S791" s="57" t="n">
        <f aca="false">IFERROR(INDEX(RATES!$E$6:$E$28,MATCH(P791,RATES!$A$6:$A$28,0)),0)</f>
        <v>37.265</v>
      </c>
      <c r="T791" s="61" t="n">
        <f aca="false">IF(ISNUMBER(R791),R791,0)*S791</f>
        <v>121.11125</v>
      </c>
      <c r="U791" s="61" t="n">
        <f aca="false">T791*INDEX(INPUTS!$H$10:$H$14,MATCH(B791,INPUTS!$A$10:$A$14,0))</f>
        <v>19.6200225</v>
      </c>
      <c r="V791" s="61" t="n">
        <f aca="false">N(STACK!K791)</f>
        <v>0</v>
      </c>
      <c r="W791" s="61" t="n">
        <f aca="false">T791+U791+V791</f>
        <v>140.7312725</v>
      </c>
      <c r="X791" s="61" t="n">
        <f aca="false">N(STACK!L791)</f>
        <v>0</v>
      </c>
      <c r="Y791" s="61" t="n">
        <f aca="false">W791-X791</f>
        <v>140.7312725</v>
      </c>
      <c r="Z791" s="1" t="n">
        <f aca="false">N(STACK!J791)</f>
        <v>0</v>
      </c>
      <c r="AA791" s="1" t="str">
        <f aca="false">TRIM(IF(D791="UNMAPPED","Program not mapped. ","")&amp;IF(OR(K791="UNMAPPED",K791="UNASSIGNED"),"Category needs review. ","")&amp;IF(P791="UNMAPPED","Title not mapped. ","")&amp;IF(AND(P791&lt;&gt;"No staff time",R791=""),"Missing hours. ","")&amp;IF(M791="","Date not readable. ","")&amp;IF(N791="No","Outside fiscal year. ","")&amp;IF(AND(F791="Event",ISNUMBER(R791)),IF(R791&gt;12,"Event hours look high. ",""),"")&amp;IF(G791&gt;0,"See CONFIRM sheet.",""))</f>
        <v/>
      </c>
      <c r="AB791" s="1" t="n">
        <f aca="false">IF(N791="No",0,IF(REVIEW!O791=0,0,IF(G791&gt;0,IF(INDEX(CONFIRM!$J$5:$J$53,G791)&lt;&gt;"",INDEX(CONFIRM!$J$5:$J$53,G791),1),1)))</f>
        <v>1</v>
      </c>
      <c r="AC791" s="1" t="n">
        <f aca="false">IF(AB791=1,IF(COUNTIFS($B$5:B791,B791,$D$5:D791,D791,$AB$5:AB791,1)=1,1,0),0)</f>
        <v>0</v>
      </c>
    </row>
    <row r="792" customFormat="false" ht="15" hidden="false" customHeight="false" outlineLevel="0" collapsed="false">
      <c r="A792" s="48" t="str">
        <f aca="false">STACK!A792</f>
        <v>ASH-0259</v>
      </c>
      <c r="B792" s="48" t="str">
        <f aca="false">STACK!B792</f>
        <v>ASH</v>
      </c>
      <c r="C792" s="48" t="str">
        <f aca="false">STACK!E792</f>
        <v>Leadership Academy</v>
      </c>
      <c r="D792" s="1" t="str">
        <f aca="false">IFERROR(INDEX(MAP!$J$7:$J$101,MATCH(TRIM(C792),MAP!$I$7:$I$101,0)),"UNMAPPED")</f>
        <v>Neighborhood Leadership Academy</v>
      </c>
      <c r="E792" s="1" t="str">
        <f aca="false">IFERROR(INDEX(MAP!$K$7:$K$101,MATCH(TRIM(C792),MAP!$I$7:$I$101,0)),"")</f>
        <v>Community benefit infrastructure</v>
      </c>
      <c r="F792" s="1" t="str">
        <f aca="false">IFERROR(INDEX(MAP!$L$7:$L$101,MATCH(TRIM(C792),MAP!$I$7:$I$101,0)),"")</f>
        <v>Event</v>
      </c>
      <c r="G792" s="1" t="n">
        <f aca="false">IFERROR(MATCH(A792,CONFIRM!$A$5:$A$53,0),0)</f>
        <v>0</v>
      </c>
      <c r="H792" s="48" t="str">
        <f aca="false">STACK!F792</f>
        <v>CB-Leadership Dev</v>
      </c>
      <c r="I792" s="1" t="str">
        <f aca="false">IF(G792&gt;0,IF(INDEX(CONFIRM!$I$5:$I$53,G792)&lt;&gt;"",INDEX(CONFIRM!$I$5:$I$53,G792),H792),H792)</f>
        <v>CB-Leadership Dev</v>
      </c>
      <c r="J792" s="1" t="str">
        <f aca="false">IFERROR(INDEX(MAP!$F$7:$F$74,MATCH(TRIM(I792),MAP!$E$7:$E$74,0)),"UNMAPPED")</f>
        <v>Community building: leadership development</v>
      </c>
      <c r="K792" s="1" t="str">
        <f aca="false">IFERROR(INDEX(MAP!$G$7:$G$74,MATCH(TRIM(I792),MAP!$E$7:$E$74,0)),"UNMAPPED")</f>
        <v>II-5</v>
      </c>
      <c r="L792" s="49" t="str">
        <f aca="false">STACK!G792</f>
        <v>06/04/2026</v>
      </c>
      <c r="M792" s="59" t="n">
        <f aca="false">IF(G792&gt;0,IF(INDEX(CONFIRM!$G$5:$G$53,G792)&lt;&gt;"",INDEX(CONFIRM!$G$5:$G$53,G792),IF(ISNUMBER(L792),L792,IFERROR(DATEVALUE(L792),""))),IF(ISNUMBER(L792),L792,IFERROR(DATEVALUE(L792),"")))</f>
        <v>46177</v>
      </c>
      <c r="N792" s="1" t="str">
        <f aca="false">IF(M792="","Check",IF(AND(M792&gt;=INPUTS!$C$6,M792&lt;=INPUTS!$C$7),"Yes","No"))</f>
        <v>Yes</v>
      </c>
      <c r="O792" s="48" t="str">
        <f aca="false">STACK!H792</f>
        <v>Prog Coord</v>
      </c>
      <c r="P792" s="1" t="str">
        <f aca="false">IF(G792&gt;0,IF(INDEX(CONFIRM!$H$5:$H$53,G792)&lt;&gt;"",INDEX(CONFIRM!$H$5:$H$53,G792),IFERROR(INDEX(MAP!$B$7:$B$156,MATCH(TRIM(O792),MAP!$A$7:$A$156,0)),"UNMAPPED")),IFERROR(INDEX(MAP!$B$7:$B$156,MATCH(TRIM(O792),MAP!$A$7:$A$156,0)),"UNMAPPED"))</f>
        <v>Program Coordinator</v>
      </c>
      <c r="Q792" s="48" t="n">
        <f aca="false">STACK!I792</f>
        <v>4.75</v>
      </c>
      <c r="R792" s="60" t="n">
        <f aca="false">IF(G792&gt;0,IF(INDEX(CONFIRM!$F$5:$F$53,G792)&lt;&gt;"",INDEX(CONFIRM!$F$5:$F$53,G792),IF(ISNUMBER(Q792),Q792,IF(Q792="","",IFERROR(VALUE(TRIM(SUBSTITUTE(SUBSTITUTE(LOWER(Q792),"hrs",""),"hr",""))),"")))),IF(ISNUMBER(Q792),Q792,IF(Q792="","",IFERROR(VALUE(TRIM(SUBSTITUTE(SUBSTITUTE(LOWER(Q792),"hrs",""),"hr",""))),""))))</f>
        <v>4.75</v>
      </c>
      <c r="S792" s="57" t="n">
        <f aca="false">IFERROR(INDEX(RATES!$E$6:$E$28,MATCH(P792,RATES!$A$6:$A$28,0)),0)</f>
        <v>35.3375</v>
      </c>
      <c r="T792" s="61" t="n">
        <f aca="false">IF(ISNUMBER(R792),R792,0)*S792</f>
        <v>167.853125</v>
      </c>
      <c r="U792" s="61" t="n">
        <f aca="false">T792*INDEX(INPUTS!$H$10:$H$14,MATCH(B792,INPUTS!$A$10:$A$14,0))</f>
        <v>27.19220625</v>
      </c>
      <c r="V792" s="61" t="n">
        <f aca="false">N(STACK!K792)</f>
        <v>485</v>
      </c>
      <c r="W792" s="61" t="n">
        <f aca="false">T792+U792+V792</f>
        <v>680.04533125</v>
      </c>
      <c r="X792" s="61" t="n">
        <f aca="false">N(STACK!L792)</f>
        <v>0</v>
      </c>
      <c r="Y792" s="61" t="n">
        <f aca="false">W792-X792</f>
        <v>680.04533125</v>
      </c>
      <c r="Z792" s="1" t="n">
        <f aca="false">N(STACK!J792)</f>
        <v>24</v>
      </c>
      <c r="AA792" s="1" t="str">
        <f aca="false">TRIM(IF(D792="UNMAPPED","Program not mapped. ","")&amp;IF(OR(K792="UNMAPPED",K792="UNASSIGNED"),"Category needs review. ","")&amp;IF(P792="UNMAPPED","Title not mapped. ","")&amp;IF(AND(P792&lt;&gt;"No staff time",R792=""),"Missing hours. ","")&amp;IF(M792="","Date not readable. ","")&amp;IF(N792="No","Outside fiscal year. ","")&amp;IF(AND(F792="Event",ISNUMBER(R792)),IF(R792&gt;12,"Event hours look high. ",""),"")&amp;IF(G792&gt;0,"See CONFIRM sheet.",""))</f>
        <v/>
      </c>
      <c r="AB792" s="1" t="n">
        <f aca="false">IF(N792="No",0,IF(REVIEW!O792=0,0,IF(G792&gt;0,IF(INDEX(CONFIRM!$J$5:$J$53,G792)&lt;&gt;"",INDEX(CONFIRM!$J$5:$J$53,G792),1),1)))</f>
        <v>1</v>
      </c>
      <c r="AC792" s="1" t="n">
        <f aca="false">IF(AB792=1,IF(COUNTIFS($B$5:B792,B792,$D$5:D792,D792,$AB$5:AB792,1)=1,1,0),0)</f>
        <v>0</v>
      </c>
    </row>
    <row r="793" customFormat="false" ht="15" hidden="false" customHeight="false" outlineLevel="0" collapsed="false">
      <c r="A793" s="48" t="str">
        <f aca="false">STACK!A793</f>
        <v>ASH-0260</v>
      </c>
      <c r="B793" s="48" t="str">
        <f aca="false">STACK!B793</f>
        <v>ASH</v>
      </c>
      <c r="C793" s="48" t="str">
        <f aca="false">STACK!E793</f>
        <v>DPP Classes</v>
      </c>
      <c r="D793" s="1" t="str">
        <f aca="false">IFERROR(INDEX(MAP!$J$7:$J$101,MATCH(TRIM(C793),MAP!$I$7:$I$101,0)),"UNMAPPED")</f>
        <v>Diabetes Prevention Classes</v>
      </c>
      <c r="E793" s="1" t="str">
        <f aca="false">IFERROR(INDEX(MAP!$K$7:$K$101,MATCH(TRIM(C793),MAP!$I$7:$I$101,0)),"")</f>
        <v>Chronic disease prevention</v>
      </c>
      <c r="F793" s="1" t="str">
        <f aca="false">IFERROR(INDEX(MAP!$L$7:$L$101,MATCH(TRIM(C793),MAP!$I$7:$I$101,0)),"")</f>
        <v>Event</v>
      </c>
      <c r="G793" s="1" t="n">
        <f aca="false">IFERROR(MATCH(A793,CONFIRM!$A$5:$A$53,0),0)</f>
        <v>0</v>
      </c>
      <c r="H793" s="48" t="str">
        <f aca="false">STACK!F793</f>
        <v>Comm Hlth Ed</v>
      </c>
      <c r="I793" s="1" t="str">
        <f aca="false">IF(G793&gt;0,IF(INDEX(CONFIRM!$I$5:$I$53,G793)&lt;&gt;"",INDEX(CONFIRM!$I$5:$I$53,G793),H793),H793)</f>
        <v>Comm Hlth Ed</v>
      </c>
      <c r="J793" s="1" t="str">
        <f aca="false">IFERROR(INDEX(MAP!$F$7:$F$74,MATCH(TRIM(I793),MAP!$E$7:$E$74,0)),"UNMAPPED")</f>
        <v>Community health education</v>
      </c>
      <c r="K793" s="1" t="str">
        <f aca="false">IFERROR(INDEX(MAP!$G$7:$G$74,MATCH(TRIM(I793),MAP!$E$7:$E$74,0)),"UNMAPPED")</f>
        <v>7e</v>
      </c>
      <c r="L793" s="49" t="str">
        <f aca="false">STACK!G793</f>
        <v>06/06/2026</v>
      </c>
      <c r="M793" s="59" t="n">
        <f aca="false">IF(G793&gt;0,IF(INDEX(CONFIRM!$G$5:$G$53,G793)&lt;&gt;"",INDEX(CONFIRM!$G$5:$G$53,G793),IF(ISNUMBER(L793),L793,IFERROR(DATEVALUE(L793),""))),IF(ISNUMBER(L793),L793,IFERROR(DATEVALUE(L793),"")))</f>
        <v>46179</v>
      </c>
      <c r="N793" s="1" t="str">
        <f aca="false">IF(M793="","Check",IF(AND(M793&gt;=INPUTS!$C$6,M793&lt;=INPUTS!$C$7),"Yes","No"))</f>
        <v>Yes</v>
      </c>
      <c r="O793" s="48" t="str">
        <f aca="false">STACK!H793</f>
        <v>Health Ed</v>
      </c>
      <c r="P793" s="1" t="str">
        <f aca="false">IF(G793&gt;0,IF(INDEX(CONFIRM!$H$5:$H$53,G793)&lt;&gt;"",INDEX(CONFIRM!$H$5:$H$53,G793),IFERROR(INDEX(MAP!$B$7:$B$156,MATCH(TRIM(O793),MAP!$A$7:$A$156,0)),"UNMAPPED")),IFERROR(INDEX(MAP!$B$7:$B$156,MATCH(TRIM(O793),MAP!$A$7:$A$156,0)),"UNMAPPED"))</f>
        <v>Health Educator</v>
      </c>
      <c r="Q793" s="48" t="n">
        <f aca="false">STACK!I793</f>
        <v>2.75</v>
      </c>
      <c r="R793" s="60" t="n">
        <f aca="false">IF(G793&gt;0,IF(INDEX(CONFIRM!$F$5:$F$53,G793)&lt;&gt;"",INDEX(CONFIRM!$F$5:$F$53,G793),IF(ISNUMBER(Q793),Q793,IF(Q793="","",IFERROR(VALUE(TRIM(SUBSTITUTE(SUBSTITUTE(LOWER(Q793),"hrs",""),"hr",""))),"")))),IF(ISNUMBER(Q793),Q793,IF(Q793="","",IFERROR(VALUE(TRIM(SUBSTITUTE(SUBSTITUTE(LOWER(Q793),"hrs",""),"hr",""))),""))))</f>
        <v>2.75</v>
      </c>
      <c r="S793" s="57" t="n">
        <f aca="false">IFERROR(INDEX(RATES!$E$6:$E$28,MATCH(P793,RATES!$A$6:$A$28,0)),0)</f>
        <v>37.265</v>
      </c>
      <c r="T793" s="61" t="n">
        <f aca="false">IF(ISNUMBER(R793),R793,0)*S793</f>
        <v>102.47875</v>
      </c>
      <c r="U793" s="61" t="n">
        <f aca="false">T793*INDEX(INPUTS!$H$10:$H$14,MATCH(B793,INPUTS!$A$10:$A$14,0))</f>
        <v>16.6015575</v>
      </c>
      <c r="V793" s="61" t="n">
        <f aca="false">N(STACK!K793)</f>
        <v>140</v>
      </c>
      <c r="W793" s="61" t="n">
        <f aca="false">T793+U793+V793</f>
        <v>259.0803075</v>
      </c>
      <c r="X793" s="61" t="n">
        <f aca="false">N(STACK!L793)</f>
        <v>0</v>
      </c>
      <c r="Y793" s="61" t="n">
        <f aca="false">W793-X793</f>
        <v>259.0803075</v>
      </c>
      <c r="Z793" s="1" t="n">
        <f aca="false">N(STACK!J793)</f>
        <v>12</v>
      </c>
      <c r="AA793" s="1" t="str">
        <f aca="false">TRIM(IF(D793="UNMAPPED","Program not mapped. ","")&amp;IF(OR(K793="UNMAPPED",K793="UNASSIGNED"),"Category needs review. ","")&amp;IF(P793="UNMAPPED","Title not mapped. ","")&amp;IF(AND(P793&lt;&gt;"No staff time",R793=""),"Missing hours. ","")&amp;IF(M793="","Date not readable. ","")&amp;IF(N793="No","Outside fiscal year. ","")&amp;IF(AND(F793="Event",ISNUMBER(R793)),IF(R793&gt;12,"Event hours look high. ",""),"")&amp;IF(G793&gt;0,"See CONFIRM sheet.",""))</f>
        <v/>
      </c>
      <c r="AB793" s="1" t="n">
        <f aca="false">IF(N793="No",0,IF(REVIEW!O793=0,0,IF(G793&gt;0,IF(INDEX(CONFIRM!$J$5:$J$53,G793)&lt;&gt;"",INDEX(CONFIRM!$J$5:$J$53,G793),1),1)))</f>
        <v>1</v>
      </c>
      <c r="AC793" s="1" t="n">
        <f aca="false">IF(AB793=1,IF(COUNTIFS($B$5:B793,B793,$D$5:D793,D793,$AB$5:AB793,1)=1,1,0),0)</f>
        <v>0</v>
      </c>
    </row>
    <row r="794" customFormat="false" ht="15" hidden="false" customHeight="false" outlineLevel="0" collapsed="false">
      <c r="A794" s="48" t="str">
        <f aca="false">STACK!A794</f>
        <v>ASH-0261</v>
      </c>
      <c r="B794" s="48" t="str">
        <f aca="false">STACK!B794</f>
        <v>ASH</v>
      </c>
      <c r="C794" s="48" t="str">
        <f aca="false">STACK!E794</f>
        <v>DPP Classes</v>
      </c>
      <c r="D794" s="1" t="str">
        <f aca="false">IFERROR(INDEX(MAP!$J$7:$J$101,MATCH(TRIM(C794),MAP!$I$7:$I$101,0)),"UNMAPPED")</f>
        <v>Diabetes Prevention Classes</v>
      </c>
      <c r="E794" s="1" t="str">
        <f aca="false">IFERROR(INDEX(MAP!$K$7:$K$101,MATCH(TRIM(C794),MAP!$I$7:$I$101,0)),"")</f>
        <v>Chronic disease prevention</v>
      </c>
      <c r="F794" s="1" t="str">
        <f aca="false">IFERROR(INDEX(MAP!$L$7:$L$101,MATCH(TRIM(C794),MAP!$I$7:$I$101,0)),"")</f>
        <v>Event</v>
      </c>
      <c r="G794" s="1" t="n">
        <f aca="false">IFERROR(MATCH(A794,CONFIRM!$A$5:$A$53,0),0)</f>
        <v>0</v>
      </c>
      <c r="H794" s="48" t="str">
        <f aca="false">STACK!F794</f>
        <v>Comm Hlth Ed</v>
      </c>
      <c r="I794" s="1" t="str">
        <f aca="false">IF(G794&gt;0,IF(INDEX(CONFIRM!$I$5:$I$53,G794)&lt;&gt;"",INDEX(CONFIRM!$I$5:$I$53,G794),H794),H794)</f>
        <v>Comm Hlth Ed</v>
      </c>
      <c r="J794" s="1" t="str">
        <f aca="false">IFERROR(INDEX(MAP!$F$7:$F$74,MATCH(TRIM(I794),MAP!$E$7:$E$74,0)),"UNMAPPED")</f>
        <v>Community health education</v>
      </c>
      <c r="K794" s="1" t="str">
        <f aca="false">IFERROR(INDEX(MAP!$G$7:$G$74,MATCH(TRIM(I794),MAP!$E$7:$E$74,0)),"UNMAPPED")</f>
        <v>7e</v>
      </c>
      <c r="L794" s="49" t="str">
        <f aca="false">STACK!G794</f>
        <v>06/06/2026</v>
      </c>
      <c r="M794" s="59" t="n">
        <f aca="false">IF(G794&gt;0,IF(INDEX(CONFIRM!$G$5:$G$53,G794)&lt;&gt;"",INDEX(CONFIRM!$G$5:$G$53,G794),IF(ISNUMBER(L794),L794,IFERROR(DATEVALUE(L794),""))),IF(ISNUMBER(L794),L794,IFERROR(DATEVALUE(L794),"")))</f>
        <v>46179</v>
      </c>
      <c r="N794" s="1" t="str">
        <f aca="false">IF(M794="","Check",IF(AND(M794&gt;=INPUTS!$C$6,M794&lt;=INPUTS!$C$7),"Yes","No"))</f>
        <v>Yes</v>
      </c>
      <c r="O794" s="48" t="str">
        <f aca="false">STACK!H794</f>
        <v>REGISTERED DIETITIAN</v>
      </c>
      <c r="P794" s="1" t="str">
        <f aca="false">IF(G794&gt;0,IF(INDEX(CONFIRM!$H$5:$H$53,G794)&lt;&gt;"",INDEX(CONFIRM!$H$5:$H$53,G794),IFERROR(INDEX(MAP!$B$7:$B$156,MATCH(TRIM(O794),MAP!$A$7:$A$156,0)),"UNMAPPED")),IFERROR(INDEX(MAP!$B$7:$B$156,MATCH(TRIM(O794),MAP!$A$7:$A$156,0)),"UNMAPPED"))</f>
        <v>Registered Dietitian</v>
      </c>
      <c r="Q794" s="48" t="n">
        <f aca="false">STACK!I794</f>
        <v>1.75</v>
      </c>
      <c r="R794" s="60" t="n">
        <f aca="false">IF(G794&gt;0,IF(INDEX(CONFIRM!$F$5:$F$53,G794)&lt;&gt;"",INDEX(CONFIRM!$F$5:$F$53,G794),IF(ISNUMBER(Q794),Q794,IF(Q794="","",IFERROR(VALUE(TRIM(SUBSTITUTE(SUBSTITUTE(LOWER(Q794),"hrs",""),"hr",""))),"")))),IF(ISNUMBER(Q794),Q794,IF(Q794="","",IFERROR(VALUE(TRIM(SUBSTITUTE(SUBSTITUTE(LOWER(Q794),"hrs",""),"hr",""))),""))))</f>
        <v>1.75</v>
      </c>
      <c r="S794" s="57" t="n">
        <f aca="false">IFERROR(INDEX(RATES!$E$6:$E$28,MATCH(P794,RATES!$A$6:$A$28,0)),0)</f>
        <v>46.9025</v>
      </c>
      <c r="T794" s="61" t="n">
        <f aca="false">IF(ISNUMBER(R794),R794,0)*S794</f>
        <v>82.079375</v>
      </c>
      <c r="U794" s="61" t="n">
        <f aca="false">T794*INDEX(INPUTS!$H$10:$H$14,MATCH(B794,INPUTS!$A$10:$A$14,0))</f>
        <v>13.29685875</v>
      </c>
      <c r="V794" s="61" t="n">
        <f aca="false">N(STACK!K794)</f>
        <v>0</v>
      </c>
      <c r="W794" s="61" t="n">
        <f aca="false">T794+U794+V794</f>
        <v>95.37623375</v>
      </c>
      <c r="X794" s="61" t="n">
        <f aca="false">N(STACK!L794)</f>
        <v>0</v>
      </c>
      <c r="Y794" s="61" t="n">
        <f aca="false">W794-X794</f>
        <v>95.37623375</v>
      </c>
      <c r="Z794" s="1" t="n">
        <f aca="false">N(STACK!J794)</f>
        <v>0</v>
      </c>
      <c r="AA794" s="1" t="str">
        <f aca="false">TRIM(IF(D794="UNMAPPED","Program not mapped. ","")&amp;IF(OR(K794="UNMAPPED",K794="UNASSIGNED"),"Category needs review. ","")&amp;IF(P794="UNMAPPED","Title not mapped. ","")&amp;IF(AND(P794&lt;&gt;"No staff time",R794=""),"Missing hours. ","")&amp;IF(M794="","Date not readable. ","")&amp;IF(N794="No","Outside fiscal year. ","")&amp;IF(AND(F794="Event",ISNUMBER(R794)),IF(R794&gt;12,"Event hours look high. ",""),"")&amp;IF(G794&gt;0,"See CONFIRM sheet.",""))</f>
        <v/>
      </c>
      <c r="AB794" s="1" t="n">
        <f aca="false">IF(N794="No",0,IF(REVIEW!O794=0,0,IF(G794&gt;0,IF(INDEX(CONFIRM!$J$5:$J$53,G794)&lt;&gt;"",INDEX(CONFIRM!$J$5:$J$53,G794),1),1)))</f>
        <v>1</v>
      </c>
      <c r="AC794" s="1" t="n">
        <f aca="false">IF(AB794=1,IF(COUNTIFS($B$5:B794,B794,$D$5:D794,D794,$AB$5:AB794,1)=1,1,0),0)</f>
        <v>0</v>
      </c>
    </row>
    <row r="795" customFormat="false" ht="15" hidden="false" customHeight="false" outlineLevel="0" collapsed="false">
      <c r="A795" s="48" t="str">
        <f aca="false">STACK!A795</f>
        <v>ASH-0262</v>
      </c>
      <c r="B795" s="48" t="str">
        <f aca="false">STACK!B795</f>
        <v>ASH</v>
      </c>
      <c r="C795" s="48" t="str">
        <f aca="false">STACK!E795</f>
        <v>MH First Aid</v>
      </c>
      <c r="D795" s="1" t="str">
        <f aca="false">IFERROR(INDEX(MAP!$J$7:$J$101,MATCH(TRIM(C795),MAP!$I$7:$I$101,0)),"UNMAPPED")</f>
        <v>Mental Health First Aid Training</v>
      </c>
      <c r="E795" s="1" t="str">
        <f aca="false">IFERROR(INDEX(MAP!$K$7:$K$101,MATCH(TRIM(C795),MAP!$I$7:$I$101,0)),"")</f>
        <v>Behavioral health</v>
      </c>
      <c r="F795" s="1" t="str">
        <f aca="false">IFERROR(INDEX(MAP!$L$7:$L$101,MATCH(TRIM(C795),MAP!$I$7:$I$101,0)),"")</f>
        <v>Event</v>
      </c>
      <c r="G795" s="1" t="n">
        <f aca="false">IFERROR(MATCH(A795,CONFIRM!$A$5:$A$53,0),0)</f>
        <v>0</v>
      </c>
      <c r="H795" s="48" t="str">
        <f aca="false">STACK!F795</f>
        <v>Comm Hlth Ed</v>
      </c>
      <c r="I795" s="1" t="str">
        <f aca="false">IF(G795&gt;0,IF(INDEX(CONFIRM!$I$5:$I$53,G795)&lt;&gt;"",INDEX(CONFIRM!$I$5:$I$53,G795),H795),H795)</f>
        <v>Comm Hlth Ed</v>
      </c>
      <c r="J795" s="1" t="str">
        <f aca="false">IFERROR(INDEX(MAP!$F$7:$F$74,MATCH(TRIM(I795),MAP!$E$7:$E$74,0)),"UNMAPPED")</f>
        <v>Community health education</v>
      </c>
      <c r="K795" s="1" t="str">
        <f aca="false">IFERROR(INDEX(MAP!$G$7:$G$74,MATCH(TRIM(I795),MAP!$E$7:$E$74,0)),"UNMAPPED")</f>
        <v>7e</v>
      </c>
      <c r="L795" s="49" t="str">
        <f aca="false">STACK!G795</f>
        <v>06/09/2026</v>
      </c>
      <c r="M795" s="59" t="n">
        <f aca="false">IF(G795&gt;0,IF(INDEX(CONFIRM!$G$5:$G$53,G795)&lt;&gt;"",INDEX(CONFIRM!$G$5:$G$53,G795),IF(ISNUMBER(L795),L795,IFERROR(DATEVALUE(L795),""))),IF(ISNUMBER(L795),L795,IFERROR(DATEVALUE(L795),"")))</f>
        <v>46182</v>
      </c>
      <c r="N795" s="1" t="str">
        <f aca="false">IF(M795="","Check",IF(AND(M795&gt;=INPUTS!$C$6,M795&lt;=INPUTS!$C$7),"Yes","No"))</f>
        <v>Yes</v>
      </c>
      <c r="O795" s="48" t="str">
        <f aca="false">STACK!H795</f>
        <v>Health Education Specialist</v>
      </c>
      <c r="P795" s="1" t="str">
        <f aca="false">IF(G795&gt;0,IF(INDEX(CONFIRM!$H$5:$H$53,G795)&lt;&gt;"",INDEX(CONFIRM!$H$5:$H$53,G795),IFERROR(INDEX(MAP!$B$7:$B$156,MATCH(TRIM(O795),MAP!$A$7:$A$156,0)),"UNMAPPED")),IFERROR(INDEX(MAP!$B$7:$B$156,MATCH(TRIM(O795),MAP!$A$7:$A$156,0)),"UNMAPPED"))</f>
        <v>Health Educator</v>
      </c>
      <c r="Q795" s="48" t="n">
        <f aca="false">STACK!I795</f>
        <v>8</v>
      </c>
      <c r="R795" s="60" t="n">
        <f aca="false">IF(G795&gt;0,IF(INDEX(CONFIRM!$F$5:$F$53,G795)&lt;&gt;"",INDEX(CONFIRM!$F$5:$F$53,G795),IF(ISNUMBER(Q795),Q795,IF(Q795="","",IFERROR(VALUE(TRIM(SUBSTITUTE(SUBSTITUTE(LOWER(Q795),"hrs",""),"hr",""))),"")))),IF(ISNUMBER(Q795),Q795,IF(Q795="","",IFERROR(VALUE(TRIM(SUBSTITUTE(SUBSTITUTE(LOWER(Q795),"hrs",""),"hr",""))),""))))</f>
        <v>8</v>
      </c>
      <c r="S795" s="57" t="n">
        <f aca="false">IFERROR(INDEX(RATES!$E$6:$E$28,MATCH(P795,RATES!$A$6:$A$28,0)),0)</f>
        <v>37.265</v>
      </c>
      <c r="T795" s="61" t="n">
        <f aca="false">IF(ISNUMBER(R795),R795,0)*S795</f>
        <v>298.12</v>
      </c>
      <c r="U795" s="61" t="n">
        <f aca="false">T795*INDEX(INPUTS!$H$10:$H$14,MATCH(B795,INPUTS!$A$10:$A$14,0))</f>
        <v>48.29544</v>
      </c>
      <c r="V795" s="61" t="n">
        <f aca="false">N(STACK!K795)</f>
        <v>0</v>
      </c>
      <c r="W795" s="61" t="n">
        <f aca="false">T795+U795+V795</f>
        <v>346.41544</v>
      </c>
      <c r="X795" s="61" t="n">
        <f aca="false">N(STACK!L795)</f>
        <v>0</v>
      </c>
      <c r="Y795" s="61" t="n">
        <f aca="false">W795-X795</f>
        <v>346.41544</v>
      </c>
      <c r="Z795" s="1" t="n">
        <f aca="false">N(STACK!J795)</f>
        <v>0</v>
      </c>
      <c r="AA795" s="1" t="str">
        <f aca="false">TRIM(IF(D795="UNMAPPED","Program not mapped. ","")&amp;IF(OR(K795="UNMAPPED",K795="UNASSIGNED"),"Category needs review. ","")&amp;IF(P795="UNMAPPED","Title not mapped. ","")&amp;IF(AND(P795&lt;&gt;"No staff time",R795=""),"Missing hours. ","")&amp;IF(M795="","Date not readable. ","")&amp;IF(N795="No","Outside fiscal year. ","")&amp;IF(AND(F795="Event",ISNUMBER(R795)),IF(R795&gt;12,"Event hours look high. ",""),"")&amp;IF(G795&gt;0,"See CONFIRM sheet.",""))</f>
        <v/>
      </c>
      <c r="AB795" s="1" t="n">
        <f aca="false">IF(N795="No",0,IF(REVIEW!O795=0,0,IF(G795&gt;0,IF(INDEX(CONFIRM!$J$5:$J$53,G795)&lt;&gt;"",INDEX(CONFIRM!$J$5:$J$53,G795),1),1)))</f>
        <v>1</v>
      </c>
      <c r="AC795" s="1" t="n">
        <f aca="false">IF(AB795=1,IF(COUNTIFS($B$5:B795,B795,$D$5:D795,D795,$AB$5:AB795,1)=1,1,0),0)</f>
        <v>0</v>
      </c>
    </row>
    <row r="796" customFormat="false" ht="15" hidden="false" customHeight="false" outlineLevel="0" collapsed="false">
      <c r="A796" s="48" t="str">
        <f aca="false">STACK!A796</f>
        <v>ASH-0263</v>
      </c>
      <c r="B796" s="48" t="str">
        <f aca="false">STACK!B796</f>
        <v>ASH</v>
      </c>
      <c r="C796" s="48" t="str">
        <f aca="false">STACK!E796</f>
        <v>MH First Aid</v>
      </c>
      <c r="D796" s="1" t="str">
        <f aca="false">IFERROR(INDEX(MAP!$J$7:$J$101,MATCH(TRIM(C796),MAP!$I$7:$I$101,0)),"UNMAPPED")</f>
        <v>Mental Health First Aid Training</v>
      </c>
      <c r="E796" s="1" t="str">
        <f aca="false">IFERROR(INDEX(MAP!$K$7:$K$101,MATCH(TRIM(C796),MAP!$I$7:$I$101,0)),"")</f>
        <v>Behavioral health</v>
      </c>
      <c r="F796" s="1" t="str">
        <f aca="false">IFERROR(INDEX(MAP!$L$7:$L$101,MATCH(TRIM(C796),MAP!$I$7:$I$101,0)),"")</f>
        <v>Event</v>
      </c>
      <c r="G796" s="1" t="n">
        <f aca="false">IFERROR(MATCH(A796,CONFIRM!$A$5:$A$53,0),0)</f>
        <v>0</v>
      </c>
      <c r="H796" s="48" t="str">
        <f aca="false">STACK!F796</f>
        <v>Comm Hlth Ed</v>
      </c>
      <c r="I796" s="1" t="str">
        <f aca="false">IF(G796&gt;0,IF(INDEX(CONFIRM!$I$5:$I$53,G796)&lt;&gt;"",INDEX(CONFIRM!$I$5:$I$53,G796),H796),H796)</f>
        <v>Comm Hlth Ed</v>
      </c>
      <c r="J796" s="1" t="str">
        <f aca="false">IFERROR(INDEX(MAP!$F$7:$F$74,MATCH(TRIM(I796),MAP!$E$7:$E$74,0)),"UNMAPPED")</f>
        <v>Community health education</v>
      </c>
      <c r="K796" s="1" t="str">
        <f aca="false">IFERROR(INDEX(MAP!$G$7:$G$74,MATCH(TRIM(I796),MAP!$E$7:$E$74,0)),"UNMAPPED")</f>
        <v>7e</v>
      </c>
      <c r="L796" s="49" t="str">
        <f aca="false">STACK!G796</f>
        <v>06/09/2026</v>
      </c>
      <c r="M796" s="59" t="n">
        <f aca="false">IF(G796&gt;0,IF(INDEX(CONFIRM!$G$5:$G$53,G796)&lt;&gt;"",INDEX(CONFIRM!$G$5:$G$53,G796),IF(ISNUMBER(L796),L796,IFERROR(DATEVALUE(L796),""))),IF(ISNUMBER(L796),L796,IFERROR(DATEVALUE(L796),"")))</f>
        <v>46182</v>
      </c>
      <c r="N796" s="1" t="str">
        <f aca="false">IF(M796="","Check",IF(AND(M796&gt;=INPUTS!$C$6,M796&lt;=INPUTS!$C$7),"Yes","No"))</f>
        <v>Yes</v>
      </c>
      <c r="O796" s="48" t="str">
        <f aca="false">STACK!H796</f>
        <v>LCSW</v>
      </c>
      <c r="P796" s="1" t="str">
        <f aca="false">IF(G796&gt;0,IF(INDEX(CONFIRM!$H$5:$H$53,G796)&lt;&gt;"",INDEX(CONFIRM!$H$5:$H$53,G796),IFERROR(INDEX(MAP!$B$7:$B$156,MATCH(TRIM(O796),MAP!$A$7:$A$156,0)),"UNMAPPED")),IFERROR(INDEX(MAP!$B$7:$B$156,MATCH(TRIM(O796),MAP!$A$7:$A$156,0)),"UNMAPPED"))</f>
        <v>Social Worker</v>
      </c>
      <c r="Q796" s="48" t="n">
        <f aca="false">STACK!I796</f>
        <v>8</v>
      </c>
      <c r="R796" s="60" t="n">
        <f aca="false">IF(G796&gt;0,IF(INDEX(CONFIRM!$F$5:$F$53,G796)&lt;&gt;"",INDEX(CONFIRM!$F$5:$F$53,G796),IF(ISNUMBER(Q796),Q796,IF(Q796="","",IFERROR(VALUE(TRIM(SUBSTITUTE(SUBSTITUTE(LOWER(Q796),"hrs",""),"hr",""))),"")))),IF(ISNUMBER(Q796),Q796,IF(Q796="","",IFERROR(VALUE(TRIM(SUBSTITUTE(SUBSTITUTE(LOWER(Q796),"hrs",""),"hr",""))),""))))</f>
        <v>8</v>
      </c>
      <c r="S796" s="57" t="n">
        <f aca="false">IFERROR(INDEX(RATES!$E$6:$E$28,MATCH(P796,RATES!$A$6:$A$28,0)),0)</f>
        <v>45.6175</v>
      </c>
      <c r="T796" s="61" t="n">
        <f aca="false">IF(ISNUMBER(R796),R796,0)*S796</f>
        <v>364.94</v>
      </c>
      <c r="U796" s="61" t="n">
        <f aca="false">T796*INDEX(INPUTS!$H$10:$H$14,MATCH(B796,INPUTS!$A$10:$A$14,0))</f>
        <v>59.12028</v>
      </c>
      <c r="V796" s="61" t="n">
        <f aca="false">N(STACK!K796)</f>
        <v>415</v>
      </c>
      <c r="W796" s="61" t="n">
        <f aca="false">T796+U796+V796</f>
        <v>839.06028</v>
      </c>
      <c r="X796" s="61" t="n">
        <f aca="false">N(STACK!L796)</f>
        <v>0</v>
      </c>
      <c r="Y796" s="61" t="n">
        <f aca="false">W796-X796</f>
        <v>839.06028</v>
      </c>
      <c r="Z796" s="1" t="n">
        <f aca="false">N(STACK!J796)</f>
        <v>13</v>
      </c>
      <c r="AA796" s="1" t="str">
        <f aca="false">TRIM(IF(D796="UNMAPPED","Program not mapped. ","")&amp;IF(OR(K796="UNMAPPED",K796="UNASSIGNED"),"Category needs review. ","")&amp;IF(P796="UNMAPPED","Title not mapped. ","")&amp;IF(AND(P796&lt;&gt;"No staff time",R796=""),"Missing hours. ","")&amp;IF(M796="","Date not readable. ","")&amp;IF(N796="No","Outside fiscal year. ","")&amp;IF(AND(F796="Event",ISNUMBER(R796)),IF(R796&gt;12,"Event hours look high. ",""),"")&amp;IF(G796&gt;0,"See CONFIRM sheet.",""))</f>
        <v/>
      </c>
      <c r="AB796" s="1" t="n">
        <f aca="false">IF(N796="No",0,IF(REVIEW!O796=0,0,IF(G796&gt;0,IF(INDEX(CONFIRM!$J$5:$J$53,G796)&lt;&gt;"",INDEX(CONFIRM!$J$5:$J$53,G796),1),1)))</f>
        <v>1</v>
      </c>
      <c r="AC796" s="1" t="n">
        <f aca="false">IF(AB796=1,IF(COUNTIFS($B$5:B796,B796,$D$5:D796,D796,$AB$5:AB796,1)=1,1,0),0)</f>
        <v>0</v>
      </c>
    </row>
    <row r="797" customFormat="false" ht="15" hidden="false" customHeight="false" outlineLevel="0" collapsed="false">
      <c r="A797" s="48" t="str">
        <f aca="false">STACK!A797</f>
        <v>ASH-0264</v>
      </c>
      <c r="B797" s="48" t="str">
        <f aca="false">STACK!B797</f>
        <v>ASH</v>
      </c>
      <c r="C797" s="48" t="str">
        <f aca="false">STACK!E797</f>
        <v>Health Careers Camp</v>
      </c>
      <c r="D797" s="1" t="str">
        <f aca="false">IFERROR(INDEX(MAP!$J$7:$J$101,MATCH(TRIM(C797),MAP!$I$7:$I$101,0)),"UNMAPPED")</f>
        <v>Health Careers Summer Camp</v>
      </c>
      <c r="E797" s="1" t="str">
        <f aca="false">IFERROR(INDEX(MAP!$K$7:$K$101,MATCH(TRIM(C797),MAP!$I$7:$I$101,0)),"")</f>
        <v>Health workforce</v>
      </c>
      <c r="F797" s="1" t="str">
        <f aca="false">IFERROR(INDEX(MAP!$L$7:$L$101,MATCH(TRIM(C797),MAP!$I$7:$I$101,0)),"")</f>
        <v>Event</v>
      </c>
      <c r="G797" s="1" t="n">
        <f aca="false">IFERROR(MATCH(A797,CONFIRM!$A$5:$A$53,0),0)</f>
        <v>0</v>
      </c>
      <c r="H797" s="48" t="str">
        <f aca="false">STACK!F797</f>
        <v>HPE</v>
      </c>
      <c r="I797" s="1" t="str">
        <f aca="false">IF(G797&gt;0,IF(INDEX(CONFIRM!$I$5:$I$53,G797)&lt;&gt;"",INDEX(CONFIRM!$I$5:$I$53,G797),H797),H797)</f>
        <v>HPE</v>
      </c>
      <c r="J797" s="1" t="str">
        <f aca="false">IFERROR(INDEX(MAP!$F$7:$F$74,MATCH(TRIM(I797),MAP!$E$7:$E$74,0)),"UNMAPPED")</f>
        <v>Health professions education</v>
      </c>
      <c r="K797" s="1" t="str">
        <f aca="false">IFERROR(INDEX(MAP!$G$7:$G$74,MATCH(TRIM(I797),MAP!$E$7:$E$74,0)),"UNMAPPED")</f>
        <v>7f</v>
      </c>
      <c r="L797" s="49" t="str">
        <f aca="false">STACK!G797</f>
        <v>06/09/2026</v>
      </c>
      <c r="M797" s="59" t="n">
        <f aca="false">IF(G797&gt;0,IF(INDEX(CONFIRM!$G$5:$G$53,G797)&lt;&gt;"",INDEX(CONFIRM!$G$5:$G$53,G797),IF(ISNUMBER(L797),L797,IFERROR(DATEVALUE(L797),""))),IF(ISNUMBER(L797),L797,IFERROR(DATEVALUE(L797),"")))</f>
        <v>46182</v>
      </c>
      <c r="N797" s="1" t="str">
        <f aca="false">IF(M797="","Check",IF(AND(M797&gt;=INPUTS!$C$6,M797&lt;=INPUTS!$C$7),"Yes","No"))</f>
        <v>Yes</v>
      </c>
      <c r="O797" s="48" t="str">
        <f aca="false">STACK!H797</f>
        <v>Clinical Nurse Educator</v>
      </c>
      <c r="P797" s="1" t="str">
        <f aca="false">IF(G797&gt;0,IF(INDEX(CONFIRM!$H$5:$H$53,G797)&lt;&gt;"",INDEX(CONFIRM!$H$5:$H$53,G797),IFERROR(INDEX(MAP!$B$7:$B$156,MATCH(TRIM(O797),MAP!$A$7:$A$156,0)),"UNMAPPED")),IFERROR(INDEX(MAP!$B$7:$B$156,MATCH(TRIM(O797),MAP!$A$7:$A$156,0)),"UNMAPPED"))</f>
        <v>Clinical Nurse Educator</v>
      </c>
      <c r="Q797" s="48" t="n">
        <f aca="false">STACK!I797</f>
        <v>8</v>
      </c>
      <c r="R797" s="60" t="n">
        <f aca="false">IF(G797&gt;0,IF(INDEX(CONFIRM!$F$5:$F$53,G797)&lt;&gt;"",INDEX(CONFIRM!$F$5:$F$53,G797),IF(ISNUMBER(Q797),Q797,IF(Q797="","",IFERROR(VALUE(TRIM(SUBSTITUTE(SUBSTITUTE(LOWER(Q797),"hrs",""),"hr",""))),"")))),IF(ISNUMBER(Q797),Q797,IF(Q797="","",IFERROR(VALUE(TRIM(SUBSTITUTE(SUBSTITUTE(LOWER(Q797),"hrs",""),"hr",""))),""))))</f>
        <v>8</v>
      </c>
      <c r="S797" s="57" t="n">
        <f aca="false">IFERROR(INDEX(RATES!$E$6:$E$28,MATCH(P797,RATES!$A$6:$A$28,0)),0)</f>
        <v>62.965</v>
      </c>
      <c r="T797" s="61" t="n">
        <f aca="false">IF(ISNUMBER(R797),R797,0)*S797</f>
        <v>503.72</v>
      </c>
      <c r="U797" s="61" t="n">
        <f aca="false">T797*INDEX(INPUTS!$H$10:$H$14,MATCH(B797,INPUTS!$A$10:$A$14,0))</f>
        <v>81.60264</v>
      </c>
      <c r="V797" s="61" t="n">
        <f aca="false">N(STACK!K797)</f>
        <v>750</v>
      </c>
      <c r="W797" s="61" t="n">
        <f aca="false">T797+U797+V797</f>
        <v>1335.32264</v>
      </c>
      <c r="X797" s="61" t="n">
        <f aca="false">N(STACK!L797)</f>
        <v>0</v>
      </c>
      <c r="Y797" s="61" t="n">
        <f aca="false">W797-X797</f>
        <v>1335.32264</v>
      </c>
      <c r="Z797" s="1" t="n">
        <f aca="false">N(STACK!J797)</f>
        <v>24</v>
      </c>
      <c r="AA797" s="1" t="str">
        <f aca="false">TRIM(IF(D797="UNMAPPED","Program not mapped. ","")&amp;IF(OR(K797="UNMAPPED",K797="UNASSIGNED"),"Category needs review. ","")&amp;IF(P797="UNMAPPED","Title not mapped. ","")&amp;IF(AND(P797&lt;&gt;"No staff time",R797=""),"Missing hours. ","")&amp;IF(M797="","Date not readable. ","")&amp;IF(N797="No","Outside fiscal year. ","")&amp;IF(AND(F797="Event",ISNUMBER(R797)),IF(R797&gt;12,"Event hours look high. ",""),"")&amp;IF(G797&gt;0,"See CONFIRM sheet.",""))</f>
        <v/>
      </c>
      <c r="AB797" s="1" t="n">
        <f aca="false">IF(N797="No",0,IF(REVIEW!O797=0,0,IF(G797&gt;0,IF(INDEX(CONFIRM!$J$5:$J$53,G797)&lt;&gt;"",INDEX(CONFIRM!$J$5:$J$53,G797),1),1)))</f>
        <v>1</v>
      </c>
      <c r="AC797" s="1" t="n">
        <f aca="false">IF(AB797=1,IF(COUNTIFS($B$5:B797,B797,$D$5:D797,D797,$AB$5:AB797,1)=1,1,0),0)</f>
        <v>1</v>
      </c>
    </row>
    <row r="798" customFormat="false" ht="15" hidden="false" customHeight="false" outlineLevel="0" collapsed="false">
      <c r="A798" s="48" t="str">
        <f aca="false">STACK!A798</f>
        <v>ASH-0265</v>
      </c>
      <c r="B798" s="48" t="str">
        <f aca="false">STACK!B798</f>
        <v>ASH</v>
      </c>
      <c r="C798" s="48" t="str">
        <f aca="false">STACK!E798</f>
        <v>Health Careers Camp</v>
      </c>
      <c r="D798" s="1" t="str">
        <f aca="false">IFERROR(INDEX(MAP!$J$7:$J$101,MATCH(TRIM(C798),MAP!$I$7:$I$101,0)),"UNMAPPED")</f>
        <v>Health Careers Summer Camp</v>
      </c>
      <c r="E798" s="1" t="str">
        <f aca="false">IFERROR(INDEX(MAP!$K$7:$K$101,MATCH(TRIM(C798),MAP!$I$7:$I$101,0)),"")</f>
        <v>Health workforce</v>
      </c>
      <c r="F798" s="1" t="str">
        <f aca="false">IFERROR(INDEX(MAP!$L$7:$L$101,MATCH(TRIM(C798),MAP!$I$7:$I$101,0)),"")</f>
        <v>Event</v>
      </c>
      <c r="G798" s="1" t="n">
        <f aca="false">IFERROR(MATCH(A798,CONFIRM!$A$5:$A$53,0),0)</f>
        <v>0</v>
      </c>
      <c r="H798" s="48" t="str">
        <f aca="false">STACK!F798</f>
        <v>HPE</v>
      </c>
      <c r="I798" s="1" t="str">
        <f aca="false">IF(G798&gt;0,IF(INDEX(CONFIRM!$I$5:$I$53,G798)&lt;&gt;"",INDEX(CONFIRM!$I$5:$I$53,G798),H798),H798)</f>
        <v>HPE</v>
      </c>
      <c r="J798" s="1" t="str">
        <f aca="false">IFERROR(INDEX(MAP!$F$7:$F$74,MATCH(TRIM(I798),MAP!$E$7:$E$74,0)),"UNMAPPED")</f>
        <v>Health professions education</v>
      </c>
      <c r="K798" s="1" t="str">
        <f aca="false">IFERROR(INDEX(MAP!$G$7:$G$74,MATCH(TRIM(I798),MAP!$E$7:$E$74,0)),"UNMAPPED")</f>
        <v>7f</v>
      </c>
      <c r="L798" s="49" t="str">
        <f aca="false">STACK!G798</f>
        <v>06/09/2026</v>
      </c>
      <c r="M798" s="59" t="n">
        <f aca="false">IF(G798&gt;0,IF(INDEX(CONFIRM!$G$5:$G$53,G798)&lt;&gt;"",INDEX(CONFIRM!$G$5:$G$53,G798),IF(ISNUMBER(L798),L798,IFERROR(DATEVALUE(L798),""))),IF(ISNUMBER(L798),L798,IFERROR(DATEVALUE(L798),"")))</f>
        <v>46182</v>
      </c>
      <c r="N798" s="1" t="str">
        <f aca="false">IF(M798="","Check",IF(AND(M798&gt;=INPUTS!$C$6,M798&lt;=INPUTS!$C$7),"Yes","No"))</f>
        <v>Yes</v>
      </c>
      <c r="O798" s="48" t="str">
        <f aca="false">STACK!H798</f>
        <v>Volunteer Coordinator</v>
      </c>
      <c r="P798" s="1" t="str">
        <f aca="false">IF(G798&gt;0,IF(INDEX(CONFIRM!$H$5:$H$53,G798)&lt;&gt;"",INDEX(CONFIRM!$H$5:$H$53,G798),IFERROR(INDEX(MAP!$B$7:$B$156,MATCH(TRIM(O798),MAP!$A$7:$A$156,0)),"UNMAPPED")),IFERROR(INDEX(MAP!$B$7:$B$156,MATCH(TRIM(O798),MAP!$A$7:$A$156,0)),"UNMAPPED"))</f>
        <v>Program Coordinator</v>
      </c>
      <c r="Q798" s="48" t="n">
        <f aca="false">STACK!I798</f>
        <v>7.75</v>
      </c>
      <c r="R798" s="60" t="n">
        <f aca="false">IF(G798&gt;0,IF(INDEX(CONFIRM!$F$5:$F$53,G798)&lt;&gt;"",INDEX(CONFIRM!$F$5:$F$53,G798),IF(ISNUMBER(Q798),Q798,IF(Q798="","",IFERROR(VALUE(TRIM(SUBSTITUTE(SUBSTITUTE(LOWER(Q798),"hrs",""),"hr",""))),"")))),IF(ISNUMBER(Q798),Q798,IF(Q798="","",IFERROR(VALUE(TRIM(SUBSTITUTE(SUBSTITUTE(LOWER(Q798),"hrs",""),"hr",""))),""))))</f>
        <v>7.75</v>
      </c>
      <c r="S798" s="57" t="n">
        <f aca="false">IFERROR(INDEX(RATES!$E$6:$E$28,MATCH(P798,RATES!$A$6:$A$28,0)),0)</f>
        <v>35.3375</v>
      </c>
      <c r="T798" s="61" t="n">
        <f aca="false">IF(ISNUMBER(R798),R798,0)*S798</f>
        <v>273.865625</v>
      </c>
      <c r="U798" s="61" t="n">
        <f aca="false">T798*INDEX(INPUTS!$H$10:$H$14,MATCH(B798,INPUTS!$A$10:$A$14,0))</f>
        <v>44.36623125</v>
      </c>
      <c r="V798" s="61" t="n">
        <f aca="false">N(STACK!K798)</f>
        <v>0</v>
      </c>
      <c r="W798" s="61" t="n">
        <f aca="false">T798+U798+V798</f>
        <v>318.23185625</v>
      </c>
      <c r="X798" s="61" t="n">
        <f aca="false">N(STACK!L798)</f>
        <v>0</v>
      </c>
      <c r="Y798" s="61" t="n">
        <f aca="false">W798-X798</f>
        <v>318.23185625</v>
      </c>
      <c r="Z798" s="1" t="n">
        <f aca="false">N(STACK!J798)</f>
        <v>0</v>
      </c>
      <c r="AA798" s="1" t="str">
        <f aca="false">TRIM(IF(D798="UNMAPPED","Program not mapped. ","")&amp;IF(OR(K798="UNMAPPED",K798="UNASSIGNED"),"Category needs review. ","")&amp;IF(P798="UNMAPPED","Title not mapped. ","")&amp;IF(AND(P798&lt;&gt;"No staff time",R798=""),"Missing hours. ","")&amp;IF(M798="","Date not readable. ","")&amp;IF(N798="No","Outside fiscal year. ","")&amp;IF(AND(F798="Event",ISNUMBER(R798)),IF(R798&gt;12,"Event hours look high. ",""),"")&amp;IF(G798&gt;0,"See CONFIRM sheet.",""))</f>
        <v/>
      </c>
      <c r="AB798" s="1" t="n">
        <f aca="false">IF(N798="No",0,IF(REVIEW!O798=0,0,IF(G798&gt;0,IF(INDEX(CONFIRM!$J$5:$J$53,G798)&lt;&gt;"",INDEX(CONFIRM!$J$5:$J$53,G798),1),1)))</f>
        <v>1</v>
      </c>
      <c r="AC798" s="1" t="n">
        <f aca="false">IF(AB798=1,IF(COUNTIFS($B$5:B798,B798,$D$5:D798,D798,$AB$5:AB798,1)=1,1,0),0)</f>
        <v>0</v>
      </c>
    </row>
    <row r="799" customFormat="false" ht="15" hidden="false" customHeight="false" outlineLevel="0" collapsed="false">
      <c r="A799" s="48" t="str">
        <f aca="false">STACK!A799</f>
        <v>ASH-0266</v>
      </c>
      <c r="B799" s="48" t="str">
        <f aca="false">STACK!B799</f>
        <v>ASH</v>
      </c>
      <c r="C799" s="48" t="str">
        <f aca="false">STACK!E799</f>
        <v>Housing Partnership</v>
      </c>
      <c r="D799" s="1" t="str">
        <f aca="false">IFERROR(INDEX(MAP!$J$7:$J$101,MATCH(TRIM(C799),MAP!$I$7:$I$101,0)),"UNMAPPED")</f>
        <v>Affordable Housing Partnership</v>
      </c>
      <c r="E799" s="1" t="str">
        <f aca="false">IFERROR(INDEX(MAP!$K$7:$K$101,MATCH(TRIM(C799),MAP!$I$7:$I$101,0)),"")</f>
        <v>Food and housing security</v>
      </c>
      <c r="F799" s="1" t="str">
        <f aca="false">IFERROR(INDEX(MAP!$L$7:$L$101,MATCH(TRIM(C799),MAP!$I$7:$I$101,0)),"")</f>
        <v>Event</v>
      </c>
      <c r="G799" s="1" t="n">
        <f aca="false">IFERROR(MATCH(A799,CONFIRM!$A$5:$A$53,0),0)</f>
        <v>0</v>
      </c>
      <c r="H799" s="48" t="str">
        <f aca="false">STACK!F799</f>
        <v>CB-Housing</v>
      </c>
      <c r="I799" s="1" t="str">
        <f aca="false">IF(G799&gt;0,IF(INDEX(CONFIRM!$I$5:$I$53,G799)&lt;&gt;"",INDEX(CONFIRM!$I$5:$I$53,G799),H799),H799)</f>
        <v>CB-Housing</v>
      </c>
      <c r="J799" s="1" t="str">
        <f aca="false">IFERROR(INDEX(MAP!$F$7:$F$74,MATCH(TRIM(I799),MAP!$E$7:$E$74,0)),"UNMAPPED")</f>
        <v>Community building: physical improvements and housing</v>
      </c>
      <c r="K799" s="1" t="str">
        <f aca="false">IFERROR(INDEX(MAP!$G$7:$G$74,MATCH(TRIM(I799),MAP!$E$7:$E$74,0)),"UNMAPPED")</f>
        <v>II-1</v>
      </c>
      <c r="L799" s="49" t="str">
        <f aca="false">STACK!G799</f>
        <v>06/09/2026</v>
      </c>
      <c r="M799" s="59" t="n">
        <f aca="false">IF(G799&gt;0,IF(INDEX(CONFIRM!$G$5:$G$53,G799)&lt;&gt;"",INDEX(CONFIRM!$G$5:$G$53,G799),IF(ISNUMBER(L799),L799,IFERROR(DATEVALUE(L799),""))),IF(ISNUMBER(L799),L799,IFERROR(DATEVALUE(L799),"")))</f>
        <v>46182</v>
      </c>
      <c r="N799" s="1" t="str">
        <f aca="false">IF(M799="","Check",IF(AND(M799&gt;=INPUTS!$C$6,M799&lt;=INPUTS!$C$7),"Yes","No"))</f>
        <v>Yes</v>
      </c>
      <c r="O799" s="48" t="str">
        <f aca="false">STACK!H799</f>
        <v>Dir.</v>
      </c>
      <c r="P799" s="1" t="str">
        <f aca="false">IF(G799&gt;0,IF(INDEX(CONFIRM!$H$5:$H$53,G799)&lt;&gt;"",INDEX(CONFIRM!$H$5:$H$53,G799),IFERROR(INDEX(MAP!$B$7:$B$156,MATCH(TRIM(O799),MAP!$A$7:$A$156,0)),"UNMAPPED")),IFERROR(INDEX(MAP!$B$7:$B$156,MATCH(TRIM(O799),MAP!$A$7:$A$156,0)),"UNMAPPED"))</f>
        <v>Director</v>
      </c>
      <c r="Q799" s="48" t="n">
        <f aca="false">STACK!I799</f>
        <v>5.25</v>
      </c>
      <c r="R799" s="60" t="n">
        <f aca="false">IF(G799&gt;0,IF(INDEX(CONFIRM!$F$5:$F$53,G799)&lt;&gt;"",INDEX(CONFIRM!$F$5:$F$53,G799),IF(ISNUMBER(Q799),Q799,IF(Q799="","",IFERROR(VALUE(TRIM(SUBSTITUTE(SUBSTITUTE(LOWER(Q799),"hrs",""),"hr",""))),"")))),IF(ISNUMBER(Q799),Q799,IF(Q799="","",IFERROR(VALUE(TRIM(SUBSTITUTE(SUBSTITUTE(LOWER(Q799),"hrs",""),"hr",""))),""))))</f>
        <v>5.25</v>
      </c>
      <c r="S799" s="57" t="n">
        <f aca="false">IFERROR(INDEX(RATES!$E$6:$E$28,MATCH(P799,RATES!$A$6:$A$28,0)),0)</f>
        <v>92.52</v>
      </c>
      <c r="T799" s="61" t="n">
        <f aca="false">IF(ISNUMBER(R799),R799,0)*S799</f>
        <v>485.73</v>
      </c>
      <c r="U799" s="61" t="n">
        <f aca="false">T799*INDEX(INPUTS!$H$10:$H$14,MATCH(B799,INPUTS!$A$10:$A$14,0))</f>
        <v>78.68826</v>
      </c>
      <c r="V799" s="61" t="n">
        <f aca="false">N(STACK!K799)</f>
        <v>60240</v>
      </c>
      <c r="W799" s="61" t="n">
        <f aca="false">T799+U799+V799</f>
        <v>60804.41826</v>
      </c>
      <c r="X799" s="61" t="n">
        <f aca="false">N(STACK!L799)</f>
        <v>0</v>
      </c>
      <c r="Y799" s="61" t="n">
        <f aca="false">W799-X799</f>
        <v>60804.41826</v>
      </c>
      <c r="Z799" s="1" t="n">
        <f aca="false">N(STACK!J799)</f>
        <v>0</v>
      </c>
      <c r="AA799" s="1" t="str">
        <f aca="false">TRIM(IF(D799="UNMAPPED","Program not mapped. ","")&amp;IF(OR(K799="UNMAPPED",K799="UNASSIGNED"),"Category needs review. ","")&amp;IF(P799="UNMAPPED","Title not mapped. ","")&amp;IF(AND(P799&lt;&gt;"No staff time",R799=""),"Missing hours. ","")&amp;IF(M799="","Date not readable. ","")&amp;IF(N799="No","Outside fiscal year. ","")&amp;IF(AND(F799="Event",ISNUMBER(R799)),IF(R799&gt;12,"Event hours look high. ",""),"")&amp;IF(G799&gt;0,"See CONFIRM sheet.",""))</f>
        <v/>
      </c>
      <c r="AB799" s="1" t="n">
        <f aca="false">IF(N799="No",0,IF(REVIEW!O799=0,0,IF(G799&gt;0,IF(INDEX(CONFIRM!$J$5:$J$53,G799)&lt;&gt;"",INDEX(CONFIRM!$J$5:$J$53,G799),1),1)))</f>
        <v>1</v>
      </c>
      <c r="AC799" s="1" t="n">
        <f aca="false">IF(AB799=1,IF(COUNTIFS($B$5:B799,B799,$D$5:D799,D799,$AB$5:AB799,1)=1,1,0),0)</f>
        <v>0</v>
      </c>
    </row>
    <row r="800" customFormat="false" ht="15" hidden="false" customHeight="false" outlineLevel="0" collapsed="false">
      <c r="A800" s="48" t="str">
        <f aca="false">STACK!A800</f>
        <v>ASH-0267</v>
      </c>
      <c r="B800" s="48" t="str">
        <f aca="false">STACK!B800</f>
        <v>ASH</v>
      </c>
      <c r="C800" s="48" t="str">
        <f aca="false">STACK!E800</f>
        <v>Housing Partnership</v>
      </c>
      <c r="D800" s="1" t="str">
        <f aca="false">IFERROR(INDEX(MAP!$J$7:$J$101,MATCH(TRIM(C800),MAP!$I$7:$I$101,0)),"UNMAPPED")</f>
        <v>Affordable Housing Partnership</v>
      </c>
      <c r="E800" s="1" t="str">
        <f aca="false">IFERROR(INDEX(MAP!$K$7:$K$101,MATCH(TRIM(C800),MAP!$I$7:$I$101,0)),"")</f>
        <v>Food and housing security</v>
      </c>
      <c r="F800" s="1" t="str">
        <f aca="false">IFERROR(INDEX(MAP!$L$7:$L$101,MATCH(TRIM(C800),MAP!$I$7:$I$101,0)),"")</f>
        <v>Event</v>
      </c>
      <c r="G800" s="1" t="n">
        <f aca="false">IFERROR(MATCH(A800,CONFIRM!$A$5:$A$53,0),0)</f>
        <v>0</v>
      </c>
      <c r="H800" s="48" t="str">
        <f aca="false">STACK!F800</f>
        <v>CB-Housing</v>
      </c>
      <c r="I800" s="1" t="str">
        <f aca="false">IF(G800&gt;0,IF(INDEX(CONFIRM!$I$5:$I$53,G800)&lt;&gt;"",INDEX(CONFIRM!$I$5:$I$53,G800),H800),H800)</f>
        <v>CB-Housing</v>
      </c>
      <c r="J800" s="1" t="str">
        <f aca="false">IFERROR(INDEX(MAP!$F$7:$F$74,MATCH(TRIM(I800),MAP!$E$7:$E$74,0)),"UNMAPPED")</f>
        <v>Community building: physical improvements and housing</v>
      </c>
      <c r="K800" s="1" t="str">
        <f aca="false">IFERROR(INDEX(MAP!$G$7:$G$74,MATCH(TRIM(I800),MAP!$E$7:$E$74,0)),"UNMAPPED")</f>
        <v>II-1</v>
      </c>
      <c r="L800" s="49" t="str">
        <f aca="false">STACK!G800</f>
        <v>06/09/2026</v>
      </c>
      <c r="M800" s="59" t="n">
        <f aca="false">IF(G800&gt;0,IF(INDEX(CONFIRM!$G$5:$G$53,G800)&lt;&gt;"",INDEX(CONFIRM!$G$5:$G$53,G800),IF(ISNUMBER(L800),L800,IFERROR(DATEVALUE(L800),""))),IF(ISNUMBER(L800),L800,IFERROR(DATEVALUE(L800),"")))</f>
        <v>46182</v>
      </c>
      <c r="N800" s="1" t="str">
        <f aca="false">IF(M800="","Check",IF(AND(M800&gt;=INPUTS!$C$6,M800&lt;=INPUTS!$C$7),"Yes","No"))</f>
        <v>Yes</v>
      </c>
      <c r="O800" s="48" t="str">
        <f aca="false">STACK!H800</f>
        <v>Residency Coordinator</v>
      </c>
      <c r="P800" s="1" t="str">
        <f aca="false">IF(G800&gt;0,IF(INDEX(CONFIRM!$H$5:$H$53,G800)&lt;&gt;"",INDEX(CONFIRM!$H$5:$H$53,G800),IFERROR(INDEX(MAP!$B$7:$B$156,MATCH(TRIM(O800),MAP!$A$7:$A$156,0)),"UNMAPPED")),IFERROR(INDEX(MAP!$B$7:$B$156,MATCH(TRIM(O800),MAP!$A$7:$A$156,0)),"UNMAPPED"))</f>
        <v>Program Coordinator</v>
      </c>
      <c r="Q800" s="48" t="n">
        <f aca="false">STACK!I800</f>
        <v>9.25</v>
      </c>
      <c r="R800" s="60" t="n">
        <f aca="false">IF(G800&gt;0,IF(INDEX(CONFIRM!$F$5:$F$53,G800)&lt;&gt;"",INDEX(CONFIRM!$F$5:$F$53,G800),IF(ISNUMBER(Q800),Q800,IF(Q800="","",IFERROR(VALUE(TRIM(SUBSTITUTE(SUBSTITUTE(LOWER(Q800),"hrs",""),"hr",""))),"")))),IF(ISNUMBER(Q800),Q800,IF(Q800="","",IFERROR(VALUE(TRIM(SUBSTITUTE(SUBSTITUTE(LOWER(Q800),"hrs",""),"hr",""))),""))))</f>
        <v>9.25</v>
      </c>
      <c r="S800" s="57" t="n">
        <f aca="false">IFERROR(INDEX(RATES!$E$6:$E$28,MATCH(P800,RATES!$A$6:$A$28,0)),0)</f>
        <v>35.3375</v>
      </c>
      <c r="T800" s="61" t="n">
        <f aca="false">IF(ISNUMBER(R800),R800,0)*S800</f>
        <v>326.871875</v>
      </c>
      <c r="U800" s="61" t="n">
        <f aca="false">T800*INDEX(INPUTS!$H$10:$H$14,MATCH(B800,INPUTS!$A$10:$A$14,0))</f>
        <v>52.95324375</v>
      </c>
      <c r="V800" s="61" t="n">
        <f aca="false">N(STACK!K800)</f>
        <v>0</v>
      </c>
      <c r="W800" s="61" t="n">
        <f aca="false">T800+U800+V800</f>
        <v>379.82511875</v>
      </c>
      <c r="X800" s="61" t="n">
        <f aca="false">N(STACK!L800)</f>
        <v>0</v>
      </c>
      <c r="Y800" s="61" t="n">
        <f aca="false">W800-X800</f>
        <v>379.82511875</v>
      </c>
      <c r="Z800" s="1" t="n">
        <f aca="false">N(STACK!J800)</f>
        <v>0</v>
      </c>
      <c r="AA800" s="1" t="str">
        <f aca="false">TRIM(IF(D800="UNMAPPED","Program not mapped. ","")&amp;IF(OR(K800="UNMAPPED",K800="UNASSIGNED"),"Category needs review. ","")&amp;IF(P800="UNMAPPED","Title not mapped. ","")&amp;IF(AND(P800&lt;&gt;"No staff time",R800=""),"Missing hours. ","")&amp;IF(M800="","Date not readable. ","")&amp;IF(N800="No","Outside fiscal year. ","")&amp;IF(AND(F800="Event",ISNUMBER(R800)),IF(R800&gt;12,"Event hours look high. ",""),"")&amp;IF(G800&gt;0,"See CONFIRM sheet.",""))</f>
        <v/>
      </c>
      <c r="AB800" s="1" t="n">
        <f aca="false">IF(N800="No",0,IF(REVIEW!O800=0,0,IF(G800&gt;0,IF(INDEX(CONFIRM!$J$5:$J$53,G800)&lt;&gt;"",INDEX(CONFIRM!$J$5:$J$53,G800),1),1)))</f>
        <v>1</v>
      </c>
      <c r="AC800" s="1" t="n">
        <f aca="false">IF(AB800=1,IF(COUNTIFS($B$5:B800,B800,$D$5:D800,D800,$AB$5:AB800,1)=1,1,0),0)</f>
        <v>0</v>
      </c>
    </row>
    <row r="801" customFormat="false" ht="15" hidden="false" customHeight="false" outlineLevel="0" collapsed="false">
      <c r="A801" s="48" t="str">
        <f aca="false">STACK!A801</f>
        <v>ASH-0268</v>
      </c>
      <c r="B801" s="48" t="str">
        <f aca="false">STACK!B801</f>
        <v>ASH</v>
      </c>
      <c r="C801" s="48" t="str">
        <f aca="false">STACK!E801</f>
        <v>Grief Support</v>
      </c>
      <c r="D801" s="1" t="str">
        <f aca="false">IFERROR(INDEX(MAP!$J$7:$J$101,MATCH(TRIM(C801),MAP!$I$7:$I$101,0)),"UNMAPPED")</f>
        <v>Grief Support Group</v>
      </c>
      <c r="E801" s="1" t="str">
        <f aca="false">IFERROR(INDEX(MAP!$K$7:$K$101,MATCH(TRIM(C801),MAP!$I$7:$I$101,0)),"")</f>
        <v>Behavioral health</v>
      </c>
      <c r="F801" s="1" t="str">
        <f aca="false">IFERROR(INDEX(MAP!$L$7:$L$101,MATCH(TRIM(C801),MAP!$I$7:$I$101,0)),"")</f>
        <v>Event</v>
      </c>
      <c r="G801" s="1" t="n">
        <f aca="false">IFERROR(MATCH(A801,CONFIRM!$A$5:$A$53,0),0)</f>
        <v>0</v>
      </c>
      <c r="H801" s="48" t="str">
        <f aca="false">STACK!F801</f>
        <v>Support Svcs</v>
      </c>
      <c r="I801" s="1" t="str">
        <f aca="false">IF(G801&gt;0,IF(INDEX(CONFIRM!$I$5:$I$53,G801)&lt;&gt;"",INDEX(CONFIRM!$I$5:$I$53,G801),H801),H801)</f>
        <v>Support Svcs</v>
      </c>
      <c r="J801" s="1" t="str">
        <f aca="false">IFERROR(INDEX(MAP!$F$7:$F$74,MATCH(TRIM(I801),MAP!$E$7:$E$74,0)),"UNMAPPED")</f>
        <v>Health care support services</v>
      </c>
      <c r="K801" s="1" t="str">
        <f aca="false">IFERROR(INDEX(MAP!$G$7:$G$74,MATCH(TRIM(I801),MAP!$E$7:$E$74,0)),"UNMAPPED")</f>
        <v>7e</v>
      </c>
      <c r="L801" s="49" t="str">
        <f aca="false">STACK!G801</f>
        <v>06/11/2026</v>
      </c>
      <c r="M801" s="59" t="n">
        <f aca="false">IF(G801&gt;0,IF(INDEX(CONFIRM!$G$5:$G$53,G801)&lt;&gt;"",INDEX(CONFIRM!$G$5:$G$53,G801),IF(ISNUMBER(L801),L801,IFERROR(DATEVALUE(L801),""))),IF(ISNUMBER(L801),L801,IFERROR(DATEVALUE(L801),"")))</f>
        <v>46184</v>
      </c>
      <c r="N801" s="1" t="str">
        <f aca="false">IF(M801="","Check",IF(AND(M801&gt;=INPUTS!$C$6,M801&lt;=INPUTS!$C$7),"Yes","No"))</f>
        <v>Yes</v>
      </c>
      <c r="O801" s="48" t="str">
        <f aca="false">STACK!H801</f>
        <v>Chaplain</v>
      </c>
      <c r="P801" s="1" t="str">
        <f aca="false">IF(G801&gt;0,IF(INDEX(CONFIRM!$H$5:$H$53,G801)&lt;&gt;"",INDEX(CONFIRM!$H$5:$H$53,G801),IFERROR(INDEX(MAP!$B$7:$B$156,MATCH(TRIM(O801),MAP!$A$7:$A$156,0)),"UNMAPPED")),IFERROR(INDEX(MAP!$B$7:$B$156,MATCH(TRIM(O801),MAP!$A$7:$A$156,0)),"UNMAPPED"))</f>
        <v>Chaplain</v>
      </c>
      <c r="Q801" s="48" t="n">
        <f aca="false">STACK!I801</f>
        <v>2.25</v>
      </c>
      <c r="R801" s="60" t="n">
        <f aca="false">IF(G801&gt;0,IF(INDEX(CONFIRM!$F$5:$F$53,G801)&lt;&gt;"",INDEX(CONFIRM!$F$5:$F$53,G801),IF(ISNUMBER(Q801),Q801,IF(Q801="","",IFERROR(VALUE(TRIM(SUBSTITUTE(SUBSTITUTE(LOWER(Q801),"hrs",""),"hr",""))),"")))),IF(ISNUMBER(Q801),Q801,IF(Q801="","",IFERROR(VALUE(TRIM(SUBSTITUTE(SUBSTITUTE(LOWER(Q801),"hrs",""),"hr",""))),""))))</f>
        <v>2.25</v>
      </c>
      <c r="S801" s="57" t="n">
        <f aca="false">IFERROR(INDEX(RATES!$E$6:$E$28,MATCH(P801,RATES!$A$6:$A$28,0)),0)</f>
        <v>39.835</v>
      </c>
      <c r="T801" s="61" t="n">
        <f aca="false">IF(ISNUMBER(R801),R801,0)*S801</f>
        <v>89.62875</v>
      </c>
      <c r="U801" s="61" t="n">
        <f aca="false">T801*INDEX(INPUTS!$H$10:$H$14,MATCH(B801,INPUTS!$A$10:$A$14,0))</f>
        <v>14.5198575</v>
      </c>
      <c r="V801" s="61" t="n">
        <f aca="false">N(STACK!K801)</f>
        <v>25</v>
      </c>
      <c r="W801" s="61" t="n">
        <f aca="false">T801+U801+V801</f>
        <v>129.1486075</v>
      </c>
      <c r="X801" s="61" t="n">
        <f aca="false">N(STACK!L801)</f>
        <v>0</v>
      </c>
      <c r="Y801" s="61" t="n">
        <f aca="false">W801-X801</f>
        <v>129.1486075</v>
      </c>
      <c r="Z801" s="1" t="n">
        <f aca="false">N(STACK!J801)</f>
        <v>12</v>
      </c>
      <c r="AA801" s="1" t="str">
        <f aca="false">TRIM(IF(D801="UNMAPPED","Program not mapped. ","")&amp;IF(OR(K801="UNMAPPED",K801="UNASSIGNED"),"Category needs review. ","")&amp;IF(P801="UNMAPPED","Title not mapped. ","")&amp;IF(AND(P801&lt;&gt;"No staff time",R801=""),"Missing hours. ","")&amp;IF(M801="","Date not readable. ","")&amp;IF(N801="No","Outside fiscal year. ","")&amp;IF(AND(F801="Event",ISNUMBER(R801)),IF(R801&gt;12,"Event hours look high. ",""),"")&amp;IF(G801&gt;0,"See CONFIRM sheet.",""))</f>
        <v/>
      </c>
      <c r="AB801" s="1" t="n">
        <f aca="false">IF(N801="No",0,IF(REVIEW!O801=0,0,IF(G801&gt;0,IF(INDEX(CONFIRM!$J$5:$J$53,G801)&lt;&gt;"",INDEX(CONFIRM!$J$5:$J$53,G801),1),1)))</f>
        <v>1</v>
      </c>
      <c r="AC801" s="1" t="n">
        <f aca="false">IF(AB801=1,IF(COUNTIFS($B$5:B801,B801,$D$5:D801,D801,$AB$5:AB801,1)=1,1,0),0)</f>
        <v>0</v>
      </c>
    </row>
    <row r="802" customFormat="false" ht="15" hidden="false" customHeight="false" outlineLevel="0" collapsed="false">
      <c r="A802" s="48" t="str">
        <f aca="false">STACK!A802</f>
        <v>ASH-0269</v>
      </c>
      <c r="B802" s="48" t="str">
        <f aca="false">STACK!B802</f>
        <v>ASH</v>
      </c>
      <c r="C802" s="48" t="str">
        <f aca="false">STACK!E802</f>
        <v>Grief Support</v>
      </c>
      <c r="D802" s="1" t="str">
        <f aca="false">IFERROR(INDEX(MAP!$J$7:$J$101,MATCH(TRIM(C802),MAP!$I$7:$I$101,0)),"UNMAPPED")</f>
        <v>Grief Support Group</v>
      </c>
      <c r="E802" s="1" t="str">
        <f aca="false">IFERROR(INDEX(MAP!$K$7:$K$101,MATCH(TRIM(C802),MAP!$I$7:$I$101,0)),"")</f>
        <v>Behavioral health</v>
      </c>
      <c r="F802" s="1" t="str">
        <f aca="false">IFERROR(INDEX(MAP!$L$7:$L$101,MATCH(TRIM(C802),MAP!$I$7:$I$101,0)),"")</f>
        <v>Event</v>
      </c>
      <c r="G802" s="1" t="n">
        <f aca="false">IFERROR(MATCH(A802,CONFIRM!$A$5:$A$53,0),0)</f>
        <v>0</v>
      </c>
      <c r="H802" s="48" t="str">
        <f aca="false">STACK!F802</f>
        <v>Support Svcs</v>
      </c>
      <c r="I802" s="1" t="str">
        <f aca="false">IF(G802&gt;0,IF(INDEX(CONFIRM!$I$5:$I$53,G802)&lt;&gt;"",INDEX(CONFIRM!$I$5:$I$53,G802),H802),H802)</f>
        <v>Support Svcs</v>
      </c>
      <c r="J802" s="1" t="str">
        <f aca="false">IFERROR(INDEX(MAP!$F$7:$F$74,MATCH(TRIM(I802),MAP!$E$7:$E$74,0)),"UNMAPPED")</f>
        <v>Health care support services</v>
      </c>
      <c r="K802" s="1" t="str">
        <f aca="false">IFERROR(INDEX(MAP!$G$7:$G$74,MATCH(TRIM(I802),MAP!$E$7:$E$74,0)),"UNMAPPED")</f>
        <v>7e</v>
      </c>
      <c r="L802" s="49" t="str">
        <f aca="false">STACK!G802</f>
        <v>06/11/2026</v>
      </c>
      <c r="M802" s="59" t="n">
        <f aca="false">IF(G802&gt;0,IF(INDEX(CONFIRM!$G$5:$G$53,G802)&lt;&gt;"",INDEX(CONFIRM!$G$5:$G$53,G802),IF(ISNUMBER(L802),L802,IFERROR(DATEVALUE(L802),""))),IF(ISNUMBER(L802),L802,IFERROR(DATEVALUE(L802),"")))</f>
        <v>46184</v>
      </c>
      <c r="N802" s="1" t="str">
        <f aca="false">IF(M802="","Check",IF(AND(M802&gt;=INPUTS!$C$6,M802&lt;=INPUTS!$C$7),"Yes","No"))</f>
        <v>Yes</v>
      </c>
      <c r="O802" s="48" t="str">
        <f aca="false">STACK!H802</f>
        <v>LCSW</v>
      </c>
      <c r="P802" s="1" t="str">
        <f aca="false">IF(G802&gt;0,IF(INDEX(CONFIRM!$H$5:$H$53,G802)&lt;&gt;"",INDEX(CONFIRM!$H$5:$H$53,G802),IFERROR(INDEX(MAP!$B$7:$B$156,MATCH(TRIM(O802),MAP!$A$7:$A$156,0)),"UNMAPPED")),IFERROR(INDEX(MAP!$B$7:$B$156,MATCH(TRIM(O802),MAP!$A$7:$A$156,0)),"UNMAPPED"))</f>
        <v>Social Worker</v>
      </c>
      <c r="Q802" s="48" t="n">
        <f aca="false">STACK!I802</f>
        <v>1.75</v>
      </c>
      <c r="R802" s="60" t="n">
        <f aca="false">IF(G802&gt;0,IF(INDEX(CONFIRM!$F$5:$F$53,G802)&lt;&gt;"",INDEX(CONFIRM!$F$5:$F$53,G802),IF(ISNUMBER(Q802),Q802,IF(Q802="","",IFERROR(VALUE(TRIM(SUBSTITUTE(SUBSTITUTE(LOWER(Q802),"hrs",""),"hr",""))),"")))),IF(ISNUMBER(Q802),Q802,IF(Q802="","",IFERROR(VALUE(TRIM(SUBSTITUTE(SUBSTITUTE(LOWER(Q802),"hrs",""),"hr",""))),""))))</f>
        <v>1.75</v>
      </c>
      <c r="S802" s="57" t="n">
        <f aca="false">IFERROR(INDEX(RATES!$E$6:$E$28,MATCH(P802,RATES!$A$6:$A$28,0)),0)</f>
        <v>45.6175</v>
      </c>
      <c r="T802" s="61" t="n">
        <f aca="false">IF(ISNUMBER(R802),R802,0)*S802</f>
        <v>79.830625</v>
      </c>
      <c r="U802" s="61" t="n">
        <f aca="false">T802*INDEX(INPUTS!$H$10:$H$14,MATCH(B802,INPUTS!$A$10:$A$14,0))</f>
        <v>12.93256125</v>
      </c>
      <c r="V802" s="61" t="n">
        <f aca="false">N(STACK!K802)</f>
        <v>0</v>
      </c>
      <c r="W802" s="61" t="n">
        <f aca="false">T802+U802+V802</f>
        <v>92.76318625</v>
      </c>
      <c r="X802" s="61" t="n">
        <f aca="false">N(STACK!L802)</f>
        <v>0</v>
      </c>
      <c r="Y802" s="61" t="n">
        <f aca="false">W802-X802</f>
        <v>92.76318625</v>
      </c>
      <c r="Z802" s="1" t="n">
        <f aca="false">N(STACK!J802)</f>
        <v>0</v>
      </c>
      <c r="AA802" s="1" t="str">
        <f aca="false">TRIM(IF(D802="UNMAPPED","Program not mapped. ","")&amp;IF(OR(K802="UNMAPPED",K802="UNASSIGNED"),"Category needs review. ","")&amp;IF(P802="UNMAPPED","Title not mapped. ","")&amp;IF(AND(P802&lt;&gt;"No staff time",R802=""),"Missing hours. ","")&amp;IF(M802="","Date not readable. ","")&amp;IF(N802="No","Outside fiscal year. ","")&amp;IF(AND(F802="Event",ISNUMBER(R802)),IF(R802&gt;12,"Event hours look high. ",""),"")&amp;IF(G802&gt;0,"See CONFIRM sheet.",""))</f>
        <v/>
      </c>
      <c r="AB802" s="1" t="n">
        <f aca="false">IF(N802="No",0,IF(REVIEW!O802=0,0,IF(G802&gt;0,IF(INDEX(CONFIRM!$J$5:$J$53,G802)&lt;&gt;"",INDEX(CONFIRM!$J$5:$J$53,G802),1),1)))</f>
        <v>1</v>
      </c>
      <c r="AC802" s="1" t="n">
        <f aca="false">IF(AB802=1,IF(COUNTIFS($B$5:B802,B802,$D$5:D802,D802,$AB$5:AB802,1)=1,1,0),0)</f>
        <v>0</v>
      </c>
    </row>
    <row r="803" customFormat="false" ht="15" hidden="false" customHeight="false" outlineLevel="0" collapsed="false">
      <c r="A803" s="48" t="str">
        <f aca="false">STACK!A803</f>
        <v>ASH-0270</v>
      </c>
      <c r="B803" s="48" t="str">
        <f aca="false">STACK!B803</f>
        <v>ASH</v>
      </c>
      <c r="C803" s="48" t="str">
        <f aca="false">STACK!E803</f>
        <v>Health Careers Camp</v>
      </c>
      <c r="D803" s="1" t="str">
        <f aca="false">IFERROR(INDEX(MAP!$J$7:$J$101,MATCH(TRIM(C803),MAP!$I$7:$I$101,0)),"UNMAPPED")</f>
        <v>Health Careers Summer Camp</v>
      </c>
      <c r="E803" s="1" t="str">
        <f aca="false">IFERROR(INDEX(MAP!$K$7:$K$101,MATCH(TRIM(C803),MAP!$I$7:$I$101,0)),"")</f>
        <v>Health workforce</v>
      </c>
      <c r="F803" s="1" t="str">
        <f aca="false">IFERROR(INDEX(MAP!$L$7:$L$101,MATCH(TRIM(C803),MAP!$I$7:$I$101,0)),"")</f>
        <v>Event</v>
      </c>
      <c r="G803" s="1" t="n">
        <f aca="false">IFERROR(MATCH(A803,CONFIRM!$A$5:$A$53,0),0)</f>
        <v>0</v>
      </c>
      <c r="H803" s="48" t="str">
        <f aca="false">STACK!F803</f>
        <v>HPE</v>
      </c>
      <c r="I803" s="1" t="str">
        <f aca="false">IF(G803&gt;0,IF(INDEX(CONFIRM!$I$5:$I$53,G803)&lt;&gt;"",INDEX(CONFIRM!$I$5:$I$53,G803),H803),H803)</f>
        <v>HPE</v>
      </c>
      <c r="J803" s="1" t="str">
        <f aca="false">IFERROR(INDEX(MAP!$F$7:$F$74,MATCH(TRIM(I803),MAP!$E$7:$E$74,0)),"UNMAPPED")</f>
        <v>Health professions education</v>
      </c>
      <c r="K803" s="1" t="str">
        <f aca="false">IFERROR(INDEX(MAP!$G$7:$G$74,MATCH(TRIM(I803),MAP!$E$7:$E$74,0)),"UNMAPPED")</f>
        <v>7f</v>
      </c>
      <c r="L803" s="49" t="str">
        <f aca="false">STACK!G803</f>
        <v>06/11/2026</v>
      </c>
      <c r="M803" s="59" t="n">
        <f aca="false">IF(G803&gt;0,IF(INDEX(CONFIRM!$G$5:$G$53,G803)&lt;&gt;"",INDEX(CONFIRM!$G$5:$G$53,G803),IF(ISNUMBER(L803),L803,IFERROR(DATEVALUE(L803),""))),IF(ISNUMBER(L803),L803,IFERROR(DATEVALUE(L803),"")))</f>
        <v>46184</v>
      </c>
      <c r="N803" s="1" t="str">
        <f aca="false">IF(M803="","Check",IF(AND(M803&gt;=INPUTS!$C$6,M803&lt;=INPUTS!$C$7),"Yes","No"))</f>
        <v>Yes</v>
      </c>
      <c r="O803" s="48" t="str">
        <f aca="false">STACK!H803</f>
        <v>Nurse Educator </v>
      </c>
      <c r="P803" s="1" t="str">
        <f aca="false">IF(G803&gt;0,IF(INDEX(CONFIRM!$H$5:$H$53,G803)&lt;&gt;"",INDEX(CONFIRM!$H$5:$H$53,G803),IFERROR(INDEX(MAP!$B$7:$B$156,MATCH(TRIM(O803),MAP!$A$7:$A$156,0)),"UNMAPPED")),IFERROR(INDEX(MAP!$B$7:$B$156,MATCH(TRIM(O803),MAP!$A$7:$A$156,0)),"UNMAPPED"))</f>
        <v>Clinical Nurse Educator</v>
      </c>
      <c r="Q803" s="48" t="n">
        <f aca="false">STACK!I803</f>
        <v>7.75</v>
      </c>
      <c r="R803" s="60" t="n">
        <f aca="false">IF(G803&gt;0,IF(INDEX(CONFIRM!$F$5:$F$53,G803)&lt;&gt;"",INDEX(CONFIRM!$F$5:$F$53,G803),IF(ISNUMBER(Q803),Q803,IF(Q803="","",IFERROR(VALUE(TRIM(SUBSTITUTE(SUBSTITUTE(LOWER(Q803),"hrs",""),"hr",""))),"")))),IF(ISNUMBER(Q803),Q803,IF(Q803="","",IFERROR(VALUE(TRIM(SUBSTITUTE(SUBSTITUTE(LOWER(Q803),"hrs",""),"hr",""))),""))))</f>
        <v>7.75</v>
      </c>
      <c r="S803" s="57" t="n">
        <f aca="false">IFERROR(INDEX(RATES!$E$6:$E$28,MATCH(P803,RATES!$A$6:$A$28,0)),0)</f>
        <v>62.965</v>
      </c>
      <c r="T803" s="61" t="n">
        <f aca="false">IF(ISNUMBER(R803),R803,0)*S803</f>
        <v>487.97875</v>
      </c>
      <c r="U803" s="61" t="n">
        <f aca="false">T803*INDEX(INPUTS!$H$10:$H$14,MATCH(B803,INPUTS!$A$10:$A$14,0))</f>
        <v>79.0525575</v>
      </c>
      <c r="V803" s="61" t="n">
        <f aca="false">N(STACK!K803)</f>
        <v>1185</v>
      </c>
      <c r="W803" s="61" t="n">
        <f aca="false">T803+U803+V803</f>
        <v>1752.0313075</v>
      </c>
      <c r="X803" s="61" t="n">
        <f aca="false">N(STACK!L803)</f>
        <v>0</v>
      </c>
      <c r="Y803" s="61" t="n">
        <f aca="false">W803-X803</f>
        <v>1752.0313075</v>
      </c>
      <c r="Z803" s="1" t="n">
        <f aca="false">N(STACK!J803)</f>
        <v>25</v>
      </c>
      <c r="AA803" s="1" t="str">
        <f aca="false">TRIM(IF(D803="UNMAPPED","Program not mapped. ","")&amp;IF(OR(K803="UNMAPPED",K803="UNASSIGNED"),"Category needs review. ","")&amp;IF(P803="UNMAPPED","Title not mapped. ","")&amp;IF(AND(P803&lt;&gt;"No staff time",R803=""),"Missing hours. ","")&amp;IF(M803="","Date not readable. ","")&amp;IF(N803="No","Outside fiscal year. ","")&amp;IF(AND(F803="Event",ISNUMBER(R803)),IF(R803&gt;12,"Event hours look high. ",""),"")&amp;IF(G803&gt;0,"See CONFIRM sheet.",""))</f>
        <v/>
      </c>
      <c r="AB803" s="1" t="n">
        <f aca="false">IF(N803="No",0,IF(REVIEW!O803=0,0,IF(G803&gt;0,IF(INDEX(CONFIRM!$J$5:$J$53,G803)&lt;&gt;"",INDEX(CONFIRM!$J$5:$J$53,G803),1),1)))</f>
        <v>1</v>
      </c>
      <c r="AC803" s="1" t="n">
        <f aca="false">IF(AB803=1,IF(COUNTIFS($B$5:B803,B803,$D$5:D803,D803,$AB$5:AB803,1)=1,1,0),0)</f>
        <v>0</v>
      </c>
    </row>
    <row r="804" customFormat="false" ht="15" hidden="false" customHeight="false" outlineLevel="0" collapsed="false">
      <c r="A804" s="48" t="str">
        <f aca="false">STACK!A804</f>
        <v>ASH-0271</v>
      </c>
      <c r="B804" s="48" t="str">
        <f aca="false">STACK!B804</f>
        <v>ASH</v>
      </c>
      <c r="C804" s="48" t="str">
        <f aca="false">STACK!E804</f>
        <v>Health Careers Camp</v>
      </c>
      <c r="D804" s="1" t="str">
        <f aca="false">IFERROR(INDEX(MAP!$J$7:$J$101,MATCH(TRIM(C804),MAP!$I$7:$I$101,0)),"UNMAPPED")</f>
        <v>Health Careers Summer Camp</v>
      </c>
      <c r="E804" s="1" t="str">
        <f aca="false">IFERROR(INDEX(MAP!$K$7:$K$101,MATCH(TRIM(C804),MAP!$I$7:$I$101,0)),"")</f>
        <v>Health workforce</v>
      </c>
      <c r="F804" s="1" t="str">
        <f aca="false">IFERROR(INDEX(MAP!$L$7:$L$101,MATCH(TRIM(C804),MAP!$I$7:$I$101,0)),"")</f>
        <v>Event</v>
      </c>
      <c r="G804" s="1" t="n">
        <f aca="false">IFERROR(MATCH(A804,CONFIRM!$A$5:$A$53,0),0)</f>
        <v>0</v>
      </c>
      <c r="H804" s="48" t="str">
        <f aca="false">STACK!F804</f>
        <v>HPE</v>
      </c>
      <c r="I804" s="1" t="str">
        <f aca="false">IF(G804&gt;0,IF(INDEX(CONFIRM!$I$5:$I$53,G804)&lt;&gt;"",INDEX(CONFIRM!$I$5:$I$53,G804),H804),H804)</f>
        <v>HPE</v>
      </c>
      <c r="J804" s="1" t="str">
        <f aca="false">IFERROR(INDEX(MAP!$F$7:$F$74,MATCH(TRIM(I804),MAP!$E$7:$E$74,0)),"UNMAPPED")</f>
        <v>Health professions education</v>
      </c>
      <c r="K804" s="1" t="str">
        <f aca="false">IFERROR(INDEX(MAP!$G$7:$G$74,MATCH(TRIM(I804),MAP!$E$7:$E$74,0)),"UNMAPPED")</f>
        <v>7f</v>
      </c>
      <c r="L804" s="49" t="str">
        <f aca="false">STACK!G804</f>
        <v>06/11/2026</v>
      </c>
      <c r="M804" s="59" t="n">
        <f aca="false">IF(G804&gt;0,IF(INDEX(CONFIRM!$G$5:$G$53,G804)&lt;&gt;"",INDEX(CONFIRM!$G$5:$G$53,G804),IF(ISNUMBER(L804),L804,IFERROR(DATEVALUE(L804),""))),IF(ISNUMBER(L804),L804,IFERROR(DATEVALUE(L804),"")))</f>
        <v>46184</v>
      </c>
      <c r="N804" s="1" t="str">
        <f aca="false">IF(M804="","Check",IF(AND(M804&gt;=INPUTS!$C$6,M804&lt;=INPUTS!$C$7),"Yes","No"))</f>
        <v>Yes</v>
      </c>
      <c r="O804" s="48" t="str">
        <f aca="false">STACK!H804</f>
        <v>Volunteer Coordinator</v>
      </c>
      <c r="P804" s="1" t="str">
        <f aca="false">IF(G804&gt;0,IF(INDEX(CONFIRM!$H$5:$H$53,G804)&lt;&gt;"",INDEX(CONFIRM!$H$5:$H$53,G804),IFERROR(INDEX(MAP!$B$7:$B$156,MATCH(TRIM(O804),MAP!$A$7:$A$156,0)),"UNMAPPED")),IFERROR(INDEX(MAP!$B$7:$B$156,MATCH(TRIM(O804),MAP!$A$7:$A$156,0)),"UNMAPPED"))</f>
        <v>Program Coordinator</v>
      </c>
      <c r="Q804" s="48" t="n">
        <f aca="false">STACK!I804</f>
        <v>7.75</v>
      </c>
      <c r="R804" s="60" t="n">
        <f aca="false">IF(G804&gt;0,IF(INDEX(CONFIRM!$F$5:$F$53,G804)&lt;&gt;"",INDEX(CONFIRM!$F$5:$F$53,G804),IF(ISNUMBER(Q804),Q804,IF(Q804="","",IFERROR(VALUE(TRIM(SUBSTITUTE(SUBSTITUTE(LOWER(Q804),"hrs",""),"hr",""))),"")))),IF(ISNUMBER(Q804),Q804,IF(Q804="","",IFERROR(VALUE(TRIM(SUBSTITUTE(SUBSTITUTE(LOWER(Q804),"hrs",""),"hr",""))),""))))</f>
        <v>7.75</v>
      </c>
      <c r="S804" s="57" t="n">
        <f aca="false">IFERROR(INDEX(RATES!$E$6:$E$28,MATCH(P804,RATES!$A$6:$A$28,0)),0)</f>
        <v>35.3375</v>
      </c>
      <c r="T804" s="61" t="n">
        <f aca="false">IF(ISNUMBER(R804),R804,0)*S804</f>
        <v>273.865625</v>
      </c>
      <c r="U804" s="61" t="n">
        <f aca="false">T804*INDEX(INPUTS!$H$10:$H$14,MATCH(B804,INPUTS!$A$10:$A$14,0))</f>
        <v>44.36623125</v>
      </c>
      <c r="V804" s="61" t="n">
        <f aca="false">N(STACK!K804)</f>
        <v>0</v>
      </c>
      <c r="W804" s="61" t="n">
        <f aca="false">T804+U804+V804</f>
        <v>318.23185625</v>
      </c>
      <c r="X804" s="61" t="n">
        <f aca="false">N(STACK!L804)</f>
        <v>0</v>
      </c>
      <c r="Y804" s="61" t="n">
        <f aca="false">W804-X804</f>
        <v>318.23185625</v>
      </c>
      <c r="Z804" s="1" t="n">
        <f aca="false">N(STACK!J804)</f>
        <v>0</v>
      </c>
      <c r="AA804" s="1" t="str">
        <f aca="false">TRIM(IF(D804="UNMAPPED","Program not mapped. ","")&amp;IF(OR(K804="UNMAPPED",K804="UNASSIGNED"),"Category needs review. ","")&amp;IF(P804="UNMAPPED","Title not mapped. ","")&amp;IF(AND(P804&lt;&gt;"No staff time",R804=""),"Missing hours. ","")&amp;IF(M804="","Date not readable. ","")&amp;IF(N804="No","Outside fiscal year. ","")&amp;IF(AND(F804="Event",ISNUMBER(R804)),IF(R804&gt;12,"Event hours look high. ",""),"")&amp;IF(G804&gt;0,"See CONFIRM sheet.",""))</f>
        <v/>
      </c>
      <c r="AB804" s="1" t="n">
        <f aca="false">IF(N804="No",0,IF(REVIEW!O804=0,0,IF(G804&gt;0,IF(INDEX(CONFIRM!$J$5:$J$53,G804)&lt;&gt;"",INDEX(CONFIRM!$J$5:$J$53,G804),1),1)))</f>
        <v>1</v>
      </c>
      <c r="AC804" s="1" t="n">
        <f aca="false">IF(AB804=1,IF(COUNTIFS($B$5:B804,B804,$D$5:D804,D804,$AB$5:AB804,1)=1,1,0),0)</f>
        <v>0</v>
      </c>
    </row>
    <row r="805" customFormat="false" ht="15" hidden="false" customHeight="false" outlineLevel="0" collapsed="false">
      <c r="A805" s="48" t="str">
        <f aca="false">STACK!A805</f>
        <v>ASH-0272</v>
      </c>
      <c r="B805" s="48" t="str">
        <f aca="false">STACK!B805</f>
        <v>ASH</v>
      </c>
      <c r="C805" s="48" t="str">
        <f aca="false">STACK!E805</f>
        <v>Health Careers Camp</v>
      </c>
      <c r="D805" s="1" t="str">
        <f aca="false">IFERROR(INDEX(MAP!$J$7:$J$101,MATCH(TRIM(C805),MAP!$I$7:$I$101,0)),"UNMAPPED")</f>
        <v>Health Careers Summer Camp</v>
      </c>
      <c r="E805" s="1" t="str">
        <f aca="false">IFERROR(INDEX(MAP!$K$7:$K$101,MATCH(TRIM(C805),MAP!$I$7:$I$101,0)),"")</f>
        <v>Health workforce</v>
      </c>
      <c r="F805" s="1" t="str">
        <f aca="false">IFERROR(INDEX(MAP!$L$7:$L$101,MATCH(TRIM(C805),MAP!$I$7:$I$101,0)),"")</f>
        <v>Event</v>
      </c>
      <c r="G805" s="1" t="n">
        <f aca="false">IFERROR(MATCH(A805,CONFIRM!$A$5:$A$53,0),0)</f>
        <v>0</v>
      </c>
      <c r="H805" s="48" t="str">
        <f aca="false">STACK!F805</f>
        <v>HPE</v>
      </c>
      <c r="I805" s="1" t="str">
        <f aca="false">IF(G805&gt;0,IF(INDEX(CONFIRM!$I$5:$I$53,G805)&lt;&gt;"",INDEX(CONFIRM!$I$5:$I$53,G805),H805),H805)</f>
        <v>HPE</v>
      </c>
      <c r="J805" s="1" t="str">
        <f aca="false">IFERROR(INDEX(MAP!$F$7:$F$74,MATCH(TRIM(I805),MAP!$E$7:$E$74,0)),"UNMAPPED")</f>
        <v>Health professions education</v>
      </c>
      <c r="K805" s="1" t="str">
        <f aca="false">IFERROR(INDEX(MAP!$G$7:$G$74,MATCH(TRIM(I805),MAP!$E$7:$E$74,0)),"UNMAPPED")</f>
        <v>7f</v>
      </c>
      <c r="L805" s="49" t="str">
        <f aca="false">STACK!G805</f>
        <v>06/15/2026</v>
      </c>
      <c r="M805" s="59" t="n">
        <f aca="false">IF(G805&gt;0,IF(INDEX(CONFIRM!$G$5:$G$53,G805)&lt;&gt;"",INDEX(CONFIRM!$G$5:$G$53,G805),IF(ISNUMBER(L805),L805,IFERROR(DATEVALUE(L805),""))),IF(ISNUMBER(L805),L805,IFERROR(DATEVALUE(L805),"")))</f>
        <v>46188</v>
      </c>
      <c r="N805" s="1" t="str">
        <f aca="false">IF(M805="","Check",IF(AND(M805&gt;=INPUTS!$C$6,M805&lt;=INPUTS!$C$7),"Yes","No"))</f>
        <v>Yes</v>
      </c>
      <c r="O805" s="48" t="str">
        <f aca="false">STACK!H805</f>
        <v>Clinical Nurse Educator</v>
      </c>
      <c r="P805" s="1" t="str">
        <f aca="false">IF(G805&gt;0,IF(INDEX(CONFIRM!$H$5:$H$53,G805)&lt;&gt;"",INDEX(CONFIRM!$H$5:$H$53,G805),IFERROR(INDEX(MAP!$B$7:$B$156,MATCH(TRIM(O805),MAP!$A$7:$A$156,0)),"UNMAPPED")),IFERROR(INDEX(MAP!$B$7:$B$156,MATCH(TRIM(O805),MAP!$A$7:$A$156,0)),"UNMAPPED"))</f>
        <v>Clinical Nurse Educator</v>
      </c>
      <c r="Q805" s="48" t="n">
        <f aca="false">STACK!I805</f>
        <v>7</v>
      </c>
      <c r="R805" s="60" t="n">
        <f aca="false">IF(G805&gt;0,IF(INDEX(CONFIRM!$F$5:$F$53,G805)&lt;&gt;"",INDEX(CONFIRM!$F$5:$F$53,G805),IF(ISNUMBER(Q805),Q805,IF(Q805="","",IFERROR(VALUE(TRIM(SUBSTITUTE(SUBSTITUTE(LOWER(Q805),"hrs",""),"hr",""))),"")))),IF(ISNUMBER(Q805),Q805,IF(Q805="","",IFERROR(VALUE(TRIM(SUBSTITUTE(SUBSTITUTE(LOWER(Q805),"hrs",""),"hr",""))),""))))</f>
        <v>7</v>
      </c>
      <c r="S805" s="57" t="n">
        <f aca="false">IFERROR(INDEX(RATES!$E$6:$E$28,MATCH(P805,RATES!$A$6:$A$28,0)),0)</f>
        <v>62.965</v>
      </c>
      <c r="T805" s="61" t="n">
        <f aca="false">IF(ISNUMBER(R805),R805,0)*S805</f>
        <v>440.755</v>
      </c>
      <c r="U805" s="61" t="n">
        <f aca="false">T805*INDEX(INPUTS!$H$10:$H$14,MATCH(B805,INPUTS!$A$10:$A$14,0))</f>
        <v>71.40231</v>
      </c>
      <c r="V805" s="61" t="n">
        <f aca="false">N(STACK!K805)</f>
        <v>930</v>
      </c>
      <c r="W805" s="61" t="n">
        <f aca="false">T805+U805+V805</f>
        <v>1442.15731</v>
      </c>
      <c r="X805" s="61" t="n">
        <f aca="false">N(STACK!L805)</f>
        <v>0</v>
      </c>
      <c r="Y805" s="61" t="n">
        <f aca="false">W805-X805</f>
        <v>1442.15731</v>
      </c>
      <c r="Z805" s="1" t="n">
        <f aca="false">N(STACK!J805)</f>
        <v>39</v>
      </c>
      <c r="AA805" s="1" t="str">
        <f aca="false">TRIM(IF(D805="UNMAPPED","Program not mapped. ","")&amp;IF(OR(K805="UNMAPPED",K805="UNASSIGNED"),"Category needs review. ","")&amp;IF(P805="UNMAPPED","Title not mapped. ","")&amp;IF(AND(P805&lt;&gt;"No staff time",R805=""),"Missing hours. ","")&amp;IF(M805="","Date not readable. ","")&amp;IF(N805="No","Outside fiscal year. ","")&amp;IF(AND(F805="Event",ISNUMBER(R805)),IF(R805&gt;12,"Event hours look high. ",""),"")&amp;IF(G805&gt;0,"See CONFIRM sheet.",""))</f>
        <v/>
      </c>
      <c r="AB805" s="1" t="n">
        <f aca="false">IF(N805="No",0,IF(REVIEW!O805=0,0,IF(G805&gt;0,IF(INDEX(CONFIRM!$J$5:$J$53,G805)&lt;&gt;"",INDEX(CONFIRM!$J$5:$J$53,G805),1),1)))</f>
        <v>1</v>
      </c>
      <c r="AC805" s="1" t="n">
        <f aca="false">IF(AB805=1,IF(COUNTIFS($B$5:B805,B805,$D$5:D805,D805,$AB$5:AB805,1)=1,1,0),0)</f>
        <v>0</v>
      </c>
    </row>
    <row r="806" customFormat="false" ht="15" hidden="false" customHeight="false" outlineLevel="0" collapsed="false">
      <c r="A806" s="48" t="str">
        <f aca="false">STACK!A806</f>
        <v>ASH-0273</v>
      </c>
      <c r="B806" s="48" t="str">
        <f aca="false">STACK!B806</f>
        <v>ASH</v>
      </c>
      <c r="C806" s="48" t="str">
        <f aca="false">STACK!E806</f>
        <v>Health Careers Camp</v>
      </c>
      <c r="D806" s="1" t="str">
        <f aca="false">IFERROR(INDEX(MAP!$J$7:$J$101,MATCH(TRIM(C806),MAP!$I$7:$I$101,0)),"UNMAPPED")</f>
        <v>Health Careers Summer Camp</v>
      </c>
      <c r="E806" s="1" t="str">
        <f aca="false">IFERROR(INDEX(MAP!$K$7:$K$101,MATCH(TRIM(C806),MAP!$I$7:$I$101,0)),"")</f>
        <v>Health workforce</v>
      </c>
      <c r="F806" s="1" t="str">
        <f aca="false">IFERROR(INDEX(MAP!$L$7:$L$101,MATCH(TRIM(C806),MAP!$I$7:$I$101,0)),"")</f>
        <v>Event</v>
      </c>
      <c r="G806" s="1" t="n">
        <f aca="false">IFERROR(MATCH(A806,CONFIRM!$A$5:$A$53,0),0)</f>
        <v>0</v>
      </c>
      <c r="H806" s="48" t="str">
        <f aca="false">STACK!F806</f>
        <v>HPE</v>
      </c>
      <c r="I806" s="1" t="str">
        <f aca="false">IF(G806&gt;0,IF(INDEX(CONFIRM!$I$5:$I$53,G806)&lt;&gt;"",INDEX(CONFIRM!$I$5:$I$53,G806),H806),H806)</f>
        <v>HPE</v>
      </c>
      <c r="J806" s="1" t="str">
        <f aca="false">IFERROR(INDEX(MAP!$F$7:$F$74,MATCH(TRIM(I806),MAP!$E$7:$E$74,0)),"UNMAPPED")</f>
        <v>Health professions education</v>
      </c>
      <c r="K806" s="1" t="str">
        <f aca="false">IFERROR(INDEX(MAP!$G$7:$G$74,MATCH(TRIM(I806),MAP!$E$7:$E$74,0)),"UNMAPPED")</f>
        <v>7f</v>
      </c>
      <c r="L806" s="49" t="str">
        <f aca="false">STACK!G806</f>
        <v>06/15/2026</v>
      </c>
      <c r="M806" s="59" t="n">
        <f aca="false">IF(G806&gt;0,IF(INDEX(CONFIRM!$G$5:$G$53,G806)&lt;&gt;"",INDEX(CONFIRM!$G$5:$G$53,G806),IF(ISNUMBER(L806),L806,IFERROR(DATEVALUE(L806),""))),IF(ISNUMBER(L806),L806,IFERROR(DATEVALUE(L806),"")))</f>
        <v>46188</v>
      </c>
      <c r="N806" s="1" t="str">
        <f aca="false">IF(M806="","Check",IF(AND(M806&gt;=INPUTS!$C$6,M806&lt;=INPUTS!$C$7),"Yes","No"))</f>
        <v>Yes</v>
      </c>
      <c r="O806" s="48" t="str">
        <f aca="false">STACK!H806</f>
        <v>Prog Coord</v>
      </c>
      <c r="P806" s="1" t="str">
        <f aca="false">IF(G806&gt;0,IF(INDEX(CONFIRM!$H$5:$H$53,G806)&lt;&gt;"",INDEX(CONFIRM!$H$5:$H$53,G806),IFERROR(INDEX(MAP!$B$7:$B$156,MATCH(TRIM(O806),MAP!$A$7:$A$156,0)),"UNMAPPED")),IFERROR(INDEX(MAP!$B$7:$B$156,MATCH(TRIM(O806),MAP!$A$7:$A$156,0)),"UNMAPPED"))</f>
        <v>Program Coordinator</v>
      </c>
      <c r="Q806" s="48" t="n">
        <f aca="false">STACK!I806</f>
        <v>7.25</v>
      </c>
      <c r="R806" s="60" t="n">
        <f aca="false">IF(G806&gt;0,IF(INDEX(CONFIRM!$F$5:$F$53,G806)&lt;&gt;"",INDEX(CONFIRM!$F$5:$F$53,G806),IF(ISNUMBER(Q806),Q806,IF(Q806="","",IFERROR(VALUE(TRIM(SUBSTITUTE(SUBSTITUTE(LOWER(Q806),"hrs",""),"hr",""))),"")))),IF(ISNUMBER(Q806),Q806,IF(Q806="","",IFERROR(VALUE(TRIM(SUBSTITUTE(SUBSTITUTE(LOWER(Q806),"hrs",""),"hr",""))),""))))</f>
        <v>7.25</v>
      </c>
      <c r="S806" s="57" t="n">
        <f aca="false">IFERROR(INDEX(RATES!$E$6:$E$28,MATCH(P806,RATES!$A$6:$A$28,0)),0)</f>
        <v>35.3375</v>
      </c>
      <c r="T806" s="61" t="n">
        <f aca="false">IF(ISNUMBER(R806),R806,0)*S806</f>
        <v>256.196875</v>
      </c>
      <c r="U806" s="61" t="n">
        <f aca="false">T806*INDEX(INPUTS!$H$10:$H$14,MATCH(B806,INPUTS!$A$10:$A$14,0))</f>
        <v>41.50389375</v>
      </c>
      <c r="V806" s="61" t="n">
        <f aca="false">N(STACK!K806)</f>
        <v>0</v>
      </c>
      <c r="W806" s="61" t="n">
        <f aca="false">T806+U806+V806</f>
        <v>297.70076875</v>
      </c>
      <c r="X806" s="61" t="n">
        <f aca="false">N(STACK!L806)</f>
        <v>0</v>
      </c>
      <c r="Y806" s="61" t="n">
        <f aca="false">W806-X806</f>
        <v>297.70076875</v>
      </c>
      <c r="Z806" s="1" t="n">
        <f aca="false">N(STACK!J806)</f>
        <v>0</v>
      </c>
      <c r="AA806" s="1" t="str">
        <f aca="false">TRIM(IF(D806="UNMAPPED","Program not mapped. ","")&amp;IF(OR(K806="UNMAPPED",K806="UNASSIGNED"),"Category needs review. ","")&amp;IF(P806="UNMAPPED","Title not mapped. ","")&amp;IF(AND(P806&lt;&gt;"No staff time",R806=""),"Missing hours. ","")&amp;IF(M806="","Date not readable. ","")&amp;IF(N806="No","Outside fiscal year. ","")&amp;IF(AND(F806="Event",ISNUMBER(R806)),IF(R806&gt;12,"Event hours look high. ",""),"")&amp;IF(G806&gt;0,"See CONFIRM sheet.",""))</f>
        <v/>
      </c>
      <c r="AB806" s="1" t="n">
        <f aca="false">IF(N806="No",0,IF(REVIEW!O806=0,0,IF(G806&gt;0,IF(INDEX(CONFIRM!$J$5:$J$53,G806)&lt;&gt;"",INDEX(CONFIRM!$J$5:$J$53,G806),1),1)))</f>
        <v>1</v>
      </c>
      <c r="AC806" s="1" t="n">
        <f aca="false">IF(AB806=1,IF(COUNTIFS($B$5:B806,B806,$D$5:D806,D806,$AB$5:AB806,1)=1,1,0),0)</f>
        <v>0</v>
      </c>
    </row>
    <row r="807" customFormat="false" ht="15" hidden="false" customHeight="false" outlineLevel="0" collapsed="false">
      <c r="A807" s="48" t="str">
        <f aca="false">STACK!A807</f>
        <v>ASH-0274</v>
      </c>
      <c r="B807" s="48" t="str">
        <f aca="false">STACK!B807</f>
        <v>ASH</v>
      </c>
      <c r="C807" s="48" t="str">
        <f aca="false">STACK!E807</f>
        <v>Health Careers Camp</v>
      </c>
      <c r="D807" s="1" t="str">
        <f aca="false">IFERROR(INDEX(MAP!$J$7:$J$101,MATCH(TRIM(C807),MAP!$I$7:$I$101,0)),"UNMAPPED")</f>
        <v>Health Careers Summer Camp</v>
      </c>
      <c r="E807" s="1" t="str">
        <f aca="false">IFERROR(INDEX(MAP!$K$7:$K$101,MATCH(TRIM(C807),MAP!$I$7:$I$101,0)),"")</f>
        <v>Health workforce</v>
      </c>
      <c r="F807" s="1" t="str">
        <f aca="false">IFERROR(INDEX(MAP!$L$7:$L$101,MATCH(TRIM(C807),MAP!$I$7:$I$101,0)),"")</f>
        <v>Event</v>
      </c>
      <c r="G807" s="1" t="n">
        <f aca="false">IFERROR(MATCH(A807,CONFIRM!$A$5:$A$53,0),0)</f>
        <v>0</v>
      </c>
      <c r="H807" s="48" t="str">
        <f aca="false">STACK!F807</f>
        <v>HPE</v>
      </c>
      <c r="I807" s="1" t="str">
        <f aca="false">IF(G807&gt;0,IF(INDEX(CONFIRM!$I$5:$I$53,G807)&lt;&gt;"",INDEX(CONFIRM!$I$5:$I$53,G807),H807),H807)</f>
        <v>HPE</v>
      </c>
      <c r="J807" s="1" t="str">
        <f aca="false">IFERROR(INDEX(MAP!$F$7:$F$74,MATCH(TRIM(I807),MAP!$E$7:$E$74,0)),"UNMAPPED")</f>
        <v>Health professions education</v>
      </c>
      <c r="K807" s="1" t="str">
        <f aca="false">IFERROR(INDEX(MAP!$G$7:$G$74,MATCH(TRIM(I807),MAP!$E$7:$E$74,0)),"UNMAPPED")</f>
        <v>7f</v>
      </c>
      <c r="L807" s="49" t="str">
        <f aca="false">STACK!G807</f>
        <v>06/17/2026</v>
      </c>
      <c r="M807" s="59" t="n">
        <f aca="false">IF(G807&gt;0,IF(INDEX(CONFIRM!$G$5:$G$53,G807)&lt;&gt;"",INDEX(CONFIRM!$G$5:$G$53,G807),IF(ISNUMBER(L807),L807,IFERROR(DATEVALUE(L807),""))),IF(ISNUMBER(L807),L807,IFERROR(DATEVALUE(L807),"")))</f>
        <v>46190</v>
      </c>
      <c r="N807" s="1" t="str">
        <f aca="false">IF(M807="","Check",IF(AND(M807&gt;=INPUTS!$C$6,M807&lt;=INPUTS!$C$7),"Yes","No"))</f>
        <v>Yes</v>
      </c>
      <c r="O807" s="48" t="str">
        <f aca="false">STACK!H807</f>
        <v>Nurse Educator</v>
      </c>
      <c r="P807" s="1" t="str">
        <f aca="false">IF(G807&gt;0,IF(INDEX(CONFIRM!$H$5:$H$53,G807)&lt;&gt;"",INDEX(CONFIRM!$H$5:$H$53,G807),IFERROR(INDEX(MAP!$B$7:$B$156,MATCH(TRIM(O807),MAP!$A$7:$A$156,0)),"UNMAPPED")),IFERROR(INDEX(MAP!$B$7:$B$156,MATCH(TRIM(O807),MAP!$A$7:$A$156,0)),"UNMAPPED"))</f>
        <v>Clinical Nurse Educator</v>
      </c>
      <c r="Q807" s="48" t="n">
        <f aca="false">STACK!I807</f>
        <v>7.75</v>
      </c>
      <c r="R807" s="60" t="n">
        <f aca="false">IF(G807&gt;0,IF(INDEX(CONFIRM!$F$5:$F$53,G807)&lt;&gt;"",INDEX(CONFIRM!$F$5:$F$53,G807),IF(ISNUMBER(Q807),Q807,IF(Q807="","",IFERROR(VALUE(TRIM(SUBSTITUTE(SUBSTITUTE(LOWER(Q807),"hrs",""),"hr",""))),"")))),IF(ISNUMBER(Q807),Q807,IF(Q807="","",IFERROR(VALUE(TRIM(SUBSTITUTE(SUBSTITUTE(LOWER(Q807),"hrs",""),"hr",""))),""))))</f>
        <v>7.75</v>
      </c>
      <c r="S807" s="57" t="n">
        <f aca="false">IFERROR(INDEX(RATES!$E$6:$E$28,MATCH(P807,RATES!$A$6:$A$28,0)),0)</f>
        <v>62.965</v>
      </c>
      <c r="T807" s="61" t="n">
        <f aca="false">IF(ISNUMBER(R807),R807,0)*S807</f>
        <v>487.97875</v>
      </c>
      <c r="U807" s="61" t="n">
        <f aca="false">T807*INDEX(INPUTS!$H$10:$H$14,MATCH(B807,INPUTS!$A$10:$A$14,0))</f>
        <v>79.0525575</v>
      </c>
      <c r="V807" s="61" t="n">
        <f aca="false">N(STACK!K807)</f>
        <v>930</v>
      </c>
      <c r="W807" s="61" t="n">
        <f aca="false">T807+U807+V807</f>
        <v>1497.0313075</v>
      </c>
      <c r="X807" s="61" t="n">
        <f aca="false">N(STACK!L807)</f>
        <v>0</v>
      </c>
      <c r="Y807" s="61" t="n">
        <f aca="false">W807-X807</f>
        <v>1497.0313075</v>
      </c>
      <c r="Z807" s="1" t="n">
        <f aca="false">N(STACK!J807)</f>
        <v>28</v>
      </c>
      <c r="AA807" s="1" t="str">
        <f aca="false">TRIM(IF(D807="UNMAPPED","Program not mapped. ","")&amp;IF(OR(K807="UNMAPPED",K807="UNASSIGNED"),"Category needs review. ","")&amp;IF(P807="UNMAPPED","Title not mapped. ","")&amp;IF(AND(P807&lt;&gt;"No staff time",R807=""),"Missing hours. ","")&amp;IF(M807="","Date not readable. ","")&amp;IF(N807="No","Outside fiscal year. ","")&amp;IF(AND(F807="Event",ISNUMBER(R807)),IF(R807&gt;12,"Event hours look high. ",""),"")&amp;IF(G807&gt;0,"See CONFIRM sheet.",""))</f>
        <v/>
      </c>
      <c r="AB807" s="1" t="n">
        <f aca="false">IF(N807="No",0,IF(REVIEW!O807=0,0,IF(G807&gt;0,IF(INDEX(CONFIRM!$J$5:$J$53,G807)&lt;&gt;"",INDEX(CONFIRM!$J$5:$J$53,G807),1),1)))</f>
        <v>1</v>
      </c>
      <c r="AC807" s="1" t="n">
        <f aca="false">IF(AB807=1,IF(COUNTIFS($B$5:B807,B807,$D$5:D807,D807,$AB$5:AB807,1)=1,1,0),0)</f>
        <v>0</v>
      </c>
    </row>
    <row r="808" customFormat="false" ht="15" hidden="false" customHeight="false" outlineLevel="0" collapsed="false">
      <c r="A808" s="48" t="str">
        <f aca="false">STACK!A808</f>
        <v>ASH-0275</v>
      </c>
      <c r="B808" s="48" t="str">
        <f aca="false">STACK!B808</f>
        <v>ASH</v>
      </c>
      <c r="C808" s="48" t="str">
        <f aca="false">STACK!E808</f>
        <v>Health Careers Camp</v>
      </c>
      <c r="D808" s="1" t="str">
        <f aca="false">IFERROR(INDEX(MAP!$J$7:$J$101,MATCH(TRIM(C808),MAP!$I$7:$I$101,0)),"UNMAPPED")</f>
        <v>Health Careers Summer Camp</v>
      </c>
      <c r="E808" s="1" t="str">
        <f aca="false">IFERROR(INDEX(MAP!$K$7:$K$101,MATCH(TRIM(C808),MAP!$I$7:$I$101,0)),"")</f>
        <v>Health workforce</v>
      </c>
      <c r="F808" s="1" t="str">
        <f aca="false">IFERROR(INDEX(MAP!$L$7:$L$101,MATCH(TRIM(C808),MAP!$I$7:$I$101,0)),"")</f>
        <v>Event</v>
      </c>
      <c r="G808" s="1" t="n">
        <f aca="false">IFERROR(MATCH(A808,CONFIRM!$A$5:$A$53,0),0)</f>
        <v>0</v>
      </c>
      <c r="H808" s="48" t="str">
        <f aca="false">STACK!F808</f>
        <v>HPE</v>
      </c>
      <c r="I808" s="1" t="str">
        <f aca="false">IF(G808&gt;0,IF(INDEX(CONFIRM!$I$5:$I$53,G808)&lt;&gt;"",INDEX(CONFIRM!$I$5:$I$53,G808),H808),H808)</f>
        <v>HPE</v>
      </c>
      <c r="J808" s="1" t="str">
        <f aca="false">IFERROR(INDEX(MAP!$F$7:$F$74,MATCH(TRIM(I808),MAP!$E$7:$E$74,0)),"UNMAPPED")</f>
        <v>Health professions education</v>
      </c>
      <c r="K808" s="1" t="str">
        <f aca="false">IFERROR(INDEX(MAP!$G$7:$G$74,MATCH(TRIM(I808),MAP!$E$7:$E$74,0)),"UNMAPPED")</f>
        <v>7f</v>
      </c>
      <c r="L808" s="49" t="str">
        <f aca="false">STACK!G808</f>
        <v>06/17/2026</v>
      </c>
      <c r="M808" s="59" t="n">
        <f aca="false">IF(G808&gt;0,IF(INDEX(CONFIRM!$G$5:$G$53,G808)&lt;&gt;"",INDEX(CONFIRM!$G$5:$G$53,G808),IF(ISNUMBER(L808),L808,IFERROR(DATEVALUE(L808),""))),IF(ISNUMBER(L808),L808,IFERROR(DATEVALUE(L808),"")))</f>
        <v>46190</v>
      </c>
      <c r="N808" s="1" t="str">
        <f aca="false">IF(M808="","Check",IF(AND(M808&gt;=INPUTS!$C$6,M808&lt;=INPUTS!$C$7),"Yes","No"))</f>
        <v>Yes</v>
      </c>
      <c r="O808" s="48" t="str">
        <f aca="false">STACK!H808</f>
        <v>Volunteer Coordinator</v>
      </c>
      <c r="P808" s="1" t="str">
        <f aca="false">IF(G808&gt;0,IF(INDEX(CONFIRM!$H$5:$H$53,G808)&lt;&gt;"",INDEX(CONFIRM!$H$5:$H$53,G808),IFERROR(INDEX(MAP!$B$7:$B$156,MATCH(TRIM(O808),MAP!$A$7:$A$156,0)),"UNMAPPED")),IFERROR(INDEX(MAP!$B$7:$B$156,MATCH(TRIM(O808),MAP!$A$7:$A$156,0)),"UNMAPPED"))</f>
        <v>Program Coordinator</v>
      </c>
      <c r="Q808" s="48" t="n">
        <f aca="false">STACK!I808</f>
        <v>7.75</v>
      </c>
      <c r="R808" s="60" t="n">
        <f aca="false">IF(G808&gt;0,IF(INDEX(CONFIRM!$F$5:$F$53,G808)&lt;&gt;"",INDEX(CONFIRM!$F$5:$F$53,G808),IF(ISNUMBER(Q808),Q808,IF(Q808="","",IFERROR(VALUE(TRIM(SUBSTITUTE(SUBSTITUTE(LOWER(Q808),"hrs",""),"hr",""))),"")))),IF(ISNUMBER(Q808),Q808,IF(Q808="","",IFERROR(VALUE(TRIM(SUBSTITUTE(SUBSTITUTE(LOWER(Q808),"hrs",""),"hr",""))),""))))</f>
        <v>7.75</v>
      </c>
      <c r="S808" s="57" t="n">
        <f aca="false">IFERROR(INDEX(RATES!$E$6:$E$28,MATCH(P808,RATES!$A$6:$A$28,0)),0)</f>
        <v>35.3375</v>
      </c>
      <c r="T808" s="61" t="n">
        <f aca="false">IF(ISNUMBER(R808),R808,0)*S808</f>
        <v>273.865625</v>
      </c>
      <c r="U808" s="61" t="n">
        <f aca="false">T808*INDEX(INPUTS!$H$10:$H$14,MATCH(B808,INPUTS!$A$10:$A$14,0))</f>
        <v>44.36623125</v>
      </c>
      <c r="V808" s="61" t="n">
        <f aca="false">N(STACK!K808)</f>
        <v>0</v>
      </c>
      <c r="W808" s="61" t="n">
        <f aca="false">T808+U808+V808</f>
        <v>318.23185625</v>
      </c>
      <c r="X808" s="61" t="n">
        <f aca="false">N(STACK!L808)</f>
        <v>0</v>
      </c>
      <c r="Y808" s="61" t="n">
        <f aca="false">W808-X808</f>
        <v>318.23185625</v>
      </c>
      <c r="Z808" s="1" t="n">
        <f aca="false">N(STACK!J808)</f>
        <v>0</v>
      </c>
      <c r="AA808" s="1" t="str">
        <f aca="false">TRIM(IF(D808="UNMAPPED","Program not mapped. ","")&amp;IF(OR(K808="UNMAPPED",K808="UNASSIGNED"),"Category needs review. ","")&amp;IF(P808="UNMAPPED","Title not mapped. ","")&amp;IF(AND(P808&lt;&gt;"No staff time",R808=""),"Missing hours. ","")&amp;IF(M808="","Date not readable. ","")&amp;IF(N808="No","Outside fiscal year. ","")&amp;IF(AND(F808="Event",ISNUMBER(R808)),IF(R808&gt;12,"Event hours look high. ",""),"")&amp;IF(G808&gt;0,"See CONFIRM sheet.",""))</f>
        <v/>
      </c>
      <c r="AB808" s="1" t="n">
        <f aca="false">IF(N808="No",0,IF(REVIEW!O808=0,0,IF(G808&gt;0,IF(INDEX(CONFIRM!$J$5:$J$53,G808)&lt;&gt;"",INDEX(CONFIRM!$J$5:$J$53,G808),1),1)))</f>
        <v>1</v>
      </c>
      <c r="AC808" s="1" t="n">
        <f aca="false">IF(AB808=1,IF(COUNTIFS($B$5:B808,B808,$D$5:D808,D808,$AB$5:AB808,1)=1,1,0),0)</f>
        <v>0</v>
      </c>
    </row>
    <row r="809" customFormat="false" ht="15" hidden="false" customHeight="false" outlineLevel="0" collapsed="false">
      <c r="A809" s="48" t="str">
        <f aca="false">STACK!A809</f>
        <v>ASH-0276</v>
      </c>
      <c r="B809" s="48" t="str">
        <f aca="false">STACK!B809</f>
        <v>ASH</v>
      </c>
      <c r="C809" s="48" t="str">
        <f aca="false">STACK!E809</f>
        <v>MH First Aid</v>
      </c>
      <c r="D809" s="1" t="str">
        <f aca="false">IFERROR(INDEX(MAP!$J$7:$J$101,MATCH(TRIM(C809),MAP!$I$7:$I$101,0)),"UNMAPPED")</f>
        <v>Mental Health First Aid Training</v>
      </c>
      <c r="E809" s="1" t="str">
        <f aca="false">IFERROR(INDEX(MAP!$K$7:$K$101,MATCH(TRIM(C809),MAP!$I$7:$I$101,0)),"")</f>
        <v>Behavioral health</v>
      </c>
      <c r="F809" s="1" t="str">
        <f aca="false">IFERROR(INDEX(MAP!$L$7:$L$101,MATCH(TRIM(C809),MAP!$I$7:$I$101,0)),"")</f>
        <v>Event</v>
      </c>
      <c r="G809" s="1" t="n">
        <f aca="false">IFERROR(MATCH(A809,CONFIRM!$A$5:$A$53,0),0)</f>
        <v>0</v>
      </c>
      <c r="H809" s="48" t="str">
        <f aca="false">STACK!F809</f>
        <v>Comm Hlth Ed</v>
      </c>
      <c r="I809" s="1" t="str">
        <f aca="false">IF(G809&gt;0,IF(INDEX(CONFIRM!$I$5:$I$53,G809)&lt;&gt;"",INDEX(CONFIRM!$I$5:$I$53,G809),H809),H809)</f>
        <v>Comm Hlth Ed</v>
      </c>
      <c r="J809" s="1" t="str">
        <f aca="false">IFERROR(INDEX(MAP!$F$7:$F$74,MATCH(TRIM(I809),MAP!$E$7:$E$74,0)),"UNMAPPED")</f>
        <v>Community health education</v>
      </c>
      <c r="K809" s="1" t="str">
        <f aca="false">IFERROR(INDEX(MAP!$G$7:$G$74,MATCH(TRIM(I809),MAP!$E$7:$E$74,0)),"UNMAPPED")</f>
        <v>7e</v>
      </c>
      <c r="L809" s="49" t="str">
        <f aca="false">STACK!G809</f>
        <v>06/18/2026</v>
      </c>
      <c r="M809" s="59" t="n">
        <f aca="false">IF(G809&gt;0,IF(INDEX(CONFIRM!$G$5:$G$53,G809)&lt;&gt;"",INDEX(CONFIRM!$G$5:$G$53,G809),IF(ISNUMBER(L809),L809,IFERROR(DATEVALUE(L809),""))),IF(ISNUMBER(L809),L809,IFERROR(DATEVALUE(L809),"")))</f>
        <v>46191</v>
      </c>
      <c r="N809" s="1" t="str">
        <f aca="false">IF(M809="","Check",IF(AND(M809&gt;=INPUTS!$C$6,M809&lt;=INPUTS!$C$7),"Yes","No"))</f>
        <v>Yes</v>
      </c>
      <c r="O809" s="48" t="str">
        <f aca="false">STACK!H809</f>
        <v>Community Educator</v>
      </c>
      <c r="P809" s="1" t="str">
        <f aca="false">IF(G809&gt;0,IF(INDEX(CONFIRM!$H$5:$H$53,G809)&lt;&gt;"",INDEX(CONFIRM!$H$5:$H$53,G809),IFERROR(INDEX(MAP!$B$7:$B$156,MATCH(TRIM(O809),MAP!$A$7:$A$156,0)),"UNMAPPED")),IFERROR(INDEX(MAP!$B$7:$B$156,MATCH(TRIM(O809),MAP!$A$7:$A$156,0)),"UNMAPPED"))</f>
        <v>Health Educator</v>
      </c>
      <c r="Q809" s="48" t="n">
        <f aca="false">STACK!I809</f>
        <v>8</v>
      </c>
      <c r="R809" s="60" t="n">
        <f aca="false">IF(G809&gt;0,IF(INDEX(CONFIRM!$F$5:$F$53,G809)&lt;&gt;"",INDEX(CONFIRM!$F$5:$F$53,G809),IF(ISNUMBER(Q809),Q809,IF(Q809="","",IFERROR(VALUE(TRIM(SUBSTITUTE(SUBSTITUTE(LOWER(Q809),"hrs",""),"hr",""))),"")))),IF(ISNUMBER(Q809),Q809,IF(Q809="","",IFERROR(VALUE(TRIM(SUBSTITUTE(SUBSTITUTE(LOWER(Q809),"hrs",""),"hr",""))),""))))</f>
        <v>8</v>
      </c>
      <c r="S809" s="57" t="n">
        <f aca="false">IFERROR(INDEX(RATES!$E$6:$E$28,MATCH(P809,RATES!$A$6:$A$28,0)),0)</f>
        <v>37.265</v>
      </c>
      <c r="T809" s="61" t="n">
        <f aca="false">IF(ISNUMBER(R809),R809,0)*S809</f>
        <v>298.12</v>
      </c>
      <c r="U809" s="61" t="n">
        <f aca="false">T809*INDEX(INPUTS!$H$10:$H$14,MATCH(B809,INPUTS!$A$10:$A$14,0))</f>
        <v>48.29544</v>
      </c>
      <c r="V809" s="61" t="n">
        <f aca="false">N(STACK!K809)</f>
        <v>0</v>
      </c>
      <c r="W809" s="61" t="n">
        <f aca="false">T809+U809+V809</f>
        <v>346.41544</v>
      </c>
      <c r="X809" s="61" t="n">
        <f aca="false">N(STACK!L809)</f>
        <v>0</v>
      </c>
      <c r="Y809" s="61" t="n">
        <f aca="false">W809-X809</f>
        <v>346.41544</v>
      </c>
      <c r="Z809" s="1" t="n">
        <f aca="false">N(STACK!J809)</f>
        <v>0</v>
      </c>
      <c r="AA809" s="1" t="str">
        <f aca="false">TRIM(IF(D809="UNMAPPED","Program not mapped. ","")&amp;IF(OR(K809="UNMAPPED",K809="UNASSIGNED"),"Category needs review. ","")&amp;IF(P809="UNMAPPED","Title not mapped. ","")&amp;IF(AND(P809&lt;&gt;"No staff time",R809=""),"Missing hours. ","")&amp;IF(M809="","Date not readable. ","")&amp;IF(N809="No","Outside fiscal year. ","")&amp;IF(AND(F809="Event",ISNUMBER(R809)),IF(R809&gt;12,"Event hours look high. ",""),"")&amp;IF(G809&gt;0,"See CONFIRM sheet.",""))</f>
        <v/>
      </c>
      <c r="AB809" s="1" t="n">
        <f aca="false">IF(N809="No",0,IF(REVIEW!O809=0,0,IF(G809&gt;0,IF(INDEX(CONFIRM!$J$5:$J$53,G809)&lt;&gt;"",INDEX(CONFIRM!$J$5:$J$53,G809),1),1)))</f>
        <v>1</v>
      </c>
      <c r="AC809" s="1" t="n">
        <f aca="false">IF(AB809=1,IF(COUNTIFS($B$5:B809,B809,$D$5:D809,D809,$AB$5:AB809,1)=1,1,0),0)</f>
        <v>0</v>
      </c>
    </row>
    <row r="810" customFormat="false" ht="15" hidden="false" customHeight="false" outlineLevel="0" collapsed="false">
      <c r="A810" s="48" t="str">
        <f aca="false">STACK!A810</f>
        <v>ASH-0277</v>
      </c>
      <c r="B810" s="48" t="str">
        <f aca="false">STACK!B810</f>
        <v>ASH</v>
      </c>
      <c r="C810" s="48" t="str">
        <f aca="false">STACK!E810</f>
        <v>MH First Aid</v>
      </c>
      <c r="D810" s="1" t="str">
        <f aca="false">IFERROR(INDEX(MAP!$J$7:$J$101,MATCH(TRIM(C810),MAP!$I$7:$I$101,0)),"UNMAPPED")</f>
        <v>Mental Health First Aid Training</v>
      </c>
      <c r="E810" s="1" t="str">
        <f aca="false">IFERROR(INDEX(MAP!$K$7:$K$101,MATCH(TRIM(C810),MAP!$I$7:$I$101,0)),"")</f>
        <v>Behavioral health</v>
      </c>
      <c r="F810" s="1" t="str">
        <f aca="false">IFERROR(INDEX(MAP!$L$7:$L$101,MATCH(TRIM(C810),MAP!$I$7:$I$101,0)),"")</f>
        <v>Event</v>
      </c>
      <c r="G810" s="1" t="n">
        <f aca="false">IFERROR(MATCH(A810,CONFIRM!$A$5:$A$53,0),0)</f>
        <v>0</v>
      </c>
      <c r="H810" s="48" t="str">
        <f aca="false">STACK!F810</f>
        <v>Comm Hlth Ed</v>
      </c>
      <c r="I810" s="1" t="str">
        <f aca="false">IF(G810&gt;0,IF(INDEX(CONFIRM!$I$5:$I$53,G810)&lt;&gt;"",INDEX(CONFIRM!$I$5:$I$53,G810),H810),H810)</f>
        <v>Comm Hlth Ed</v>
      </c>
      <c r="J810" s="1" t="str">
        <f aca="false">IFERROR(INDEX(MAP!$F$7:$F$74,MATCH(TRIM(I810),MAP!$E$7:$E$74,0)),"UNMAPPED")</f>
        <v>Community health education</v>
      </c>
      <c r="K810" s="1" t="str">
        <f aca="false">IFERROR(INDEX(MAP!$G$7:$G$74,MATCH(TRIM(I810),MAP!$E$7:$E$74,0)),"UNMAPPED")</f>
        <v>7e</v>
      </c>
      <c r="L810" s="49" t="str">
        <f aca="false">STACK!G810</f>
        <v>06/18/2026</v>
      </c>
      <c r="M810" s="59" t="n">
        <f aca="false">IF(G810&gt;0,IF(INDEX(CONFIRM!$G$5:$G$53,G810)&lt;&gt;"",INDEX(CONFIRM!$G$5:$G$53,G810),IF(ISNUMBER(L810),L810,IFERROR(DATEVALUE(L810),""))),IF(ISNUMBER(L810),L810,IFERROR(DATEVALUE(L810),"")))</f>
        <v>46191</v>
      </c>
      <c r="N810" s="1" t="str">
        <f aca="false">IF(M810="","Check",IF(AND(M810&gt;=INPUTS!$C$6,M810&lt;=INPUTS!$C$7),"Yes","No"))</f>
        <v>Yes</v>
      </c>
      <c r="O810" s="48" t="str">
        <f aca="false">STACK!H810</f>
        <v>LCSW</v>
      </c>
      <c r="P810" s="1" t="str">
        <f aca="false">IF(G810&gt;0,IF(INDEX(CONFIRM!$H$5:$H$53,G810)&lt;&gt;"",INDEX(CONFIRM!$H$5:$H$53,G810),IFERROR(INDEX(MAP!$B$7:$B$156,MATCH(TRIM(O810),MAP!$A$7:$A$156,0)),"UNMAPPED")),IFERROR(INDEX(MAP!$B$7:$B$156,MATCH(TRIM(O810),MAP!$A$7:$A$156,0)),"UNMAPPED"))</f>
        <v>Social Worker</v>
      </c>
      <c r="Q810" s="48" t="n">
        <f aca="false">STACK!I810</f>
        <v>8</v>
      </c>
      <c r="R810" s="60" t="n">
        <f aca="false">IF(G810&gt;0,IF(INDEX(CONFIRM!$F$5:$F$53,G810)&lt;&gt;"",INDEX(CONFIRM!$F$5:$F$53,G810),IF(ISNUMBER(Q810),Q810,IF(Q810="","",IFERROR(VALUE(TRIM(SUBSTITUTE(SUBSTITUTE(LOWER(Q810),"hrs",""),"hr",""))),"")))),IF(ISNUMBER(Q810),Q810,IF(Q810="","",IFERROR(VALUE(TRIM(SUBSTITUTE(SUBSTITUTE(LOWER(Q810),"hrs",""),"hr",""))),""))))</f>
        <v>8</v>
      </c>
      <c r="S810" s="57" t="n">
        <f aca="false">IFERROR(INDEX(RATES!$E$6:$E$28,MATCH(P810,RATES!$A$6:$A$28,0)),0)</f>
        <v>45.6175</v>
      </c>
      <c r="T810" s="61" t="n">
        <f aca="false">IF(ISNUMBER(R810),R810,0)*S810</f>
        <v>364.94</v>
      </c>
      <c r="U810" s="61" t="n">
        <f aca="false">T810*INDEX(INPUTS!$H$10:$H$14,MATCH(B810,INPUTS!$A$10:$A$14,0))</f>
        <v>59.12028</v>
      </c>
      <c r="V810" s="61" t="n">
        <f aca="false">N(STACK!K810)</f>
        <v>445</v>
      </c>
      <c r="W810" s="61" t="n">
        <f aca="false">T810+U810+V810</f>
        <v>869.06028</v>
      </c>
      <c r="X810" s="61" t="n">
        <f aca="false">N(STACK!L810)</f>
        <v>0</v>
      </c>
      <c r="Y810" s="61" t="n">
        <f aca="false">W810-X810</f>
        <v>869.06028</v>
      </c>
      <c r="Z810" s="1" t="n">
        <f aca="false">N(STACK!J810)</f>
        <v>31</v>
      </c>
      <c r="AA810" s="1" t="str">
        <f aca="false">TRIM(IF(D810="UNMAPPED","Program not mapped. ","")&amp;IF(OR(K810="UNMAPPED",K810="UNASSIGNED"),"Category needs review. ","")&amp;IF(P810="UNMAPPED","Title not mapped. ","")&amp;IF(AND(P810&lt;&gt;"No staff time",R810=""),"Missing hours. ","")&amp;IF(M810="","Date not readable. ","")&amp;IF(N810="No","Outside fiscal year. ","")&amp;IF(AND(F810="Event",ISNUMBER(R810)),IF(R810&gt;12,"Event hours look high. ",""),"")&amp;IF(G810&gt;0,"See CONFIRM sheet.",""))</f>
        <v/>
      </c>
      <c r="AB810" s="1" t="n">
        <f aca="false">IF(N810="No",0,IF(REVIEW!O810=0,0,IF(G810&gt;0,IF(INDEX(CONFIRM!$J$5:$J$53,G810)&lt;&gt;"",INDEX(CONFIRM!$J$5:$J$53,G810),1),1)))</f>
        <v>1</v>
      </c>
      <c r="AC810" s="1" t="n">
        <f aca="false">IF(AB810=1,IF(COUNTIFS($B$5:B810,B810,$D$5:D810,D810,$AB$5:AB810,1)=1,1,0),0)</f>
        <v>0</v>
      </c>
    </row>
    <row r="811" customFormat="false" ht="15" hidden="false" customHeight="false" outlineLevel="0" collapsed="false">
      <c r="A811" s="48" t="str">
        <f aca="false">STACK!A811</f>
        <v>ASH-0278</v>
      </c>
      <c r="B811" s="48" t="str">
        <f aca="false">STACK!B811</f>
        <v>ASH</v>
      </c>
      <c r="C811" s="48" t="str">
        <f aca="false">STACK!E811</f>
        <v>DPP Classes</v>
      </c>
      <c r="D811" s="1" t="str">
        <f aca="false">IFERROR(INDEX(MAP!$J$7:$J$101,MATCH(TRIM(C811),MAP!$I$7:$I$101,0)),"UNMAPPED")</f>
        <v>Diabetes Prevention Classes</v>
      </c>
      <c r="E811" s="1" t="str">
        <f aca="false">IFERROR(INDEX(MAP!$K$7:$K$101,MATCH(TRIM(C811),MAP!$I$7:$I$101,0)),"")</f>
        <v>Chronic disease prevention</v>
      </c>
      <c r="F811" s="1" t="str">
        <f aca="false">IFERROR(INDEX(MAP!$L$7:$L$101,MATCH(TRIM(C811),MAP!$I$7:$I$101,0)),"")</f>
        <v>Event</v>
      </c>
      <c r="G811" s="1" t="n">
        <f aca="false">IFERROR(MATCH(A811,CONFIRM!$A$5:$A$53,0),0)</f>
        <v>0</v>
      </c>
      <c r="H811" s="48" t="str">
        <f aca="false">STACK!F811</f>
        <v>Comm Hlth Ed</v>
      </c>
      <c r="I811" s="1" t="str">
        <f aca="false">IF(G811&gt;0,IF(INDEX(CONFIRM!$I$5:$I$53,G811)&lt;&gt;"",INDEX(CONFIRM!$I$5:$I$53,G811),H811),H811)</f>
        <v>Comm Hlth Ed</v>
      </c>
      <c r="J811" s="1" t="str">
        <f aca="false">IFERROR(INDEX(MAP!$F$7:$F$74,MATCH(TRIM(I811),MAP!$E$7:$E$74,0)),"UNMAPPED")</f>
        <v>Community health education</v>
      </c>
      <c r="K811" s="1" t="str">
        <f aca="false">IFERROR(INDEX(MAP!$G$7:$G$74,MATCH(TRIM(I811),MAP!$E$7:$E$74,0)),"UNMAPPED")</f>
        <v>7e</v>
      </c>
      <c r="L811" s="49" t="str">
        <f aca="false">STACK!G811</f>
        <v>06/23/2026</v>
      </c>
      <c r="M811" s="59" t="n">
        <f aca="false">IF(G811&gt;0,IF(INDEX(CONFIRM!$G$5:$G$53,G811)&lt;&gt;"",INDEX(CONFIRM!$G$5:$G$53,G811),IF(ISNUMBER(L811),L811,IFERROR(DATEVALUE(L811),""))),IF(ISNUMBER(L811),L811,IFERROR(DATEVALUE(L811),"")))</f>
        <v>46196</v>
      </c>
      <c r="N811" s="1" t="str">
        <f aca="false">IF(M811="","Check",IF(AND(M811&gt;=INPUTS!$C$6,M811&lt;=INPUTS!$C$7),"Yes","No"))</f>
        <v>Yes</v>
      </c>
      <c r="O811" s="48" t="str">
        <f aca="false">STACK!H811</f>
        <v>Health Ed</v>
      </c>
      <c r="P811" s="1" t="str">
        <f aca="false">IF(G811&gt;0,IF(INDEX(CONFIRM!$H$5:$H$53,G811)&lt;&gt;"",INDEX(CONFIRM!$H$5:$H$53,G811),IFERROR(INDEX(MAP!$B$7:$B$156,MATCH(TRIM(O811),MAP!$A$7:$A$156,0)),"UNMAPPED")),IFERROR(INDEX(MAP!$B$7:$B$156,MATCH(TRIM(O811),MAP!$A$7:$A$156,0)),"UNMAPPED"))</f>
        <v>Health Educator</v>
      </c>
      <c r="Q811" s="48" t="n">
        <f aca="false">STACK!I811</f>
        <v>2.5</v>
      </c>
      <c r="R811" s="60" t="n">
        <f aca="false">IF(G811&gt;0,IF(INDEX(CONFIRM!$F$5:$F$53,G811)&lt;&gt;"",INDEX(CONFIRM!$F$5:$F$53,G811),IF(ISNUMBER(Q811),Q811,IF(Q811="","",IFERROR(VALUE(TRIM(SUBSTITUTE(SUBSTITUTE(LOWER(Q811),"hrs",""),"hr",""))),"")))),IF(ISNUMBER(Q811),Q811,IF(Q811="","",IFERROR(VALUE(TRIM(SUBSTITUTE(SUBSTITUTE(LOWER(Q811),"hrs",""),"hr",""))),""))))</f>
        <v>2.5</v>
      </c>
      <c r="S811" s="57" t="n">
        <f aca="false">IFERROR(INDEX(RATES!$E$6:$E$28,MATCH(P811,RATES!$A$6:$A$28,0)),0)</f>
        <v>37.265</v>
      </c>
      <c r="T811" s="61" t="n">
        <f aca="false">IF(ISNUMBER(R811),R811,0)*S811</f>
        <v>93.1625</v>
      </c>
      <c r="U811" s="61" t="n">
        <f aca="false">T811*INDEX(INPUTS!$H$10:$H$14,MATCH(B811,INPUTS!$A$10:$A$14,0))</f>
        <v>15.092325</v>
      </c>
      <c r="V811" s="61" t="n">
        <f aca="false">N(STACK!K811)</f>
        <v>65</v>
      </c>
      <c r="W811" s="61" t="n">
        <f aca="false">T811+U811+V811</f>
        <v>173.254825</v>
      </c>
      <c r="X811" s="61" t="n">
        <f aca="false">N(STACK!L811)</f>
        <v>0</v>
      </c>
      <c r="Y811" s="61" t="n">
        <f aca="false">W811-X811</f>
        <v>173.254825</v>
      </c>
      <c r="Z811" s="1" t="n">
        <f aca="false">N(STACK!J811)</f>
        <v>17</v>
      </c>
      <c r="AA811" s="1" t="str">
        <f aca="false">TRIM(IF(D811="UNMAPPED","Program not mapped. ","")&amp;IF(OR(K811="UNMAPPED",K811="UNASSIGNED"),"Category needs review. ","")&amp;IF(P811="UNMAPPED","Title not mapped. ","")&amp;IF(AND(P811&lt;&gt;"No staff time",R811=""),"Missing hours. ","")&amp;IF(M811="","Date not readable. ","")&amp;IF(N811="No","Outside fiscal year. ","")&amp;IF(AND(F811="Event",ISNUMBER(R811)),IF(R811&gt;12,"Event hours look high. ",""),"")&amp;IF(G811&gt;0,"See CONFIRM sheet.",""))</f>
        <v/>
      </c>
      <c r="AB811" s="1" t="n">
        <f aca="false">IF(N811="No",0,IF(REVIEW!O811=0,0,IF(G811&gt;0,IF(INDEX(CONFIRM!$J$5:$J$53,G811)&lt;&gt;"",INDEX(CONFIRM!$J$5:$J$53,G811),1),1)))</f>
        <v>1</v>
      </c>
      <c r="AC811" s="1" t="n">
        <f aca="false">IF(AB811=1,IF(COUNTIFS($B$5:B811,B811,$D$5:D811,D811,$AB$5:AB811,1)=1,1,0),0)</f>
        <v>0</v>
      </c>
    </row>
    <row r="812" customFormat="false" ht="15" hidden="false" customHeight="false" outlineLevel="0" collapsed="false">
      <c r="A812" s="48" t="str">
        <f aca="false">STACK!A812</f>
        <v>ASH-0279</v>
      </c>
      <c r="B812" s="48" t="str">
        <f aca="false">STACK!B812</f>
        <v>ASH</v>
      </c>
      <c r="C812" s="48" t="str">
        <f aca="false">STACK!E812</f>
        <v>DPP Classes</v>
      </c>
      <c r="D812" s="1" t="str">
        <f aca="false">IFERROR(INDEX(MAP!$J$7:$J$101,MATCH(TRIM(C812),MAP!$I$7:$I$101,0)),"UNMAPPED")</f>
        <v>Diabetes Prevention Classes</v>
      </c>
      <c r="E812" s="1" t="str">
        <f aca="false">IFERROR(INDEX(MAP!$K$7:$K$101,MATCH(TRIM(C812),MAP!$I$7:$I$101,0)),"")</f>
        <v>Chronic disease prevention</v>
      </c>
      <c r="F812" s="1" t="str">
        <f aca="false">IFERROR(INDEX(MAP!$L$7:$L$101,MATCH(TRIM(C812),MAP!$I$7:$I$101,0)),"")</f>
        <v>Event</v>
      </c>
      <c r="G812" s="1" t="n">
        <f aca="false">IFERROR(MATCH(A812,CONFIRM!$A$5:$A$53,0),0)</f>
        <v>0</v>
      </c>
      <c r="H812" s="48" t="str">
        <f aca="false">STACK!F812</f>
        <v>Comm Hlth Ed</v>
      </c>
      <c r="I812" s="1" t="str">
        <f aca="false">IF(G812&gt;0,IF(INDEX(CONFIRM!$I$5:$I$53,G812)&lt;&gt;"",INDEX(CONFIRM!$I$5:$I$53,G812),H812),H812)</f>
        <v>Comm Hlth Ed</v>
      </c>
      <c r="J812" s="1" t="str">
        <f aca="false">IFERROR(INDEX(MAP!$F$7:$F$74,MATCH(TRIM(I812),MAP!$E$7:$E$74,0)),"UNMAPPED")</f>
        <v>Community health education</v>
      </c>
      <c r="K812" s="1" t="str">
        <f aca="false">IFERROR(INDEX(MAP!$G$7:$G$74,MATCH(TRIM(I812),MAP!$E$7:$E$74,0)),"UNMAPPED")</f>
        <v>7e</v>
      </c>
      <c r="L812" s="49" t="str">
        <f aca="false">STACK!G812</f>
        <v>06/23/2026</v>
      </c>
      <c r="M812" s="59" t="n">
        <f aca="false">IF(G812&gt;0,IF(INDEX(CONFIRM!$G$5:$G$53,G812)&lt;&gt;"",INDEX(CONFIRM!$G$5:$G$53,G812),IF(ISNUMBER(L812),L812,IFERROR(DATEVALUE(L812),""))),IF(ISNUMBER(L812),L812,IFERROR(DATEVALUE(L812),"")))</f>
        <v>46196</v>
      </c>
      <c r="N812" s="1" t="str">
        <f aca="false">IF(M812="","Check",IF(AND(M812&gt;=INPUTS!$C$6,M812&lt;=INPUTS!$C$7),"Yes","No"))</f>
        <v>Yes</v>
      </c>
      <c r="O812" s="48" t="str">
        <f aca="false">STACK!H812</f>
        <v>RD</v>
      </c>
      <c r="P812" s="1" t="str">
        <f aca="false">IF(G812&gt;0,IF(INDEX(CONFIRM!$H$5:$H$53,G812)&lt;&gt;"",INDEX(CONFIRM!$H$5:$H$53,G812),IFERROR(INDEX(MAP!$B$7:$B$156,MATCH(TRIM(O812),MAP!$A$7:$A$156,0)),"UNMAPPED")),IFERROR(INDEX(MAP!$B$7:$B$156,MATCH(TRIM(O812),MAP!$A$7:$A$156,0)),"UNMAPPED"))</f>
        <v>Registered Dietitian</v>
      </c>
      <c r="Q812" s="48" t="n">
        <f aca="false">STACK!I812</f>
        <v>1.5</v>
      </c>
      <c r="R812" s="60" t="n">
        <f aca="false">IF(G812&gt;0,IF(INDEX(CONFIRM!$F$5:$F$53,G812)&lt;&gt;"",INDEX(CONFIRM!$F$5:$F$53,G812),IF(ISNUMBER(Q812),Q812,IF(Q812="","",IFERROR(VALUE(TRIM(SUBSTITUTE(SUBSTITUTE(LOWER(Q812),"hrs",""),"hr",""))),"")))),IF(ISNUMBER(Q812),Q812,IF(Q812="","",IFERROR(VALUE(TRIM(SUBSTITUTE(SUBSTITUTE(LOWER(Q812),"hrs",""),"hr",""))),""))))</f>
        <v>1.5</v>
      </c>
      <c r="S812" s="57" t="n">
        <f aca="false">IFERROR(INDEX(RATES!$E$6:$E$28,MATCH(P812,RATES!$A$6:$A$28,0)),0)</f>
        <v>46.9025</v>
      </c>
      <c r="T812" s="61" t="n">
        <f aca="false">IF(ISNUMBER(R812),R812,0)*S812</f>
        <v>70.35375</v>
      </c>
      <c r="U812" s="61" t="n">
        <f aca="false">T812*INDEX(INPUTS!$H$10:$H$14,MATCH(B812,INPUTS!$A$10:$A$14,0))</f>
        <v>11.3973075</v>
      </c>
      <c r="V812" s="61" t="n">
        <f aca="false">N(STACK!K812)</f>
        <v>0</v>
      </c>
      <c r="W812" s="61" t="n">
        <f aca="false">T812+U812+V812</f>
        <v>81.7510575</v>
      </c>
      <c r="X812" s="61" t="n">
        <f aca="false">N(STACK!L812)</f>
        <v>0</v>
      </c>
      <c r="Y812" s="61" t="n">
        <f aca="false">W812-X812</f>
        <v>81.7510575</v>
      </c>
      <c r="Z812" s="1" t="n">
        <f aca="false">N(STACK!J812)</f>
        <v>0</v>
      </c>
      <c r="AA812" s="1" t="str">
        <f aca="false">TRIM(IF(D812="UNMAPPED","Program not mapped. ","")&amp;IF(OR(K812="UNMAPPED",K812="UNASSIGNED"),"Category needs review. ","")&amp;IF(P812="UNMAPPED","Title not mapped. ","")&amp;IF(AND(P812&lt;&gt;"No staff time",R812=""),"Missing hours. ","")&amp;IF(M812="","Date not readable. ","")&amp;IF(N812="No","Outside fiscal year. ","")&amp;IF(AND(F812="Event",ISNUMBER(R812)),IF(R812&gt;12,"Event hours look high. ",""),"")&amp;IF(G812&gt;0,"See CONFIRM sheet.",""))</f>
        <v/>
      </c>
      <c r="AB812" s="1" t="n">
        <f aca="false">IF(N812="No",0,IF(REVIEW!O812=0,0,IF(G812&gt;0,IF(INDEX(CONFIRM!$J$5:$J$53,G812)&lt;&gt;"",INDEX(CONFIRM!$J$5:$J$53,G812),1),1)))</f>
        <v>1</v>
      </c>
      <c r="AC812" s="1" t="n">
        <f aca="false">IF(AB812=1,IF(COUNTIFS($B$5:B812,B812,$D$5:D812,D812,$AB$5:AB812,1)=1,1,0),0)</f>
        <v>0</v>
      </c>
    </row>
    <row r="813" customFormat="false" ht="15" hidden="false" customHeight="false" outlineLevel="0" collapsed="false">
      <c r="A813" s="48" t="str">
        <f aca="false">STACK!A813</f>
        <v>ASH-0280</v>
      </c>
      <c r="B813" s="48" t="str">
        <f aca="false">STACK!B813</f>
        <v>ASH</v>
      </c>
      <c r="C813" s="48" t="str">
        <f aca="false">STACK!E813</f>
        <v>DPP Classes</v>
      </c>
      <c r="D813" s="1" t="str">
        <f aca="false">IFERROR(INDEX(MAP!$J$7:$J$101,MATCH(TRIM(C813),MAP!$I$7:$I$101,0)),"UNMAPPED")</f>
        <v>Diabetes Prevention Classes</v>
      </c>
      <c r="E813" s="1" t="str">
        <f aca="false">IFERROR(INDEX(MAP!$K$7:$K$101,MATCH(TRIM(C813),MAP!$I$7:$I$101,0)),"")</f>
        <v>Chronic disease prevention</v>
      </c>
      <c r="F813" s="1" t="str">
        <f aca="false">IFERROR(INDEX(MAP!$L$7:$L$101,MATCH(TRIM(C813),MAP!$I$7:$I$101,0)),"")</f>
        <v>Event</v>
      </c>
      <c r="G813" s="1" t="n">
        <f aca="false">IFERROR(MATCH(A813,CONFIRM!$A$5:$A$53,0),0)</f>
        <v>0</v>
      </c>
      <c r="H813" s="48" t="str">
        <f aca="false">STACK!F813</f>
        <v>Comm Hlth Ed</v>
      </c>
      <c r="I813" s="1" t="str">
        <f aca="false">IF(G813&gt;0,IF(INDEX(CONFIRM!$I$5:$I$53,G813)&lt;&gt;"",INDEX(CONFIRM!$I$5:$I$53,G813),H813),H813)</f>
        <v>Comm Hlth Ed</v>
      </c>
      <c r="J813" s="1" t="str">
        <f aca="false">IFERROR(INDEX(MAP!$F$7:$F$74,MATCH(TRIM(I813),MAP!$E$7:$E$74,0)),"UNMAPPED")</f>
        <v>Community health education</v>
      </c>
      <c r="K813" s="1" t="str">
        <f aca="false">IFERROR(INDEX(MAP!$G$7:$G$74,MATCH(TRIM(I813),MAP!$E$7:$E$74,0)),"UNMAPPED")</f>
        <v>7e</v>
      </c>
      <c r="L813" s="49" t="str">
        <f aca="false">STACK!G813</f>
        <v>06/25/2026</v>
      </c>
      <c r="M813" s="59" t="n">
        <f aca="false">IF(G813&gt;0,IF(INDEX(CONFIRM!$G$5:$G$53,G813)&lt;&gt;"",INDEX(CONFIRM!$G$5:$G$53,G813),IF(ISNUMBER(L813),L813,IFERROR(DATEVALUE(L813),""))),IF(ISNUMBER(L813),L813,IFERROR(DATEVALUE(L813),"")))</f>
        <v>46198</v>
      </c>
      <c r="N813" s="1" t="str">
        <f aca="false">IF(M813="","Check",IF(AND(M813&gt;=INPUTS!$C$6,M813&lt;=INPUTS!$C$7),"Yes","No"))</f>
        <v>Yes</v>
      </c>
      <c r="O813" s="48" t="str">
        <f aca="false">STACK!H813</f>
        <v>CHES</v>
      </c>
      <c r="P813" s="1" t="str">
        <f aca="false">IF(G813&gt;0,IF(INDEX(CONFIRM!$H$5:$H$53,G813)&lt;&gt;"",INDEX(CONFIRM!$H$5:$H$53,G813),IFERROR(INDEX(MAP!$B$7:$B$156,MATCH(TRIM(O813),MAP!$A$7:$A$156,0)),"UNMAPPED")),IFERROR(INDEX(MAP!$B$7:$B$156,MATCH(TRIM(O813),MAP!$A$7:$A$156,0)),"UNMAPPED"))</f>
        <v>Health Educator</v>
      </c>
      <c r="Q813" s="48" t="n">
        <f aca="false">STACK!I813</f>
        <v>2.75</v>
      </c>
      <c r="R813" s="60" t="n">
        <f aca="false">IF(G813&gt;0,IF(INDEX(CONFIRM!$F$5:$F$53,G813)&lt;&gt;"",INDEX(CONFIRM!$F$5:$F$53,G813),IF(ISNUMBER(Q813),Q813,IF(Q813="","",IFERROR(VALUE(TRIM(SUBSTITUTE(SUBSTITUTE(LOWER(Q813),"hrs",""),"hr",""))),"")))),IF(ISNUMBER(Q813),Q813,IF(Q813="","",IFERROR(VALUE(TRIM(SUBSTITUTE(SUBSTITUTE(LOWER(Q813),"hrs",""),"hr",""))),""))))</f>
        <v>2.75</v>
      </c>
      <c r="S813" s="57" t="n">
        <f aca="false">IFERROR(INDEX(RATES!$E$6:$E$28,MATCH(P813,RATES!$A$6:$A$28,0)),0)</f>
        <v>37.265</v>
      </c>
      <c r="T813" s="61" t="n">
        <f aca="false">IF(ISNUMBER(R813),R813,0)*S813</f>
        <v>102.47875</v>
      </c>
      <c r="U813" s="61" t="n">
        <f aca="false">T813*INDEX(INPUTS!$H$10:$H$14,MATCH(B813,INPUTS!$A$10:$A$14,0))</f>
        <v>16.6015575</v>
      </c>
      <c r="V813" s="61" t="n">
        <f aca="false">N(STACK!K813)</f>
        <v>85</v>
      </c>
      <c r="W813" s="61" t="n">
        <f aca="false">T813+U813+V813</f>
        <v>204.0803075</v>
      </c>
      <c r="X813" s="61" t="n">
        <f aca="false">N(STACK!L813)</f>
        <v>0</v>
      </c>
      <c r="Y813" s="61" t="n">
        <f aca="false">W813-X813</f>
        <v>204.0803075</v>
      </c>
      <c r="Z813" s="1" t="n">
        <f aca="false">N(STACK!J813)</f>
        <v>13</v>
      </c>
      <c r="AA813" s="1" t="str">
        <f aca="false">TRIM(IF(D813="UNMAPPED","Program not mapped. ","")&amp;IF(OR(K813="UNMAPPED",K813="UNASSIGNED"),"Category needs review. ","")&amp;IF(P813="UNMAPPED","Title not mapped. ","")&amp;IF(AND(P813&lt;&gt;"No staff time",R813=""),"Missing hours. ","")&amp;IF(M813="","Date not readable. ","")&amp;IF(N813="No","Outside fiscal year. ","")&amp;IF(AND(F813="Event",ISNUMBER(R813)),IF(R813&gt;12,"Event hours look high. ",""),"")&amp;IF(G813&gt;0,"See CONFIRM sheet.",""))</f>
        <v/>
      </c>
      <c r="AB813" s="1" t="n">
        <f aca="false">IF(N813="No",0,IF(REVIEW!O813=0,0,IF(G813&gt;0,IF(INDEX(CONFIRM!$J$5:$J$53,G813)&lt;&gt;"",INDEX(CONFIRM!$J$5:$J$53,G813),1),1)))</f>
        <v>1</v>
      </c>
      <c r="AC813" s="1" t="n">
        <f aca="false">IF(AB813=1,IF(COUNTIFS($B$5:B813,B813,$D$5:D813,D813,$AB$5:AB813,1)=1,1,0),0)</f>
        <v>0</v>
      </c>
    </row>
    <row r="814" customFormat="false" ht="15" hidden="false" customHeight="false" outlineLevel="0" collapsed="false">
      <c r="A814" s="48" t="str">
        <f aca="false">STACK!A814</f>
        <v>ASH-0281</v>
      </c>
      <c r="B814" s="48" t="str">
        <f aca="false">STACK!B814</f>
        <v>ASH</v>
      </c>
      <c r="C814" s="48" t="str">
        <f aca="false">STACK!E814</f>
        <v>DPP Classes</v>
      </c>
      <c r="D814" s="1" t="str">
        <f aca="false">IFERROR(INDEX(MAP!$J$7:$J$101,MATCH(TRIM(C814),MAP!$I$7:$I$101,0)),"UNMAPPED")</f>
        <v>Diabetes Prevention Classes</v>
      </c>
      <c r="E814" s="1" t="str">
        <f aca="false">IFERROR(INDEX(MAP!$K$7:$K$101,MATCH(TRIM(C814),MAP!$I$7:$I$101,0)),"")</f>
        <v>Chronic disease prevention</v>
      </c>
      <c r="F814" s="1" t="str">
        <f aca="false">IFERROR(INDEX(MAP!$L$7:$L$101,MATCH(TRIM(C814),MAP!$I$7:$I$101,0)),"")</f>
        <v>Event</v>
      </c>
      <c r="G814" s="1" t="n">
        <f aca="false">IFERROR(MATCH(A814,CONFIRM!$A$5:$A$53,0),0)</f>
        <v>0</v>
      </c>
      <c r="H814" s="48" t="str">
        <f aca="false">STACK!F814</f>
        <v>Comm Hlth Ed</v>
      </c>
      <c r="I814" s="1" t="str">
        <f aca="false">IF(G814&gt;0,IF(INDEX(CONFIRM!$I$5:$I$53,G814)&lt;&gt;"",INDEX(CONFIRM!$I$5:$I$53,G814),H814),H814)</f>
        <v>Comm Hlth Ed</v>
      </c>
      <c r="J814" s="1" t="str">
        <f aca="false">IFERROR(INDEX(MAP!$F$7:$F$74,MATCH(TRIM(I814),MAP!$E$7:$E$74,0)),"UNMAPPED")</f>
        <v>Community health education</v>
      </c>
      <c r="K814" s="1" t="str">
        <f aca="false">IFERROR(INDEX(MAP!$G$7:$G$74,MATCH(TRIM(I814),MAP!$E$7:$E$74,0)),"UNMAPPED")</f>
        <v>7e</v>
      </c>
      <c r="L814" s="49" t="str">
        <f aca="false">STACK!G814</f>
        <v>06/25/2026</v>
      </c>
      <c r="M814" s="59" t="n">
        <f aca="false">IF(G814&gt;0,IF(INDEX(CONFIRM!$G$5:$G$53,G814)&lt;&gt;"",INDEX(CONFIRM!$G$5:$G$53,G814),IF(ISNUMBER(L814),L814,IFERROR(DATEVALUE(L814),""))),IF(ISNUMBER(L814),L814,IFERROR(DATEVALUE(L814),"")))</f>
        <v>46198</v>
      </c>
      <c r="N814" s="1" t="str">
        <f aca="false">IF(M814="","Check",IF(AND(M814&gt;=INPUTS!$C$6,M814&lt;=INPUTS!$C$7),"Yes","No"))</f>
        <v>Yes</v>
      </c>
      <c r="O814" s="48" t="str">
        <f aca="false">STACK!H814</f>
        <v>Nutritionist</v>
      </c>
      <c r="P814" s="1" t="str">
        <f aca="false">IF(G814&gt;0,IF(INDEX(CONFIRM!$H$5:$H$53,G814)&lt;&gt;"",INDEX(CONFIRM!$H$5:$H$53,G814),IFERROR(INDEX(MAP!$B$7:$B$156,MATCH(TRIM(O814),MAP!$A$7:$A$156,0)),"UNMAPPED")),IFERROR(INDEX(MAP!$B$7:$B$156,MATCH(TRIM(O814),MAP!$A$7:$A$156,0)),"UNMAPPED"))</f>
        <v>Registered Dietitian</v>
      </c>
      <c r="Q814" s="48" t="str">
        <f aca="false">STACK!I814</f>
        <v>1.5 hrs</v>
      </c>
      <c r="R814" s="60" t="n">
        <f aca="false">IF(G814&gt;0,IF(INDEX(CONFIRM!$F$5:$F$53,G814)&lt;&gt;"",INDEX(CONFIRM!$F$5:$F$53,G814),IF(ISNUMBER(Q814),Q814,IF(Q814="","",IFERROR(VALUE(TRIM(SUBSTITUTE(SUBSTITUTE(LOWER(Q814),"hrs",""),"hr",""))),"")))),IF(ISNUMBER(Q814),Q814,IF(Q814="","",IFERROR(VALUE(TRIM(SUBSTITUTE(SUBSTITUTE(LOWER(Q814),"hrs",""),"hr",""))),""))))</f>
        <v>1.5</v>
      </c>
      <c r="S814" s="57" t="n">
        <f aca="false">IFERROR(INDEX(RATES!$E$6:$E$28,MATCH(P814,RATES!$A$6:$A$28,0)),0)</f>
        <v>46.9025</v>
      </c>
      <c r="T814" s="61" t="n">
        <f aca="false">IF(ISNUMBER(R814),R814,0)*S814</f>
        <v>70.35375</v>
      </c>
      <c r="U814" s="61" t="n">
        <f aca="false">T814*INDEX(INPUTS!$H$10:$H$14,MATCH(B814,INPUTS!$A$10:$A$14,0))</f>
        <v>11.3973075</v>
      </c>
      <c r="V814" s="61" t="n">
        <f aca="false">N(STACK!K814)</f>
        <v>0</v>
      </c>
      <c r="W814" s="61" t="n">
        <f aca="false">T814+U814+V814</f>
        <v>81.7510575</v>
      </c>
      <c r="X814" s="61" t="n">
        <f aca="false">N(STACK!L814)</f>
        <v>0</v>
      </c>
      <c r="Y814" s="61" t="n">
        <f aca="false">W814-X814</f>
        <v>81.7510575</v>
      </c>
      <c r="Z814" s="1" t="n">
        <f aca="false">N(STACK!J814)</f>
        <v>0</v>
      </c>
      <c r="AA814" s="1" t="str">
        <f aca="false">TRIM(IF(D814="UNMAPPED","Program not mapped. ","")&amp;IF(OR(K814="UNMAPPED",K814="UNASSIGNED"),"Category needs review. ","")&amp;IF(P814="UNMAPPED","Title not mapped. ","")&amp;IF(AND(P814&lt;&gt;"No staff time",R814=""),"Missing hours. ","")&amp;IF(M814="","Date not readable. ","")&amp;IF(N814="No","Outside fiscal year. ","")&amp;IF(AND(F814="Event",ISNUMBER(R814)),IF(R814&gt;12,"Event hours look high. ",""),"")&amp;IF(G814&gt;0,"See CONFIRM sheet.",""))</f>
        <v/>
      </c>
      <c r="AB814" s="1" t="n">
        <f aca="false">IF(N814="No",0,IF(REVIEW!O814=0,0,IF(G814&gt;0,IF(INDEX(CONFIRM!$J$5:$J$53,G814)&lt;&gt;"",INDEX(CONFIRM!$J$5:$J$53,G814),1),1)))</f>
        <v>1</v>
      </c>
      <c r="AC814" s="1" t="n">
        <f aca="false">IF(AB814=1,IF(COUNTIFS($B$5:B814,B814,$D$5:D814,D814,$AB$5:AB814,1)=1,1,0),0)</f>
        <v>0</v>
      </c>
    </row>
    <row r="815" customFormat="false" ht="15" hidden="false" customHeight="false" outlineLevel="0" collapsed="false">
      <c r="A815" s="48" t="str">
        <f aca="false">STACK!A815</f>
        <v>ASH-0282</v>
      </c>
      <c r="B815" s="48" t="str">
        <f aca="false">STACK!B815</f>
        <v>ASH</v>
      </c>
      <c r="C815" s="48" t="str">
        <f aca="false">STACK!E815</f>
        <v>DPP Classes</v>
      </c>
      <c r="D815" s="1" t="str">
        <f aca="false">IFERROR(INDEX(MAP!$J$7:$J$101,MATCH(TRIM(C815),MAP!$I$7:$I$101,0)),"UNMAPPED")</f>
        <v>Diabetes Prevention Classes</v>
      </c>
      <c r="E815" s="1" t="str">
        <f aca="false">IFERROR(INDEX(MAP!$K$7:$K$101,MATCH(TRIM(C815),MAP!$I$7:$I$101,0)),"")</f>
        <v>Chronic disease prevention</v>
      </c>
      <c r="F815" s="1" t="str">
        <f aca="false">IFERROR(INDEX(MAP!$L$7:$L$101,MATCH(TRIM(C815),MAP!$I$7:$I$101,0)),"")</f>
        <v>Event</v>
      </c>
      <c r="G815" s="1" t="n">
        <f aca="false">IFERROR(MATCH(A815,CONFIRM!$A$5:$A$53,0),0)</f>
        <v>0</v>
      </c>
      <c r="H815" s="48" t="str">
        <f aca="false">STACK!F815</f>
        <v>Comm Hlth Ed</v>
      </c>
      <c r="I815" s="1" t="str">
        <f aca="false">IF(G815&gt;0,IF(INDEX(CONFIRM!$I$5:$I$53,G815)&lt;&gt;"",INDEX(CONFIRM!$I$5:$I$53,G815),H815),H815)</f>
        <v>Comm Hlth Ed</v>
      </c>
      <c r="J815" s="1" t="str">
        <f aca="false">IFERROR(INDEX(MAP!$F$7:$F$74,MATCH(TRIM(I815),MAP!$E$7:$E$74,0)),"UNMAPPED")</f>
        <v>Community health education</v>
      </c>
      <c r="K815" s="1" t="str">
        <f aca="false">IFERROR(INDEX(MAP!$G$7:$G$74,MATCH(TRIM(I815),MAP!$E$7:$E$74,0)),"UNMAPPED")</f>
        <v>7e</v>
      </c>
      <c r="L815" s="49" t="str">
        <f aca="false">STACK!G815</f>
        <v>06/27/2026</v>
      </c>
      <c r="M815" s="59" t="n">
        <f aca="false">IF(G815&gt;0,IF(INDEX(CONFIRM!$G$5:$G$53,G815)&lt;&gt;"",INDEX(CONFIRM!$G$5:$G$53,G815),IF(ISNUMBER(L815),L815,IFERROR(DATEVALUE(L815),""))),IF(ISNUMBER(L815),L815,IFERROR(DATEVALUE(L815),"")))</f>
        <v>46200</v>
      </c>
      <c r="N815" s="1" t="str">
        <f aca="false">IF(M815="","Check",IF(AND(M815&gt;=INPUTS!$C$6,M815&lt;=INPUTS!$C$7),"Yes","No"))</f>
        <v>Yes</v>
      </c>
      <c r="O815" s="48" t="str">
        <f aca="false">STACK!H815</f>
        <v> CHES</v>
      </c>
      <c r="P815" s="1" t="str">
        <f aca="false">IF(G815&gt;0,IF(INDEX(CONFIRM!$H$5:$H$53,G815)&lt;&gt;"",INDEX(CONFIRM!$H$5:$H$53,G815),IFERROR(INDEX(MAP!$B$7:$B$156,MATCH(TRIM(O815),MAP!$A$7:$A$156,0)),"UNMAPPED")),IFERROR(INDEX(MAP!$B$7:$B$156,MATCH(TRIM(O815),MAP!$A$7:$A$156,0)),"UNMAPPED"))</f>
        <v>Health Educator</v>
      </c>
      <c r="Q815" s="48" t="n">
        <f aca="false">STACK!I815</f>
        <v>2.5</v>
      </c>
      <c r="R815" s="60" t="n">
        <f aca="false">IF(G815&gt;0,IF(INDEX(CONFIRM!$F$5:$F$53,G815)&lt;&gt;"",INDEX(CONFIRM!$F$5:$F$53,G815),IF(ISNUMBER(Q815),Q815,IF(Q815="","",IFERROR(VALUE(TRIM(SUBSTITUTE(SUBSTITUTE(LOWER(Q815),"hrs",""),"hr",""))),"")))),IF(ISNUMBER(Q815),Q815,IF(Q815="","",IFERROR(VALUE(TRIM(SUBSTITUTE(SUBSTITUTE(LOWER(Q815),"hrs",""),"hr",""))),""))))</f>
        <v>2.5</v>
      </c>
      <c r="S815" s="57" t="n">
        <f aca="false">IFERROR(INDEX(RATES!$E$6:$E$28,MATCH(P815,RATES!$A$6:$A$28,0)),0)</f>
        <v>37.265</v>
      </c>
      <c r="T815" s="61" t="n">
        <f aca="false">IF(ISNUMBER(R815),R815,0)*S815</f>
        <v>93.1625</v>
      </c>
      <c r="U815" s="61" t="n">
        <f aca="false">T815*INDEX(INPUTS!$H$10:$H$14,MATCH(B815,INPUTS!$A$10:$A$14,0))</f>
        <v>15.092325</v>
      </c>
      <c r="V815" s="61" t="n">
        <f aca="false">N(STACK!K815)</f>
        <v>150</v>
      </c>
      <c r="W815" s="61" t="n">
        <f aca="false">T815+U815+V815</f>
        <v>258.254825</v>
      </c>
      <c r="X815" s="61" t="n">
        <f aca="false">N(STACK!L815)</f>
        <v>0</v>
      </c>
      <c r="Y815" s="61" t="n">
        <f aca="false">W815-X815</f>
        <v>258.254825</v>
      </c>
      <c r="Z815" s="1" t="n">
        <f aca="false">N(STACK!J815)</f>
        <v>17</v>
      </c>
      <c r="AA815" s="1" t="str">
        <f aca="false">TRIM(IF(D815="UNMAPPED","Program not mapped. ","")&amp;IF(OR(K815="UNMAPPED",K815="UNASSIGNED"),"Category needs review. ","")&amp;IF(P815="UNMAPPED","Title not mapped. ","")&amp;IF(AND(P815&lt;&gt;"No staff time",R815=""),"Missing hours. ","")&amp;IF(M815="","Date not readable. ","")&amp;IF(N815="No","Outside fiscal year. ","")&amp;IF(AND(F815="Event",ISNUMBER(R815)),IF(R815&gt;12,"Event hours look high. ",""),"")&amp;IF(G815&gt;0,"See CONFIRM sheet.",""))</f>
        <v/>
      </c>
      <c r="AB815" s="1" t="n">
        <f aca="false">IF(N815="No",0,IF(REVIEW!O815=0,0,IF(G815&gt;0,IF(INDEX(CONFIRM!$J$5:$J$53,G815)&lt;&gt;"",INDEX(CONFIRM!$J$5:$J$53,G815),1),1)))</f>
        <v>1</v>
      </c>
      <c r="AC815" s="1" t="n">
        <f aca="false">IF(AB815=1,IF(COUNTIFS($B$5:B815,B815,$D$5:D815,D815,$AB$5:AB815,1)=1,1,0),0)</f>
        <v>0</v>
      </c>
    </row>
    <row r="816" customFormat="false" ht="15" hidden="false" customHeight="false" outlineLevel="0" collapsed="false">
      <c r="A816" s="48" t="str">
        <f aca="false">STACK!A816</f>
        <v>ASH-0283</v>
      </c>
      <c r="B816" s="48" t="str">
        <f aca="false">STACK!B816</f>
        <v>ASH</v>
      </c>
      <c r="C816" s="48" t="str">
        <f aca="false">STACK!E816</f>
        <v>DPP Classes</v>
      </c>
      <c r="D816" s="1" t="str">
        <f aca="false">IFERROR(INDEX(MAP!$J$7:$J$101,MATCH(TRIM(C816),MAP!$I$7:$I$101,0)),"UNMAPPED")</f>
        <v>Diabetes Prevention Classes</v>
      </c>
      <c r="E816" s="1" t="str">
        <f aca="false">IFERROR(INDEX(MAP!$K$7:$K$101,MATCH(TRIM(C816),MAP!$I$7:$I$101,0)),"")</f>
        <v>Chronic disease prevention</v>
      </c>
      <c r="F816" s="1" t="str">
        <f aca="false">IFERROR(INDEX(MAP!$L$7:$L$101,MATCH(TRIM(C816),MAP!$I$7:$I$101,0)),"")</f>
        <v>Event</v>
      </c>
      <c r="G816" s="1" t="n">
        <f aca="false">IFERROR(MATCH(A816,CONFIRM!$A$5:$A$53,0),0)</f>
        <v>0</v>
      </c>
      <c r="H816" s="48" t="str">
        <f aca="false">STACK!F816</f>
        <v>Comm Hlth Ed</v>
      </c>
      <c r="I816" s="1" t="str">
        <f aca="false">IF(G816&gt;0,IF(INDEX(CONFIRM!$I$5:$I$53,G816)&lt;&gt;"",INDEX(CONFIRM!$I$5:$I$53,G816),H816),H816)</f>
        <v>Comm Hlth Ed</v>
      </c>
      <c r="J816" s="1" t="str">
        <f aca="false">IFERROR(INDEX(MAP!$F$7:$F$74,MATCH(TRIM(I816),MAP!$E$7:$E$74,0)),"UNMAPPED")</f>
        <v>Community health education</v>
      </c>
      <c r="K816" s="1" t="str">
        <f aca="false">IFERROR(INDEX(MAP!$G$7:$G$74,MATCH(TRIM(I816),MAP!$E$7:$E$74,0)),"UNMAPPED")</f>
        <v>7e</v>
      </c>
      <c r="L816" s="49" t="str">
        <f aca="false">STACK!G816</f>
        <v>06/27/2026</v>
      </c>
      <c r="M816" s="59" t="n">
        <f aca="false">IF(G816&gt;0,IF(INDEX(CONFIRM!$G$5:$G$53,G816)&lt;&gt;"",INDEX(CONFIRM!$G$5:$G$53,G816),IF(ISNUMBER(L816),L816,IFERROR(DATEVALUE(L816),""))),IF(ISNUMBER(L816),L816,IFERROR(DATEVALUE(L816),"")))</f>
        <v>46200</v>
      </c>
      <c r="N816" s="1" t="str">
        <f aca="false">IF(M816="","Check",IF(AND(M816&gt;=INPUTS!$C$6,M816&lt;=INPUTS!$C$7),"Yes","No"))</f>
        <v>Yes</v>
      </c>
      <c r="O816" s="48" t="str">
        <f aca="false">STACK!H816</f>
        <v>RD </v>
      </c>
      <c r="P816" s="1" t="str">
        <f aca="false">IF(G816&gt;0,IF(INDEX(CONFIRM!$H$5:$H$53,G816)&lt;&gt;"",INDEX(CONFIRM!$H$5:$H$53,G816),IFERROR(INDEX(MAP!$B$7:$B$156,MATCH(TRIM(O816),MAP!$A$7:$A$156,0)),"UNMAPPED")),IFERROR(INDEX(MAP!$B$7:$B$156,MATCH(TRIM(O816),MAP!$A$7:$A$156,0)),"UNMAPPED"))</f>
        <v>Registered Dietitian</v>
      </c>
      <c r="Q816" s="48" t="n">
        <f aca="false">STACK!I816</f>
        <v>1.75</v>
      </c>
      <c r="R816" s="60" t="n">
        <f aca="false">IF(G816&gt;0,IF(INDEX(CONFIRM!$F$5:$F$53,G816)&lt;&gt;"",INDEX(CONFIRM!$F$5:$F$53,G816),IF(ISNUMBER(Q816),Q816,IF(Q816="","",IFERROR(VALUE(TRIM(SUBSTITUTE(SUBSTITUTE(LOWER(Q816),"hrs",""),"hr",""))),"")))),IF(ISNUMBER(Q816),Q816,IF(Q816="","",IFERROR(VALUE(TRIM(SUBSTITUTE(SUBSTITUTE(LOWER(Q816),"hrs",""),"hr",""))),""))))</f>
        <v>1.75</v>
      </c>
      <c r="S816" s="57" t="n">
        <f aca="false">IFERROR(INDEX(RATES!$E$6:$E$28,MATCH(P816,RATES!$A$6:$A$28,0)),0)</f>
        <v>46.9025</v>
      </c>
      <c r="T816" s="61" t="n">
        <f aca="false">IF(ISNUMBER(R816),R816,0)*S816</f>
        <v>82.079375</v>
      </c>
      <c r="U816" s="61" t="n">
        <f aca="false">T816*INDEX(INPUTS!$H$10:$H$14,MATCH(B816,INPUTS!$A$10:$A$14,0))</f>
        <v>13.29685875</v>
      </c>
      <c r="V816" s="61" t="n">
        <f aca="false">N(STACK!K816)</f>
        <v>0</v>
      </c>
      <c r="W816" s="61" t="n">
        <f aca="false">T816+U816+V816</f>
        <v>95.37623375</v>
      </c>
      <c r="X816" s="61" t="n">
        <f aca="false">N(STACK!L816)</f>
        <v>0</v>
      </c>
      <c r="Y816" s="61" t="n">
        <f aca="false">W816-X816</f>
        <v>95.37623375</v>
      </c>
      <c r="Z816" s="1" t="n">
        <f aca="false">N(STACK!J816)</f>
        <v>0</v>
      </c>
      <c r="AA816" s="1" t="str">
        <f aca="false">TRIM(IF(D816="UNMAPPED","Program not mapped. ","")&amp;IF(OR(K816="UNMAPPED",K816="UNASSIGNED"),"Category needs review. ","")&amp;IF(P816="UNMAPPED","Title not mapped. ","")&amp;IF(AND(P816&lt;&gt;"No staff time",R816=""),"Missing hours. ","")&amp;IF(M816="","Date not readable. ","")&amp;IF(N816="No","Outside fiscal year. ","")&amp;IF(AND(F816="Event",ISNUMBER(R816)),IF(R816&gt;12,"Event hours look high. ",""),"")&amp;IF(G816&gt;0,"See CONFIRM sheet.",""))</f>
        <v/>
      </c>
      <c r="AB816" s="1" t="n">
        <f aca="false">IF(N816="No",0,IF(REVIEW!O816=0,0,IF(G816&gt;0,IF(INDEX(CONFIRM!$J$5:$J$53,G816)&lt;&gt;"",INDEX(CONFIRM!$J$5:$J$53,G816),1),1)))</f>
        <v>1</v>
      </c>
      <c r="AC816" s="1" t="n">
        <f aca="false">IF(AB816=1,IF(COUNTIFS($B$5:B816,B816,$D$5:D816,D816,$AB$5:AB816,1)=1,1,0),0)</f>
        <v>0</v>
      </c>
    </row>
    <row r="817" customFormat="false" ht="15" hidden="false" customHeight="false" outlineLevel="0" collapsed="false">
      <c r="A817" s="48" t="str">
        <f aca="false">STACK!A817</f>
        <v>ASH-0284</v>
      </c>
      <c r="B817" s="48" t="str">
        <f aca="false">STACK!B817</f>
        <v>ASH</v>
      </c>
      <c r="C817" s="48" t="str">
        <f aca="false">STACK!E817</f>
        <v>Mobile Screening Unit</v>
      </c>
      <c r="D817" s="1" t="str">
        <f aca="false">IFERROR(INDEX(MAP!$J$7:$J$101,MATCH(TRIM(C817),MAP!$I$7:$I$101,0)),"UNMAPPED")</f>
        <v>Mobile Health Screening Unit</v>
      </c>
      <c r="E817" s="1" t="str">
        <f aca="false">IFERROR(INDEX(MAP!$K$7:$K$101,MATCH(TRIM(C817),MAP!$I$7:$I$101,0)),"")</f>
        <v>Access to care</v>
      </c>
      <c r="F817" s="1" t="str">
        <f aca="false">IFERROR(INDEX(MAP!$L$7:$L$101,MATCH(TRIM(C817),MAP!$I$7:$I$101,0)),"")</f>
        <v>Monthly</v>
      </c>
      <c r="G817" s="1" t="n">
        <f aca="false">IFERROR(MATCH(A817,CONFIRM!$A$5:$A$53,0),0)</f>
        <v>0</v>
      </c>
      <c r="H817" s="48" t="str">
        <f aca="false">STACK!F817</f>
        <v>Clinical Svcs</v>
      </c>
      <c r="I817" s="1" t="str">
        <f aca="false">IF(G817&gt;0,IF(INDEX(CONFIRM!$I$5:$I$53,G817)&lt;&gt;"",INDEX(CONFIRM!$I$5:$I$53,G817),H817),H817)</f>
        <v>Clinical Svcs</v>
      </c>
      <c r="J817" s="1" t="str">
        <f aca="false">IFERROR(INDEX(MAP!$F$7:$F$74,MATCH(TRIM(I817),MAP!$E$7:$E$74,0)),"UNMAPPED")</f>
        <v>Community-based clinical services</v>
      </c>
      <c r="K817" s="1" t="str">
        <f aca="false">IFERROR(INDEX(MAP!$G$7:$G$74,MATCH(TRIM(I817),MAP!$E$7:$E$74,0)),"UNMAPPED")</f>
        <v>7e</v>
      </c>
      <c r="L817" s="49" t="str">
        <f aca="false">STACK!G817</f>
        <v>06/30/2026</v>
      </c>
      <c r="M817" s="59" t="n">
        <f aca="false">IF(G817&gt;0,IF(INDEX(CONFIRM!$G$5:$G$53,G817)&lt;&gt;"",INDEX(CONFIRM!$G$5:$G$53,G817),IF(ISNUMBER(L817),L817,IFERROR(DATEVALUE(L817),""))),IF(ISNUMBER(L817),L817,IFERROR(DATEVALUE(L817),"")))</f>
        <v>46203</v>
      </c>
      <c r="N817" s="1" t="str">
        <f aca="false">IF(M817="","Check",IF(AND(M817&gt;=INPUTS!$C$6,M817&lt;=INPUTS!$C$7),"Yes","No"))</f>
        <v>Yes</v>
      </c>
      <c r="O817" s="48" t="str">
        <f aca="false">STACK!H817</f>
        <v>Community Health Worker </v>
      </c>
      <c r="P817" s="1" t="str">
        <f aca="false">IF(G817&gt;0,IF(INDEX(CONFIRM!$H$5:$H$53,G817)&lt;&gt;"",INDEX(CONFIRM!$H$5:$H$53,G817),IFERROR(INDEX(MAP!$B$7:$B$156,MATCH(TRIM(O817),MAP!$A$7:$A$156,0)),"UNMAPPED")),IFERROR(INDEX(MAP!$B$7:$B$156,MATCH(TRIM(O817),MAP!$A$7:$A$156,0)),"UNMAPPED"))</f>
        <v>Community Health Worker</v>
      </c>
      <c r="Q817" s="48" t="str">
        <f aca="false">STACK!I817</f>
        <v>53 hrs</v>
      </c>
      <c r="R817" s="60" t="n">
        <f aca="false">IF(G817&gt;0,IF(INDEX(CONFIRM!$F$5:$F$53,G817)&lt;&gt;"",INDEX(CONFIRM!$F$5:$F$53,G817),IF(ISNUMBER(Q817),Q817,IF(Q817="","",IFERROR(VALUE(TRIM(SUBSTITUTE(SUBSTITUTE(LOWER(Q817),"hrs",""),"hr",""))),"")))),IF(ISNUMBER(Q817),Q817,IF(Q817="","",IFERROR(VALUE(TRIM(SUBSTITUTE(SUBSTITUTE(LOWER(Q817),"hrs",""),"hr",""))),""))))</f>
        <v>53</v>
      </c>
      <c r="S817" s="57" t="n">
        <f aca="false">IFERROR(INDEX(RATES!$E$6:$E$28,MATCH(P817,RATES!$A$6:$A$28,0)),0)</f>
        <v>27.6275</v>
      </c>
      <c r="T817" s="61" t="n">
        <f aca="false">IF(ISNUMBER(R817),R817,0)*S817</f>
        <v>1464.2575</v>
      </c>
      <c r="U817" s="61" t="n">
        <f aca="false">T817*INDEX(INPUTS!$H$10:$H$14,MATCH(B817,INPUTS!$A$10:$A$14,0))</f>
        <v>237.209715</v>
      </c>
      <c r="V817" s="61" t="n">
        <f aca="false">N(STACK!K817)</f>
        <v>0</v>
      </c>
      <c r="W817" s="61" t="n">
        <f aca="false">T817+U817+V817</f>
        <v>1701.467215</v>
      </c>
      <c r="X817" s="61" t="n">
        <f aca="false">N(STACK!L817)</f>
        <v>0</v>
      </c>
      <c r="Y817" s="61" t="n">
        <f aca="false">W817-X817</f>
        <v>1701.467215</v>
      </c>
      <c r="Z817" s="1" t="n">
        <f aca="false">N(STACK!J817)</f>
        <v>0</v>
      </c>
      <c r="AA817" s="1" t="str">
        <f aca="false">TRIM(IF(D817="UNMAPPED","Program not mapped. ","")&amp;IF(OR(K817="UNMAPPED",K817="UNASSIGNED"),"Category needs review. ","")&amp;IF(P817="UNMAPPED","Title not mapped. ","")&amp;IF(AND(P817&lt;&gt;"No staff time",R817=""),"Missing hours. ","")&amp;IF(M817="","Date not readable. ","")&amp;IF(N817="No","Outside fiscal year. ","")&amp;IF(AND(F817="Event",ISNUMBER(R817)),IF(R817&gt;12,"Event hours look high. ",""),"")&amp;IF(G817&gt;0,"See CONFIRM sheet.",""))</f>
        <v/>
      </c>
      <c r="AB817" s="1" t="n">
        <f aca="false">IF(N817="No",0,IF(REVIEW!O817=0,0,IF(G817&gt;0,IF(INDEX(CONFIRM!$J$5:$J$53,G817)&lt;&gt;"",INDEX(CONFIRM!$J$5:$J$53,G817),1),1)))</f>
        <v>1</v>
      </c>
      <c r="AC817" s="1" t="n">
        <f aca="false">IF(AB817=1,IF(COUNTIFS($B$5:B817,B817,$D$5:D817,D817,$AB$5:AB817,1)=1,1,0),0)</f>
        <v>0</v>
      </c>
    </row>
    <row r="818" customFormat="false" ht="15" hidden="false" customHeight="false" outlineLevel="0" collapsed="false">
      <c r="A818" s="48" t="str">
        <f aca="false">STACK!A818</f>
        <v>ASH-0285</v>
      </c>
      <c r="B818" s="48" t="str">
        <f aca="false">STACK!B818</f>
        <v>ASH</v>
      </c>
      <c r="C818" s="48" t="str">
        <f aca="false">STACK!E818</f>
        <v>Mobile Screening Unit</v>
      </c>
      <c r="D818" s="1" t="str">
        <f aca="false">IFERROR(INDEX(MAP!$J$7:$J$101,MATCH(TRIM(C818),MAP!$I$7:$I$101,0)),"UNMAPPED")</f>
        <v>Mobile Health Screening Unit</v>
      </c>
      <c r="E818" s="1" t="str">
        <f aca="false">IFERROR(INDEX(MAP!$K$7:$K$101,MATCH(TRIM(C818),MAP!$I$7:$I$101,0)),"")</f>
        <v>Access to care</v>
      </c>
      <c r="F818" s="1" t="str">
        <f aca="false">IFERROR(INDEX(MAP!$L$7:$L$101,MATCH(TRIM(C818),MAP!$I$7:$I$101,0)),"")</f>
        <v>Monthly</v>
      </c>
      <c r="G818" s="1" t="n">
        <f aca="false">IFERROR(MATCH(A818,CONFIRM!$A$5:$A$53,0),0)</f>
        <v>0</v>
      </c>
      <c r="H818" s="48" t="str">
        <f aca="false">STACK!F818</f>
        <v>Clinical Svcs</v>
      </c>
      <c r="I818" s="1" t="str">
        <f aca="false">IF(G818&gt;0,IF(INDEX(CONFIRM!$I$5:$I$53,G818)&lt;&gt;"",INDEX(CONFIRM!$I$5:$I$53,G818),H818),H818)</f>
        <v>Clinical Svcs</v>
      </c>
      <c r="J818" s="1" t="str">
        <f aca="false">IFERROR(INDEX(MAP!$F$7:$F$74,MATCH(TRIM(I818),MAP!$E$7:$E$74,0)),"UNMAPPED")</f>
        <v>Community-based clinical services</v>
      </c>
      <c r="K818" s="1" t="str">
        <f aca="false">IFERROR(INDEX(MAP!$G$7:$G$74,MATCH(TRIM(I818),MAP!$E$7:$E$74,0)),"UNMAPPED")</f>
        <v>7e</v>
      </c>
      <c r="L818" s="49" t="str">
        <f aca="false">STACK!G818</f>
        <v>06/30/2026</v>
      </c>
      <c r="M818" s="59" t="n">
        <f aca="false">IF(G818&gt;0,IF(INDEX(CONFIRM!$G$5:$G$53,G818)&lt;&gt;"",INDEX(CONFIRM!$G$5:$G$53,G818),IF(ISNUMBER(L818),L818,IFERROR(DATEVALUE(L818),""))),IF(ISNUMBER(L818),L818,IFERROR(DATEVALUE(L818),"")))</f>
        <v>46203</v>
      </c>
      <c r="N818" s="1" t="str">
        <f aca="false">IF(M818="","Check",IF(AND(M818&gt;=INPUTS!$C$6,M818&lt;=INPUTS!$C$7),"Yes","No"))</f>
        <v>Yes</v>
      </c>
      <c r="O818" s="48" t="str">
        <f aca="false">STACK!H818</f>
        <v>CMA</v>
      </c>
      <c r="P818" s="1" t="str">
        <f aca="false">IF(G818&gt;0,IF(INDEX(CONFIRM!$H$5:$H$53,G818)&lt;&gt;"",INDEX(CONFIRM!$H$5:$H$53,G818),IFERROR(INDEX(MAP!$B$7:$B$156,MATCH(TRIM(O818),MAP!$A$7:$A$156,0)),"UNMAPPED")),IFERROR(INDEX(MAP!$B$7:$B$156,MATCH(TRIM(O818),MAP!$A$7:$A$156,0)),"UNMAPPED"))</f>
        <v>Medical Assistant</v>
      </c>
      <c r="Q818" s="48" t="n">
        <f aca="false">STACK!I818</f>
        <v>91.75</v>
      </c>
      <c r="R818" s="60" t="n">
        <f aca="false">IF(G818&gt;0,IF(INDEX(CONFIRM!$F$5:$F$53,G818)&lt;&gt;"",INDEX(CONFIRM!$F$5:$F$53,G818),IF(ISNUMBER(Q818),Q818,IF(Q818="","",IFERROR(VALUE(TRIM(SUBSTITUTE(SUBSTITUTE(LOWER(Q818),"hrs",""),"hr",""))),"")))),IF(ISNUMBER(Q818),Q818,IF(Q818="","",IFERROR(VALUE(TRIM(SUBSTITUTE(SUBSTITUTE(LOWER(Q818),"hrs",""),"hr",""))),""))))</f>
        <v>91.75</v>
      </c>
      <c r="S818" s="57" t="n">
        <f aca="false">IFERROR(INDEX(RATES!$E$6:$E$28,MATCH(P818,RATES!$A$6:$A$28,0)),0)</f>
        <v>25.37875</v>
      </c>
      <c r="T818" s="61" t="n">
        <f aca="false">IF(ISNUMBER(R818),R818,0)*S818</f>
        <v>2328.5003125</v>
      </c>
      <c r="U818" s="61" t="n">
        <f aca="false">T818*INDEX(INPUTS!$H$10:$H$14,MATCH(B818,INPUTS!$A$10:$A$14,0))</f>
        <v>377.217050625</v>
      </c>
      <c r="V818" s="61" t="n">
        <f aca="false">N(STACK!K818)</f>
        <v>0</v>
      </c>
      <c r="W818" s="61" t="n">
        <f aca="false">T818+U818+V818</f>
        <v>2705.717363125</v>
      </c>
      <c r="X818" s="61" t="n">
        <f aca="false">N(STACK!L818)</f>
        <v>0</v>
      </c>
      <c r="Y818" s="61" t="n">
        <f aca="false">W818-X818</f>
        <v>2705.717363125</v>
      </c>
      <c r="Z818" s="1" t="n">
        <f aca="false">N(STACK!J818)</f>
        <v>0</v>
      </c>
      <c r="AA818" s="1" t="str">
        <f aca="false">TRIM(IF(D818="UNMAPPED","Program not mapped. ","")&amp;IF(OR(K818="UNMAPPED",K818="UNASSIGNED"),"Category needs review. ","")&amp;IF(P818="UNMAPPED","Title not mapped. ","")&amp;IF(AND(P818&lt;&gt;"No staff time",R818=""),"Missing hours. ","")&amp;IF(M818="","Date not readable. ","")&amp;IF(N818="No","Outside fiscal year. ","")&amp;IF(AND(F818="Event",ISNUMBER(R818)),IF(R818&gt;12,"Event hours look high. ",""),"")&amp;IF(G818&gt;0,"See CONFIRM sheet.",""))</f>
        <v/>
      </c>
      <c r="AB818" s="1" t="n">
        <f aca="false">IF(N818="No",0,IF(REVIEW!O818=0,0,IF(G818&gt;0,IF(INDEX(CONFIRM!$J$5:$J$53,G818)&lt;&gt;"",INDEX(CONFIRM!$J$5:$J$53,G818),1),1)))</f>
        <v>1</v>
      </c>
      <c r="AC818" s="1" t="n">
        <f aca="false">IF(AB818=1,IF(COUNTIFS($B$5:B818,B818,$D$5:D818,D818,$AB$5:AB818,1)=1,1,0),0)</f>
        <v>0</v>
      </c>
    </row>
    <row r="819" customFormat="false" ht="15" hidden="false" customHeight="false" outlineLevel="0" collapsed="false">
      <c r="A819" s="48" t="str">
        <f aca="false">STACK!A819</f>
        <v>ASH-0286</v>
      </c>
      <c r="B819" s="48" t="str">
        <f aca="false">STACK!B819</f>
        <v>ASH</v>
      </c>
      <c r="C819" s="48" t="str">
        <f aca="false">STACK!E819</f>
        <v>Mobile Screening Unit</v>
      </c>
      <c r="D819" s="1" t="str">
        <f aca="false">IFERROR(INDEX(MAP!$J$7:$J$101,MATCH(TRIM(C819),MAP!$I$7:$I$101,0)),"UNMAPPED")</f>
        <v>Mobile Health Screening Unit</v>
      </c>
      <c r="E819" s="1" t="str">
        <f aca="false">IFERROR(INDEX(MAP!$K$7:$K$101,MATCH(TRIM(C819),MAP!$I$7:$I$101,0)),"")</f>
        <v>Access to care</v>
      </c>
      <c r="F819" s="1" t="str">
        <f aca="false">IFERROR(INDEX(MAP!$L$7:$L$101,MATCH(TRIM(C819),MAP!$I$7:$I$101,0)),"")</f>
        <v>Monthly</v>
      </c>
      <c r="G819" s="1" t="n">
        <f aca="false">IFERROR(MATCH(A819,CONFIRM!$A$5:$A$53,0),0)</f>
        <v>0</v>
      </c>
      <c r="H819" s="48" t="str">
        <f aca="false">STACK!F819</f>
        <v>Clinical Svcs</v>
      </c>
      <c r="I819" s="1" t="str">
        <f aca="false">IF(G819&gt;0,IF(INDEX(CONFIRM!$I$5:$I$53,G819)&lt;&gt;"",INDEX(CONFIRM!$I$5:$I$53,G819),H819),H819)</f>
        <v>Clinical Svcs</v>
      </c>
      <c r="J819" s="1" t="str">
        <f aca="false">IFERROR(INDEX(MAP!$F$7:$F$74,MATCH(TRIM(I819),MAP!$E$7:$E$74,0)),"UNMAPPED")</f>
        <v>Community-based clinical services</v>
      </c>
      <c r="K819" s="1" t="str">
        <f aca="false">IFERROR(INDEX(MAP!$G$7:$G$74,MATCH(TRIM(I819),MAP!$E$7:$E$74,0)),"UNMAPPED")</f>
        <v>7e</v>
      </c>
      <c r="L819" s="49" t="str">
        <f aca="false">STACK!G819</f>
        <v>06/30/2026</v>
      </c>
      <c r="M819" s="59" t="n">
        <f aca="false">IF(G819&gt;0,IF(INDEX(CONFIRM!$G$5:$G$53,G819)&lt;&gt;"",INDEX(CONFIRM!$G$5:$G$53,G819),IF(ISNUMBER(L819),L819,IFERROR(DATEVALUE(L819),""))),IF(ISNUMBER(L819),L819,IFERROR(DATEVALUE(L819),"")))</f>
        <v>46203</v>
      </c>
      <c r="N819" s="1" t="str">
        <f aca="false">IF(M819="","Check",IF(AND(M819&gt;=INPUTS!$C$6,M819&lt;=INPUTS!$C$7),"Yes","No"))</f>
        <v>Yes</v>
      </c>
      <c r="O819" s="48" t="str">
        <f aca="false">STACK!H819</f>
        <v>RN - Outreach</v>
      </c>
      <c r="P819" s="1" t="str">
        <f aca="false">IF(G819&gt;0,IF(INDEX(CONFIRM!$H$5:$H$53,G819)&lt;&gt;"",INDEX(CONFIRM!$H$5:$H$53,G819),IFERROR(INDEX(MAP!$B$7:$B$156,MATCH(TRIM(O819),MAP!$A$7:$A$156,0)),"UNMAPPED")),IFERROR(INDEX(MAP!$B$7:$B$156,MATCH(TRIM(O819),MAP!$A$7:$A$156,0)),"UNMAPPED"))</f>
        <v>Registered Nurse</v>
      </c>
      <c r="Q819" s="48" t="n">
        <f aca="false">STACK!I819</f>
        <v>79.75</v>
      </c>
      <c r="R819" s="60" t="n">
        <f aca="false">IF(G819&gt;0,IF(INDEX(CONFIRM!$F$5:$F$53,G819)&lt;&gt;"",INDEX(CONFIRM!$F$5:$F$53,G819),IF(ISNUMBER(Q819),Q819,IF(Q819="","",IFERROR(VALUE(TRIM(SUBSTITUTE(SUBSTITUTE(LOWER(Q819),"hrs",""),"hr",""))),"")))),IF(ISNUMBER(Q819),Q819,IF(Q819="","",IFERROR(VALUE(TRIM(SUBSTITUTE(SUBSTITUTE(LOWER(Q819),"hrs",""),"hr",""))),""))))</f>
        <v>79.75</v>
      </c>
      <c r="S819" s="57" t="n">
        <f aca="false">IFERROR(INDEX(RATES!$E$6:$E$28,MATCH(P819,RATES!$A$6:$A$28,0)),0)</f>
        <v>55.8975</v>
      </c>
      <c r="T819" s="61" t="n">
        <f aca="false">IF(ISNUMBER(R819),R819,0)*S819</f>
        <v>4457.825625</v>
      </c>
      <c r="U819" s="61" t="n">
        <f aca="false">T819*INDEX(INPUTS!$H$10:$H$14,MATCH(B819,INPUTS!$A$10:$A$14,0))</f>
        <v>722.16775125</v>
      </c>
      <c r="V819" s="61" t="n">
        <f aca="false">N(STACK!K819)</f>
        <v>6885</v>
      </c>
      <c r="W819" s="61" t="n">
        <f aca="false">T819+U819+V819</f>
        <v>12064.99337625</v>
      </c>
      <c r="X819" s="61" t="n">
        <f aca="false">N(STACK!L819)</f>
        <v>0</v>
      </c>
      <c r="Y819" s="61" t="n">
        <f aca="false">W819-X819</f>
        <v>12064.99337625</v>
      </c>
      <c r="Z819" s="1" t="n">
        <f aca="false">N(STACK!J819)</f>
        <v>204</v>
      </c>
      <c r="AA819" s="1" t="str">
        <f aca="false">TRIM(IF(D819="UNMAPPED","Program not mapped. ","")&amp;IF(OR(K819="UNMAPPED",K819="UNASSIGNED"),"Category needs review. ","")&amp;IF(P819="UNMAPPED","Title not mapped. ","")&amp;IF(AND(P819&lt;&gt;"No staff time",R819=""),"Missing hours. ","")&amp;IF(M819="","Date not readable. ","")&amp;IF(N819="No","Outside fiscal year. ","")&amp;IF(AND(F819="Event",ISNUMBER(R819)),IF(R819&gt;12,"Event hours look high. ",""),"")&amp;IF(G819&gt;0,"See CONFIRM sheet.",""))</f>
        <v/>
      </c>
      <c r="AB819" s="1" t="n">
        <f aca="false">IF(N819="No",0,IF(REVIEW!O819=0,0,IF(G819&gt;0,IF(INDEX(CONFIRM!$J$5:$J$53,G819)&lt;&gt;"",INDEX(CONFIRM!$J$5:$J$53,G819),1),1)))</f>
        <v>1</v>
      </c>
      <c r="AC819" s="1" t="n">
        <f aca="false">IF(AB819=1,IF(COUNTIFS($B$5:B819,B819,$D$5:D819,D819,$AB$5:AB819,1)=1,1,0),0)</f>
        <v>0</v>
      </c>
    </row>
    <row r="820" customFormat="false" ht="15" hidden="false" customHeight="false" outlineLevel="0" collapsed="false">
      <c r="A820" s="48" t="str">
        <f aca="false">STACK!A820</f>
        <v>ASH-0287</v>
      </c>
      <c r="B820" s="48" t="str">
        <f aca="false">STACK!B820</f>
        <v>ASH</v>
      </c>
      <c r="C820" s="48" t="str">
        <f aca="false">STACK!E820</f>
        <v>CHW Outreach</v>
      </c>
      <c r="D820" s="1" t="str">
        <f aca="false">IFERROR(INDEX(MAP!$J$7:$J$101,MATCH(TRIM(C820),MAP!$I$7:$I$101,0)),"UNMAPPED")</f>
        <v>Community Health Worker Outreach</v>
      </c>
      <c r="E820" s="1" t="str">
        <f aca="false">IFERROR(INDEX(MAP!$K$7:$K$101,MATCH(TRIM(C820),MAP!$I$7:$I$101,0)),"")</f>
        <v>Access to care</v>
      </c>
      <c r="F820" s="1" t="str">
        <f aca="false">IFERROR(INDEX(MAP!$L$7:$L$101,MATCH(TRIM(C820),MAP!$I$7:$I$101,0)),"")</f>
        <v>Monthly</v>
      </c>
      <c r="G820" s="1" t="n">
        <f aca="false">IFERROR(MATCH(A820,CONFIRM!$A$5:$A$53,0),0)</f>
        <v>0</v>
      </c>
      <c r="H820" s="48" t="str">
        <f aca="false">STACK!F820</f>
        <v>Support Svcs</v>
      </c>
      <c r="I820" s="1" t="str">
        <f aca="false">IF(G820&gt;0,IF(INDEX(CONFIRM!$I$5:$I$53,G820)&lt;&gt;"",INDEX(CONFIRM!$I$5:$I$53,G820),H820),H820)</f>
        <v>Support Svcs</v>
      </c>
      <c r="J820" s="1" t="str">
        <f aca="false">IFERROR(INDEX(MAP!$F$7:$F$74,MATCH(TRIM(I820),MAP!$E$7:$E$74,0)),"UNMAPPED")</f>
        <v>Health care support services</v>
      </c>
      <c r="K820" s="1" t="str">
        <f aca="false">IFERROR(INDEX(MAP!$G$7:$G$74,MATCH(TRIM(I820),MAP!$E$7:$E$74,0)),"UNMAPPED")</f>
        <v>7e</v>
      </c>
      <c r="L820" s="49" t="str">
        <f aca="false">STACK!G820</f>
        <v>06/30/2026</v>
      </c>
      <c r="M820" s="59" t="n">
        <f aca="false">IF(G820&gt;0,IF(INDEX(CONFIRM!$G$5:$G$53,G820)&lt;&gt;"",INDEX(CONFIRM!$G$5:$G$53,G820),IF(ISNUMBER(L820),L820,IFERROR(DATEVALUE(L820),""))),IF(ISNUMBER(L820),L820,IFERROR(DATEVALUE(L820),"")))</f>
        <v>46203</v>
      </c>
      <c r="N820" s="1" t="str">
        <f aca="false">IF(M820="","Check",IF(AND(M820&gt;=INPUTS!$C$6,M820&lt;=INPUTS!$C$7),"Yes","No"))</f>
        <v>Yes</v>
      </c>
      <c r="O820" s="48" t="str">
        <f aca="false">STACK!H820</f>
        <v>CHW II</v>
      </c>
      <c r="P820" s="1" t="str">
        <f aca="false">IF(G820&gt;0,IF(INDEX(CONFIRM!$H$5:$H$53,G820)&lt;&gt;"",INDEX(CONFIRM!$H$5:$H$53,G820),IFERROR(INDEX(MAP!$B$7:$B$156,MATCH(TRIM(O820),MAP!$A$7:$A$156,0)),"UNMAPPED")),IFERROR(INDEX(MAP!$B$7:$B$156,MATCH(TRIM(O820),MAP!$A$7:$A$156,0)),"UNMAPPED"))</f>
        <v>Community Health Worker</v>
      </c>
      <c r="Q820" s="48" t="n">
        <f aca="false">STACK!I820</f>
        <v>350.25</v>
      </c>
      <c r="R820" s="60" t="n">
        <f aca="false">IF(G820&gt;0,IF(INDEX(CONFIRM!$F$5:$F$53,G820)&lt;&gt;"",INDEX(CONFIRM!$F$5:$F$53,G820),IF(ISNUMBER(Q820),Q820,IF(Q820="","",IFERROR(VALUE(TRIM(SUBSTITUTE(SUBSTITUTE(LOWER(Q820),"hrs",""),"hr",""))),"")))),IF(ISNUMBER(Q820),Q820,IF(Q820="","",IFERROR(VALUE(TRIM(SUBSTITUTE(SUBSTITUTE(LOWER(Q820),"hrs",""),"hr",""))),""))))</f>
        <v>350.25</v>
      </c>
      <c r="S820" s="57" t="n">
        <f aca="false">IFERROR(INDEX(RATES!$E$6:$E$28,MATCH(P820,RATES!$A$6:$A$28,0)),0)</f>
        <v>27.6275</v>
      </c>
      <c r="T820" s="61" t="n">
        <f aca="false">IF(ISNUMBER(R820),R820,0)*S820</f>
        <v>9676.531875</v>
      </c>
      <c r="U820" s="61" t="n">
        <f aca="false">T820*INDEX(INPUTS!$H$10:$H$14,MATCH(B820,INPUTS!$A$10:$A$14,0))</f>
        <v>1567.59816375</v>
      </c>
      <c r="V820" s="61" t="n">
        <f aca="false">N(STACK!K820)</f>
        <v>960</v>
      </c>
      <c r="W820" s="61" t="n">
        <f aca="false">T820+U820+V820</f>
        <v>12204.13003875</v>
      </c>
      <c r="X820" s="61" t="n">
        <f aca="false">N(STACK!L820)</f>
        <v>7500</v>
      </c>
      <c r="Y820" s="61" t="n">
        <f aca="false">W820-X820</f>
        <v>4704.13003875</v>
      </c>
      <c r="Z820" s="1" t="n">
        <f aca="false">N(STACK!J820)</f>
        <v>365</v>
      </c>
      <c r="AA820" s="1" t="str">
        <f aca="false">TRIM(IF(D820="UNMAPPED","Program not mapped. ","")&amp;IF(OR(K820="UNMAPPED",K820="UNASSIGNED"),"Category needs review. ","")&amp;IF(P820="UNMAPPED","Title not mapped. ","")&amp;IF(AND(P820&lt;&gt;"No staff time",R820=""),"Missing hours. ","")&amp;IF(M820="","Date not readable. ","")&amp;IF(N820="No","Outside fiscal year. ","")&amp;IF(AND(F820="Event",ISNUMBER(R820)),IF(R820&gt;12,"Event hours look high. ",""),"")&amp;IF(G820&gt;0,"See CONFIRM sheet.",""))</f>
        <v/>
      </c>
      <c r="AB820" s="1" t="n">
        <f aca="false">IF(N820="No",0,IF(REVIEW!O820=0,0,IF(G820&gt;0,IF(INDEX(CONFIRM!$J$5:$J$53,G820)&lt;&gt;"",INDEX(CONFIRM!$J$5:$J$53,G820),1),1)))</f>
        <v>1</v>
      </c>
      <c r="AC820" s="1" t="n">
        <f aca="false">IF(AB820=1,IF(COUNTIFS($B$5:B820,B820,$D$5:D820,D820,$AB$5:AB820,1)=1,1,0),0)</f>
        <v>0</v>
      </c>
    </row>
    <row r="821" customFormat="false" ht="15" hidden="false" customHeight="false" outlineLevel="0" collapsed="false">
      <c r="A821" s="48" t="str">
        <f aca="false">STACK!A821</f>
        <v>ASH-0288</v>
      </c>
      <c r="B821" s="48" t="str">
        <f aca="false">STACK!B821</f>
        <v>ASH</v>
      </c>
      <c r="C821" s="48" t="str">
        <f aca="false">STACK!E821</f>
        <v>CHW Outreach</v>
      </c>
      <c r="D821" s="1" t="str">
        <f aca="false">IFERROR(INDEX(MAP!$J$7:$J$101,MATCH(TRIM(C821),MAP!$I$7:$I$101,0)),"UNMAPPED")</f>
        <v>Community Health Worker Outreach</v>
      </c>
      <c r="E821" s="1" t="str">
        <f aca="false">IFERROR(INDEX(MAP!$K$7:$K$101,MATCH(TRIM(C821),MAP!$I$7:$I$101,0)),"")</f>
        <v>Access to care</v>
      </c>
      <c r="F821" s="1" t="str">
        <f aca="false">IFERROR(INDEX(MAP!$L$7:$L$101,MATCH(TRIM(C821),MAP!$I$7:$I$101,0)),"")</f>
        <v>Monthly</v>
      </c>
      <c r="G821" s="1" t="n">
        <f aca="false">IFERROR(MATCH(A821,CONFIRM!$A$5:$A$53,0),0)</f>
        <v>0</v>
      </c>
      <c r="H821" s="48" t="str">
        <f aca="false">STACK!F821</f>
        <v>Support Svcs</v>
      </c>
      <c r="I821" s="1" t="str">
        <f aca="false">IF(G821&gt;0,IF(INDEX(CONFIRM!$I$5:$I$53,G821)&lt;&gt;"",INDEX(CONFIRM!$I$5:$I$53,G821),H821),H821)</f>
        <v>Support Svcs</v>
      </c>
      <c r="J821" s="1" t="str">
        <f aca="false">IFERROR(INDEX(MAP!$F$7:$F$74,MATCH(TRIM(I821),MAP!$E$7:$E$74,0)),"UNMAPPED")</f>
        <v>Health care support services</v>
      </c>
      <c r="K821" s="1" t="str">
        <f aca="false">IFERROR(INDEX(MAP!$G$7:$G$74,MATCH(TRIM(I821),MAP!$E$7:$E$74,0)),"UNMAPPED")</f>
        <v>7e</v>
      </c>
      <c r="L821" s="49" t="str">
        <f aca="false">STACK!G821</f>
        <v>06/30/2026</v>
      </c>
      <c r="M821" s="59" t="n">
        <f aca="false">IF(G821&gt;0,IF(INDEX(CONFIRM!$G$5:$G$53,G821)&lt;&gt;"",INDEX(CONFIRM!$G$5:$G$53,G821),IF(ISNUMBER(L821),L821,IFERROR(DATEVALUE(L821),""))),IF(ISNUMBER(L821),L821,IFERROR(DATEVALUE(L821),"")))</f>
        <v>46203</v>
      </c>
      <c r="N821" s="1" t="str">
        <f aca="false">IF(M821="","Check",IF(AND(M821&gt;=INPUTS!$C$6,M821&lt;=INPUTS!$C$7),"Yes","No"))</f>
        <v>Yes</v>
      </c>
      <c r="O821" s="48" t="str">
        <f aca="false">STACK!H821</f>
        <v>Financial Navigator</v>
      </c>
      <c r="P821" s="1" t="str">
        <f aca="false">IF(G821&gt;0,IF(INDEX(CONFIRM!$H$5:$H$53,G821)&lt;&gt;"",INDEX(CONFIRM!$H$5:$H$53,G821),IFERROR(INDEX(MAP!$B$7:$B$156,MATCH(TRIM(O821),MAP!$A$7:$A$156,0)),"UNMAPPED")),IFERROR(INDEX(MAP!$B$7:$B$156,MATCH(TRIM(O821),MAP!$A$7:$A$156,0)),"UNMAPPED"))</f>
        <v>Patient Navigator</v>
      </c>
      <c r="Q821" s="48" t="n">
        <f aca="false">STACK!I821</f>
        <v>158.5</v>
      </c>
      <c r="R821" s="60" t="n">
        <f aca="false">IF(G821&gt;0,IF(INDEX(CONFIRM!$F$5:$F$53,G821)&lt;&gt;"",INDEX(CONFIRM!$F$5:$F$53,G821),IF(ISNUMBER(Q821),Q821,IF(Q821="","",IFERROR(VALUE(TRIM(SUBSTITUTE(SUBSTITUTE(LOWER(Q821),"hrs",""),"hr",""))),"")))),IF(ISNUMBER(Q821),Q821,IF(Q821="","",IFERROR(VALUE(TRIM(SUBSTITUTE(SUBSTITUTE(LOWER(Q821),"hrs",""),"hr",""))),""))))</f>
        <v>158.5</v>
      </c>
      <c r="S821" s="57" t="n">
        <f aca="false">IFERROR(INDEX(RATES!$E$6:$E$28,MATCH(P821,RATES!$A$6:$A$28,0)),0)</f>
        <v>30.84</v>
      </c>
      <c r="T821" s="61" t="n">
        <f aca="false">IF(ISNUMBER(R821),R821,0)*S821</f>
        <v>4888.14</v>
      </c>
      <c r="U821" s="61" t="n">
        <f aca="false">T821*INDEX(INPUTS!$H$10:$H$14,MATCH(B821,INPUTS!$A$10:$A$14,0))</f>
        <v>791.87868</v>
      </c>
      <c r="V821" s="61" t="n">
        <f aca="false">N(STACK!K821)</f>
        <v>0</v>
      </c>
      <c r="W821" s="61" t="n">
        <f aca="false">T821+U821+V821</f>
        <v>5680.01868</v>
      </c>
      <c r="X821" s="61" t="n">
        <f aca="false">N(STACK!L821)</f>
        <v>0</v>
      </c>
      <c r="Y821" s="61" t="n">
        <f aca="false">W821-X821</f>
        <v>5680.01868</v>
      </c>
      <c r="Z821" s="1" t="n">
        <f aca="false">N(STACK!J821)</f>
        <v>0</v>
      </c>
      <c r="AA821" s="1" t="str">
        <f aca="false">TRIM(IF(D821="UNMAPPED","Program not mapped. ","")&amp;IF(OR(K821="UNMAPPED",K821="UNASSIGNED"),"Category needs review. ","")&amp;IF(P821="UNMAPPED","Title not mapped. ","")&amp;IF(AND(P821&lt;&gt;"No staff time",R821=""),"Missing hours. ","")&amp;IF(M821="","Date not readable. ","")&amp;IF(N821="No","Outside fiscal year. ","")&amp;IF(AND(F821="Event",ISNUMBER(R821)),IF(R821&gt;12,"Event hours look high. ",""),"")&amp;IF(G821&gt;0,"See CONFIRM sheet.",""))</f>
        <v/>
      </c>
      <c r="AB821" s="1" t="n">
        <f aca="false">IF(N821="No",0,IF(REVIEW!O821=0,0,IF(G821&gt;0,IF(INDEX(CONFIRM!$J$5:$J$53,G821)&lt;&gt;"",INDEX(CONFIRM!$J$5:$J$53,G821),1),1)))</f>
        <v>1</v>
      </c>
      <c r="AC821" s="1" t="n">
        <f aca="false">IF(AB821=1,IF(COUNTIFS($B$5:B821,B821,$D$5:D821,D821,$AB$5:AB821,1)=1,1,0),0)</f>
        <v>0</v>
      </c>
    </row>
    <row r="822" customFormat="false" ht="15" hidden="false" customHeight="false" outlineLevel="0" collapsed="false">
      <c r="A822" s="48" t="str">
        <f aca="false">STACK!A822</f>
        <v>ASH-0289</v>
      </c>
      <c r="B822" s="48" t="str">
        <f aca="false">STACK!B822</f>
        <v>ASH</v>
      </c>
      <c r="C822" s="48" t="str">
        <f aca="false">STACK!E822</f>
        <v>Produce Rx</v>
      </c>
      <c r="D822" s="1" t="str">
        <f aca="false">IFERROR(INDEX(MAP!$J$7:$J$101,MATCH(TRIM(C822),MAP!$I$7:$I$101,0)),"UNMAPPED")</f>
        <v>Produce Prescription Program</v>
      </c>
      <c r="E822" s="1" t="str">
        <f aca="false">IFERROR(INDEX(MAP!$K$7:$K$101,MATCH(TRIM(C822),MAP!$I$7:$I$101,0)),"")</f>
        <v>Food and housing security</v>
      </c>
      <c r="F822" s="1" t="str">
        <f aca="false">IFERROR(INDEX(MAP!$L$7:$L$101,MATCH(TRIM(C822),MAP!$I$7:$I$101,0)),"")</f>
        <v>Monthly</v>
      </c>
      <c r="G822" s="1" t="n">
        <f aca="false">IFERROR(MATCH(A822,CONFIRM!$A$5:$A$53,0),0)</f>
        <v>0</v>
      </c>
      <c r="H822" s="48" t="str">
        <f aca="false">STACK!F822</f>
        <v>Support Svcs</v>
      </c>
      <c r="I822" s="1" t="str">
        <f aca="false">IF(G822&gt;0,IF(INDEX(CONFIRM!$I$5:$I$53,G822)&lt;&gt;"",INDEX(CONFIRM!$I$5:$I$53,G822),H822),H822)</f>
        <v>Support Svcs</v>
      </c>
      <c r="J822" s="1" t="str">
        <f aca="false">IFERROR(INDEX(MAP!$F$7:$F$74,MATCH(TRIM(I822),MAP!$E$7:$E$74,0)),"UNMAPPED")</f>
        <v>Health care support services</v>
      </c>
      <c r="K822" s="1" t="str">
        <f aca="false">IFERROR(INDEX(MAP!$G$7:$G$74,MATCH(TRIM(I822),MAP!$E$7:$E$74,0)),"UNMAPPED")</f>
        <v>7e</v>
      </c>
      <c r="L822" s="49" t="str">
        <f aca="false">STACK!G822</f>
        <v>06/30/2026</v>
      </c>
      <c r="M822" s="59" t="n">
        <f aca="false">IF(G822&gt;0,IF(INDEX(CONFIRM!$G$5:$G$53,G822)&lt;&gt;"",INDEX(CONFIRM!$G$5:$G$53,G822),IF(ISNUMBER(L822),L822,IFERROR(DATEVALUE(L822),""))),IF(ISNUMBER(L822),L822,IFERROR(DATEVALUE(L822),"")))</f>
        <v>46203</v>
      </c>
      <c r="N822" s="1" t="str">
        <f aca="false">IF(M822="","Check",IF(AND(M822&gt;=INPUTS!$C$6,M822&lt;=INPUTS!$C$7),"Yes","No"))</f>
        <v>Yes</v>
      </c>
      <c r="O822" s="48" t="str">
        <f aca="false">STACK!H822</f>
        <v>outreach worker</v>
      </c>
      <c r="P822" s="1" t="str">
        <f aca="false">IF(G822&gt;0,IF(INDEX(CONFIRM!$H$5:$H$53,G822)&lt;&gt;"",INDEX(CONFIRM!$H$5:$H$53,G822),IFERROR(INDEX(MAP!$B$7:$B$156,MATCH(TRIM(O822),MAP!$A$7:$A$156,0)),"UNMAPPED")),IFERROR(INDEX(MAP!$B$7:$B$156,MATCH(TRIM(O822),MAP!$A$7:$A$156,0)),"UNMAPPED"))</f>
        <v>Community Health Worker</v>
      </c>
      <c r="Q822" s="48" t="n">
        <f aca="false">STACK!I822</f>
        <v>67</v>
      </c>
      <c r="R822" s="60" t="n">
        <f aca="false">IF(G822&gt;0,IF(INDEX(CONFIRM!$F$5:$F$53,G822)&lt;&gt;"",INDEX(CONFIRM!$F$5:$F$53,G822),IF(ISNUMBER(Q822),Q822,IF(Q822="","",IFERROR(VALUE(TRIM(SUBSTITUTE(SUBSTITUTE(LOWER(Q822),"hrs",""),"hr",""))),"")))),IF(ISNUMBER(Q822),Q822,IF(Q822="","",IFERROR(VALUE(TRIM(SUBSTITUTE(SUBSTITUTE(LOWER(Q822),"hrs",""),"hr",""))),""))))</f>
        <v>67</v>
      </c>
      <c r="S822" s="57" t="n">
        <f aca="false">IFERROR(INDEX(RATES!$E$6:$E$28,MATCH(P822,RATES!$A$6:$A$28,0)),0)</f>
        <v>27.6275</v>
      </c>
      <c r="T822" s="61" t="n">
        <f aca="false">IF(ISNUMBER(R822),R822,0)*S822</f>
        <v>1851.0425</v>
      </c>
      <c r="U822" s="61" t="n">
        <f aca="false">T822*INDEX(INPUTS!$H$10:$H$14,MATCH(B822,INPUTS!$A$10:$A$14,0))</f>
        <v>299.868885</v>
      </c>
      <c r="V822" s="61" t="n">
        <f aca="false">N(STACK!K822)</f>
        <v>0</v>
      </c>
      <c r="W822" s="61" t="n">
        <f aca="false">T822+U822+V822</f>
        <v>2150.911385</v>
      </c>
      <c r="X822" s="61" t="n">
        <f aca="false">N(STACK!L822)</f>
        <v>0</v>
      </c>
      <c r="Y822" s="61" t="n">
        <f aca="false">W822-X822</f>
        <v>2150.911385</v>
      </c>
      <c r="Z822" s="1" t="n">
        <f aca="false">N(STACK!J822)</f>
        <v>0</v>
      </c>
      <c r="AA822" s="1" t="str">
        <f aca="false">TRIM(IF(D822="UNMAPPED","Program not mapped. ","")&amp;IF(OR(K822="UNMAPPED",K822="UNASSIGNED"),"Category needs review. ","")&amp;IF(P822="UNMAPPED","Title not mapped. ","")&amp;IF(AND(P822&lt;&gt;"No staff time",R822=""),"Missing hours. ","")&amp;IF(M822="","Date not readable. ","")&amp;IF(N822="No","Outside fiscal year. ","")&amp;IF(AND(F822="Event",ISNUMBER(R822)),IF(R822&gt;12,"Event hours look high. ",""),"")&amp;IF(G822&gt;0,"See CONFIRM sheet.",""))</f>
        <v/>
      </c>
      <c r="AB822" s="1" t="n">
        <f aca="false">IF(N822="No",0,IF(REVIEW!O822=0,0,IF(G822&gt;0,IF(INDEX(CONFIRM!$J$5:$J$53,G822)&lt;&gt;"",INDEX(CONFIRM!$J$5:$J$53,G822),1),1)))</f>
        <v>1</v>
      </c>
      <c r="AC822" s="1" t="n">
        <f aca="false">IF(AB822=1,IF(COUNTIFS($B$5:B822,B822,$D$5:D822,D822,$AB$5:AB822,1)=1,1,0),0)</f>
        <v>0</v>
      </c>
    </row>
    <row r="823" customFormat="false" ht="15" hidden="false" customHeight="false" outlineLevel="0" collapsed="false">
      <c r="A823" s="48" t="str">
        <f aca="false">STACK!A823</f>
        <v>ASH-0290</v>
      </c>
      <c r="B823" s="48" t="str">
        <f aca="false">STACK!B823</f>
        <v>ASH</v>
      </c>
      <c r="C823" s="48" t="str">
        <f aca="false">STACK!E823</f>
        <v>Produce Rx</v>
      </c>
      <c r="D823" s="1" t="str">
        <f aca="false">IFERROR(INDEX(MAP!$J$7:$J$101,MATCH(TRIM(C823),MAP!$I$7:$I$101,0)),"UNMAPPED")</f>
        <v>Produce Prescription Program</v>
      </c>
      <c r="E823" s="1" t="str">
        <f aca="false">IFERROR(INDEX(MAP!$K$7:$K$101,MATCH(TRIM(C823),MAP!$I$7:$I$101,0)),"")</f>
        <v>Food and housing security</v>
      </c>
      <c r="F823" s="1" t="str">
        <f aca="false">IFERROR(INDEX(MAP!$L$7:$L$101,MATCH(TRIM(C823),MAP!$I$7:$I$101,0)),"")</f>
        <v>Monthly</v>
      </c>
      <c r="G823" s="1" t="n">
        <f aca="false">IFERROR(MATCH(A823,CONFIRM!$A$5:$A$53,0),0)</f>
        <v>0</v>
      </c>
      <c r="H823" s="48" t="str">
        <f aca="false">STACK!F823</f>
        <v>Support Svcs</v>
      </c>
      <c r="I823" s="1" t="str">
        <f aca="false">IF(G823&gt;0,IF(INDEX(CONFIRM!$I$5:$I$53,G823)&lt;&gt;"",INDEX(CONFIRM!$I$5:$I$53,G823),H823),H823)</f>
        <v>Support Svcs</v>
      </c>
      <c r="J823" s="1" t="str">
        <f aca="false">IFERROR(INDEX(MAP!$F$7:$F$74,MATCH(TRIM(I823),MAP!$E$7:$E$74,0)),"UNMAPPED")</f>
        <v>Health care support services</v>
      </c>
      <c r="K823" s="1" t="str">
        <f aca="false">IFERROR(INDEX(MAP!$G$7:$G$74,MATCH(TRIM(I823),MAP!$E$7:$E$74,0)),"UNMAPPED")</f>
        <v>7e</v>
      </c>
      <c r="L823" s="49" t="str">
        <f aca="false">STACK!G823</f>
        <v>06/30/2026</v>
      </c>
      <c r="M823" s="59" t="n">
        <f aca="false">IF(G823&gt;0,IF(INDEX(CONFIRM!$G$5:$G$53,G823)&lt;&gt;"",INDEX(CONFIRM!$G$5:$G$53,G823),IF(ISNUMBER(L823),L823,IFERROR(DATEVALUE(L823),""))),IF(ISNUMBER(L823),L823,IFERROR(DATEVALUE(L823),"")))</f>
        <v>46203</v>
      </c>
      <c r="N823" s="1" t="str">
        <f aca="false">IF(M823="","Check",IF(AND(M823&gt;=INPUTS!$C$6,M823&lt;=INPUTS!$C$7),"Yes","No"))</f>
        <v>Yes</v>
      </c>
      <c r="O823" s="48" t="str">
        <f aca="false">STACK!H823</f>
        <v>RD</v>
      </c>
      <c r="P823" s="1" t="str">
        <f aca="false">IF(G823&gt;0,IF(INDEX(CONFIRM!$H$5:$H$53,G823)&lt;&gt;"",INDEX(CONFIRM!$H$5:$H$53,G823),IFERROR(INDEX(MAP!$B$7:$B$156,MATCH(TRIM(O823),MAP!$A$7:$A$156,0)),"UNMAPPED")),IFERROR(INDEX(MAP!$B$7:$B$156,MATCH(TRIM(O823),MAP!$A$7:$A$156,0)),"UNMAPPED"))</f>
        <v>Registered Dietitian</v>
      </c>
      <c r="Q823" s="48" t="n">
        <f aca="false">STACK!I823</f>
        <v>29.25</v>
      </c>
      <c r="R823" s="60" t="n">
        <f aca="false">IF(G823&gt;0,IF(INDEX(CONFIRM!$F$5:$F$53,G823)&lt;&gt;"",INDEX(CONFIRM!$F$5:$F$53,G823),IF(ISNUMBER(Q823),Q823,IF(Q823="","",IFERROR(VALUE(TRIM(SUBSTITUTE(SUBSTITUTE(LOWER(Q823),"hrs",""),"hr",""))),"")))),IF(ISNUMBER(Q823),Q823,IF(Q823="","",IFERROR(VALUE(TRIM(SUBSTITUTE(SUBSTITUTE(LOWER(Q823),"hrs",""),"hr",""))),""))))</f>
        <v>29.25</v>
      </c>
      <c r="S823" s="57" t="n">
        <f aca="false">IFERROR(INDEX(RATES!$E$6:$E$28,MATCH(P823,RATES!$A$6:$A$28,0)),0)</f>
        <v>46.9025</v>
      </c>
      <c r="T823" s="61" t="n">
        <f aca="false">IF(ISNUMBER(R823),R823,0)*S823</f>
        <v>1371.898125</v>
      </c>
      <c r="U823" s="61" t="n">
        <f aca="false">T823*INDEX(INPUTS!$H$10:$H$14,MATCH(B823,INPUTS!$A$10:$A$14,0))</f>
        <v>222.24749625</v>
      </c>
      <c r="V823" s="61" t="n">
        <f aca="false">N(STACK!K823)</f>
        <v>15165</v>
      </c>
      <c r="W823" s="61" t="n">
        <f aca="false">T823+U823+V823</f>
        <v>16759.14562125</v>
      </c>
      <c r="X823" s="61" t="n">
        <f aca="false">N(STACK!L823)</f>
        <v>5895</v>
      </c>
      <c r="Y823" s="61" t="n">
        <f aca="false">W823-X823</f>
        <v>10864.14562125</v>
      </c>
      <c r="Z823" s="1" t="n">
        <f aca="false">N(STACK!J823)</f>
        <v>101</v>
      </c>
      <c r="AA823" s="1" t="str">
        <f aca="false">TRIM(IF(D823="UNMAPPED","Program not mapped. ","")&amp;IF(OR(K823="UNMAPPED",K823="UNASSIGNED"),"Category needs review. ","")&amp;IF(P823="UNMAPPED","Title not mapped. ","")&amp;IF(AND(P823&lt;&gt;"No staff time",R823=""),"Missing hours. ","")&amp;IF(M823="","Date not readable. ","")&amp;IF(N823="No","Outside fiscal year. ","")&amp;IF(AND(F823="Event",ISNUMBER(R823)),IF(R823&gt;12,"Event hours look high. ",""),"")&amp;IF(G823&gt;0,"See CONFIRM sheet.",""))</f>
        <v/>
      </c>
      <c r="AB823" s="1" t="n">
        <f aca="false">IF(N823="No",0,IF(REVIEW!O823=0,0,IF(G823&gt;0,IF(INDEX(CONFIRM!$J$5:$J$53,G823)&lt;&gt;"",INDEX(CONFIRM!$J$5:$J$53,G823),1),1)))</f>
        <v>1</v>
      </c>
      <c r="AC823" s="1" t="n">
        <f aca="false">IF(AB823=1,IF(COUNTIFS($B$5:B823,B823,$D$5:D823,D823,$AB$5:AB823,1)=1,1,0),0)</f>
        <v>0</v>
      </c>
    </row>
    <row r="824" customFormat="false" ht="15" hidden="false" customHeight="false" outlineLevel="0" collapsed="false">
      <c r="A824" s="48" t="str">
        <f aca="false">STACK!A824</f>
        <v>ASH-0291</v>
      </c>
      <c r="B824" s="48" t="str">
        <f aca="false">STACK!B824</f>
        <v>ASH</v>
      </c>
      <c r="C824" s="48" t="str">
        <f aca="false">STACK!E824</f>
        <v>CB Program Admin</v>
      </c>
      <c r="D824" s="1" t="str">
        <f aca="false">IFERROR(INDEX(MAP!$J$7:$J$101,MATCH(TRIM(C824),MAP!$I$7:$I$101,0)),"UNMAPPED")</f>
        <v>Community Benefit Program Administration</v>
      </c>
      <c r="E824" s="1" t="str">
        <f aca="false">IFERROR(INDEX(MAP!$K$7:$K$101,MATCH(TRIM(C824),MAP!$I$7:$I$101,0)),"")</f>
        <v>Community benefit infrastructure</v>
      </c>
      <c r="F824" s="1" t="str">
        <f aca="false">IFERROR(INDEX(MAP!$L$7:$L$101,MATCH(TRIM(C824),MAP!$I$7:$I$101,0)),"")</f>
        <v>Monthly</v>
      </c>
      <c r="G824" s="1" t="n">
        <f aca="false">IFERROR(MATCH(A824,CONFIRM!$A$5:$A$53,0),0)</f>
        <v>0</v>
      </c>
      <c r="H824" s="48" t="str">
        <f aca="false">STACK!F824</f>
        <v>CB Admin</v>
      </c>
      <c r="I824" s="1" t="str">
        <f aca="false">IF(G824&gt;0,IF(INDEX(CONFIRM!$I$5:$I$53,G824)&lt;&gt;"",INDEX(CONFIRM!$I$5:$I$53,G824),H824),H824)</f>
        <v>CB Admin</v>
      </c>
      <c r="J824" s="1" t="str">
        <f aca="false">IFERROR(INDEX(MAP!$F$7:$F$74,MATCH(TRIM(I824),MAP!$E$7:$E$74,0)),"UNMAPPED")</f>
        <v>Community benefit operations</v>
      </c>
      <c r="K824" s="1" t="str">
        <f aca="false">IFERROR(INDEX(MAP!$G$7:$G$74,MATCH(TRIM(I824),MAP!$E$7:$E$74,0)),"UNMAPPED")</f>
        <v>7e</v>
      </c>
      <c r="L824" s="49" t="str">
        <f aca="false">STACK!G824</f>
        <v>06/30/2026</v>
      </c>
      <c r="M824" s="59" t="n">
        <f aca="false">IF(G824&gt;0,IF(INDEX(CONFIRM!$G$5:$G$53,G824)&lt;&gt;"",INDEX(CONFIRM!$G$5:$G$53,G824),IF(ISNUMBER(L824),L824,IFERROR(DATEVALUE(L824),""))),IF(ISNUMBER(L824),L824,IFERROR(DATEVALUE(L824),"")))</f>
        <v>46203</v>
      </c>
      <c r="N824" s="1" t="str">
        <f aca="false">IF(M824="","Check",IF(AND(M824&gt;=INPUTS!$C$6,M824&lt;=INPUTS!$C$7),"Yes","No"))</f>
        <v>Yes</v>
      </c>
      <c r="O824" s="48" t="str">
        <f aca="false">STACK!H824</f>
        <v>Secretary</v>
      </c>
      <c r="P824" s="1" t="str">
        <f aca="false">IF(G824&gt;0,IF(INDEX(CONFIRM!$H$5:$H$53,G824)&lt;&gt;"",INDEX(CONFIRM!$H$5:$H$53,G824),IFERROR(INDEX(MAP!$B$7:$B$156,MATCH(TRIM(O824),MAP!$A$7:$A$156,0)),"UNMAPPED")),IFERROR(INDEX(MAP!$B$7:$B$156,MATCH(TRIM(O824),MAP!$A$7:$A$156,0)),"UNMAPPED"))</f>
        <v>Administrative Assistant</v>
      </c>
      <c r="Q824" s="48" t="n">
        <f aca="false">STACK!I824</f>
        <v>40.25</v>
      </c>
      <c r="R824" s="60" t="n">
        <f aca="false">IF(G824&gt;0,IF(INDEX(CONFIRM!$F$5:$F$53,G824)&lt;&gt;"",INDEX(CONFIRM!$F$5:$F$53,G824),IF(ISNUMBER(Q824),Q824,IF(Q824="","",IFERROR(VALUE(TRIM(SUBSTITUTE(SUBSTITUTE(LOWER(Q824),"hrs",""),"hr",""))),"")))),IF(ISNUMBER(Q824),Q824,IF(Q824="","",IFERROR(VALUE(TRIM(SUBSTITUTE(SUBSTITUTE(LOWER(Q824),"hrs",""),"hr",""))),""))))</f>
        <v>40.25</v>
      </c>
      <c r="S824" s="57" t="n">
        <f aca="false">IFERROR(INDEX(RATES!$E$6:$E$28,MATCH(P824,RATES!$A$6:$A$28,0)),0)</f>
        <v>26.985</v>
      </c>
      <c r="T824" s="61" t="n">
        <f aca="false">IF(ISNUMBER(R824),R824,0)*S824</f>
        <v>1086.14625</v>
      </c>
      <c r="U824" s="61" t="n">
        <f aca="false">T824*INDEX(INPUTS!$H$10:$H$14,MATCH(B824,INPUTS!$A$10:$A$14,0))</f>
        <v>175.9556925</v>
      </c>
      <c r="V824" s="61" t="n">
        <f aca="false">N(STACK!K824)</f>
        <v>0</v>
      </c>
      <c r="W824" s="61" t="n">
        <f aca="false">T824+U824+V824</f>
        <v>1262.1019425</v>
      </c>
      <c r="X824" s="61" t="n">
        <f aca="false">N(STACK!L824)</f>
        <v>0</v>
      </c>
      <c r="Y824" s="61" t="n">
        <f aca="false">W824-X824</f>
        <v>1262.1019425</v>
      </c>
      <c r="Z824" s="1" t="n">
        <f aca="false">N(STACK!J824)</f>
        <v>0</v>
      </c>
      <c r="AA824" s="1" t="str">
        <f aca="false">TRIM(IF(D824="UNMAPPED","Program not mapped. ","")&amp;IF(OR(K824="UNMAPPED",K824="UNASSIGNED"),"Category needs review. ","")&amp;IF(P824="UNMAPPED","Title not mapped. ","")&amp;IF(AND(P824&lt;&gt;"No staff time",R824=""),"Missing hours. ","")&amp;IF(M824="","Date not readable. ","")&amp;IF(N824="No","Outside fiscal year. ","")&amp;IF(AND(F824="Event",ISNUMBER(R824)),IF(R824&gt;12,"Event hours look high. ",""),"")&amp;IF(G824&gt;0,"See CONFIRM sheet.",""))</f>
        <v/>
      </c>
      <c r="AB824" s="1" t="n">
        <f aca="false">IF(N824="No",0,IF(REVIEW!O824=0,0,IF(G824&gt;0,IF(INDEX(CONFIRM!$J$5:$J$53,G824)&lt;&gt;"",INDEX(CONFIRM!$J$5:$J$53,G824),1),1)))</f>
        <v>1</v>
      </c>
      <c r="AC824" s="1" t="n">
        <f aca="false">IF(AB824=1,IF(COUNTIFS($B$5:B824,B824,$D$5:D824,D824,$AB$5:AB824,1)=1,1,0),0)</f>
        <v>0</v>
      </c>
    </row>
    <row r="825" customFormat="false" ht="15" hidden="false" customHeight="false" outlineLevel="0" collapsed="false">
      <c r="A825" s="48" t="str">
        <f aca="false">STACK!A825</f>
        <v>ASH-0292</v>
      </c>
      <c r="B825" s="48" t="str">
        <f aca="false">STACK!B825</f>
        <v>ASH</v>
      </c>
      <c r="C825" s="48" t="str">
        <f aca="false">STACK!E825</f>
        <v>CB Program Admin</v>
      </c>
      <c r="D825" s="1" t="str">
        <f aca="false">IFERROR(INDEX(MAP!$J$7:$J$101,MATCH(TRIM(C825),MAP!$I$7:$I$101,0)),"UNMAPPED")</f>
        <v>Community Benefit Program Administration</v>
      </c>
      <c r="E825" s="1" t="str">
        <f aca="false">IFERROR(INDEX(MAP!$K$7:$K$101,MATCH(TRIM(C825),MAP!$I$7:$I$101,0)),"")</f>
        <v>Community benefit infrastructure</v>
      </c>
      <c r="F825" s="1" t="str">
        <f aca="false">IFERROR(INDEX(MAP!$L$7:$L$101,MATCH(TRIM(C825),MAP!$I$7:$I$101,0)),"")</f>
        <v>Monthly</v>
      </c>
      <c r="G825" s="1" t="n">
        <f aca="false">IFERROR(MATCH(A825,CONFIRM!$A$5:$A$53,0),0)</f>
        <v>0</v>
      </c>
      <c r="H825" s="48" t="str">
        <f aca="false">STACK!F825</f>
        <v>CB Admin</v>
      </c>
      <c r="I825" s="1" t="str">
        <f aca="false">IF(G825&gt;0,IF(INDEX(CONFIRM!$I$5:$I$53,G825)&lt;&gt;"",INDEX(CONFIRM!$I$5:$I$53,G825),H825),H825)</f>
        <v>CB Admin</v>
      </c>
      <c r="J825" s="1" t="str">
        <f aca="false">IFERROR(INDEX(MAP!$F$7:$F$74,MATCH(TRIM(I825),MAP!$E$7:$E$74,0)),"UNMAPPED")</f>
        <v>Community benefit operations</v>
      </c>
      <c r="K825" s="1" t="str">
        <f aca="false">IFERROR(INDEX(MAP!$G$7:$G$74,MATCH(TRIM(I825),MAP!$E$7:$E$74,0)),"UNMAPPED")</f>
        <v>7e</v>
      </c>
      <c r="L825" s="49" t="str">
        <f aca="false">STACK!G825</f>
        <v>06/30/2026</v>
      </c>
      <c r="M825" s="59" t="n">
        <f aca="false">IF(G825&gt;0,IF(INDEX(CONFIRM!$G$5:$G$53,G825)&lt;&gt;"",INDEX(CONFIRM!$G$5:$G$53,G825),IF(ISNUMBER(L825),L825,IFERROR(DATEVALUE(L825),""))),IF(ISNUMBER(L825),L825,IFERROR(DATEVALUE(L825),"")))</f>
        <v>46203</v>
      </c>
      <c r="N825" s="1" t="str">
        <f aca="false">IF(M825="","Check",IF(AND(M825&gt;=INPUTS!$C$6,M825&lt;=INPUTS!$C$7),"Yes","No"))</f>
        <v>Yes</v>
      </c>
      <c r="O825" s="48" t="str">
        <f aca="false">STACK!H825</f>
        <v>Community Health Manager</v>
      </c>
      <c r="P825" s="1" t="str">
        <f aca="false">IF(G825&gt;0,IF(INDEX(CONFIRM!$H$5:$H$53,G825)&lt;&gt;"",INDEX(CONFIRM!$H$5:$H$53,G825),IFERROR(INDEX(MAP!$B$7:$B$156,MATCH(TRIM(O825),MAP!$A$7:$A$156,0)),"UNMAPPED")),IFERROR(INDEX(MAP!$B$7:$B$156,MATCH(TRIM(O825),MAP!$A$7:$A$156,0)),"UNMAPPED"))</f>
        <v>Community Benefit Manager</v>
      </c>
      <c r="Q825" s="48" t="str">
        <f aca="false">STACK!I825</f>
        <v>65.75 hrs</v>
      </c>
      <c r="R825" s="60" t="n">
        <f aca="false">IF(G825&gt;0,IF(INDEX(CONFIRM!$F$5:$F$53,G825)&lt;&gt;"",INDEX(CONFIRM!$F$5:$F$53,G825),IF(ISNUMBER(Q825),Q825,IF(Q825="","",IFERROR(VALUE(TRIM(SUBSTITUTE(SUBSTITUTE(LOWER(Q825),"hrs",""),"hr",""))),"")))),IF(ISNUMBER(Q825),Q825,IF(Q825="","",IFERROR(VALUE(TRIM(SUBSTITUTE(SUBSTITUTE(LOWER(Q825),"hrs",""),"hr",""))),""))))</f>
        <v>65.75</v>
      </c>
      <c r="S825" s="57" t="n">
        <f aca="false">IFERROR(INDEX(RATES!$E$6:$E$28,MATCH(P825,RATES!$A$6:$A$28,0)),0)</f>
        <v>59.11</v>
      </c>
      <c r="T825" s="61" t="n">
        <f aca="false">IF(ISNUMBER(R825),R825,0)*S825</f>
        <v>3886.4825</v>
      </c>
      <c r="U825" s="61" t="n">
        <f aca="false">T825*INDEX(INPUTS!$H$10:$H$14,MATCH(B825,INPUTS!$A$10:$A$14,0))</f>
        <v>629.610165</v>
      </c>
      <c r="V825" s="61" t="n">
        <f aca="false">N(STACK!K825)</f>
        <v>420</v>
      </c>
      <c r="W825" s="61" t="n">
        <f aca="false">T825+U825+V825</f>
        <v>4936.092665</v>
      </c>
      <c r="X825" s="61" t="n">
        <f aca="false">N(STACK!L825)</f>
        <v>0</v>
      </c>
      <c r="Y825" s="61" t="n">
        <f aca="false">W825-X825</f>
        <v>4936.092665</v>
      </c>
      <c r="Z825" s="1" t="n">
        <f aca="false">N(STACK!J825)</f>
        <v>0</v>
      </c>
      <c r="AA825" s="1" t="str">
        <f aca="false">TRIM(IF(D825="UNMAPPED","Program not mapped. ","")&amp;IF(OR(K825="UNMAPPED",K825="UNASSIGNED"),"Category needs review. ","")&amp;IF(P825="UNMAPPED","Title not mapped. ","")&amp;IF(AND(P825&lt;&gt;"No staff time",R825=""),"Missing hours. ","")&amp;IF(M825="","Date not readable. ","")&amp;IF(N825="No","Outside fiscal year. ","")&amp;IF(AND(F825="Event",ISNUMBER(R825)),IF(R825&gt;12,"Event hours look high. ",""),"")&amp;IF(G825&gt;0,"See CONFIRM sheet.",""))</f>
        <v/>
      </c>
      <c r="AB825" s="1" t="n">
        <f aca="false">IF(N825="No",0,IF(REVIEW!O825=0,0,IF(G825&gt;0,IF(INDEX(CONFIRM!$J$5:$J$53,G825)&lt;&gt;"",INDEX(CONFIRM!$J$5:$J$53,G825),1),1)))</f>
        <v>1</v>
      </c>
      <c r="AC825" s="1" t="n">
        <f aca="false">IF(AB825=1,IF(COUNTIFS($B$5:B825,B825,$D$5:D825,D825,$AB$5:AB825,1)=1,1,0),0)</f>
        <v>0</v>
      </c>
    </row>
    <row r="826" customFormat="false" ht="15" hidden="false" customHeight="false" outlineLevel="0" collapsed="false">
      <c r="A826" s="48" t="str">
        <f aca="false">STACK!A826</f>
        <v>ASH-0293</v>
      </c>
      <c r="B826" s="48" t="str">
        <f aca="false">STACK!B826</f>
        <v>ASH</v>
      </c>
      <c r="C826" s="48" t="str">
        <f aca="false">STACK!E826</f>
        <v>Nursing Clinicals</v>
      </c>
      <c r="D826" s="1" t="str">
        <f aca="false">IFERROR(INDEX(MAP!$J$7:$J$101,MATCH(TRIM(C826),MAP!$I$7:$I$101,0)),"UNMAPPED")</f>
        <v>Nursing Student Clinical Rotations</v>
      </c>
      <c r="E826" s="1" t="str">
        <f aca="false">IFERROR(INDEX(MAP!$K$7:$K$101,MATCH(TRIM(C826),MAP!$I$7:$I$101,0)),"")</f>
        <v>Health workforce</v>
      </c>
      <c r="F826" s="1" t="str">
        <f aca="false">IFERROR(INDEX(MAP!$L$7:$L$101,MATCH(TRIM(C826),MAP!$I$7:$I$101,0)),"")</f>
        <v>Monthly</v>
      </c>
      <c r="G826" s="1" t="n">
        <f aca="false">IFERROR(MATCH(A826,CONFIRM!$A$5:$A$53,0),0)</f>
        <v>0</v>
      </c>
      <c r="H826" s="48" t="str">
        <f aca="false">STACK!F826</f>
        <v>HPE</v>
      </c>
      <c r="I826" s="1" t="str">
        <f aca="false">IF(G826&gt;0,IF(INDEX(CONFIRM!$I$5:$I$53,G826)&lt;&gt;"",INDEX(CONFIRM!$I$5:$I$53,G826),H826),H826)</f>
        <v>HPE</v>
      </c>
      <c r="J826" s="1" t="str">
        <f aca="false">IFERROR(INDEX(MAP!$F$7:$F$74,MATCH(TRIM(I826),MAP!$E$7:$E$74,0)),"UNMAPPED")</f>
        <v>Health professions education</v>
      </c>
      <c r="K826" s="1" t="str">
        <f aca="false">IFERROR(INDEX(MAP!$G$7:$G$74,MATCH(TRIM(I826),MAP!$E$7:$E$74,0)),"UNMAPPED")</f>
        <v>7f</v>
      </c>
      <c r="L826" s="49" t="str">
        <f aca="false">STACK!G826</f>
        <v>06/30/2026</v>
      </c>
      <c r="M826" s="59" t="n">
        <f aca="false">IF(G826&gt;0,IF(INDEX(CONFIRM!$G$5:$G$53,G826)&lt;&gt;"",INDEX(CONFIRM!$G$5:$G$53,G826),IF(ISNUMBER(L826),L826,IFERROR(DATEVALUE(L826),""))),IF(ISNUMBER(L826),L826,IFERROR(DATEVALUE(L826),"")))</f>
        <v>46203</v>
      </c>
      <c r="N826" s="1" t="str">
        <f aca="false">IF(M826="","Check",IF(AND(M826&gt;=INPUTS!$C$6,M826&lt;=INPUTS!$C$7),"Yes","No"))</f>
        <v>Yes</v>
      </c>
      <c r="O826" s="48" t="str">
        <f aca="false">STACK!H826</f>
        <v>Nurse Educator</v>
      </c>
      <c r="P826" s="1" t="str">
        <f aca="false">IF(G826&gt;0,IF(INDEX(CONFIRM!$H$5:$H$53,G826)&lt;&gt;"",INDEX(CONFIRM!$H$5:$H$53,G826),IFERROR(INDEX(MAP!$B$7:$B$156,MATCH(TRIM(O826),MAP!$A$7:$A$156,0)),"UNMAPPED")),IFERROR(INDEX(MAP!$B$7:$B$156,MATCH(TRIM(O826),MAP!$A$7:$A$156,0)),"UNMAPPED"))</f>
        <v>Clinical Nurse Educator</v>
      </c>
      <c r="Q826" s="48" t="n">
        <f aca="false">STACK!I826</f>
        <v>55.25</v>
      </c>
      <c r="R826" s="60" t="n">
        <f aca="false">IF(G826&gt;0,IF(INDEX(CONFIRM!$F$5:$F$53,G826)&lt;&gt;"",INDEX(CONFIRM!$F$5:$F$53,G826),IF(ISNUMBER(Q826),Q826,IF(Q826="","",IFERROR(VALUE(TRIM(SUBSTITUTE(SUBSTITUTE(LOWER(Q826),"hrs",""),"hr",""))),"")))),IF(ISNUMBER(Q826),Q826,IF(Q826="","",IFERROR(VALUE(TRIM(SUBSTITUTE(SUBSTITUTE(LOWER(Q826),"hrs",""),"hr",""))),""))))</f>
        <v>55.25</v>
      </c>
      <c r="S826" s="57" t="n">
        <f aca="false">IFERROR(INDEX(RATES!$E$6:$E$28,MATCH(P826,RATES!$A$6:$A$28,0)),0)</f>
        <v>62.965</v>
      </c>
      <c r="T826" s="61" t="n">
        <f aca="false">IF(ISNUMBER(R826),R826,0)*S826</f>
        <v>3478.81625</v>
      </c>
      <c r="U826" s="61" t="n">
        <f aca="false">T826*INDEX(INPUTS!$H$10:$H$14,MATCH(B826,INPUTS!$A$10:$A$14,0))</f>
        <v>563.5682325</v>
      </c>
      <c r="V826" s="61" t="n">
        <f aca="false">N(STACK!K826)</f>
        <v>295</v>
      </c>
      <c r="W826" s="61" t="n">
        <f aca="false">T826+U826+V826</f>
        <v>4337.3844825</v>
      </c>
      <c r="X826" s="61" t="n">
        <f aca="false">N(STACK!L826)</f>
        <v>0</v>
      </c>
      <c r="Y826" s="61" t="n">
        <f aca="false">W826-X826</f>
        <v>4337.3844825</v>
      </c>
      <c r="Z826" s="1" t="n">
        <f aca="false">N(STACK!J826)</f>
        <v>10</v>
      </c>
      <c r="AA826" s="1" t="str">
        <f aca="false">TRIM(IF(D826="UNMAPPED","Program not mapped. ","")&amp;IF(OR(K826="UNMAPPED",K826="UNASSIGNED"),"Category needs review. ","")&amp;IF(P826="UNMAPPED","Title not mapped. ","")&amp;IF(AND(P826&lt;&gt;"No staff time",R826=""),"Missing hours. ","")&amp;IF(M826="","Date not readable. ","")&amp;IF(N826="No","Outside fiscal year. ","")&amp;IF(AND(F826="Event",ISNUMBER(R826)),IF(R826&gt;12,"Event hours look high. ",""),"")&amp;IF(G826&gt;0,"See CONFIRM sheet.",""))</f>
        <v/>
      </c>
      <c r="AB826" s="1" t="n">
        <f aca="false">IF(N826="No",0,IF(REVIEW!O826=0,0,IF(G826&gt;0,IF(INDEX(CONFIRM!$J$5:$J$53,G826)&lt;&gt;"",INDEX(CONFIRM!$J$5:$J$53,G826),1),1)))</f>
        <v>1</v>
      </c>
      <c r="AC826" s="1" t="n">
        <f aca="false">IF(AB826=1,IF(COUNTIFS($B$5:B826,B826,$D$5:D826,D826,$AB$5:AB826,1)=1,1,0),0)</f>
        <v>0</v>
      </c>
    </row>
    <row r="827" customFormat="false" ht="15" hidden="false" customHeight="false" outlineLevel="0" collapsed="false">
      <c r="A827" s="48" t="str">
        <f aca="false">STACK!A827</f>
        <v>ASH-0294</v>
      </c>
      <c r="B827" s="48" t="str">
        <f aca="false">STACK!B827</f>
        <v>ASH</v>
      </c>
      <c r="C827" s="48" t="str">
        <f aca="false">STACK!E827</f>
        <v>Nursing Clinicals</v>
      </c>
      <c r="D827" s="1" t="str">
        <f aca="false">IFERROR(INDEX(MAP!$J$7:$J$101,MATCH(TRIM(C827),MAP!$I$7:$I$101,0)),"UNMAPPED")</f>
        <v>Nursing Student Clinical Rotations</v>
      </c>
      <c r="E827" s="1" t="str">
        <f aca="false">IFERROR(INDEX(MAP!$K$7:$K$101,MATCH(TRIM(C827),MAP!$I$7:$I$101,0)),"")</f>
        <v>Health workforce</v>
      </c>
      <c r="F827" s="1" t="str">
        <f aca="false">IFERROR(INDEX(MAP!$L$7:$L$101,MATCH(TRIM(C827),MAP!$I$7:$I$101,0)),"")</f>
        <v>Monthly</v>
      </c>
      <c r="G827" s="1" t="n">
        <f aca="false">IFERROR(MATCH(A827,CONFIRM!$A$5:$A$53,0),0)</f>
        <v>0</v>
      </c>
      <c r="H827" s="48" t="str">
        <f aca="false">STACK!F827</f>
        <v>HPE</v>
      </c>
      <c r="I827" s="1" t="str">
        <f aca="false">IF(G827&gt;0,IF(INDEX(CONFIRM!$I$5:$I$53,G827)&lt;&gt;"",INDEX(CONFIRM!$I$5:$I$53,G827),H827),H827)</f>
        <v>HPE</v>
      </c>
      <c r="J827" s="1" t="str">
        <f aca="false">IFERROR(INDEX(MAP!$F$7:$F$74,MATCH(TRIM(I827),MAP!$E$7:$E$74,0)),"UNMAPPED")</f>
        <v>Health professions education</v>
      </c>
      <c r="K827" s="1" t="str">
        <f aca="false">IFERROR(INDEX(MAP!$G$7:$G$74,MATCH(TRIM(I827),MAP!$E$7:$E$74,0)),"UNMAPPED")</f>
        <v>7f</v>
      </c>
      <c r="L827" s="49" t="str">
        <f aca="false">STACK!G827</f>
        <v>06/30/2026</v>
      </c>
      <c r="M827" s="59" t="n">
        <f aca="false">IF(G827&gt;0,IF(INDEX(CONFIRM!$G$5:$G$53,G827)&lt;&gt;"",INDEX(CONFIRM!$G$5:$G$53,G827),IF(ISNUMBER(L827),L827,IFERROR(DATEVALUE(L827),""))),IF(ISNUMBER(L827),L827,IFERROR(DATEVALUE(L827),"")))</f>
        <v>46203</v>
      </c>
      <c r="N827" s="1" t="str">
        <f aca="false">IF(M827="","Check",IF(AND(M827&gt;=INPUTS!$C$6,M827&lt;=INPUTS!$C$7),"Yes","No"))</f>
        <v>Yes</v>
      </c>
      <c r="O827" s="48" t="str">
        <f aca="false">STACK!H827</f>
        <v>RN III </v>
      </c>
      <c r="P827" s="1" t="str">
        <f aca="false">IF(G827&gt;0,IF(INDEX(CONFIRM!$H$5:$H$53,G827)&lt;&gt;"",INDEX(CONFIRM!$H$5:$H$53,G827),IFERROR(INDEX(MAP!$B$7:$B$156,MATCH(TRIM(O827),MAP!$A$7:$A$156,0)),"UNMAPPED")),IFERROR(INDEX(MAP!$B$7:$B$156,MATCH(TRIM(O827),MAP!$A$7:$A$156,0)),"UNMAPPED"))</f>
        <v>Registered Nurse</v>
      </c>
      <c r="Q827" s="48" t="n">
        <f aca="false">STACK!I827</f>
        <v>80.5</v>
      </c>
      <c r="R827" s="60" t="n">
        <f aca="false">IF(G827&gt;0,IF(INDEX(CONFIRM!$F$5:$F$53,G827)&lt;&gt;"",INDEX(CONFIRM!$F$5:$F$53,G827),IF(ISNUMBER(Q827),Q827,IF(Q827="","",IFERROR(VALUE(TRIM(SUBSTITUTE(SUBSTITUTE(LOWER(Q827),"hrs",""),"hr",""))),"")))),IF(ISNUMBER(Q827),Q827,IF(Q827="","",IFERROR(VALUE(TRIM(SUBSTITUTE(SUBSTITUTE(LOWER(Q827),"hrs",""),"hr",""))),""))))</f>
        <v>80.5</v>
      </c>
      <c r="S827" s="57" t="n">
        <f aca="false">IFERROR(INDEX(RATES!$E$6:$E$28,MATCH(P827,RATES!$A$6:$A$28,0)),0)</f>
        <v>55.8975</v>
      </c>
      <c r="T827" s="61" t="n">
        <f aca="false">IF(ISNUMBER(R827),R827,0)*S827</f>
        <v>4499.74875</v>
      </c>
      <c r="U827" s="61" t="n">
        <f aca="false">T827*INDEX(INPUTS!$H$10:$H$14,MATCH(B827,INPUTS!$A$10:$A$14,0))</f>
        <v>728.9592975</v>
      </c>
      <c r="V827" s="61" t="n">
        <f aca="false">N(STACK!K827)</f>
        <v>0</v>
      </c>
      <c r="W827" s="61" t="n">
        <f aca="false">T827+U827+V827</f>
        <v>5228.7080475</v>
      </c>
      <c r="X827" s="61" t="n">
        <f aca="false">N(STACK!L827)</f>
        <v>0</v>
      </c>
      <c r="Y827" s="61" t="n">
        <f aca="false">W827-X827</f>
        <v>5228.7080475</v>
      </c>
      <c r="Z827" s="1" t="n">
        <f aca="false">N(STACK!J827)</f>
        <v>0</v>
      </c>
      <c r="AA827" s="1" t="str">
        <f aca="false">TRIM(IF(D827="UNMAPPED","Program not mapped. ","")&amp;IF(OR(K827="UNMAPPED",K827="UNASSIGNED"),"Category needs review. ","")&amp;IF(P827="UNMAPPED","Title not mapped. ","")&amp;IF(AND(P827&lt;&gt;"No staff time",R827=""),"Missing hours. ","")&amp;IF(M827="","Date not readable. ","")&amp;IF(N827="No","Outside fiscal year. ","")&amp;IF(AND(F827="Event",ISNUMBER(R827)),IF(R827&gt;12,"Event hours look high. ",""),"")&amp;IF(G827&gt;0,"See CONFIRM sheet.",""))</f>
        <v/>
      </c>
      <c r="AB827" s="1" t="n">
        <f aca="false">IF(N827="No",0,IF(REVIEW!O827=0,0,IF(G827&gt;0,IF(INDEX(CONFIRM!$J$5:$J$53,G827)&lt;&gt;"",INDEX(CONFIRM!$J$5:$J$53,G827),1),1)))</f>
        <v>1</v>
      </c>
      <c r="AC827" s="1" t="n">
        <f aca="false">IF(AB827=1,IF(COUNTIFS($B$5:B827,B827,$D$5:D827,D827,$AB$5:AB827,1)=1,1,0),0)</f>
        <v>0</v>
      </c>
    </row>
    <row r="828" customFormat="false" ht="15" hidden="false" customHeight="false" outlineLevel="0" collapsed="false">
      <c r="A828" s="48" t="str">
        <f aca="false">STACK!A828</f>
        <v>ASH-0295</v>
      </c>
      <c r="B828" s="48" t="str">
        <f aca="false">STACK!B828</f>
        <v>ASH</v>
      </c>
      <c r="C828" s="48" t="str">
        <f aca="false">STACK!E828</f>
        <v>Paramedic Students</v>
      </c>
      <c r="D828" s="1" t="str">
        <f aca="false">IFERROR(INDEX(MAP!$J$7:$J$101,MATCH(TRIM(C828),MAP!$I$7:$I$101,0)),"UNMAPPED")</f>
        <v>Paramedic Student Field Training</v>
      </c>
      <c r="E828" s="1" t="str">
        <f aca="false">IFERROR(INDEX(MAP!$K$7:$K$101,MATCH(TRIM(C828),MAP!$I$7:$I$101,0)),"")</f>
        <v>Health workforce</v>
      </c>
      <c r="F828" s="1" t="str">
        <f aca="false">IFERROR(INDEX(MAP!$L$7:$L$101,MATCH(TRIM(C828),MAP!$I$7:$I$101,0)),"")</f>
        <v>Monthly</v>
      </c>
      <c r="G828" s="1" t="n">
        <f aca="false">IFERROR(MATCH(A828,CONFIRM!$A$5:$A$53,0),0)</f>
        <v>0</v>
      </c>
      <c r="H828" s="48" t="str">
        <f aca="false">STACK!F828</f>
        <v>HPE</v>
      </c>
      <c r="I828" s="1" t="str">
        <f aca="false">IF(G828&gt;0,IF(INDEX(CONFIRM!$I$5:$I$53,G828)&lt;&gt;"",INDEX(CONFIRM!$I$5:$I$53,G828),H828),H828)</f>
        <v>HPE</v>
      </c>
      <c r="J828" s="1" t="str">
        <f aca="false">IFERROR(INDEX(MAP!$F$7:$F$74,MATCH(TRIM(I828),MAP!$E$7:$E$74,0)),"UNMAPPED")</f>
        <v>Health professions education</v>
      </c>
      <c r="K828" s="1" t="str">
        <f aca="false">IFERROR(INDEX(MAP!$G$7:$G$74,MATCH(TRIM(I828),MAP!$E$7:$E$74,0)),"UNMAPPED")</f>
        <v>7f</v>
      </c>
      <c r="L828" s="49" t="str">
        <f aca="false">STACK!G828</f>
        <v>06/30/2026</v>
      </c>
      <c r="M828" s="59" t="n">
        <f aca="false">IF(G828&gt;0,IF(INDEX(CONFIRM!$G$5:$G$53,G828)&lt;&gt;"",INDEX(CONFIRM!$G$5:$G$53,G828),IF(ISNUMBER(L828),L828,IFERROR(DATEVALUE(L828),""))),IF(ISNUMBER(L828),L828,IFERROR(DATEVALUE(L828),"")))</f>
        <v>46203</v>
      </c>
      <c r="N828" s="1" t="str">
        <f aca="false">IF(M828="","Check",IF(AND(M828&gt;=INPUTS!$C$6,M828&lt;=INPUTS!$C$7),"Yes","No"))</f>
        <v>Yes</v>
      </c>
      <c r="O828" s="48" t="str">
        <f aca="false">STACK!H828</f>
        <v>EMT-P</v>
      </c>
      <c r="P828" s="1" t="str">
        <f aca="false">IF(G828&gt;0,IF(INDEX(CONFIRM!$H$5:$H$53,G828)&lt;&gt;"",INDEX(CONFIRM!$H$5:$H$53,G828),IFERROR(INDEX(MAP!$B$7:$B$156,MATCH(TRIM(O828),MAP!$A$7:$A$156,0)),"UNMAPPED")),IFERROR(INDEX(MAP!$B$7:$B$156,MATCH(TRIM(O828),MAP!$A$7:$A$156,0)),"UNMAPPED"))</f>
        <v>Paramedic</v>
      </c>
      <c r="Q828" s="48" t="n">
        <f aca="false">STACK!I828</f>
        <v>79.25</v>
      </c>
      <c r="R828" s="60" t="n">
        <f aca="false">IF(G828&gt;0,IF(INDEX(CONFIRM!$F$5:$F$53,G828)&lt;&gt;"",INDEX(CONFIRM!$F$5:$F$53,G828),IF(ISNUMBER(Q828),Q828,IF(Q828="","",IFERROR(VALUE(TRIM(SUBSTITUTE(SUBSTITUTE(LOWER(Q828),"hrs",""),"hr",""))),"")))),IF(ISNUMBER(Q828),Q828,IF(Q828="","",IFERROR(VALUE(TRIM(SUBSTITUTE(SUBSTITUTE(LOWER(Q828),"hrs",""),"hr",""))),""))))</f>
        <v>79.25</v>
      </c>
      <c r="S828" s="57" t="n">
        <f aca="false">IFERROR(INDEX(RATES!$E$6:$E$28,MATCH(P828,RATES!$A$6:$A$28,0)),0)</f>
        <v>34.695</v>
      </c>
      <c r="T828" s="61" t="n">
        <f aca="false">IF(ISNUMBER(R828),R828,0)*S828</f>
        <v>2749.57875</v>
      </c>
      <c r="U828" s="61" t="n">
        <f aca="false">T828*INDEX(INPUTS!$H$10:$H$14,MATCH(B828,INPUTS!$A$10:$A$14,0))</f>
        <v>445.4317575</v>
      </c>
      <c r="V828" s="61" t="n">
        <f aca="false">N(STACK!K828)</f>
        <v>70</v>
      </c>
      <c r="W828" s="61" t="n">
        <f aca="false">T828+U828+V828</f>
        <v>3265.0105075</v>
      </c>
      <c r="X828" s="61" t="n">
        <f aca="false">N(STACK!L828)</f>
        <v>0</v>
      </c>
      <c r="Y828" s="61" t="n">
        <f aca="false">W828-X828</f>
        <v>3265.0105075</v>
      </c>
      <c r="Z828" s="1" t="n">
        <f aca="false">N(STACK!J828)</f>
        <v>6</v>
      </c>
      <c r="AA828" s="1" t="str">
        <f aca="false">TRIM(IF(D828="UNMAPPED","Program not mapped. ","")&amp;IF(OR(K828="UNMAPPED",K828="UNASSIGNED"),"Category needs review. ","")&amp;IF(P828="UNMAPPED","Title not mapped. ","")&amp;IF(AND(P828&lt;&gt;"No staff time",R828=""),"Missing hours. ","")&amp;IF(M828="","Date not readable. ","")&amp;IF(N828="No","Outside fiscal year. ","")&amp;IF(AND(F828="Event",ISNUMBER(R828)),IF(R828&gt;12,"Event hours look high. ",""),"")&amp;IF(G828&gt;0,"See CONFIRM sheet.",""))</f>
        <v/>
      </c>
      <c r="AB828" s="1" t="n">
        <f aca="false">IF(N828="No",0,IF(REVIEW!O828=0,0,IF(G828&gt;0,IF(INDEX(CONFIRM!$J$5:$J$53,G828)&lt;&gt;"",INDEX(CONFIRM!$J$5:$J$53,G828),1),1)))</f>
        <v>1</v>
      </c>
      <c r="AC828" s="1" t="n">
        <f aca="false">IF(AB828=1,IF(COUNTIFS($B$5:B828,B828,$D$5:D828,D828,$AB$5:AB828,1)=1,1,0),0)</f>
        <v>0</v>
      </c>
    </row>
    <row r="829" customFormat="false" ht="15" hidden="false" customHeight="false" outlineLevel="0" collapsed="false">
      <c r="A829" s="48" t="str">
        <f aca="false">STACK!A829</f>
        <v>CBH-0001</v>
      </c>
      <c r="B829" s="48" t="str">
        <f aca="false">STACK!B829</f>
        <v>CBH</v>
      </c>
      <c r="C829" s="48" t="str">
        <f aca="false">STACK!E829</f>
        <v>Health Coalition</v>
      </c>
      <c r="D829" s="1" t="str">
        <f aca="false">IFERROR(INDEX(MAP!$J$7:$J$101,MATCH(TRIM(C829),MAP!$I$7:$I$101,0)),"UNMAPPED")</f>
        <v>Regional Health Coalition</v>
      </c>
      <c r="E829" s="1" t="str">
        <f aca="false">IFERROR(INDEX(MAP!$K$7:$K$101,MATCH(TRIM(C829),MAP!$I$7:$I$101,0)),"")</f>
        <v>Community benefit infrastructure</v>
      </c>
      <c r="F829" s="1" t="str">
        <f aca="false">IFERROR(INDEX(MAP!$L$7:$L$101,MATCH(TRIM(C829),MAP!$I$7:$I$101,0)),"")</f>
        <v>Event</v>
      </c>
      <c r="G829" s="1" t="n">
        <f aca="false">IFERROR(MATCH(A829,CONFIRM!$A$5:$A$53,0),0)</f>
        <v>6</v>
      </c>
      <c r="H829" s="48" t="str">
        <f aca="false">STACK!F829</f>
        <v>Community Health Improvement</v>
      </c>
      <c r="I829" s="1" t="str">
        <f aca="false">IF(G829&gt;0,IF(INDEX(CONFIRM!$I$5:$I$53,G829)&lt;&gt;"",INDEX(CONFIRM!$I$5:$I$53,G829),H829),H829)</f>
        <v>Community building: coalition building</v>
      </c>
      <c r="J829" s="1" t="str">
        <f aca="false">IFERROR(INDEX(MAP!$F$7:$F$74,MATCH(TRIM(I829),MAP!$E$7:$E$74,0)),"UNMAPPED")</f>
        <v>Community building: coalition building</v>
      </c>
      <c r="K829" s="1" t="str">
        <f aca="false">IFERROR(INDEX(MAP!$G$7:$G$74,MATCH(TRIM(I829),MAP!$E$7:$E$74,0)),"UNMAPPED")</f>
        <v>II-6</v>
      </c>
      <c r="L829" s="49" t="str">
        <f aca="false">STACK!G829</f>
        <v>2025-07-08</v>
      </c>
      <c r="M829" s="59" t="n">
        <f aca="false">IF(G829&gt;0,IF(INDEX(CONFIRM!$G$5:$G$53,G829)&lt;&gt;"",INDEX(CONFIRM!$G$5:$G$53,G829),IF(ISNUMBER(L829),L829,IFERROR(DATEVALUE(L829),""))),IF(ISNUMBER(L829),L829,IFERROR(DATEVALUE(L829),"")))</f>
        <v>45846</v>
      </c>
      <c r="N829" s="1" t="str">
        <f aca="false">IF(M829="","Check",IF(AND(M829&gt;=INPUTS!$C$6,M829&lt;=INPUTS!$C$7),"Yes","No"))</f>
        <v>Yes</v>
      </c>
      <c r="O829" s="48" t="str">
        <f aca="false">STACK!H829</f>
        <v>Community Health Manager</v>
      </c>
      <c r="P829" s="1" t="str">
        <f aca="false">IF(G829&gt;0,IF(INDEX(CONFIRM!$H$5:$H$53,G829)&lt;&gt;"",INDEX(CONFIRM!$H$5:$H$53,G829),IFERROR(INDEX(MAP!$B$7:$B$156,MATCH(TRIM(O829),MAP!$A$7:$A$156,0)),"UNMAPPED")),IFERROR(INDEX(MAP!$B$7:$B$156,MATCH(TRIM(O829),MAP!$A$7:$A$156,0)),"UNMAPPED"))</f>
        <v>Community Benefit Manager</v>
      </c>
      <c r="Q829" s="48" t="n">
        <f aca="false">STACK!I829</f>
        <v>2.25</v>
      </c>
      <c r="R829" s="60" t="n">
        <f aca="false">IF(G829&gt;0,IF(INDEX(CONFIRM!$F$5:$F$53,G829)&lt;&gt;"",INDEX(CONFIRM!$F$5:$F$53,G829),IF(ISNUMBER(Q829),Q829,IF(Q829="","",IFERROR(VALUE(TRIM(SUBSTITUTE(SUBSTITUTE(LOWER(Q829),"hrs",""),"hr",""))),"")))),IF(ISNUMBER(Q829),Q829,IF(Q829="","",IFERROR(VALUE(TRIM(SUBSTITUTE(SUBSTITUTE(LOWER(Q829),"hrs",""),"hr",""))),""))))</f>
        <v>2.25</v>
      </c>
      <c r="S829" s="57" t="n">
        <f aca="false">IFERROR(INDEX(RATES!$E$6:$E$28,MATCH(P829,RATES!$A$6:$A$28,0)),0)</f>
        <v>59.11</v>
      </c>
      <c r="T829" s="61" t="n">
        <f aca="false">IF(ISNUMBER(R829),R829,0)*S829</f>
        <v>132.9975</v>
      </c>
      <c r="U829" s="61" t="n">
        <f aca="false">T829*INDEX(INPUTS!$H$10:$H$14,MATCH(B829,INPUTS!$A$10:$A$14,0))</f>
        <v>21.013605</v>
      </c>
      <c r="V829" s="61" t="n">
        <f aca="false">N(STACK!K829)</f>
        <v>0</v>
      </c>
      <c r="W829" s="61" t="n">
        <f aca="false">T829+U829+V829</f>
        <v>154.011105</v>
      </c>
      <c r="X829" s="61" t="n">
        <f aca="false">N(STACK!L829)</f>
        <v>0</v>
      </c>
      <c r="Y829" s="61" t="n">
        <f aca="false">W829-X829</f>
        <v>154.011105</v>
      </c>
      <c r="Z829" s="1" t="n">
        <f aca="false">N(STACK!J829)</f>
        <v>0</v>
      </c>
      <c r="AA829" s="1" t="str">
        <f aca="false">TRIM(IF(D829="UNMAPPED","Program not mapped. ","")&amp;IF(OR(K829="UNMAPPED",K829="UNASSIGNED"),"Category needs review. ","")&amp;IF(P829="UNMAPPED","Title not mapped. ","")&amp;IF(AND(P829&lt;&gt;"No staff time",R829=""),"Missing hours. ","")&amp;IF(M829="","Date not readable. ","")&amp;IF(N829="No","Outside fiscal year. ","")&amp;IF(AND(F829="Event",ISNUMBER(R829)),IF(R829&gt;12,"Event hours look high. ",""),"")&amp;IF(G829&gt;0,"See CONFIRM sheet.",""))</f>
        <v>See CONFIRM sheet.</v>
      </c>
      <c r="AB829" s="1" t="n">
        <f aca="false">IF(N829="No",0,IF(REVIEW!O829=0,0,IF(G829&gt;0,IF(INDEX(CONFIRM!$J$5:$J$53,G829)&lt;&gt;"",INDEX(CONFIRM!$J$5:$J$53,G829),1),1)))</f>
        <v>1</v>
      </c>
      <c r="AC829" s="1" t="n">
        <f aca="false">IF(AB829=1,IF(COUNTIFS($B$5:B829,B829,$D$5:D829,D829,$AB$5:AB829,1)=1,1,0),0)</f>
        <v>1</v>
      </c>
    </row>
    <row r="830" customFormat="false" ht="15" hidden="false" customHeight="false" outlineLevel="0" collapsed="false">
      <c r="A830" s="48" t="str">
        <f aca="false">STACK!A830</f>
        <v>CBH-0002</v>
      </c>
      <c r="B830" s="48" t="str">
        <f aca="false">STACK!B830</f>
        <v>CBH</v>
      </c>
      <c r="C830" s="48" t="str">
        <f aca="false">STACK!E830</f>
        <v>Health Coalition</v>
      </c>
      <c r="D830" s="1" t="str">
        <f aca="false">IFERROR(INDEX(MAP!$J$7:$J$101,MATCH(TRIM(C830),MAP!$I$7:$I$101,0)),"UNMAPPED")</f>
        <v>Regional Health Coalition</v>
      </c>
      <c r="E830" s="1" t="str">
        <f aca="false">IFERROR(INDEX(MAP!$K$7:$K$101,MATCH(TRIM(C830),MAP!$I$7:$I$101,0)),"")</f>
        <v>Community benefit infrastructure</v>
      </c>
      <c r="F830" s="1" t="str">
        <f aca="false">IFERROR(INDEX(MAP!$L$7:$L$101,MATCH(TRIM(C830),MAP!$I$7:$I$101,0)),"")</f>
        <v>Event</v>
      </c>
      <c r="G830" s="1" t="n">
        <f aca="false">IFERROR(MATCH(A830,CONFIRM!$A$5:$A$53,0),0)</f>
        <v>7</v>
      </c>
      <c r="H830" s="48" t="str">
        <f aca="false">STACK!F830</f>
        <v>Community Health Improvement</v>
      </c>
      <c r="I830" s="1" t="str">
        <f aca="false">IF(G830&gt;0,IF(INDEX(CONFIRM!$I$5:$I$53,G830)&lt;&gt;"",INDEX(CONFIRM!$I$5:$I$53,G830),H830),H830)</f>
        <v>Community building: coalition building</v>
      </c>
      <c r="J830" s="1" t="str">
        <f aca="false">IFERROR(INDEX(MAP!$F$7:$F$74,MATCH(TRIM(I830),MAP!$E$7:$E$74,0)),"UNMAPPED")</f>
        <v>Community building: coalition building</v>
      </c>
      <c r="K830" s="1" t="str">
        <f aca="false">IFERROR(INDEX(MAP!$G$7:$G$74,MATCH(TRIM(I830),MAP!$E$7:$E$74,0)),"UNMAPPED")</f>
        <v>II-6</v>
      </c>
      <c r="L830" s="49" t="str">
        <f aca="false">STACK!G830</f>
        <v>2025-07-08</v>
      </c>
      <c r="M830" s="59" t="n">
        <f aca="false">IF(G830&gt;0,IF(INDEX(CONFIRM!$G$5:$G$53,G830)&lt;&gt;"",INDEX(CONFIRM!$G$5:$G$53,G830),IF(ISNUMBER(L830),L830,IFERROR(DATEVALUE(L830),""))),IF(ISNUMBER(L830),L830,IFERROR(DATEVALUE(L830),"")))</f>
        <v>45846</v>
      </c>
      <c r="N830" s="1" t="str">
        <f aca="false">IF(M830="","Check",IF(AND(M830&gt;=INPUTS!$C$6,M830&lt;=INPUTS!$C$7),"Yes","No"))</f>
        <v>Yes</v>
      </c>
      <c r="O830" s="48" t="str">
        <f aca="false">STACK!H830</f>
        <v>Assoc. Director</v>
      </c>
      <c r="P830" s="1" t="str">
        <f aca="false">IF(G830&gt;0,IF(INDEX(CONFIRM!$H$5:$H$53,G830)&lt;&gt;"",INDEX(CONFIRM!$H$5:$H$53,G830),IFERROR(INDEX(MAP!$B$7:$B$156,MATCH(TRIM(O830),MAP!$A$7:$A$156,0)),"UNMAPPED")),IFERROR(INDEX(MAP!$B$7:$B$156,MATCH(TRIM(O830),MAP!$A$7:$A$156,0)),"UNMAPPED"))</f>
        <v>Director</v>
      </c>
      <c r="Q830" s="48" t="n">
        <f aca="false">STACK!I830</f>
        <v>2.5</v>
      </c>
      <c r="R830" s="60" t="n">
        <f aca="false">IF(G830&gt;0,IF(INDEX(CONFIRM!$F$5:$F$53,G830)&lt;&gt;"",INDEX(CONFIRM!$F$5:$F$53,G830),IF(ISNUMBER(Q830),Q830,IF(Q830="","",IFERROR(VALUE(TRIM(SUBSTITUTE(SUBSTITUTE(LOWER(Q830),"hrs",""),"hr",""))),"")))),IF(ISNUMBER(Q830),Q830,IF(Q830="","",IFERROR(VALUE(TRIM(SUBSTITUTE(SUBSTITUTE(LOWER(Q830),"hrs",""),"hr",""))),""))))</f>
        <v>2.5</v>
      </c>
      <c r="S830" s="57" t="n">
        <f aca="false">IFERROR(INDEX(RATES!$E$6:$E$28,MATCH(P830,RATES!$A$6:$A$28,0)),0)</f>
        <v>92.52</v>
      </c>
      <c r="T830" s="61" t="n">
        <f aca="false">IF(ISNUMBER(R830),R830,0)*S830</f>
        <v>231.3</v>
      </c>
      <c r="U830" s="61" t="n">
        <f aca="false">T830*INDEX(INPUTS!$H$10:$H$14,MATCH(B830,INPUTS!$A$10:$A$14,0))</f>
        <v>36.5454</v>
      </c>
      <c r="V830" s="61" t="n">
        <f aca="false">N(STACK!K830)</f>
        <v>55</v>
      </c>
      <c r="W830" s="61" t="n">
        <f aca="false">T830+U830+V830</f>
        <v>322.8454</v>
      </c>
      <c r="X830" s="61" t="n">
        <f aca="false">N(STACK!L830)</f>
        <v>0</v>
      </c>
      <c r="Y830" s="61" t="n">
        <f aca="false">W830-X830</f>
        <v>322.8454</v>
      </c>
      <c r="Z830" s="1" t="n">
        <f aca="false">N(STACK!J830)</f>
        <v>0</v>
      </c>
      <c r="AA830" s="1" t="str">
        <f aca="false">TRIM(IF(D830="UNMAPPED","Program not mapped. ","")&amp;IF(OR(K830="UNMAPPED",K830="UNASSIGNED"),"Category needs review. ","")&amp;IF(P830="UNMAPPED","Title not mapped. ","")&amp;IF(AND(P830&lt;&gt;"No staff time",R830=""),"Missing hours. ","")&amp;IF(M830="","Date not readable. ","")&amp;IF(N830="No","Outside fiscal year. ","")&amp;IF(AND(F830="Event",ISNUMBER(R830)),IF(R830&gt;12,"Event hours look high. ",""),"")&amp;IF(G830&gt;0,"See CONFIRM sheet.",""))</f>
        <v>See CONFIRM sheet.</v>
      </c>
      <c r="AB830" s="1" t="n">
        <f aca="false">IF(N830="No",0,IF(REVIEW!O830=0,0,IF(G830&gt;0,IF(INDEX(CONFIRM!$J$5:$J$53,G830)&lt;&gt;"",INDEX(CONFIRM!$J$5:$J$53,G830),1),1)))</f>
        <v>1</v>
      </c>
      <c r="AC830" s="1" t="n">
        <f aca="false">IF(AB830=1,IF(COUNTIFS($B$5:B830,B830,$D$5:D830,D830,$AB$5:AB830,1)=1,1,0),0)</f>
        <v>0</v>
      </c>
    </row>
    <row r="831" customFormat="false" ht="15" hidden="false" customHeight="false" outlineLevel="0" collapsed="false">
      <c r="A831" s="48" t="str">
        <f aca="false">STACK!A831</f>
        <v>CBH-0003</v>
      </c>
      <c r="B831" s="48" t="str">
        <f aca="false">STACK!B831</f>
        <v>CBH</v>
      </c>
      <c r="C831" s="48" t="str">
        <f aca="false">STACK!E831</f>
        <v>Matter of Balance Classes</v>
      </c>
      <c r="D831" s="1" t="str">
        <f aca="false">IFERROR(INDEX(MAP!$J$7:$J$101,MATCH(TRIM(C831),MAP!$I$7:$I$101,0)),"UNMAPPED")</f>
        <v>Fall Prevention Classes for Older Adults</v>
      </c>
      <c r="E831" s="1" t="str">
        <f aca="false">IFERROR(INDEX(MAP!$K$7:$K$101,MATCH(TRIM(C831),MAP!$I$7:$I$101,0)),"")</f>
        <v>Chronic disease prevention</v>
      </c>
      <c r="F831" s="1" t="str">
        <f aca="false">IFERROR(INDEX(MAP!$L$7:$L$101,MATCH(TRIM(C831),MAP!$I$7:$I$101,0)),"")</f>
        <v>Event</v>
      </c>
      <c r="G831" s="1" t="n">
        <f aca="false">IFERROR(MATCH(A831,CONFIRM!$A$5:$A$53,0),0)</f>
        <v>0</v>
      </c>
      <c r="H831" s="48" t="str">
        <f aca="false">STACK!F831</f>
        <v>Health Education</v>
      </c>
      <c r="I831" s="1" t="str">
        <f aca="false">IF(G831&gt;0,IF(INDEX(CONFIRM!$I$5:$I$53,G831)&lt;&gt;"",INDEX(CONFIRM!$I$5:$I$53,G831),H831),H831)</f>
        <v>Health Education</v>
      </c>
      <c r="J831" s="1" t="str">
        <f aca="false">IFERROR(INDEX(MAP!$F$7:$F$74,MATCH(TRIM(I831),MAP!$E$7:$E$74,0)),"UNMAPPED")</f>
        <v>Community health education</v>
      </c>
      <c r="K831" s="1" t="str">
        <f aca="false">IFERROR(INDEX(MAP!$G$7:$G$74,MATCH(TRIM(I831),MAP!$E$7:$E$74,0)),"UNMAPPED")</f>
        <v>7e</v>
      </c>
      <c r="L831" s="49" t="str">
        <f aca="false">STACK!G831</f>
        <v>2025-07-11</v>
      </c>
      <c r="M831" s="59" t="n">
        <f aca="false">IF(G831&gt;0,IF(INDEX(CONFIRM!$G$5:$G$53,G831)&lt;&gt;"",INDEX(CONFIRM!$G$5:$G$53,G831),IF(ISNUMBER(L831),L831,IFERROR(DATEVALUE(L831),""))),IF(ISNUMBER(L831),L831,IFERROR(DATEVALUE(L831),"")))</f>
        <v>45849</v>
      </c>
      <c r="N831" s="1" t="str">
        <f aca="false">IF(M831="","Check",IF(AND(M831&gt;=INPUTS!$C$6,M831&lt;=INPUTS!$C$7),"Yes","No"))</f>
        <v>Yes</v>
      </c>
      <c r="O831" s="48" t="str">
        <f aca="false">STACK!H831</f>
        <v> DPT</v>
      </c>
      <c r="P831" s="1" t="str">
        <f aca="false">IF(G831&gt;0,IF(INDEX(CONFIRM!$H$5:$H$53,G831)&lt;&gt;"",INDEX(CONFIRM!$H$5:$H$53,G831),IFERROR(INDEX(MAP!$B$7:$B$156,MATCH(TRIM(O831),MAP!$A$7:$A$156,0)),"UNMAPPED")),IFERROR(INDEX(MAP!$B$7:$B$156,MATCH(TRIM(O831),MAP!$A$7:$A$156,0)),"UNMAPPED"))</f>
        <v>Licensed Therapist</v>
      </c>
      <c r="Q831" s="48" t="n">
        <f aca="false">STACK!I831</f>
        <v>2</v>
      </c>
      <c r="R831" s="60" t="n">
        <f aca="false">IF(G831&gt;0,IF(INDEX(CONFIRM!$F$5:$F$53,G831)&lt;&gt;"",INDEX(CONFIRM!$F$5:$F$53,G831),IF(ISNUMBER(Q831),Q831,IF(Q831="","",IFERROR(VALUE(TRIM(SUBSTITUTE(SUBSTITUTE(LOWER(Q831),"hrs",""),"hr",""))),"")))),IF(ISNUMBER(Q831),Q831,IF(Q831="","",IFERROR(VALUE(TRIM(SUBSTITUTE(SUBSTITUTE(LOWER(Q831),"hrs",""),"hr",""))),""))))</f>
        <v>2</v>
      </c>
      <c r="S831" s="57" t="n">
        <f aca="false">IFERROR(INDEX(RATES!$E$6:$E$28,MATCH(P831,RATES!$A$6:$A$28,0)),0)</f>
        <v>53.97</v>
      </c>
      <c r="T831" s="61" t="n">
        <f aca="false">IF(ISNUMBER(R831),R831,0)*S831</f>
        <v>107.94</v>
      </c>
      <c r="U831" s="61" t="n">
        <f aca="false">T831*INDEX(INPUTS!$H$10:$H$14,MATCH(B831,INPUTS!$A$10:$A$14,0))</f>
        <v>17.05452</v>
      </c>
      <c r="V831" s="61" t="n">
        <f aca="false">N(STACK!K831)</f>
        <v>70</v>
      </c>
      <c r="W831" s="61" t="n">
        <f aca="false">T831+U831+V831</f>
        <v>194.99452</v>
      </c>
      <c r="X831" s="61" t="n">
        <f aca="false">N(STACK!L831)</f>
        <v>0</v>
      </c>
      <c r="Y831" s="61" t="n">
        <f aca="false">W831-X831</f>
        <v>194.99452</v>
      </c>
      <c r="Z831" s="1" t="n">
        <f aca="false">N(STACK!J831)</f>
        <v>23</v>
      </c>
      <c r="AA831" s="1" t="str">
        <f aca="false">TRIM(IF(D831="UNMAPPED","Program not mapped. ","")&amp;IF(OR(K831="UNMAPPED",K831="UNASSIGNED"),"Category needs review. ","")&amp;IF(P831="UNMAPPED","Title not mapped. ","")&amp;IF(AND(P831&lt;&gt;"No staff time",R831=""),"Missing hours. ","")&amp;IF(M831="","Date not readable. ","")&amp;IF(N831="No","Outside fiscal year. ","")&amp;IF(AND(F831="Event",ISNUMBER(R831)),IF(R831&gt;12,"Event hours look high. ",""),"")&amp;IF(G831&gt;0,"See CONFIRM sheet.",""))</f>
        <v/>
      </c>
      <c r="AB831" s="1" t="n">
        <f aca="false">IF(N831="No",0,IF(REVIEW!O831=0,0,IF(G831&gt;0,IF(INDEX(CONFIRM!$J$5:$J$53,G831)&lt;&gt;"",INDEX(CONFIRM!$J$5:$J$53,G831),1),1)))</f>
        <v>1</v>
      </c>
      <c r="AC831" s="1" t="n">
        <f aca="false">IF(AB831=1,IF(COUNTIFS($B$5:B831,B831,$D$5:D831,D831,$AB$5:AB831,1)=1,1,0),0)</f>
        <v>1</v>
      </c>
    </row>
    <row r="832" customFormat="false" ht="15" hidden="false" customHeight="false" outlineLevel="0" collapsed="false">
      <c r="A832" s="48" t="str">
        <f aca="false">STACK!A832</f>
        <v>CBH-0004</v>
      </c>
      <c r="B832" s="48" t="str">
        <f aca="false">STACK!B832</f>
        <v>CBH</v>
      </c>
      <c r="C832" s="48" t="str">
        <f aca="false">STACK!E832</f>
        <v>Diabetes Prevention</v>
      </c>
      <c r="D832" s="1" t="str">
        <f aca="false">IFERROR(INDEX(MAP!$J$7:$J$101,MATCH(TRIM(C832),MAP!$I$7:$I$101,0)),"UNMAPPED")</f>
        <v>Diabetes Prevention Classes</v>
      </c>
      <c r="E832" s="1" t="str">
        <f aca="false">IFERROR(INDEX(MAP!$K$7:$K$101,MATCH(TRIM(C832),MAP!$I$7:$I$101,0)),"")</f>
        <v>Chronic disease prevention</v>
      </c>
      <c r="F832" s="1" t="str">
        <f aca="false">IFERROR(INDEX(MAP!$L$7:$L$101,MATCH(TRIM(C832),MAP!$I$7:$I$101,0)),"")</f>
        <v>Event</v>
      </c>
      <c r="G832" s="1" t="n">
        <f aca="false">IFERROR(MATCH(A832,CONFIRM!$A$5:$A$53,0),0)</f>
        <v>0</v>
      </c>
      <c r="H832" s="48" t="str">
        <f aca="false">STACK!F832</f>
        <v>Health Education</v>
      </c>
      <c r="I832" s="1" t="str">
        <f aca="false">IF(G832&gt;0,IF(INDEX(CONFIRM!$I$5:$I$53,G832)&lt;&gt;"",INDEX(CONFIRM!$I$5:$I$53,G832),H832),H832)</f>
        <v>Health Education</v>
      </c>
      <c r="J832" s="1" t="str">
        <f aca="false">IFERROR(INDEX(MAP!$F$7:$F$74,MATCH(TRIM(I832),MAP!$E$7:$E$74,0)),"UNMAPPED")</f>
        <v>Community health education</v>
      </c>
      <c r="K832" s="1" t="str">
        <f aca="false">IFERROR(INDEX(MAP!$G$7:$G$74,MATCH(TRIM(I832),MAP!$E$7:$E$74,0)),"UNMAPPED")</f>
        <v>7e</v>
      </c>
      <c r="L832" s="49" t="str">
        <f aca="false">STACK!G832</f>
        <v>2025-07-12</v>
      </c>
      <c r="M832" s="59" t="n">
        <f aca="false">IF(G832&gt;0,IF(INDEX(CONFIRM!$G$5:$G$53,G832)&lt;&gt;"",INDEX(CONFIRM!$G$5:$G$53,G832),IF(ISNUMBER(L832),L832,IFERROR(DATEVALUE(L832),""))),IF(ISNUMBER(L832),L832,IFERROR(DATEVALUE(L832),"")))</f>
        <v>45850</v>
      </c>
      <c r="N832" s="1" t="str">
        <f aca="false">IF(M832="","Check",IF(AND(M832&gt;=INPUTS!$C$6,M832&lt;=INPUTS!$C$7),"Yes","No"))</f>
        <v>Yes</v>
      </c>
      <c r="O832" s="48" t="str">
        <f aca="false">STACK!H832</f>
        <v>Hlth Educator</v>
      </c>
      <c r="P832" s="1" t="str">
        <f aca="false">IF(G832&gt;0,IF(INDEX(CONFIRM!$H$5:$H$53,G832)&lt;&gt;"",INDEX(CONFIRM!$H$5:$H$53,G832),IFERROR(INDEX(MAP!$B$7:$B$156,MATCH(TRIM(O832),MAP!$A$7:$A$156,0)),"UNMAPPED")),IFERROR(INDEX(MAP!$B$7:$B$156,MATCH(TRIM(O832),MAP!$A$7:$A$156,0)),"UNMAPPED"))</f>
        <v>Health Educator</v>
      </c>
      <c r="Q832" s="48" t="n">
        <f aca="false">STACK!I832</f>
        <v>3</v>
      </c>
      <c r="R832" s="60" t="n">
        <f aca="false">IF(G832&gt;0,IF(INDEX(CONFIRM!$F$5:$F$53,G832)&lt;&gt;"",INDEX(CONFIRM!$F$5:$F$53,G832),IF(ISNUMBER(Q832),Q832,IF(Q832="","",IFERROR(VALUE(TRIM(SUBSTITUTE(SUBSTITUTE(LOWER(Q832),"hrs",""),"hr",""))),"")))),IF(ISNUMBER(Q832),Q832,IF(Q832="","",IFERROR(VALUE(TRIM(SUBSTITUTE(SUBSTITUTE(LOWER(Q832),"hrs",""),"hr",""))),""))))</f>
        <v>3</v>
      </c>
      <c r="S832" s="57" t="n">
        <f aca="false">IFERROR(INDEX(RATES!$E$6:$E$28,MATCH(P832,RATES!$A$6:$A$28,0)),0)</f>
        <v>37.265</v>
      </c>
      <c r="T832" s="61" t="n">
        <f aca="false">IF(ISNUMBER(R832),R832,0)*S832</f>
        <v>111.795</v>
      </c>
      <c r="U832" s="61" t="n">
        <f aca="false">T832*INDEX(INPUTS!$H$10:$H$14,MATCH(B832,INPUTS!$A$10:$A$14,0))</f>
        <v>17.66361</v>
      </c>
      <c r="V832" s="61" t="n">
        <f aca="false">N(STACK!K832)</f>
        <v>170</v>
      </c>
      <c r="W832" s="61" t="n">
        <f aca="false">T832+U832+V832</f>
        <v>299.45861</v>
      </c>
      <c r="X832" s="61" t="n">
        <f aca="false">N(STACK!L832)</f>
        <v>0</v>
      </c>
      <c r="Y832" s="61" t="n">
        <f aca="false">W832-X832</f>
        <v>299.45861</v>
      </c>
      <c r="Z832" s="1" t="n">
        <f aca="false">N(STACK!J832)</f>
        <v>18</v>
      </c>
      <c r="AA832" s="1" t="str">
        <f aca="false">TRIM(IF(D832="UNMAPPED","Program not mapped. ","")&amp;IF(OR(K832="UNMAPPED",K832="UNASSIGNED"),"Category needs review. ","")&amp;IF(P832="UNMAPPED","Title not mapped. ","")&amp;IF(AND(P832&lt;&gt;"No staff time",R832=""),"Missing hours. ","")&amp;IF(M832="","Date not readable. ","")&amp;IF(N832="No","Outside fiscal year. ","")&amp;IF(AND(F832="Event",ISNUMBER(R832)),IF(R832&gt;12,"Event hours look high. ",""),"")&amp;IF(G832&gt;0,"See CONFIRM sheet.",""))</f>
        <v/>
      </c>
      <c r="AB832" s="1" t="n">
        <f aca="false">IF(N832="No",0,IF(REVIEW!O832=0,0,IF(G832&gt;0,IF(INDEX(CONFIRM!$J$5:$J$53,G832)&lt;&gt;"",INDEX(CONFIRM!$J$5:$J$53,G832),1),1)))</f>
        <v>1</v>
      </c>
      <c r="AC832" s="1" t="n">
        <f aca="false">IF(AB832=1,IF(COUNTIFS($B$5:B832,B832,$D$5:D832,D832,$AB$5:AB832,1)=1,1,0),0)</f>
        <v>1</v>
      </c>
    </row>
    <row r="833" customFormat="false" ht="15" hidden="false" customHeight="false" outlineLevel="0" collapsed="false">
      <c r="A833" s="48" t="str">
        <f aca="false">STACK!A833</f>
        <v>CBH-0005</v>
      </c>
      <c r="B833" s="48" t="str">
        <f aca="false">STACK!B833</f>
        <v>CBH</v>
      </c>
      <c r="C833" s="48" t="str">
        <f aca="false">STACK!E833</f>
        <v>Diabetes Prevention</v>
      </c>
      <c r="D833" s="1" t="str">
        <f aca="false">IFERROR(INDEX(MAP!$J$7:$J$101,MATCH(TRIM(C833),MAP!$I$7:$I$101,0)),"UNMAPPED")</f>
        <v>Diabetes Prevention Classes</v>
      </c>
      <c r="E833" s="1" t="str">
        <f aca="false">IFERROR(INDEX(MAP!$K$7:$K$101,MATCH(TRIM(C833),MAP!$I$7:$I$101,0)),"")</f>
        <v>Chronic disease prevention</v>
      </c>
      <c r="F833" s="1" t="str">
        <f aca="false">IFERROR(INDEX(MAP!$L$7:$L$101,MATCH(TRIM(C833),MAP!$I$7:$I$101,0)),"")</f>
        <v>Event</v>
      </c>
      <c r="G833" s="1" t="n">
        <f aca="false">IFERROR(MATCH(A833,CONFIRM!$A$5:$A$53,0),0)</f>
        <v>0</v>
      </c>
      <c r="H833" s="48" t="str">
        <f aca="false">STACK!F833</f>
        <v>Health Education</v>
      </c>
      <c r="I833" s="1" t="str">
        <f aca="false">IF(G833&gt;0,IF(INDEX(CONFIRM!$I$5:$I$53,G833)&lt;&gt;"",INDEX(CONFIRM!$I$5:$I$53,G833),H833),H833)</f>
        <v>Health Education</v>
      </c>
      <c r="J833" s="1" t="str">
        <f aca="false">IFERROR(INDEX(MAP!$F$7:$F$74,MATCH(TRIM(I833),MAP!$E$7:$E$74,0)),"UNMAPPED")</f>
        <v>Community health education</v>
      </c>
      <c r="K833" s="1" t="str">
        <f aca="false">IFERROR(INDEX(MAP!$G$7:$G$74,MATCH(TRIM(I833),MAP!$E$7:$E$74,0)),"UNMAPPED")</f>
        <v>7e</v>
      </c>
      <c r="L833" s="49" t="str">
        <f aca="false">STACK!G833</f>
        <v>2025-07-12</v>
      </c>
      <c r="M833" s="59" t="n">
        <f aca="false">IF(G833&gt;0,IF(INDEX(CONFIRM!$G$5:$G$53,G833)&lt;&gt;"",INDEX(CONFIRM!$G$5:$G$53,G833),IF(ISNUMBER(L833),L833,IFERROR(DATEVALUE(L833),""))),IF(ISNUMBER(L833),L833,IFERROR(DATEVALUE(L833),"")))</f>
        <v>45850</v>
      </c>
      <c r="N833" s="1" t="str">
        <f aca="false">IF(M833="","Check",IF(AND(M833&gt;=INPUTS!$C$6,M833&lt;=INPUTS!$C$7),"Yes","No"))</f>
        <v>Yes</v>
      </c>
      <c r="O833" s="48" t="str">
        <f aca="false">STACK!H833</f>
        <v>Clinical Dietitian</v>
      </c>
      <c r="P833" s="1" t="str">
        <f aca="false">IF(G833&gt;0,IF(INDEX(CONFIRM!$H$5:$H$53,G833)&lt;&gt;"",INDEX(CONFIRM!$H$5:$H$53,G833),IFERROR(INDEX(MAP!$B$7:$B$156,MATCH(TRIM(O833),MAP!$A$7:$A$156,0)),"UNMAPPED")),IFERROR(INDEX(MAP!$B$7:$B$156,MATCH(TRIM(O833),MAP!$A$7:$A$156,0)),"UNMAPPED"))</f>
        <v>Registered Dietitian</v>
      </c>
      <c r="Q833" s="48" t="n">
        <f aca="false">STACK!I833</f>
        <v>1.75</v>
      </c>
      <c r="R833" s="60" t="n">
        <f aca="false">IF(G833&gt;0,IF(INDEX(CONFIRM!$F$5:$F$53,G833)&lt;&gt;"",INDEX(CONFIRM!$F$5:$F$53,G833),IF(ISNUMBER(Q833),Q833,IF(Q833="","",IFERROR(VALUE(TRIM(SUBSTITUTE(SUBSTITUTE(LOWER(Q833),"hrs",""),"hr",""))),"")))),IF(ISNUMBER(Q833),Q833,IF(Q833="","",IFERROR(VALUE(TRIM(SUBSTITUTE(SUBSTITUTE(LOWER(Q833),"hrs",""),"hr",""))),""))))</f>
        <v>1.75</v>
      </c>
      <c r="S833" s="57" t="n">
        <f aca="false">IFERROR(INDEX(RATES!$E$6:$E$28,MATCH(P833,RATES!$A$6:$A$28,0)),0)</f>
        <v>46.9025</v>
      </c>
      <c r="T833" s="61" t="n">
        <f aca="false">IF(ISNUMBER(R833),R833,0)*S833</f>
        <v>82.079375</v>
      </c>
      <c r="U833" s="61" t="n">
        <f aca="false">T833*INDEX(INPUTS!$H$10:$H$14,MATCH(B833,INPUTS!$A$10:$A$14,0))</f>
        <v>12.96854125</v>
      </c>
      <c r="V833" s="61" t="n">
        <f aca="false">N(STACK!K833)</f>
        <v>0</v>
      </c>
      <c r="W833" s="61" t="n">
        <f aca="false">T833+U833+V833</f>
        <v>95.04791625</v>
      </c>
      <c r="X833" s="61" t="n">
        <f aca="false">N(STACK!L833)</f>
        <v>0</v>
      </c>
      <c r="Y833" s="61" t="n">
        <f aca="false">W833-X833</f>
        <v>95.04791625</v>
      </c>
      <c r="Z833" s="1" t="n">
        <f aca="false">N(STACK!J833)</f>
        <v>0</v>
      </c>
      <c r="AA833" s="1" t="str">
        <f aca="false">TRIM(IF(D833="UNMAPPED","Program not mapped. ","")&amp;IF(OR(K833="UNMAPPED",K833="UNASSIGNED"),"Category needs review. ","")&amp;IF(P833="UNMAPPED","Title not mapped. ","")&amp;IF(AND(P833&lt;&gt;"No staff time",R833=""),"Missing hours. ","")&amp;IF(M833="","Date not readable. ","")&amp;IF(N833="No","Outside fiscal year. ","")&amp;IF(AND(F833="Event",ISNUMBER(R833)),IF(R833&gt;12,"Event hours look high. ",""),"")&amp;IF(G833&gt;0,"See CONFIRM sheet.",""))</f>
        <v/>
      </c>
      <c r="AB833" s="1" t="n">
        <f aca="false">IF(N833="No",0,IF(REVIEW!O833=0,0,IF(G833&gt;0,IF(INDEX(CONFIRM!$J$5:$J$53,G833)&lt;&gt;"",INDEX(CONFIRM!$J$5:$J$53,G833),1),1)))</f>
        <v>1</v>
      </c>
      <c r="AC833" s="1" t="n">
        <f aca="false">IF(AB833=1,IF(COUNTIFS($B$5:B833,B833,$D$5:D833,D833,$AB$5:AB833,1)=1,1,0),0)</f>
        <v>0</v>
      </c>
    </row>
    <row r="834" customFormat="false" ht="15" hidden="false" customHeight="false" outlineLevel="0" collapsed="false">
      <c r="A834" s="48" t="str">
        <f aca="false">STACK!A834</f>
        <v>CBH-0006</v>
      </c>
      <c r="B834" s="48" t="str">
        <f aca="false">STACK!B834</f>
        <v>CBH</v>
      </c>
      <c r="C834" s="48" t="str">
        <f aca="false">STACK!E834</f>
        <v>Mental Health First Aid</v>
      </c>
      <c r="D834" s="1" t="str">
        <f aca="false">IFERROR(INDEX(MAP!$J$7:$J$101,MATCH(TRIM(C834),MAP!$I$7:$I$101,0)),"UNMAPPED")</f>
        <v>Mental Health First Aid Training</v>
      </c>
      <c r="E834" s="1" t="str">
        <f aca="false">IFERROR(INDEX(MAP!$K$7:$K$101,MATCH(TRIM(C834),MAP!$I$7:$I$101,0)),"")</f>
        <v>Behavioral health</v>
      </c>
      <c r="F834" s="1" t="str">
        <f aca="false">IFERROR(INDEX(MAP!$L$7:$L$101,MATCH(TRIM(C834),MAP!$I$7:$I$101,0)),"")</f>
        <v>Event</v>
      </c>
      <c r="G834" s="1" t="n">
        <f aca="false">IFERROR(MATCH(A834,CONFIRM!$A$5:$A$53,0),0)</f>
        <v>0</v>
      </c>
      <c r="H834" s="48" t="str">
        <f aca="false">STACK!F834</f>
        <v>Health Education</v>
      </c>
      <c r="I834" s="1" t="str">
        <f aca="false">IF(G834&gt;0,IF(INDEX(CONFIRM!$I$5:$I$53,G834)&lt;&gt;"",INDEX(CONFIRM!$I$5:$I$53,G834),H834),H834)</f>
        <v>Health Education</v>
      </c>
      <c r="J834" s="1" t="str">
        <f aca="false">IFERROR(INDEX(MAP!$F$7:$F$74,MATCH(TRIM(I834),MAP!$E$7:$E$74,0)),"UNMAPPED")</f>
        <v>Community health education</v>
      </c>
      <c r="K834" s="1" t="str">
        <f aca="false">IFERROR(INDEX(MAP!$G$7:$G$74,MATCH(TRIM(I834),MAP!$E$7:$E$74,0)),"UNMAPPED")</f>
        <v>7e</v>
      </c>
      <c r="L834" s="49" t="str">
        <f aca="false">STACK!G834</f>
        <v>2025-07-14</v>
      </c>
      <c r="M834" s="59" t="n">
        <f aca="false">IF(G834&gt;0,IF(INDEX(CONFIRM!$G$5:$G$53,G834)&lt;&gt;"",INDEX(CONFIRM!$G$5:$G$53,G834),IF(ISNUMBER(L834),L834,IFERROR(DATEVALUE(L834),""))),IF(ISNUMBER(L834),L834,IFERROR(DATEVALUE(L834),"")))</f>
        <v>45852</v>
      </c>
      <c r="N834" s="1" t="str">
        <f aca="false">IF(M834="","Check",IF(AND(M834&gt;=INPUTS!$C$6,M834&lt;=INPUTS!$C$7),"Yes","No"))</f>
        <v>Yes</v>
      </c>
      <c r="O834" s="48" t="str">
        <f aca="false">STACK!H834</f>
        <v>Community Educator</v>
      </c>
      <c r="P834" s="1" t="str">
        <f aca="false">IF(G834&gt;0,IF(INDEX(CONFIRM!$H$5:$H$53,G834)&lt;&gt;"",INDEX(CONFIRM!$H$5:$H$53,G834),IFERROR(INDEX(MAP!$B$7:$B$156,MATCH(TRIM(O834),MAP!$A$7:$A$156,0)),"UNMAPPED")),IFERROR(INDEX(MAP!$B$7:$B$156,MATCH(TRIM(O834),MAP!$A$7:$A$156,0)),"UNMAPPED"))</f>
        <v>Health Educator</v>
      </c>
      <c r="Q834" s="48" t="n">
        <f aca="false">STACK!I834</f>
        <v>8</v>
      </c>
      <c r="R834" s="60" t="n">
        <f aca="false">IF(G834&gt;0,IF(INDEX(CONFIRM!$F$5:$F$53,G834)&lt;&gt;"",INDEX(CONFIRM!$F$5:$F$53,G834),IF(ISNUMBER(Q834),Q834,IF(Q834="","",IFERROR(VALUE(TRIM(SUBSTITUTE(SUBSTITUTE(LOWER(Q834),"hrs",""),"hr",""))),"")))),IF(ISNUMBER(Q834),Q834,IF(Q834="","",IFERROR(VALUE(TRIM(SUBSTITUTE(SUBSTITUTE(LOWER(Q834),"hrs",""),"hr",""))),""))))</f>
        <v>8</v>
      </c>
      <c r="S834" s="57" t="n">
        <f aca="false">IFERROR(INDEX(RATES!$E$6:$E$28,MATCH(P834,RATES!$A$6:$A$28,0)),0)</f>
        <v>37.265</v>
      </c>
      <c r="T834" s="61" t="n">
        <f aca="false">IF(ISNUMBER(R834),R834,0)*S834</f>
        <v>298.12</v>
      </c>
      <c r="U834" s="61" t="n">
        <f aca="false">T834*INDEX(INPUTS!$H$10:$H$14,MATCH(B834,INPUTS!$A$10:$A$14,0))</f>
        <v>47.10296</v>
      </c>
      <c r="V834" s="61" t="n">
        <f aca="false">N(STACK!K834)</f>
        <v>0</v>
      </c>
      <c r="W834" s="61" t="n">
        <f aca="false">T834+U834+V834</f>
        <v>345.22296</v>
      </c>
      <c r="X834" s="61" t="n">
        <f aca="false">N(STACK!L834)</f>
        <v>0</v>
      </c>
      <c r="Y834" s="61" t="n">
        <f aca="false">W834-X834</f>
        <v>345.22296</v>
      </c>
      <c r="Z834" s="1" t="n">
        <f aca="false">N(STACK!J834)</f>
        <v>0</v>
      </c>
      <c r="AA834" s="1" t="str">
        <f aca="false">TRIM(IF(D834="UNMAPPED","Program not mapped. ","")&amp;IF(OR(K834="UNMAPPED",K834="UNASSIGNED"),"Category needs review. ","")&amp;IF(P834="UNMAPPED","Title not mapped. ","")&amp;IF(AND(P834&lt;&gt;"No staff time",R834=""),"Missing hours. ","")&amp;IF(M834="","Date not readable. ","")&amp;IF(N834="No","Outside fiscal year. ","")&amp;IF(AND(F834="Event",ISNUMBER(R834)),IF(R834&gt;12,"Event hours look high. ",""),"")&amp;IF(G834&gt;0,"See CONFIRM sheet.",""))</f>
        <v/>
      </c>
      <c r="AB834" s="1" t="n">
        <f aca="false">IF(N834="No",0,IF(REVIEW!O834=0,0,IF(G834&gt;0,IF(INDEX(CONFIRM!$J$5:$J$53,G834)&lt;&gt;"",INDEX(CONFIRM!$J$5:$J$53,G834),1),1)))</f>
        <v>1</v>
      </c>
      <c r="AC834" s="1" t="n">
        <f aca="false">IF(AB834=1,IF(COUNTIFS($B$5:B834,B834,$D$5:D834,D834,$AB$5:AB834,1)=1,1,0),0)</f>
        <v>1</v>
      </c>
    </row>
    <row r="835" customFormat="false" ht="15" hidden="false" customHeight="false" outlineLevel="0" collapsed="false">
      <c r="A835" s="48" t="str">
        <f aca="false">STACK!A835</f>
        <v>CBH-0007</v>
      </c>
      <c r="B835" s="48" t="str">
        <f aca="false">STACK!B835</f>
        <v>CBH</v>
      </c>
      <c r="C835" s="48" t="str">
        <f aca="false">STACK!E835</f>
        <v>Mental Health First Aid</v>
      </c>
      <c r="D835" s="1" t="str">
        <f aca="false">IFERROR(INDEX(MAP!$J$7:$J$101,MATCH(TRIM(C835),MAP!$I$7:$I$101,0)),"UNMAPPED")</f>
        <v>Mental Health First Aid Training</v>
      </c>
      <c r="E835" s="1" t="str">
        <f aca="false">IFERROR(INDEX(MAP!$K$7:$K$101,MATCH(TRIM(C835),MAP!$I$7:$I$101,0)),"")</f>
        <v>Behavioral health</v>
      </c>
      <c r="F835" s="1" t="str">
        <f aca="false">IFERROR(INDEX(MAP!$L$7:$L$101,MATCH(TRIM(C835),MAP!$I$7:$I$101,0)),"")</f>
        <v>Event</v>
      </c>
      <c r="G835" s="1" t="n">
        <f aca="false">IFERROR(MATCH(A835,CONFIRM!$A$5:$A$53,0),0)</f>
        <v>0</v>
      </c>
      <c r="H835" s="48" t="str">
        <f aca="false">STACK!F835</f>
        <v>Health Education</v>
      </c>
      <c r="I835" s="1" t="str">
        <f aca="false">IF(G835&gt;0,IF(INDEX(CONFIRM!$I$5:$I$53,G835)&lt;&gt;"",INDEX(CONFIRM!$I$5:$I$53,G835),H835),H835)</f>
        <v>Health Education</v>
      </c>
      <c r="J835" s="1" t="str">
        <f aca="false">IFERROR(INDEX(MAP!$F$7:$F$74,MATCH(TRIM(I835),MAP!$E$7:$E$74,0)),"UNMAPPED")</f>
        <v>Community health education</v>
      </c>
      <c r="K835" s="1" t="str">
        <f aca="false">IFERROR(INDEX(MAP!$G$7:$G$74,MATCH(TRIM(I835),MAP!$E$7:$E$74,0)),"UNMAPPED")</f>
        <v>7e</v>
      </c>
      <c r="L835" s="49" t="str">
        <f aca="false">STACK!G835</f>
        <v>2025-07-14</v>
      </c>
      <c r="M835" s="59" t="n">
        <f aca="false">IF(G835&gt;0,IF(INDEX(CONFIRM!$G$5:$G$53,G835)&lt;&gt;"",INDEX(CONFIRM!$G$5:$G$53,G835),IF(ISNUMBER(L835),L835,IFERROR(DATEVALUE(L835),""))),IF(ISNUMBER(L835),L835,IFERROR(DATEVALUE(L835),"")))</f>
        <v>45852</v>
      </c>
      <c r="N835" s="1" t="str">
        <f aca="false">IF(M835="","Check",IF(AND(M835&gt;=INPUTS!$C$6,M835&lt;=INPUTS!$C$7),"Yes","No"))</f>
        <v>Yes</v>
      </c>
      <c r="O835" s="48" t="str">
        <f aca="false">STACK!H835</f>
        <v>LCSW</v>
      </c>
      <c r="P835" s="1" t="str">
        <f aca="false">IF(G835&gt;0,IF(INDEX(CONFIRM!$H$5:$H$53,G835)&lt;&gt;"",INDEX(CONFIRM!$H$5:$H$53,G835),IFERROR(INDEX(MAP!$B$7:$B$156,MATCH(TRIM(O835),MAP!$A$7:$A$156,0)),"UNMAPPED")),IFERROR(INDEX(MAP!$B$7:$B$156,MATCH(TRIM(O835),MAP!$A$7:$A$156,0)),"UNMAPPED"))</f>
        <v>Social Worker</v>
      </c>
      <c r="Q835" s="48" t="n">
        <f aca="false">STACK!I835</f>
        <v>8</v>
      </c>
      <c r="R835" s="60" t="n">
        <f aca="false">IF(G835&gt;0,IF(INDEX(CONFIRM!$F$5:$F$53,G835)&lt;&gt;"",INDEX(CONFIRM!$F$5:$F$53,G835),IF(ISNUMBER(Q835),Q835,IF(Q835="","",IFERROR(VALUE(TRIM(SUBSTITUTE(SUBSTITUTE(LOWER(Q835),"hrs",""),"hr",""))),"")))),IF(ISNUMBER(Q835),Q835,IF(Q835="","",IFERROR(VALUE(TRIM(SUBSTITUTE(SUBSTITUTE(LOWER(Q835),"hrs",""),"hr",""))),""))))</f>
        <v>8</v>
      </c>
      <c r="S835" s="57" t="n">
        <f aca="false">IFERROR(INDEX(RATES!$E$6:$E$28,MATCH(P835,RATES!$A$6:$A$28,0)),0)</f>
        <v>45.6175</v>
      </c>
      <c r="T835" s="61" t="n">
        <f aca="false">IF(ISNUMBER(R835),R835,0)*S835</f>
        <v>364.94</v>
      </c>
      <c r="U835" s="61" t="n">
        <f aca="false">T835*INDEX(INPUTS!$H$10:$H$14,MATCH(B835,INPUTS!$A$10:$A$14,0))</f>
        <v>57.66052</v>
      </c>
      <c r="V835" s="61" t="n">
        <f aca="false">N(STACK!K835)</f>
        <v>465</v>
      </c>
      <c r="W835" s="61" t="n">
        <f aca="false">T835+U835+V835</f>
        <v>887.60052</v>
      </c>
      <c r="X835" s="61" t="n">
        <f aca="false">N(STACK!L835)</f>
        <v>0</v>
      </c>
      <c r="Y835" s="61" t="n">
        <f aca="false">W835-X835</f>
        <v>887.60052</v>
      </c>
      <c r="Z835" s="1" t="n">
        <f aca="false">N(STACK!J835)</f>
        <v>13</v>
      </c>
      <c r="AA835" s="1" t="str">
        <f aca="false">TRIM(IF(D835="UNMAPPED","Program not mapped. ","")&amp;IF(OR(K835="UNMAPPED",K835="UNASSIGNED"),"Category needs review. ","")&amp;IF(P835="UNMAPPED","Title not mapped. ","")&amp;IF(AND(P835&lt;&gt;"No staff time",R835=""),"Missing hours. ","")&amp;IF(M835="","Date not readable. ","")&amp;IF(N835="No","Outside fiscal year. ","")&amp;IF(AND(F835="Event",ISNUMBER(R835)),IF(R835&gt;12,"Event hours look high. ",""),"")&amp;IF(G835&gt;0,"See CONFIRM sheet.",""))</f>
        <v/>
      </c>
      <c r="AB835" s="1" t="n">
        <f aca="false">IF(N835="No",0,IF(REVIEW!O835=0,0,IF(G835&gt;0,IF(INDEX(CONFIRM!$J$5:$J$53,G835)&lt;&gt;"",INDEX(CONFIRM!$J$5:$J$53,G835),1),1)))</f>
        <v>1</v>
      </c>
      <c r="AC835" s="1" t="n">
        <f aca="false">IF(AB835=1,IF(COUNTIFS($B$5:B835,B835,$D$5:D835,D835,$AB$5:AB835,1)=1,1,0),0)</f>
        <v>0</v>
      </c>
    </row>
    <row r="836" customFormat="false" ht="15" hidden="false" customHeight="false" outlineLevel="0" collapsed="false">
      <c r="A836" s="48" t="str">
        <f aca="false">STACK!A836</f>
        <v>CBH-0008</v>
      </c>
      <c r="B836" s="48" t="str">
        <f aca="false">STACK!B836</f>
        <v>CBH</v>
      </c>
      <c r="C836" s="48" t="str">
        <f aca="false">STACK!E836</f>
        <v>Diabetes Prevention</v>
      </c>
      <c r="D836" s="1" t="str">
        <f aca="false">IFERROR(INDEX(MAP!$J$7:$J$101,MATCH(TRIM(C836),MAP!$I$7:$I$101,0)),"UNMAPPED")</f>
        <v>Diabetes Prevention Classes</v>
      </c>
      <c r="E836" s="1" t="str">
        <f aca="false">IFERROR(INDEX(MAP!$K$7:$K$101,MATCH(TRIM(C836),MAP!$I$7:$I$101,0)),"")</f>
        <v>Chronic disease prevention</v>
      </c>
      <c r="F836" s="1" t="str">
        <f aca="false">IFERROR(INDEX(MAP!$L$7:$L$101,MATCH(TRIM(C836),MAP!$I$7:$I$101,0)),"")</f>
        <v>Event</v>
      </c>
      <c r="G836" s="1" t="n">
        <f aca="false">IFERROR(MATCH(A836,CONFIRM!$A$5:$A$53,0),0)</f>
        <v>0</v>
      </c>
      <c r="H836" s="48" t="str">
        <f aca="false">STACK!F836</f>
        <v>Health Education</v>
      </c>
      <c r="I836" s="1" t="str">
        <f aca="false">IF(G836&gt;0,IF(INDEX(CONFIRM!$I$5:$I$53,G836)&lt;&gt;"",INDEX(CONFIRM!$I$5:$I$53,G836),H836),H836)</f>
        <v>Health Education</v>
      </c>
      <c r="J836" s="1" t="str">
        <f aca="false">IFERROR(INDEX(MAP!$F$7:$F$74,MATCH(TRIM(I836),MAP!$E$7:$E$74,0)),"UNMAPPED")</f>
        <v>Community health education</v>
      </c>
      <c r="K836" s="1" t="str">
        <f aca="false">IFERROR(INDEX(MAP!$G$7:$G$74,MATCH(TRIM(I836),MAP!$E$7:$E$74,0)),"UNMAPPED")</f>
        <v>7e</v>
      </c>
      <c r="L836" s="49" t="str">
        <f aca="false">STACK!G836</f>
        <v>2025-07-22</v>
      </c>
      <c r="M836" s="59" t="n">
        <f aca="false">IF(G836&gt;0,IF(INDEX(CONFIRM!$G$5:$G$53,G836)&lt;&gt;"",INDEX(CONFIRM!$G$5:$G$53,G836),IF(ISNUMBER(L836),L836,IFERROR(DATEVALUE(L836),""))),IF(ISNUMBER(L836),L836,IFERROR(DATEVALUE(L836),"")))</f>
        <v>45860</v>
      </c>
      <c r="N836" s="1" t="str">
        <f aca="false">IF(M836="","Check",IF(AND(M836&gt;=INPUTS!$C$6,M836&lt;=INPUTS!$C$7),"Yes","No"))</f>
        <v>Yes</v>
      </c>
      <c r="O836" s="48" t="str">
        <f aca="false">STACK!H836</f>
        <v>Wellness Educator</v>
      </c>
      <c r="P836" s="1" t="str">
        <f aca="false">IF(G836&gt;0,IF(INDEX(CONFIRM!$H$5:$H$53,G836)&lt;&gt;"",INDEX(CONFIRM!$H$5:$H$53,G836),IFERROR(INDEX(MAP!$B$7:$B$156,MATCH(TRIM(O836),MAP!$A$7:$A$156,0)),"UNMAPPED")),IFERROR(INDEX(MAP!$B$7:$B$156,MATCH(TRIM(O836),MAP!$A$7:$A$156,0)),"UNMAPPED"))</f>
        <v>Health Educator</v>
      </c>
      <c r="Q836" s="48" t="n">
        <f aca="false">STACK!I836</f>
        <v>2.75</v>
      </c>
      <c r="R836" s="60" t="n">
        <f aca="false">IF(G836&gt;0,IF(INDEX(CONFIRM!$F$5:$F$53,G836)&lt;&gt;"",INDEX(CONFIRM!$F$5:$F$53,G836),IF(ISNUMBER(Q836),Q836,IF(Q836="","",IFERROR(VALUE(TRIM(SUBSTITUTE(SUBSTITUTE(LOWER(Q836),"hrs",""),"hr",""))),"")))),IF(ISNUMBER(Q836),Q836,IF(Q836="","",IFERROR(VALUE(TRIM(SUBSTITUTE(SUBSTITUTE(LOWER(Q836),"hrs",""),"hr",""))),""))))</f>
        <v>2.75</v>
      </c>
      <c r="S836" s="57" t="n">
        <f aca="false">IFERROR(INDEX(RATES!$E$6:$E$28,MATCH(P836,RATES!$A$6:$A$28,0)),0)</f>
        <v>37.265</v>
      </c>
      <c r="T836" s="61" t="n">
        <f aca="false">IF(ISNUMBER(R836),R836,0)*S836</f>
        <v>102.47875</v>
      </c>
      <c r="U836" s="61" t="n">
        <f aca="false">T836*INDEX(INPUTS!$H$10:$H$14,MATCH(B836,INPUTS!$A$10:$A$14,0))</f>
        <v>16.1916425</v>
      </c>
      <c r="V836" s="61" t="n">
        <f aca="false">N(STACK!K836)</f>
        <v>80</v>
      </c>
      <c r="W836" s="61" t="n">
        <f aca="false">T836+U836+V836</f>
        <v>198.6703925</v>
      </c>
      <c r="X836" s="61" t="n">
        <f aca="false">N(STACK!L836)</f>
        <v>0</v>
      </c>
      <c r="Y836" s="61" t="n">
        <f aca="false">W836-X836</f>
        <v>198.6703925</v>
      </c>
      <c r="Z836" s="1" t="n">
        <f aca="false">N(STACK!J836)</f>
        <v>15</v>
      </c>
      <c r="AA836" s="1" t="str">
        <f aca="false">TRIM(IF(D836="UNMAPPED","Program not mapped. ","")&amp;IF(OR(K836="UNMAPPED",K836="UNASSIGNED"),"Category needs review. ","")&amp;IF(P836="UNMAPPED","Title not mapped. ","")&amp;IF(AND(P836&lt;&gt;"No staff time",R836=""),"Missing hours. ","")&amp;IF(M836="","Date not readable. ","")&amp;IF(N836="No","Outside fiscal year. ","")&amp;IF(AND(F836="Event",ISNUMBER(R836)),IF(R836&gt;12,"Event hours look high. ",""),"")&amp;IF(G836&gt;0,"See CONFIRM sheet.",""))</f>
        <v/>
      </c>
      <c r="AB836" s="1" t="n">
        <f aca="false">IF(N836="No",0,IF(REVIEW!O836=0,0,IF(G836&gt;0,IF(INDEX(CONFIRM!$J$5:$J$53,G836)&lt;&gt;"",INDEX(CONFIRM!$J$5:$J$53,G836),1),1)))</f>
        <v>1</v>
      </c>
      <c r="AC836" s="1" t="n">
        <f aca="false">IF(AB836=1,IF(COUNTIFS($B$5:B836,B836,$D$5:D836,D836,$AB$5:AB836,1)=1,1,0),0)</f>
        <v>0</v>
      </c>
    </row>
    <row r="837" customFormat="false" ht="15" hidden="false" customHeight="false" outlineLevel="0" collapsed="false">
      <c r="A837" s="48" t="str">
        <f aca="false">STACK!A837</f>
        <v>CBH-0009</v>
      </c>
      <c r="B837" s="48" t="str">
        <f aca="false">STACK!B837</f>
        <v>CBH</v>
      </c>
      <c r="C837" s="48" t="str">
        <f aca="false">STACK!E837</f>
        <v>Diabetes Prevention</v>
      </c>
      <c r="D837" s="1" t="str">
        <f aca="false">IFERROR(INDEX(MAP!$J$7:$J$101,MATCH(TRIM(C837),MAP!$I$7:$I$101,0)),"UNMAPPED")</f>
        <v>Diabetes Prevention Classes</v>
      </c>
      <c r="E837" s="1" t="str">
        <f aca="false">IFERROR(INDEX(MAP!$K$7:$K$101,MATCH(TRIM(C837),MAP!$I$7:$I$101,0)),"")</f>
        <v>Chronic disease prevention</v>
      </c>
      <c r="F837" s="1" t="str">
        <f aca="false">IFERROR(INDEX(MAP!$L$7:$L$101,MATCH(TRIM(C837),MAP!$I$7:$I$101,0)),"")</f>
        <v>Event</v>
      </c>
      <c r="G837" s="1" t="n">
        <f aca="false">IFERROR(MATCH(A837,CONFIRM!$A$5:$A$53,0),0)</f>
        <v>0</v>
      </c>
      <c r="H837" s="48" t="str">
        <f aca="false">STACK!F837</f>
        <v>Health Education</v>
      </c>
      <c r="I837" s="1" t="str">
        <f aca="false">IF(G837&gt;0,IF(INDEX(CONFIRM!$I$5:$I$53,G837)&lt;&gt;"",INDEX(CONFIRM!$I$5:$I$53,G837),H837),H837)</f>
        <v>Health Education</v>
      </c>
      <c r="J837" s="1" t="str">
        <f aca="false">IFERROR(INDEX(MAP!$F$7:$F$74,MATCH(TRIM(I837),MAP!$E$7:$E$74,0)),"UNMAPPED")</f>
        <v>Community health education</v>
      </c>
      <c r="K837" s="1" t="str">
        <f aca="false">IFERROR(INDEX(MAP!$G$7:$G$74,MATCH(TRIM(I837),MAP!$E$7:$E$74,0)),"UNMAPPED")</f>
        <v>7e</v>
      </c>
      <c r="L837" s="49" t="str">
        <f aca="false">STACK!G837</f>
        <v>2025-07-22</v>
      </c>
      <c r="M837" s="59" t="n">
        <f aca="false">IF(G837&gt;0,IF(INDEX(CONFIRM!$G$5:$G$53,G837)&lt;&gt;"",INDEX(CONFIRM!$G$5:$G$53,G837),IF(ISNUMBER(L837),L837,IFERROR(DATEVALUE(L837),""))),IF(ISNUMBER(L837),L837,IFERROR(DATEVALUE(L837),"")))</f>
        <v>45860</v>
      </c>
      <c r="N837" s="1" t="str">
        <f aca="false">IF(M837="","Check",IF(AND(M837&gt;=INPUTS!$C$6,M837&lt;=INPUTS!$C$7),"Yes","No"))</f>
        <v>Yes</v>
      </c>
      <c r="O837" s="48" t="str">
        <f aca="false">STACK!H837</f>
        <v>Clinical Dietitian </v>
      </c>
      <c r="P837" s="1" t="str">
        <f aca="false">IF(G837&gt;0,IF(INDEX(CONFIRM!$H$5:$H$53,G837)&lt;&gt;"",INDEX(CONFIRM!$H$5:$H$53,G837),IFERROR(INDEX(MAP!$B$7:$B$156,MATCH(TRIM(O837),MAP!$A$7:$A$156,0)),"UNMAPPED")),IFERROR(INDEX(MAP!$B$7:$B$156,MATCH(TRIM(O837),MAP!$A$7:$A$156,0)),"UNMAPPED"))</f>
        <v>Registered Dietitian</v>
      </c>
      <c r="Q837" s="48" t="n">
        <f aca="false">STACK!I837</f>
        <v>1.75</v>
      </c>
      <c r="R837" s="60" t="n">
        <f aca="false">IF(G837&gt;0,IF(INDEX(CONFIRM!$F$5:$F$53,G837)&lt;&gt;"",INDEX(CONFIRM!$F$5:$F$53,G837),IF(ISNUMBER(Q837),Q837,IF(Q837="","",IFERROR(VALUE(TRIM(SUBSTITUTE(SUBSTITUTE(LOWER(Q837),"hrs",""),"hr",""))),"")))),IF(ISNUMBER(Q837),Q837,IF(Q837="","",IFERROR(VALUE(TRIM(SUBSTITUTE(SUBSTITUTE(LOWER(Q837),"hrs",""),"hr",""))),""))))</f>
        <v>1.75</v>
      </c>
      <c r="S837" s="57" t="n">
        <f aca="false">IFERROR(INDEX(RATES!$E$6:$E$28,MATCH(P837,RATES!$A$6:$A$28,0)),0)</f>
        <v>46.9025</v>
      </c>
      <c r="T837" s="61" t="n">
        <f aca="false">IF(ISNUMBER(R837),R837,0)*S837</f>
        <v>82.079375</v>
      </c>
      <c r="U837" s="61" t="n">
        <f aca="false">T837*INDEX(INPUTS!$H$10:$H$14,MATCH(B837,INPUTS!$A$10:$A$14,0))</f>
        <v>12.96854125</v>
      </c>
      <c r="V837" s="61" t="n">
        <f aca="false">N(STACK!K837)</f>
        <v>0</v>
      </c>
      <c r="W837" s="61" t="n">
        <f aca="false">T837+U837+V837</f>
        <v>95.04791625</v>
      </c>
      <c r="X837" s="61" t="n">
        <f aca="false">N(STACK!L837)</f>
        <v>0</v>
      </c>
      <c r="Y837" s="61" t="n">
        <f aca="false">W837-X837</f>
        <v>95.04791625</v>
      </c>
      <c r="Z837" s="1" t="n">
        <f aca="false">N(STACK!J837)</f>
        <v>0</v>
      </c>
      <c r="AA837" s="1" t="str">
        <f aca="false">TRIM(IF(D837="UNMAPPED","Program not mapped. ","")&amp;IF(OR(K837="UNMAPPED",K837="UNASSIGNED"),"Category needs review. ","")&amp;IF(P837="UNMAPPED","Title not mapped. ","")&amp;IF(AND(P837&lt;&gt;"No staff time",R837=""),"Missing hours. ","")&amp;IF(M837="","Date not readable. ","")&amp;IF(N837="No","Outside fiscal year. ","")&amp;IF(AND(F837="Event",ISNUMBER(R837)),IF(R837&gt;12,"Event hours look high. ",""),"")&amp;IF(G837&gt;0,"See CONFIRM sheet.",""))</f>
        <v/>
      </c>
      <c r="AB837" s="1" t="n">
        <f aca="false">IF(N837="No",0,IF(REVIEW!O837=0,0,IF(G837&gt;0,IF(INDEX(CONFIRM!$J$5:$J$53,G837)&lt;&gt;"",INDEX(CONFIRM!$J$5:$J$53,G837),1),1)))</f>
        <v>1</v>
      </c>
      <c r="AC837" s="1" t="n">
        <f aca="false">IF(AB837=1,IF(COUNTIFS($B$5:B837,B837,$D$5:D837,D837,$AB$5:AB837,1)=1,1,0),0)</f>
        <v>0</v>
      </c>
    </row>
    <row r="838" customFormat="false" ht="15" hidden="false" customHeight="false" outlineLevel="0" collapsed="false">
      <c r="A838" s="48" t="str">
        <f aca="false">STACK!A838</f>
        <v>CBH-0010</v>
      </c>
      <c r="B838" s="48" t="str">
        <f aca="false">STACK!B838</f>
        <v>CBH</v>
      </c>
      <c r="C838" s="48" t="str">
        <f aca="false">STACK!E838</f>
        <v>Mental Health First Aid</v>
      </c>
      <c r="D838" s="1" t="str">
        <f aca="false">IFERROR(INDEX(MAP!$J$7:$J$101,MATCH(TRIM(C838),MAP!$I$7:$I$101,0)),"UNMAPPED")</f>
        <v>Mental Health First Aid Training</v>
      </c>
      <c r="E838" s="1" t="str">
        <f aca="false">IFERROR(INDEX(MAP!$K$7:$K$101,MATCH(TRIM(C838),MAP!$I$7:$I$101,0)),"")</f>
        <v>Behavioral health</v>
      </c>
      <c r="F838" s="1" t="str">
        <f aca="false">IFERROR(INDEX(MAP!$L$7:$L$101,MATCH(TRIM(C838),MAP!$I$7:$I$101,0)),"")</f>
        <v>Event</v>
      </c>
      <c r="G838" s="1" t="n">
        <f aca="false">IFERROR(MATCH(A838,CONFIRM!$A$5:$A$53,0),0)</f>
        <v>0</v>
      </c>
      <c r="H838" s="48" t="str">
        <f aca="false">STACK!F838</f>
        <v>Health Education</v>
      </c>
      <c r="I838" s="1" t="str">
        <f aca="false">IF(G838&gt;0,IF(INDEX(CONFIRM!$I$5:$I$53,G838)&lt;&gt;"",INDEX(CONFIRM!$I$5:$I$53,G838),H838),H838)</f>
        <v>Health Education</v>
      </c>
      <c r="J838" s="1" t="str">
        <f aca="false">IFERROR(INDEX(MAP!$F$7:$F$74,MATCH(TRIM(I838),MAP!$E$7:$E$74,0)),"UNMAPPED")</f>
        <v>Community health education</v>
      </c>
      <c r="K838" s="1" t="str">
        <f aca="false">IFERROR(INDEX(MAP!$G$7:$G$74,MATCH(TRIM(I838),MAP!$E$7:$E$74,0)),"UNMAPPED")</f>
        <v>7e</v>
      </c>
      <c r="L838" s="49" t="str">
        <f aca="false">STACK!G838</f>
        <v>2025-07-30</v>
      </c>
      <c r="M838" s="59" t="n">
        <f aca="false">IF(G838&gt;0,IF(INDEX(CONFIRM!$G$5:$G$53,G838)&lt;&gt;"",INDEX(CONFIRM!$G$5:$G$53,G838),IF(ISNUMBER(L838),L838,IFERROR(DATEVALUE(L838),""))),IF(ISNUMBER(L838),L838,IFERROR(DATEVALUE(L838),"")))</f>
        <v>45868</v>
      </c>
      <c r="N838" s="1" t="str">
        <f aca="false">IF(M838="","Check",IF(AND(M838&gt;=INPUTS!$C$6,M838&lt;=INPUTS!$C$7),"Yes","No"))</f>
        <v>Yes</v>
      </c>
      <c r="O838" s="48" t="str">
        <f aca="false">STACK!H838</f>
        <v>CHES</v>
      </c>
      <c r="P838" s="1" t="str">
        <f aca="false">IF(G838&gt;0,IF(INDEX(CONFIRM!$H$5:$H$53,G838)&lt;&gt;"",INDEX(CONFIRM!$H$5:$H$53,G838),IFERROR(INDEX(MAP!$B$7:$B$156,MATCH(TRIM(O838),MAP!$A$7:$A$156,0)),"UNMAPPED")),IFERROR(INDEX(MAP!$B$7:$B$156,MATCH(TRIM(O838),MAP!$A$7:$A$156,0)),"UNMAPPED"))</f>
        <v>Health Educator</v>
      </c>
      <c r="Q838" s="48" t="n">
        <f aca="false">STACK!I838</f>
        <v>8</v>
      </c>
      <c r="R838" s="60" t="n">
        <f aca="false">IF(G838&gt;0,IF(INDEX(CONFIRM!$F$5:$F$53,G838)&lt;&gt;"",INDEX(CONFIRM!$F$5:$F$53,G838),IF(ISNUMBER(Q838),Q838,IF(Q838="","",IFERROR(VALUE(TRIM(SUBSTITUTE(SUBSTITUTE(LOWER(Q838),"hrs",""),"hr",""))),"")))),IF(ISNUMBER(Q838),Q838,IF(Q838="","",IFERROR(VALUE(TRIM(SUBSTITUTE(SUBSTITUTE(LOWER(Q838),"hrs",""),"hr",""))),""))))</f>
        <v>8</v>
      </c>
      <c r="S838" s="57" t="n">
        <f aca="false">IFERROR(INDEX(RATES!$E$6:$E$28,MATCH(P838,RATES!$A$6:$A$28,0)),0)</f>
        <v>37.265</v>
      </c>
      <c r="T838" s="61" t="n">
        <f aca="false">IF(ISNUMBER(R838),R838,0)*S838</f>
        <v>298.12</v>
      </c>
      <c r="U838" s="61" t="n">
        <f aca="false">T838*INDEX(INPUTS!$H$10:$H$14,MATCH(B838,INPUTS!$A$10:$A$14,0))</f>
        <v>47.10296</v>
      </c>
      <c r="V838" s="61" t="n">
        <f aca="false">N(STACK!K838)</f>
        <v>0</v>
      </c>
      <c r="W838" s="61" t="n">
        <f aca="false">T838+U838+V838</f>
        <v>345.22296</v>
      </c>
      <c r="X838" s="61" t="n">
        <f aca="false">N(STACK!L838)</f>
        <v>0</v>
      </c>
      <c r="Y838" s="61" t="n">
        <f aca="false">W838-X838</f>
        <v>345.22296</v>
      </c>
      <c r="Z838" s="1" t="n">
        <f aca="false">N(STACK!J838)</f>
        <v>0</v>
      </c>
      <c r="AA838" s="1" t="str">
        <f aca="false">TRIM(IF(D838="UNMAPPED","Program not mapped. ","")&amp;IF(OR(K838="UNMAPPED",K838="UNASSIGNED"),"Category needs review. ","")&amp;IF(P838="UNMAPPED","Title not mapped. ","")&amp;IF(AND(P838&lt;&gt;"No staff time",R838=""),"Missing hours. ","")&amp;IF(M838="","Date not readable. ","")&amp;IF(N838="No","Outside fiscal year. ","")&amp;IF(AND(F838="Event",ISNUMBER(R838)),IF(R838&gt;12,"Event hours look high. ",""),"")&amp;IF(G838&gt;0,"See CONFIRM sheet.",""))</f>
        <v/>
      </c>
      <c r="AB838" s="1" t="n">
        <f aca="false">IF(N838="No",0,IF(REVIEW!O838=0,0,IF(G838&gt;0,IF(INDEX(CONFIRM!$J$5:$J$53,G838)&lt;&gt;"",INDEX(CONFIRM!$J$5:$J$53,G838),1),1)))</f>
        <v>1</v>
      </c>
      <c r="AC838" s="1" t="n">
        <f aca="false">IF(AB838=1,IF(COUNTIFS($B$5:B838,B838,$D$5:D838,D838,$AB$5:AB838,1)=1,1,0),0)</f>
        <v>0</v>
      </c>
    </row>
    <row r="839" customFormat="false" ht="15" hidden="false" customHeight="false" outlineLevel="0" collapsed="false">
      <c r="A839" s="48" t="str">
        <f aca="false">STACK!A839</f>
        <v>CBH-0011</v>
      </c>
      <c r="B839" s="48" t="str">
        <f aca="false">STACK!B839</f>
        <v>CBH</v>
      </c>
      <c r="C839" s="48" t="str">
        <f aca="false">STACK!E839</f>
        <v>Mental Health First Aid</v>
      </c>
      <c r="D839" s="1" t="str">
        <f aca="false">IFERROR(INDEX(MAP!$J$7:$J$101,MATCH(TRIM(C839),MAP!$I$7:$I$101,0)),"UNMAPPED")</f>
        <v>Mental Health First Aid Training</v>
      </c>
      <c r="E839" s="1" t="str">
        <f aca="false">IFERROR(INDEX(MAP!$K$7:$K$101,MATCH(TRIM(C839),MAP!$I$7:$I$101,0)),"")</f>
        <v>Behavioral health</v>
      </c>
      <c r="F839" s="1" t="str">
        <f aca="false">IFERROR(INDEX(MAP!$L$7:$L$101,MATCH(TRIM(C839),MAP!$I$7:$I$101,0)),"")</f>
        <v>Event</v>
      </c>
      <c r="G839" s="1" t="n">
        <f aca="false">IFERROR(MATCH(A839,CONFIRM!$A$5:$A$53,0),0)</f>
        <v>0</v>
      </c>
      <c r="H839" s="48" t="str">
        <f aca="false">STACK!F839</f>
        <v>Health Education</v>
      </c>
      <c r="I839" s="1" t="str">
        <f aca="false">IF(G839&gt;0,IF(INDEX(CONFIRM!$I$5:$I$53,G839)&lt;&gt;"",INDEX(CONFIRM!$I$5:$I$53,G839),H839),H839)</f>
        <v>Health Education</v>
      </c>
      <c r="J839" s="1" t="str">
        <f aca="false">IFERROR(INDEX(MAP!$F$7:$F$74,MATCH(TRIM(I839),MAP!$E$7:$E$74,0)),"UNMAPPED")</f>
        <v>Community health education</v>
      </c>
      <c r="K839" s="1" t="str">
        <f aca="false">IFERROR(INDEX(MAP!$G$7:$G$74,MATCH(TRIM(I839),MAP!$E$7:$E$74,0)),"UNMAPPED")</f>
        <v>7e</v>
      </c>
      <c r="L839" s="49" t="str">
        <f aca="false">STACK!G839</f>
        <v>2025-07-30</v>
      </c>
      <c r="M839" s="59" t="n">
        <f aca="false">IF(G839&gt;0,IF(INDEX(CONFIRM!$G$5:$G$53,G839)&lt;&gt;"",INDEX(CONFIRM!$G$5:$G$53,G839),IF(ISNUMBER(L839),L839,IFERROR(DATEVALUE(L839),""))),IF(ISNUMBER(L839),L839,IFERROR(DATEVALUE(L839),"")))</f>
        <v>45868</v>
      </c>
      <c r="N839" s="1" t="str">
        <f aca="false">IF(M839="","Check",IF(AND(M839&gt;=INPUTS!$C$6,M839&lt;=INPUTS!$C$7),"Yes","No"))</f>
        <v>Yes</v>
      </c>
      <c r="O839" s="48" t="str">
        <f aca="false">STACK!H839</f>
        <v>LCSW</v>
      </c>
      <c r="P839" s="1" t="str">
        <f aca="false">IF(G839&gt;0,IF(INDEX(CONFIRM!$H$5:$H$53,G839)&lt;&gt;"",INDEX(CONFIRM!$H$5:$H$53,G839),IFERROR(INDEX(MAP!$B$7:$B$156,MATCH(TRIM(O839),MAP!$A$7:$A$156,0)),"UNMAPPED")),IFERROR(INDEX(MAP!$B$7:$B$156,MATCH(TRIM(O839),MAP!$A$7:$A$156,0)),"UNMAPPED"))</f>
        <v>Social Worker</v>
      </c>
      <c r="Q839" s="48" t="n">
        <f aca="false">STACK!I839</f>
        <v>8</v>
      </c>
      <c r="R839" s="60" t="n">
        <f aca="false">IF(G839&gt;0,IF(INDEX(CONFIRM!$F$5:$F$53,G839)&lt;&gt;"",INDEX(CONFIRM!$F$5:$F$53,G839),IF(ISNUMBER(Q839),Q839,IF(Q839="","",IFERROR(VALUE(TRIM(SUBSTITUTE(SUBSTITUTE(LOWER(Q839),"hrs",""),"hr",""))),"")))),IF(ISNUMBER(Q839),Q839,IF(Q839="","",IFERROR(VALUE(TRIM(SUBSTITUTE(SUBSTITUTE(LOWER(Q839),"hrs",""),"hr",""))),""))))</f>
        <v>8</v>
      </c>
      <c r="S839" s="57" t="n">
        <f aca="false">IFERROR(INDEX(RATES!$E$6:$E$28,MATCH(P839,RATES!$A$6:$A$28,0)),0)</f>
        <v>45.6175</v>
      </c>
      <c r="T839" s="61" t="n">
        <f aca="false">IF(ISNUMBER(R839),R839,0)*S839</f>
        <v>364.94</v>
      </c>
      <c r="U839" s="61" t="n">
        <f aca="false">T839*INDEX(INPUTS!$H$10:$H$14,MATCH(B839,INPUTS!$A$10:$A$14,0))</f>
        <v>57.66052</v>
      </c>
      <c r="V839" s="61" t="n">
        <f aca="false">N(STACK!K839)</f>
        <v>495</v>
      </c>
      <c r="W839" s="61" t="n">
        <f aca="false">T839+U839+V839</f>
        <v>917.60052</v>
      </c>
      <c r="X839" s="61" t="n">
        <f aca="false">N(STACK!L839)</f>
        <v>0</v>
      </c>
      <c r="Y839" s="61" t="n">
        <f aca="false">W839-X839</f>
        <v>917.60052</v>
      </c>
      <c r="Z839" s="1" t="n">
        <f aca="false">N(STACK!J839)</f>
        <v>21</v>
      </c>
      <c r="AA839" s="1" t="str">
        <f aca="false">TRIM(IF(D839="UNMAPPED","Program not mapped. ","")&amp;IF(OR(K839="UNMAPPED",K839="UNASSIGNED"),"Category needs review. ","")&amp;IF(P839="UNMAPPED","Title not mapped. ","")&amp;IF(AND(P839&lt;&gt;"No staff time",R839=""),"Missing hours. ","")&amp;IF(M839="","Date not readable. ","")&amp;IF(N839="No","Outside fiscal year. ","")&amp;IF(AND(F839="Event",ISNUMBER(R839)),IF(R839&gt;12,"Event hours look high. ",""),"")&amp;IF(G839&gt;0,"See CONFIRM sheet.",""))</f>
        <v/>
      </c>
      <c r="AB839" s="1" t="n">
        <f aca="false">IF(N839="No",0,IF(REVIEW!O839=0,0,IF(G839&gt;0,IF(INDEX(CONFIRM!$J$5:$J$53,G839)&lt;&gt;"",INDEX(CONFIRM!$J$5:$J$53,G839),1),1)))</f>
        <v>1</v>
      </c>
      <c r="AC839" s="1" t="n">
        <f aca="false">IF(AB839=1,IF(COUNTIFS($B$5:B839,B839,$D$5:D839,D839,$AB$5:AB839,1)=1,1,0),0)</f>
        <v>0</v>
      </c>
    </row>
    <row r="840" customFormat="false" ht="15" hidden="false" customHeight="false" outlineLevel="0" collapsed="false">
      <c r="A840" s="48" t="str">
        <f aca="false">STACK!A840</f>
        <v>CBH-0012</v>
      </c>
      <c r="B840" s="48" t="str">
        <f aca="false">STACK!B840</f>
        <v>CBH</v>
      </c>
      <c r="C840" s="48" t="str">
        <f aca="false">STACK!E840</f>
        <v>Free Clinic Staffing</v>
      </c>
      <c r="D840" s="1" t="str">
        <f aca="false">IFERROR(INDEX(MAP!$J$7:$J$101,MATCH(TRIM(C840),MAP!$I$7:$I$101,0)),"UNMAPPED")</f>
        <v>Free Clinic Provider Staffing</v>
      </c>
      <c r="E840" s="1" t="str">
        <f aca="false">IFERROR(INDEX(MAP!$K$7:$K$101,MATCH(TRIM(C840),MAP!$I$7:$I$101,0)),"")</f>
        <v>Access to care</v>
      </c>
      <c r="F840" s="1" t="str">
        <f aca="false">IFERROR(INDEX(MAP!$L$7:$L$101,MATCH(TRIM(C840),MAP!$I$7:$I$101,0)),"")</f>
        <v>Monthly</v>
      </c>
      <c r="G840" s="1" t="n">
        <f aca="false">IFERROR(MATCH(A840,CONFIRM!$A$5:$A$53,0),0)</f>
        <v>0</v>
      </c>
      <c r="H840" s="48" t="str">
        <f aca="false">STACK!F840</f>
        <v>Screenings</v>
      </c>
      <c r="I840" s="1" t="str">
        <f aca="false">IF(G840&gt;0,IF(INDEX(CONFIRM!$I$5:$I$53,G840)&lt;&gt;"",INDEX(CONFIRM!$I$5:$I$53,G840),H840),H840)</f>
        <v>Screenings</v>
      </c>
      <c r="J840" s="1" t="str">
        <f aca="false">IFERROR(INDEX(MAP!$F$7:$F$74,MATCH(TRIM(I840),MAP!$E$7:$E$74,0)),"UNMAPPED")</f>
        <v>Community-based clinical services</v>
      </c>
      <c r="K840" s="1" t="str">
        <f aca="false">IFERROR(INDEX(MAP!$G$7:$G$74,MATCH(TRIM(I840),MAP!$E$7:$E$74,0)),"UNMAPPED")</f>
        <v>7e</v>
      </c>
      <c r="L840" s="49" t="str">
        <f aca="false">STACK!G840</f>
        <v>2025-07-31</v>
      </c>
      <c r="M840" s="59" t="n">
        <f aca="false">IF(G840&gt;0,IF(INDEX(CONFIRM!$G$5:$G$53,G840)&lt;&gt;"",INDEX(CONFIRM!$G$5:$G$53,G840),IF(ISNUMBER(L840),L840,IFERROR(DATEVALUE(L840),""))),IF(ISNUMBER(L840),L840,IFERROR(DATEVALUE(L840),"")))</f>
        <v>45869</v>
      </c>
      <c r="N840" s="1" t="str">
        <f aca="false">IF(M840="","Check",IF(AND(M840&gt;=INPUTS!$C$6,M840&lt;=INPUTS!$C$7),"Yes","No"))</f>
        <v>Yes</v>
      </c>
      <c r="O840" s="48" t="str">
        <f aca="false">STACK!H840</f>
        <v>Family NP</v>
      </c>
      <c r="P840" s="1" t="str">
        <f aca="false">IF(G840&gt;0,IF(INDEX(CONFIRM!$H$5:$H$53,G840)&lt;&gt;"",INDEX(CONFIRM!$H$5:$H$53,G840),IFERROR(INDEX(MAP!$B$7:$B$156,MATCH(TRIM(O840),MAP!$A$7:$A$156,0)),"UNMAPPED")),IFERROR(INDEX(MAP!$B$7:$B$156,MATCH(TRIM(O840),MAP!$A$7:$A$156,0)),"UNMAPPED"))</f>
        <v>Nurse Practitioner</v>
      </c>
      <c r="Q840" s="48" t="n">
        <f aca="false">STACK!I840</f>
        <v>45.25</v>
      </c>
      <c r="R840" s="60" t="n">
        <f aca="false">IF(G840&gt;0,IF(INDEX(CONFIRM!$F$5:$F$53,G840)&lt;&gt;"",INDEX(CONFIRM!$F$5:$F$53,G840),IF(ISNUMBER(Q840),Q840,IF(Q840="","",IFERROR(VALUE(TRIM(SUBSTITUTE(SUBSTITUTE(LOWER(Q840),"hrs",""),"hr",""))),"")))),IF(ISNUMBER(Q840),Q840,IF(Q840="","",IFERROR(VALUE(TRIM(SUBSTITUTE(SUBSTITUTE(LOWER(Q840),"hrs",""),"hr",""))),""))))</f>
        <v>45.25</v>
      </c>
      <c r="S840" s="57" t="n">
        <f aca="false">IFERROR(INDEX(RATES!$E$6:$E$28,MATCH(P840,RATES!$A$6:$A$28,0)),0)</f>
        <v>79.67</v>
      </c>
      <c r="T840" s="61" t="n">
        <f aca="false">IF(ISNUMBER(R840),R840,0)*S840</f>
        <v>3605.0675</v>
      </c>
      <c r="U840" s="61" t="n">
        <f aca="false">T840*INDEX(INPUTS!$H$10:$H$14,MATCH(B840,INPUTS!$A$10:$A$14,0))</f>
        <v>569.600665</v>
      </c>
      <c r="V840" s="61" t="n">
        <f aca="false">N(STACK!K840)</f>
        <v>4785</v>
      </c>
      <c r="W840" s="61" t="n">
        <f aca="false">T840+U840+V840</f>
        <v>8959.668165</v>
      </c>
      <c r="X840" s="61" t="n">
        <f aca="false">N(STACK!L840)</f>
        <v>0</v>
      </c>
      <c r="Y840" s="61" t="n">
        <f aca="false">W840-X840</f>
        <v>8959.668165</v>
      </c>
      <c r="Z840" s="1" t="n">
        <f aca="false">N(STACK!J840)</f>
        <v>301</v>
      </c>
      <c r="AA840" s="1" t="str">
        <f aca="false">TRIM(IF(D840="UNMAPPED","Program not mapped. ","")&amp;IF(OR(K840="UNMAPPED",K840="UNASSIGNED"),"Category needs review. ","")&amp;IF(P840="UNMAPPED","Title not mapped. ","")&amp;IF(AND(P840&lt;&gt;"No staff time",R840=""),"Missing hours. ","")&amp;IF(M840="","Date not readable. ","")&amp;IF(N840="No","Outside fiscal year. ","")&amp;IF(AND(F840="Event",ISNUMBER(R840)),IF(R840&gt;12,"Event hours look high. ",""),"")&amp;IF(G840&gt;0,"See CONFIRM sheet.",""))</f>
        <v/>
      </c>
      <c r="AB840" s="1" t="n">
        <f aca="false">IF(N840="No",0,IF(REVIEW!O840=0,0,IF(G840&gt;0,IF(INDEX(CONFIRM!$J$5:$J$53,G840)&lt;&gt;"",INDEX(CONFIRM!$J$5:$J$53,G840),1),1)))</f>
        <v>1</v>
      </c>
      <c r="AC840" s="1" t="n">
        <f aca="false">IF(AB840=1,IF(COUNTIFS($B$5:B840,B840,$D$5:D840,D840,$AB$5:AB840,1)=1,1,0),0)</f>
        <v>1</v>
      </c>
    </row>
    <row r="841" customFormat="false" ht="15" hidden="false" customHeight="false" outlineLevel="0" collapsed="false">
      <c r="A841" s="48" t="str">
        <f aca="false">STACK!A841</f>
        <v>CBH-0013</v>
      </c>
      <c r="B841" s="48" t="str">
        <f aca="false">STACK!B841</f>
        <v>CBH</v>
      </c>
      <c r="C841" s="48" t="str">
        <f aca="false">STACK!E841</f>
        <v>Free Clinic Staffing</v>
      </c>
      <c r="D841" s="1" t="str">
        <f aca="false">IFERROR(INDEX(MAP!$J$7:$J$101,MATCH(TRIM(C841),MAP!$I$7:$I$101,0)),"UNMAPPED")</f>
        <v>Free Clinic Provider Staffing</v>
      </c>
      <c r="E841" s="1" t="str">
        <f aca="false">IFERROR(INDEX(MAP!$K$7:$K$101,MATCH(TRIM(C841),MAP!$I$7:$I$101,0)),"")</f>
        <v>Access to care</v>
      </c>
      <c r="F841" s="1" t="str">
        <f aca="false">IFERROR(INDEX(MAP!$L$7:$L$101,MATCH(TRIM(C841),MAP!$I$7:$I$101,0)),"")</f>
        <v>Monthly</v>
      </c>
      <c r="G841" s="1" t="n">
        <f aca="false">IFERROR(MATCH(A841,CONFIRM!$A$5:$A$53,0),0)</f>
        <v>0</v>
      </c>
      <c r="H841" s="48" t="str">
        <f aca="false">STACK!F841</f>
        <v>Screenings</v>
      </c>
      <c r="I841" s="1" t="str">
        <f aca="false">IF(G841&gt;0,IF(INDEX(CONFIRM!$I$5:$I$53,G841)&lt;&gt;"",INDEX(CONFIRM!$I$5:$I$53,G841),H841),H841)</f>
        <v>Screenings</v>
      </c>
      <c r="J841" s="1" t="str">
        <f aca="false">IFERROR(INDEX(MAP!$F$7:$F$74,MATCH(TRIM(I841),MAP!$E$7:$E$74,0)),"UNMAPPED")</f>
        <v>Community-based clinical services</v>
      </c>
      <c r="K841" s="1" t="str">
        <f aca="false">IFERROR(INDEX(MAP!$G$7:$G$74,MATCH(TRIM(I841),MAP!$E$7:$E$74,0)),"UNMAPPED")</f>
        <v>7e</v>
      </c>
      <c r="L841" s="49" t="str">
        <f aca="false">STACK!G841</f>
        <v>2025-07-31</v>
      </c>
      <c r="M841" s="59" t="n">
        <f aca="false">IF(G841&gt;0,IF(INDEX(CONFIRM!$G$5:$G$53,G841)&lt;&gt;"",INDEX(CONFIRM!$G$5:$G$53,G841),IF(ISNUMBER(L841),L841,IFERROR(DATEVALUE(L841),""))),IF(ISNUMBER(L841),L841,IFERROR(DATEVALUE(L841),"")))</f>
        <v>45869</v>
      </c>
      <c r="N841" s="1" t="str">
        <f aca="false">IF(M841="","Check",IF(AND(M841&gt;=INPUTS!$C$6,M841&lt;=INPUTS!$C$7),"Yes","No"))</f>
        <v>Yes</v>
      </c>
      <c r="O841" s="48" t="str">
        <f aca="false">STACK!H841</f>
        <v>Pharmacist II</v>
      </c>
      <c r="P841" s="1" t="str">
        <f aca="false">IF(G841&gt;0,IF(INDEX(CONFIRM!$H$5:$H$53,G841)&lt;&gt;"",INDEX(CONFIRM!$H$5:$H$53,G841),IFERROR(INDEX(MAP!$B$7:$B$156,MATCH(TRIM(O841),MAP!$A$7:$A$156,0)),"UNMAPPED")),IFERROR(INDEX(MAP!$B$7:$B$156,MATCH(TRIM(O841),MAP!$A$7:$A$156,0)),"UNMAPPED"))</f>
        <v>Pharmacist</v>
      </c>
      <c r="Q841" s="48" t="n">
        <f aca="false">STACK!I841</f>
        <v>11.75</v>
      </c>
      <c r="R841" s="60" t="n">
        <f aca="false">IF(G841&gt;0,IF(INDEX(CONFIRM!$F$5:$F$53,G841)&lt;&gt;"",INDEX(CONFIRM!$F$5:$F$53,G841),IF(ISNUMBER(Q841),Q841,IF(Q841="","",IFERROR(VALUE(TRIM(SUBSTITUTE(SUBSTITUTE(LOWER(Q841),"hrs",""),"hr",""))),"")))),IF(ISNUMBER(Q841),Q841,IF(Q841="","",IFERROR(VALUE(TRIM(SUBSTITUTE(SUBSTITUTE(LOWER(Q841),"hrs",""),"hr",""))),""))))</f>
        <v>11.75</v>
      </c>
      <c r="S841" s="57" t="n">
        <f aca="false">IFERROR(INDEX(RATES!$E$6:$E$28,MATCH(P841,RATES!$A$6:$A$28,0)),0)</f>
        <v>84.81</v>
      </c>
      <c r="T841" s="61" t="n">
        <f aca="false">IF(ISNUMBER(R841),R841,0)*S841</f>
        <v>996.5175</v>
      </c>
      <c r="U841" s="61" t="n">
        <f aca="false">T841*INDEX(INPUTS!$H$10:$H$14,MATCH(B841,INPUTS!$A$10:$A$14,0))</f>
        <v>157.449765</v>
      </c>
      <c r="V841" s="61" t="n">
        <f aca="false">N(STACK!K841)</f>
        <v>0</v>
      </c>
      <c r="W841" s="61" t="n">
        <f aca="false">T841+U841+V841</f>
        <v>1153.967265</v>
      </c>
      <c r="X841" s="61" t="n">
        <f aca="false">N(STACK!L841)</f>
        <v>0</v>
      </c>
      <c r="Y841" s="61" t="n">
        <f aca="false">W841-X841</f>
        <v>1153.967265</v>
      </c>
      <c r="Z841" s="1" t="n">
        <f aca="false">N(STACK!J841)</f>
        <v>0</v>
      </c>
      <c r="AA841" s="1" t="str">
        <f aca="false">TRIM(IF(D841="UNMAPPED","Program not mapped. ","")&amp;IF(OR(K841="UNMAPPED",K841="UNASSIGNED"),"Category needs review. ","")&amp;IF(P841="UNMAPPED","Title not mapped. ","")&amp;IF(AND(P841&lt;&gt;"No staff time",R841=""),"Missing hours. ","")&amp;IF(M841="","Date not readable. ","")&amp;IF(N841="No","Outside fiscal year. ","")&amp;IF(AND(F841="Event",ISNUMBER(R841)),IF(R841&gt;12,"Event hours look high. ",""),"")&amp;IF(G841&gt;0,"See CONFIRM sheet.",""))</f>
        <v/>
      </c>
      <c r="AB841" s="1" t="n">
        <f aca="false">IF(N841="No",0,IF(REVIEW!O841=0,0,IF(G841&gt;0,IF(INDEX(CONFIRM!$J$5:$J$53,G841)&lt;&gt;"",INDEX(CONFIRM!$J$5:$J$53,G841),1),1)))</f>
        <v>1</v>
      </c>
      <c r="AC841" s="1" t="n">
        <f aca="false">IF(AB841=1,IF(COUNTIFS($B$5:B841,B841,$D$5:D841,D841,$AB$5:AB841,1)=1,1,0),0)</f>
        <v>0</v>
      </c>
    </row>
    <row r="842" customFormat="false" ht="15" hidden="false" customHeight="false" outlineLevel="0" collapsed="false">
      <c r="A842" s="48" t="str">
        <f aca="false">STACK!A842</f>
        <v>CBH-0014</v>
      </c>
      <c r="B842" s="48" t="str">
        <f aca="false">STACK!B842</f>
        <v>CBH</v>
      </c>
      <c r="C842" s="48" t="str">
        <f aca="false">STACK!E842</f>
        <v>Free Clinic Staffing</v>
      </c>
      <c r="D842" s="1" t="str">
        <f aca="false">IFERROR(INDEX(MAP!$J$7:$J$101,MATCH(TRIM(C842),MAP!$I$7:$I$101,0)),"UNMAPPED")</f>
        <v>Free Clinic Provider Staffing</v>
      </c>
      <c r="E842" s="1" t="str">
        <f aca="false">IFERROR(INDEX(MAP!$K$7:$K$101,MATCH(TRIM(C842),MAP!$I$7:$I$101,0)),"")</f>
        <v>Access to care</v>
      </c>
      <c r="F842" s="1" t="str">
        <f aca="false">IFERROR(INDEX(MAP!$L$7:$L$101,MATCH(TRIM(C842),MAP!$I$7:$I$101,0)),"")</f>
        <v>Monthly</v>
      </c>
      <c r="G842" s="1" t="n">
        <f aca="false">IFERROR(MATCH(A842,CONFIRM!$A$5:$A$53,0),0)</f>
        <v>0</v>
      </c>
      <c r="H842" s="48" t="str">
        <f aca="false">STACK!F842</f>
        <v>Screenings</v>
      </c>
      <c r="I842" s="1" t="str">
        <f aca="false">IF(G842&gt;0,IF(INDEX(CONFIRM!$I$5:$I$53,G842)&lt;&gt;"",INDEX(CONFIRM!$I$5:$I$53,G842),H842),H842)</f>
        <v>Screenings</v>
      </c>
      <c r="J842" s="1" t="str">
        <f aca="false">IFERROR(INDEX(MAP!$F$7:$F$74,MATCH(TRIM(I842),MAP!$E$7:$E$74,0)),"UNMAPPED")</f>
        <v>Community-based clinical services</v>
      </c>
      <c r="K842" s="1" t="str">
        <f aca="false">IFERROR(INDEX(MAP!$G$7:$G$74,MATCH(TRIM(I842),MAP!$E$7:$E$74,0)),"UNMAPPED")</f>
        <v>7e</v>
      </c>
      <c r="L842" s="49" t="str">
        <f aca="false">STACK!G842</f>
        <v>2025-07-31</v>
      </c>
      <c r="M842" s="59" t="n">
        <f aca="false">IF(G842&gt;0,IF(INDEX(CONFIRM!$G$5:$G$53,G842)&lt;&gt;"",INDEX(CONFIRM!$G$5:$G$53,G842),IF(ISNUMBER(L842),L842,IFERROR(DATEVALUE(L842),""))),IF(ISNUMBER(L842),L842,IFERROR(DATEVALUE(L842),"")))</f>
        <v>45869</v>
      </c>
      <c r="N842" s="1" t="str">
        <f aca="false">IF(M842="","Check",IF(AND(M842&gt;=INPUTS!$C$6,M842&lt;=INPUTS!$C$7),"Yes","No"))</f>
        <v>Yes</v>
      </c>
      <c r="O842" s="48" t="str">
        <f aca="false">STACK!H842</f>
        <v>Charge RN</v>
      </c>
      <c r="P842" s="1" t="str">
        <f aca="false">IF(G842&gt;0,IF(INDEX(CONFIRM!$H$5:$H$53,G842)&lt;&gt;"",INDEX(CONFIRM!$H$5:$H$53,G842),IFERROR(INDEX(MAP!$B$7:$B$156,MATCH(TRIM(O842),MAP!$A$7:$A$156,0)),"UNMAPPED")),IFERROR(INDEX(MAP!$B$7:$B$156,MATCH(TRIM(O842),MAP!$A$7:$A$156,0)),"UNMAPPED"))</f>
        <v>Registered Nurse</v>
      </c>
      <c r="Q842" s="48" t="n">
        <f aca="false">STACK!I842</f>
        <v>30.25</v>
      </c>
      <c r="R842" s="60" t="n">
        <f aca="false">IF(G842&gt;0,IF(INDEX(CONFIRM!$F$5:$F$53,G842)&lt;&gt;"",INDEX(CONFIRM!$F$5:$F$53,G842),IF(ISNUMBER(Q842),Q842,IF(Q842="","",IFERROR(VALUE(TRIM(SUBSTITUTE(SUBSTITUTE(LOWER(Q842),"hrs",""),"hr",""))),"")))),IF(ISNUMBER(Q842),Q842,IF(Q842="","",IFERROR(VALUE(TRIM(SUBSTITUTE(SUBSTITUTE(LOWER(Q842),"hrs",""),"hr",""))),""))))</f>
        <v>30.25</v>
      </c>
      <c r="S842" s="57" t="n">
        <f aca="false">IFERROR(INDEX(RATES!$E$6:$E$28,MATCH(P842,RATES!$A$6:$A$28,0)),0)</f>
        <v>55.8975</v>
      </c>
      <c r="T842" s="61" t="n">
        <f aca="false">IF(ISNUMBER(R842),R842,0)*S842</f>
        <v>1690.899375</v>
      </c>
      <c r="U842" s="61" t="n">
        <f aca="false">T842*INDEX(INPUTS!$H$10:$H$14,MATCH(B842,INPUTS!$A$10:$A$14,0))</f>
        <v>267.16210125</v>
      </c>
      <c r="V842" s="61" t="n">
        <f aca="false">N(STACK!K842)</f>
        <v>0</v>
      </c>
      <c r="W842" s="61" t="n">
        <f aca="false">T842+U842+V842</f>
        <v>1958.06147625</v>
      </c>
      <c r="X842" s="61" t="n">
        <f aca="false">N(STACK!L842)</f>
        <v>0</v>
      </c>
      <c r="Y842" s="61" t="n">
        <f aca="false">W842-X842</f>
        <v>1958.06147625</v>
      </c>
      <c r="Z842" s="1" t="n">
        <f aca="false">N(STACK!J842)</f>
        <v>0</v>
      </c>
      <c r="AA842" s="1" t="str">
        <f aca="false">TRIM(IF(D842="UNMAPPED","Program not mapped. ","")&amp;IF(OR(K842="UNMAPPED",K842="UNASSIGNED"),"Category needs review. ","")&amp;IF(P842="UNMAPPED","Title not mapped. ","")&amp;IF(AND(P842&lt;&gt;"No staff time",R842=""),"Missing hours. ","")&amp;IF(M842="","Date not readable. ","")&amp;IF(N842="No","Outside fiscal year. ","")&amp;IF(AND(F842="Event",ISNUMBER(R842)),IF(R842&gt;12,"Event hours look high. ",""),"")&amp;IF(G842&gt;0,"See CONFIRM sheet.",""))</f>
        <v/>
      </c>
      <c r="AB842" s="1" t="n">
        <f aca="false">IF(N842="No",0,IF(REVIEW!O842=0,0,IF(G842&gt;0,IF(INDEX(CONFIRM!$J$5:$J$53,G842)&lt;&gt;"",INDEX(CONFIRM!$J$5:$J$53,G842),1),1)))</f>
        <v>1</v>
      </c>
      <c r="AC842" s="1" t="n">
        <f aca="false">IF(AB842=1,IF(COUNTIFS($B$5:B842,B842,$D$5:D842,D842,$AB$5:AB842,1)=1,1,0),0)</f>
        <v>0</v>
      </c>
    </row>
    <row r="843" customFormat="false" ht="15" hidden="false" customHeight="false" outlineLevel="0" collapsed="false">
      <c r="A843" s="48" t="str">
        <f aca="false">STACK!A843</f>
        <v>CBH-0015</v>
      </c>
      <c r="B843" s="48" t="str">
        <f aca="false">STACK!B843</f>
        <v>CBH</v>
      </c>
      <c r="C843" s="48" t="str">
        <f aca="false">STACK!E843</f>
        <v>Med Assistance</v>
      </c>
      <c r="D843" s="1" t="str">
        <f aca="false">IFERROR(INDEX(MAP!$J$7:$J$101,MATCH(TRIM(C843),MAP!$I$7:$I$101,0)),"UNMAPPED")</f>
        <v>Medication Assistance Program</v>
      </c>
      <c r="E843" s="1" t="str">
        <f aca="false">IFERROR(INDEX(MAP!$K$7:$K$101,MATCH(TRIM(C843),MAP!$I$7:$I$101,0)),"")</f>
        <v>Access to care</v>
      </c>
      <c r="F843" s="1" t="str">
        <f aca="false">IFERROR(INDEX(MAP!$L$7:$L$101,MATCH(TRIM(C843),MAP!$I$7:$I$101,0)),"")</f>
        <v>Monthly</v>
      </c>
      <c r="G843" s="1" t="n">
        <f aca="false">IFERROR(MATCH(A843,CONFIRM!$A$5:$A$53,0),0)</f>
        <v>0</v>
      </c>
      <c r="H843" s="48" t="str">
        <f aca="false">STACK!F843</f>
        <v>Patient Support</v>
      </c>
      <c r="I843" s="1" t="str">
        <f aca="false">IF(G843&gt;0,IF(INDEX(CONFIRM!$I$5:$I$53,G843)&lt;&gt;"",INDEX(CONFIRM!$I$5:$I$53,G843),H843),H843)</f>
        <v>Patient Support</v>
      </c>
      <c r="J843" s="1" t="str">
        <f aca="false">IFERROR(INDEX(MAP!$F$7:$F$74,MATCH(TRIM(I843),MAP!$E$7:$E$74,0)),"UNMAPPED")</f>
        <v>Health care support services</v>
      </c>
      <c r="K843" s="1" t="str">
        <f aca="false">IFERROR(INDEX(MAP!$G$7:$G$74,MATCH(TRIM(I843),MAP!$E$7:$E$74,0)),"UNMAPPED")</f>
        <v>7e</v>
      </c>
      <c r="L843" s="49" t="str">
        <f aca="false">STACK!G843</f>
        <v>2025-07-31</v>
      </c>
      <c r="M843" s="59" t="n">
        <f aca="false">IF(G843&gt;0,IF(INDEX(CONFIRM!$G$5:$G$53,G843)&lt;&gt;"",INDEX(CONFIRM!$G$5:$G$53,G843),IF(ISNUMBER(L843),L843,IFERROR(DATEVALUE(L843),""))),IF(ISNUMBER(L843),L843,IFERROR(DATEVALUE(L843),"")))</f>
        <v>45869</v>
      </c>
      <c r="N843" s="1" t="str">
        <f aca="false">IF(M843="","Check",IF(AND(M843&gt;=INPUTS!$C$6,M843&lt;=INPUTS!$C$7),"Yes","No"))</f>
        <v>Yes</v>
      </c>
      <c r="O843" s="48" t="str">
        <f aca="false">STACK!H843</f>
        <v>Nurse Navigator</v>
      </c>
      <c r="P843" s="1" t="str">
        <f aca="false">IF(G843&gt;0,IF(INDEX(CONFIRM!$H$5:$H$53,G843)&lt;&gt;"",INDEX(CONFIRM!$H$5:$H$53,G843),IFERROR(INDEX(MAP!$B$7:$B$156,MATCH(TRIM(O843),MAP!$A$7:$A$156,0)),"UNMAPPED")),IFERROR(INDEX(MAP!$B$7:$B$156,MATCH(TRIM(O843),MAP!$A$7:$A$156,0)),"UNMAPPED"))</f>
        <v>Patient Navigator</v>
      </c>
      <c r="Q843" s="48" t="n">
        <f aca="false">STACK!I843</f>
        <v>65</v>
      </c>
      <c r="R843" s="60" t="n">
        <f aca="false">IF(G843&gt;0,IF(INDEX(CONFIRM!$F$5:$F$53,G843)&lt;&gt;"",INDEX(CONFIRM!$F$5:$F$53,G843),IF(ISNUMBER(Q843),Q843,IF(Q843="","",IFERROR(VALUE(TRIM(SUBSTITUTE(SUBSTITUTE(LOWER(Q843),"hrs",""),"hr",""))),"")))),IF(ISNUMBER(Q843),Q843,IF(Q843="","",IFERROR(VALUE(TRIM(SUBSTITUTE(SUBSTITUTE(LOWER(Q843),"hrs",""),"hr",""))),""))))</f>
        <v>65</v>
      </c>
      <c r="S843" s="57" t="n">
        <f aca="false">IFERROR(INDEX(RATES!$E$6:$E$28,MATCH(P843,RATES!$A$6:$A$28,0)),0)</f>
        <v>30.84</v>
      </c>
      <c r="T843" s="61" t="n">
        <f aca="false">IF(ISNUMBER(R843),R843,0)*S843</f>
        <v>2004.6</v>
      </c>
      <c r="U843" s="61" t="n">
        <f aca="false">T843*INDEX(INPUTS!$H$10:$H$14,MATCH(B843,INPUTS!$A$10:$A$14,0))</f>
        <v>316.7268</v>
      </c>
      <c r="V843" s="61" t="n">
        <f aca="false">N(STACK!K843)</f>
        <v>0</v>
      </c>
      <c r="W843" s="61" t="n">
        <f aca="false">T843+U843+V843</f>
        <v>2321.3268</v>
      </c>
      <c r="X843" s="61" t="n">
        <f aca="false">N(STACK!L843)</f>
        <v>0</v>
      </c>
      <c r="Y843" s="61" t="n">
        <f aca="false">W843-X843</f>
        <v>2321.3268</v>
      </c>
      <c r="Z843" s="1" t="n">
        <f aca="false">N(STACK!J843)</f>
        <v>0</v>
      </c>
      <c r="AA843" s="1" t="str">
        <f aca="false">TRIM(IF(D843="UNMAPPED","Program not mapped. ","")&amp;IF(OR(K843="UNMAPPED",K843="UNASSIGNED"),"Category needs review. ","")&amp;IF(P843="UNMAPPED","Title not mapped. ","")&amp;IF(AND(P843&lt;&gt;"No staff time",R843=""),"Missing hours. ","")&amp;IF(M843="","Date not readable. ","")&amp;IF(N843="No","Outside fiscal year. ","")&amp;IF(AND(F843="Event",ISNUMBER(R843)),IF(R843&gt;12,"Event hours look high. ",""),"")&amp;IF(G843&gt;0,"See CONFIRM sheet.",""))</f>
        <v/>
      </c>
      <c r="AB843" s="1" t="n">
        <f aca="false">IF(N843="No",0,IF(REVIEW!O843=0,0,IF(G843&gt;0,IF(INDEX(CONFIRM!$J$5:$J$53,G843)&lt;&gt;"",INDEX(CONFIRM!$J$5:$J$53,G843),1),1)))</f>
        <v>1</v>
      </c>
      <c r="AC843" s="1" t="n">
        <f aca="false">IF(AB843=1,IF(COUNTIFS($B$5:B843,B843,$D$5:D843,D843,$AB$5:AB843,1)=1,1,0),0)</f>
        <v>1</v>
      </c>
    </row>
    <row r="844" customFormat="false" ht="15" hidden="false" customHeight="false" outlineLevel="0" collapsed="false">
      <c r="A844" s="48" t="str">
        <f aca="false">STACK!A844</f>
        <v>CBH-0016</v>
      </c>
      <c r="B844" s="48" t="str">
        <f aca="false">STACK!B844</f>
        <v>CBH</v>
      </c>
      <c r="C844" s="48" t="str">
        <f aca="false">STACK!E844</f>
        <v>Med Assistance</v>
      </c>
      <c r="D844" s="1" t="str">
        <f aca="false">IFERROR(INDEX(MAP!$J$7:$J$101,MATCH(TRIM(C844),MAP!$I$7:$I$101,0)),"UNMAPPED")</f>
        <v>Medication Assistance Program</v>
      </c>
      <c r="E844" s="1" t="str">
        <f aca="false">IFERROR(INDEX(MAP!$K$7:$K$101,MATCH(TRIM(C844),MAP!$I$7:$I$101,0)),"")</f>
        <v>Access to care</v>
      </c>
      <c r="F844" s="1" t="str">
        <f aca="false">IFERROR(INDEX(MAP!$L$7:$L$101,MATCH(TRIM(C844),MAP!$I$7:$I$101,0)),"")</f>
        <v>Monthly</v>
      </c>
      <c r="G844" s="1" t="n">
        <f aca="false">IFERROR(MATCH(A844,CONFIRM!$A$5:$A$53,0),0)</f>
        <v>0</v>
      </c>
      <c r="H844" s="48" t="str">
        <f aca="false">STACK!F844</f>
        <v>Patient Support</v>
      </c>
      <c r="I844" s="1" t="str">
        <f aca="false">IF(G844&gt;0,IF(INDEX(CONFIRM!$I$5:$I$53,G844)&lt;&gt;"",INDEX(CONFIRM!$I$5:$I$53,G844),H844),H844)</f>
        <v>Patient Support</v>
      </c>
      <c r="J844" s="1" t="str">
        <f aca="false">IFERROR(INDEX(MAP!$F$7:$F$74,MATCH(TRIM(I844),MAP!$E$7:$E$74,0)),"UNMAPPED")</f>
        <v>Health care support services</v>
      </c>
      <c r="K844" s="1" t="str">
        <f aca="false">IFERROR(INDEX(MAP!$G$7:$G$74,MATCH(TRIM(I844),MAP!$E$7:$E$74,0)),"UNMAPPED")</f>
        <v>7e</v>
      </c>
      <c r="L844" s="49" t="str">
        <f aca="false">STACK!G844</f>
        <v>2025-07-31</v>
      </c>
      <c r="M844" s="59" t="n">
        <f aca="false">IF(G844&gt;0,IF(INDEX(CONFIRM!$G$5:$G$53,G844)&lt;&gt;"",INDEX(CONFIRM!$G$5:$G$53,G844),IF(ISNUMBER(L844),L844,IFERROR(DATEVALUE(L844),""))),IF(ISNUMBER(L844),L844,IFERROR(DATEVALUE(L844),"")))</f>
        <v>45869</v>
      </c>
      <c r="N844" s="1" t="str">
        <f aca="false">IF(M844="","Check",IF(AND(M844&gt;=INPUTS!$C$6,M844&lt;=INPUTS!$C$7),"Yes","No"))</f>
        <v>Yes</v>
      </c>
      <c r="O844" s="48" t="str">
        <f aca="false">STACK!H844</f>
        <v>RPh </v>
      </c>
      <c r="P844" s="1" t="str">
        <f aca="false">IF(G844&gt;0,IF(INDEX(CONFIRM!$H$5:$H$53,G844)&lt;&gt;"",INDEX(CONFIRM!$H$5:$H$53,G844),IFERROR(INDEX(MAP!$B$7:$B$156,MATCH(TRIM(O844),MAP!$A$7:$A$156,0)),"UNMAPPED")),IFERROR(INDEX(MAP!$B$7:$B$156,MATCH(TRIM(O844),MAP!$A$7:$A$156,0)),"UNMAPPED"))</f>
        <v>Pharmacist</v>
      </c>
      <c r="Q844" s="48" t="n">
        <f aca="false">STACK!I844</f>
        <v>18.25</v>
      </c>
      <c r="R844" s="60" t="n">
        <f aca="false">IF(G844&gt;0,IF(INDEX(CONFIRM!$F$5:$F$53,G844)&lt;&gt;"",INDEX(CONFIRM!$F$5:$F$53,G844),IF(ISNUMBER(Q844),Q844,IF(Q844="","",IFERROR(VALUE(TRIM(SUBSTITUTE(SUBSTITUTE(LOWER(Q844),"hrs",""),"hr",""))),"")))),IF(ISNUMBER(Q844),Q844,IF(Q844="","",IFERROR(VALUE(TRIM(SUBSTITUTE(SUBSTITUTE(LOWER(Q844),"hrs",""),"hr",""))),""))))</f>
        <v>18.25</v>
      </c>
      <c r="S844" s="57" t="n">
        <f aca="false">IFERROR(INDEX(RATES!$E$6:$E$28,MATCH(P844,RATES!$A$6:$A$28,0)),0)</f>
        <v>84.81</v>
      </c>
      <c r="T844" s="61" t="n">
        <f aca="false">IF(ISNUMBER(R844),R844,0)*S844</f>
        <v>1547.7825</v>
      </c>
      <c r="U844" s="61" t="n">
        <f aca="false">T844*INDEX(INPUTS!$H$10:$H$14,MATCH(B844,INPUTS!$A$10:$A$14,0))</f>
        <v>244.549635</v>
      </c>
      <c r="V844" s="61" t="n">
        <f aca="false">N(STACK!K844)</f>
        <v>23455</v>
      </c>
      <c r="W844" s="61" t="n">
        <f aca="false">T844+U844+V844</f>
        <v>25247.332135</v>
      </c>
      <c r="X844" s="61" t="n">
        <f aca="false">N(STACK!L844)</f>
        <v>0</v>
      </c>
      <c r="Y844" s="61" t="n">
        <f aca="false">W844-X844</f>
        <v>25247.332135</v>
      </c>
      <c r="Z844" s="1" t="n">
        <f aca="false">N(STACK!J844)</f>
        <v>137</v>
      </c>
      <c r="AA844" s="1" t="str">
        <f aca="false">TRIM(IF(D844="UNMAPPED","Program not mapped. ","")&amp;IF(OR(K844="UNMAPPED",K844="UNASSIGNED"),"Category needs review. ","")&amp;IF(P844="UNMAPPED","Title not mapped. ","")&amp;IF(AND(P844&lt;&gt;"No staff time",R844=""),"Missing hours. ","")&amp;IF(M844="","Date not readable. ","")&amp;IF(N844="No","Outside fiscal year. ","")&amp;IF(AND(F844="Event",ISNUMBER(R844)),IF(R844&gt;12,"Event hours look high. ",""),"")&amp;IF(G844&gt;0,"See CONFIRM sheet.",""))</f>
        <v/>
      </c>
      <c r="AB844" s="1" t="n">
        <f aca="false">IF(N844="No",0,IF(REVIEW!O844=0,0,IF(G844&gt;0,IF(INDEX(CONFIRM!$J$5:$J$53,G844)&lt;&gt;"",INDEX(CONFIRM!$J$5:$J$53,G844),1),1)))</f>
        <v>1</v>
      </c>
      <c r="AC844" s="1" t="n">
        <f aca="false">IF(AB844=1,IF(COUNTIFS($B$5:B844,B844,$D$5:D844,D844,$AB$5:AB844,1)=1,1,0),0)</f>
        <v>0</v>
      </c>
    </row>
    <row r="845" customFormat="false" ht="15" hidden="false" customHeight="false" outlineLevel="0" collapsed="false">
      <c r="A845" s="48" t="str">
        <f aca="false">STACK!A845</f>
        <v>CBH-0017</v>
      </c>
      <c r="B845" s="48" t="str">
        <f aca="false">STACK!B845</f>
        <v>CBH</v>
      </c>
      <c r="C845" s="48" t="str">
        <f aca="false">STACK!E845</f>
        <v>Community Benefit Admin</v>
      </c>
      <c r="D845" s="1" t="str">
        <f aca="false">IFERROR(INDEX(MAP!$J$7:$J$101,MATCH(TRIM(C845),MAP!$I$7:$I$101,0)),"UNMAPPED")</f>
        <v>Community Benefit Program Administration</v>
      </c>
      <c r="E845" s="1" t="str">
        <f aca="false">IFERROR(INDEX(MAP!$K$7:$K$101,MATCH(TRIM(C845),MAP!$I$7:$I$101,0)),"")</f>
        <v>Community benefit infrastructure</v>
      </c>
      <c r="F845" s="1" t="str">
        <f aca="false">IFERROR(INDEX(MAP!$L$7:$L$101,MATCH(TRIM(C845),MAP!$I$7:$I$101,0)),"")</f>
        <v>Monthly</v>
      </c>
      <c r="G845" s="1" t="n">
        <f aca="false">IFERROR(MATCH(A845,CONFIRM!$A$5:$A$53,0),0)</f>
        <v>0</v>
      </c>
      <c r="H845" s="48" t="str">
        <f aca="false">STACK!F845</f>
        <v>Ops</v>
      </c>
      <c r="I845" s="1" t="str">
        <f aca="false">IF(G845&gt;0,IF(INDEX(CONFIRM!$I$5:$I$53,G845)&lt;&gt;"",INDEX(CONFIRM!$I$5:$I$53,G845),H845),H845)</f>
        <v>Ops</v>
      </c>
      <c r="J845" s="1" t="str">
        <f aca="false">IFERROR(INDEX(MAP!$F$7:$F$74,MATCH(TRIM(I845),MAP!$E$7:$E$74,0)),"UNMAPPED")</f>
        <v>Community benefit operations</v>
      </c>
      <c r="K845" s="1" t="str">
        <f aca="false">IFERROR(INDEX(MAP!$G$7:$G$74,MATCH(TRIM(I845),MAP!$E$7:$E$74,0)),"UNMAPPED")</f>
        <v>7e</v>
      </c>
      <c r="L845" s="49" t="str">
        <f aca="false">STACK!G845</f>
        <v>2025-07-31</v>
      </c>
      <c r="M845" s="59" t="n">
        <f aca="false">IF(G845&gt;0,IF(INDEX(CONFIRM!$G$5:$G$53,G845)&lt;&gt;"",INDEX(CONFIRM!$G$5:$G$53,G845),IF(ISNUMBER(L845),L845,IFERROR(DATEVALUE(L845),""))),IF(ISNUMBER(L845),L845,IFERROR(DATEVALUE(L845),"")))</f>
        <v>45869</v>
      </c>
      <c r="N845" s="1" t="str">
        <f aca="false">IF(M845="","Check",IF(AND(M845&gt;=INPUTS!$C$6,M845&lt;=INPUTS!$C$7),"Yes","No"))</f>
        <v>Yes</v>
      </c>
      <c r="O845" s="48" t="str">
        <f aca="false">STACK!H845</f>
        <v>Admin Support</v>
      </c>
      <c r="P845" s="1" t="str">
        <f aca="false">IF(G845&gt;0,IF(INDEX(CONFIRM!$H$5:$H$53,G845)&lt;&gt;"",INDEX(CONFIRM!$H$5:$H$53,G845),IFERROR(INDEX(MAP!$B$7:$B$156,MATCH(TRIM(O845),MAP!$A$7:$A$156,0)),"UNMAPPED")),IFERROR(INDEX(MAP!$B$7:$B$156,MATCH(TRIM(O845),MAP!$A$7:$A$156,0)),"UNMAPPED"))</f>
        <v>Administrative Assistant</v>
      </c>
      <c r="Q845" s="48" t="n">
        <f aca="false">STACK!I845</f>
        <v>36.25</v>
      </c>
      <c r="R845" s="60" t="n">
        <f aca="false">IF(G845&gt;0,IF(INDEX(CONFIRM!$F$5:$F$53,G845)&lt;&gt;"",INDEX(CONFIRM!$F$5:$F$53,G845),IF(ISNUMBER(Q845),Q845,IF(Q845="","",IFERROR(VALUE(TRIM(SUBSTITUTE(SUBSTITUTE(LOWER(Q845),"hrs",""),"hr",""))),"")))),IF(ISNUMBER(Q845),Q845,IF(Q845="","",IFERROR(VALUE(TRIM(SUBSTITUTE(SUBSTITUTE(LOWER(Q845),"hrs",""),"hr",""))),""))))</f>
        <v>36.25</v>
      </c>
      <c r="S845" s="57" t="n">
        <f aca="false">IFERROR(INDEX(RATES!$E$6:$E$28,MATCH(P845,RATES!$A$6:$A$28,0)),0)</f>
        <v>26.985</v>
      </c>
      <c r="T845" s="61" t="n">
        <f aca="false">IF(ISNUMBER(R845),R845,0)*S845</f>
        <v>978.20625</v>
      </c>
      <c r="U845" s="61" t="n">
        <f aca="false">T845*INDEX(INPUTS!$H$10:$H$14,MATCH(B845,INPUTS!$A$10:$A$14,0))</f>
        <v>154.5565875</v>
      </c>
      <c r="V845" s="61" t="n">
        <f aca="false">N(STACK!K845)</f>
        <v>0</v>
      </c>
      <c r="W845" s="61" t="n">
        <f aca="false">T845+U845+V845</f>
        <v>1132.7628375</v>
      </c>
      <c r="X845" s="61" t="n">
        <f aca="false">N(STACK!L845)</f>
        <v>0</v>
      </c>
      <c r="Y845" s="61" t="n">
        <f aca="false">W845-X845</f>
        <v>1132.7628375</v>
      </c>
      <c r="Z845" s="1" t="n">
        <f aca="false">N(STACK!J845)</f>
        <v>0</v>
      </c>
      <c r="AA845" s="1" t="str">
        <f aca="false">TRIM(IF(D845="UNMAPPED","Program not mapped. ","")&amp;IF(OR(K845="UNMAPPED",K845="UNASSIGNED"),"Category needs review. ","")&amp;IF(P845="UNMAPPED","Title not mapped. ","")&amp;IF(AND(P845&lt;&gt;"No staff time",R845=""),"Missing hours. ","")&amp;IF(M845="","Date not readable. ","")&amp;IF(N845="No","Outside fiscal year. ","")&amp;IF(AND(F845="Event",ISNUMBER(R845)),IF(R845&gt;12,"Event hours look high. ",""),"")&amp;IF(G845&gt;0,"See CONFIRM sheet.",""))</f>
        <v/>
      </c>
      <c r="AB845" s="1" t="n">
        <f aca="false">IF(N845="No",0,IF(REVIEW!O845=0,0,IF(G845&gt;0,IF(INDEX(CONFIRM!$J$5:$J$53,G845)&lt;&gt;"",INDEX(CONFIRM!$J$5:$J$53,G845),1),1)))</f>
        <v>1</v>
      </c>
      <c r="AC845" s="1" t="n">
        <f aca="false">IF(AB845=1,IF(COUNTIFS($B$5:B845,B845,$D$5:D845,D845,$AB$5:AB845,1)=1,1,0),0)</f>
        <v>1</v>
      </c>
    </row>
    <row r="846" customFormat="false" ht="15" hidden="false" customHeight="false" outlineLevel="0" collapsed="false">
      <c r="A846" s="48" t="str">
        <f aca="false">STACK!A846</f>
        <v>CBH-0018</v>
      </c>
      <c r="B846" s="48" t="str">
        <f aca="false">STACK!B846</f>
        <v>CBH</v>
      </c>
      <c r="C846" s="48" t="str">
        <f aca="false">STACK!E846</f>
        <v>Community Benefit Admin</v>
      </c>
      <c r="D846" s="1" t="str">
        <f aca="false">IFERROR(INDEX(MAP!$J$7:$J$101,MATCH(TRIM(C846),MAP!$I$7:$I$101,0)),"UNMAPPED")</f>
        <v>Community Benefit Program Administration</v>
      </c>
      <c r="E846" s="1" t="str">
        <f aca="false">IFERROR(INDEX(MAP!$K$7:$K$101,MATCH(TRIM(C846),MAP!$I$7:$I$101,0)),"")</f>
        <v>Community benefit infrastructure</v>
      </c>
      <c r="F846" s="1" t="str">
        <f aca="false">IFERROR(INDEX(MAP!$L$7:$L$101,MATCH(TRIM(C846),MAP!$I$7:$I$101,0)),"")</f>
        <v>Monthly</v>
      </c>
      <c r="G846" s="1" t="n">
        <f aca="false">IFERROR(MATCH(A846,CONFIRM!$A$5:$A$53,0),0)</f>
        <v>0</v>
      </c>
      <c r="H846" s="48" t="str">
        <f aca="false">STACK!F846</f>
        <v>Ops</v>
      </c>
      <c r="I846" s="1" t="str">
        <f aca="false">IF(G846&gt;0,IF(INDEX(CONFIRM!$I$5:$I$53,G846)&lt;&gt;"",INDEX(CONFIRM!$I$5:$I$53,G846),H846),H846)</f>
        <v>Ops</v>
      </c>
      <c r="J846" s="1" t="str">
        <f aca="false">IFERROR(INDEX(MAP!$F$7:$F$74,MATCH(TRIM(I846),MAP!$E$7:$E$74,0)),"UNMAPPED")</f>
        <v>Community benefit operations</v>
      </c>
      <c r="K846" s="1" t="str">
        <f aca="false">IFERROR(INDEX(MAP!$G$7:$G$74,MATCH(TRIM(I846),MAP!$E$7:$E$74,0)),"UNMAPPED")</f>
        <v>7e</v>
      </c>
      <c r="L846" s="49" t="str">
        <f aca="false">STACK!G846</f>
        <v>2025-07-31</v>
      </c>
      <c r="M846" s="59" t="n">
        <f aca="false">IF(G846&gt;0,IF(INDEX(CONFIRM!$G$5:$G$53,G846)&lt;&gt;"",INDEX(CONFIRM!$G$5:$G$53,G846),IF(ISNUMBER(L846),L846,IFERROR(DATEVALUE(L846),""))),IF(ISNUMBER(L846),L846,IFERROR(DATEVALUE(L846),"")))</f>
        <v>45869</v>
      </c>
      <c r="N846" s="1" t="str">
        <f aca="false">IF(M846="","Check",IF(AND(M846&gt;=INPUTS!$C$6,M846&lt;=INPUTS!$C$7),"Yes","No"))</f>
        <v>Yes</v>
      </c>
      <c r="O846" s="48" t="str">
        <f aca="false">STACK!H846</f>
        <v>Mgr, Community Benefit</v>
      </c>
      <c r="P846" s="1" t="str">
        <f aca="false">IF(G846&gt;0,IF(INDEX(CONFIRM!$H$5:$H$53,G846)&lt;&gt;"",INDEX(CONFIRM!$H$5:$H$53,G846),IFERROR(INDEX(MAP!$B$7:$B$156,MATCH(TRIM(O846),MAP!$A$7:$A$156,0)),"UNMAPPED")),IFERROR(INDEX(MAP!$B$7:$B$156,MATCH(TRIM(O846),MAP!$A$7:$A$156,0)),"UNMAPPED"))</f>
        <v>Community Benefit Manager</v>
      </c>
      <c r="Q846" s="48" t="n">
        <f aca="false">STACK!I846</f>
        <v>49.75</v>
      </c>
      <c r="R846" s="60" t="n">
        <f aca="false">IF(G846&gt;0,IF(INDEX(CONFIRM!$F$5:$F$53,G846)&lt;&gt;"",INDEX(CONFIRM!$F$5:$F$53,G846),IF(ISNUMBER(Q846),Q846,IF(Q846="","",IFERROR(VALUE(TRIM(SUBSTITUTE(SUBSTITUTE(LOWER(Q846),"hrs",""),"hr",""))),"")))),IF(ISNUMBER(Q846),Q846,IF(Q846="","",IFERROR(VALUE(TRIM(SUBSTITUTE(SUBSTITUTE(LOWER(Q846),"hrs",""),"hr",""))),""))))</f>
        <v>49.75</v>
      </c>
      <c r="S846" s="57" t="n">
        <f aca="false">IFERROR(INDEX(RATES!$E$6:$E$28,MATCH(P846,RATES!$A$6:$A$28,0)),0)</f>
        <v>59.11</v>
      </c>
      <c r="T846" s="61" t="n">
        <f aca="false">IF(ISNUMBER(R846),R846,0)*S846</f>
        <v>2940.7225</v>
      </c>
      <c r="U846" s="61" t="n">
        <f aca="false">T846*INDEX(INPUTS!$H$10:$H$14,MATCH(B846,INPUTS!$A$10:$A$14,0))</f>
        <v>464.634155</v>
      </c>
      <c r="V846" s="61" t="n">
        <f aca="false">N(STACK!K846)</f>
        <v>680</v>
      </c>
      <c r="W846" s="61" t="n">
        <f aca="false">T846+U846+V846</f>
        <v>4085.356655</v>
      </c>
      <c r="X846" s="61" t="n">
        <f aca="false">N(STACK!L846)</f>
        <v>0</v>
      </c>
      <c r="Y846" s="61" t="n">
        <f aca="false">W846-X846</f>
        <v>4085.356655</v>
      </c>
      <c r="Z846" s="1" t="n">
        <f aca="false">N(STACK!J846)</f>
        <v>0</v>
      </c>
      <c r="AA846" s="1" t="str">
        <f aca="false">TRIM(IF(D846="UNMAPPED","Program not mapped. ","")&amp;IF(OR(K846="UNMAPPED",K846="UNASSIGNED"),"Category needs review. ","")&amp;IF(P846="UNMAPPED","Title not mapped. ","")&amp;IF(AND(P846&lt;&gt;"No staff time",R846=""),"Missing hours. ","")&amp;IF(M846="","Date not readable. ","")&amp;IF(N846="No","Outside fiscal year. ","")&amp;IF(AND(F846="Event",ISNUMBER(R846)),IF(R846&gt;12,"Event hours look high. ",""),"")&amp;IF(G846&gt;0,"See CONFIRM sheet.",""))</f>
        <v/>
      </c>
      <c r="AB846" s="1" t="n">
        <f aca="false">IF(N846="No",0,IF(REVIEW!O846=0,0,IF(G846&gt;0,IF(INDEX(CONFIRM!$J$5:$J$53,G846)&lt;&gt;"",INDEX(CONFIRM!$J$5:$J$53,G846),1),1)))</f>
        <v>1</v>
      </c>
      <c r="AC846" s="1" t="n">
        <f aca="false">IF(AB846=1,IF(COUNTIFS($B$5:B846,B846,$D$5:D846,D846,$AB$5:AB846,1)=1,1,0),0)</f>
        <v>0</v>
      </c>
    </row>
    <row r="847" customFormat="false" ht="15" hidden="false" customHeight="false" outlineLevel="0" collapsed="false">
      <c r="A847" s="48" t="str">
        <f aca="false">STACK!A847</f>
        <v>CBH-0019</v>
      </c>
      <c r="B847" s="48" t="str">
        <f aca="false">STACK!B847</f>
        <v>CBH</v>
      </c>
      <c r="C847" s="48" t="str">
        <f aca="false">STACK!E847</f>
        <v>Interpreter Services</v>
      </c>
      <c r="D847" s="1" t="str">
        <f aca="false">IFERROR(INDEX(MAP!$J$7:$J$101,MATCH(TRIM(C847),MAP!$I$7:$I$101,0)),"UNMAPPED")</f>
        <v>Interpreter Services for Community Clinics</v>
      </c>
      <c r="E847" s="1" t="str">
        <f aca="false">IFERROR(INDEX(MAP!$K$7:$K$101,MATCH(TRIM(C847),MAP!$I$7:$I$101,0)),"")</f>
        <v>Access to care</v>
      </c>
      <c r="F847" s="1" t="str">
        <f aca="false">IFERROR(INDEX(MAP!$L$7:$L$101,MATCH(TRIM(C847),MAP!$I$7:$I$101,0)),"")</f>
        <v>Monthly</v>
      </c>
      <c r="G847" s="1" t="n">
        <f aca="false">IFERROR(MATCH(A847,CONFIRM!$A$5:$A$53,0),0)</f>
        <v>0</v>
      </c>
      <c r="H847" s="48" t="str">
        <f aca="false">STACK!F847</f>
        <v>Patient Support</v>
      </c>
      <c r="I847" s="1" t="str">
        <f aca="false">IF(G847&gt;0,IF(INDEX(CONFIRM!$I$5:$I$53,G847)&lt;&gt;"",INDEX(CONFIRM!$I$5:$I$53,G847),H847),H847)</f>
        <v>Patient Support</v>
      </c>
      <c r="J847" s="1" t="str">
        <f aca="false">IFERROR(INDEX(MAP!$F$7:$F$74,MATCH(TRIM(I847),MAP!$E$7:$E$74,0)),"UNMAPPED")</f>
        <v>Health care support services</v>
      </c>
      <c r="K847" s="1" t="str">
        <f aca="false">IFERROR(INDEX(MAP!$G$7:$G$74,MATCH(TRIM(I847),MAP!$E$7:$E$74,0)),"UNMAPPED")</f>
        <v>7e</v>
      </c>
      <c r="L847" s="49" t="str">
        <f aca="false">STACK!G847</f>
        <v>2025-07-31</v>
      </c>
      <c r="M847" s="59" t="n">
        <f aca="false">IF(G847&gt;0,IF(INDEX(CONFIRM!$G$5:$G$53,G847)&lt;&gt;"",INDEX(CONFIRM!$G$5:$G$53,G847),IF(ISNUMBER(L847),L847,IFERROR(DATEVALUE(L847),""))),IF(ISNUMBER(L847),L847,IFERROR(DATEVALUE(L847),"")))</f>
        <v>45869</v>
      </c>
      <c r="N847" s="1" t="str">
        <f aca="false">IF(M847="","Check",IF(AND(M847&gt;=INPUTS!$C$6,M847&lt;=INPUTS!$C$7),"Yes","No"))</f>
        <v>Yes</v>
      </c>
      <c r="O847" s="48" t="str">
        <f aca="false">STACK!H847</f>
        <v>Interp.</v>
      </c>
      <c r="P847" s="1" t="str">
        <f aca="false">IF(G847&gt;0,IF(INDEX(CONFIRM!$H$5:$H$53,G847)&lt;&gt;"",INDEX(CONFIRM!$H$5:$H$53,G847),IFERROR(INDEX(MAP!$B$7:$B$156,MATCH(TRIM(O847),MAP!$A$7:$A$156,0)),"UNMAPPED")),IFERROR(INDEX(MAP!$B$7:$B$156,MATCH(TRIM(O847),MAP!$A$7:$A$156,0)),"UNMAPPED"))</f>
        <v>Interpreter</v>
      </c>
      <c r="Q847" s="48" t="n">
        <f aca="false">STACK!I847</f>
        <v>40.25</v>
      </c>
      <c r="R847" s="60" t="n">
        <f aca="false">IF(G847&gt;0,IF(INDEX(CONFIRM!$F$5:$F$53,G847)&lt;&gt;"",INDEX(CONFIRM!$F$5:$F$53,G847),IF(ISNUMBER(Q847),Q847,IF(Q847="","",IFERROR(VALUE(TRIM(SUBSTITUTE(SUBSTITUTE(LOWER(Q847),"hrs",""),"hr",""))),"")))),IF(ISNUMBER(Q847),Q847,IF(Q847="","",IFERROR(VALUE(TRIM(SUBSTITUTE(SUBSTITUTE(LOWER(Q847),"hrs",""),"hr",""))),""))))</f>
        <v>40.25</v>
      </c>
      <c r="S847" s="57" t="n">
        <f aca="false">IFERROR(INDEX(RATES!$E$6:$E$28,MATCH(P847,RATES!$A$6:$A$28,0)),0)</f>
        <v>32.7675</v>
      </c>
      <c r="T847" s="61" t="n">
        <f aca="false">IF(ISNUMBER(R847),R847,0)*S847</f>
        <v>1318.891875</v>
      </c>
      <c r="U847" s="61" t="n">
        <f aca="false">T847*INDEX(INPUTS!$H$10:$H$14,MATCH(B847,INPUTS!$A$10:$A$14,0))</f>
        <v>208.38491625</v>
      </c>
      <c r="V847" s="61" t="n">
        <f aca="false">N(STACK!K847)</f>
        <v>0</v>
      </c>
      <c r="W847" s="61" t="n">
        <f aca="false">T847+U847+V847</f>
        <v>1527.27679125</v>
      </c>
      <c r="X847" s="61" t="n">
        <f aca="false">N(STACK!L847)</f>
        <v>0</v>
      </c>
      <c r="Y847" s="61" t="n">
        <f aca="false">W847-X847</f>
        <v>1527.27679125</v>
      </c>
      <c r="Z847" s="1" t="n">
        <f aca="false">N(STACK!J847)</f>
        <v>151</v>
      </c>
      <c r="AA847" s="1" t="str">
        <f aca="false">TRIM(IF(D847="UNMAPPED","Program not mapped. ","")&amp;IF(OR(K847="UNMAPPED",K847="UNASSIGNED"),"Category needs review. ","")&amp;IF(P847="UNMAPPED","Title not mapped. ","")&amp;IF(AND(P847&lt;&gt;"No staff time",R847=""),"Missing hours. ","")&amp;IF(M847="","Date not readable. ","")&amp;IF(N847="No","Outside fiscal year. ","")&amp;IF(AND(F847="Event",ISNUMBER(R847)),IF(R847&gt;12,"Event hours look high. ",""),"")&amp;IF(G847&gt;0,"See CONFIRM sheet.",""))</f>
        <v/>
      </c>
      <c r="AB847" s="1" t="n">
        <f aca="false">IF(N847="No",0,IF(REVIEW!O847=0,0,IF(G847&gt;0,IF(INDEX(CONFIRM!$J$5:$J$53,G847)&lt;&gt;"",INDEX(CONFIRM!$J$5:$J$53,G847),1),1)))</f>
        <v>1</v>
      </c>
      <c r="AC847" s="1" t="n">
        <f aca="false">IF(AB847=1,IF(COUNTIFS($B$5:B847,B847,$D$5:D847,D847,$AB$5:AB847,1)=1,1,0),0)</f>
        <v>1</v>
      </c>
    </row>
    <row r="848" customFormat="false" ht="15" hidden="false" customHeight="false" outlineLevel="0" collapsed="false">
      <c r="A848" s="48" t="str">
        <f aca="false">STACK!A848</f>
        <v>CBH-0020</v>
      </c>
      <c r="B848" s="48" t="str">
        <f aca="false">STACK!B848</f>
        <v>CBH</v>
      </c>
      <c r="C848" s="48" t="str">
        <f aca="false">STACK!E848</f>
        <v>Nursing Student Rotations</v>
      </c>
      <c r="D848" s="1" t="str">
        <f aca="false">IFERROR(INDEX(MAP!$J$7:$J$101,MATCH(TRIM(C848),MAP!$I$7:$I$101,0)),"UNMAPPED")</f>
        <v>Nursing Student Clinical Rotations</v>
      </c>
      <c r="E848" s="1" t="str">
        <f aca="false">IFERROR(INDEX(MAP!$K$7:$K$101,MATCH(TRIM(C848),MAP!$I$7:$I$101,0)),"")</f>
        <v>Health workforce</v>
      </c>
      <c r="F848" s="1" t="str">
        <f aca="false">IFERROR(INDEX(MAP!$L$7:$L$101,MATCH(TRIM(C848),MAP!$I$7:$I$101,0)),"")</f>
        <v>Monthly</v>
      </c>
      <c r="G848" s="1" t="n">
        <f aca="false">IFERROR(MATCH(A848,CONFIRM!$A$5:$A$53,0),0)</f>
        <v>0</v>
      </c>
      <c r="H848" s="48" t="str">
        <f aca="false">STACK!F848</f>
        <v>Education - Health Professions</v>
      </c>
      <c r="I848" s="1" t="str">
        <f aca="false">IF(G848&gt;0,IF(INDEX(CONFIRM!$I$5:$I$53,G848)&lt;&gt;"",INDEX(CONFIRM!$I$5:$I$53,G848),H848),H848)</f>
        <v>Education - Health Professions</v>
      </c>
      <c r="J848" s="1" t="str">
        <f aca="false">IFERROR(INDEX(MAP!$F$7:$F$74,MATCH(TRIM(I848),MAP!$E$7:$E$74,0)),"UNMAPPED")</f>
        <v>Health professions education</v>
      </c>
      <c r="K848" s="1" t="str">
        <f aca="false">IFERROR(INDEX(MAP!$G$7:$G$74,MATCH(TRIM(I848),MAP!$E$7:$E$74,0)),"UNMAPPED")</f>
        <v>7f</v>
      </c>
      <c r="L848" s="49" t="str">
        <f aca="false">STACK!G848</f>
        <v>2025-07-31</v>
      </c>
      <c r="M848" s="59" t="n">
        <f aca="false">IF(G848&gt;0,IF(INDEX(CONFIRM!$G$5:$G$53,G848)&lt;&gt;"",INDEX(CONFIRM!$G$5:$G$53,G848),IF(ISNUMBER(L848),L848,IFERROR(DATEVALUE(L848),""))),IF(ISNUMBER(L848),L848,IFERROR(DATEVALUE(L848),"")))</f>
        <v>45869</v>
      </c>
      <c r="N848" s="1" t="str">
        <f aca="false">IF(M848="","Check",IF(AND(M848&gt;=INPUTS!$C$6,M848&lt;=INPUTS!$C$7),"Yes","No"))</f>
        <v>Yes</v>
      </c>
      <c r="O848" s="48" t="str">
        <f aca="false">STACK!H848</f>
        <v>RN Educator</v>
      </c>
      <c r="P848" s="1" t="str">
        <f aca="false">IF(G848&gt;0,IF(INDEX(CONFIRM!$H$5:$H$53,G848)&lt;&gt;"",INDEX(CONFIRM!$H$5:$H$53,G848),IFERROR(INDEX(MAP!$B$7:$B$156,MATCH(TRIM(O848),MAP!$A$7:$A$156,0)),"UNMAPPED")),IFERROR(INDEX(MAP!$B$7:$B$156,MATCH(TRIM(O848),MAP!$A$7:$A$156,0)),"UNMAPPED"))</f>
        <v>Clinical Nurse Educator</v>
      </c>
      <c r="Q848" s="48" t="n">
        <f aca="false">STACK!I848</f>
        <v>49</v>
      </c>
      <c r="R848" s="60" t="n">
        <f aca="false">IF(G848&gt;0,IF(INDEX(CONFIRM!$F$5:$F$53,G848)&lt;&gt;"",INDEX(CONFIRM!$F$5:$F$53,G848),IF(ISNUMBER(Q848),Q848,IF(Q848="","",IFERROR(VALUE(TRIM(SUBSTITUTE(SUBSTITUTE(LOWER(Q848),"hrs",""),"hr",""))),"")))),IF(ISNUMBER(Q848),Q848,IF(Q848="","",IFERROR(VALUE(TRIM(SUBSTITUTE(SUBSTITUTE(LOWER(Q848),"hrs",""),"hr",""))),""))))</f>
        <v>49</v>
      </c>
      <c r="S848" s="57" t="n">
        <f aca="false">IFERROR(INDEX(RATES!$E$6:$E$28,MATCH(P848,RATES!$A$6:$A$28,0)),0)</f>
        <v>62.965</v>
      </c>
      <c r="T848" s="61" t="n">
        <f aca="false">IF(ISNUMBER(R848),R848,0)*S848</f>
        <v>3085.285</v>
      </c>
      <c r="U848" s="61" t="n">
        <f aca="false">T848*INDEX(INPUTS!$H$10:$H$14,MATCH(B848,INPUTS!$A$10:$A$14,0))</f>
        <v>487.47503</v>
      </c>
      <c r="V848" s="61" t="n">
        <f aca="false">N(STACK!K848)</f>
        <v>405</v>
      </c>
      <c r="W848" s="61" t="n">
        <f aca="false">T848+U848+V848</f>
        <v>3977.76003</v>
      </c>
      <c r="X848" s="61" t="n">
        <f aca="false">N(STACK!L848)</f>
        <v>0</v>
      </c>
      <c r="Y848" s="61" t="n">
        <f aca="false">W848-X848</f>
        <v>3977.76003</v>
      </c>
      <c r="Z848" s="1" t="n">
        <f aca="false">N(STACK!J848)</f>
        <v>8</v>
      </c>
      <c r="AA848" s="1" t="str">
        <f aca="false">TRIM(IF(D848="UNMAPPED","Program not mapped. ","")&amp;IF(OR(K848="UNMAPPED",K848="UNASSIGNED"),"Category needs review. ","")&amp;IF(P848="UNMAPPED","Title not mapped. ","")&amp;IF(AND(P848&lt;&gt;"No staff time",R848=""),"Missing hours. ","")&amp;IF(M848="","Date not readable. ","")&amp;IF(N848="No","Outside fiscal year. ","")&amp;IF(AND(F848="Event",ISNUMBER(R848)),IF(R848&gt;12,"Event hours look high. ",""),"")&amp;IF(G848&gt;0,"See CONFIRM sheet.",""))</f>
        <v/>
      </c>
      <c r="AB848" s="1" t="n">
        <f aca="false">IF(N848="No",0,IF(REVIEW!O848=0,0,IF(G848&gt;0,IF(INDEX(CONFIRM!$J$5:$J$53,G848)&lt;&gt;"",INDEX(CONFIRM!$J$5:$J$53,G848),1),1)))</f>
        <v>1</v>
      </c>
      <c r="AC848" s="1" t="n">
        <f aca="false">IF(AB848=1,IF(COUNTIFS($B$5:B848,B848,$D$5:D848,D848,$AB$5:AB848,1)=1,1,0),0)</f>
        <v>1</v>
      </c>
    </row>
    <row r="849" customFormat="false" ht="15" hidden="false" customHeight="false" outlineLevel="0" collapsed="false">
      <c r="A849" s="48" t="str">
        <f aca="false">STACK!A849</f>
        <v>CBH-0021</v>
      </c>
      <c r="B849" s="48" t="str">
        <f aca="false">STACK!B849</f>
        <v>CBH</v>
      </c>
      <c r="C849" s="48" t="str">
        <f aca="false">STACK!E849</f>
        <v>Nursing Student Rotations</v>
      </c>
      <c r="D849" s="1" t="str">
        <f aca="false">IFERROR(INDEX(MAP!$J$7:$J$101,MATCH(TRIM(C849),MAP!$I$7:$I$101,0)),"UNMAPPED")</f>
        <v>Nursing Student Clinical Rotations</v>
      </c>
      <c r="E849" s="1" t="str">
        <f aca="false">IFERROR(INDEX(MAP!$K$7:$K$101,MATCH(TRIM(C849),MAP!$I$7:$I$101,0)),"")</f>
        <v>Health workforce</v>
      </c>
      <c r="F849" s="1" t="str">
        <f aca="false">IFERROR(INDEX(MAP!$L$7:$L$101,MATCH(TRIM(C849),MAP!$I$7:$I$101,0)),"")</f>
        <v>Monthly</v>
      </c>
      <c r="G849" s="1" t="n">
        <f aca="false">IFERROR(MATCH(A849,CONFIRM!$A$5:$A$53,0),0)</f>
        <v>0</v>
      </c>
      <c r="H849" s="48" t="str">
        <f aca="false">STACK!F849</f>
        <v>Education - Health Professions</v>
      </c>
      <c r="I849" s="1" t="str">
        <f aca="false">IF(G849&gt;0,IF(INDEX(CONFIRM!$I$5:$I$53,G849)&lt;&gt;"",INDEX(CONFIRM!$I$5:$I$53,G849),H849),H849)</f>
        <v>Education - Health Professions</v>
      </c>
      <c r="J849" s="1" t="str">
        <f aca="false">IFERROR(INDEX(MAP!$F$7:$F$74,MATCH(TRIM(I849),MAP!$E$7:$E$74,0)),"UNMAPPED")</f>
        <v>Health professions education</v>
      </c>
      <c r="K849" s="1" t="str">
        <f aca="false">IFERROR(INDEX(MAP!$G$7:$G$74,MATCH(TRIM(I849),MAP!$E$7:$E$74,0)),"UNMAPPED")</f>
        <v>7f</v>
      </c>
      <c r="L849" s="49" t="str">
        <f aca="false">STACK!G849</f>
        <v>2025-07-31</v>
      </c>
      <c r="M849" s="59" t="n">
        <f aca="false">IF(G849&gt;0,IF(INDEX(CONFIRM!$G$5:$G$53,G849)&lt;&gt;"",INDEX(CONFIRM!$G$5:$G$53,G849),IF(ISNUMBER(L849),L849,IFERROR(DATEVALUE(L849),""))),IF(ISNUMBER(L849),L849,IFERROR(DATEVALUE(L849),"")))</f>
        <v>45869</v>
      </c>
      <c r="N849" s="1" t="str">
        <f aca="false">IF(M849="","Check",IF(AND(M849&gt;=INPUTS!$C$6,M849&lt;=INPUTS!$C$7),"Yes","No"))</f>
        <v>Yes</v>
      </c>
      <c r="O849" s="48" t="str">
        <f aca="false">STACK!H849</f>
        <v> R.N.</v>
      </c>
      <c r="P849" s="1" t="str">
        <f aca="false">IF(G849&gt;0,IF(INDEX(CONFIRM!$H$5:$H$53,G849)&lt;&gt;"",INDEX(CONFIRM!$H$5:$H$53,G849),IFERROR(INDEX(MAP!$B$7:$B$156,MATCH(TRIM(O849),MAP!$A$7:$A$156,0)),"UNMAPPED")),IFERROR(INDEX(MAP!$B$7:$B$156,MATCH(TRIM(O849),MAP!$A$7:$A$156,0)),"UNMAPPED"))</f>
        <v>Registered Nurse</v>
      </c>
      <c r="Q849" s="48" t="n">
        <f aca="false">STACK!I849</f>
        <v>64.75</v>
      </c>
      <c r="R849" s="60" t="n">
        <f aca="false">IF(G849&gt;0,IF(INDEX(CONFIRM!$F$5:$F$53,G849)&lt;&gt;"",INDEX(CONFIRM!$F$5:$F$53,G849),IF(ISNUMBER(Q849),Q849,IF(Q849="","",IFERROR(VALUE(TRIM(SUBSTITUTE(SUBSTITUTE(LOWER(Q849),"hrs",""),"hr",""))),"")))),IF(ISNUMBER(Q849),Q849,IF(Q849="","",IFERROR(VALUE(TRIM(SUBSTITUTE(SUBSTITUTE(LOWER(Q849),"hrs",""),"hr",""))),""))))</f>
        <v>64.75</v>
      </c>
      <c r="S849" s="57" t="n">
        <f aca="false">IFERROR(INDEX(RATES!$E$6:$E$28,MATCH(P849,RATES!$A$6:$A$28,0)),0)</f>
        <v>55.8975</v>
      </c>
      <c r="T849" s="61" t="n">
        <f aca="false">IF(ISNUMBER(R849),R849,0)*S849</f>
        <v>3619.363125</v>
      </c>
      <c r="U849" s="61" t="n">
        <f aca="false">T849*INDEX(INPUTS!$H$10:$H$14,MATCH(B849,INPUTS!$A$10:$A$14,0))</f>
        <v>571.85937375</v>
      </c>
      <c r="V849" s="61" t="n">
        <f aca="false">N(STACK!K849)</f>
        <v>0</v>
      </c>
      <c r="W849" s="61" t="n">
        <f aca="false">T849+U849+V849</f>
        <v>4191.22249875</v>
      </c>
      <c r="X849" s="61" t="n">
        <f aca="false">N(STACK!L849)</f>
        <v>0</v>
      </c>
      <c r="Y849" s="61" t="n">
        <f aca="false">W849-X849</f>
        <v>4191.22249875</v>
      </c>
      <c r="Z849" s="1" t="n">
        <f aca="false">N(STACK!J849)</f>
        <v>0</v>
      </c>
      <c r="AA849" s="1" t="str">
        <f aca="false">TRIM(IF(D849="UNMAPPED","Program not mapped. ","")&amp;IF(OR(K849="UNMAPPED",K849="UNASSIGNED"),"Category needs review. ","")&amp;IF(P849="UNMAPPED","Title not mapped. ","")&amp;IF(AND(P849&lt;&gt;"No staff time",R849=""),"Missing hours. ","")&amp;IF(M849="","Date not readable. ","")&amp;IF(N849="No","Outside fiscal year. ","")&amp;IF(AND(F849="Event",ISNUMBER(R849)),IF(R849&gt;12,"Event hours look high. ",""),"")&amp;IF(G849&gt;0,"See CONFIRM sheet.",""))</f>
        <v/>
      </c>
      <c r="AB849" s="1" t="n">
        <f aca="false">IF(N849="No",0,IF(REVIEW!O849=0,0,IF(G849&gt;0,IF(INDEX(CONFIRM!$J$5:$J$53,G849)&lt;&gt;"",INDEX(CONFIRM!$J$5:$J$53,G849),1),1)))</f>
        <v>1</v>
      </c>
      <c r="AC849" s="1" t="n">
        <f aca="false">IF(AB849=1,IF(COUNTIFS($B$5:B849,B849,$D$5:D849,D849,$AB$5:AB849,1)=1,1,0),0)</f>
        <v>0</v>
      </c>
    </row>
    <row r="850" customFormat="false" ht="15" hidden="false" customHeight="false" outlineLevel="0" collapsed="false">
      <c r="A850" s="48" t="str">
        <f aca="false">STACK!A850</f>
        <v>CBH-0022</v>
      </c>
      <c r="B850" s="48" t="str">
        <f aca="false">STACK!B850</f>
        <v>CBH</v>
      </c>
      <c r="C850" s="48" t="str">
        <f aca="false">STACK!E850</f>
        <v>Pharmacy Students</v>
      </c>
      <c r="D850" s="1" t="str">
        <f aca="false">IFERROR(INDEX(MAP!$J$7:$J$101,MATCH(TRIM(C850),MAP!$I$7:$I$101,0)),"UNMAPPED")</f>
        <v>Pharmacy Student Rotations</v>
      </c>
      <c r="E850" s="1" t="str">
        <f aca="false">IFERROR(INDEX(MAP!$K$7:$K$101,MATCH(TRIM(C850),MAP!$I$7:$I$101,0)),"")</f>
        <v>Health workforce</v>
      </c>
      <c r="F850" s="1" t="str">
        <f aca="false">IFERROR(INDEX(MAP!$L$7:$L$101,MATCH(TRIM(C850),MAP!$I$7:$I$101,0)),"")</f>
        <v>Monthly</v>
      </c>
      <c r="G850" s="1" t="n">
        <f aca="false">IFERROR(MATCH(A850,CONFIRM!$A$5:$A$53,0),0)</f>
        <v>0</v>
      </c>
      <c r="H850" s="48" t="str">
        <f aca="false">STACK!F850</f>
        <v>Education - Health Professions</v>
      </c>
      <c r="I850" s="1" t="str">
        <f aca="false">IF(G850&gt;0,IF(INDEX(CONFIRM!$I$5:$I$53,G850)&lt;&gt;"",INDEX(CONFIRM!$I$5:$I$53,G850),H850),H850)</f>
        <v>Education - Health Professions</v>
      </c>
      <c r="J850" s="1" t="str">
        <f aca="false">IFERROR(INDEX(MAP!$F$7:$F$74,MATCH(TRIM(I850),MAP!$E$7:$E$74,0)),"UNMAPPED")</f>
        <v>Health professions education</v>
      </c>
      <c r="K850" s="1" t="str">
        <f aca="false">IFERROR(INDEX(MAP!$G$7:$G$74,MATCH(TRIM(I850),MAP!$E$7:$E$74,0)),"UNMAPPED")</f>
        <v>7f</v>
      </c>
      <c r="L850" s="49" t="str">
        <f aca="false">STACK!G850</f>
        <v>2025-07-31</v>
      </c>
      <c r="M850" s="59" t="n">
        <f aca="false">IF(G850&gt;0,IF(INDEX(CONFIRM!$G$5:$G$53,G850)&lt;&gt;"",INDEX(CONFIRM!$G$5:$G$53,G850),IF(ISNUMBER(L850),L850,IFERROR(DATEVALUE(L850),""))),IF(ISNUMBER(L850),L850,IFERROR(DATEVALUE(L850),"")))</f>
        <v>45869</v>
      </c>
      <c r="N850" s="1" t="str">
        <f aca="false">IF(M850="","Check",IF(AND(M850&gt;=INPUTS!$C$6,M850&lt;=INPUTS!$C$7),"Yes","No"))</f>
        <v>Yes</v>
      </c>
      <c r="O850" s="48" t="str">
        <f aca="false">STACK!H850</f>
        <v>RPh</v>
      </c>
      <c r="P850" s="1" t="str">
        <f aca="false">IF(G850&gt;0,IF(INDEX(CONFIRM!$H$5:$H$53,G850)&lt;&gt;"",INDEX(CONFIRM!$H$5:$H$53,G850),IFERROR(INDEX(MAP!$B$7:$B$156,MATCH(TRIM(O850),MAP!$A$7:$A$156,0)),"UNMAPPED")),IFERROR(INDEX(MAP!$B$7:$B$156,MATCH(TRIM(O850),MAP!$A$7:$A$156,0)),"UNMAPPED"))</f>
        <v>Pharmacist</v>
      </c>
      <c r="Q850" s="48" t="n">
        <f aca="false">STACK!I850</f>
        <v>57.75</v>
      </c>
      <c r="R850" s="60" t="n">
        <f aca="false">IF(G850&gt;0,IF(INDEX(CONFIRM!$F$5:$F$53,G850)&lt;&gt;"",INDEX(CONFIRM!$F$5:$F$53,G850),IF(ISNUMBER(Q850),Q850,IF(Q850="","",IFERROR(VALUE(TRIM(SUBSTITUTE(SUBSTITUTE(LOWER(Q850),"hrs",""),"hr",""))),"")))),IF(ISNUMBER(Q850),Q850,IF(Q850="","",IFERROR(VALUE(TRIM(SUBSTITUTE(SUBSTITUTE(LOWER(Q850),"hrs",""),"hr",""))),""))))</f>
        <v>57.75</v>
      </c>
      <c r="S850" s="57" t="n">
        <f aca="false">IFERROR(INDEX(RATES!$E$6:$E$28,MATCH(P850,RATES!$A$6:$A$28,0)),0)</f>
        <v>84.81</v>
      </c>
      <c r="T850" s="61" t="n">
        <f aca="false">IF(ISNUMBER(R850),R850,0)*S850</f>
        <v>4897.7775</v>
      </c>
      <c r="U850" s="61" t="n">
        <f aca="false">T850*INDEX(INPUTS!$H$10:$H$14,MATCH(B850,INPUTS!$A$10:$A$14,0))</f>
        <v>773.848845</v>
      </c>
      <c r="V850" s="61" t="n">
        <f aca="false">N(STACK!K850)</f>
        <v>45</v>
      </c>
      <c r="W850" s="61" t="n">
        <f aca="false">T850+U850+V850</f>
        <v>5716.626345</v>
      </c>
      <c r="X850" s="61" t="n">
        <f aca="false">N(STACK!L850)</f>
        <v>0</v>
      </c>
      <c r="Y850" s="61" t="n">
        <f aca="false">W850-X850</f>
        <v>5716.626345</v>
      </c>
      <c r="Z850" s="1" t="n">
        <f aca="false">N(STACK!J850)</f>
        <v>3</v>
      </c>
      <c r="AA850" s="1" t="str">
        <f aca="false">TRIM(IF(D850="UNMAPPED","Program not mapped. ","")&amp;IF(OR(K850="UNMAPPED",K850="UNASSIGNED"),"Category needs review. ","")&amp;IF(P850="UNMAPPED","Title not mapped. ","")&amp;IF(AND(P850&lt;&gt;"No staff time",R850=""),"Missing hours. ","")&amp;IF(M850="","Date not readable. ","")&amp;IF(N850="No","Outside fiscal year. ","")&amp;IF(AND(F850="Event",ISNUMBER(R850)),IF(R850&gt;12,"Event hours look high. ",""),"")&amp;IF(G850&gt;0,"See CONFIRM sheet.",""))</f>
        <v/>
      </c>
      <c r="AB850" s="1" t="n">
        <f aca="false">IF(N850="No",0,IF(REVIEW!O850=0,0,IF(G850&gt;0,IF(INDEX(CONFIRM!$J$5:$J$53,G850)&lt;&gt;"",INDEX(CONFIRM!$J$5:$J$53,G850),1),1)))</f>
        <v>1</v>
      </c>
      <c r="AC850" s="1" t="n">
        <f aca="false">IF(AB850=1,IF(COUNTIFS($B$5:B850,B850,$D$5:D850,D850,$AB$5:AB850,1)=1,1,0),0)</f>
        <v>1</v>
      </c>
    </row>
    <row r="851" customFormat="false" ht="15" hidden="false" customHeight="false" outlineLevel="0" collapsed="false">
      <c r="A851" s="48" t="str">
        <f aca="false">STACK!A851</f>
        <v>CBH-0023</v>
      </c>
      <c r="B851" s="48" t="str">
        <f aca="false">STACK!B851</f>
        <v>CBH</v>
      </c>
      <c r="C851" s="48" t="str">
        <f aca="false">STACK!E851</f>
        <v>Blood Pressure Screening</v>
      </c>
      <c r="D851" s="1" t="str">
        <f aca="false">IFERROR(INDEX(MAP!$J$7:$J$101,MATCH(TRIM(C851),MAP!$I$7:$I$101,0)),"UNMAPPED")</f>
        <v>Community Blood Pressure Checks</v>
      </c>
      <c r="E851" s="1" t="str">
        <f aca="false">IFERROR(INDEX(MAP!$K$7:$K$101,MATCH(TRIM(C851),MAP!$I$7:$I$101,0)),"")</f>
        <v>Chronic disease prevention</v>
      </c>
      <c r="F851" s="1" t="str">
        <f aca="false">IFERROR(INDEX(MAP!$L$7:$L$101,MATCH(TRIM(C851),MAP!$I$7:$I$101,0)),"")</f>
        <v>Event</v>
      </c>
      <c r="G851" s="1" t="n">
        <f aca="false">IFERROR(MATCH(A851,CONFIRM!$A$5:$A$53,0),0)</f>
        <v>0</v>
      </c>
      <c r="H851" s="48" t="str">
        <f aca="false">STACK!F851</f>
        <v>Screenings</v>
      </c>
      <c r="I851" s="1" t="str">
        <f aca="false">IF(G851&gt;0,IF(INDEX(CONFIRM!$I$5:$I$53,G851)&lt;&gt;"",INDEX(CONFIRM!$I$5:$I$53,G851),H851),H851)</f>
        <v>Screenings</v>
      </c>
      <c r="J851" s="1" t="str">
        <f aca="false">IFERROR(INDEX(MAP!$F$7:$F$74,MATCH(TRIM(I851),MAP!$E$7:$E$74,0)),"UNMAPPED")</f>
        <v>Community-based clinical services</v>
      </c>
      <c r="K851" s="1" t="str">
        <f aca="false">IFERROR(INDEX(MAP!$G$7:$G$74,MATCH(TRIM(I851),MAP!$E$7:$E$74,0)),"UNMAPPED")</f>
        <v>7e</v>
      </c>
      <c r="L851" s="49" t="str">
        <f aca="false">STACK!G851</f>
        <v>2025-08-01</v>
      </c>
      <c r="M851" s="59" t="n">
        <f aca="false">IF(G851&gt;0,IF(INDEX(CONFIRM!$G$5:$G$53,G851)&lt;&gt;"",INDEX(CONFIRM!$G$5:$G$53,G851),IF(ISNUMBER(L851),L851,IFERROR(DATEVALUE(L851),""))),IF(ISNUMBER(L851),L851,IFERROR(DATEVALUE(L851),"")))</f>
        <v>45870</v>
      </c>
      <c r="N851" s="1" t="str">
        <f aca="false">IF(M851="","Check",IF(AND(M851&gt;=INPUTS!$C$6,M851&lt;=INPUTS!$C$7),"Yes","No"))</f>
        <v>Yes</v>
      </c>
      <c r="O851" s="48" t="str">
        <f aca="false">STACK!H851</f>
        <v>R.N.</v>
      </c>
      <c r="P851" s="1" t="str">
        <f aca="false">IF(G851&gt;0,IF(INDEX(CONFIRM!$H$5:$H$53,G851)&lt;&gt;"",INDEX(CONFIRM!$H$5:$H$53,G851),IFERROR(INDEX(MAP!$B$7:$B$156,MATCH(TRIM(O851),MAP!$A$7:$A$156,0)),"UNMAPPED")),IFERROR(INDEX(MAP!$B$7:$B$156,MATCH(TRIM(O851),MAP!$A$7:$A$156,0)),"UNMAPPED"))</f>
        <v>Registered Nurse</v>
      </c>
      <c r="Q851" s="48" t="n">
        <f aca="false">STACK!I851</f>
        <v>3.25</v>
      </c>
      <c r="R851" s="60" t="n">
        <f aca="false">IF(G851&gt;0,IF(INDEX(CONFIRM!$F$5:$F$53,G851)&lt;&gt;"",INDEX(CONFIRM!$F$5:$F$53,G851),IF(ISNUMBER(Q851),Q851,IF(Q851="","",IFERROR(VALUE(TRIM(SUBSTITUTE(SUBSTITUTE(LOWER(Q851),"hrs",""),"hr",""))),"")))),IF(ISNUMBER(Q851),Q851,IF(Q851="","",IFERROR(VALUE(TRIM(SUBSTITUTE(SUBSTITUTE(LOWER(Q851),"hrs",""),"hr",""))),""))))</f>
        <v>3.25</v>
      </c>
      <c r="S851" s="57" t="n">
        <f aca="false">IFERROR(INDEX(RATES!$E$6:$E$28,MATCH(P851,RATES!$A$6:$A$28,0)),0)</f>
        <v>55.8975</v>
      </c>
      <c r="T851" s="61" t="n">
        <f aca="false">IF(ISNUMBER(R851),R851,0)*S851</f>
        <v>181.666875</v>
      </c>
      <c r="U851" s="61" t="n">
        <f aca="false">T851*INDEX(INPUTS!$H$10:$H$14,MATCH(B851,INPUTS!$A$10:$A$14,0))</f>
        <v>28.70336625</v>
      </c>
      <c r="V851" s="61" t="n">
        <f aca="false">N(STACK!K851)</f>
        <v>65</v>
      </c>
      <c r="W851" s="61" t="n">
        <f aca="false">T851+U851+V851</f>
        <v>275.37024125</v>
      </c>
      <c r="X851" s="61" t="n">
        <f aca="false">N(STACK!L851)</f>
        <v>0</v>
      </c>
      <c r="Y851" s="61" t="n">
        <f aca="false">W851-X851</f>
        <v>275.37024125</v>
      </c>
      <c r="Z851" s="1" t="n">
        <f aca="false">N(STACK!J851)</f>
        <v>75</v>
      </c>
      <c r="AA851" s="1" t="str">
        <f aca="false">TRIM(IF(D851="UNMAPPED","Program not mapped. ","")&amp;IF(OR(K851="UNMAPPED",K851="UNASSIGNED"),"Category needs review. ","")&amp;IF(P851="UNMAPPED","Title not mapped. ","")&amp;IF(AND(P851&lt;&gt;"No staff time",R851=""),"Missing hours. ","")&amp;IF(M851="","Date not readable. ","")&amp;IF(N851="No","Outside fiscal year. ","")&amp;IF(AND(F851="Event",ISNUMBER(R851)),IF(R851&gt;12,"Event hours look high. ",""),"")&amp;IF(G851&gt;0,"See CONFIRM sheet.",""))</f>
        <v/>
      </c>
      <c r="AB851" s="1" t="n">
        <f aca="false">IF(N851="No",0,IF(REVIEW!O851=0,0,IF(G851&gt;0,IF(INDEX(CONFIRM!$J$5:$J$53,G851)&lt;&gt;"",INDEX(CONFIRM!$J$5:$J$53,G851),1),1)))</f>
        <v>1</v>
      </c>
      <c r="AC851" s="1" t="n">
        <f aca="false">IF(AB851=1,IF(COUNTIFS($B$5:B851,B851,$D$5:D851,D851,$AB$5:AB851,1)=1,1,0),0)</f>
        <v>1</v>
      </c>
    </row>
    <row r="852" customFormat="false" ht="15" hidden="false" customHeight="false" outlineLevel="0" collapsed="false">
      <c r="A852" s="48" t="str">
        <f aca="false">STACK!A852</f>
        <v>CBH-0024</v>
      </c>
      <c r="B852" s="48" t="str">
        <f aca="false">STACK!B852</f>
        <v>CBH</v>
      </c>
      <c r="C852" s="48" t="str">
        <f aca="false">STACK!E852</f>
        <v>Diabetes Prevention</v>
      </c>
      <c r="D852" s="1" t="str">
        <f aca="false">IFERROR(INDEX(MAP!$J$7:$J$101,MATCH(TRIM(C852),MAP!$I$7:$I$101,0)),"UNMAPPED")</f>
        <v>Diabetes Prevention Classes</v>
      </c>
      <c r="E852" s="1" t="str">
        <f aca="false">IFERROR(INDEX(MAP!$K$7:$K$101,MATCH(TRIM(C852),MAP!$I$7:$I$101,0)),"")</f>
        <v>Chronic disease prevention</v>
      </c>
      <c r="F852" s="1" t="str">
        <f aca="false">IFERROR(INDEX(MAP!$L$7:$L$101,MATCH(TRIM(C852),MAP!$I$7:$I$101,0)),"")</f>
        <v>Event</v>
      </c>
      <c r="G852" s="1" t="n">
        <f aca="false">IFERROR(MATCH(A852,CONFIRM!$A$5:$A$53,0),0)</f>
        <v>0</v>
      </c>
      <c r="H852" s="48" t="str">
        <f aca="false">STACK!F852</f>
        <v>Health Education</v>
      </c>
      <c r="I852" s="1" t="str">
        <f aca="false">IF(G852&gt;0,IF(INDEX(CONFIRM!$I$5:$I$53,G852)&lt;&gt;"",INDEX(CONFIRM!$I$5:$I$53,G852),H852),H852)</f>
        <v>Health Education</v>
      </c>
      <c r="J852" s="1" t="str">
        <f aca="false">IFERROR(INDEX(MAP!$F$7:$F$74,MATCH(TRIM(I852),MAP!$E$7:$E$74,0)),"UNMAPPED")</f>
        <v>Community health education</v>
      </c>
      <c r="K852" s="1" t="str">
        <f aca="false">IFERROR(INDEX(MAP!$G$7:$G$74,MATCH(TRIM(I852),MAP!$E$7:$E$74,0)),"UNMAPPED")</f>
        <v>7e</v>
      </c>
      <c r="L852" s="49" t="str">
        <f aca="false">STACK!G852</f>
        <v>2025-08-02</v>
      </c>
      <c r="M852" s="59" t="n">
        <f aca="false">IF(G852&gt;0,IF(INDEX(CONFIRM!$G$5:$G$53,G852)&lt;&gt;"",INDEX(CONFIRM!$G$5:$G$53,G852),IF(ISNUMBER(L852),L852,IFERROR(DATEVALUE(L852),""))),IF(ISNUMBER(L852),L852,IFERROR(DATEVALUE(L852),"")))</f>
        <v>45871</v>
      </c>
      <c r="N852" s="1" t="str">
        <f aca="false">IF(M852="","Check",IF(AND(M852&gt;=INPUTS!$C$6,M852&lt;=INPUTS!$C$7),"Yes","No"))</f>
        <v>Yes</v>
      </c>
      <c r="O852" s="48" t="str">
        <f aca="false">STACK!H852</f>
        <v>Health Ed</v>
      </c>
      <c r="P852" s="1" t="str">
        <f aca="false">IF(G852&gt;0,IF(INDEX(CONFIRM!$H$5:$H$53,G852)&lt;&gt;"",INDEX(CONFIRM!$H$5:$H$53,G852),IFERROR(INDEX(MAP!$B$7:$B$156,MATCH(TRIM(O852),MAP!$A$7:$A$156,0)),"UNMAPPED")),IFERROR(INDEX(MAP!$B$7:$B$156,MATCH(TRIM(O852),MAP!$A$7:$A$156,0)),"UNMAPPED"))</f>
        <v>Health Educator</v>
      </c>
      <c r="Q852" s="48" t="n">
        <f aca="false">STACK!I852</f>
        <v>2.75</v>
      </c>
      <c r="R852" s="60" t="n">
        <f aca="false">IF(G852&gt;0,IF(INDEX(CONFIRM!$F$5:$F$53,G852)&lt;&gt;"",INDEX(CONFIRM!$F$5:$F$53,G852),IF(ISNUMBER(Q852),Q852,IF(Q852="","",IFERROR(VALUE(TRIM(SUBSTITUTE(SUBSTITUTE(LOWER(Q852),"hrs",""),"hr",""))),"")))),IF(ISNUMBER(Q852),Q852,IF(Q852="","",IFERROR(VALUE(TRIM(SUBSTITUTE(SUBSTITUTE(LOWER(Q852),"hrs",""),"hr",""))),""))))</f>
        <v>2.75</v>
      </c>
      <c r="S852" s="57" t="n">
        <f aca="false">IFERROR(INDEX(RATES!$E$6:$E$28,MATCH(P852,RATES!$A$6:$A$28,0)),0)</f>
        <v>37.265</v>
      </c>
      <c r="T852" s="61" t="n">
        <f aca="false">IF(ISNUMBER(R852),R852,0)*S852</f>
        <v>102.47875</v>
      </c>
      <c r="U852" s="61" t="n">
        <f aca="false">T852*INDEX(INPUTS!$H$10:$H$14,MATCH(B852,INPUTS!$A$10:$A$14,0))</f>
        <v>16.1916425</v>
      </c>
      <c r="V852" s="61" t="n">
        <f aca="false">N(STACK!K852)</f>
        <v>130</v>
      </c>
      <c r="W852" s="61" t="n">
        <f aca="false">T852+U852+V852</f>
        <v>248.6703925</v>
      </c>
      <c r="X852" s="61" t="n">
        <f aca="false">N(STACK!L852)</f>
        <v>0</v>
      </c>
      <c r="Y852" s="61" t="n">
        <f aca="false">W852-X852</f>
        <v>248.6703925</v>
      </c>
      <c r="Z852" s="1" t="n">
        <f aca="false">N(STACK!J852)</f>
        <v>19</v>
      </c>
      <c r="AA852" s="1" t="str">
        <f aca="false">TRIM(IF(D852="UNMAPPED","Program not mapped. ","")&amp;IF(OR(K852="UNMAPPED",K852="UNASSIGNED"),"Category needs review. ","")&amp;IF(P852="UNMAPPED","Title not mapped. ","")&amp;IF(AND(P852&lt;&gt;"No staff time",R852=""),"Missing hours. ","")&amp;IF(M852="","Date not readable. ","")&amp;IF(N852="No","Outside fiscal year. ","")&amp;IF(AND(F852="Event",ISNUMBER(R852)),IF(R852&gt;12,"Event hours look high. ",""),"")&amp;IF(G852&gt;0,"See CONFIRM sheet.",""))</f>
        <v/>
      </c>
      <c r="AB852" s="1" t="n">
        <f aca="false">IF(N852="No",0,IF(REVIEW!O852=0,0,IF(G852&gt;0,IF(INDEX(CONFIRM!$J$5:$J$53,G852)&lt;&gt;"",INDEX(CONFIRM!$J$5:$J$53,G852),1),1)))</f>
        <v>1</v>
      </c>
      <c r="AC852" s="1" t="n">
        <f aca="false">IF(AB852=1,IF(COUNTIFS($B$5:B852,B852,$D$5:D852,D852,$AB$5:AB852,1)=1,1,0),0)</f>
        <v>0</v>
      </c>
    </row>
    <row r="853" customFormat="false" ht="15" hidden="false" customHeight="false" outlineLevel="0" collapsed="false">
      <c r="A853" s="48" t="str">
        <f aca="false">STACK!A853</f>
        <v>CBH-0025</v>
      </c>
      <c r="B853" s="48" t="str">
        <f aca="false">STACK!B853</f>
        <v>CBH</v>
      </c>
      <c r="C853" s="48" t="str">
        <f aca="false">STACK!E853</f>
        <v>Diabetes Prevention</v>
      </c>
      <c r="D853" s="1" t="str">
        <f aca="false">IFERROR(INDEX(MAP!$J$7:$J$101,MATCH(TRIM(C853),MAP!$I$7:$I$101,0)),"UNMAPPED")</f>
        <v>Diabetes Prevention Classes</v>
      </c>
      <c r="E853" s="1" t="str">
        <f aca="false">IFERROR(INDEX(MAP!$K$7:$K$101,MATCH(TRIM(C853),MAP!$I$7:$I$101,0)),"")</f>
        <v>Chronic disease prevention</v>
      </c>
      <c r="F853" s="1" t="str">
        <f aca="false">IFERROR(INDEX(MAP!$L$7:$L$101,MATCH(TRIM(C853),MAP!$I$7:$I$101,0)),"")</f>
        <v>Event</v>
      </c>
      <c r="G853" s="1" t="n">
        <f aca="false">IFERROR(MATCH(A853,CONFIRM!$A$5:$A$53,0),0)</f>
        <v>0</v>
      </c>
      <c r="H853" s="48" t="str">
        <f aca="false">STACK!F853</f>
        <v>Health Education</v>
      </c>
      <c r="I853" s="1" t="str">
        <f aca="false">IF(G853&gt;0,IF(INDEX(CONFIRM!$I$5:$I$53,G853)&lt;&gt;"",INDEX(CONFIRM!$I$5:$I$53,G853),H853),H853)</f>
        <v>Health Education</v>
      </c>
      <c r="J853" s="1" t="str">
        <f aca="false">IFERROR(INDEX(MAP!$F$7:$F$74,MATCH(TRIM(I853),MAP!$E$7:$E$74,0)),"UNMAPPED")</f>
        <v>Community health education</v>
      </c>
      <c r="K853" s="1" t="str">
        <f aca="false">IFERROR(INDEX(MAP!$G$7:$G$74,MATCH(TRIM(I853),MAP!$E$7:$E$74,0)),"UNMAPPED")</f>
        <v>7e</v>
      </c>
      <c r="L853" s="49" t="str">
        <f aca="false">STACK!G853</f>
        <v>2025-08-02</v>
      </c>
      <c r="M853" s="59" t="n">
        <f aca="false">IF(G853&gt;0,IF(INDEX(CONFIRM!$G$5:$G$53,G853)&lt;&gt;"",INDEX(CONFIRM!$G$5:$G$53,G853),IF(ISNUMBER(L853),L853,IFERROR(DATEVALUE(L853),""))),IF(ISNUMBER(L853),L853,IFERROR(DATEVALUE(L853),"")))</f>
        <v>45871</v>
      </c>
      <c r="N853" s="1" t="str">
        <f aca="false">IF(M853="","Check",IF(AND(M853&gt;=INPUTS!$C$6,M853&lt;=INPUTS!$C$7),"Yes","No"))</f>
        <v>Yes</v>
      </c>
      <c r="O853" s="48" t="str">
        <f aca="false">STACK!H853</f>
        <v>RDN</v>
      </c>
      <c r="P853" s="1" t="str">
        <f aca="false">IF(G853&gt;0,IF(INDEX(CONFIRM!$H$5:$H$53,G853)&lt;&gt;"",INDEX(CONFIRM!$H$5:$H$53,G853),IFERROR(INDEX(MAP!$B$7:$B$156,MATCH(TRIM(O853),MAP!$A$7:$A$156,0)),"UNMAPPED")),IFERROR(INDEX(MAP!$B$7:$B$156,MATCH(TRIM(O853),MAP!$A$7:$A$156,0)),"UNMAPPED"))</f>
        <v>Registered Dietitian</v>
      </c>
      <c r="Q853" s="48" t="n">
        <f aca="false">STACK!I853</f>
        <v>1.75</v>
      </c>
      <c r="R853" s="60" t="n">
        <f aca="false">IF(G853&gt;0,IF(INDEX(CONFIRM!$F$5:$F$53,G853)&lt;&gt;"",INDEX(CONFIRM!$F$5:$F$53,G853),IF(ISNUMBER(Q853),Q853,IF(Q853="","",IFERROR(VALUE(TRIM(SUBSTITUTE(SUBSTITUTE(LOWER(Q853),"hrs",""),"hr",""))),"")))),IF(ISNUMBER(Q853),Q853,IF(Q853="","",IFERROR(VALUE(TRIM(SUBSTITUTE(SUBSTITUTE(LOWER(Q853),"hrs",""),"hr",""))),""))))</f>
        <v>1.75</v>
      </c>
      <c r="S853" s="57" t="n">
        <f aca="false">IFERROR(INDEX(RATES!$E$6:$E$28,MATCH(P853,RATES!$A$6:$A$28,0)),0)</f>
        <v>46.9025</v>
      </c>
      <c r="T853" s="61" t="n">
        <f aca="false">IF(ISNUMBER(R853),R853,0)*S853</f>
        <v>82.079375</v>
      </c>
      <c r="U853" s="61" t="n">
        <f aca="false">T853*INDEX(INPUTS!$H$10:$H$14,MATCH(B853,INPUTS!$A$10:$A$14,0))</f>
        <v>12.96854125</v>
      </c>
      <c r="V853" s="61" t="n">
        <f aca="false">N(STACK!K853)</f>
        <v>0</v>
      </c>
      <c r="W853" s="61" t="n">
        <f aca="false">T853+U853+V853</f>
        <v>95.04791625</v>
      </c>
      <c r="X853" s="61" t="n">
        <f aca="false">N(STACK!L853)</f>
        <v>0</v>
      </c>
      <c r="Y853" s="61" t="n">
        <f aca="false">W853-X853</f>
        <v>95.04791625</v>
      </c>
      <c r="Z853" s="1" t="n">
        <f aca="false">N(STACK!J853)</f>
        <v>0</v>
      </c>
      <c r="AA853" s="1" t="str">
        <f aca="false">TRIM(IF(D853="UNMAPPED","Program not mapped. ","")&amp;IF(OR(K853="UNMAPPED",K853="UNASSIGNED"),"Category needs review. ","")&amp;IF(P853="UNMAPPED","Title not mapped. ","")&amp;IF(AND(P853&lt;&gt;"No staff time",R853=""),"Missing hours. ","")&amp;IF(M853="","Date not readable. ","")&amp;IF(N853="No","Outside fiscal year. ","")&amp;IF(AND(F853="Event",ISNUMBER(R853)),IF(R853&gt;12,"Event hours look high. ",""),"")&amp;IF(G853&gt;0,"See CONFIRM sheet.",""))</f>
        <v/>
      </c>
      <c r="AB853" s="1" t="n">
        <f aca="false">IF(N853="No",0,IF(REVIEW!O853=0,0,IF(G853&gt;0,IF(INDEX(CONFIRM!$J$5:$J$53,G853)&lt;&gt;"",INDEX(CONFIRM!$J$5:$J$53,G853),1),1)))</f>
        <v>1</v>
      </c>
      <c r="AC853" s="1" t="n">
        <f aca="false">IF(AB853=1,IF(COUNTIFS($B$5:B853,B853,$D$5:D853,D853,$AB$5:AB853,1)=1,1,0),0)</f>
        <v>0</v>
      </c>
    </row>
    <row r="854" customFormat="false" ht="15" hidden="false" customHeight="false" outlineLevel="0" collapsed="false">
      <c r="A854" s="48" t="str">
        <f aca="false">STACK!A854</f>
        <v>CBH-0026</v>
      </c>
      <c r="B854" s="48" t="str">
        <f aca="false">STACK!B854</f>
        <v>CBH</v>
      </c>
      <c r="C854" s="48" t="str">
        <f aca="false">STACK!E854</f>
        <v>Smoke-Free Parks</v>
      </c>
      <c r="D854" s="1" t="str">
        <f aca="false">IFERROR(INDEX(MAP!$J$7:$J$101,MATCH(TRIM(C854),MAP!$I$7:$I$101,0)),"UNMAPPED")</f>
        <v>Smoke-Free Parks Advocacy</v>
      </c>
      <c r="E854" s="1" t="str">
        <f aca="false">IFERROR(INDEX(MAP!$K$7:$K$101,MATCH(TRIM(C854),MAP!$I$7:$I$101,0)),"")</f>
        <v>Chronic disease prevention</v>
      </c>
      <c r="F854" s="1" t="str">
        <f aca="false">IFERROR(INDEX(MAP!$L$7:$L$101,MATCH(TRIM(C854),MAP!$I$7:$I$101,0)),"")</f>
        <v>Event</v>
      </c>
      <c r="G854" s="1" t="n">
        <f aca="false">IFERROR(MATCH(A854,CONFIRM!$A$5:$A$53,0),0)</f>
        <v>0</v>
      </c>
      <c r="H854" s="48" t="str">
        <f aca="false">STACK!F854</f>
        <v>Advocacy</v>
      </c>
      <c r="I854" s="1" t="str">
        <f aca="false">IF(G854&gt;0,IF(INDEX(CONFIRM!$I$5:$I$53,G854)&lt;&gt;"",INDEX(CONFIRM!$I$5:$I$53,G854),H854),H854)</f>
        <v>Advocacy</v>
      </c>
      <c r="J854" s="1" t="str">
        <f aca="false">IFERROR(INDEX(MAP!$F$7:$F$74,MATCH(TRIM(I854),MAP!$E$7:$E$74,0)),"UNMAPPED")</f>
        <v>Community building: health improvement advocacy</v>
      </c>
      <c r="K854" s="1" t="str">
        <f aca="false">IFERROR(INDEX(MAP!$G$7:$G$74,MATCH(TRIM(I854),MAP!$E$7:$E$74,0)),"UNMAPPED")</f>
        <v>II-7</v>
      </c>
      <c r="L854" s="49" t="str">
        <f aca="false">STACK!G854</f>
        <v>2025-08-05</v>
      </c>
      <c r="M854" s="59" t="n">
        <f aca="false">IF(G854&gt;0,IF(INDEX(CONFIRM!$G$5:$G$53,G854)&lt;&gt;"",INDEX(CONFIRM!$G$5:$G$53,G854),IF(ISNUMBER(L854),L854,IFERROR(DATEVALUE(L854),""))),IF(ISNUMBER(L854),L854,IFERROR(DATEVALUE(L854),"")))</f>
        <v>45874</v>
      </c>
      <c r="N854" s="1" t="str">
        <f aca="false">IF(M854="","Check",IF(AND(M854&gt;=INPUTS!$C$6,M854&lt;=INPUTS!$C$7),"Yes","No"))</f>
        <v>Yes</v>
      </c>
      <c r="O854" s="48" t="str">
        <f aca="false">STACK!H854</f>
        <v>Assoc. Director</v>
      </c>
      <c r="P854" s="1" t="str">
        <f aca="false">IF(G854&gt;0,IF(INDEX(CONFIRM!$H$5:$H$53,G854)&lt;&gt;"",INDEX(CONFIRM!$H$5:$H$53,G854),IFERROR(INDEX(MAP!$B$7:$B$156,MATCH(TRIM(O854),MAP!$A$7:$A$156,0)),"UNMAPPED")),IFERROR(INDEX(MAP!$B$7:$B$156,MATCH(TRIM(O854),MAP!$A$7:$A$156,0)),"UNMAPPED"))</f>
        <v>Director</v>
      </c>
      <c r="Q854" s="48" t="n">
        <f aca="false">STACK!I854</f>
        <v>1</v>
      </c>
      <c r="R854" s="60" t="n">
        <f aca="false">IF(G854&gt;0,IF(INDEX(CONFIRM!$F$5:$F$53,G854)&lt;&gt;"",INDEX(CONFIRM!$F$5:$F$53,G854),IF(ISNUMBER(Q854),Q854,IF(Q854="","",IFERROR(VALUE(TRIM(SUBSTITUTE(SUBSTITUTE(LOWER(Q854),"hrs",""),"hr",""))),"")))),IF(ISNUMBER(Q854),Q854,IF(Q854="","",IFERROR(VALUE(TRIM(SUBSTITUTE(SUBSTITUTE(LOWER(Q854),"hrs",""),"hr",""))),""))))</f>
        <v>1</v>
      </c>
      <c r="S854" s="57" t="n">
        <f aca="false">IFERROR(INDEX(RATES!$E$6:$E$28,MATCH(P854,RATES!$A$6:$A$28,0)),0)</f>
        <v>92.52</v>
      </c>
      <c r="T854" s="61" t="n">
        <f aca="false">IF(ISNUMBER(R854),R854,0)*S854</f>
        <v>92.52</v>
      </c>
      <c r="U854" s="61" t="n">
        <f aca="false">T854*INDEX(INPUTS!$H$10:$H$14,MATCH(B854,INPUTS!$A$10:$A$14,0))</f>
        <v>14.61816</v>
      </c>
      <c r="V854" s="61" t="n">
        <f aca="false">N(STACK!K854)</f>
        <v>0</v>
      </c>
      <c r="W854" s="61" t="n">
        <f aca="false">T854+U854+V854</f>
        <v>107.13816</v>
      </c>
      <c r="X854" s="61" t="n">
        <f aca="false">N(STACK!L854)</f>
        <v>0</v>
      </c>
      <c r="Y854" s="61" t="n">
        <f aca="false">W854-X854</f>
        <v>107.13816</v>
      </c>
      <c r="Z854" s="1" t="n">
        <f aca="false">N(STACK!J854)</f>
        <v>0</v>
      </c>
      <c r="AA854" s="1" t="str">
        <f aca="false">TRIM(IF(D854="UNMAPPED","Program not mapped. ","")&amp;IF(OR(K854="UNMAPPED",K854="UNASSIGNED"),"Category needs review. ","")&amp;IF(P854="UNMAPPED","Title not mapped. ","")&amp;IF(AND(P854&lt;&gt;"No staff time",R854=""),"Missing hours. ","")&amp;IF(M854="","Date not readable. ","")&amp;IF(N854="No","Outside fiscal year. ","")&amp;IF(AND(F854="Event",ISNUMBER(R854)),IF(R854&gt;12,"Event hours look high. ",""),"")&amp;IF(G854&gt;0,"See CONFIRM sheet.",""))</f>
        <v/>
      </c>
      <c r="AB854" s="1" t="n">
        <f aca="false">IF(N854="No",0,IF(REVIEW!O854=0,0,IF(G854&gt;0,IF(INDEX(CONFIRM!$J$5:$J$53,G854)&lt;&gt;"",INDEX(CONFIRM!$J$5:$J$53,G854),1),1)))</f>
        <v>1</v>
      </c>
      <c r="AC854" s="1" t="n">
        <f aca="false">IF(AB854=1,IF(COUNTIFS($B$5:B854,B854,$D$5:D854,D854,$AB$5:AB854,1)=1,1,0),0)</f>
        <v>1</v>
      </c>
    </row>
    <row r="855" customFormat="false" ht="15" hidden="false" customHeight="false" outlineLevel="0" collapsed="false">
      <c r="A855" s="48" t="str">
        <f aca="false">STACK!A855</f>
        <v>CBH-0027</v>
      </c>
      <c r="B855" s="48" t="str">
        <f aca="false">STACK!B855</f>
        <v>CBH</v>
      </c>
      <c r="C855" s="48" t="str">
        <f aca="false">STACK!E855</f>
        <v>Smoke-Free Parks</v>
      </c>
      <c r="D855" s="1" t="str">
        <f aca="false">IFERROR(INDEX(MAP!$J$7:$J$101,MATCH(TRIM(C855),MAP!$I$7:$I$101,0)),"UNMAPPED")</f>
        <v>Smoke-Free Parks Advocacy</v>
      </c>
      <c r="E855" s="1" t="str">
        <f aca="false">IFERROR(INDEX(MAP!$K$7:$K$101,MATCH(TRIM(C855),MAP!$I$7:$I$101,0)),"")</f>
        <v>Chronic disease prevention</v>
      </c>
      <c r="F855" s="1" t="str">
        <f aca="false">IFERROR(INDEX(MAP!$L$7:$L$101,MATCH(TRIM(C855),MAP!$I$7:$I$101,0)),"")</f>
        <v>Event</v>
      </c>
      <c r="G855" s="1" t="n">
        <f aca="false">IFERROR(MATCH(A855,CONFIRM!$A$5:$A$53,0),0)</f>
        <v>0</v>
      </c>
      <c r="H855" s="48" t="str">
        <f aca="false">STACK!F855</f>
        <v>Advocacy</v>
      </c>
      <c r="I855" s="1" t="str">
        <f aca="false">IF(G855&gt;0,IF(INDEX(CONFIRM!$I$5:$I$53,G855)&lt;&gt;"",INDEX(CONFIRM!$I$5:$I$53,G855),H855),H855)</f>
        <v>Advocacy</v>
      </c>
      <c r="J855" s="1" t="str">
        <f aca="false">IFERROR(INDEX(MAP!$F$7:$F$74,MATCH(TRIM(I855),MAP!$E$7:$E$74,0)),"UNMAPPED")</f>
        <v>Community building: health improvement advocacy</v>
      </c>
      <c r="K855" s="1" t="str">
        <f aca="false">IFERROR(INDEX(MAP!$G$7:$G$74,MATCH(TRIM(I855),MAP!$E$7:$E$74,0)),"UNMAPPED")</f>
        <v>II-7</v>
      </c>
      <c r="L855" s="49" t="str">
        <f aca="false">STACK!G855</f>
        <v>2025-08-05</v>
      </c>
      <c r="M855" s="59" t="n">
        <f aca="false">IF(G855&gt;0,IF(INDEX(CONFIRM!$G$5:$G$53,G855)&lt;&gt;"",INDEX(CONFIRM!$G$5:$G$53,G855),IF(ISNUMBER(L855),L855,IFERROR(DATEVALUE(L855),""))),IF(ISNUMBER(L855),L855,IFERROR(DATEVALUE(L855),"")))</f>
        <v>45874</v>
      </c>
      <c r="N855" s="1" t="str">
        <f aca="false">IF(M855="","Check",IF(AND(M855&gt;=INPUTS!$C$6,M855&lt;=INPUTS!$C$7),"Yes","No"))</f>
        <v>Yes</v>
      </c>
      <c r="O855" s="48" t="str">
        <f aca="false">STACK!H855</f>
        <v>Community Educator</v>
      </c>
      <c r="P855" s="1" t="str">
        <f aca="false">IF(G855&gt;0,IF(INDEX(CONFIRM!$H$5:$H$53,G855)&lt;&gt;"",INDEX(CONFIRM!$H$5:$H$53,G855),IFERROR(INDEX(MAP!$B$7:$B$156,MATCH(TRIM(O855),MAP!$A$7:$A$156,0)),"UNMAPPED")),IFERROR(INDEX(MAP!$B$7:$B$156,MATCH(TRIM(O855),MAP!$A$7:$A$156,0)),"UNMAPPED"))</f>
        <v>Health Educator</v>
      </c>
      <c r="Q855" s="48" t="n">
        <f aca="false">STACK!I855</f>
        <v>3.75</v>
      </c>
      <c r="R855" s="60" t="n">
        <f aca="false">IF(G855&gt;0,IF(INDEX(CONFIRM!$F$5:$F$53,G855)&lt;&gt;"",INDEX(CONFIRM!$F$5:$F$53,G855),IF(ISNUMBER(Q855),Q855,IF(Q855="","",IFERROR(VALUE(TRIM(SUBSTITUTE(SUBSTITUTE(LOWER(Q855),"hrs",""),"hr",""))),"")))),IF(ISNUMBER(Q855),Q855,IF(Q855="","",IFERROR(VALUE(TRIM(SUBSTITUTE(SUBSTITUTE(LOWER(Q855),"hrs",""),"hr",""))),""))))</f>
        <v>3.75</v>
      </c>
      <c r="S855" s="57" t="n">
        <f aca="false">IFERROR(INDEX(RATES!$E$6:$E$28,MATCH(P855,RATES!$A$6:$A$28,0)),0)</f>
        <v>37.265</v>
      </c>
      <c r="T855" s="61" t="n">
        <f aca="false">IF(ISNUMBER(R855),R855,0)*S855</f>
        <v>139.74375</v>
      </c>
      <c r="U855" s="61" t="n">
        <f aca="false">T855*INDEX(INPUTS!$H$10:$H$14,MATCH(B855,INPUTS!$A$10:$A$14,0))</f>
        <v>22.0795125</v>
      </c>
      <c r="V855" s="61" t="n">
        <f aca="false">N(STACK!K855)</f>
        <v>575</v>
      </c>
      <c r="W855" s="61" t="n">
        <f aca="false">T855+U855+V855</f>
        <v>736.8232625</v>
      </c>
      <c r="X855" s="61" t="n">
        <f aca="false">N(STACK!L855)</f>
        <v>0</v>
      </c>
      <c r="Y855" s="61" t="n">
        <f aca="false">W855-X855</f>
        <v>736.8232625</v>
      </c>
      <c r="Z855" s="1" t="n">
        <f aca="false">N(STACK!J855)</f>
        <v>0</v>
      </c>
      <c r="AA855" s="1" t="str">
        <f aca="false">TRIM(IF(D855="UNMAPPED","Program not mapped. ","")&amp;IF(OR(K855="UNMAPPED",K855="UNASSIGNED"),"Category needs review. ","")&amp;IF(P855="UNMAPPED","Title not mapped. ","")&amp;IF(AND(P855&lt;&gt;"No staff time",R855=""),"Missing hours. ","")&amp;IF(M855="","Date not readable. ","")&amp;IF(N855="No","Outside fiscal year. ","")&amp;IF(AND(F855="Event",ISNUMBER(R855)),IF(R855&gt;12,"Event hours look high. ",""),"")&amp;IF(G855&gt;0,"See CONFIRM sheet.",""))</f>
        <v/>
      </c>
      <c r="AB855" s="1" t="n">
        <f aca="false">IF(N855="No",0,IF(REVIEW!O855=0,0,IF(G855&gt;0,IF(INDEX(CONFIRM!$J$5:$J$53,G855)&lt;&gt;"",INDEX(CONFIRM!$J$5:$J$53,G855),1),1)))</f>
        <v>1</v>
      </c>
      <c r="AC855" s="1" t="n">
        <f aca="false">IF(AB855=1,IF(COUNTIFS($B$5:B855,B855,$D$5:D855,D855,$AB$5:AB855,1)=1,1,0),0)</f>
        <v>0</v>
      </c>
    </row>
    <row r="856" customFormat="false" ht="15" hidden="false" customHeight="false" outlineLevel="0" collapsed="false">
      <c r="A856" s="48" t="str">
        <f aca="false">STACK!A856</f>
        <v>CBH-0028</v>
      </c>
      <c r="B856" s="48" t="str">
        <f aca="false">STACK!B856</f>
        <v>CBH</v>
      </c>
      <c r="C856" s="48" t="str">
        <f aca="false">STACK!E856</f>
        <v>Prenatal &amp; Newborn Classes</v>
      </c>
      <c r="D856" s="1" t="str">
        <f aca="false">IFERROR(INDEX(MAP!$J$7:$J$101,MATCH(TRIM(C856),MAP!$I$7:$I$101,0)),"UNMAPPED")</f>
        <v>Childbirth and Newborn Care Classes</v>
      </c>
      <c r="E856" s="1" t="str">
        <f aca="false">IFERROR(INDEX(MAP!$K$7:$K$101,MATCH(TRIM(C856),MAP!$I$7:$I$101,0)),"")</f>
        <v>Maternal and child health</v>
      </c>
      <c r="F856" s="1" t="str">
        <f aca="false">IFERROR(INDEX(MAP!$L$7:$L$101,MATCH(TRIM(C856),MAP!$I$7:$I$101,0)),"")</f>
        <v>Event</v>
      </c>
      <c r="G856" s="1" t="n">
        <f aca="false">IFERROR(MATCH(A856,CONFIRM!$A$5:$A$53,0),0)</f>
        <v>0</v>
      </c>
      <c r="H856" s="48" t="str">
        <f aca="false">STACK!F856</f>
        <v>Health Education</v>
      </c>
      <c r="I856" s="1" t="str">
        <f aca="false">IF(G856&gt;0,IF(INDEX(CONFIRM!$I$5:$I$53,G856)&lt;&gt;"",INDEX(CONFIRM!$I$5:$I$53,G856),H856),H856)</f>
        <v>Health Education</v>
      </c>
      <c r="J856" s="1" t="str">
        <f aca="false">IFERROR(INDEX(MAP!$F$7:$F$74,MATCH(TRIM(I856),MAP!$E$7:$E$74,0)),"UNMAPPED")</f>
        <v>Community health education</v>
      </c>
      <c r="K856" s="1" t="str">
        <f aca="false">IFERROR(INDEX(MAP!$G$7:$G$74,MATCH(TRIM(I856),MAP!$E$7:$E$74,0)),"UNMAPPED")</f>
        <v>7e</v>
      </c>
      <c r="L856" s="49" t="str">
        <f aca="false">STACK!G856</f>
        <v>2025-08-07</v>
      </c>
      <c r="M856" s="59" t="n">
        <f aca="false">IF(G856&gt;0,IF(INDEX(CONFIRM!$G$5:$G$53,G856)&lt;&gt;"",INDEX(CONFIRM!$G$5:$G$53,G856),IF(ISNUMBER(L856),L856,IFERROR(DATEVALUE(L856),""))),IF(ISNUMBER(L856),L856,IFERROR(DATEVALUE(L856),"")))</f>
        <v>45876</v>
      </c>
      <c r="N856" s="1" t="str">
        <f aca="false">IF(M856="","Check",IF(AND(M856&gt;=INPUTS!$C$6,M856&lt;=INPUTS!$C$7),"Yes","No"))</f>
        <v>Yes</v>
      </c>
      <c r="O856" s="48" t="str">
        <f aca="false">STACK!H856</f>
        <v>rn educator</v>
      </c>
      <c r="P856" s="1" t="str">
        <f aca="false">IF(G856&gt;0,IF(INDEX(CONFIRM!$H$5:$H$53,G856)&lt;&gt;"",INDEX(CONFIRM!$H$5:$H$53,G856),IFERROR(INDEX(MAP!$B$7:$B$156,MATCH(TRIM(O856),MAP!$A$7:$A$156,0)),"UNMAPPED")),IFERROR(INDEX(MAP!$B$7:$B$156,MATCH(TRIM(O856),MAP!$A$7:$A$156,0)),"UNMAPPED"))</f>
        <v>Clinical Nurse Educator</v>
      </c>
      <c r="Q856" s="48" t="n">
        <f aca="false">STACK!I856</f>
        <v>3.25</v>
      </c>
      <c r="R856" s="60" t="n">
        <f aca="false">IF(G856&gt;0,IF(INDEX(CONFIRM!$F$5:$F$53,G856)&lt;&gt;"",INDEX(CONFIRM!$F$5:$F$53,G856),IF(ISNUMBER(Q856),Q856,IF(Q856="","",IFERROR(VALUE(TRIM(SUBSTITUTE(SUBSTITUTE(LOWER(Q856),"hrs",""),"hr",""))),"")))),IF(ISNUMBER(Q856),Q856,IF(Q856="","",IFERROR(VALUE(TRIM(SUBSTITUTE(SUBSTITUTE(LOWER(Q856),"hrs",""),"hr",""))),""))))</f>
        <v>3.25</v>
      </c>
      <c r="S856" s="57" t="n">
        <f aca="false">IFERROR(INDEX(RATES!$E$6:$E$28,MATCH(P856,RATES!$A$6:$A$28,0)),0)</f>
        <v>62.965</v>
      </c>
      <c r="T856" s="61" t="n">
        <f aca="false">IF(ISNUMBER(R856),R856,0)*S856</f>
        <v>204.63625</v>
      </c>
      <c r="U856" s="61" t="n">
        <f aca="false">T856*INDEX(INPUTS!$H$10:$H$14,MATCH(B856,INPUTS!$A$10:$A$14,0))</f>
        <v>32.3325275</v>
      </c>
      <c r="V856" s="61" t="n">
        <f aca="false">N(STACK!K856)</f>
        <v>195</v>
      </c>
      <c r="W856" s="61" t="n">
        <f aca="false">T856+U856+V856</f>
        <v>431.9687775</v>
      </c>
      <c r="X856" s="61" t="n">
        <f aca="false">N(STACK!L856)</f>
        <v>0</v>
      </c>
      <c r="Y856" s="61" t="n">
        <f aca="false">W856-X856</f>
        <v>431.9687775</v>
      </c>
      <c r="Z856" s="1" t="n">
        <f aca="false">N(STACK!J856)</f>
        <v>25</v>
      </c>
      <c r="AA856" s="1" t="str">
        <f aca="false">TRIM(IF(D856="UNMAPPED","Program not mapped. ","")&amp;IF(OR(K856="UNMAPPED",K856="UNASSIGNED"),"Category needs review. ","")&amp;IF(P856="UNMAPPED","Title not mapped. ","")&amp;IF(AND(P856&lt;&gt;"No staff time",R856=""),"Missing hours. ","")&amp;IF(M856="","Date not readable. ","")&amp;IF(N856="No","Outside fiscal year. ","")&amp;IF(AND(F856="Event",ISNUMBER(R856)),IF(R856&gt;12,"Event hours look high. ",""),"")&amp;IF(G856&gt;0,"See CONFIRM sheet.",""))</f>
        <v/>
      </c>
      <c r="AB856" s="1" t="n">
        <f aca="false">IF(N856="No",0,IF(REVIEW!O856=0,0,IF(G856&gt;0,IF(INDEX(CONFIRM!$J$5:$J$53,G856)&lt;&gt;"",INDEX(CONFIRM!$J$5:$J$53,G856),1),1)))</f>
        <v>1</v>
      </c>
      <c r="AC856" s="1" t="n">
        <f aca="false">IF(AB856=1,IF(COUNTIFS($B$5:B856,B856,$D$5:D856,D856,$AB$5:AB856,1)=1,1,0),0)</f>
        <v>1</v>
      </c>
    </row>
    <row r="857" customFormat="false" ht="15" hidden="false" customHeight="false" outlineLevel="0" collapsed="false">
      <c r="A857" s="48" t="str">
        <f aca="false">STACK!A857</f>
        <v>CBH-0029</v>
      </c>
      <c r="B857" s="48" t="str">
        <f aca="false">STACK!B857</f>
        <v>CBH</v>
      </c>
      <c r="C857" s="48" t="str">
        <f aca="false">STACK!E857</f>
        <v>Health Coalition</v>
      </c>
      <c r="D857" s="1" t="str">
        <f aca="false">IFERROR(INDEX(MAP!$J$7:$J$101,MATCH(TRIM(C857),MAP!$I$7:$I$101,0)),"UNMAPPED")</f>
        <v>Regional Health Coalition</v>
      </c>
      <c r="E857" s="1" t="str">
        <f aca="false">IFERROR(INDEX(MAP!$K$7:$K$101,MATCH(TRIM(C857),MAP!$I$7:$I$101,0)),"")</f>
        <v>Community benefit infrastructure</v>
      </c>
      <c r="F857" s="1" t="str">
        <f aca="false">IFERROR(INDEX(MAP!$L$7:$L$101,MATCH(TRIM(C857),MAP!$I$7:$I$101,0)),"")</f>
        <v>Event</v>
      </c>
      <c r="G857" s="1" t="n">
        <f aca="false">IFERROR(MATCH(A857,CONFIRM!$A$5:$A$53,0),0)</f>
        <v>8</v>
      </c>
      <c r="H857" s="48" t="str">
        <f aca="false">STACK!F857</f>
        <v>Community Health Improvement</v>
      </c>
      <c r="I857" s="1" t="str">
        <f aca="false">IF(G857&gt;0,IF(INDEX(CONFIRM!$I$5:$I$53,G857)&lt;&gt;"",INDEX(CONFIRM!$I$5:$I$53,G857),H857),H857)</f>
        <v>Community building: coalition building</v>
      </c>
      <c r="J857" s="1" t="str">
        <f aca="false">IFERROR(INDEX(MAP!$F$7:$F$74,MATCH(TRIM(I857),MAP!$E$7:$E$74,0)),"UNMAPPED")</f>
        <v>Community building: coalition building</v>
      </c>
      <c r="K857" s="1" t="str">
        <f aca="false">IFERROR(INDEX(MAP!$G$7:$G$74,MATCH(TRIM(I857),MAP!$E$7:$E$74,0)),"UNMAPPED")</f>
        <v>II-6</v>
      </c>
      <c r="L857" s="49" t="str">
        <f aca="false">STACK!G857</f>
        <v>2025-08-14</v>
      </c>
      <c r="M857" s="59" t="n">
        <f aca="false">IF(G857&gt;0,IF(INDEX(CONFIRM!$G$5:$G$53,G857)&lt;&gt;"",INDEX(CONFIRM!$G$5:$G$53,G857),IF(ISNUMBER(L857),L857,IFERROR(DATEVALUE(L857),""))),IF(ISNUMBER(L857),L857,IFERROR(DATEVALUE(L857),"")))</f>
        <v>45883</v>
      </c>
      <c r="N857" s="1" t="str">
        <f aca="false">IF(M857="","Check",IF(AND(M857&gt;=INPUTS!$C$6,M857&lt;=INPUTS!$C$7),"Yes","No"))</f>
        <v>Yes</v>
      </c>
      <c r="O857" s="48" t="str">
        <f aca="false">STACK!H857</f>
        <v>Community Benefit Manager </v>
      </c>
      <c r="P857" s="1" t="str">
        <f aca="false">IF(G857&gt;0,IF(INDEX(CONFIRM!$H$5:$H$53,G857)&lt;&gt;"",INDEX(CONFIRM!$H$5:$H$53,G857),IFERROR(INDEX(MAP!$B$7:$B$156,MATCH(TRIM(O857),MAP!$A$7:$A$156,0)),"UNMAPPED")),IFERROR(INDEX(MAP!$B$7:$B$156,MATCH(TRIM(O857),MAP!$A$7:$A$156,0)),"UNMAPPED"))</f>
        <v>Community Benefit Manager</v>
      </c>
      <c r="Q857" s="48" t="n">
        <f aca="false">STACK!I857</f>
        <v>2.5</v>
      </c>
      <c r="R857" s="60" t="n">
        <f aca="false">IF(G857&gt;0,IF(INDEX(CONFIRM!$F$5:$F$53,G857)&lt;&gt;"",INDEX(CONFIRM!$F$5:$F$53,G857),IF(ISNUMBER(Q857),Q857,IF(Q857="","",IFERROR(VALUE(TRIM(SUBSTITUTE(SUBSTITUTE(LOWER(Q857),"hrs",""),"hr",""))),"")))),IF(ISNUMBER(Q857),Q857,IF(Q857="","",IFERROR(VALUE(TRIM(SUBSTITUTE(SUBSTITUTE(LOWER(Q857),"hrs",""),"hr",""))),""))))</f>
        <v>2.5</v>
      </c>
      <c r="S857" s="57" t="n">
        <f aca="false">IFERROR(INDEX(RATES!$E$6:$E$28,MATCH(P857,RATES!$A$6:$A$28,0)),0)</f>
        <v>59.11</v>
      </c>
      <c r="T857" s="61" t="n">
        <f aca="false">IF(ISNUMBER(R857),R857,0)*S857</f>
        <v>147.775</v>
      </c>
      <c r="U857" s="61" t="n">
        <f aca="false">T857*INDEX(INPUTS!$H$10:$H$14,MATCH(B857,INPUTS!$A$10:$A$14,0))</f>
        <v>23.34845</v>
      </c>
      <c r="V857" s="61" t="n">
        <f aca="false">N(STACK!K857)</f>
        <v>0</v>
      </c>
      <c r="W857" s="61" t="n">
        <f aca="false">T857+U857+V857</f>
        <v>171.12345</v>
      </c>
      <c r="X857" s="61" t="n">
        <f aca="false">N(STACK!L857)</f>
        <v>0</v>
      </c>
      <c r="Y857" s="61" t="n">
        <f aca="false">W857-X857</f>
        <v>171.12345</v>
      </c>
      <c r="Z857" s="1" t="n">
        <f aca="false">N(STACK!J857)</f>
        <v>0</v>
      </c>
      <c r="AA857" s="1" t="str">
        <f aca="false">TRIM(IF(D857="UNMAPPED","Program not mapped. ","")&amp;IF(OR(K857="UNMAPPED",K857="UNASSIGNED"),"Category needs review. ","")&amp;IF(P857="UNMAPPED","Title not mapped. ","")&amp;IF(AND(P857&lt;&gt;"No staff time",R857=""),"Missing hours. ","")&amp;IF(M857="","Date not readable. ","")&amp;IF(N857="No","Outside fiscal year. ","")&amp;IF(AND(F857="Event",ISNUMBER(R857)),IF(R857&gt;12,"Event hours look high. ",""),"")&amp;IF(G857&gt;0,"See CONFIRM sheet.",""))</f>
        <v>See CONFIRM sheet.</v>
      </c>
      <c r="AB857" s="1" t="n">
        <f aca="false">IF(N857="No",0,IF(REVIEW!O857=0,0,IF(G857&gt;0,IF(INDEX(CONFIRM!$J$5:$J$53,G857)&lt;&gt;"",INDEX(CONFIRM!$J$5:$J$53,G857),1),1)))</f>
        <v>0</v>
      </c>
      <c r="AC857" s="1" t="n">
        <f aca="false">IF(AB857=1,IF(COUNTIFS($B$5:B857,B857,$D$5:D857,D857,$AB$5:AB857,1)=1,1,0),0)</f>
        <v>0</v>
      </c>
    </row>
    <row r="858" customFormat="false" ht="15" hidden="false" customHeight="false" outlineLevel="0" collapsed="false">
      <c r="A858" s="48" t="str">
        <f aca="false">STACK!A858</f>
        <v>CBH-0030</v>
      </c>
      <c r="B858" s="48" t="str">
        <f aca="false">STACK!B858</f>
        <v>CBH</v>
      </c>
      <c r="C858" s="48" t="str">
        <f aca="false">STACK!E858</f>
        <v>Health Coalition</v>
      </c>
      <c r="D858" s="1" t="str">
        <f aca="false">IFERROR(INDEX(MAP!$J$7:$J$101,MATCH(TRIM(C858),MAP!$I$7:$I$101,0)),"UNMAPPED")</f>
        <v>Regional Health Coalition</v>
      </c>
      <c r="E858" s="1" t="str">
        <f aca="false">IFERROR(INDEX(MAP!$K$7:$K$101,MATCH(TRIM(C858),MAP!$I$7:$I$101,0)),"")</f>
        <v>Community benefit infrastructure</v>
      </c>
      <c r="F858" s="1" t="str">
        <f aca="false">IFERROR(INDEX(MAP!$L$7:$L$101,MATCH(TRIM(C858),MAP!$I$7:$I$101,0)),"")</f>
        <v>Event</v>
      </c>
      <c r="G858" s="1" t="n">
        <f aca="false">IFERROR(MATCH(A858,CONFIRM!$A$5:$A$53,0),0)</f>
        <v>9</v>
      </c>
      <c r="H858" s="48" t="str">
        <f aca="false">STACK!F858</f>
        <v>Community Health Improvement</v>
      </c>
      <c r="I858" s="1" t="str">
        <f aca="false">IF(G858&gt;0,IF(INDEX(CONFIRM!$I$5:$I$53,G858)&lt;&gt;"",INDEX(CONFIRM!$I$5:$I$53,G858),H858),H858)</f>
        <v>Community building: coalition building</v>
      </c>
      <c r="J858" s="1" t="str">
        <f aca="false">IFERROR(INDEX(MAP!$F$7:$F$74,MATCH(TRIM(I858),MAP!$E$7:$E$74,0)),"UNMAPPED")</f>
        <v>Community building: coalition building</v>
      </c>
      <c r="K858" s="1" t="str">
        <f aca="false">IFERROR(INDEX(MAP!$G$7:$G$74,MATCH(TRIM(I858),MAP!$E$7:$E$74,0)),"UNMAPPED")</f>
        <v>II-6</v>
      </c>
      <c r="L858" s="49" t="str">
        <f aca="false">STACK!G858</f>
        <v>2025-08-14</v>
      </c>
      <c r="M858" s="59" t="n">
        <f aca="false">IF(G858&gt;0,IF(INDEX(CONFIRM!$G$5:$G$53,G858)&lt;&gt;"",INDEX(CONFIRM!$G$5:$G$53,G858),IF(ISNUMBER(L858),L858,IFERROR(DATEVALUE(L858),""))),IF(ISNUMBER(L858),L858,IFERROR(DATEVALUE(L858),"")))</f>
        <v>45883</v>
      </c>
      <c r="N858" s="1" t="str">
        <f aca="false">IF(M858="","Check",IF(AND(M858&gt;=INPUTS!$C$6,M858&lt;=INPUTS!$C$7),"Yes","No"))</f>
        <v>Yes</v>
      </c>
      <c r="O858" s="48" t="str">
        <f aca="false">STACK!H858</f>
        <v>Sr Director</v>
      </c>
      <c r="P858" s="1" t="str">
        <f aca="false">IF(G858&gt;0,IF(INDEX(CONFIRM!$H$5:$H$53,G858)&lt;&gt;"",INDEX(CONFIRM!$H$5:$H$53,G858),IFERROR(INDEX(MAP!$B$7:$B$156,MATCH(TRIM(O858),MAP!$A$7:$A$156,0)),"UNMAPPED")),IFERROR(INDEX(MAP!$B$7:$B$156,MATCH(TRIM(O858),MAP!$A$7:$A$156,0)),"UNMAPPED"))</f>
        <v>Director</v>
      </c>
      <c r="Q858" s="48" t="n">
        <f aca="false">STACK!I858</f>
        <v>2.25</v>
      </c>
      <c r="R858" s="60" t="n">
        <f aca="false">IF(G858&gt;0,IF(INDEX(CONFIRM!$F$5:$F$53,G858)&lt;&gt;"",INDEX(CONFIRM!$F$5:$F$53,G858),IF(ISNUMBER(Q858),Q858,IF(Q858="","",IFERROR(VALUE(TRIM(SUBSTITUTE(SUBSTITUTE(LOWER(Q858),"hrs",""),"hr",""))),"")))),IF(ISNUMBER(Q858),Q858,IF(Q858="","",IFERROR(VALUE(TRIM(SUBSTITUTE(SUBSTITUTE(LOWER(Q858),"hrs",""),"hr",""))),""))))</f>
        <v>2.25</v>
      </c>
      <c r="S858" s="57" t="n">
        <f aca="false">IFERROR(INDEX(RATES!$E$6:$E$28,MATCH(P858,RATES!$A$6:$A$28,0)),0)</f>
        <v>92.52</v>
      </c>
      <c r="T858" s="61" t="n">
        <f aca="false">IF(ISNUMBER(R858),R858,0)*S858</f>
        <v>208.17</v>
      </c>
      <c r="U858" s="61" t="n">
        <f aca="false">T858*INDEX(INPUTS!$H$10:$H$14,MATCH(B858,INPUTS!$A$10:$A$14,0))</f>
        <v>32.89086</v>
      </c>
      <c r="V858" s="61" t="n">
        <f aca="false">N(STACK!K858)</f>
        <v>90</v>
      </c>
      <c r="W858" s="61" t="n">
        <f aca="false">T858+U858+V858</f>
        <v>331.06086</v>
      </c>
      <c r="X858" s="61" t="n">
        <f aca="false">N(STACK!L858)</f>
        <v>0</v>
      </c>
      <c r="Y858" s="61" t="n">
        <f aca="false">W858-X858</f>
        <v>331.06086</v>
      </c>
      <c r="Z858" s="1" t="n">
        <f aca="false">N(STACK!J858)</f>
        <v>0</v>
      </c>
      <c r="AA858" s="1" t="str">
        <f aca="false">TRIM(IF(D858="UNMAPPED","Program not mapped. ","")&amp;IF(OR(K858="UNMAPPED",K858="UNASSIGNED"),"Category needs review. ","")&amp;IF(P858="UNMAPPED","Title not mapped. ","")&amp;IF(AND(P858&lt;&gt;"No staff time",R858=""),"Missing hours. ","")&amp;IF(M858="","Date not readable. ","")&amp;IF(N858="No","Outside fiscal year. ","")&amp;IF(AND(F858="Event",ISNUMBER(R858)),IF(R858&gt;12,"Event hours look high. ",""),"")&amp;IF(G858&gt;0,"See CONFIRM sheet.",""))</f>
        <v>See CONFIRM sheet.</v>
      </c>
      <c r="AB858" s="1" t="n">
        <f aca="false">IF(N858="No",0,IF(REVIEW!O858=0,0,IF(G858&gt;0,IF(INDEX(CONFIRM!$J$5:$J$53,G858)&lt;&gt;"",INDEX(CONFIRM!$J$5:$J$53,G858),1),1)))</f>
        <v>0</v>
      </c>
      <c r="AC858" s="1" t="n">
        <f aca="false">IF(AB858=1,IF(COUNTIFS($B$5:B858,B858,$D$5:D858,D858,$AB$5:AB858,1)=1,1,0),0)</f>
        <v>0</v>
      </c>
    </row>
    <row r="859" customFormat="false" ht="15" hidden="false" customHeight="false" outlineLevel="0" collapsed="false">
      <c r="A859" s="48" t="str">
        <f aca="false">STACK!A859</f>
        <v>CBH-0031</v>
      </c>
      <c r="B859" s="48" t="str">
        <f aca="false">STACK!B859</f>
        <v>CBH</v>
      </c>
      <c r="C859" s="48" t="str">
        <f aca="false">STACK!E859</f>
        <v>Diabetes Prevention</v>
      </c>
      <c r="D859" s="1" t="str">
        <f aca="false">IFERROR(INDEX(MAP!$J$7:$J$101,MATCH(TRIM(C859),MAP!$I$7:$I$101,0)),"UNMAPPED")</f>
        <v>Diabetes Prevention Classes</v>
      </c>
      <c r="E859" s="1" t="str">
        <f aca="false">IFERROR(INDEX(MAP!$K$7:$K$101,MATCH(TRIM(C859),MAP!$I$7:$I$101,0)),"")</f>
        <v>Chronic disease prevention</v>
      </c>
      <c r="F859" s="1" t="str">
        <f aca="false">IFERROR(INDEX(MAP!$L$7:$L$101,MATCH(TRIM(C859),MAP!$I$7:$I$101,0)),"")</f>
        <v>Event</v>
      </c>
      <c r="G859" s="1" t="n">
        <f aca="false">IFERROR(MATCH(A859,CONFIRM!$A$5:$A$53,0),0)</f>
        <v>0</v>
      </c>
      <c r="H859" s="48" t="str">
        <f aca="false">STACK!F859</f>
        <v>Health Education</v>
      </c>
      <c r="I859" s="1" t="str">
        <f aca="false">IF(G859&gt;0,IF(INDEX(CONFIRM!$I$5:$I$53,G859)&lt;&gt;"",INDEX(CONFIRM!$I$5:$I$53,G859),H859),H859)</f>
        <v>Health Education</v>
      </c>
      <c r="J859" s="1" t="str">
        <f aca="false">IFERROR(INDEX(MAP!$F$7:$F$74,MATCH(TRIM(I859),MAP!$E$7:$E$74,0)),"UNMAPPED")</f>
        <v>Community health education</v>
      </c>
      <c r="K859" s="1" t="str">
        <f aca="false">IFERROR(INDEX(MAP!$G$7:$G$74,MATCH(TRIM(I859),MAP!$E$7:$E$74,0)),"UNMAPPED")</f>
        <v>7e</v>
      </c>
      <c r="L859" s="49" t="str">
        <f aca="false">STACK!G859</f>
        <v>2025-08-20</v>
      </c>
      <c r="M859" s="59" t="n">
        <f aca="false">IF(G859&gt;0,IF(INDEX(CONFIRM!$G$5:$G$53,G859)&lt;&gt;"",INDEX(CONFIRM!$G$5:$G$53,G859),IF(ISNUMBER(L859),L859,IFERROR(DATEVALUE(L859),""))),IF(ISNUMBER(L859),L859,IFERROR(DATEVALUE(L859),"")))</f>
        <v>45889</v>
      </c>
      <c r="N859" s="1" t="str">
        <f aca="false">IF(M859="","Check",IF(AND(M859&gt;=INPUTS!$C$6,M859&lt;=INPUTS!$C$7),"Yes","No"))</f>
        <v>Yes</v>
      </c>
      <c r="O859" s="48" t="str">
        <f aca="false">STACK!H859</f>
        <v>Hlth Educator</v>
      </c>
      <c r="P859" s="1" t="str">
        <f aca="false">IF(G859&gt;0,IF(INDEX(CONFIRM!$H$5:$H$53,G859)&lt;&gt;"",INDEX(CONFIRM!$H$5:$H$53,G859),IFERROR(INDEX(MAP!$B$7:$B$156,MATCH(TRIM(O859),MAP!$A$7:$A$156,0)),"UNMAPPED")),IFERROR(INDEX(MAP!$B$7:$B$156,MATCH(TRIM(O859),MAP!$A$7:$A$156,0)),"UNMAPPED"))</f>
        <v>Health Educator</v>
      </c>
      <c r="Q859" s="48" t="n">
        <f aca="false">STACK!I859</f>
        <v>2</v>
      </c>
      <c r="R859" s="60" t="n">
        <f aca="false">IF(G859&gt;0,IF(INDEX(CONFIRM!$F$5:$F$53,G859)&lt;&gt;"",INDEX(CONFIRM!$F$5:$F$53,G859),IF(ISNUMBER(Q859),Q859,IF(Q859="","",IFERROR(VALUE(TRIM(SUBSTITUTE(SUBSTITUTE(LOWER(Q859),"hrs",""),"hr",""))),"")))),IF(ISNUMBER(Q859),Q859,IF(Q859="","",IFERROR(VALUE(TRIM(SUBSTITUTE(SUBSTITUTE(LOWER(Q859),"hrs",""),"hr",""))),""))))</f>
        <v>2</v>
      </c>
      <c r="S859" s="57" t="n">
        <f aca="false">IFERROR(INDEX(RATES!$E$6:$E$28,MATCH(P859,RATES!$A$6:$A$28,0)),0)</f>
        <v>37.265</v>
      </c>
      <c r="T859" s="61" t="n">
        <f aca="false">IF(ISNUMBER(R859),R859,0)*S859</f>
        <v>74.53</v>
      </c>
      <c r="U859" s="61" t="n">
        <f aca="false">T859*INDEX(INPUTS!$H$10:$H$14,MATCH(B859,INPUTS!$A$10:$A$14,0))</f>
        <v>11.77574</v>
      </c>
      <c r="V859" s="61" t="n">
        <f aca="false">N(STACK!K859)</f>
        <v>115</v>
      </c>
      <c r="W859" s="61" t="n">
        <f aca="false">T859+U859+V859</f>
        <v>201.30574</v>
      </c>
      <c r="X859" s="61" t="n">
        <f aca="false">N(STACK!L859)</f>
        <v>0</v>
      </c>
      <c r="Y859" s="61" t="n">
        <f aca="false">W859-X859</f>
        <v>201.30574</v>
      </c>
      <c r="Z859" s="1" t="n">
        <f aca="false">N(STACK!J859)</f>
        <v>16</v>
      </c>
      <c r="AA859" s="1" t="str">
        <f aca="false">TRIM(IF(D859="UNMAPPED","Program not mapped. ","")&amp;IF(OR(K859="UNMAPPED",K859="UNASSIGNED"),"Category needs review. ","")&amp;IF(P859="UNMAPPED","Title not mapped. ","")&amp;IF(AND(P859&lt;&gt;"No staff time",R859=""),"Missing hours. ","")&amp;IF(M859="","Date not readable. ","")&amp;IF(N859="No","Outside fiscal year. ","")&amp;IF(AND(F859="Event",ISNUMBER(R859)),IF(R859&gt;12,"Event hours look high. ",""),"")&amp;IF(G859&gt;0,"See CONFIRM sheet.",""))</f>
        <v/>
      </c>
      <c r="AB859" s="1" t="n">
        <f aca="false">IF(N859="No",0,IF(REVIEW!O859=0,0,IF(G859&gt;0,IF(INDEX(CONFIRM!$J$5:$J$53,G859)&lt;&gt;"",INDEX(CONFIRM!$J$5:$J$53,G859),1),1)))</f>
        <v>1</v>
      </c>
      <c r="AC859" s="1" t="n">
        <f aca="false">IF(AB859=1,IF(COUNTIFS($B$5:B859,B859,$D$5:D859,D859,$AB$5:AB859,1)=1,1,0),0)</f>
        <v>0</v>
      </c>
    </row>
    <row r="860" customFormat="false" ht="15" hidden="false" customHeight="false" outlineLevel="0" collapsed="false">
      <c r="A860" s="48" t="str">
        <f aca="false">STACK!A860</f>
        <v>CBH-0032</v>
      </c>
      <c r="B860" s="48" t="str">
        <f aca="false">STACK!B860</f>
        <v>CBH</v>
      </c>
      <c r="C860" s="48" t="str">
        <f aca="false">STACK!E860</f>
        <v>Diabetes Prevention</v>
      </c>
      <c r="D860" s="1" t="str">
        <f aca="false">IFERROR(INDEX(MAP!$J$7:$J$101,MATCH(TRIM(C860),MAP!$I$7:$I$101,0)),"UNMAPPED")</f>
        <v>Diabetes Prevention Classes</v>
      </c>
      <c r="E860" s="1" t="str">
        <f aca="false">IFERROR(INDEX(MAP!$K$7:$K$101,MATCH(TRIM(C860),MAP!$I$7:$I$101,0)),"")</f>
        <v>Chronic disease prevention</v>
      </c>
      <c r="F860" s="1" t="str">
        <f aca="false">IFERROR(INDEX(MAP!$L$7:$L$101,MATCH(TRIM(C860),MAP!$I$7:$I$101,0)),"")</f>
        <v>Event</v>
      </c>
      <c r="G860" s="1" t="n">
        <f aca="false">IFERROR(MATCH(A860,CONFIRM!$A$5:$A$53,0),0)</f>
        <v>0</v>
      </c>
      <c r="H860" s="48" t="str">
        <f aca="false">STACK!F860</f>
        <v>Health Education</v>
      </c>
      <c r="I860" s="1" t="str">
        <f aca="false">IF(G860&gt;0,IF(INDEX(CONFIRM!$I$5:$I$53,G860)&lt;&gt;"",INDEX(CONFIRM!$I$5:$I$53,G860),H860),H860)</f>
        <v>Health Education</v>
      </c>
      <c r="J860" s="1" t="str">
        <f aca="false">IFERROR(INDEX(MAP!$F$7:$F$74,MATCH(TRIM(I860),MAP!$E$7:$E$74,0)),"UNMAPPED")</f>
        <v>Community health education</v>
      </c>
      <c r="K860" s="1" t="str">
        <f aca="false">IFERROR(INDEX(MAP!$G$7:$G$74,MATCH(TRIM(I860),MAP!$E$7:$E$74,0)),"UNMAPPED")</f>
        <v>7e</v>
      </c>
      <c r="L860" s="49" t="str">
        <f aca="false">STACK!G860</f>
        <v>2025-08-20</v>
      </c>
      <c r="M860" s="59" t="n">
        <f aca="false">IF(G860&gt;0,IF(INDEX(CONFIRM!$G$5:$G$53,G860)&lt;&gt;"",INDEX(CONFIRM!$G$5:$G$53,G860),IF(ISNUMBER(L860),L860,IFERROR(DATEVALUE(L860),""))),IF(ISNUMBER(L860),L860,IFERROR(DATEVALUE(L860),"")))</f>
        <v>45889</v>
      </c>
      <c r="N860" s="1" t="str">
        <f aca="false">IF(M860="","Check",IF(AND(M860&gt;=INPUTS!$C$6,M860&lt;=INPUTS!$C$7),"Yes","No"))</f>
        <v>Yes</v>
      </c>
      <c r="O860" s="48" t="str">
        <f aca="false">STACK!H860</f>
        <v>Dietitian</v>
      </c>
      <c r="P860" s="1" t="str">
        <f aca="false">IF(G860&gt;0,IF(INDEX(CONFIRM!$H$5:$H$53,G860)&lt;&gt;"",INDEX(CONFIRM!$H$5:$H$53,G860),IFERROR(INDEX(MAP!$B$7:$B$156,MATCH(TRIM(O860),MAP!$A$7:$A$156,0)),"UNMAPPED")),IFERROR(INDEX(MAP!$B$7:$B$156,MATCH(TRIM(O860),MAP!$A$7:$A$156,0)),"UNMAPPED"))</f>
        <v>Registered Dietitian</v>
      </c>
      <c r="Q860" s="48" t="n">
        <f aca="false">STACK!I860</f>
        <v>2</v>
      </c>
      <c r="R860" s="60" t="n">
        <f aca="false">IF(G860&gt;0,IF(INDEX(CONFIRM!$F$5:$F$53,G860)&lt;&gt;"",INDEX(CONFIRM!$F$5:$F$53,G860),IF(ISNUMBER(Q860),Q860,IF(Q860="","",IFERROR(VALUE(TRIM(SUBSTITUTE(SUBSTITUTE(LOWER(Q860),"hrs",""),"hr",""))),"")))),IF(ISNUMBER(Q860),Q860,IF(Q860="","",IFERROR(VALUE(TRIM(SUBSTITUTE(SUBSTITUTE(LOWER(Q860),"hrs",""),"hr",""))),""))))</f>
        <v>2</v>
      </c>
      <c r="S860" s="57" t="n">
        <f aca="false">IFERROR(INDEX(RATES!$E$6:$E$28,MATCH(P860,RATES!$A$6:$A$28,0)),0)</f>
        <v>46.9025</v>
      </c>
      <c r="T860" s="61" t="n">
        <f aca="false">IF(ISNUMBER(R860),R860,0)*S860</f>
        <v>93.805</v>
      </c>
      <c r="U860" s="61" t="n">
        <f aca="false">T860*INDEX(INPUTS!$H$10:$H$14,MATCH(B860,INPUTS!$A$10:$A$14,0))</f>
        <v>14.82119</v>
      </c>
      <c r="V860" s="61" t="n">
        <f aca="false">N(STACK!K860)</f>
        <v>0</v>
      </c>
      <c r="W860" s="61" t="n">
        <f aca="false">T860+U860+V860</f>
        <v>108.62619</v>
      </c>
      <c r="X860" s="61" t="n">
        <f aca="false">N(STACK!L860)</f>
        <v>0</v>
      </c>
      <c r="Y860" s="61" t="n">
        <f aca="false">W860-X860</f>
        <v>108.62619</v>
      </c>
      <c r="Z860" s="1" t="n">
        <f aca="false">N(STACK!J860)</f>
        <v>0</v>
      </c>
      <c r="AA860" s="1" t="str">
        <f aca="false">TRIM(IF(D860="UNMAPPED","Program not mapped. ","")&amp;IF(OR(K860="UNMAPPED",K860="UNASSIGNED"),"Category needs review. ","")&amp;IF(P860="UNMAPPED","Title not mapped. ","")&amp;IF(AND(P860&lt;&gt;"No staff time",R860=""),"Missing hours. ","")&amp;IF(M860="","Date not readable. ","")&amp;IF(N860="No","Outside fiscal year. ","")&amp;IF(AND(F860="Event",ISNUMBER(R860)),IF(R860&gt;12,"Event hours look high. ",""),"")&amp;IF(G860&gt;0,"See CONFIRM sheet.",""))</f>
        <v/>
      </c>
      <c r="AB860" s="1" t="n">
        <f aca="false">IF(N860="No",0,IF(REVIEW!O860=0,0,IF(G860&gt;0,IF(INDEX(CONFIRM!$J$5:$J$53,G860)&lt;&gt;"",INDEX(CONFIRM!$J$5:$J$53,G860),1),1)))</f>
        <v>1</v>
      </c>
      <c r="AC860" s="1" t="n">
        <f aca="false">IF(AB860=1,IF(COUNTIFS($B$5:B860,B860,$D$5:D860,D860,$AB$5:AB860,1)=1,1,0),0)</f>
        <v>0</v>
      </c>
    </row>
    <row r="861" customFormat="false" ht="15" hidden="false" customHeight="false" outlineLevel="0" collapsed="false">
      <c r="A861" s="48" t="str">
        <f aca="false">STACK!A861</f>
        <v>CBH-0033</v>
      </c>
      <c r="B861" s="48" t="str">
        <f aca="false">STACK!B861</f>
        <v>CBH</v>
      </c>
      <c r="C861" s="48" t="str">
        <f aca="false">STACK!E861</f>
        <v>Smoke-Free Parks</v>
      </c>
      <c r="D861" s="1" t="str">
        <f aca="false">IFERROR(INDEX(MAP!$J$7:$J$101,MATCH(TRIM(C861),MAP!$I$7:$I$101,0)),"UNMAPPED")</f>
        <v>Smoke-Free Parks Advocacy</v>
      </c>
      <c r="E861" s="1" t="str">
        <f aca="false">IFERROR(INDEX(MAP!$K$7:$K$101,MATCH(TRIM(C861),MAP!$I$7:$I$101,0)),"")</f>
        <v>Chronic disease prevention</v>
      </c>
      <c r="F861" s="1" t="str">
        <f aca="false">IFERROR(INDEX(MAP!$L$7:$L$101,MATCH(TRIM(C861),MAP!$I$7:$I$101,0)),"")</f>
        <v>Event</v>
      </c>
      <c r="G861" s="1" t="n">
        <f aca="false">IFERROR(MATCH(A861,CONFIRM!$A$5:$A$53,0),0)</f>
        <v>0</v>
      </c>
      <c r="H861" s="48" t="str">
        <f aca="false">STACK!F861</f>
        <v>Advocacy</v>
      </c>
      <c r="I861" s="1" t="str">
        <f aca="false">IF(G861&gt;0,IF(INDEX(CONFIRM!$I$5:$I$53,G861)&lt;&gt;"",INDEX(CONFIRM!$I$5:$I$53,G861),H861),H861)</f>
        <v>Advocacy</v>
      </c>
      <c r="J861" s="1" t="str">
        <f aca="false">IFERROR(INDEX(MAP!$F$7:$F$74,MATCH(TRIM(I861),MAP!$E$7:$E$74,0)),"UNMAPPED")</f>
        <v>Community building: health improvement advocacy</v>
      </c>
      <c r="K861" s="1" t="str">
        <f aca="false">IFERROR(INDEX(MAP!$G$7:$G$74,MATCH(TRIM(I861),MAP!$E$7:$E$74,0)),"UNMAPPED")</f>
        <v>II-7</v>
      </c>
      <c r="L861" s="49" t="str">
        <f aca="false">STACK!G861</f>
        <v>2025-08-28</v>
      </c>
      <c r="M861" s="59" t="n">
        <f aca="false">IF(G861&gt;0,IF(INDEX(CONFIRM!$G$5:$G$53,G861)&lt;&gt;"",INDEX(CONFIRM!$G$5:$G$53,G861),IF(ISNUMBER(L861),L861,IFERROR(DATEVALUE(L861),""))),IF(ISNUMBER(L861),L861,IFERROR(DATEVALUE(L861),"")))</f>
        <v>45897</v>
      </c>
      <c r="N861" s="1" t="str">
        <f aca="false">IF(M861="","Check",IF(AND(M861&gt;=INPUTS!$C$6,M861&lt;=INPUTS!$C$7),"Yes","No"))</f>
        <v>Yes</v>
      </c>
      <c r="O861" s="48" t="str">
        <f aca="false">STACK!H861</f>
        <v>Dir.</v>
      </c>
      <c r="P861" s="1" t="str">
        <f aca="false">IF(G861&gt;0,IF(INDEX(CONFIRM!$H$5:$H$53,G861)&lt;&gt;"",INDEX(CONFIRM!$H$5:$H$53,G861),IFERROR(INDEX(MAP!$B$7:$B$156,MATCH(TRIM(O861),MAP!$A$7:$A$156,0)),"UNMAPPED")),IFERROR(INDEX(MAP!$B$7:$B$156,MATCH(TRIM(O861),MAP!$A$7:$A$156,0)),"UNMAPPED"))</f>
        <v>Director</v>
      </c>
      <c r="Q861" s="48" t="n">
        <f aca="false">STACK!I861</f>
        <v>1.75</v>
      </c>
      <c r="R861" s="60" t="n">
        <f aca="false">IF(G861&gt;0,IF(INDEX(CONFIRM!$F$5:$F$53,G861)&lt;&gt;"",INDEX(CONFIRM!$F$5:$F$53,G861),IF(ISNUMBER(Q861),Q861,IF(Q861="","",IFERROR(VALUE(TRIM(SUBSTITUTE(SUBSTITUTE(LOWER(Q861),"hrs",""),"hr",""))),"")))),IF(ISNUMBER(Q861),Q861,IF(Q861="","",IFERROR(VALUE(TRIM(SUBSTITUTE(SUBSTITUTE(LOWER(Q861),"hrs",""),"hr",""))),""))))</f>
        <v>1.75</v>
      </c>
      <c r="S861" s="57" t="n">
        <f aca="false">IFERROR(INDEX(RATES!$E$6:$E$28,MATCH(P861,RATES!$A$6:$A$28,0)),0)</f>
        <v>92.52</v>
      </c>
      <c r="T861" s="61" t="n">
        <f aca="false">IF(ISNUMBER(R861),R861,0)*S861</f>
        <v>161.91</v>
      </c>
      <c r="U861" s="61" t="n">
        <f aca="false">T861*INDEX(INPUTS!$H$10:$H$14,MATCH(B861,INPUTS!$A$10:$A$14,0))</f>
        <v>25.58178</v>
      </c>
      <c r="V861" s="61" t="n">
        <f aca="false">N(STACK!K861)</f>
        <v>0</v>
      </c>
      <c r="W861" s="61" t="n">
        <f aca="false">T861+U861+V861</f>
        <v>187.49178</v>
      </c>
      <c r="X861" s="61" t="n">
        <f aca="false">N(STACK!L861)</f>
        <v>0</v>
      </c>
      <c r="Y861" s="61" t="n">
        <f aca="false">W861-X861</f>
        <v>187.49178</v>
      </c>
      <c r="Z861" s="1" t="n">
        <f aca="false">N(STACK!J861)</f>
        <v>0</v>
      </c>
      <c r="AA861" s="1" t="str">
        <f aca="false">TRIM(IF(D861="UNMAPPED","Program not mapped. ","")&amp;IF(OR(K861="UNMAPPED",K861="UNASSIGNED"),"Category needs review. ","")&amp;IF(P861="UNMAPPED","Title not mapped. ","")&amp;IF(AND(P861&lt;&gt;"No staff time",R861=""),"Missing hours. ","")&amp;IF(M861="","Date not readable. ","")&amp;IF(N861="No","Outside fiscal year. ","")&amp;IF(AND(F861="Event",ISNUMBER(R861)),IF(R861&gt;12,"Event hours look high. ",""),"")&amp;IF(G861&gt;0,"See CONFIRM sheet.",""))</f>
        <v/>
      </c>
      <c r="AB861" s="1" t="n">
        <f aca="false">IF(N861="No",0,IF(REVIEW!O861=0,0,IF(G861&gt;0,IF(INDEX(CONFIRM!$J$5:$J$53,G861)&lt;&gt;"",INDEX(CONFIRM!$J$5:$J$53,G861),1),1)))</f>
        <v>1</v>
      </c>
      <c r="AC861" s="1" t="n">
        <f aca="false">IF(AB861=1,IF(COUNTIFS($B$5:B861,B861,$D$5:D861,D861,$AB$5:AB861,1)=1,1,0),0)</f>
        <v>0</v>
      </c>
    </row>
    <row r="862" customFormat="false" ht="15" hidden="false" customHeight="false" outlineLevel="0" collapsed="false">
      <c r="A862" s="48" t="str">
        <f aca="false">STACK!A862</f>
        <v>CBH-0034</v>
      </c>
      <c r="B862" s="48" t="str">
        <f aca="false">STACK!B862</f>
        <v>CBH</v>
      </c>
      <c r="C862" s="48" t="str">
        <f aca="false">STACK!E862</f>
        <v>Smoke-Free Parks</v>
      </c>
      <c r="D862" s="1" t="str">
        <f aca="false">IFERROR(INDEX(MAP!$J$7:$J$101,MATCH(TRIM(C862),MAP!$I$7:$I$101,0)),"UNMAPPED")</f>
        <v>Smoke-Free Parks Advocacy</v>
      </c>
      <c r="E862" s="1" t="str">
        <f aca="false">IFERROR(INDEX(MAP!$K$7:$K$101,MATCH(TRIM(C862),MAP!$I$7:$I$101,0)),"")</f>
        <v>Chronic disease prevention</v>
      </c>
      <c r="F862" s="1" t="str">
        <f aca="false">IFERROR(INDEX(MAP!$L$7:$L$101,MATCH(TRIM(C862),MAP!$I$7:$I$101,0)),"")</f>
        <v>Event</v>
      </c>
      <c r="G862" s="1" t="n">
        <f aca="false">IFERROR(MATCH(A862,CONFIRM!$A$5:$A$53,0),0)</f>
        <v>0</v>
      </c>
      <c r="H862" s="48" t="str">
        <f aca="false">STACK!F862</f>
        <v>Advocacy</v>
      </c>
      <c r="I862" s="1" t="str">
        <f aca="false">IF(G862&gt;0,IF(INDEX(CONFIRM!$I$5:$I$53,G862)&lt;&gt;"",INDEX(CONFIRM!$I$5:$I$53,G862),H862),H862)</f>
        <v>Advocacy</v>
      </c>
      <c r="J862" s="1" t="str">
        <f aca="false">IFERROR(INDEX(MAP!$F$7:$F$74,MATCH(TRIM(I862),MAP!$E$7:$E$74,0)),"UNMAPPED")</f>
        <v>Community building: health improvement advocacy</v>
      </c>
      <c r="K862" s="1" t="str">
        <f aca="false">IFERROR(INDEX(MAP!$G$7:$G$74,MATCH(TRIM(I862),MAP!$E$7:$E$74,0)),"UNMAPPED")</f>
        <v>II-7</v>
      </c>
      <c r="L862" s="49" t="str">
        <f aca="false">STACK!G862</f>
        <v>2025-08-28</v>
      </c>
      <c r="M862" s="59" t="n">
        <f aca="false">IF(G862&gt;0,IF(INDEX(CONFIRM!$G$5:$G$53,G862)&lt;&gt;"",INDEX(CONFIRM!$G$5:$G$53,G862),IF(ISNUMBER(L862),L862,IFERROR(DATEVALUE(L862),""))),IF(ISNUMBER(L862),L862,IFERROR(DATEVALUE(L862),"")))</f>
        <v>45897</v>
      </c>
      <c r="N862" s="1" t="str">
        <f aca="false">IF(M862="","Check",IF(AND(M862&gt;=INPUTS!$C$6,M862&lt;=INPUTS!$C$7),"Yes","No"))</f>
        <v>Yes</v>
      </c>
      <c r="O862" s="48" t="str">
        <f aca="false">STACK!H862</f>
        <v>Hlth Educator</v>
      </c>
      <c r="P862" s="1" t="str">
        <f aca="false">IF(G862&gt;0,IF(INDEX(CONFIRM!$H$5:$H$53,G862)&lt;&gt;"",INDEX(CONFIRM!$H$5:$H$53,G862),IFERROR(INDEX(MAP!$B$7:$B$156,MATCH(TRIM(O862),MAP!$A$7:$A$156,0)),"UNMAPPED")),IFERROR(INDEX(MAP!$B$7:$B$156,MATCH(TRIM(O862),MAP!$A$7:$A$156,0)),"UNMAPPED"))</f>
        <v>Health Educator</v>
      </c>
      <c r="Q862" s="48" t="n">
        <f aca="false">STACK!I862</f>
        <v>3.75</v>
      </c>
      <c r="R862" s="60" t="n">
        <f aca="false">IF(G862&gt;0,IF(INDEX(CONFIRM!$F$5:$F$53,G862)&lt;&gt;"",INDEX(CONFIRM!$F$5:$F$53,G862),IF(ISNUMBER(Q862),Q862,IF(Q862="","",IFERROR(VALUE(TRIM(SUBSTITUTE(SUBSTITUTE(LOWER(Q862),"hrs",""),"hr",""))),"")))),IF(ISNUMBER(Q862),Q862,IF(Q862="","",IFERROR(VALUE(TRIM(SUBSTITUTE(SUBSTITUTE(LOWER(Q862),"hrs",""),"hr",""))),""))))</f>
        <v>3.75</v>
      </c>
      <c r="S862" s="57" t="n">
        <f aca="false">IFERROR(INDEX(RATES!$E$6:$E$28,MATCH(P862,RATES!$A$6:$A$28,0)),0)</f>
        <v>37.265</v>
      </c>
      <c r="T862" s="61" t="n">
        <f aca="false">IF(ISNUMBER(R862),R862,0)*S862</f>
        <v>139.74375</v>
      </c>
      <c r="U862" s="61" t="n">
        <f aca="false">T862*INDEX(INPUTS!$H$10:$H$14,MATCH(B862,INPUTS!$A$10:$A$14,0))</f>
        <v>22.0795125</v>
      </c>
      <c r="V862" s="61" t="n">
        <f aca="false">N(STACK!K862)</f>
        <v>240</v>
      </c>
      <c r="W862" s="61" t="n">
        <f aca="false">T862+U862+V862</f>
        <v>401.8232625</v>
      </c>
      <c r="X862" s="61" t="n">
        <f aca="false">N(STACK!L862)</f>
        <v>0</v>
      </c>
      <c r="Y862" s="61" t="n">
        <f aca="false">W862-X862</f>
        <v>401.8232625</v>
      </c>
      <c r="Z862" s="1" t="n">
        <f aca="false">N(STACK!J862)</f>
        <v>0</v>
      </c>
      <c r="AA862" s="1" t="str">
        <f aca="false">TRIM(IF(D862="UNMAPPED","Program not mapped. ","")&amp;IF(OR(K862="UNMAPPED",K862="UNASSIGNED"),"Category needs review. ","")&amp;IF(P862="UNMAPPED","Title not mapped. ","")&amp;IF(AND(P862&lt;&gt;"No staff time",R862=""),"Missing hours. ","")&amp;IF(M862="","Date not readable. ","")&amp;IF(N862="No","Outside fiscal year. ","")&amp;IF(AND(F862="Event",ISNUMBER(R862)),IF(R862&gt;12,"Event hours look high. ",""),"")&amp;IF(G862&gt;0,"See CONFIRM sheet.",""))</f>
        <v/>
      </c>
      <c r="AB862" s="1" t="n">
        <f aca="false">IF(N862="No",0,IF(REVIEW!O862=0,0,IF(G862&gt;0,IF(INDEX(CONFIRM!$J$5:$J$53,G862)&lt;&gt;"",INDEX(CONFIRM!$J$5:$J$53,G862),1),1)))</f>
        <v>1</v>
      </c>
      <c r="AC862" s="1" t="n">
        <f aca="false">IF(AB862=1,IF(COUNTIFS($B$5:B862,B862,$D$5:D862,D862,$AB$5:AB862,1)=1,1,0),0)</f>
        <v>0</v>
      </c>
    </row>
    <row r="863" customFormat="false" ht="15" hidden="false" customHeight="false" outlineLevel="0" collapsed="false">
      <c r="A863" s="48" t="str">
        <f aca="false">STACK!A863</f>
        <v>CBH-0035</v>
      </c>
      <c r="B863" s="48" t="str">
        <f aca="false">STACK!B863</f>
        <v>CBH</v>
      </c>
      <c r="C863" s="48" t="str">
        <f aca="false">STACK!E863</f>
        <v>Free Clinic Staffing</v>
      </c>
      <c r="D863" s="1" t="str">
        <f aca="false">IFERROR(INDEX(MAP!$J$7:$J$101,MATCH(TRIM(C863),MAP!$I$7:$I$101,0)),"UNMAPPED")</f>
        <v>Free Clinic Provider Staffing</v>
      </c>
      <c r="E863" s="1" t="str">
        <f aca="false">IFERROR(INDEX(MAP!$K$7:$K$101,MATCH(TRIM(C863),MAP!$I$7:$I$101,0)),"")</f>
        <v>Access to care</v>
      </c>
      <c r="F863" s="1" t="str">
        <f aca="false">IFERROR(INDEX(MAP!$L$7:$L$101,MATCH(TRIM(C863),MAP!$I$7:$I$101,0)),"")</f>
        <v>Monthly</v>
      </c>
      <c r="G863" s="1" t="n">
        <f aca="false">IFERROR(MATCH(A863,CONFIRM!$A$5:$A$53,0),0)</f>
        <v>0</v>
      </c>
      <c r="H863" s="48" t="str">
        <f aca="false">STACK!F863</f>
        <v>Screenings</v>
      </c>
      <c r="I863" s="1" t="str">
        <f aca="false">IF(G863&gt;0,IF(INDEX(CONFIRM!$I$5:$I$53,G863)&lt;&gt;"",INDEX(CONFIRM!$I$5:$I$53,G863),H863),H863)</f>
        <v>Screenings</v>
      </c>
      <c r="J863" s="1" t="str">
        <f aca="false">IFERROR(INDEX(MAP!$F$7:$F$74,MATCH(TRIM(I863),MAP!$E$7:$E$74,0)),"UNMAPPED")</f>
        <v>Community-based clinical services</v>
      </c>
      <c r="K863" s="1" t="str">
        <f aca="false">IFERROR(INDEX(MAP!$G$7:$G$74,MATCH(TRIM(I863),MAP!$E$7:$E$74,0)),"UNMAPPED")</f>
        <v>7e</v>
      </c>
      <c r="L863" s="49" t="str">
        <f aca="false">STACK!G863</f>
        <v>2025-08-31</v>
      </c>
      <c r="M863" s="59" t="n">
        <f aca="false">IF(G863&gt;0,IF(INDEX(CONFIRM!$G$5:$G$53,G863)&lt;&gt;"",INDEX(CONFIRM!$G$5:$G$53,G863),IF(ISNUMBER(L863),L863,IFERROR(DATEVALUE(L863),""))),IF(ISNUMBER(L863),L863,IFERROR(DATEVALUE(L863),"")))</f>
        <v>45900</v>
      </c>
      <c r="N863" s="1" t="str">
        <f aca="false">IF(M863="","Check",IF(AND(M863&gt;=INPUTS!$C$6,M863&lt;=INPUTS!$C$7),"Yes","No"))</f>
        <v>Yes</v>
      </c>
      <c r="O863" s="48" t="str">
        <f aca="false">STACK!H863</f>
        <v>FNP</v>
      </c>
      <c r="P863" s="1" t="str">
        <f aca="false">IF(G863&gt;0,IF(INDEX(CONFIRM!$H$5:$H$53,G863)&lt;&gt;"",INDEX(CONFIRM!$H$5:$H$53,G863),IFERROR(INDEX(MAP!$B$7:$B$156,MATCH(TRIM(O863),MAP!$A$7:$A$156,0)),"UNMAPPED")),IFERROR(INDEX(MAP!$B$7:$B$156,MATCH(TRIM(O863),MAP!$A$7:$A$156,0)),"UNMAPPED"))</f>
        <v>Nurse Practitioner</v>
      </c>
      <c r="Q863" s="48" t="n">
        <f aca="false">STACK!I863</f>
        <v>29.5</v>
      </c>
      <c r="R863" s="60" t="n">
        <f aca="false">IF(G863&gt;0,IF(INDEX(CONFIRM!$F$5:$F$53,G863)&lt;&gt;"",INDEX(CONFIRM!$F$5:$F$53,G863),IF(ISNUMBER(Q863),Q863,IF(Q863="","",IFERROR(VALUE(TRIM(SUBSTITUTE(SUBSTITUTE(LOWER(Q863),"hrs",""),"hr",""))),"")))),IF(ISNUMBER(Q863),Q863,IF(Q863="","",IFERROR(VALUE(TRIM(SUBSTITUTE(SUBSTITUTE(LOWER(Q863),"hrs",""),"hr",""))),""))))</f>
        <v>29.5</v>
      </c>
      <c r="S863" s="57" t="n">
        <f aca="false">IFERROR(INDEX(RATES!$E$6:$E$28,MATCH(P863,RATES!$A$6:$A$28,0)),0)</f>
        <v>79.67</v>
      </c>
      <c r="T863" s="61" t="n">
        <f aca="false">IF(ISNUMBER(R863),R863,0)*S863</f>
        <v>2350.265</v>
      </c>
      <c r="U863" s="61" t="n">
        <f aca="false">T863*INDEX(INPUTS!$H$10:$H$14,MATCH(B863,INPUTS!$A$10:$A$14,0))</f>
        <v>371.34187</v>
      </c>
      <c r="V863" s="61" t="n">
        <f aca="false">N(STACK!K863)</f>
        <v>2570</v>
      </c>
      <c r="W863" s="61" t="n">
        <f aca="false">T863+U863+V863</f>
        <v>5291.60687</v>
      </c>
      <c r="X863" s="61" t="n">
        <f aca="false">N(STACK!L863)</f>
        <v>0</v>
      </c>
      <c r="Y863" s="61" t="n">
        <f aca="false">W863-X863</f>
        <v>5291.60687</v>
      </c>
      <c r="Z863" s="1" t="n">
        <f aca="false">N(STACK!J863)</f>
        <v>204</v>
      </c>
      <c r="AA863" s="1" t="str">
        <f aca="false">TRIM(IF(D863="UNMAPPED","Program not mapped. ","")&amp;IF(OR(K863="UNMAPPED",K863="UNASSIGNED"),"Category needs review. ","")&amp;IF(P863="UNMAPPED","Title not mapped. ","")&amp;IF(AND(P863&lt;&gt;"No staff time",R863=""),"Missing hours. ","")&amp;IF(M863="","Date not readable. ","")&amp;IF(N863="No","Outside fiscal year. ","")&amp;IF(AND(F863="Event",ISNUMBER(R863)),IF(R863&gt;12,"Event hours look high. ",""),"")&amp;IF(G863&gt;0,"See CONFIRM sheet.",""))</f>
        <v/>
      </c>
      <c r="AB863" s="1" t="n">
        <f aca="false">IF(N863="No",0,IF(REVIEW!O863=0,0,IF(G863&gt;0,IF(INDEX(CONFIRM!$J$5:$J$53,G863)&lt;&gt;"",INDEX(CONFIRM!$J$5:$J$53,G863),1),1)))</f>
        <v>1</v>
      </c>
      <c r="AC863" s="1" t="n">
        <f aca="false">IF(AB863=1,IF(COUNTIFS($B$5:B863,B863,$D$5:D863,D863,$AB$5:AB863,1)=1,1,0),0)</f>
        <v>0</v>
      </c>
    </row>
    <row r="864" customFormat="false" ht="15" hidden="false" customHeight="false" outlineLevel="0" collapsed="false">
      <c r="A864" s="48" t="str">
        <f aca="false">STACK!A864</f>
        <v>CBH-0036</v>
      </c>
      <c r="B864" s="48" t="str">
        <f aca="false">STACK!B864</f>
        <v>CBH</v>
      </c>
      <c r="C864" s="48" t="str">
        <f aca="false">STACK!E864</f>
        <v>Free Clinic Staffing</v>
      </c>
      <c r="D864" s="1" t="str">
        <f aca="false">IFERROR(INDEX(MAP!$J$7:$J$101,MATCH(TRIM(C864),MAP!$I$7:$I$101,0)),"UNMAPPED")</f>
        <v>Free Clinic Provider Staffing</v>
      </c>
      <c r="E864" s="1" t="str">
        <f aca="false">IFERROR(INDEX(MAP!$K$7:$K$101,MATCH(TRIM(C864),MAP!$I$7:$I$101,0)),"")</f>
        <v>Access to care</v>
      </c>
      <c r="F864" s="1" t="str">
        <f aca="false">IFERROR(INDEX(MAP!$L$7:$L$101,MATCH(TRIM(C864),MAP!$I$7:$I$101,0)),"")</f>
        <v>Monthly</v>
      </c>
      <c r="G864" s="1" t="n">
        <f aca="false">IFERROR(MATCH(A864,CONFIRM!$A$5:$A$53,0),0)</f>
        <v>0</v>
      </c>
      <c r="H864" s="48" t="str">
        <f aca="false">STACK!F864</f>
        <v>Screenings</v>
      </c>
      <c r="I864" s="1" t="str">
        <f aca="false">IF(G864&gt;0,IF(INDEX(CONFIRM!$I$5:$I$53,G864)&lt;&gt;"",INDEX(CONFIRM!$I$5:$I$53,G864),H864),H864)</f>
        <v>Screenings</v>
      </c>
      <c r="J864" s="1" t="str">
        <f aca="false">IFERROR(INDEX(MAP!$F$7:$F$74,MATCH(TRIM(I864),MAP!$E$7:$E$74,0)),"UNMAPPED")</f>
        <v>Community-based clinical services</v>
      </c>
      <c r="K864" s="1" t="str">
        <f aca="false">IFERROR(INDEX(MAP!$G$7:$G$74,MATCH(TRIM(I864),MAP!$E$7:$E$74,0)),"UNMAPPED")</f>
        <v>7e</v>
      </c>
      <c r="L864" s="49" t="str">
        <f aca="false">STACK!G864</f>
        <v>2025-08-31</v>
      </c>
      <c r="M864" s="59" t="n">
        <f aca="false">IF(G864&gt;0,IF(INDEX(CONFIRM!$G$5:$G$53,G864)&lt;&gt;"",INDEX(CONFIRM!$G$5:$G$53,G864),IF(ISNUMBER(L864),L864,IFERROR(DATEVALUE(L864),""))),IF(ISNUMBER(L864),L864,IFERROR(DATEVALUE(L864),"")))</f>
        <v>45900</v>
      </c>
      <c r="N864" s="1" t="str">
        <f aca="false">IF(M864="","Check",IF(AND(M864&gt;=INPUTS!$C$6,M864&lt;=INPUTS!$C$7),"Yes","No"))</f>
        <v>Yes</v>
      </c>
      <c r="O864" s="48" t="str">
        <f aca="false">STACK!H864</f>
        <v>Pharmacist</v>
      </c>
      <c r="P864" s="1" t="str">
        <f aca="false">IF(G864&gt;0,IF(INDEX(CONFIRM!$H$5:$H$53,G864)&lt;&gt;"",INDEX(CONFIRM!$H$5:$H$53,G864),IFERROR(INDEX(MAP!$B$7:$B$156,MATCH(TRIM(O864),MAP!$A$7:$A$156,0)),"UNMAPPED")),IFERROR(INDEX(MAP!$B$7:$B$156,MATCH(TRIM(O864),MAP!$A$7:$A$156,0)),"UNMAPPED"))</f>
        <v>Pharmacist</v>
      </c>
      <c r="Q864" s="48" t="n">
        <f aca="false">STACK!I864</f>
        <v>15.75</v>
      </c>
      <c r="R864" s="60" t="n">
        <f aca="false">IF(G864&gt;0,IF(INDEX(CONFIRM!$F$5:$F$53,G864)&lt;&gt;"",INDEX(CONFIRM!$F$5:$F$53,G864),IF(ISNUMBER(Q864),Q864,IF(Q864="","",IFERROR(VALUE(TRIM(SUBSTITUTE(SUBSTITUTE(LOWER(Q864),"hrs",""),"hr",""))),"")))),IF(ISNUMBER(Q864),Q864,IF(Q864="","",IFERROR(VALUE(TRIM(SUBSTITUTE(SUBSTITUTE(LOWER(Q864),"hrs",""),"hr",""))),""))))</f>
        <v>15.75</v>
      </c>
      <c r="S864" s="57" t="n">
        <f aca="false">IFERROR(INDEX(RATES!$E$6:$E$28,MATCH(P864,RATES!$A$6:$A$28,0)),0)</f>
        <v>84.81</v>
      </c>
      <c r="T864" s="61" t="n">
        <f aca="false">IF(ISNUMBER(R864),R864,0)*S864</f>
        <v>1335.7575</v>
      </c>
      <c r="U864" s="61" t="n">
        <f aca="false">T864*INDEX(INPUTS!$H$10:$H$14,MATCH(B864,INPUTS!$A$10:$A$14,0))</f>
        <v>211.049685</v>
      </c>
      <c r="V864" s="61" t="n">
        <f aca="false">N(STACK!K864)</f>
        <v>0</v>
      </c>
      <c r="W864" s="61" t="n">
        <f aca="false">T864+U864+V864</f>
        <v>1546.807185</v>
      </c>
      <c r="X864" s="61" t="n">
        <f aca="false">N(STACK!L864)</f>
        <v>0</v>
      </c>
      <c r="Y864" s="61" t="n">
        <f aca="false">W864-X864</f>
        <v>1546.807185</v>
      </c>
      <c r="Z864" s="1" t="n">
        <f aca="false">N(STACK!J864)</f>
        <v>0</v>
      </c>
      <c r="AA864" s="1" t="str">
        <f aca="false">TRIM(IF(D864="UNMAPPED","Program not mapped. ","")&amp;IF(OR(K864="UNMAPPED",K864="UNASSIGNED"),"Category needs review. ","")&amp;IF(P864="UNMAPPED","Title not mapped. ","")&amp;IF(AND(P864&lt;&gt;"No staff time",R864=""),"Missing hours. ","")&amp;IF(M864="","Date not readable. ","")&amp;IF(N864="No","Outside fiscal year. ","")&amp;IF(AND(F864="Event",ISNUMBER(R864)),IF(R864&gt;12,"Event hours look high. ",""),"")&amp;IF(G864&gt;0,"See CONFIRM sheet.",""))</f>
        <v/>
      </c>
      <c r="AB864" s="1" t="n">
        <f aca="false">IF(N864="No",0,IF(REVIEW!O864=0,0,IF(G864&gt;0,IF(INDEX(CONFIRM!$J$5:$J$53,G864)&lt;&gt;"",INDEX(CONFIRM!$J$5:$J$53,G864),1),1)))</f>
        <v>1</v>
      </c>
      <c r="AC864" s="1" t="n">
        <f aca="false">IF(AB864=1,IF(COUNTIFS($B$5:B864,B864,$D$5:D864,D864,$AB$5:AB864,1)=1,1,0),0)</f>
        <v>0</v>
      </c>
    </row>
    <row r="865" customFormat="false" ht="15" hidden="false" customHeight="false" outlineLevel="0" collapsed="false">
      <c r="A865" s="48" t="str">
        <f aca="false">STACK!A865</f>
        <v>CBH-0037</v>
      </c>
      <c r="B865" s="48" t="str">
        <f aca="false">STACK!B865</f>
        <v>CBH</v>
      </c>
      <c r="C865" s="48" t="str">
        <f aca="false">STACK!E865</f>
        <v>Free Clinic Staffing</v>
      </c>
      <c r="D865" s="1" t="str">
        <f aca="false">IFERROR(INDEX(MAP!$J$7:$J$101,MATCH(TRIM(C865),MAP!$I$7:$I$101,0)),"UNMAPPED")</f>
        <v>Free Clinic Provider Staffing</v>
      </c>
      <c r="E865" s="1" t="str">
        <f aca="false">IFERROR(INDEX(MAP!$K$7:$K$101,MATCH(TRIM(C865),MAP!$I$7:$I$101,0)),"")</f>
        <v>Access to care</v>
      </c>
      <c r="F865" s="1" t="str">
        <f aca="false">IFERROR(INDEX(MAP!$L$7:$L$101,MATCH(TRIM(C865),MAP!$I$7:$I$101,0)),"")</f>
        <v>Monthly</v>
      </c>
      <c r="G865" s="1" t="n">
        <f aca="false">IFERROR(MATCH(A865,CONFIRM!$A$5:$A$53,0),0)</f>
        <v>0</v>
      </c>
      <c r="H865" s="48" t="str">
        <f aca="false">STACK!F865</f>
        <v>Screenings</v>
      </c>
      <c r="I865" s="1" t="str">
        <f aca="false">IF(G865&gt;0,IF(INDEX(CONFIRM!$I$5:$I$53,G865)&lt;&gt;"",INDEX(CONFIRM!$I$5:$I$53,G865),H865),H865)</f>
        <v>Screenings</v>
      </c>
      <c r="J865" s="1" t="str">
        <f aca="false">IFERROR(INDEX(MAP!$F$7:$F$74,MATCH(TRIM(I865),MAP!$E$7:$E$74,0)),"UNMAPPED")</f>
        <v>Community-based clinical services</v>
      </c>
      <c r="K865" s="1" t="str">
        <f aca="false">IFERROR(INDEX(MAP!$G$7:$G$74,MATCH(TRIM(I865),MAP!$E$7:$E$74,0)),"UNMAPPED")</f>
        <v>7e</v>
      </c>
      <c r="L865" s="49" t="str">
        <f aca="false">STACK!G865</f>
        <v>2025-08-31</v>
      </c>
      <c r="M865" s="59" t="n">
        <f aca="false">IF(G865&gt;0,IF(INDEX(CONFIRM!$G$5:$G$53,G865)&lt;&gt;"",INDEX(CONFIRM!$G$5:$G$53,G865),IF(ISNUMBER(L865),L865,IFERROR(DATEVALUE(L865),""))),IF(ISNUMBER(L865),L865,IFERROR(DATEVALUE(L865),"")))</f>
        <v>45900</v>
      </c>
      <c r="N865" s="1" t="str">
        <f aca="false">IF(M865="","Check",IF(AND(M865&gt;=INPUTS!$C$6,M865&lt;=INPUTS!$C$7),"Yes","No"))</f>
        <v>Yes</v>
      </c>
      <c r="O865" s="48" t="str">
        <f aca="false">STACK!H865</f>
        <v> Charge RN</v>
      </c>
      <c r="P865" s="1" t="str">
        <f aca="false">IF(G865&gt;0,IF(INDEX(CONFIRM!$H$5:$H$53,G865)&lt;&gt;"",INDEX(CONFIRM!$H$5:$H$53,G865),IFERROR(INDEX(MAP!$B$7:$B$156,MATCH(TRIM(O865),MAP!$A$7:$A$156,0)),"UNMAPPED")),IFERROR(INDEX(MAP!$B$7:$B$156,MATCH(TRIM(O865),MAP!$A$7:$A$156,0)),"UNMAPPED"))</f>
        <v>Registered Nurse</v>
      </c>
      <c r="Q865" s="48" t="n">
        <f aca="false">STACK!I865</f>
        <v>33.75</v>
      </c>
      <c r="R865" s="60" t="n">
        <f aca="false">IF(G865&gt;0,IF(INDEX(CONFIRM!$F$5:$F$53,G865)&lt;&gt;"",INDEX(CONFIRM!$F$5:$F$53,G865),IF(ISNUMBER(Q865),Q865,IF(Q865="","",IFERROR(VALUE(TRIM(SUBSTITUTE(SUBSTITUTE(LOWER(Q865),"hrs",""),"hr",""))),"")))),IF(ISNUMBER(Q865),Q865,IF(Q865="","",IFERROR(VALUE(TRIM(SUBSTITUTE(SUBSTITUTE(LOWER(Q865),"hrs",""),"hr",""))),""))))</f>
        <v>33.75</v>
      </c>
      <c r="S865" s="57" t="n">
        <f aca="false">IFERROR(INDEX(RATES!$E$6:$E$28,MATCH(P865,RATES!$A$6:$A$28,0)),0)</f>
        <v>55.8975</v>
      </c>
      <c r="T865" s="61" t="n">
        <f aca="false">IF(ISNUMBER(R865),R865,0)*S865</f>
        <v>1886.540625</v>
      </c>
      <c r="U865" s="61" t="n">
        <f aca="false">T865*INDEX(INPUTS!$H$10:$H$14,MATCH(B865,INPUTS!$A$10:$A$14,0))</f>
        <v>298.07341875</v>
      </c>
      <c r="V865" s="61" t="n">
        <f aca="false">N(STACK!K865)</f>
        <v>0</v>
      </c>
      <c r="W865" s="61" t="n">
        <f aca="false">T865+U865+V865</f>
        <v>2184.61404375</v>
      </c>
      <c r="X865" s="61" t="n">
        <f aca="false">N(STACK!L865)</f>
        <v>0</v>
      </c>
      <c r="Y865" s="61" t="n">
        <f aca="false">W865-X865</f>
        <v>2184.61404375</v>
      </c>
      <c r="Z865" s="1" t="n">
        <f aca="false">N(STACK!J865)</f>
        <v>0</v>
      </c>
      <c r="AA865" s="1" t="str">
        <f aca="false">TRIM(IF(D865="UNMAPPED","Program not mapped. ","")&amp;IF(OR(K865="UNMAPPED",K865="UNASSIGNED"),"Category needs review. ","")&amp;IF(P865="UNMAPPED","Title not mapped. ","")&amp;IF(AND(P865&lt;&gt;"No staff time",R865=""),"Missing hours. ","")&amp;IF(M865="","Date not readable. ","")&amp;IF(N865="No","Outside fiscal year. ","")&amp;IF(AND(F865="Event",ISNUMBER(R865)),IF(R865&gt;12,"Event hours look high. ",""),"")&amp;IF(G865&gt;0,"See CONFIRM sheet.",""))</f>
        <v/>
      </c>
      <c r="AB865" s="1" t="n">
        <f aca="false">IF(N865="No",0,IF(REVIEW!O865=0,0,IF(G865&gt;0,IF(INDEX(CONFIRM!$J$5:$J$53,G865)&lt;&gt;"",INDEX(CONFIRM!$J$5:$J$53,G865),1),1)))</f>
        <v>1</v>
      </c>
      <c r="AC865" s="1" t="n">
        <f aca="false">IF(AB865=1,IF(COUNTIFS($B$5:B865,B865,$D$5:D865,D865,$AB$5:AB865,1)=1,1,0),0)</f>
        <v>0</v>
      </c>
    </row>
    <row r="866" customFormat="false" ht="15" hidden="false" customHeight="false" outlineLevel="0" collapsed="false">
      <c r="A866" s="48" t="str">
        <f aca="false">STACK!A866</f>
        <v>CBH-0038</v>
      </c>
      <c r="B866" s="48" t="str">
        <f aca="false">STACK!B866</f>
        <v>CBH</v>
      </c>
      <c r="C866" s="48" t="str">
        <f aca="false">STACK!E866</f>
        <v>Med Assistance</v>
      </c>
      <c r="D866" s="1" t="str">
        <f aca="false">IFERROR(INDEX(MAP!$J$7:$J$101,MATCH(TRIM(C866),MAP!$I$7:$I$101,0)),"UNMAPPED")</f>
        <v>Medication Assistance Program</v>
      </c>
      <c r="E866" s="1" t="str">
        <f aca="false">IFERROR(INDEX(MAP!$K$7:$K$101,MATCH(TRIM(C866),MAP!$I$7:$I$101,0)),"")</f>
        <v>Access to care</v>
      </c>
      <c r="F866" s="1" t="str">
        <f aca="false">IFERROR(INDEX(MAP!$L$7:$L$101,MATCH(TRIM(C866),MAP!$I$7:$I$101,0)),"")</f>
        <v>Monthly</v>
      </c>
      <c r="G866" s="1" t="n">
        <f aca="false">IFERROR(MATCH(A866,CONFIRM!$A$5:$A$53,0),0)</f>
        <v>0</v>
      </c>
      <c r="H866" s="48" t="str">
        <f aca="false">STACK!F866</f>
        <v>Patient Support</v>
      </c>
      <c r="I866" s="1" t="str">
        <f aca="false">IF(G866&gt;0,IF(INDEX(CONFIRM!$I$5:$I$53,G866)&lt;&gt;"",INDEX(CONFIRM!$I$5:$I$53,G866),H866),H866)</f>
        <v>Patient Support</v>
      </c>
      <c r="J866" s="1" t="str">
        <f aca="false">IFERROR(INDEX(MAP!$F$7:$F$74,MATCH(TRIM(I866),MAP!$E$7:$E$74,0)),"UNMAPPED")</f>
        <v>Health care support services</v>
      </c>
      <c r="K866" s="1" t="str">
        <f aca="false">IFERROR(INDEX(MAP!$G$7:$G$74,MATCH(TRIM(I866),MAP!$E$7:$E$74,0)),"UNMAPPED")</f>
        <v>7e</v>
      </c>
      <c r="L866" s="49" t="str">
        <f aca="false">STACK!G866</f>
        <v>2025-08-31</v>
      </c>
      <c r="M866" s="59" t="n">
        <f aca="false">IF(G866&gt;0,IF(INDEX(CONFIRM!$G$5:$G$53,G866)&lt;&gt;"",INDEX(CONFIRM!$G$5:$G$53,G866),IF(ISNUMBER(L866),L866,IFERROR(DATEVALUE(L866),""))),IF(ISNUMBER(L866),L866,IFERROR(DATEVALUE(L866),"")))</f>
        <v>45900</v>
      </c>
      <c r="N866" s="1" t="str">
        <f aca="false">IF(M866="","Check",IF(AND(M866&gt;=INPUTS!$C$6,M866&lt;=INPUTS!$C$7),"Yes","No"))</f>
        <v>Yes</v>
      </c>
      <c r="O866" s="48" t="str">
        <f aca="false">STACK!H866</f>
        <v>Pt Navigator</v>
      </c>
      <c r="P866" s="1" t="str">
        <f aca="false">IF(G866&gt;0,IF(INDEX(CONFIRM!$H$5:$H$53,G866)&lt;&gt;"",INDEX(CONFIRM!$H$5:$H$53,G866),IFERROR(INDEX(MAP!$B$7:$B$156,MATCH(TRIM(O866),MAP!$A$7:$A$156,0)),"UNMAPPED")),IFERROR(INDEX(MAP!$B$7:$B$156,MATCH(TRIM(O866),MAP!$A$7:$A$156,0)),"UNMAPPED"))</f>
        <v>Patient Navigator</v>
      </c>
      <c r="Q866" s="48" t="n">
        <f aca="false">STACK!I866</f>
        <v>59</v>
      </c>
      <c r="R866" s="60" t="n">
        <f aca="false">IF(G866&gt;0,IF(INDEX(CONFIRM!$F$5:$F$53,G866)&lt;&gt;"",INDEX(CONFIRM!$F$5:$F$53,G866),IF(ISNUMBER(Q866),Q866,IF(Q866="","",IFERROR(VALUE(TRIM(SUBSTITUTE(SUBSTITUTE(LOWER(Q866),"hrs",""),"hr",""))),"")))),IF(ISNUMBER(Q866),Q866,IF(Q866="","",IFERROR(VALUE(TRIM(SUBSTITUTE(SUBSTITUTE(LOWER(Q866),"hrs",""),"hr",""))),""))))</f>
        <v>59</v>
      </c>
      <c r="S866" s="57" t="n">
        <f aca="false">IFERROR(INDEX(RATES!$E$6:$E$28,MATCH(P866,RATES!$A$6:$A$28,0)),0)</f>
        <v>30.84</v>
      </c>
      <c r="T866" s="61" t="n">
        <f aca="false">IF(ISNUMBER(R866),R866,0)*S866</f>
        <v>1819.56</v>
      </c>
      <c r="U866" s="61" t="n">
        <f aca="false">T866*INDEX(INPUTS!$H$10:$H$14,MATCH(B866,INPUTS!$A$10:$A$14,0))</f>
        <v>287.49048</v>
      </c>
      <c r="V866" s="61" t="n">
        <f aca="false">N(STACK!K866)</f>
        <v>0</v>
      </c>
      <c r="W866" s="61" t="n">
        <f aca="false">T866+U866+V866</f>
        <v>2107.05048</v>
      </c>
      <c r="X866" s="61" t="n">
        <f aca="false">N(STACK!L866)</f>
        <v>0</v>
      </c>
      <c r="Y866" s="61" t="n">
        <f aca="false">W866-X866</f>
        <v>2107.05048</v>
      </c>
      <c r="Z866" s="1" t="n">
        <f aca="false">N(STACK!J866)</f>
        <v>0</v>
      </c>
      <c r="AA866" s="1" t="str">
        <f aca="false">TRIM(IF(D866="UNMAPPED","Program not mapped. ","")&amp;IF(OR(K866="UNMAPPED",K866="UNASSIGNED"),"Category needs review. ","")&amp;IF(P866="UNMAPPED","Title not mapped. ","")&amp;IF(AND(P866&lt;&gt;"No staff time",R866=""),"Missing hours. ","")&amp;IF(M866="","Date not readable. ","")&amp;IF(N866="No","Outside fiscal year. ","")&amp;IF(AND(F866="Event",ISNUMBER(R866)),IF(R866&gt;12,"Event hours look high. ",""),"")&amp;IF(G866&gt;0,"See CONFIRM sheet.",""))</f>
        <v/>
      </c>
      <c r="AB866" s="1" t="n">
        <f aca="false">IF(N866="No",0,IF(REVIEW!O866=0,0,IF(G866&gt;0,IF(INDEX(CONFIRM!$J$5:$J$53,G866)&lt;&gt;"",INDEX(CONFIRM!$J$5:$J$53,G866),1),1)))</f>
        <v>1</v>
      </c>
      <c r="AC866" s="1" t="n">
        <f aca="false">IF(AB866=1,IF(COUNTIFS($B$5:B866,B866,$D$5:D866,D866,$AB$5:AB866,1)=1,1,0),0)</f>
        <v>0</v>
      </c>
    </row>
    <row r="867" customFormat="false" ht="15" hidden="false" customHeight="false" outlineLevel="0" collapsed="false">
      <c r="A867" s="48" t="str">
        <f aca="false">STACK!A867</f>
        <v>CBH-0039</v>
      </c>
      <c r="B867" s="48" t="str">
        <f aca="false">STACK!B867</f>
        <v>CBH</v>
      </c>
      <c r="C867" s="48" t="str">
        <f aca="false">STACK!E867</f>
        <v>Med Assistance</v>
      </c>
      <c r="D867" s="1" t="str">
        <f aca="false">IFERROR(INDEX(MAP!$J$7:$J$101,MATCH(TRIM(C867),MAP!$I$7:$I$101,0)),"UNMAPPED")</f>
        <v>Medication Assistance Program</v>
      </c>
      <c r="E867" s="1" t="str">
        <f aca="false">IFERROR(INDEX(MAP!$K$7:$K$101,MATCH(TRIM(C867),MAP!$I$7:$I$101,0)),"")</f>
        <v>Access to care</v>
      </c>
      <c r="F867" s="1" t="str">
        <f aca="false">IFERROR(INDEX(MAP!$L$7:$L$101,MATCH(TRIM(C867),MAP!$I$7:$I$101,0)),"")</f>
        <v>Monthly</v>
      </c>
      <c r="G867" s="1" t="n">
        <f aca="false">IFERROR(MATCH(A867,CONFIRM!$A$5:$A$53,0),0)</f>
        <v>0</v>
      </c>
      <c r="H867" s="48" t="str">
        <f aca="false">STACK!F867</f>
        <v>Patient Support</v>
      </c>
      <c r="I867" s="1" t="str">
        <f aca="false">IF(G867&gt;0,IF(INDEX(CONFIRM!$I$5:$I$53,G867)&lt;&gt;"",INDEX(CONFIRM!$I$5:$I$53,G867),H867),H867)</f>
        <v>Patient Support</v>
      </c>
      <c r="J867" s="1" t="str">
        <f aca="false">IFERROR(INDEX(MAP!$F$7:$F$74,MATCH(TRIM(I867),MAP!$E$7:$E$74,0)),"UNMAPPED")</f>
        <v>Health care support services</v>
      </c>
      <c r="K867" s="1" t="str">
        <f aca="false">IFERROR(INDEX(MAP!$G$7:$G$74,MATCH(TRIM(I867),MAP!$E$7:$E$74,0)),"UNMAPPED")</f>
        <v>7e</v>
      </c>
      <c r="L867" s="49" t="str">
        <f aca="false">STACK!G867</f>
        <v>2025-08-31</v>
      </c>
      <c r="M867" s="59" t="n">
        <f aca="false">IF(G867&gt;0,IF(INDEX(CONFIRM!$G$5:$G$53,G867)&lt;&gt;"",INDEX(CONFIRM!$G$5:$G$53,G867),IF(ISNUMBER(L867),L867,IFERROR(DATEVALUE(L867),""))),IF(ISNUMBER(L867),L867,IFERROR(DATEVALUE(L867),"")))</f>
        <v>45900</v>
      </c>
      <c r="N867" s="1" t="str">
        <f aca="false">IF(M867="","Check",IF(AND(M867&gt;=INPUTS!$C$6,M867&lt;=INPUTS!$C$7),"Yes","No"))</f>
        <v>Yes</v>
      </c>
      <c r="O867" s="48" t="str">
        <f aca="false">STACK!H867</f>
        <v>Pharmacist II</v>
      </c>
      <c r="P867" s="1" t="str">
        <f aca="false">IF(G867&gt;0,IF(INDEX(CONFIRM!$H$5:$H$53,G867)&lt;&gt;"",INDEX(CONFIRM!$H$5:$H$53,G867),IFERROR(INDEX(MAP!$B$7:$B$156,MATCH(TRIM(O867),MAP!$A$7:$A$156,0)),"UNMAPPED")),IFERROR(INDEX(MAP!$B$7:$B$156,MATCH(TRIM(O867),MAP!$A$7:$A$156,0)),"UNMAPPED"))</f>
        <v>Pharmacist</v>
      </c>
      <c r="Q867" s="48" t="n">
        <f aca="false">STACK!I867</f>
        <v>20</v>
      </c>
      <c r="R867" s="60" t="n">
        <f aca="false">IF(G867&gt;0,IF(INDEX(CONFIRM!$F$5:$F$53,G867)&lt;&gt;"",INDEX(CONFIRM!$F$5:$F$53,G867),IF(ISNUMBER(Q867),Q867,IF(Q867="","",IFERROR(VALUE(TRIM(SUBSTITUTE(SUBSTITUTE(LOWER(Q867),"hrs",""),"hr",""))),"")))),IF(ISNUMBER(Q867),Q867,IF(Q867="","",IFERROR(VALUE(TRIM(SUBSTITUTE(SUBSTITUTE(LOWER(Q867),"hrs",""),"hr",""))),""))))</f>
        <v>20</v>
      </c>
      <c r="S867" s="57" t="n">
        <f aca="false">IFERROR(INDEX(RATES!$E$6:$E$28,MATCH(P867,RATES!$A$6:$A$28,0)),0)</f>
        <v>84.81</v>
      </c>
      <c r="T867" s="61" t="n">
        <f aca="false">IF(ISNUMBER(R867),R867,0)*S867</f>
        <v>1696.2</v>
      </c>
      <c r="U867" s="61" t="n">
        <f aca="false">T867*INDEX(INPUTS!$H$10:$H$14,MATCH(B867,INPUTS!$A$10:$A$14,0))</f>
        <v>267.9996</v>
      </c>
      <c r="V867" s="61" t="n">
        <f aca="false">N(STACK!K867)</f>
        <v>15930</v>
      </c>
      <c r="W867" s="61" t="n">
        <f aca="false">T867+U867+V867</f>
        <v>17894.1996</v>
      </c>
      <c r="X867" s="61" t="n">
        <f aca="false">N(STACK!L867)</f>
        <v>0</v>
      </c>
      <c r="Y867" s="61" t="n">
        <f aca="false">W867-X867</f>
        <v>17894.1996</v>
      </c>
      <c r="Z867" s="1" t="n">
        <f aca="false">N(STACK!J867)</f>
        <v>96</v>
      </c>
      <c r="AA867" s="1" t="str">
        <f aca="false">TRIM(IF(D867="UNMAPPED","Program not mapped. ","")&amp;IF(OR(K867="UNMAPPED",K867="UNASSIGNED"),"Category needs review. ","")&amp;IF(P867="UNMAPPED","Title not mapped. ","")&amp;IF(AND(P867&lt;&gt;"No staff time",R867=""),"Missing hours. ","")&amp;IF(M867="","Date not readable. ","")&amp;IF(N867="No","Outside fiscal year. ","")&amp;IF(AND(F867="Event",ISNUMBER(R867)),IF(R867&gt;12,"Event hours look high. ",""),"")&amp;IF(G867&gt;0,"See CONFIRM sheet.",""))</f>
        <v/>
      </c>
      <c r="AB867" s="1" t="n">
        <f aca="false">IF(N867="No",0,IF(REVIEW!O867=0,0,IF(G867&gt;0,IF(INDEX(CONFIRM!$J$5:$J$53,G867)&lt;&gt;"",INDEX(CONFIRM!$J$5:$J$53,G867),1),1)))</f>
        <v>1</v>
      </c>
      <c r="AC867" s="1" t="n">
        <f aca="false">IF(AB867=1,IF(COUNTIFS($B$5:B867,B867,$D$5:D867,D867,$AB$5:AB867,1)=1,1,0),0)</f>
        <v>0</v>
      </c>
    </row>
    <row r="868" customFormat="false" ht="15" hidden="false" customHeight="false" outlineLevel="0" collapsed="false">
      <c r="A868" s="48" t="str">
        <f aca="false">STACK!A868</f>
        <v>CBH-0040</v>
      </c>
      <c r="B868" s="48" t="str">
        <f aca="false">STACK!B868</f>
        <v>CBH</v>
      </c>
      <c r="C868" s="48" t="str">
        <f aca="false">STACK!E868</f>
        <v>Community Benefit Admin</v>
      </c>
      <c r="D868" s="1" t="str">
        <f aca="false">IFERROR(INDEX(MAP!$J$7:$J$101,MATCH(TRIM(C868),MAP!$I$7:$I$101,0)),"UNMAPPED")</f>
        <v>Community Benefit Program Administration</v>
      </c>
      <c r="E868" s="1" t="str">
        <f aca="false">IFERROR(INDEX(MAP!$K$7:$K$101,MATCH(TRIM(C868),MAP!$I$7:$I$101,0)),"")</f>
        <v>Community benefit infrastructure</v>
      </c>
      <c r="F868" s="1" t="str">
        <f aca="false">IFERROR(INDEX(MAP!$L$7:$L$101,MATCH(TRIM(C868),MAP!$I$7:$I$101,0)),"")</f>
        <v>Monthly</v>
      </c>
      <c r="G868" s="1" t="n">
        <f aca="false">IFERROR(MATCH(A868,CONFIRM!$A$5:$A$53,0),0)</f>
        <v>0</v>
      </c>
      <c r="H868" s="48" t="str">
        <f aca="false">STACK!F868</f>
        <v>Ops</v>
      </c>
      <c r="I868" s="1" t="str">
        <f aca="false">IF(G868&gt;0,IF(INDEX(CONFIRM!$I$5:$I$53,G868)&lt;&gt;"",INDEX(CONFIRM!$I$5:$I$53,G868),H868),H868)</f>
        <v>Ops</v>
      </c>
      <c r="J868" s="1" t="str">
        <f aca="false">IFERROR(INDEX(MAP!$F$7:$F$74,MATCH(TRIM(I868),MAP!$E$7:$E$74,0)),"UNMAPPED")</f>
        <v>Community benefit operations</v>
      </c>
      <c r="K868" s="1" t="str">
        <f aca="false">IFERROR(INDEX(MAP!$G$7:$G$74,MATCH(TRIM(I868),MAP!$E$7:$E$74,0)),"UNMAPPED")</f>
        <v>7e</v>
      </c>
      <c r="L868" s="49" t="str">
        <f aca="false">STACK!G868</f>
        <v>2025-08-31</v>
      </c>
      <c r="M868" s="59" t="n">
        <f aca="false">IF(G868&gt;0,IF(INDEX(CONFIRM!$G$5:$G$53,G868)&lt;&gt;"",INDEX(CONFIRM!$G$5:$G$53,G868),IF(ISNUMBER(L868),L868,IFERROR(DATEVALUE(L868),""))),IF(ISNUMBER(L868),L868,IFERROR(DATEVALUE(L868),"")))</f>
        <v>45900</v>
      </c>
      <c r="N868" s="1" t="str">
        <f aca="false">IF(M868="","Check",IF(AND(M868&gt;=INPUTS!$C$6,M868&lt;=INPUTS!$C$7),"Yes","No"))</f>
        <v>Yes</v>
      </c>
      <c r="O868" s="48" t="str">
        <f aca="false">STACK!H868</f>
        <v>admin support</v>
      </c>
      <c r="P868" s="1" t="str">
        <f aca="false">IF(G868&gt;0,IF(INDEX(CONFIRM!$H$5:$H$53,G868)&lt;&gt;"",INDEX(CONFIRM!$H$5:$H$53,G868),IFERROR(INDEX(MAP!$B$7:$B$156,MATCH(TRIM(O868),MAP!$A$7:$A$156,0)),"UNMAPPED")),IFERROR(INDEX(MAP!$B$7:$B$156,MATCH(TRIM(O868),MAP!$A$7:$A$156,0)),"UNMAPPED"))</f>
        <v>Administrative Assistant</v>
      </c>
      <c r="Q868" s="48" t="n">
        <f aca="false">STACK!I868</f>
        <v>30.5</v>
      </c>
      <c r="R868" s="60" t="n">
        <f aca="false">IF(G868&gt;0,IF(INDEX(CONFIRM!$F$5:$F$53,G868)&lt;&gt;"",INDEX(CONFIRM!$F$5:$F$53,G868),IF(ISNUMBER(Q868),Q868,IF(Q868="","",IFERROR(VALUE(TRIM(SUBSTITUTE(SUBSTITUTE(LOWER(Q868),"hrs",""),"hr",""))),"")))),IF(ISNUMBER(Q868),Q868,IF(Q868="","",IFERROR(VALUE(TRIM(SUBSTITUTE(SUBSTITUTE(LOWER(Q868),"hrs",""),"hr",""))),""))))</f>
        <v>30.5</v>
      </c>
      <c r="S868" s="57" t="n">
        <f aca="false">IFERROR(INDEX(RATES!$E$6:$E$28,MATCH(P868,RATES!$A$6:$A$28,0)),0)</f>
        <v>26.985</v>
      </c>
      <c r="T868" s="61" t="n">
        <f aca="false">IF(ISNUMBER(R868),R868,0)*S868</f>
        <v>823.0425</v>
      </c>
      <c r="U868" s="61" t="n">
        <f aca="false">T868*INDEX(INPUTS!$H$10:$H$14,MATCH(B868,INPUTS!$A$10:$A$14,0))</f>
        <v>130.040715</v>
      </c>
      <c r="V868" s="61" t="n">
        <f aca="false">N(STACK!K868)</f>
        <v>0</v>
      </c>
      <c r="W868" s="61" t="n">
        <f aca="false">T868+U868+V868</f>
        <v>953.083215</v>
      </c>
      <c r="X868" s="61" t="n">
        <f aca="false">N(STACK!L868)</f>
        <v>0</v>
      </c>
      <c r="Y868" s="61" t="n">
        <f aca="false">W868-X868</f>
        <v>953.083215</v>
      </c>
      <c r="Z868" s="1" t="n">
        <f aca="false">N(STACK!J868)</f>
        <v>0</v>
      </c>
      <c r="AA868" s="1" t="str">
        <f aca="false">TRIM(IF(D868="UNMAPPED","Program not mapped. ","")&amp;IF(OR(K868="UNMAPPED",K868="UNASSIGNED"),"Category needs review. ","")&amp;IF(P868="UNMAPPED","Title not mapped. ","")&amp;IF(AND(P868&lt;&gt;"No staff time",R868=""),"Missing hours. ","")&amp;IF(M868="","Date not readable. ","")&amp;IF(N868="No","Outside fiscal year. ","")&amp;IF(AND(F868="Event",ISNUMBER(R868)),IF(R868&gt;12,"Event hours look high. ",""),"")&amp;IF(G868&gt;0,"See CONFIRM sheet.",""))</f>
        <v/>
      </c>
      <c r="AB868" s="1" t="n">
        <f aca="false">IF(N868="No",0,IF(REVIEW!O868=0,0,IF(G868&gt;0,IF(INDEX(CONFIRM!$J$5:$J$53,G868)&lt;&gt;"",INDEX(CONFIRM!$J$5:$J$53,G868),1),1)))</f>
        <v>1</v>
      </c>
      <c r="AC868" s="1" t="n">
        <f aca="false">IF(AB868=1,IF(COUNTIFS($B$5:B868,B868,$D$5:D868,D868,$AB$5:AB868,1)=1,1,0),0)</f>
        <v>0</v>
      </c>
    </row>
    <row r="869" customFormat="false" ht="15" hidden="false" customHeight="false" outlineLevel="0" collapsed="false">
      <c r="A869" s="48" t="str">
        <f aca="false">STACK!A869</f>
        <v>CBH-0041</v>
      </c>
      <c r="B869" s="48" t="str">
        <f aca="false">STACK!B869</f>
        <v>CBH</v>
      </c>
      <c r="C869" s="48" t="str">
        <f aca="false">STACK!E869</f>
        <v>Community Benefit Admin</v>
      </c>
      <c r="D869" s="1" t="str">
        <f aca="false">IFERROR(INDEX(MAP!$J$7:$J$101,MATCH(TRIM(C869),MAP!$I$7:$I$101,0)),"UNMAPPED")</f>
        <v>Community Benefit Program Administration</v>
      </c>
      <c r="E869" s="1" t="str">
        <f aca="false">IFERROR(INDEX(MAP!$K$7:$K$101,MATCH(TRIM(C869),MAP!$I$7:$I$101,0)),"")</f>
        <v>Community benefit infrastructure</v>
      </c>
      <c r="F869" s="1" t="str">
        <f aca="false">IFERROR(INDEX(MAP!$L$7:$L$101,MATCH(TRIM(C869),MAP!$I$7:$I$101,0)),"")</f>
        <v>Monthly</v>
      </c>
      <c r="G869" s="1" t="n">
        <f aca="false">IFERROR(MATCH(A869,CONFIRM!$A$5:$A$53,0),0)</f>
        <v>0</v>
      </c>
      <c r="H869" s="48" t="str">
        <f aca="false">STACK!F869</f>
        <v>Ops</v>
      </c>
      <c r="I869" s="1" t="str">
        <f aca="false">IF(G869&gt;0,IF(INDEX(CONFIRM!$I$5:$I$53,G869)&lt;&gt;"",INDEX(CONFIRM!$I$5:$I$53,G869),H869),H869)</f>
        <v>Ops</v>
      </c>
      <c r="J869" s="1" t="str">
        <f aca="false">IFERROR(INDEX(MAP!$F$7:$F$74,MATCH(TRIM(I869),MAP!$E$7:$E$74,0)),"UNMAPPED")</f>
        <v>Community benefit operations</v>
      </c>
      <c r="K869" s="1" t="str">
        <f aca="false">IFERROR(INDEX(MAP!$G$7:$G$74,MATCH(TRIM(I869),MAP!$E$7:$E$74,0)),"UNMAPPED")</f>
        <v>7e</v>
      </c>
      <c r="L869" s="49" t="str">
        <f aca="false">STACK!G869</f>
        <v>2025-08-31</v>
      </c>
      <c r="M869" s="59" t="n">
        <f aca="false">IF(G869&gt;0,IF(INDEX(CONFIRM!$G$5:$G$53,G869)&lt;&gt;"",INDEX(CONFIRM!$G$5:$G$53,G869),IF(ISNUMBER(L869),L869,IFERROR(DATEVALUE(L869),""))),IF(ISNUMBER(L869),L869,IFERROR(DATEVALUE(L869),"")))</f>
        <v>45900</v>
      </c>
      <c r="N869" s="1" t="str">
        <f aca="false">IF(M869="","Check",IF(AND(M869&gt;=INPUTS!$C$6,M869&lt;=INPUTS!$C$7),"Yes","No"))</f>
        <v>Yes</v>
      </c>
      <c r="O869" s="48" t="str">
        <f aca="false">STACK!H869</f>
        <v>Community Benefit Mgr</v>
      </c>
      <c r="P869" s="1" t="str">
        <f aca="false">IF(G869&gt;0,IF(INDEX(CONFIRM!$H$5:$H$53,G869)&lt;&gt;"",INDEX(CONFIRM!$H$5:$H$53,G869),IFERROR(INDEX(MAP!$B$7:$B$156,MATCH(TRIM(O869),MAP!$A$7:$A$156,0)),"UNMAPPED")),IFERROR(INDEX(MAP!$B$7:$B$156,MATCH(TRIM(O869),MAP!$A$7:$A$156,0)),"UNMAPPED"))</f>
        <v>Community Benefit Manager</v>
      </c>
      <c r="Q869" s="48" t="n">
        <f aca="false">STACK!I869</f>
        <v>72.25</v>
      </c>
      <c r="R869" s="60" t="n">
        <f aca="false">IF(G869&gt;0,IF(INDEX(CONFIRM!$F$5:$F$53,G869)&lt;&gt;"",INDEX(CONFIRM!$F$5:$F$53,G869),IF(ISNUMBER(Q869),Q869,IF(Q869="","",IFERROR(VALUE(TRIM(SUBSTITUTE(SUBSTITUTE(LOWER(Q869),"hrs",""),"hr",""))),"")))),IF(ISNUMBER(Q869),Q869,IF(Q869="","",IFERROR(VALUE(TRIM(SUBSTITUTE(SUBSTITUTE(LOWER(Q869),"hrs",""),"hr",""))),""))))</f>
        <v>72.25</v>
      </c>
      <c r="S869" s="57" t="n">
        <f aca="false">IFERROR(INDEX(RATES!$E$6:$E$28,MATCH(P869,RATES!$A$6:$A$28,0)),0)</f>
        <v>59.11</v>
      </c>
      <c r="T869" s="61" t="n">
        <f aca="false">IF(ISNUMBER(R869),R869,0)*S869</f>
        <v>4270.6975</v>
      </c>
      <c r="U869" s="61" t="n">
        <f aca="false">T869*INDEX(INPUTS!$H$10:$H$14,MATCH(B869,INPUTS!$A$10:$A$14,0))</f>
        <v>674.770205</v>
      </c>
      <c r="V869" s="61" t="n">
        <f aca="false">N(STACK!K869)</f>
        <v>640</v>
      </c>
      <c r="W869" s="61" t="n">
        <f aca="false">T869+U869+V869</f>
        <v>5585.467705</v>
      </c>
      <c r="X869" s="61" t="n">
        <f aca="false">N(STACK!L869)</f>
        <v>0</v>
      </c>
      <c r="Y869" s="61" t="n">
        <f aca="false">W869-X869</f>
        <v>5585.467705</v>
      </c>
      <c r="Z869" s="1" t="n">
        <f aca="false">N(STACK!J869)</f>
        <v>0</v>
      </c>
      <c r="AA869" s="1" t="str">
        <f aca="false">TRIM(IF(D869="UNMAPPED","Program not mapped. ","")&amp;IF(OR(K869="UNMAPPED",K869="UNASSIGNED"),"Category needs review. ","")&amp;IF(P869="UNMAPPED","Title not mapped. ","")&amp;IF(AND(P869&lt;&gt;"No staff time",R869=""),"Missing hours. ","")&amp;IF(M869="","Date not readable. ","")&amp;IF(N869="No","Outside fiscal year. ","")&amp;IF(AND(F869="Event",ISNUMBER(R869)),IF(R869&gt;12,"Event hours look high. ",""),"")&amp;IF(G869&gt;0,"See CONFIRM sheet.",""))</f>
        <v/>
      </c>
      <c r="AB869" s="1" t="n">
        <f aca="false">IF(N869="No",0,IF(REVIEW!O869=0,0,IF(G869&gt;0,IF(INDEX(CONFIRM!$J$5:$J$53,G869)&lt;&gt;"",INDEX(CONFIRM!$J$5:$J$53,G869),1),1)))</f>
        <v>1</v>
      </c>
      <c r="AC869" s="1" t="n">
        <f aca="false">IF(AB869=1,IF(COUNTIFS($B$5:B869,B869,$D$5:D869,D869,$AB$5:AB869,1)=1,1,0),0)</f>
        <v>0</v>
      </c>
    </row>
    <row r="870" customFormat="false" ht="15" hidden="false" customHeight="false" outlineLevel="0" collapsed="false">
      <c r="A870" s="48" t="str">
        <f aca="false">STACK!A870</f>
        <v>CBH-0042</v>
      </c>
      <c r="B870" s="48" t="str">
        <f aca="false">STACK!B870</f>
        <v>CBH</v>
      </c>
      <c r="C870" s="48" t="str">
        <f aca="false">STACK!E870</f>
        <v>Interpreter Services</v>
      </c>
      <c r="D870" s="1" t="str">
        <f aca="false">IFERROR(INDEX(MAP!$J$7:$J$101,MATCH(TRIM(C870),MAP!$I$7:$I$101,0)),"UNMAPPED")</f>
        <v>Interpreter Services for Community Clinics</v>
      </c>
      <c r="E870" s="1" t="str">
        <f aca="false">IFERROR(INDEX(MAP!$K$7:$K$101,MATCH(TRIM(C870),MAP!$I$7:$I$101,0)),"")</f>
        <v>Access to care</v>
      </c>
      <c r="F870" s="1" t="str">
        <f aca="false">IFERROR(INDEX(MAP!$L$7:$L$101,MATCH(TRIM(C870),MAP!$I$7:$I$101,0)),"")</f>
        <v>Monthly</v>
      </c>
      <c r="G870" s="1" t="n">
        <f aca="false">IFERROR(MATCH(A870,CONFIRM!$A$5:$A$53,0),0)</f>
        <v>0</v>
      </c>
      <c r="H870" s="48" t="str">
        <f aca="false">STACK!F870</f>
        <v>Patient Support</v>
      </c>
      <c r="I870" s="1" t="str">
        <f aca="false">IF(G870&gt;0,IF(INDEX(CONFIRM!$I$5:$I$53,G870)&lt;&gt;"",INDEX(CONFIRM!$I$5:$I$53,G870),H870),H870)</f>
        <v>Patient Support</v>
      </c>
      <c r="J870" s="1" t="str">
        <f aca="false">IFERROR(INDEX(MAP!$F$7:$F$74,MATCH(TRIM(I870),MAP!$E$7:$E$74,0)),"UNMAPPED")</f>
        <v>Health care support services</v>
      </c>
      <c r="K870" s="1" t="str">
        <f aca="false">IFERROR(INDEX(MAP!$G$7:$G$74,MATCH(TRIM(I870),MAP!$E$7:$E$74,0)),"UNMAPPED")</f>
        <v>7e</v>
      </c>
      <c r="L870" s="49" t="str">
        <f aca="false">STACK!G870</f>
        <v>2025-08-31</v>
      </c>
      <c r="M870" s="59" t="n">
        <f aca="false">IF(G870&gt;0,IF(INDEX(CONFIRM!$G$5:$G$53,G870)&lt;&gt;"",INDEX(CONFIRM!$G$5:$G$53,G870),IF(ISNUMBER(L870),L870,IFERROR(DATEVALUE(L870),""))),IF(ISNUMBER(L870),L870,IFERROR(DATEVALUE(L870),"")))</f>
        <v>45900</v>
      </c>
      <c r="N870" s="1" t="str">
        <f aca="false">IF(M870="","Check",IF(AND(M870&gt;=INPUTS!$C$6,M870&lt;=INPUTS!$C$7),"Yes","No"))</f>
        <v>Yes</v>
      </c>
      <c r="O870" s="48" t="str">
        <f aca="false">STACK!H870</f>
        <v> Medical Interpreter</v>
      </c>
      <c r="P870" s="1" t="str">
        <f aca="false">IF(G870&gt;0,IF(INDEX(CONFIRM!$H$5:$H$53,G870)&lt;&gt;"",INDEX(CONFIRM!$H$5:$H$53,G870),IFERROR(INDEX(MAP!$B$7:$B$156,MATCH(TRIM(O870),MAP!$A$7:$A$156,0)),"UNMAPPED")),IFERROR(INDEX(MAP!$B$7:$B$156,MATCH(TRIM(O870),MAP!$A$7:$A$156,0)),"UNMAPPED"))</f>
        <v>Interpreter</v>
      </c>
      <c r="Q870" s="48" t="n">
        <f aca="false">STACK!I870</f>
        <v>58.25</v>
      </c>
      <c r="R870" s="60" t="n">
        <f aca="false">IF(G870&gt;0,IF(INDEX(CONFIRM!$F$5:$F$53,G870)&lt;&gt;"",INDEX(CONFIRM!$F$5:$F$53,G870),IF(ISNUMBER(Q870),Q870,IF(Q870="","",IFERROR(VALUE(TRIM(SUBSTITUTE(SUBSTITUTE(LOWER(Q870),"hrs",""),"hr",""))),"")))),IF(ISNUMBER(Q870),Q870,IF(Q870="","",IFERROR(VALUE(TRIM(SUBSTITUTE(SUBSTITUTE(LOWER(Q870),"hrs",""),"hr",""))),""))))</f>
        <v>58.25</v>
      </c>
      <c r="S870" s="57" t="n">
        <f aca="false">IFERROR(INDEX(RATES!$E$6:$E$28,MATCH(P870,RATES!$A$6:$A$28,0)),0)</f>
        <v>32.7675</v>
      </c>
      <c r="T870" s="61" t="n">
        <f aca="false">IF(ISNUMBER(R870),R870,0)*S870</f>
        <v>1908.706875</v>
      </c>
      <c r="U870" s="61" t="n">
        <f aca="false">T870*INDEX(INPUTS!$H$10:$H$14,MATCH(B870,INPUTS!$A$10:$A$14,0))</f>
        <v>301.57568625</v>
      </c>
      <c r="V870" s="61" t="n">
        <f aca="false">N(STACK!K870)</f>
        <v>0</v>
      </c>
      <c r="W870" s="61" t="n">
        <f aca="false">T870+U870+V870</f>
        <v>2210.28256125</v>
      </c>
      <c r="X870" s="61" t="n">
        <f aca="false">N(STACK!L870)</f>
        <v>0</v>
      </c>
      <c r="Y870" s="61" t="n">
        <f aca="false">W870-X870</f>
        <v>2210.28256125</v>
      </c>
      <c r="Z870" s="1" t="n">
        <f aca="false">N(STACK!J870)</f>
        <v>162</v>
      </c>
      <c r="AA870" s="1" t="str">
        <f aca="false">TRIM(IF(D870="UNMAPPED","Program not mapped. ","")&amp;IF(OR(K870="UNMAPPED",K870="UNASSIGNED"),"Category needs review. ","")&amp;IF(P870="UNMAPPED","Title not mapped. ","")&amp;IF(AND(P870&lt;&gt;"No staff time",R870=""),"Missing hours. ","")&amp;IF(M870="","Date not readable. ","")&amp;IF(N870="No","Outside fiscal year. ","")&amp;IF(AND(F870="Event",ISNUMBER(R870)),IF(R870&gt;12,"Event hours look high. ",""),"")&amp;IF(G870&gt;0,"See CONFIRM sheet.",""))</f>
        <v/>
      </c>
      <c r="AB870" s="1" t="n">
        <f aca="false">IF(N870="No",0,IF(REVIEW!O870=0,0,IF(G870&gt;0,IF(INDEX(CONFIRM!$J$5:$J$53,G870)&lt;&gt;"",INDEX(CONFIRM!$J$5:$J$53,G870),1),1)))</f>
        <v>1</v>
      </c>
      <c r="AC870" s="1" t="n">
        <f aca="false">IF(AB870=1,IF(COUNTIFS($B$5:B870,B870,$D$5:D870,D870,$AB$5:AB870,1)=1,1,0),0)</f>
        <v>0</v>
      </c>
    </row>
    <row r="871" customFormat="false" ht="15" hidden="false" customHeight="false" outlineLevel="0" collapsed="false">
      <c r="A871" s="48" t="str">
        <f aca="false">STACK!A871</f>
        <v>CBH-0043</v>
      </c>
      <c r="B871" s="48" t="str">
        <f aca="false">STACK!B871</f>
        <v>CBH</v>
      </c>
      <c r="C871" s="48" t="str">
        <f aca="false">STACK!E871</f>
        <v>Nursing Student Rotations</v>
      </c>
      <c r="D871" s="1" t="str">
        <f aca="false">IFERROR(INDEX(MAP!$J$7:$J$101,MATCH(TRIM(C871),MAP!$I$7:$I$101,0)),"UNMAPPED")</f>
        <v>Nursing Student Clinical Rotations</v>
      </c>
      <c r="E871" s="1" t="str">
        <f aca="false">IFERROR(INDEX(MAP!$K$7:$K$101,MATCH(TRIM(C871),MAP!$I$7:$I$101,0)),"")</f>
        <v>Health workforce</v>
      </c>
      <c r="F871" s="1" t="str">
        <f aca="false">IFERROR(INDEX(MAP!$L$7:$L$101,MATCH(TRIM(C871),MAP!$I$7:$I$101,0)),"")</f>
        <v>Monthly</v>
      </c>
      <c r="G871" s="1" t="n">
        <f aca="false">IFERROR(MATCH(A871,CONFIRM!$A$5:$A$53,0),0)</f>
        <v>0</v>
      </c>
      <c r="H871" s="48" t="str">
        <f aca="false">STACK!F871</f>
        <v>Education - Health Professions</v>
      </c>
      <c r="I871" s="1" t="str">
        <f aca="false">IF(G871&gt;0,IF(INDEX(CONFIRM!$I$5:$I$53,G871)&lt;&gt;"",INDEX(CONFIRM!$I$5:$I$53,G871),H871),H871)</f>
        <v>Education - Health Professions</v>
      </c>
      <c r="J871" s="1" t="str">
        <f aca="false">IFERROR(INDEX(MAP!$F$7:$F$74,MATCH(TRIM(I871),MAP!$E$7:$E$74,0)),"UNMAPPED")</f>
        <v>Health professions education</v>
      </c>
      <c r="K871" s="1" t="str">
        <f aca="false">IFERROR(INDEX(MAP!$G$7:$G$74,MATCH(TRIM(I871),MAP!$E$7:$E$74,0)),"UNMAPPED")</f>
        <v>7f</v>
      </c>
      <c r="L871" s="49" t="str">
        <f aca="false">STACK!G871</f>
        <v>2025-08-31</v>
      </c>
      <c r="M871" s="59" t="n">
        <f aca="false">IF(G871&gt;0,IF(INDEX(CONFIRM!$G$5:$G$53,G871)&lt;&gt;"",INDEX(CONFIRM!$G$5:$G$53,G871),IF(ISNUMBER(L871),L871,IFERROR(DATEVALUE(L871),""))),IF(ISNUMBER(L871),L871,IFERROR(DATEVALUE(L871),"")))</f>
        <v>45900</v>
      </c>
      <c r="N871" s="1" t="str">
        <f aca="false">IF(M871="","Check",IF(AND(M871&gt;=INPUTS!$C$6,M871&lt;=INPUTS!$C$7),"Yes","No"))</f>
        <v>Yes</v>
      </c>
      <c r="O871" s="48" t="str">
        <f aca="false">STACK!H871</f>
        <v>Clinical Nurse Educator</v>
      </c>
      <c r="P871" s="1" t="str">
        <f aca="false">IF(G871&gt;0,IF(INDEX(CONFIRM!$H$5:$H$53,G871)&lt;&gt;"",INDEX(CONFIRM!$H$5:$H$53,G871),IFERROR(INDEX(MAP!$B$7:$B$156,MATCH(TRIM(O871),MAP!$A$7:$A$156,0)),"UNMAPPED")),IFERROR(INDEX(MAP!$B$7:$B$156,MATCH(TRIM(O871),MAP!$A$7:$A$156,0)),"UNMAPPED"))</f>
        <v>Clinical Nurse Educator</v>
      </c>
      <c r="Q871" s="48" t="n">
        <f aca="false">STACK!I871</f>
        <v>138.75</v>
      </c>
      <c r="R871" s="60" t="n">
        <f aca="false">IF(G871&gt;0,IF(INDEX(CONFIRM!$F$5:$F$53,G871)&lt;&gt;"",INDEX(CONFIRM!$F$5:$F$53,G871),IF(ISNUMBER(Q871),Q871,IF(Q871="","",IFERROR(VALUE(TRIM(SUBSTITUTE(SUBSTITUTE(LOWER(Q871),"hrs",""),"hr",""))),"")))),IF(ISNUMBER(Q871),Q871,IF(Q871="","",IFERROR(VALUE(TRIM(SUBSTITUTE(SUBSTITUTE(LOWER(Q871),"hrs",""),"hr",""))),""))))</f>
        <v>138.75</v>
      </c>
      <c r="S871" s="57" t="n">
        <f aca="false">IFERROR(INDEX(RATES!$E$6:$E$28,MATCH(P871,RATES!$A$6:$A$28,0)),0)</f>
        <v>62.965</v>
      </c>
      <c r="T871" s="61" t="n">
        <f aca="false">IF(ISNUMBER(R871),R871,0)*S871</f>
        <v>8736.39375</v>
      </c>
      <c r="U871" s="61" t="n">
        <f aca="false">T871*INDEX(INPUTS!$H$10:$H$14,MATCH(B871,INPUTS!$A$10:$A$14,0))</f>
        <v>1380.3502125</v>
      </c>
      <c r="V871" s="61" t="n">
        <f aca="false">N(STACK!K871)</f>
        <v>885</v>
      </c>
      <c r="W871" s="61" t="n">
        <f aca="false">T871+U871+V871</f>
        <v>11001.7439625</v>
      </c>
      <c r="X871" s="61" t="n">
        <f aca="false">N(STACK!L871)</f>
        <v>0</v>
      </c>
      <c r="Y871" s="61" t="n">
        <f aca="false">W871-X871</f>
        <v>11001.7439625</v>
      </c>
      <c r="Z871" s="1" t="n">
        <f aca="false">N(STACK!J871)</f>
        <v>36</v>
      </c>
      <c r="AA871" s="1" t="str">
        <f aca="false">TRIM(IF(D871="UNMAPPED","Program not mapped. ","")&amp;IF(OR(K871="UNMAPPED",K871="UNASSIGNED"),"Category needs review. ","")&amp;IF(P871="UNMAPPED","Title not mapped. ","")&amp;IF(AND(P871&lt;&gt;"No staff time",R871=""),"Missing hours. ","")&amp;IF(M871="","Date not readable. ","")&amp;IF(N871="No","Outside fiscal year. ","")&amp;IF(AND(F871="Event",ISNUMBER(R871)),IF(R871&gt;12,"Event hours look high. ",""),"")&amp;IF(G871&gt;0,"See CONFIRM sheet.",""))</f>
        <v/>
      </c>
      <c r="AB871" s="1" t="n">
        <f aca="false">IF(N871="No",0,IF(REVIEW!O871=0,0,IF(G871&gt;0,IF(INDEX(CONFIRM!$J$5:$J$53,G871)&lt;&gt;"",INDEX(CONFIRM!$J$5:$J$53,G871),1),1)))</f>
        <v>1</v>
      </c>
      <c r="AC871" s="1" t="n">
        <f aca="false">IF(AB871=1,IF(COUNTIFS($B$5:B871,B871,$D$5:D871,D871,$AB$5:AB871,1)=1,1,0),0)</f>
        <v>0</v>
      </c>
    </row>
    <row r="872" customFormat="false" ht="15" hidden="false" customHeight="false" outlineLevel="0" collapsed="false">
      <c r="A872" s="48" t="str">
        <f aca="false">STACK!A872</f>
        <v>CBH-0044</v>
      </c>
      <c r="B872" s="48" t="str">
        <f aca="false">STACK!B872</f>
        <v>CBH</v>
      </c>
      <c r="C872" s="48" t="str">
        <f aca="false">STACK!E872</f>
        <v>Nursing Student Rotations</v>
      </c>
      <c r="D872" s="1" t="str">
        <f aca="false">IFERROR(INDEX(MAP!$J$7:$J$101,MATCH(TRIM(C872),MAP!$I$7:$I$101,0)),"UNMAPPED")</f>
        <v>Nursing Student Clinical Rotations</v>
      </c>
      <c r="E872" s="1" t="str">
        <f aca="false">IFERROR(INDEX(MAP!$K$7:$K$101,MATCH(TRIM(C872),MAP!$I$7:$I$101,0)),"")</f>
        <v>Health workforce</v>
      </c>
      <c r="F872" s="1" t="str">
        <f aca="false">IFERROR(INDEX(MAP!$L$7:$L$101,MATCH(TRIM(C872),MAP!$I$7:$I$101,0)),"")</f>
        <v>Monthly</v>
      </c>
      <c r="G872" s="1" t="n">
        <f aca="false">IFERROR(MATCH(A872,CONFIRM!$A$5:$A$53,0),0)</f>
        <v>0</v>
      </c>
      <c r="H872" s="48" t="str">
        <f aca="false">STACK!F872</f>
        <v>Education - Health Professions</v>
      </c>
      <c r="I872" s="1" t="str">
        <f aca="false">IF(G872&gt;0,IF(INDEX(CONFIRM!$I$5:$I$53,G872)&lt;&gt;"",INDEX(CONFIRM!$I$5:$I$53,G872),H872),H872)</f>
        <v>Education - Health Professions</v>
      </c>
      <c r="J872" s="1" t="str">
        <f aca="false">IFERROR(INDEX(MAP!$F$7:$F$74,MATCH(TRIM(I872),MAP!$E$7:$E$74,0)),"UNMAPPED")</f>
        <v>Health professions education</v>
      </c>
      <c r="K872" s="1" t="str">
        <f aca="false">IFERROR(INDEX(MAP!$G$7:$G$74,MATCH(TRIM(I872),MAP!$E$7:$E$74,0)),"UNMAPPED")</f>
        <v>7f</v>
      </c>
      <c r="L872" s="49" t="str">
        <f aca="false">STACK!G872</f>
        <v>2025-08-31</v>
      </c>
      <c r="M872" s="59" t="n">
        <f aca="false">IF(G872&gt;0,IF(INDEX(CONFIRM!$G$5:$G$53,G872)&lt;&gt;"",INDEX(CONFIRM!$G$5:$G$53,G872),IF(ISNUMBER(L872),L872,IFERROR(DATEVALUE(L872),""))),IF(ISNUMBER(L872),L872,IFERROR(DATEVALUE(L872),"")))</f>
        <v>45900</v>
      </c>
      <c r="N872" s="1" t="str">
        <f aca="false">IF(M872="","Check",IF(AND(M872&gt;=INPUTS!$C$6,M872&lt;=INPUTS!$C$7),"Yes","No"))</f>
        <v>Yes</v>
      </c>
      <c r="O872" s="48" t="str">
        <f aca="false">STACK!H872</f>
        <v>Charge RN</v>
      </c>
      <c r="P872" s="1" t="str">
        <f aca="false">IF(G872&gt;0,IF(INDEX(CONFIRM!$H$5:$H$53,G872)&lt;&gt;"",INDEX(CONFIRM!$H$5:$H$53,G872),IFERROR(INDEX(MAP!$B$7:$B$156,MATCH(TRIM(O872),MAP!$A$7:$A$156,0)),"UNMAPPED")),IFERROR(INDEX(MAP!$B$7:$B$156,MATCH(TRIM(O872),MAP!$A$7:$A$156,0)),"UNMAPPED"))</f>
        <v>Registered Nurse</v>
      </c>
      <c r="Q872" s="48" t="n">
        <f aca="false">STACK!I872</f>
        <v>210.75</v>
      </c>
      <c r="R872" s="60" t="n">
        <f aca="false">IF(G872&gt;0,IF(INDEX(CONFIRM!$F$5:$F$53,G872)&lt;&gt;"",INDEX(CONFIRM!$F$5:$F$53,G872),IF(ISNUMBER(Q872),Q872,IF(Q872="","",IFERROR(VALUE(TRIM(SUBSTITUTE(SUBSTITUTE(LOWER(Q872),"hrs",""),"hr",""))),"")))),IF(ISNUMBER(Q872),Q872,IF(Q872="","",IFERROR(VALUE(TRIM(SUBSTITUTE(SUBSTITUTE(LOWER(Q872),"hrs",""),"hr",""))),""))))</f>
        <v>210.75</v>
      </c>
      <c r="S872" s="57" t="n">
        <f aca="false">IFERROR(INDEX(RATES!$E$6:$E$28,MATCH(P872,RATES!$A$6:$A$28,0)),0)</f>
        <v>55.8975</v>
      </c>
      <c r="T872" s="61" t="n">
        <f aca="false">IF(ISNUMBER(R872),R872,0)*S872</f>
        <v>11780.398125</v>
      </c>
      <c r="U872" s="61" t="n">
        <f aca="false">T872*INDEX(INPUTS!$H$10:$H$14,MATCH(B872,INPUTS!$A$10:$A$14,0))</f>
        <v>1861.30290375</v>
      </c>
      <c r="V872" s="61" t="n">
        <f aca="false">N(STACK!K872)</f>
        <v>0</v>
      </c>
      <c r="W872" s="61" t="n">
        <f aca="false">T872+U872+V872</f>
        <v>13641.70102875</v>
      </c>
      <c r="X872" s="61" t="n">
        <f aca="false">N(STACK!L872)</f>
        <v>0</v>
      </c>
      <c r="Y872" s="61" t="n">
        <f aca="false">W872-X872</f>
        <v>13641.70102875</v>
      </c>
      <c r="Z872" s="1" t="n">
        <f aca="false">N(STACK!J872)</f>
        <v>0</v>
      </c>
      <c r="AA872" s="1" t="str">
        <f aca="false">TRIM(IF(D872="UNMAPPED","Program not mapped. ","")&amp;IF(OR(K872="UNMAPPED",K872="UNASSIGNED"),"Category needs review. ","")&amp;IF(P872="UNMAPPED","Title not mapped. ","")&amp;IF(AND(P872&lt;&gt;"No staff time",R872=""),"Missing hours. ","")&amp;IF(M872="","Date not readable. ","")&amp;IF(N872="No","Outside fiscal year. ","")&amp;IF(AND(F872="Event",ISNUMBER(R872)),IF(R872&gt;12,"Event hours look high. ",""),"")&amp;IF(G872&gt;0,"See CONFIRM sheet.",""))</f>
        <v/>
      </c>
      <c r="AB872" s="1" t="n">
        <f aca="false">IF(N872="No",0,IF(REVIEW!O872=0,0,IF(G872&gt;0,IF(INDEX(CONFIRM!$J$5:$J$53,G872)&lt;&gt;"",INDEX(CONFIRM!$J$5:$J$53,G872),1),1)))</f>
        <v>1</v>
      </c>
      <c r="AC872" s="1" t="n">
        <f aca="false">IF(AB872=1,IF(COUNTIFS($B$5:B872,B872,$D$5:D872,D872,$AB$5:AB872,1)=1,1,0),0)</f>
        <v>0</v>
      </c>
    </row>
    <row r="873" customFormat="false" ht="15" hidden="false" customHeight="false" outlineLevel="0" collapsed="false">
      <c r="A873" s="48" t="str">
        <f aca="false">STACK!A873</f>
        <v>CBH-0045</v>
      </c>
      <c r="B873" s="48" t="str">
        <f aca="false">STACK!B873</f>
        <v>CBH</v>
      </c>
      <c r="C873" s="48" t="str">
        <f aca="false">STACK!E873</f>
        <v>Pharmacy Students</v>
      </c>
      <c r="D873" s="1" t="str">
        <f aca="false">IFERROR(INDEX(MAP!$J$7:$J$101,MATCH(TRIM(C873),MAP!$I$7:$I$101,0)),"UNMAPPED")</f>
        <v>Pharmacy Student Rotations</v>
      </c>
      <c r="E873" s="1" t="str">
        <f aca="false">IFERROR(INDEX(MAP!$K$7:$K$101,MATCH(TRIM(C873),MAP!$I$7:$I$101,0)),"")</f>
        <v>Health workforce</v>
      </c>
      <c r="F873" s="1" t="str">
        <f aca="false">IFERROR(INDEX(MAP!$L$7:$L$101,MATCH(TRIM(C873),MAP!$I$7:$I$101,0)),"")</f>
        <v>Monthly</v>
      </c>
      <c r="G873" s="1" t="n">
        <f aca="false">IFERROR(MATCH(A873,CONFIRM!$A$5:$A$53,0),0)</f>
        <v>0</v>
      </c>
      <c r="H873" s="48" t="str">
        <f aca="false">STACK!F873</f>
        <v>Education - Health Professions</v>
      </c>
      <c r="I873" s="1" t="str">
        <f aca="false">IF(G873&gt;0,IF(INDEX(CONFIRM!$I$5:$I$53,G873)&lt;&gt;"",INDEX(CONFIRM!$I$5:$I$53,G873),H873),H873)</f>
        <v>Education - Health Professions</v>
      </c>
      <c r="J873" s="1" t="str">
        <f aca="false">IFERROR(INDEX(MAP!$F$7:$F$74,MATCH(TRIM(I873),MAP!$E$7:$E$74,0)),"UNMAPPED")</f>
        <v>Health professions education</v>
      </c>
      <c r="K873" s="1" t="str">
        <f aca="false">IFERROR(INDEX(MAP!$G$7:$G$74,MATCH(TRIM(I873),MAP!$E$7:$E$74,0)),"UNMAPPED")</f>
        <v>7f</v>
      </c>
      <c r="L873" s="49" t="str">
        <f aca="false">STACK!G873</f>
        <v>2025-08-31</v>
      </c>
      <c r="M873" s="59" t="n">
        <f aca="false">IF(G873&gt;0,IF(INDEX(CONFIRM!$G$5:$G$53,G873)&lt;&gt;"",INDEX(CONFIRM!$G$5:$G$53,G873),IF(ISNUMBER(L873),L873,IFERROR(DATEVALUE(L873),""))),IF(ISNUMBER(L873),L873,IFERROR(DATEVALUE(L873),"")))</f>
        <v>45900</v>
      </c>
      <c r="N873" s="1" t="str">
        <f aca="false">IF(M873="","Check",IF(AND(M873&gt;=INPUTS!$C$6,M873&lt;=INPUTS!$C$7),"Yes","No"))</f>
        <v>Yes</v>
      </c>
      <c r="O873" s="48" t="str">
        <f aca="false">STACK!H873</f>
        <v>PharmD</v>
      </c>
      <c r="P873" s="1" t="str">
        <f aca="false">IF(G873&gt;0,IF(INDEX(CONFIRM!$H$5:$H$53,G873)&lt;&gt;"",INDEX(CONFIRM!$H$5:$H$53,G873),IFERROR(INDEX(MAP!$B$7:$B$156,MATCH(TRIM(O873),MAP!$A$7:$A$156,0)),"UNMAPPED")),IFERROR(INDEX(MAP!$B$7:$B$156,MATCH(TRIM(O873),MAP!$A$7:$A$156,0)),"UNMAPPED"))</f>
        <v>Pharmacist</v>
      </c>
      <c r="Q873" s="48" t="n">
        <f aca="false">STACK!I873</f>
        <v>59.75</v>
      </c>
      <c r="R873" s="60" t="n">
        <f aca="false">IF(G873&gt;0,IF(INDEX(CONFIRM!$F$5:$F$53,G873)&lt;&gt;"",INDEX(CONFIRM!$F$5:$F$53,G873),IF(ISNUMBER(Q873),Q873,IF(Q873="","",IFERROR(VALUE(TRIM(SUBSTITUTE(SUBSTITUTE(LOWER(Q873),"hrs",""),"hr",""))),"")))),IF(ISNUMBER(Q873),Q873,IF(Q873="","",IFERROR(VALUE(TRIM(SUBSTITUTE(SUBSTITUTE(LOWER(Q873),"hrs",""),"hr",""))),""))))</f>
        <v>59.75</v>
      </c>
      <c r="S873" s="57" t="n">
        <f aca="false">IFERROR(INDEX(RATES!$E$6:$E$28,MATCH(P873,RATES!$A$6:$A$28,0)),0)</f>
        <v>84.81</v>
      </c>
      <c r="T873" s="61" t="n">
        <f aca="false">IF(ISNUMBER(R873),R873,0)*S873</f>
        <v>5067.3975</v>
      </c>
      <c r="U873" s="61" t="n">
        <f aca="false">T873*INDEX(INPUTS!$H$10:$H$14,MATCH(B873,INPUTS!$A$10:$A$14,0))</f>
        <v>800.648805</v>
      </c>
      <c r="V873" s="61" t="n">
        <f aca="false">N(STACK!K873)</f>
        <v>90</v>
      </c>
      <c r="W873" s="61" t="n">
        <f aca="false">T873+U873+V873</f>
        <v>5958.046305</v>
      </c>
      <c r="X873" s="61" t="n">
        <f aca="false">N(STACK!L873)</f>
        <v>0</v>
      </c>
      <c r="Y873" s="61" t="n">
        <f aca="false">W873-X873</f>
        <v>5958.046305</v>
      </c>
      <c r="Z873" s="1" t="n">
        <f aca="false">N(STACK!J873)</f>
        <v>4</v>
      </c>
      <c r="AA873" s="1" t="str">
        <f aca="false">TRIM(IF(D873="UNMAPPED","Program not mapped. ","")&amp;IF(OR(K873="UNMAPPED",K873="UNASSIGNED"),"Category needs review. ","")&amp;IF(P873="UNMAPPED","Title not mapped. ","")&amp;IF(AND(P873&lt;&gt;"No staff time",R873=""),"Missing hours. ","")&amp;IF(M873="","Date not readable. ","")&amp;IF(N873="No","Outside fiscal year. ","")&amp;IF(AND(F873="Event",ISNUMBER(R873)),IF(R873&gt;12,"Event hours look high. ",""),"")&amp;IF(G873&gt;0,"See CONFIRM sheet.",""))</f>
        <v/>
      </c>
      <c r="AB873" s="1" t="n">
        <f aca="false">IF(N873="No",0,IF(REVIEW!O873=0,0,IF(G873&gt;0,IF(INDEX(CONFIRM!$J$5:$J$53,G873)&lt;&gt;"",INDEX(CONFIRM!$J$5:$J$53,G873),1),1)))</f>
        <v>1</v>
      </c>
      <c r="AC873" s="1" t="n">
        <f aca="false">IF(AB873=1,IF(COUNTIFS($B$5:B873,B873,$D$5:D873,D873,$AB$5:AB873,1)=1,1,0),0)</f>
        <v>0</v>
      </c>
    </row>
    <row r="874" customFormat="false" ht="15" hidden="false" customHeight="false" outlineLevel="0" collapsed="false">
      <c r="A874" s="48" t="str">
        <f aca="false">STACK!A874</f>
        <v>CBH-0046</v>
      </c>
      <c r="B874" s="48" t="str">
        <f aca="false">STACK!B874</f>
        <v>CBH</v>
      </c>
      <c r="C874" s="48" t="str">
        <f aca="false">STACK!E874</f>
        <v>Health Coalition</v>
      </c>
      <c r="D874" s="1" t="str">
        <f aca="false">IFERROR(INDEX(MAP!$J$7:$J$101,MATCH(TRIM(C874),MAP!$I$7:$I$101,0)),"UNMAPPED")</f>
        <v>Regional Health Coalition</v>
      </c>
      <c r="E874" s="1" t="str">
        <f aca="false">IFERROR(INDEX(MAP!$K$7:$K$101,MATCH(TRIM(C874),MAP!$I$7:$I$101,0)),"")</f>
        <v>Community benefit infrastructure</v>
      </c>
      <c r="F874" s="1" t="str">
        <f aca="false">IFERROR(INDEX(MAP!$L$7:$L$101,MATCH(TRIM(C874),MAP!$I$7:$I$101,0)),"")</f>
        <v>Event</v>
      </c>
      <c r="G874" s="1" t="n">
        <f aca="false">IFERROR(MATCH(A874,CONFIRM!$A$5:$A$53,0),0)</f>
        <v>10</v>
      </c>
      <c r="H874" s="48" t="str">
        <f aca="false">STACK!F874</f>
        <v>Community Health Improvement</v>
      </c>
      <c r="I874" s="1" t="str">
        <f aca="false">IF(G874&gt;0,IF(INDEX(CONFIRM!$I$5:$I$53,G874)&lt;&gt;"",INDEX(CONFIRM!$I$5:$I$53,G874),H874),H874)</f>
        <v>Community building: coalition building</v>
      </c>
      <c r="J874" s="1" t="str">
        <f aca="false">IFERROR(INDEX(MAP!$F$7:$F$74,MATCH(TRIM(I874),MAP!$E$7:$E$74,0)),"UNMAPPED")</f>
        <v>Community building: coalition building</v>
      </c>
      <c r="K874" s="1" t="str">
        <f aca="false">IFERROR(INDEX(MAP!$G$7:$G$74,MATCH(TRIM(I874),MAP!$E$7:$E$74,0)),"UNMAPPED")</f>
        <v>II-6</v>
      </c>
      <c r="L874" s="49" t="str">
        <f aca="false">STACK!G874</f>
        <v>2025-09-09</v>
      </c>
      <c r="M874" s="59" t="n">
        <f aca="false">IF(G874&gt;0,IF(INDEX(CONFIRM!$G$5:$G$53,G874)&lt;&gt;"",INDEX(CONFIRM!$G$5:$G$53,G874),IF(ISNUMBER(L874),L874,IFERROR(DATEVALUE(L874),""))),IF(ISNUMBER(L874),L874,IFERROR(DATEVALUE(L874),"")))</f>
        <v>45909</v>
      </c>
      <c r="N874" s="1" t="str">
        <f aca="false">IF(M874="","Check",IF(AND(M874&gt;=INPUTS!$C$6,M874&lt;=INPUTS!$C$7),"Yes","No"))</f>
        <v>Yes</v>
      </c>
      <c r="O874" s="48" t="str">
        <f aca="false">STACK!H874</f>
        <v>Community Benefit Manager</v>
      </c>
      <c r="P874" s="1" t="str">
        <f aca="false">IF(G874&gt;0,IF(INDEX(CONFIRM!$H$5:$H$53,G874)&lt;&gt;"",INDEX(CONFIRM!$H$5:$H$53,G874),IFERROR(INDEX(MAP!$B$7:$B$156,MATCH(TRIM(O874),MAP!$A$7:$A$156,0)),"UNMAPPED")),IFERROR(INDEX(MAP!$B$7:$B$156,MATCH(TRIM(O874),MAP!$A$7:$A$156,0)),"UNMAPPED"))</f>
        <v>Community Benefit Manager</v>
      </c>
      <c r="Q874" s="48" t="n">
        <f aca="false">STACK!I874</f>
        <v>2.75</v>
      </c>
      <c r="R874" s="60" t="n">
        <f aca="false">IF(G874&gt;0,IF(INDEX(CONFIRM!$F$5:$F$53,G874)&lt;&gt;"",INDEX(CONFIRM!$F$5:$F$53,G874),IF(ISNUMBER(Q874),Q874,IF(Q874="","",IFERROR(VALUE(TRIM(SUBSTITUTE(SUBSTITUTE(LOWER(Q874),"hrs",""),"hr",""))),"")))),IF(ISNUMBER(Q874),Q874,IF(Q874="","",IFERROR(VALUE(TRIM(SUBSTITUTE(SUBSTITUTE(LOWER(Q874),"hrs",""),"hr",""))),""))))</f>
        <v>2.75</v>
      </c>
      <c r="S874" s="57" t="n">
        <f aca="false">IFERROR(INDEX(RATES!$E$6:$E$28,MATCH(P874,RATES!$A$6:$A$28,0)),0)</f>
        <v>59.11</v>
      </c>
      <c r="T874" s="61" t="n">
        <f aca="false">IF(ISNUMBER(R874),R874,0)*S874</f>
        <v>162.5525</v>
      </c>
      <c r="U874" s="61" t="n">
        <f aca="false">T874*INDEX(INPUTS!$H$10:$H$14,MATCH(B874,INPUTS!$A$10:$A$14,0))</f>
        <v>25.683295</v>
      </c>
      <c r="V874" s="61" t="n">
        <f aca="false">N(STACK!K874)</f>
        <v>0</v>
      </c>
      <c r="W874" s="61" t="n">
        <f aca="false">T874+U874+V874</f>
        <v>188.235795</v>
      </c>
      <c r="X874" s="61" t="n">
        <f aca="false">N(STACK!L874)</f>
        <v>0</v>
      </c>
      <c r="Y874" s="61" t="n">
        <f aca="false">W874-X874</f>
        <v>188.235795</v>
      </c>
      <c r="Z874" s="1" t="n">
        <f aca="false">N(STACK!J874)</f>
        <v>0</v>
      </c>
      <c r="AA874" s="1" t="str">
        <f aca="false">TRIM(IF(D874="UNMAPPED","Program not mapped. ","")&amp;IF(OR(K874="UNMAPPED",K874="UNASSIGNED"),"Category needs review. ","")&amp;IF(P874="UNMAPPED","Title not mapped. ","")&amp;IF(AND(P874&lt;&gt;"No staff time",R874=""),"Missing hours. ","")&amp;IF(M874="","Date not readable. ","")&amp;IF(N874="No","Outside fiscal year. ","")&amp;IF(AND(F874="Event",ISNUMBER(R874)),IF(R874&gt;12,"Event hours look high. ",""),"")&amp;IF(G874&gt;0,"See CONFIRM sheet.",""))</f>
        <v>See CONFIRM sheet.</v>
      </c>
      <c r="AB874" s="1" t="n">
        <f aca="false">IF(N874="No",0,IF(REVIEW!O874=0,0,IF(G874&gt;0,IF(INDEX(CONFIRM!$J$5:$J$53,G874)&lt;&gt;"",INDEX(CONFIRM!$J$5:$J$53,G874),1),1)))</f>
        <v>1</v>
      </c>
      <c r="AC874" s="1" t="n">
        <f aca="false">IF(AB874=1,IF(COUNTIFS($B$5:B874,B874,$D$5:D874,D874,$AB$5:AB874,1)=1,1,0),0)</f>
        <v>0</v>
      </c>
    </row>
    <row r="875" customFormat="false" ht="15" hidden="false" customHeight="false" outlineLevel="0" collapsed="false">
      <c r="A875" s="48" t="str">
        <f aca="false">STACK!A875</f>
        <v>CBH-0047</v>
      </c>
      <c r="B875" s="48" t="str">
        <f aca="false">STACK!B875</f>
        <v>CBH</v>
      </c>
      <c r="C875" s="48" t="str">
        <f aca="false">STACK!E875</f>
        <v>Health Coalition</v>
      </c>
      <c r="D875" s="1" t="str">
        <f aca="false">IFERROR(INDEX(MAP!$J$7:$J$101,MATCH(TRIM(C875),MAP!$I$7:$I$101,0)),"UNMAPPED")</f>
        <v>Regional Health Coalition</v>
      </c>
      <c r="E875" s="1" t="str">
        <f aca="false">IFERROR(INDEX(MAP!$K$7:$K$101,MATCH(TRIM(C875),MAP!$I$7:$I$101,0)),"")</f>
        <v>Community benefit infrastructure</v>
      </c>
      <c r="F875" s="1" t="str">
        <f aca="false">IFERROR(INDEX(MAP!$L$7:$L$101,MATCH(TRIM(C875),MAP!$I$7:$I$101,0)),"")</f>
        <v>Event</v>
      </c>
      <c r="G875" s="1" t="n">
        <f aca="false">IFERROR(MATCH(A875,CONFIRM!$A$5:$A$53,0),0)</f>
        <v>11</v>
      </c>
      <c r="H875" s="48" t="str">
        <f aca="false">STACK!F875</f>
        <v>Community Health Improvement</v>
      </c>
      <c r="I875" s="1" t="str">
        <f aca="false">IF(G875&gt;0,IF(INDEX(CONFIRM!$I$5:$I$53,G875)&lt;&gt;"",INDEX(CONFIRM!$I$5:$I$53,G875),H875),H875)</f>
        <v>Community building: coalition building</v>
      </c>
      <c r="J875" s="1" t="str">
        <f aca="false">IFERROR(INDEX(MAP!$F$7:$F$74,MATCH(TRIM(I875),MAP!$E$7:$E$74,0)),"UNMAPPED")</f>
        <v>Community building: coalition building</v>
      </c>
      <c r="K875" s="1" t="str">
        <f aca="false">IFERROR(INDEX(MAP!$G$7:$G$74,MATCH(TRIM(I875),MAP!$E$7:$E$74,0)),"UNMAPPED")</f>
        <v>II-6</v>
      </c>
      <c r="L875" s="49" t="str">
        <f aca="false">STACK!G875</f>
        <v>2025-09-09</v>
      </c>
      <c r="M875" s="59" t="n">
        <f aca="false">IF(G875&gt;0,IF(INDEX(CONFIRM!$G$5:$G$53,G875)&lt;&gt;"",INDEX(CONFIRM!$G$5:$G$53,G875),IF(ISNUMBER(L875),L875,IFERROR(DATEVALUE(L875),""))),IF(ISNUMBER(L875),L875,IFERROR(DATEVALUE(L875),"")))</f>
        <v>45909</v>
      </c>
      <c r="N875" s="1" t="str">
        <f aca="false">IF(M875="","Check",IF(AND(M875&gt;=INPUTS!$C$6,M875&lt;=INPUTS!$C$7),"Yes","No"))</f>
        <v>Yes</v>
      </c>
      <c r="O875" s="48" t="str">
        <f aca="false">STACK!H875</f>
        <v> VP</v>
      </c>
      <c r="P875" s="1" t="str">
        <f aca="false">IF(G875&gt;0,IF(INDEX(CONFIRM!$H$5:$H$53,G875)&lt;&gt;"",INDEX(CONFIRM!$H$5:$H$53,G875),IFERROR(INDEX(MAP!$B$7:$B$156,MATCH(TRIM(O875),MAP!$A$7:$A$156,0)),"UNMAPPED")),IFERROR(INDEX(MAP!$B$7:$B$156,MATCH(TRIM(O875),MAP!$A$7:$A$156,0)),"UNMAPPED"))</f>
        <v>Director</v>
      </c>
      <c r="Q875" s="48" t="n">
        <f aca="false">STACK!I875</f>
        <v>2.75</v>
      </c>
      <c r="R875" s="60" t="n">
        <f aca="false">IF(G875&gt;0,IF(INDEX(CONFIRM!$F$5:$F$53,G875)&lt;&gt;"",INDEX(CONFIRM!$F$5:$F$53,G875),IF(ISNUMBER(Q875),Q875,IF(Q875="","",IFERROR(VALUE(TRIM(SUBSTITUTE(SUBSTITUTE(LOWER(Q875),"hrs",""),"hr",""))),"")))),IF(ISNUMBER(Q875),Q875,IF(Q875="","",IFERROR(VALUE(TRIM(SUBSTITUTE(SUBSTITUTE(LOWER(Q875),"hrs",""),"hr",""))),""))))</f>
        <v>2.75</v>
      </c>
      <c r="S875" s="57" t="n">
        <f aca="false">IFERROR(INDEX(RATES!$E$6:$E$28,MATCH(P875,RATES!$A$6:$A$28,0)),0)</f>
        <v>92.52</v>
      </c>
      <c r="T875" s="61" t="n">
        <f aca="false">IF(ISNUMBER(R875),R875,0)*S875</f>
        <v>254.43</v>
      </c>
      <c r="U875" s="61" t="n">
        <f aca="false">T875*INDEX(INPUTS!$H$10:$H$14,MATCH(B875,INPUTS!$A$10:$A$14,0))</f>
        <v>40.19994</v>
      </c>
      <c r="V875" s="61" t="n">
        <f aca="false">N(STACK!K875)</f>
        <v>5</v>
      </c>
      <c r="W875" s="61" t="n">
        <f aca="false">T875+U875+V875</f>
        <v>299.62994</v>
      </c>
      <c r="X875" s="61" t="n">
        <f aca="false">N(STACK!L875)</f>
        <v>0</v>
      </c>
      <c r="Y875" s="61" t="n">
        <f aca="false">W875-X875</f>
        <v>299.62994</v>
      </c>
      <c r="Z875" s="1" t="n">
        <f aca="false">N(STACK!J875)</f>
        <v>0</v>
      </c>
      <c r="AA875" s="1" t="str">
        <f aca="false">TRIM(IF(D875="UNMAPPED","Program not mapped. ","")&amp;IF(OR(K875="UNMAPPED",K875="UNASSIGNED"),"Category needs review. ","")&amp;IF(P875="UNMAPPED","Title not mapped. ","")&amp;IF(AND(P875&lt;&gt;"No staff time",R875=""),"Missing hours. ","")&amp;IF(M875="","Date not readable. ","")&amp;IF(N875="No","Outside fiscal year. ","")&amp;IF(AND(F875="Event",ISNUMBER(R875)),IF(R875&gt;12,"Event hours look high. ",""),"")&amp;IF(G875&gt;0,"See CONFIRM sheet.",""))</f>
        <v>See CONFIRM sheet.</v>
      </c>
      <c r="AB875" s="1" t="n">
        <f aca="false">IF(N875="No",0,IF(REVIEW!O875=0,0,IF(G875&gt;0,IF(INDEX(CONFIRM!$J$5:$J$53,G875)&lt;&gt;"",INDEX(CONFIRM!$J$5:$J$53,G875),1),1)))</f>
        <v>1</v>
      </c>
      <c r="AC875" s="1" t="n">
        <f aca="false">IF(AB875=1,IF(COUNTIFS($B$5:B875,B875,$D$5:D875,D875,$AB$5:AB875,1)=1,1,0),0)</f>
        <v>0</v>
      </c>
    </row>
    <row r="876" customFormat="false" ht="15" hidden="false" customHeight="false" outlineLevel="0" collapsed="false">
      <c r="A876" s="48" t="str">
        <f aca="false">STACK!A876</f>
        <v>CBH-0048</v>
      </c>
      <c r="B876" s="48" t="str">
        <f aca="false">STACK!B876</f>
        <v>CBH</v>
      </c>
      <c r="C876" s="48" t="str">
        <f aca="false">STACK!E876</f>
        <v>Mental Health First Aid</v>
      </c>
      <c r="D876" s="1" t="str">
        <f aca="false">IFERROR(INDEX(MAP!$J$7:$J$101,MATCH(TRIM(C876),MAP!$I$7:$I$101,0)),"UNMAPPED")</f>
        <v>Mental Health First Aid Training</v>
      </c>
      <c r="E876" s="1" t="str">
        <f aca="false">IFERROR(INDEX(MAP!$K$7:$K$101,MATCH(TRIM(C876),MAP!$I$7:$I$101,0)),"")</f>
        <v>Behavioral health</v>
      </c>
      <c r="F876" s="1" t="str">
        <f aca="false">IFERROR(INDEX(MAP!$L$7:$L$101,MATCH(TRIM(C876),MAP!$I$7:$I$101,0)),"")</f>
        <v>Event</v>
      </c>
      <c r="G876" s="1" t="n">
        <f aca="false">IFERROR(MATCH(A876,CONFIRM!$A$5:$A$53,0),0)</f>
        <v>0</v>
      </c>
      <c r="H876" s="48" t="str">
        <f aca="false">STACK!F876</f>
        <v>Health Education</v>
      </c>
      <c r="I876" s="1" t="str">
        <f aca="false">IF(G876&gt;0,IF(INDEX(CONFIRM!$I$5:$I$53,G876)&lt;&gt;"",INDEX(CONFIRM!$I$5:$I$53,G876),H876),H876)</f>
        <v>Health Education</v>
      </c>
      <c r="J876" s="1" t="str">
        <f aca="false">IFERROR(INDEX(MAP!$F$7:$F$74,MATCH(TRIM(I876),MAP!$E$7:$E$74,0)),"UNMAPPED")</f>
        <v>Community health education</v>
      </c>
      <c r="K876" s="1" t="str">
        <f aca="false">IFERROR(INDEX(MAP!$G$7:$G$74,MATCH(TRIM(I876),MAP!$E$7:$E$74,0)),"UNMAPPED")</f>
        <v>7e</v>
      </c>
      <c r="L876" s="49" t="str">
        <f aca="false">STACK!G876</f>
        <v>2025-09-11</v>
      </c>
      <c r="M876" s="59" t="n">
        <f aca="false">IF(G876&gt;0,IF(INDEX(CONFIRM!$G$5:$G$53,G876)&lt;&gt;"",INDEX(CONFIRM!$G$5:$G$53,G876),IF(ISNUMBER(L876),L876,IFERROR(DATEVALUE(L876),""))),IF(ISNUMBER(L876),L876,IFERROR(DATEVALUE(L876),"")))</f>
        <v>45911</v>
      </c>
      <c r="N876" s="1" t="str">
        <f aca="false">IF(M876="","Check",IF(AND(M876&gt;=INPUTS!$C$6,M876&lt;=INPUTS!$C$7),"Yes","No"))</f>
        <v>Yes</v>
      </c>
      <c r="O876" s="48" t="str">
        <f aca="false">STACK!H876</f>
        <v>Wellness Educator</v>
      </c>
      <c r="P876" s="1" t="str">
        <f aca="false">IF(G876&gt;0,IF(INDEX(CONFIRM!$H$5:$H$53,G876)&lt;&gt;"",INDEX(CONFIRM!$H$5:$H$53,G876),IFERROR(INDEX(MAP!$B$7:$B$156,MATCH(TRIM(O876),MAP!$A$7:$A$156,0)),"UNMAPPED")),IFERROR(INDEX(MAP!$B$7:$B$156,MATCH(TRIM(O876),MAP!$A$7:$A$156,0)),"UNMAPPED"))</f>
        <v>Health Educator</v>
      </c>
      <c r="Q876" s="48" t="n">
        <f aca="false">STACK!I876</f>
        <v>8</v>
      </c>
      <c r="R876" s="60" t="n">
        <f aca="false">IF(G876&gt;0,IF(INDEX(CONFIRM!$F$5:$F$53,G876)&lt;&gt;"",INDEX(CONFIRM!$F$5:$F$53,G876),IF(ISNUMBER(Q876),Q876,IF(Q876="","",IFERROR(VALUE(TRIM(SUBSTITUTE(SUBSTITUTE(LOWER(Q876),"hrs",""),"hr",""))),"")))),IF(ISNUMBER(Q876),Q876,IF(Q876="","",IFERROR(VALUE(TRIM(SUBSTITUTE(SUBSTITUTE(LOWER(Q876),"hrs",""),"hr",""))),""))))</f>
        <v>8</v>
      </c>
      <c r="S876" s="57" t="n">
        <f aca="false">IFERROR(INDEX(RATES!$E$6:$E$28,MATCH(P876,RATES!$A$6:$A$28,0)),0)</f>
        <v>37.265</v>
      </c>
      <c r="T876" s="61" t="n">
        <f aca="false">IF(ISNUMBER(R876),R876,0)*S876</f>
        <v>298.12</v>
      </c>
      <c r="U876" s="61" t="n">
        <f aca="false">T876*INDEX(INPUTS!$H$10:$H$14,MATCH(B876,INPUTS!$A$10:$A$14,0))</f>
        <v>47.10296</v>
      </c>
      <c r="V876" s="61" t="n">
        <f aca="false">N(STACK!K876)</f>
        <v>0</v>
      </c>
      <c r="W876" s="61" t="n">
        <f aca="false">T876+U876+V876</f>
        <v>345.22296</v>
      </c>
      <c r="X876" s="61" t="n">
        <f aca="false">N(STACK!L876)</f>
        <v>0</v>
      </c>
      <c r="Y876" s="61" t="n">
        <f aca="false">W876-X876</f>
        <v>345.22296</v>
      </c>
      <c r="Z876" s="1" t="n">
        <f aca="false">N(STACK!J876)</f>
        <v>0</v>
      </c>
      <c r="AA876" s="1" t="str">
        <f aca="false">TRIM(IF(D876="UNMAPPED","Program not mapped. ","")&amp;IF(OR(K876="UNMAPPED",K876="UNASSIGNED"),"Category needs review. ","")&amp;IF(P876="UNMAPPED","Title not mapped. ","")&amp;IF(AND(P876&lt;&gt;"No staff time",R876=""),"Missing hours. ","")&amp;IF(M876="","Date not readable. ","")&amp;IF(N876="No","Outside fiscal year. ","")&amp;IF(AND(F876="Event",ISNUMBER(R876)),IF(R876&gt;12,"Event hours look high. ",""),"")&amp;IF(G876&gt;0,"See CONFIRM sheet.",""))</f>
        <v/>
      </c>
      <c r="AB876" s="1" t="n">
        <f aca="false">IF(N876="No",0,IF(REVIEW!O876=0,0,IF(G876&gt;0,IF(INDEX(CONFIRM!$J$5:$J$53,G876)&lt;&gt;"",INDEX(CONFIRM!$J$5:$J$53,G876),1),1)))</f>
        <v>1</v>
      </c>
      <c r="AC876" s="1" t="n">
        <f aca="false">IF(AB876=1,IF(COUNTIFS($B$5:B876,B876,$D$5:D876,D876,$AB$5:AB876,1)=1,1,0),0)</f>
        <v>0</v>
      </c>
    </row>
    <row r="877" customFormat="false" ht="15" hidden="false" customHeight="false" outlineLevel="0" collapsed="false">
      <c r="A877" s="48" t="str">
        <f aca="false">STACK!A877</f>
        <v>CBH-0049</v>
      </c>
      <c r="B877" s="48" t="str">
        <f aca="false">STACK!B877</f>
        <v>CBH</v>
      </c>
      <c r="C877" s="48" t="str">
        <f aca="false">STACK!E877</f>
        <v>Mental Health First Aid</v>
      </c>
      <c r="D877" s="1" t="str">
        <f aca="false">IFERROR(INDEX(MAP!$J$7:$J$101,MATCH(TRIM(C877),MAP!$I$7:$I$101,0)),"UNMAPPED")</f>
        <v>Mental Health First Aid Training</v>
      </c>
      <c r="E877" s="1" t="str">
        <f aca="false">IFERROR(INDEX(MAP!$K$7:$K$101,MATCH(TRIM(C877),MAP!$I$7:$I$101,0)),"")</f>
        <v>Behavioral health</v>
      </c>
      <c r="F877" s="1" t="str">
        <f aca="false">IFERROR(INDEX(MAP!$L$7:$L$101,MATCH(TRIM(C877),MAP!$I$7:$I$101,0)),"")</f>
        <v>Event</v>
      </c>
      <c r="G877" s="1" t="n">
        <f aca="false">IFERROR(MATCH(A877,CONFIRM!$A$5:$A$53,0),0)</f>
        <v>0</v>
      </c>
      <c r="H877" s="48" t="str">
        <f aca="false">STACK!F877</f>
        <v>Health Education</v>
      </c>
      <c r="I877" s="1" t="str">
        <f aca="false">IF(G877&gt;0,IF(INDEX(CONFIRM!$I$5:$I$53,G877)&lt;&gt;"",INDEX(CONFIRM!$I$5:$I$53,G877),H877),H877)</f>
        <v>Health Education</v>
      </c>
      <c r="J877" s="1" t="str">
        <f aca="false">IFERROR(INDEX(MAP!$F$7:$F$74,MATCH(TRIM(I877),MAP!$E$7:$E$74,0)),"UNMAPPED")</f>
        <v>Community health education</v>
      </c>
      <c r="K877" s="1" t="str">
        <f aca="false">IFERROR(INDEX(MAP!$G$7:$G$74,MATCH(TRIM(I877),MAP!$E$7:$E$74,0)),"UNMAPPED")</f>
        <v>7e</v>
      </c>
      <c r="L877" s="49" t="str">
        <f aca="false">STACK!G877</f>
        <v>2025-09-11</v>
      </c>
      <c r="M877" s="59" t="n">
        <f aca="false">IF(G877&gt;0,IF(INDEX(CONFIRM!$G$5:$G$53,G877)&lt;&gt;"",INDEX(CONFIRM!$G$5:$G$53,G877),IF(ISNUMBER(L877),L877,IFERROR(DATEVALUE(L877),""))),IF(ISNUMBER(L877),L877,IFERROR(DATEVALUE(L877),"")))</f>
        <v>45911</v>
      </c>
      <c r="N877" s="1" t="str">
        <f aca="false">IF(M877="","Check",IF(AND(M877&gt;=INPUTS!$C$6,M877&lt;=INPUTS!$C$7),"Yes","No"))</f>
        <v>Yes</v>
      </c>
      <c r="O877" s="48" t="str">
        <f aca="false">STACK!H877</f>
        <v>LMSW</v>
      </c>
      <c r="P877" s="1" t="str">
        <f aca="false">IF(G877&gt;0,IF(INDEX(CONFIRM!$H$5:$H$53,G877)&lt;&gt;"",INDEX(CONFIRM!$H$5:$H$53,G877),IFERROR(INDEX(MAP!$B$7:$B$156,MATCH(TRIM(O877),MAP!$A$7:$A$156,0)),"UNMAPPED")),IFERROR(INDEX(MAP!$B$7:$B$156,MATCH(TRIM(O877),MAP!$A$7:$A$156,0)),"UNMAPPED"))</f>
        <v>Social Worker</v>
      </c>
      <c r="Q877" s="48" t="n">
        <f aca="false">STACK!I877</f>
        <v>8</v>
      </c>
      <c r="R877" s="60" t="n">
        <f aca="false">IF(G877&gt;0,IF(INDEX(CONFIRM!$F$5:$F$53,G877)&lt;&gt;"",INDEX(CONFIRM!$F$5:$F$53,G877),IF(ISNUMBER(Q877),Q877,IF(Q877="","",IFERROR(VALUE(TRIM(SUBSTITUTE(SUBSTITUTE(LOWER(Q877),"hrs",""),"hr",""))),"")))),IF(ISNUMBER(Q877),Q877,IF(Q877="","",IFERROR(VALUE(TRIM(SUBSTITUTE(SUBSTITUTE(LOWER(Q877),"hrs",""),"hr",""))),""))))</f>
        <v>8</v>
      </c>
      <c r="S877" s="57" t="n">
        <f aca="false">IFERROR(INDEX(RATES!$E$6:$E$28,MATCH(P877,RATES!$A$6:$A$28,0)),0)</f>
        <v>45.6175</v>
      </c>
      <c r="T877" s="61" t="n">
        <f aca="false">IF(ISNUMBER(R877),R877,0)*S877</f>
        <v>364.94</v>
      </c>
      <c r="U877" s="61" t="n">
        <f aca="false">T877*INDEX(INPUTS!$H$10:$H$14,MATCH(B877,INPUTS!$A$10:$A$14,0))</f>
        <v>57.66052</v>
      </c>
      <c r="V877" s="61" t="n">
        <f aca="false">N(STACK!K877)</f>
        <v>265</v>
      </c>
      <c r="W877" s="61" t="n">
        <f aca="false">T877+U877+V877</f>
        <v>687.60052</v>
      </c>
      <c r="X877" s="61" t="n">
        <f aca="false">N(STACK!L877)</f>
        <v>0</v>
      </c>
      <c r="Y877" s="61" t="n">
        <f aca="false">W877-X877</f>
        <v>687.60052</v>
      </c>
      <c r="Z877" s="1" t="n">
        <f aca="false">N(STACK!J877)</f>
        <v>33</v>
      </c>
      <c r="AA877" s="1" t="str">
        <f aca="false">TRIM(IF(D877="UNMAPPED","Program not mapped. ","")&amp;IF(OR(K877="UNMAPPED",K877="UNASSIGNED"),"Category needs review. ","")&amp;IF(P877="UNMAPPED","Title not mapped. ","")&amp;IF(AND(P877&lt;&gt;"No staff time",R877=""),"Missing hours. ","")&amp;IF(M877="","Date not readable. ","")&amp;IF(N877="No","Outside fiscal year. ","")&amp;IF(AND(F877="Event",ISNUMBER(R877)),IF(R877&gt;12,"Event hours look high. ",""),"")&amp;IF(G877&gt;0,"See CONFIRM sheet.",""))</f>
        <v/>
      </c>
      <c r="AB877" s="1" t="n">
        <f aca="false">IF(N877="No",0,IF(REVIEW!O877=0,0,IF(G877&gt;0,IF(INDEX(CONFIRM!$J$5:$J$53,G877)&lt;&gt;"",INDEX(CONFIRM!$J$5:$J$53,G877),1),1)))</f>
        <v>1</v>
      </c>
      <c r="AC877" s="1" t="n">
        <f aca="false">IF(AB877=1,IF(COUNTIFS($B$5:B877,B877,$D$5:D877,D877,$AB$5:AB877,1)=1,1,0),0)</f>
        <v>0</v>
      </c>
    </row>
    <row r="878" customFormat="false" ht="15" hidden="false" customHeight="false" outlineLevel="0" collapsed="false">
      <c r="A878" s="48" t="str">
        <f aca="false">STACK!A878</f>
        <v>CBH-0050</v>
      </c>
      <c r="B878" s="48" t="str">
        <f aca="false">STACK!B878</f>
        <v>CBH</v>
      </c>
      <c r="C878" s="48" t="str">
        <f aca="false">STACK!E878</f>
        <v>Bereavement Group</v>
      </c>
      <c r="D878" s="1" t="str">
        <f aca="false">IFERROR(INDEX(MAP!$J$7:$J$101,MATCH(TRIM(C878),MAP!$I$7:$I$101,0)),"UNMAPPED")</f>
        <v>Grief Support Group</v>
      </c>
      <c r="E878" s="1" t="str">
        <f aca="false">IFERROR(INDEX(MAP!$K$7:$K$101,MATCH(TRIM(C878),MAP!$I$7:$I$101,0)),"")</f>
        <v>Behavioral health</v>
      </c>
      <c r="F878" s="1" t="str">
        <f aca="false">IFERROR(INDEX(MAP!$L$7:$L$101,MATCH(TRIM(C878),MAP!$I$7:$I$101,0)),"")</f>
        <v>Event</v>
      </c>
      <c r="G878" s="1" t="n">
        <f aca="false">IFERROR(MATCH(A878,CONFIRM!$A$5:$A$53,0),0)</f>
        <v>0</v>
      </c>
      <c r="H878" s="48" t="str">
        <f aca="false">STACK!F878</f>
        <v>Patient Support</v>
      </c>
      <c r="I878" s="1" t="str">
        <f aca="false">IF(G878&gt;0,IF(INDEX(CONFIRM!$I$5:$I$53,G878)&lt;&gt;"",INDEX(CONFIRM!$I$5:$I$53,G878),H878),H878)</f>
        <v>Patient Support</v>
      </c>
      <c r="J878" s="1" t="str">
        <f aca="false">IFERROR(INDEX(MAP!$F$7:$F$74,MATCH(TRIM(I878),MAP!$E$7:$E$74,0)),"UNMAPPED")</f>
        <v>Health care support services</v>
      </c>
      <c r="K878" s="1" t="str">
        <f aca="false">IFERROR(INDEX(MAP!$G$7:$G$74,MATCH(TRIM(I878),MAP!$E$7:$E$74,0)),"UNMAPPED")</f>
        <v>7e</v>
      </c>
      <c r="L878" s="49" t="str">
        <f aca="false">STACK!G878</f>
        <v>2025-09-13</v>
      </c>
      <c r="M878" s="59" t="n">
        <f aca="false">IF(G878&gt;0,IF(INDEX(CONFIRM!$G$5:$G$53,G878)&lt;&gt;"",INDEX(CONFIRM!$G$5:$G$53,G878),IF(ISNUMBER(L878),L878,IFERROR(DATEVALUE(L878),""))),IF(ISNUMBER(L878),L878,IFERROR(DATEVALUE(L878),"")))</f>
        <v>45913</v>
      </c>
      <c r="N878" s="1" t="str">
        <f aca="false">IF(M878="","Check",IF(AND(M878&gt;=INPUTS!$C$6,M878&lt;=INPUTS!$C$7),"Yes","No"))</f>
        <v>Yes</v>
      </c>
      <c r="O878" s="48" t="str">
        <f aca="false">STACK!H878</f>
        <v>Pastoral Care </v>
      </c>
      <c r="P878" s="1" t="str">
        <f aca="false">IF(G878&gt;0,IF(INDEX(CONFIRM!$H$5:$H$53,G878)&lt;&gt;"",INDEX(CONFIRM!$H$5:$H$53,G878),IFERROR(INDEX(MAP!$B$7:$B$156,MATCH(TRIM(O878),MAP!$A$7:$A$156,0)),"UNMAPPED")),IFERROR(INDEX(MAP!$B$7:$B$156,MATCH(TRIM(O878),MAP!$A$7:$A$156,0)),"UNMAPPED"))</f>
        <v>Chaplain</v>
      </c>
      <c r="Q878" s="48" t="n">
        <f aca="false">STACK!I878</f>
        <v>2.5</v>
      </c>
      <c r="R878" s="60" t="n">
        <f aca="false">IF(G878&gt;0,IF(INDEX(CONFIRM!$F$5:$F$53,G878)&lt;&gt;"",INDEX(CONFIRM!$F$5:$F$53,G878),IF(ISNUMBER(Q878),Q878,IF(Q878="","",IFERROR(VALUE(TRIM(SUBSTITUTE(SUBSTITUTE(LOWER(Q878),"hrs",""),"hr",""))),"")))),IF(ISNUMBER(Q878),Q878,IF(Q878="","",IFERROR(VALUE(TRIM(SUBSTITUTE(SUBSTITUTE(LOWER(Q878),"hrs",""),"hr",""))),""))))</f>
        <v>2.5</v>
      </c>
      <c r="S878" s="57" t="n">
        <f aca="false">IFERROR(INDEX(RATES!$E$6:$E$28,MATCH(P878,RATES!$A$6:$A$28,0)),0)</f>
        <v>39.835</v>
      </c>
      <c r="T878" s="61" t="n">
        <f aca="false">IF(ISNUMBER(R878),R878,0)*S878</f>
        <v>99.5875</v>
      </c>
      <c r="U878" s="61" t="n">
        <f aca="false">T878*INDEX(INPUTS!$H$10:$H$14,MATCH(B878,INPUTS!$A$10:$A$14,0))</f>
        <v>15.734825</v>
      </c>
      <c r="V878" s="61" t="n">
        <f aca="false">N(STACK!K878)</f>
        <v>30</v>
      </c>
      <c r="W878" s="61" t="n">
        <f aca="false">T878+U878+V878</f>
        <v>145.322325</v>
      </c>
      <c r="X878" s="61" t="n">
        <f aca="false">N(STACK!L878)</f>
        <v>0</v>
      </c>
      <c r="Y878" s="61" t="n">
        <f aca="false">W878-X878</f>
        <v>145.322325</v>
      </c>
      <c r="Z878" s="1" t="n">
        <f aca="false">N(STACK!J878)</f>
        <v>16</v>
      </c>
      <c r="AA878" s="1" t="str">
        <f aca="false">TRIM(IF(D878="UNMAPPED","Program not mapped. ","")&amp;IF(OR(K878="UNMAPPED",K878="UNASSIGNED"),"Category needs review. ","")&amp;IF(P878="UNMAPPED","Title not mapped. ","")&amp;IF(AND(P878&lt;&gt;"No staff time",R878=""),"Missing hours. ","")&amp;IF(M878="","Date not readable. ","")&amp;IF(N878="No","Outside fiscal year. ","")&amp;IF(AND(F878="Event",ISNUMBER(R878)),IF(R878&gt;12,"Event hours look high. ",""),"")&amp;IF(G878&gt;0,"See CONFIRM sheet.",""))</f>
        <v/>
      </c>
      <c r="AB878" s="1" t="n">
        <f aca="false">IF(N878="No",0,IF(REVIEW!O878=0,0,IF(G878&gt;0,IF(INDEX(CONFIRM!$J$5:$J$53,G878)&lt;&gt;"",INDEX(CONFIRM!$J$5:$J$53,G878),1),1)))</f>
        <v>1</v>
      </c>
      <c r="AC878" s="1" t="n">
        <f aca="false">IF(AB878=1,IF(COUNTIFS($B$5:B878,B878,$D$5:D878,D878,$AB$5:AB878,1)=1,1,0),0)</f>
        <v>1</v>
      </c>
    </row>
    <row r="879" customFormat="false" ht="15" hidden="false" customHeight="false" outlineLevel="0" collapsed="false">
      <c r="A879" s="48" t="str">
        <f aca="false">STACK!A879</f>
        <v>CBH-0051</v>
      </c>
      <c r="B879" s="48" t="str">
        <f aca="false">STACK!B879</f>
        <v>CBH</v>
      </c>
      <c r="C879" s="48" t="str">
        <f aca="false">STACK!E879</f>
        <v>Bereavement Group</v>
      </c>
      <c r="D879" s="1" t="str">
        <f aca="false">IFERROR(INDEX(MAP!$J$7:$J$101,MATCH(TRIM(C879),MAP!$I$7:$I$101,0)),"UNMAPPED")</f>
        <v>Grief Support Group</v>
      </c>
      <c r="E879" s="1" t="str">
        <f aca="false">IFERROR(INDEX(MAP!$K$7:$K$101,MATCH(TRIM(C879),MAP!$I$7:$I$101,0)),"")</f>
        <v>Behavioral health</v>
      </c>
      <c r="F879" s="1" t="str">
        <f aca="false">IFERROR(INDEX(MAP!$L$7:$L$101,MATCH(TRIM(C879),MAP!$I$7:$I$101,0)),"")</f>
        <v>Event</v>
      </c>
      <c r="G879" s="1" t="n">
        <f aca="false">IFERROR(MATCH(A879,CONFIRM!$A$5:$A$53,0),0)</f>
        <v>0</v>
      </c>
      <c r="H879" s="48" t="str">
        <f aca="false">STACK!F879</f>
        <v>Patient Support</v>
      </c>
      <c r="I879" s="1" t="str">
        <f aca="false">IF(G879&gt;0,IF(INDEX(CONFIRM!$I$5:$I$53,G879)&lt;&gt;"",INDEX(CONFIRM!$I$5:$I$53,G879),H879),H879)</f>
        <v>Patient Support</v>
      </c>
      <c r="J879" s="1" t="str">
        <f aca="false">IFERROR(INDEX(MAP!$F$7:$F$74,MATCH(TRIM(I879),MAP!$E$7:$E$74,0)),"UNMAPPED")</f>
        <v>Health care support services</v>
      </c>
      <c r="K879" s="1" t="str">
        <f aca="false">IFERROR(INDEX(MAP!$G$7:$G$74,MATCH(TRIM(I879),MAP!$E$7:$E$74,0)),"UNMAPPED")</f>
        <v>7e</v>
      </c>
      <c r="L879" s="49" t="str">
        <f aca="false">STACK!G879</f>
        <v>2025-09-13</v>
      </c>
      <c r="M879" s="59" t="n">
        <f aca="false">IF(G879&gt;0,IF(INDEX(CONFIRM!$G$5:$G$53,G879)&lt;&gt;"",INDEX(CONFIRM!$G$5:$G$53,G879),IF(ISNUMBER(L879),L879,IFERROR(DATEVALUE(L879),""))),IF(ISNUMBER(L879),L879,IFERROR(DATEVALUE(L879),"")))</f>
        <v>45913</v>
      </c>
      <c r="N879" s="1" t="str">
        <f aca="false">IF(M879="","Check",IF(AND(M879&gt;=INPUTS!$C$6,M879&lt;=INPUTS!$C$7),"Yes","No"))</f>
        <v>Yes</v>
      </c>
      <c r="O879" s="48" t="str">
        <f aca="false">STACK!H879</f>
        <v>LCSW</v>
      </c>
      <c r="P879" s="1" t="str">
        <f aca="false">IF(G879&gt;0,IF(INDEX(CONFIRM!$H$5:$H$53,G879)&lt;&gt;"",INDEX(CONFIRM!$H$5:$H$53,G879),IFERROR(INDEX(MAP!$B$7:$B$156,MATCH(TRIM(O879),MAP!$A$7:$A$156,0)),"UNMAPPED")),IFERROR(INDEX(MAP!$B$7:$B$156,MATCH(TRIM(O879),MAP!$A$7:$A$156,0)),"UNMAPPED"))</f>
        <v>Social Worker</v>
      </c>
      <c r="Q879" s="48" t="n">
        <f aca="false">STACK!I879</f>
        <v>2.25</v>
      </c>
      <c r="R879" s="60" t="n">
        <f aca="false">IF(G879&gt;0,IF(INDEX(CONFIRM!$F$5:$F$53,G879)&lt;&gt;"",INDEX(CONFIRM!$F$5:$F$53,G879),IF(ISNUMBER(Q879),Q879,IF(Q879="","",IFERROR(VALUE(TRIM(SUBSTITUTE(SUBSTITUTE(LOWER(Q879),"hrs",""),"hr",""))),"")))),IF(ISNUMBER(Q879),Q879,IF(Q879="","",IFERROR(VALUE(TRIM(SUBSTITUTE(SUBSTITUTE(LOWER(Q879),"hrs",""),"hr",""))),""))))</f>
        <v>2.25</v>
      </c>
      <c r="S879" s="57" t="n">
        <f aca="false">IFERROR(INDEX(RATES!$E$6:$E$28,MATCH(P879,RATES!$A$6:$A$28,0)),0)</f>
        <v>45.6175</v>
      </c>
      <c r="T879" s="61" t="n">
        <f aca="false">IF(ISNUMBER(R879),R879,0)*S879</f>
        <v>102.639375</v>
      </c>
      <c r="U879" s="61" t="n">
        <f aca="false">T879*INDEX(INPUTS!$H$10:$H$14,MATCH(B879,INPUTS!$A$10:$A$14,0))</f>
        <v>16.21702125</v>
      </c>
      <c r="V879" s="61" t="n">
        <f aca="false">N(STACK!K879)</f>
        <v>0</v>
      </c>
      <c r="W879" s="61" t="n">
        <f aca="false">T879+U879+V879</f>
        <v>118.85639625</v>
      </c>
      <c r="X879" s="61" t="n">
        <f aca="false">N(STACK!L879)</f>
        <v>0</v>
      </c>
      <c r="Y879" s="61" t="n">
        <f aca="false">W879-X879</f>
        <v>118.85639625</v>
      </c>
      <c r="Z879" s="1" t="n">
        <f aca="false">N(STACK!J879)</f>
        <v>0</v>
      </c>
      <c r="AA879" s="1" t="str">
        <f aca="false">TRIM(IF(D879="UNMAPPED","Program not mapped. ","")&amp;IF(OR(K879="UNMAPPED",K879="UNASSIGNED"),"Category needs review. ","")&amp;IF(P879="UNMAPPED","Title not mapped. ","")&amp;IF(AND(P879&lt;&gt;"No staff time",R879=""),"Missing hours. ","")&amp;IF(M879="","Date not readable. ","")&amp;IF(N879="No","Outside fiscal year. ","")&amp;IF(AND(F879="Event",ISNUMBER(R879)),IF(R879&gt;12,"Event hours look high. ",""),"")&amp;IF(G879&gt;0,"See CONFIRM sheet.",""))</f>
        <v/>
      </c>
      <c r="AB879" s="1" t="n">
        <f aca="false">IF(N879="No",0,IF(REVIEW!O879=0,0,IF(G879&gt;0,IF(INDEX(CONFIRM!$J$5:$J$53,G879)&lt;&gt;"",INDEX(CONFIRM!$J$5:$J$53,G879),1),1)))</f>
        <v>1</v>
      </c>
      <c r="AC879" s="1" t="n">
        <f aca="false">IF(AB879=1,IF(COUNTIFS($B$5:B879,B879,$D$5:D879,D879,$AB$5:AB879,1)=1,1,0),0)</f>
        <v>0</v>
      </c>
    </row>
    <row r="880" customFormat="false" ht="15" hidden="false" customHeight="false" outlineLevel="0" collapsed="false">
      <c r="A880" s="48" t="str">
        <f aca="false">STACK!A880</f>
        <v>CBH-0052</v>
      </c>
      <c r="B880" s="48" t="str">
        <f aca="false">STACK!B880</f>
        <v>CBH</v>
      </c>
      <c r="C880" s="48" t="str">
        <f aca="false">STACK!E880</f>
        <v>Community Garden</v>
      </c>
      <c r="D880" s="1" t="str">
        <f aca="false">IFERROR(INDEX(MAP!$J$7:$J$101,MATCH(TRIM(C880),MAP!$I$7:$I$101,0)),"UNMAPPED")</f>
        <v>Community Garden and Green Space Project</v>
      </c>
      <c r="E880" s="1" t="str">
        <f aca="false">IFERROR(INDEX(MAP!$K$7:$K$101,MATCH(TRIM(C880),MAP!$I$7:$I$101,0)),"")</f>
        <v>Food and housing security</v>
      </c>
      <c r="F880" s="1" t="str">
        <f aca="false">IFERROR(INDEX(MAP!$L$7:$L$101,MATCH(TRIM(C880),MAP!$I$7:$I$101,0)),"")</f>
        <v>Event</v>
      </c>
      <c r="G880" s="1" t="n">
        <f aca="false">IFERROR(MATCH(A880,CONFIRM!$A$5:$A$53,0),0)</f>
        <v>0</v>
      </c>
      <c r="H880" s="48" t="str">
        <f aca="false">STACK!F880</f>
        <v>Environmental</v>
      </c>
      <c r="I880" s="1" t="str">
        <f aca="false">IF(G880&gt;0,IF(INDEX(CONFIRM!$I$5:$I$53,G880)&lt;&gt;"",INDEX(CONFIRM!$I$5:$I$53,G880),H880),H880)</f>
        <v>Environmental</v>
      </c>
      <c r="J880" s="1" t="str">
        <f aca="false">IFERROR(INDEX(MAP!$F$7:$F$74,MATCH(TRIM(I880),MAP!$E$7:$E$74,0)),"UNMAPPED")</f>
        <v>Community building: environmental improvements</v>
      </c>
      <c r="K880" s="1" t="str">
        <f aca="false">IFERROR(INDEX(MAP!$G$7:$G$74,MATCH(TRIM(I880),MAP!$E$7:$E$74,0)),"UNMAPPED")</f>
        <v>II-4</v>
      </c>
      <c r="L880" s="49" t="str">
        <f aca="false">STACK!G880</f>
        <v>2025-09-13</v>
      </c>
      <c r="M880" s="59" t="n">
        <f aca="false">IF(G880&gt;0,IF(INDEX(CONFIRM!$G$5:$G$53,G880)&lt;&gt;"",INDEX(CONFIRM!$G$5:$G$53,G880),IF(ISNUMBER(L880),L880,IFERROR(DATEVALUE(L880),""))),IF(ISNUMBER(L880),L880,IFERROR(DATEVALUE(L880),"")))</f>
        <v>45913</v>
      </c>
      <c r="N880" s="1" t="str">
        <f aca="false">IF(M880="","Check",IF(AND(M880&gt;=INPUTS!$C$6,M880&lt;=INPUTS!$C$7),"Yes","No"))</f>
        <v>Yes</v>
      </c>
      <c r="O880" s="48" t="str">
        <f aca="false">STACK!H880</f>
        <v>Program Coordinator</v>
      </c>
      <c r="P880" s="1" t="str">
        <f aca="false">IF(G880&gt;0,IF(INDEX(CONFIRM!$H$5:$H$53,G880)&lt;&gt;"",INDEX(CONFIRM!$H$5:$H$53,G880),IFERROR(INDEX(MAP!$B$7:$B$156,MATCH(TRIM(O880),MAP!$A$7:$A$156,0)),"UNMAPPED")),IFERROR(INDEX(MAP!$B$7:$B$156,MATCH(TRIM(O880),MAP!$A$7:$A$156,0)),"UNMAPPED"))</f>
        <v>Program Coordinator</v>
      </c>
      <c r="Q880" s="48" t="n">
        <f aca="false">STACK!I880</f>
        <v>5.25</v>
      </c>
      <c r="R880" s="60" t="n">
        <f aca="false">IF(G880&gt;0,IF(INDEX(CONFIRM!$F$5:$F$53,G880)&lt;&gt;"",INDEX(CONFIRM!$F$5:$F$53,G880),IF(ISNUMBER(Q880),Q880,IF(Q880="","",IFERROR(VALUE(TRIM(SUBSTITUTE(SUBSTITUTE(LOWER(Q880),"hrs",""),"hr",""))),"")))),IF(ISNUMBER(Q880),Q880,IF(Q880="","",IFERROR(VALUE(TRIM(SUBSTITUTE(SUBSTITUTE(LOWER(Q880),"hrs",""),"hr",""))),""))))</f>
        <v>5.25</v>
      </c>
      <c r="S880" s="57" t="n">
        <f aca="false">IFERROR(INDEX(RATES!$E$6:$E$28,MATCH(P880,RATES!$A$6:$A$28,0)),0)</f>
        <v>35.3375</v>
      </c>
      <c r="T880" s="61" t="n">
        <f aca="false">IF(ISNUMBER(R880),R880,0)*S880</f>
        <v>185.521875</v>
      </c>
      <c r="U880" s="61" t="n">
        <f aca="false">T880*INDEX(INPUTS!$H$10:$H$14,MATCH(B880,INPUTS!$A$10:$A$14,0))</f>
        <v>29.31245625</v>
      </c>
      <c r="V880" s="61" t="n">
        <f aca="false">N(STACK!K880)</f>
        <v>4080</v>
      </c>
      <c r="W880" s="61" t="n">
        <f aca="false">T880+U880+V880</f>
        <v>4294.83433125</v>
      </c>
      <c r="X880" s="61" t="n">
        <f aca="false">N(STACK!L880)</f>
        <v>0</v>
      </c>
      <c r="Y880" s="61" t="n">
        <f aca="false">W880-X880</f>
        <v>4294.83433125</v>
      </c>
      <c r="Z880" s="1" t="n">
        <f aca="false">N(STACK!J880)</f>
        <v>29</v>
      </c>
      <c r="AA880" s="1" t="str">
        <f aca="false">TRIM(IF(D880="UNMAPPED","Program not mapped. ","")&amp;IF(OR(K880="UNMAPPED",K880="UNASSIGNED"),"Category needs review. ","")&amp;IF(P880="UNMAPPED","Title not mapped. ","")&amp;IF(AND(P880&lt;&gt;"No staff time",R880=""),"Missing hours. ","")&amp;IF(M880="","Date not readable. ","")&amp;IF(N880="No","Outside fiscal year. ","")&amp;IF(AND(F880="Event",ISNUMBER(R880)),IF(R880&gt;12,"Event hours look high. ",""),"")&amp;IF(G880&gt;0,"See CONFIRM sheet.",""))</f>
        <v/>
      </c>
      <c r="AB880" s="1" t="n">
        <f aca="false">IF(N880="No",0,IF(REVIEW!O880=0,0,IF(G880&gt;0,IF(INDEX(CONFIRM!$J$5:$J$53,G880)&lt;&gt;"",INDEX(CONFIRM!$J$5:$J$53,G880),1),1)))</f>
        <v>1</v>
      </c>
      <c r="AC880" s="1" t="n">
        <f aca="false">IF(AB880=1,IF(COUNTIFS($B$5:B880,B880,$D$5:D880,D880,$AB$5:AB880,1)=1,1,0),0)</f>
        <v>1</v>
      </c>
    </row>
    <row r="881" customFormat="false" ht="15" hidden="false" customHeight="false" outlineLevel="0" collapsed="false">
      <c r="A881" s="48" t="str">
        <f aca="false">STACK!A881</f>
        <v>CBH-0053</v>
      </c>
      <c r="B881" s="48" t="str">
        <f aca="false">STACK!B881</f>
        <v>CBH</v>
      </c>
      <c r="C881" s="48" t="str">
        <f aca="false">STACK!E881</f>
        <v>Diabetes Prevention</v>
      </c>
      <c r="D881" s="1" t="str">
        <f aca="false">IFERROR(INDEX(MAP!$J$7:$J$101,MATCH(TRIM(C881),MAP!$I$7:$I$101,0)),"UNMAPPED")</f>
        <v>Diabetes Prevention Classes</v>
      </c>
      <c r="E881" s="1" t="str">
        <f aca="false">IFERROR(INDEX(MAP!$K$7:$K$101,MATCH(TRIM(C881),MAP!$I$7:$I$101,0)),"")</f>
        <v>Chronic disease prevention</v>
      </c>
      <c r="F881" s="1" t="str">
        <f aca="false">IFERROR(INDEX(MAP!$L$7:$L$101,MATCH(TRIM(C881),MAP!$I$7:$I$101,0)),"")</f>
        <v>Event</v>
      </c>
      <c r="G881" s="1" t="n">
        <f aca="false">IFERROR(MATCH(A881,CONFIRM!$A$5:$A$53,0),0)</f>
        <v>0</v>
      </c>
      <c r="H881" s="48" t="str">
        <f aca="false">STACK!F881</f>
        <v>Health Education</v>
      </c>
      <c r="I881" s="1" t="str">
        <f aca="false">IF(G881&gt;0,IF(INDEX(CONFIRM!$I$5:$I$53,G881)&lt;&gt;"",INDEX(CONFIRM!$I$5:$I$53,G881),H881),H881)</f>
        <v>Health Education</v>
      </c>
      <c r="J881" s="1" t="str">
        <f aca="false">IFERROR(INDEX(MAP!$F$7:$F$74,MATCH(TRIM(I881),MAP!$E$7:$E$74,0)),"UNMAPPED")</f>
        <v>Community health education</v>
      </c>
      <c r="K881" s="1" t="str">
        <f aca="false">IFERROR(INDEX(MAP!$G$7:$G$74,MATCH(TRIM(I881),MAP!$E$7:$E$74,0)),"UNMAPPED")</f>
        <v>7e</v>
      </c>
      <c r="L881" s="49" t="str">
        <f aca="false">STACK!G881</f>
        <v>2025-09-18</v>
      </c>
      <c r="M881" s="59" t="n">
        <f aca="false">IF(G881&gt;0,IF(INDEX(CONFIRM!$G$5:$G$53,G881)&lt;&gt;"",INDEX(CONFIRM!$G$5:$G$53,G881),IF(ISNUMBER(L881),L881,IFERROR(DATEVALUE(L881),""))),IF(ISNUMBER(L881),L881,IFERROR(DATEVALUE(L881),"")))</f>
        <v>45918</v>
      </c>
      <c r="N881" s="1" t="str">
        <f aca="false">IF(M881="","Check",IF(AND(M881&gt;=INPUTS!$C$6,M881&lt;=INPUTS!$C$7),"Yes","No"))</f>
        <v>Yes</v>
      </c>
      <c r="O881" s="48" t="str">
        <f aca="false">STACK!H881</f>
        <v>Wellness Educator</v>
      </c>
      <c r="P881" s="1" t="str">
        <f aca="false">IF(G881&gt;0,IF(INDEX(CONFIRM!$H$5:$H$53,G881)&lt;&gt;"",INDEX(CONFIRM!$H$5:$H$53,G881),IFERROR(INDEX(MAP!$B$7:$B$156,MATCH(TRIM(O881),MAP!$A$7:$A$156,0)),"UNMAPPED")),IFERROR(INDEX(MAP!$B$7:$B$156,MATCH(TRIM(O881),MAP!$A$7:$A$156,0)),"UNMAPPED"))</f>
        <v>Health Educator</v>
      </c>
      <c r="Q881" s="48" t="n">
        <f aca="false">STACK!I881</f>
        <v>2.5</v>
      </c>
      <c r="R881" s="60" t="n">
        <f aca="false">IF(G881&gt;0,IF(INDEX(CONFIRM!$F$5:$F$53,G881)&lt;&gt;"",INDEX(CONFIRM!$F$5:$F$53,G881),IF(ISNUMBER(Q881),Q881,IF(Q881="","",IFERROR(VALUE(TRIM(SUBSTITUTE(SUBSTITUTE(LOWER(Q881),"hrs",""),"hr",""))),"")))),IF(ISNUMBER(Q881),Q881,IF(Q881="","",IFERROR(VALUE(TRIM(SUBSTITUTE(SUBSTITUTE(LOWER(Q881),"hrs",""),"hr",""))),""))))</f>
        <v>2.5</v>
      </c>
      <c r="S881" s="57" t="n">
        <f aca="false">IFERROR(INDEX(RATES!$E$6:$E$28,MATCH(P881,RATES!$A$6:$A$28,0)),0)</f>
        <v>37.265</v>
      </c>
      <c r="T881" s="61" t="n">
        <f aca="false">IF(ISNUMBER(R881),R881,0)*S881</f>
        <v>93.1625</v>
      </c>
      <c r="U881" s="61" t="n">
        <f aca="false">T881*INDEX(INPUTS!$H$10:$H$14,MATCH(B881,INPUTS!$A$10:$A$14,0))</f>
        <v>14.719675</v>
      </c>
      <c r="V881" s="61" t="n">
        <f aca="false">N(STACK!K881)</f>
        <v>130</v>
      </c>
      <c r="W881" s="61" t="n">
        <f aca="false">T881+U881+V881</f>
        <v>237.882175</v>
      </c>
      <c r="X881" s="61" t="n">
        <f aca="false">N(STACK!L881)</f>
        <v>0</v>
      </c>
      <c r="Y881" s="61" t="n">
        <f aca="false">W881-X881</f>
        <v>237.882175</v>
      </c>
      <c r="Z881" s="1" t="n">
        <f aca="false">N(STACK!J881)</f>
        <v>15</v>
      </c>
      <c r="AA881" s="1" t="str">
        <f aca="false">TRIM(IF(D881="UNMAPPED","Program not mapped. ","")&amp;IF(OR(K881="UNMAPPED",K881="UNASSIGNED"),"Category needs review. ","")&amp;IF(P881="UNMAPPED","Title not mapped. ","")&amp;IF(AND(P881&lt;&gt;"No staff time",R881=""),"Missing hours. ","")&amp;IF(M881="","Date not readable. ","")&amp;IF(N881="No","Outside fiscal year. ","")&amp;IF(AND(F881="Event",ISNUMBER(R881)),IF(R881&gt;12,"Event hours look high. ",""),"")&amp;IF(G881&gt;0,"See CONFIRM sheet.",""))</f>
        <v/>
      </c>
      <c r="AB881" s="1" t="n">
        <f aca="false">IF(N881="No",0,IF(REVIEW!O881=0,0,IF(G881&gt;0,IF(INDEX(CONFIRM!$J$5:$J$53,G881)&lt;&gt;"",INDEX(CONFIRM!$J$5:$J$53,G881),1),1)))</f>
        <v>1</v>
      </c>
      <c r="AC881" s="1" t="n">
        <f aca="false">IF(AB881=1,IF(COUNTIFS($B$5:B881,B881,$D$5:D881,D881,$AB$5:AB881,1)=1,1,0),0)</f>
        <v>0</v>
      </c>
    </row>
    <row r="882" customFormat="false" ht="15" hidden="false" customHeight="false" outlineLevel="0" collapsed="false">
      <c r="A882" s="48" t="str">
        <f aca="false">STACK!A882</f>
        <v>CBH-0054</v>
      </c>
      <c r="B882" s="48" t="str">
        <f aca="false">STACK!B882</f>
        <v>CBH</v>
      </c>
      <c r="C882" s="48" t="str">
        <f aca="false">STACK!E882</f>
        <v>Diabetes Prevention</v>
      </c>
      <c r="D882" s="1" t="str">
        <f aca="false">IFERROR(INDEX(MAP!$J$7:$J$101,MATCH(TRIM(C882),MAP!$I$7:$I$101,0)),"UNMAPPED")</f>
        <v>Diabetes Prevention Classes</v>
      </c>
      <c r="E882" s="1" t="str">
        <f aca="false">IFERROR(INDEX(MAP!$K$7:$K$101,MATCH(TRIM(C882),MAP!$I$7:$I$101,0)),"")</f>
        <v>Chronic disease prevention</v>
      </c>
      <c r="F882" s="1" t="str">
        <f aca="false">IFERROR(INDEX(MAP!$L$7:$L$101,MATCH(TRIM(C882),MAP!$I$7:$I$101,0)),"")</f>
        <v>Event</v>
      </c>
      <c r="G882" s="1" t="n">
        <f aca="false">IFERROR(MATCH(A882,CONFIRM!$A$5:$A$53,0),0)</f>
        <v>0</v>
      </c>
      <c r="H882" s="48" t="str">
        <f aca="false">STACK!F882</f>
        <v>Health Education</v>
      </c>
      <c r="I882" s="1" t="str">
        <f aca="false">IF(G882&gt;0,IF(INDEX(CONFIRM!$I$5:$I$53,G882)&lt;&gt;"",INDEX(CONFIRM!$I$5:$I$53,G882),H882),H882)</f>
        <v>Health Education</v>
      </c>
      <c r="J882" s="1" t="str">
        <f aca="false">IFERROR(INDEX(MAP!$F$7:$F$74,MATCH(TRIM(I882),MAP!$E$7:$E$74,0)),"UNMAPPED")</f>
        <v>Community health education</v>
      </c>
      <c r="K882" s="1" t="str">
        <f aca="false">IFERROR(INDEX(MAP!$G$7:$G$74,MATCH(TRIM(I882),MAP!$E$7:$E$74,0)),"UNMAPPED")</f>
        <v>7e</v>
      </c>
      <c r="L882" s="49" t="str">
        <f aca="false">STACK!G882</f>
        <v>2025-09-18</v>
      </c>
      <c r="M882" s="59" t="n">
        <f aca="false">IF(G882&gt;0,IF(INDEX(CONFIRM!$G$5:$G$53,G882)&lt;&gt;"",INDEX(CONFIRM!$G$5:$G$53,G882),IF(ISNUMBER(L882),L882,IFERROR(DATEVALUE(L882),""))),IF(ISNUMBER(L882),L882,IFERROR(DATEVALUE(L882),"")))</f>
        <v>45918</v>
      </c>
      <c r="N882" s="1" t="str">
        <f aca="false">IF(M882="","Check",IF(AND(M882&gt;=INPUTS!$C$6,M882&lt;=INPUTS!$C$7),"Yes","No"))</f>
        <v>Yes</v>
      </c>
      <c r="O882" s="48" t="str">
        <f aca="false">STACK!H882</f>
        <v>Nutritionist</v>
      </c>
      <c r="P882" s="1" t="str">
        <f aca="false">IF(G882&gt;0,IF(INDEX(CONFIRM!$H$5:$H$53,G882)&lt;&gt;"",INDEX(CONFIRM!$H$5:$H$53,G882),IFERROR(INDEX(MAP!$B$7:$B$156,MATCH(TRIM(O882),MAP!$A$7:$A$156,0)),"UNMAPPED")),IFERROR(INDEX(MAP!$B$7:$B$156,MATCH(TRIM(O882),MAP!$A$7:$A$156,0)),"UNMAPPED"))</f>
        <v>Registered Dietitian</v>
      </c>
      <c r="Q882" s="48" t="n">
        <f aca="false">STACK!I882</f>
        <v>1.75</v>
      </c>
      <c r="R882" s="60" t="n">
        <f aca="false">IF(G882&gt;0,IF(INDEX(CONFIRM!$F$5:$F$53,G882)&lt;&gt;"",INDEX(CONFIRM!$F$5:$F$53,G882),IF(ISNUMBER(Q882),Q882,IF(Q882="","",IFERROR(VALUE(TRIM(SUBSTITUTE(SUBSTITUTE(LOWER(Q882),"hrs",""),"hr",""))),"")))),IF(ISNUMBER(Q882),Q882,IF(Q882="","",IFERROR(VALUE(TRIM(SUBSTITUTE(SUBSTITUTE(LOWER(Q882),"hrs",""),"hr",""))),""))))</f>
        <v>1.75</v>
      </c>
      <c r="S882" s="57" t="n">
        <f aca="false">IFERROR(INDEX(RATES!$E$6:$E$28,MATCH(P882,RATES!$A$6:$A$28,0)),0)</f>
        <v>46.9025</v>
      </c>
      <c r="T882" s="61" t="n">
        <f aca="false">IF(ISNUMBER(R882),R882,0)*S882</f>
        <v>82.079375</v>
      </c>
      <c r="U882" s="61" t="n">
        <f aca="false">T882*INDEX(INPUTS!$H$10:$H$14,MATCH(B882,INPUTS!$A$10:$A$14,0))</f>
        <v>12.96854125</v>
      </c>
      <c r="V882" s="61" t="n">
        <f aca="false">N(STACK!K882)</f>
        <v>0</v>
      </c>
      <c r="W882" s="61" t="n">
        <f aca="false">T882+U882+V882</f>
        <v>95.04791625</v>
      </c>
      <c r="X882" s="61" t="n">
        <f aca="false">N(STACK!L882)</f>
        <v>0</v>
      </c>
      <c r="Y882" s="61" t="n">
        <f aca="false">W882-X882</f>
        <v>95.04791625</v>
      </c>
      <c r="Z882" s="1" t="n">
        <f aca="false">N(STACK!J882)</f>
        <v>0</v>
      </c>
      <c r="AA882" s="1" t="str">
        <f aca="false">TRIM(IF(D882="UNMAPPED","Program not mapped. ","")&amp;IF(OR(K882="UNMAPPED",K882="UNASSIGNED"),"Category needs review. ","")&amp;IF(P882="UNMAPPED","Title not mapped. ","")&amp;IF(AND(P882&lt;&gt;"No staff time",R882=""),"Missing hours. ","")&amp;IF(M882="","Date not readable. ","")&amp;IF(N882="No","Outside fiscal year. ","")&amp;IF(AND(F882="Event",ISNUMBER(R882)),IF(R882&gt;12,"Event hours look high. ",""),"")&amp;IF(G882&gt;0,"See CONFIRM sheet.",""))</f>
        <v/>
      </c>
      <c r="AB882" s="1" t="n">
        <f aca="false">IF(N882="No",0,IF(REVIEW!O882=0,0,IF(G882&gt;0,IF(INDEX(CONFIRM!$J$5:$J$53,G882)&lt;&gt;"",INDEX(CONFIRM!$J$5:$J$53,G882),1),1)))</f>
        <v>1</v>
      </c>
      <c r="AC882" s="1" t="n">
        <f aca="false">IF(AB882=1,IF(COUNTIFS($B$5:B882,B882,$D$5:D882,D882,$AB$5:AB882,1)=1,1,0),0)</f>
        <v>0</v>
      </c>
    </row>
    <row r="883" customFormat="false" ht="15" hidden="false" customHeight="false" outlineLevel="0" collapsed="false">
      <c r="A883" s="48" t="str">
        <f aca="false">STACK!A883</f>
        <v>CBH-0055</v>
      </c>
      <c r="B883" s="48" t="str">
        <f aca="false">STACK!B883</f>
        <v>CBH</v>
      </c>
      <c r="C883" s="48" t="str">
        <f aca="false">STACK!E883</f>
        <v>Diabetes Prevention</v>
      </c>
      <c r="D883" s="1" t="str">
        <f aca="false">IFERROR(INDEX(MAP!$J$7:$J$101,MATCH(TRIM(C883),MAP!$I$7:$I$101,0)),"UNMAPPED")</f>
        <v>Diabetes Prevention Classes</v>
      </c>
      <c r="E883" s="1" t="str">
        <f aca="false">IFERROR(INDEX(MAP!$K$7:$K$101,MATCH(TRIM(C883),MAP!$I$7:$I$101,0)),"")</f>
        <v>Chronic disease prevention</v>
      </c>
      <c r="F883" s="1" t="str">
        <f aca="false">IFERROR(INDEX(MAP!$L$7:$L$101,MATCH(TRIM(C883),MAP!$I$7:$I$101,0)),"")</f>
        <v>Event</v>
      </c>
      <c r="G883" s="1" t="n">
        <f aca="false">IFERROR(MATCH(A883,CONFIRM!$A$5:$A$53,0),0)</f>
        <v>0</v>
      </c>
      <c r="H883" s="48" t="str">
        <f aca="false">STACK!F883</f>
        <v>Health Education</v>
      </c>
      <c r="I883" s="1" t="str">
        <f aca="false">IF(G883&gt;0,IF(INDEX(CONFIRM!$I$5:$I$53,G883)&lt;&gt;"",INDEX(CONFIRM!$I$5:$I$53,G883),H883),H883)</f>
        <v>Health Education</v>
      </c>
      <c r="J883" s="1" t="str">
        <f aca="false">IFERROR(INDEX(MAP!$F$7:$F$74,MATCH(TRIM(I883),MAP!$E$7:$E$74,0)),"UNMAPPED")</f>
        <v>Community health education</v>
      </c>
      <c r="K883" s="1" t="str">
        <f aca="false">IFERROR(INDEX(MAP!$G$7:$G$74,MATCH(TRIM(I883),MAP!$E$7:$E$74,0)),"UNMAPPED")</f>
        <v>7e</v>
      </c>
      <c r="L883" s="49" t="str">
        <f aca="false">STACK!G883</f>
        <v>2025-09-20</v>
      </c>
      <c r="M883" s="59" t="n">
        <f aca="false">IF(G883&gt;0,IF(INDEX(CONFIRM!$G$5:$G$53,G883)&lt;&gt;"",INDEX(CONFIRM!$G$5:$G$53,G883),IF(ISNUMBER(L883),L883,IFERROR(DATEVALUE(L883),""))),IF(ISNUMBER(L883),L883,IFERROR(DATEVALUE(L883),"")))</f>
        <v>45920</v>
      </c>
      <c r="N883" s="1" t="str">
        <f aca="false">IF(M883="","Check",IF(AND(M883&gt;=INPUTS!$C$6,M883&lt;=INPUTS!$C$7),"Yes","No"))</f>
        <v>Yes</v>
      </c>
      <c r="O883" s="48" t="str">
        <f aca="false">STACK!H883</f>
        <v>Wellness Educator</v>
      </c>
      <c r="P883" s="1" t="str">
        <f aca="false">IF(G883&gt;0,IF(INDEX(CONFIRM!$H$5:$H$53,G883)&lt;&gt;"",INDEX(CONFIRM!$H$5:$H$53,G883),IFERROR(INDEX(MAP!$B$7:$B$156,MATCH(TRIM(O883),MAP!$A$7:$A$156,0)),"UNMAPPED")),IFERROR(INDEX(MAP!$B$7:$B$156,MATCH(TRIM(O883),MAP!$A$7:$A$156,0)),"UNMAPPED"))</f>
        <v>Health Educator</v>
      </c>
      <c r="Q883" s="48" t="n">
        <f aca="false">STACK!I883</f>
        <v>2</v>
      </c>
      <c r="R883" s="60" t="n">
        <f aca="false">IF(G883&gt;0,IF(INDEX(CONFIRM!$F$5:$F$53,G883)&lt;&gt;"",INDEX(CONFIRM!$F$5:$F$53,G883),IF(ISNUMBER(Q883),Q883,IF(Q883="","",IFERROR(VALUE(TRIM(SUBSTITUTE(SUBSTITUTE(LOWER(Q883),"hrs",""),"hr",""))),"")))),IF(ISNUMBER(Q883),Q883,IF(Q883="","",IFERROR(VALUE(TRIM(SUBSTITUTE(SUBSTITUTE(LOWER(Q883),"hrs",""),"hr",""))),""))))</f>
        <v>2</v>
      </c>
      <c r="S883" s="57" t="n">
        <f aca="false">IFERROR(INDEX(RATES!$E$6:$E$28,MATCH(P883,RATES!$A$6:$A$28,0)),0)</f>
        <v>37.265</v>
      </c>
      <c r="T883" s="61" t="n">
        <f aca="false">IF(ISNUMBER(R883),R883,0)*S883</f>
        <v>74.53</v>
      </c>
      <c r="U883" s="61" t="n">
        <f aca="false">T883*INDEX(INPUTS!$H$10:$H$14,MATCH(B883,INPUTS!$A$10:$A$14,0))</f>
        <v>11.77574</v>
      </c>
      <c r="V883" s="61" t="n">
        <f aca="false">N(STACK!K883)</f>
        <v>170</v>
      </c>
      <c r="W883" s="61" t="n">
        <f aca="false">T883+U883+V883</f>
        <v>256.30574</v>
      </c>
      <c r="X883" s="61" t="n">
        <f aca="false">N(STACK!L883)</f>
        <v>0</v>
      </c>
      <c r="Y883" s="61" t="n">
        <f aca="false">W883-X883</f>
        <v>256.30574</v>
      </c>
      <c r="Z883" s="1" t="n">
        <f aca="false">N(STACK!J883)</f>
        <v>18</v>
      </c>
      <c r="AA883" s="1" t="str">
        <f aca="false">TRIM(IF(D883="UNMAPPED","Program not mapped. ","")&amp;IF(OR(K883="UNMAPPED",K883="UNASSIGNED"),"Category needs review. ","")&amp;IF(P883="UNMAPPED","Title not mapped. ","")&amp;IF(AND(P883&lt;&gt;"No staff time",R883=""),"Missing hours. ","")&amp;IF(M883="","Date not readable. ","")&amp;IF(N883="No","Outside fiscal year. ","")&amp;IF(AND(F883="Event",ISNUMBER(R883)),IF(R883&gt;12,"Event hours look high. ",""),"")&amp;IF(G883&gt;0,"See CONFIRM sheet.",""))</f>
        <v/>
      </c>
      <c r="AB883" s="1" t="n">
        <f aca="false">IF(N883="No",0,IF(REVIEW!O883=0,0,IF(G883&gt;0,IF(INDEX(CONFIRM!$J$5:$J$53,G883)&lt;&gt;"",INDEX(CONFIRM!$J$5:$J$53,G883),1),1)))</f>
        <v>1</v>
      </c>
      <c r="AC883" s="1" t="n">
        <f aca="false">IF(AB883=1,IF(COUNTIFS($B$5:B883,B883,$D$5:D883,D883,$AB$5:AB883,1)=1,1,0),0)</f>
        <v>0</v>
      </c>
    </row>
    <row r="884" customFormat="false" ht="15" hidden="false" customHeight="false" outlineLevel="0" collapsed="false">
      <c r="A884" s="48" t="str">
        <f aca="false">STACK!A884</f>
        <v>CBH-0056</v>
      </c>
      <c r="B884" s="48" t="str">
        <f aca="false">STACK!B884</f>
        <v>CBH</v>
      </c>
      <c r="C884" s="48" t="str">
        <f aca="false">STACK!E884</f>
        <v>Diabetes Prevention</v>
      </c>
      <c r="D884" s="1" t="str">
        <f aca="false">IFERROR(INDEX(MAP!$J$7:$J$101,MATCH(TRIM(C884),MAP!$I$7:$I$101,0)),"UNMAPPED")</f>
        <v>Diabetes Prevention Classes</v>
      </c>
      <c r="E884" s="1" t="str">
        <f aca="false">IFERROR(INDEX(MAP!$K$7:$K$101,MATCH(TRIM(C884),MAP!$I$7:$I$101,0)),"")</f>
        <v>Chronic disease prevention</v>
      </c>
      <c r="F884" s="1" t="str">
        <f aca="false">IFERROR(INDEX(MAP!$L$7:$L$101,MATCH(TRIM(C884),MAP!$I$7:$I$101,0)),"")</f>
        <v>Event</v>
      </c>
      <c r="G884" s="1" t="n">
        <f aca="false">IFERROR(MATCH(A884,CONFIRM!$A$5:$A$53,0),0)</f>
        <v>0</v>
      </c>
      <c r="H884" s="48" t="str">
        <f aca="false">STACK!F884</f>
        <v>Health Education</v>
      </c>
      <c r="I884" s="1" t="str">
        <f aca="false">IF(G884&gt;0,IF(INDEX(CONFIRM!$I$5:$I$53,G884)&lt;&gt;"",INDEX(CONFIRM!$I$5:$I$53,G884),H884),H884)</f>
        <v>Health Education</v>
      </c>
      <c r="J884" s="1" t="str">
        <f aca="false">IFERROR(INDEX(MAP!$F$7:$F$74,MATCH(TRIM(I884),MAP!$E$7:$E$74,0)),"UNMAPPED")</f>
        <v>Community health education</v>
      </c>
      <c r="K884" s="1" t="str">
        <f aca="false">IFERROR(INDEX(MAP!$G$7:$G$74,MATCH(TRIM(I884),MAP!$E$7:$E$74,0)),"UNMAPPED")</f>
        <v>7e</v>
      </c>
      <c r="L884" s="49" t="str">
        <f aca="false">STACK!G884</f>
        <v>2025-09-20</v>
      </c>
      <c r="M884" s="59" t="n">
        <f aca="false">IF(G884&gt;0,IF(INDEX(CONFIRM!$G$5:$G$53,G884)&lt;&gt;"",INDEX(CONFIRM!$G$5:$G$53,G884),IF(ISNUMBER(L884),L884,IFERROR(DATEVALUE(L884),""))),IF(ISNUMBER(L884),L884,IFERROR(DATEVALUE(L884),"")))</f>
        <v>45920</v>
      </c>
      <c r="N884" s="1" t="str">
        <f aca="false">IF(M884="","Check",IF(AND(M884&gt;=INPUTS!$C$6,M884&lt;=INPUTS!$C$7),"Yes","No"))</f>
        <v>Yes</v>
      </c>
      <c r="O884" s="48" t="str">
        <f aca="false">STACK!H884</f>
        <v>Dietitian</v>
      </c>
      <c r="P884" s="1" t="str">
        <f aca="false">IF(G884&gt;0,IF(INDEX(CONFIRM!$H$5:$H$53,G884)&lt;&gt;"",INDEX(CONFIRM!$H$5:$H$53,G884),IFERROR(INDEX(MAP!$B$7:$B$156,MATCH(TRIM(O884),MAP!$A$7:$A$156,0)),"UNMAPPED")),IFERROR(INDEX(MAP!$B$7:$B$156,MATCH(TRIM(O884),MAP!$A$7:$A$156,0)),"UNMAPPED"))</f>
        <v>Registered Dietitian</v>
      </c>
      <c r="Q884" s="48" t="n">
        <f aca="false">STACK!I884</f>
        <v>1.5</v>
      </c>
      <c r="R884" s="60" t="n">
        <f aca="false">IF(G884&gt;0,IF(INDEX(CONFIRM!$F$5:$F$53,G884)&lt;&gt;"",INDEX(CONFIRM!$F$5:$F$53,G884),IF(ISNUMBER(Q884),Q884,IF(Q884="","",IFERROR(VALUE(TRIM(SUBSTITUTE(SUBSTITUTE(LOWER(Q884),"hrs",""),"hr",""))),"")))),IF(ISNUMBER(Q884),Q884,IF(Q884="","",IFERROR(VALUE(TRIM(SUBSTITUTE(SUBSTITUTE(LOWER(Q884),"hrs",""),"hr",""))),""))))</f>
        <v>1.5</v>
      </c>
      <c r="S884" s="57" t="n">
        <f aca="false">IFERROR(INDEX(RATES!$E$6:$E$28,MATCH(P884,RATES!$A$6:$A$28,0)),0)</f>
        <v>46.9025</v>
      </c>
      <c r="T884" s="61" t="n">
        <f aca="false">IF(ISNUMBER(R884),R884,0)*S884</f>
        <v>70.35375</v>
      </c>
      <c r="U884" s="61" t="n">
        <f aca="false">T884*INDEX(INPUTS!$H$10:$H$14,MATCH(B884,INPUTS!$A$10:$A$14,0))</f>
        <v>11.1158925</v>
      </c>
      <c r="V884" s="61" t="n">
        <f aca="false">N(STACK!K884)</f>
        <v>0</v>
      </c>
      <c r="W884" s="61" t="n">
        <f aca="false">T884+U884+V884</f>
        <v>81.4696425</v>
      </c>
      <c r="X884" s="61" t="n">
        <f aca="false">N(STACK!L884)</f>
        <v>0</v>
      </c>
      <c r="Y884" s="61" t="n">
        <f aca="false">W884-X884</f>
        <v>81.4696425</v>
      </c>
      <c r="Z884" s="1" t="n">
        <f aca="false">N(STACK!J884)</f>
        <v>0</v>
      </c>
      <c r="AA884" s="1" t="str">
        <f aca="false">TRIM(IF(D884="UNMAPPED","Program not mapped. ","")&amp;IF(OR(K884="UNMAPPED",K884="UNASSIGNED"),"Category needs review. ","")&amp;IF(P884="UNMAPPED","Title not mapped. ","")&amp;IF(AND(P884&lt;&gt;"No staff time",R884=""),"Missing hours. ","")&amp;IF(M884="","Date not readable. ","")&amp;IF(N884="No","Outside fiscal year. ","")&amp;IF(AND(F884="Event",ISNUMBER(R884)),IF(R884&gt;12,"Event hours look high. ",""),"")&amp;IF(G884&gt;0,"See CONFIRM sheet.",""))</f>
        <v/>
      </c>
      <c r="AB884" s="1" t="n">
        <f aca="false">IF(N884="No",0,IF(REVIEW!O884=0,0,IF(G884&gt;0,IF(INDEX(CONFIRM!$J$5:$J$53,G884)&lt;&gt;"",INDEX(CONFIRM!$J$5:$J$53,G884),1),1)))</f>
        <v>1</v>
      </c>
      <c r="AC884" s="1" t="n">
        <f aca="false">IF(AB884=1,IF(COUNTIFS($B$5:B884,B884,$D$5:D884,D884,$AB$5:AB884,1)=1,1,0),0)</f>
        <v>0</v>
      </c>
    </row>
    <row r="885" customFormat="false" ht="15" hidden="false" customHeight="false" outlineLevel="0" collapsed="false">
      <c r="A885" s="48" t="str">
        <f aca="false">STACK!A885</f>
        <v>CBH-0057</v>
      </c>
      <c r="B885" s="48" t="str">
        <f aca="false">STACK!B885</f>
        <v>CBH</v>
      </c>
      <c r="C885" s="48" t="str">
        <f aca="false">STACK!E885</f>
        <v>Free Clinic Grant</v>
      </c>
      <c r="D885" s="1" t="str">
        <f aca="false">IFERROR(INDEX(MAP!$J$7:$J$101,MATCH(TRIM(C885),MAP!$I$7:$I$101,0)),"UNMAPPED")</f>
        <v>Free Clinic Operating Grant</v>
      </c>
      <c r="E885" s="1" t="str">
        <f aca="false">IFERROR(INDEX(MAP!$K$7:$K$101,MATCH(TRIM(C885),MAP!$I$7:$I$101,0)),"")</f>
        <v>Access to care</v>
      </c>
      <c r="F885" s="1" t="str">
        <f aca="false">IFERROR(INDEX(MAP!$L$7:$L$101,MATCH(TRIM(C885),MAP!$I$7:$I$101,0)),"")</f>
        <v>Contribution</v>
      </c>
      <c r="G885" s="1" t="n">
        <f aca="false">IFERROR(MATCH(A885,CONFIRM!$A$5:$A$53,0),0)</f>
        <v>0</v>
      </c>
      <c r="H885" s="48" t="str">
        <f aca="false">STACK!F885</f>
        <v>Donation</v>
      </c>
      <c r="I885" s="1" t="str">
        <f aca="false">IF(G885&gt;0,IF(INDEX(CONFIRM!$I$5:$I$53,G885)&lt;&gt;"",INDEX(CONFIRM!$I$5:$I$53,G885),H885),H885)</f>
        <v>Donation</v>
      </c>
      <c r="J885" s="1" t="str">
        <f aca="false">IFERROR(INDEX(MAP!$F$7:$F$74,MATCH(TRIM(I885),MAP!$E$7:$E$74,0)),"UNMAPPED")</f>
        <v>Cash and in-kind contributions</v>
      </c>
      <c r="K885" s="1" t="str">
        <f aca="false">IFERROR(INDEX(MAP!$G$7:$G$74,MATCH(TRIM(I885),MAP!$E$7:$E$74,0)),"UNMAPPED")</f>
        <v>7i</v>
      </c>
      <c r="L885" s="49" t="str">
        <f aca="false">STACK!G885</f>
        <v>2025-09-20</v>
      </c>
      <c r="M885" s="59" t="n">
        <f aca="false">IF(G885&gt;0,IF(INDEX(CONFIRM!$G$5:$G$53,G885)&lt;&gt;"",INDEX(CONFIRM!$G$5:$G$53,G885),IF(ISNUMBER(L885),L885,IFERROR(DATEVALUE(L885),""))),IF(ISNUMBER(L885),L885,IFERROR(DATEVALUE(L885),"")))</f>
        <v>45920</v>
      </c>
      <c r="N885" s="1" t="str">
        <f aca="false">IF(M885="","Check",IF(AND(M885&gt;=INPUTS!$C$6,M885&lt;=INPUTS!$C$7),"Yes","No"))</f>
        <v>Yes</v>
      </c>
      <c r="O885" s="48" t="str">
        <f aca="false">STACK!H885</f>
        <v>n.a. </v>
      </c>
      <c r="P885" s="1" t="str">
        <f aca="false">IF(G885&gt;0,IF(INDEX(CONFIRM!$H$5:$H$53,G885)&lt;&gt;"",INDEX(CONFIRM!$H$5:$H$53,G885),IFERROR(INDEX(MAP!$B$7:$B$156,MATCH(TRIM(O885),MAP!$A$7:$A$156,0)),"UNMAPPED")),IFERROR(INDEX(MAP!$B$7:$B$156,MATCH(TRIM(O885),MAP!$A$7:$A$156,0)),"UNMAPPED"))</f>
        <v>No staff time</v>
      </c>
      <c r="Q885" s="48" t="n">
        <f aca="false">STACK!I885</f>
        <v>0</v>
      </c>
      <c r="R885" s="60" t="n">
        <f aca="false">IF(G885&gt;0,IF(INDEX(CONFIRM!$F$5:$F$53,G885)&lt;&gt;"",INDEX(CONFIRM!$F$5:$F$53,G885),IF(ISNUMBER(Q885),Q885,IF(Q885="","",IFERROR(VALUE(TRIM(SUBSTITUTE(SUBSTITUTE(LOWER(Q885),"hrs",""),"hr",""))),"")))),IF(ISNUMBER(Q885),Q885,IF(Q885="","",IFERROR(VALUE(TRIM(SUBSTITUTE(SUBSTITUTE(LOWER(Q885),"hrs",""),"hr",""))),""))))</f>
        <v>0</v>
      </c>
      <c r="S885" s="57" t="n">
        <f aca="false">IFERROR(INDEX(RATES!$E$6:$E$28,MATCH(P885,RATES!$A$6:$A$28,0)),0)</f>
        <v>0</v>
      </c>
      <c r="T885" s="61" t="n">
        <f aca="false">IF(ISNUMBER(R885),R885,0)*S885</f>
        <v>0</v>
      </c>
      <c r="U885" s="61" t="n">
        <f aca="false">T885*INDEX(INPUTS!$H$10:$H$14,MATCH(B885,INPUTS!$A$10:$A$14,0))</f>
        <v>0</v>
      </c>
      <c r="V885" s="61" t="n">
        <f aca="false">N(STACK!K885)</f>
        <v>43700</v>
      </c>
      <c r="W885" s="61" t="n">
        <f aca="false">T885+U885+V885</f>
        <v>43700</v>
      </c>
      <c r="X885" s="61" t="n">
        <f aca="false">N(STACK!L885)</f>
        <v>0</v>
      </c>
      <c r="Y885" s="61" t="n">
        <f aca="false">W885-X885</f>
        <v>43700</v>
      </c>
      <c r="Z885" s="1" t="n">
        <f aca="false">N(STACK!J885)</f>
        <v>0</v>
      </c>
      <c r="AA885" s="1" t="str">
        <f aca="false">TRIM(IF(D885="UNMAPPED","Program not mapped. ","")&amp;IF(OR(K885="UNMAPPED",K885="UNASSIGNED"),"Category needs review. ","")&amp;IF(P885="UNMAPPED","Title not mapped. ","")&amp;IF(AND(P885&lt;&gt;"No staff time",R885=""),"Missing hours. ","")&amp;IF(M885="","Date not readable. ","")&amp;IF(N885="No","Outside fiscal year. ","")&amp;IF(AND(F885="Event",ISNUMBER(R885)),IF(R885&gt;12,"Event hours look high. ",""),"")&amp;IF(G885&gt;0,"See CONFIRM sheet.",""))</f>
        <v/>
      </c>
      <c r="AB885" s="1" t="n">
        <f aca="false">IF(N885="No",0,IF(REVIEW!O885=0,0,IF(G885&gt;0,IF(INDEX(CONFIRM!$J$5:$J$53,G885)&lt;&gt;"",INDEX(CONFIRM!$J$5:$J$53,G885),1),1)))</f>
        <v>1</v>
      </c>
      <c r="AC885" s="1" t="n">
        <f aca="false">IF(AB885=1,IF(COUNTIFS($B$5:B885,B885,$D$5:D885,D885,$AB$5:AB885,1)=1,1,0),0)</f>
        <v>1</v>
      </c>
    </row>
    <row r="886" customFormat="false" ht="15" hidden="false" customHeight="false" outlineLevel="0" collapsed="false">
      <c r="A886" s="48" t="str">
        <f aca="false">STACK!A886</f>
        <v>CBH-0058</v>
      </c>
      <c r="B886" s="48" t="str">
        <f aca="false">STACK!B886</f>
        <v>CBH</v>
      </c>
      <c r="C886" s="48" t="str">
        <f aca="false">STACK!E886</f>
        <v>Bereavement Group</v>
      </c>
      <c r="D886" s="1" t="str">
        <f aca="false">IFERROR(INDEX(MAP!$J$7:$J$101,MATCH(TRIM(C886),MAP!$I$7:$I$101,0)),"UNMAPPED")</f>
        <v>Grief Support Group</v>
      </c>
      <c r="E886" s="1" t="str">
        <f aca="false">IFERROR(INDEX(MAP!$K$7:$K$101,MATCH(TRIM(C886),MAP!$I$7:$I$101,0)),"")</f>
        <v>Behavioral health</v>
      </c>
      <c r="F886" s="1" t="str">
        <f aca="false">IFERROR(INDEX(MAP!$L$7:$L$101,MATCH(TRIM(C886),MAP!$I$7:$I$101,0)),"")</f>
        <v>Event</v>
      </c>
      <c r="G886" s="1" t="n">
        <f aca="false">IFERROR(MATCH(A886,CONFIRM!$A$5:$A$53,0),0)</f>
        <v>0</v>
      </c>
      <c r="H886" s="48" t="str">
        <f aca="false">STACK!F886</f>
        <v>Patient Support</v>
      </c>
      <c r="I886" s="1" t="str">
        <f aca="false">IF(G886&gt;0,IF(INDEX(CONFIRM!$I$5:$I$53,G886)&lt;&gt;"",INDEX(CONFIRM!$I$5:$I$53,G886),H886),H886)</f>
        <v>Patient Support</v>
      </c>
      <c r="J886" s="1" t="str">
        <f aca="false">IFERROR(INDEX(MAP!$F$7:$F$74,MATCH(TRIM(I886),MAP!$E$7:$E$74,0)),"UNMAPPED")</f>
        <v>Health care support services</v>
      </c>
      <c r="K886" s="1" t="str">
        <f aca="false">IFERROR(INDEX(MAP!$G$7:$G$74,MATCH(TRIM(I886),MAP!$E$7:$E$74,0)),"UNMAPPED")</f>
        <v>7e</v>
      </c>
      <c r="L886" s="49" t="str">
        <f aca="false">STACK!G886</f>
        <v>2025-09-24</v>
      </c>
      <c r="M886" s="59" t="n">
        <f aca="false">IF(G886&gt;0,IF(INDEX(CONFIRM!$G$5:$G$53,G886)&lt;&gt;"",INDEX(CONFIRM!$G$5:$G$53,G886),IF(ISNUMBER(L886),L886,IFERROR(DATEVALUE(L886),""))),IF(ISNUMBER(L886),L886,IFERROR(DATEVALUE(L886),"")))</f>
        <v>45924</v>
      </c>
      <c r="N886" s="1" t="str">
        <f aca="false">IF(M886="","Check",IF(AND(M886&gt;=INPUTS!$C$6,M886&lt;=INPUTS!$C$7),"Yes","No"))</f>
        <v>Yes</v>
      </c>
      <c r="O886" s="48" t="str">
        <f aca="false">STACK!H886</f>
        <v>Chaplain Resident</v>
      </c>
      <c r="P886" s="1" t="str">
        <f aca="false">IF(G886&gt;0,IF(INDEX(CONFIRM!$H$5:$H$53,G886)&lt;&gt;"",INDEX(CONFIRM!$H$5:$H$53,G886),IFERROR(INDEX(MAP!$B$7:$B$156,MATCH(TRIM(O886),MAP!$A$7:$A$156,0)),"UNMAPPED")),IFERROR(INDEX(MAP!$B$7:$B$156,MATCH(TRIM(O886),MAP!$A$7:$A$156,0)),"UNMAPPED"))</f>
        <v>Chaplain</v>
      </c>
      <c r="Q886" s="48" t="n">
        <f aca="false">STACK!I886</f>
        <v>2.5</v>
      </c>
      <c r="R886" s="60" t="n">
        <f aca="false">IF(G886&gt;0,IF(INDEX(CONFIRM!$F$5:$F$53,G886)&lt;&gt;"",INDEX(CONFIRM!$F$5:$F$53,G886),IF(ISNUMBER(Q886),Q886,IF(Q886="","",IFERROR(VALUE(TRIM(SUBSTITUTE(SUBSTITUTE(LOWER(Q886),"hrs",""),"hr",""))),"")))),IF(ISNUMBER(Q886),Q886,IF(Q886="","",IFERROR(VALUE(TRIM(SUBSTITUTE(SUBSTITUTE(LOWER(Q886),"hrs",""),"hr",""))),""))))</f>
        <v>2.5</v>
      </c>
      <c r="S886" s="57" t="n">
        <f aca="false">IFERROR(INDEX(RATES!$E$6:$E$28,MATCH(P886,RATES!$A$6:$A$28,0)),0)</f>
        <v>39.835</v>
      </c>
      <c r="T886" s="61" t="n">
        <f aca="false">IF(ISNUMBER(R886),R886,0)*S886</f>
        <v>99.5875</v>
      </c>
      <c r="U886" s="61" t="n">
        <f aca="false">T886*INDEX(INPUTS!$H$10:$H$14,MATCH(B886,INPUTS!$A$10:$A$14,0))</f>
        <v>15.734825</v>
      </c>
      <c r="V886" s="61" t="n">
        <f aca="false">N(STACK!K886)</f>
        <v>30</v>
      </c>
      <c r="W886" s="61" t="n">
        <f aca="false">T886+U886+V886</f>
        <v>145.322325</v>
      </c>
      <c r="X886" s="61" t="n">
        <f aca="false">N(STACK!L886)</f>
        <v>0</v>
      </c>
      <c r="Y886" s="61" t="n">
        <f aca="false">W886-X886</f>
        <v>145.322325</v>
      </c>
      <c r="Z886" s="1" t="n">
        <f aca="false">N(STACK!J886)</f>
        <v>7</v>
      </c>
      <c r="AA886" s="1" t="str">
        <f aca="false">TRIM(IF(D886="UNMAPPED","Program not mapped. ","")&amp;IF(OR(K886="UNMAPPED",K886="UNASSIGNED"),"Category needs review. ","")&amp;IF(P886="UNMAPPED","Title not mapped. ","")&amp;IF(AND(P886&lt;&gt;"No staff time",R886=""),"Missing hours. ","")&amp;IF(M886="","Date not readable. ","")&amp;IF(N886="No","Outside fiscal year. ","")&amp;IF(AND(F886="Event",ISNUMBER(R886)),IF(R886&gt;12,"Event hours look high. ",""),"")&amp;IF(G886&gt;0,"See CONFIRM sheet.",""))</f>
        <v/>
      </c>
      <c r="AB886" s="1" t="n">
        <f aca="false">IF(N886="No",0,IF(REVIEW!O886=0,0,IF(G886&gt;0,IF(INDEX(CONFIRM!$J$5:$J$53,G886)&lt;&gt;"",INDEX(CONFIRM!$J$5:$J$53,G886),1),1)))</f>
        <v>1</v>
      </c>
      <c r="AC886" s="1" t="n">
        <f aca="false">IF(AB886=1,IF(COUNTIFS($B$5:B886,B886,$D$5:D886,D886,$AB$5:AB886,1)=1,1,0),0)</f>
        <v>0</v>
      </c>
    </row>
    <row r="887" customFormat="false" ht="15" hidden="false" customHeight="false" outlineLevel="0" collapsed="false">
      <c r="A887" s="48" t="str">
        <f aca="false">STACK!A887</f>
        <v>CBH-0059</v>
      </c>
      <c r="B887" s="48" t="str">
        <f aca="false">STACK!B887</f>
        <v>CBH</v>
      </c>
      <c r="C887" s="48" t="str">
        <f aca="false">STACK!E887</f>
        <v>Bereavement Group</v>
      </c>
      <c r="D887" s="1" t="str">
        <f aca="false">IFERROR(INDEX(MAP!$J$7:$J$101,MATCH(TRIM(C887),MAP!$I$7:$I$101,0)),"UNMAPPED")</f>
        <v>Grief Support Group</v>
      </c>
      <c r="E887" s="1" t="str">
        <f aca="false">IFERROR(INDEX(MAP!$K$7:$K$101,MATCH(TRIM(C887),MAP!$I$7:$I$101,0)),"")</f>
        <v>Behavioral health</v>
      </c>
      <c r="F887" s="1" t="str">
        <f aca="false">IFERROR(INDEX(MAP!$L$7:$L$101,MATCH(TRIM(C887),MAP!$I$7:$I$101,0)),"")</f>
        <v>Event</v>
      </c>
      <c r="G887" s="1" t="n">
        <f aca="false">IFERROR(MATCH(A887,CONFIRM!$A$5:$A$53,0),0)</f>
        <v>0</v>
      </c>
      <c r="H887" s="48" t="str">
        <f aca="false">STACK!F887</f>
        <v>Patient Support</v>
      </c>
      <c r="I887" s="1" t="str">
        <f aca="false">IF(G887&gt;0,IF(INDEX(CONFIRM!$I$5:$I$53,G887)&lt;&gt;"",INDEX(CONFIRM!$I$5:$I$53,G887),H887),H887)</f>
        <v>Patient Support</v>
      </c>
      <c r="J887" s="1" t="str">
        <f aca="false">IFERROR(INDEX(MAP!$F$7:$F$74,MATCH(TRIM(I887),MAP!$E$7:$E$74,0)),"UNMAPPED")</f>
        <v>Health care support services</v>
      </c>
      <c r="K887" s="1" t="str">
        <f aca="false">IFERROR(INDEX(MAP!$G$7:$G$74,MATCH(TRIM(I887),MAP!$E$7:$E$74,0)),"UNMAPPED")</f>
        <v>7e</v>
      </c>
      <c r="L887" s="49" t="str">
        <f aca="false">STACK!G887</f>
        <v>2025-09-24</v>
      </c>
      <c r="M887" s="59" t="n">
        <f aca="false">IF(G887&gt;0,IF(INDEX(CONFIRM!$G$5:$G$53,G887)&lt;&gt;"",INDEX(CONFIRM!$G$5:$G$53,G887),IF(ISNUMBER(L887),L887,IFERROR(DATEVALUE(L887),""))),IF(ISNUMBER(L887),L887,IFERROR(DATEVALUE(L887),"")))</f>
        <v>45924</v>
      </c>
      <c r="N887" s="1" t="str">
        <f aca="false">IF(M887="","Check",IF(AND(M887&gt;=INPUTS!$C$6,M887&lt;=INPUTS!$C$7),"Yes","No"))</f>
        <v>Yes</v>
      </c>
      <c r="O887" s="48" t="str">
        <f aca="false">STACK!H887</f>
        <v>Social Work</v>
      </c>
      <c r="P887" s="1" t="str">
        <f aca="false">IF(G887&gt;0,IF(INDEX(CONFIRM!$H$5:$H$53,G887)&lt;&gt;"",INDEX(CONFIRM!$H$5:$H$53,G887),IFERROR(INDEX(MAP!$B$7:$B$156,MATCH(TRIM(O887),MAP!$A$7:$A$156,0)),"UNMAPPED")),IFERROR(INDEX(MAP!$B$7:$B$156,MATCH(TRIM(O887),MAP!$A$7:$A$156,0)),"UNMAPPED"))</f>
        <v>Social Worker</v>
      </c>
      <c r="Q887" s="48" t="n">
        <f aca="false">STACK!I887</f>
        <v>2</v>
      </c>
      <c r="R887" s="60" t="n">
        <f aca="false">IF(G887&gt;0,IF(INDEX(CONFIRM!$F$5:$F$53,G887)&lt;&gt;"",INDEX(CONFIRM!$F$5:$F$53,G887),IF(ISNUMBER(Q887),Q887,IF(Q887="","",IFERROR(VALUE(TRIM(SUBSTITUTE(SUBSTITUTE(LOWER(Q887),"hrs",""),"hr",""))),"")))),IF(ISNUMBER(Q887),Q887,IF(Q887="","",IFERROR(VALUE(TRIM(SUBSTITUTE(SUBSTITUTE(LOWER(Q887),"hrs",""),"hr",""))),""))))</f>
        <v>2</v>
      </c>
      <c r="S887" s="57" t="n">
        <f aca="false">IFERROR(INDEX(RATES!$E$6:$E$28,MATCH(P887,RATES!$A$6:$A$28,0)),0)</f>
        <v>45.6175</v>
      </c>
      <c r="T887" s="61" t="n">
        <f aca="false">IF(ISNUMBER(R887),R887,0)*S887</f>
        <v>91.235</v>
      </c>
      <c r="U887" s="61" t="n">
        <f aca="false">T887*INDEX(INPUTS!$H$10:$H$14,MATCH(B887,INPUTS!$A$10:$A$14,0))</f>
        <v>14.41513</v>
      </c>
      <c r="V887" s="61" t="n">
        <f aca="false">N(STACK!K887)</f>
        <v>0</v>
      </c>
      <c r="W887" s="61" t="n">
        <f aca="false">T887+U887+V887</f>
        <v>105.65013</v>
      </c>
      <c r="X887" s="61" t="n">
        <f aca="false">N(STACK!L887)</f>
        <v>0</v>
      </c>
      <c r="Y887" s="61" t="n">
        <f aca="false">W887-X887</f>
        <v>105.65013</v>
      </c>
      <c r="Z887" s="1" t="n">
        <f aca="false">N(STACK!J887)</f>
        <v>0</v>
      </c>
      <c r="AA887" s="1" t="str">
        <f aca="false">TRIM(IF(D887="UNMAPPED","Program not mapped. ","")&amp;IF(OR(K887="UNMAPPED",K887="UNASSIGNED"),"Category needs review. ","")&amp;IF(P887="UNMAPPED","Title not mapped. ","")&amp;IF(AND(P887&lt;&gt;"No staff time",R887=""),"Missing hours. ","")&amp;IF(M887="","Date not readable. ","")&amp;IF(N887="No","Outside fiscal year. ","")&amp;IF(AND(F887="Event",ISNUMBER(R887)),IF(R887&gt;12,"Event hours look high. ",""),"")&amp;IF(G887&gt;0,"See CONFIRM sheet.",""))</f>
        <v/>
      </c>
      <c r="AB887" s="1" t="n">
        <f aca="false">IF(N887="No",0,IF(REVIEW!O887=0,0,IF(G887&gt;0,IF(INDEX(CONFIRM!$J$5:$J$53,G887)&lt;&gt;"",INDEX(CONFIRM!$J$5:$J$53,G887),1),1)))</f>
        <v>1</v>
      </c>
      <c r="AC887" s="1" t="n">
        <f aca="false">IF(AB887=1,IF(COUNTIFS($B$5:B887,B887,$D$5:D887,D887,$AB$5:AB887,1)=1,1,0),0)</f>
        <v>0</v>
      </c>
    </row>
    <row r="888" customFormat="false" ht="15" hidden="false" customHeight="false" outlineLevel="0" collapsed="false">
      <c r="A888" s="48" t="str">
        <f aca="false">STACK!A888</f>
        <v>CBH-0060</v>
      </c>
      <c r="B888" s="48" t="str">
        <f aca="false">STACK!B888</f>
        <v>CBH</v>
      </c>
      <c r="C888" s="48" t="str">
        <f aca="false">STACK!E888</f>
        <v>Naloxone Training</v>
      </c>
      <c r="D888" s="1" t="str">
        <f aca="false">IFERROR(INDEX(MAP!$J$7:$J$101,MATCH(TRIM(C888),MAP!$I$7:$I$101,0)),"UNMAPPED")</f>
        <v>Naloxone Training and Distribution</v>
      </c>
      <c r="E888" s="1" t="str">
        <f aca="false">IFERROR(INDEX(MAP!$K$7:$K$101,MATCH(TRIM(C888),MAP!$I$7:$I$101,0)),"")</f>
        <v>Behavioral health</v>
      </c>
      <c r="F888" s="1" t="str">
        <f aca="false">IFERROR(INDEX(MAP!$L$7:$L$101,MATCH(TRIM(C888),MAP!$I$7:$I$101,0)),"")</f>
        <v>Event</v>
      </c>
      <c r="G888" s="1" t="n">
        <f aca="false">IFERROR(MATCH(A888,CONFIRM!$A$5:$A$53,0),0)</f>
        <v>0</v>
      </c>
      <c r="H888" s="48" t="str">
        <f aca="false">STACK!F888</f>
        <v>Health Education</v>
      </c>
      <c r="I888" s="1" t="str">
        <f aca="false">IF(G888&gt;0,IF(INDEX(CONFIRM!$I$5:$I$53,G888)&lt;&gt;"",INDEX(CONFIRM!$I$5:$I$53,G888),H888),H888)</f>
        <v>Health Education</v>
      </c>
      <c r="J888" s="1" t="str">
        <f aca="false">IFERROR(INDEX(MAP!$F$7:$F$74,MATCH(TRIM(I888),MAP!$E$7:$E$74,0)),"UNMAPPED")</f>
        <v>Community health education</v>
      </c>
      <c r="K888" s="1" t="str">
        <f aca="false">IFERROR(INDEX(MAP!$G$7:$G$74,MATCH(TRIM(I888),MAP!$E$7:$E$74,0)),"UNMAPPED")</f>
        <v>7e</v>
      </c>
      <c r="L888" s="49" t="str">
        <f aca="false">STACK!G888</f>
        <v>2025-09-26</v>
      </c>
      <c r="M888" s="59" t="n">
        <f aca="false">IF(G888&gt;0,IF(INDEX(CONFIRM!$G$5:$G$53,G888)&lt;&gt;"",INDEX(CONFIRM!$G$5:$G$53,G888),IF(ISNUMBER(L888),L888,IFERROR(DATEVALUE(L888),""))),IF(ISNUMBER(L888),L888,IFERROR(DATEVALUE(L888),"")))</f>
        <v>45926</v>
      </c>
      <c r="N888" s="1" t="str">
        <f aca="false">IF(M888="","Check",IF(AND(M888&gt;=INPUTS!$C$6,M888&lt;=INPUTS!$C$7),"Yes","No"))</f>
        <v>Yes</v>
      </c>
      <c r="O888" s="48" t="str">
        <f aca="false">STACK!H888</f>
        <v>Community Educator</v>
      </c>
      <c r="P888" s="1" t="str">
        <f aca="false">IF(G888&gt;0,IF(INDEX(CONFIRM!$H$5:$H$53,G888)&lt;&gt;"",INDEX(CONFIRM!$H$5:$H$53,G888),IFERROR(INDEX(MAP!$B$7:$B$156,MATCH(TRIM(O888),MAP!$A$7:$A$156,0)),"UNMAPPED")),IFERROR(INDEX(MAP!$B$7:$B$156,MATCH(TRIM(O888),MAP!$A$7:$A$156,0)),"UNMAPPED"))</f>
        <v>Health Educator</v>
      </c>
      <c r="Q888" s="48" t="n">
        <f aca="false">STACK!I888</f>
        <v>2.75</v>
      </c>
      <c r="R888" s="60" t="n">
        <f aca="false">IF(G888&gt;0,IF(INDEX(CONFIRM!$F$5:$F$53,G888)&lt;&gt;"",INDEX(CONFIRM!$F$5:$F$53,G888),IF(ISNUMBER(Q888),Q888,IF(Q888="","",IFERROR(VALUE(TRIM(SUBSTITUTE(SUBSTITUTE(LOWER(Q888),"hrs",""),"hr",""))),"")))),IF(ISNUMBER(Q888),Q888,IF(Q888="","",IFERROR(VALUE(TRIM(SUBSTITUTE(SUBSTITUTE(LOWER(Q888),"hrs",""),"hr",""))),""))))</f>
        <v>2.75</v>
      </c>
      <c r="S888" s="57" t="n">
        <f aca="false">IFERROR(INDEX(RATES!$E$6:$E$28,MATCH(P888,RATES!$A$6:$A$28,0)),0)</f>
        <v>37.265</v>
      </c>
      <c r="T888" s="61" t="n">
        <f aca="false">IF(ISNUMBER(R888),R888,0)*S888</f>
        <v>102.47875</v>
      </c>
      <c r="U888" s="61" t="n">
        <f aca="false">T888*INDEX(INPUTS!$H$10:$H$14,MATCH(B888,INPUTS!$A$10:$A$14,0))</f>
        <v>16.1916425</v>
      </c>
      <c r="V888" s="61" t="n">
        <f aca="false">N(STACK!K888)</f>
        <v>0</v>
      </c>
      <c r="W888" s="61" t="n">
        <f aca="false">T888+U888+V888</f>
        <v>118.6703925</v>
      </c>
      <c r="X888" s="61" t="n">
        <f aca="false">N(STACK!L888)</f>
        <v>0</v>
      </c>
      <c r="Y888" s="61" t="n">
        <f aca="false">W888-X888</f>
        <v>118.6703925</v>
      </c>
      <c r="Z888" s="1" t="n">
        <f aca="false">N(STACK!J888)</f>
        <v>0</v>
      </c>
      <c r="AA888" s="1" t="str">
        <f aca="false">TRIM(IF(D888="UNMAPPED","Program not mapped. ","")&amp;IF(OR(K888="UNMAPPED",K888="UNASSIGNED"),"Category needs review. ","")&amp;IF(P888="UNMAPPED","Title not mapped. ","")&amp;IF(AND(P888&lt;&gt;"No staff time",R888=""),"Missing hours. ","")&amp;IF(M888="","Date not readable. ","")&amp;IF(N888="No","Outside fiscal year. ","")&amp;IF(AND(F888="Event",ISNUMBER(R888)),IF(R888&gt;12,"Event hours look high. ",""),"")&amp;IF(G888&gt;0,"See CONFIRM sheet.",""))</f>
        <v/>
      </c>
      <c r="AB888" s="1" t="n">
        <f aca="false">IF(N888="No",0,IF(REVIEW!O888=0,0,IF(G888&gt;0,IF(INDEX(CONFIRM!$J$5:$J$53,G888)&lt;&gt;"",INDEX(CONFIRM!$J$5:$J$53,G888),1),1)))</f>
        <v>1</v>
      </c>
      <c r="AC888" s="1" t="n">
        <f aca="false">IF(AB888=1,IF(COUNTIFS($B$5:B888,B888,$D$5:D888,D888,$AB$5:AB888,1)=1,1,0),0)</f>
        <v>1</v>
      </c>
    </row>
    <row r="889" customFormat="false" ht="15" hidden="false" customHeight="false" outlineLevel="0" collapsed="false">
      <c r="A889" s="48" t="str">
        <f aca="false">STACK!A889</f>
        <v>CBH-0061</v>
      </c>
      <c r="B889" s="48" t="str">
        <f aca="false">STACK!B889</f>
        <v>CBH</v>
      </c>
      <c r="C889" s="48" t="str">
        <f aca="false">STACK!E889</f>
        <v>Naloxone Training</v>
      </c>
      <c r="D889" s="1" t="str">
        <f aca="false">IFERROR(INDEX(MAP!$J$7:$J$101,MATCH(TRIM(C889),MAP!$I$7:$I$101,0)),"UNMAPPED")</f>
        <v>Naloxone Training and Distribution</v>
      </c>
      <c r="E889" s="1" t="str">
        <f aca="false">IFERROR(INDEX(MAP!$K$7:$K$101,MATCH(TRIM(C889),MAP!$I$7:$I$101,0)),"")</f>
        <v>Behavioral health</v>
      </c>
      <c r="F889" s="1" t="str">
        <f aca="false">IFERROR(INDEX(MAP!$L$7:$L$101,MATCH(TRIM(C889),MAP!$I$7:$I$101,0)),"")</f>
        <v>Event</v>
      </c>
      <c r="G889" s="1" t="n">
        <f aca="false">IFERROR(MATCH(A889,CONFIRM!$A$5:$A$53,0),0)</f>
        <v>0</v>
      </c>
      <c r="H889" s="48" t="str">
        <f aca="false">STACK!F889</f>
        <v>Health Education</v>
      </c>
      <c r="I889" s="1" t="str">
        <f aca="false">IF(G889&gt;0,IF(INDEX(CONFIRM!$I$5:$I$53,G889)&lt;&gt;"",INDEX(CONFIRM!$I$5:$I$53,G889),H889),H889)</f>
        <v>Health Education</v>
      </c>
      <c r="J889" s="1" t="str">
        <f aca="false">IFERROR(INDEX(MAP!$F$7:$F$74,MATCH(TRIM(I889),MAP!$E$7:$E$74,0)),"UNMAPPED")</f>
        <v>Community health education</v>
      </c>
      <c r="K889" s="1" t="str">
        <f aca="false">IFERROR(INDEX(MAP!$G$7:$G$74,MATCH(TRIM(I889),MAP!$E$7:$E$74,0)),"UNMAPPED")</f>
        <v>7e</v>
      </c>
      <c r="L889" s="49" t="str">
        <f aca="false">STACK!G889</f>
        <v>2025-09-26</v>
      </c>
      <c r="M889" s="59" t="n">
        <f aca="false">IF(G889&gt;0,IF(INDEX(CONFIRM!$G$5:$G$53,G889)&lt;&gt;"",INDEX(CONFIRM!$G$5:$G$53,G889),IF(ISNUMBER(L889),L889,IFERROR(DATEVALUE(L889),""))),IF(ISNUMBER(L889),L889,IFERROR(DATEVALUE(L889),"")))</f>
        <v>45926</v>
      </c>
      <c r="N889" s="1" t="str">
        <f aca="false">IF(M889="","Check",IF(AND(M889&gt;=INPUTS!$C$6,M889&lt;=INPUTS!$C$7),"Yes","No"))</f>
        <v>Yes</v>
      </c>
      <c r="O889" s="48" t="str">
        <f aca="false">STACK!H889</f>
        <v>RPh</v>
      </c>
      <c r="P889" s="1" t="str">
        <f aca="false">IF(G889&gt;0,IF(INDEX(CONFIRM!$H$5:$H$53,G889)&lt;&gt;"",INDEX(CONFIRM!$H$5:$H$53,G889),IFERROR(INDEX(MAP!$B$7:$B$156,MATCH(TRIM(O889),MAP!$A$7:$A$156,0)),"UNMAPPED")),IFERROR(INDEX(MAP!$B$7:$B$156,MATCH(TRIM(O889),MAP!$A$7:$A$156,0)),"UNMAPPED"))</f>
        <v>Pharmacist</v>
      </c>
      <c r="Q889" s="48" t="n">
        <f aca="false">STACK!I889</f>
        <v>3</v>
      </c>
      <c r="R889" s="60" t="n">
        <f aca="false">IF(G889&gt;0,IF(INDEX(CONFIRM!$F$5:$F$53,G889)&lt;&gt;"",INDEX(CONFIRM!$F$5:$F$53,G889),IF(ISNUMBER(Q889),Q889,IF(Q889="","",IFERROR(VALUE(TRIM(SUBSTITUTE(SUBSTITUTE(LOWER(Q889),"hrs",""),"hr",""))),"")))),IF(ISNUMBER(Q889),Q889,IF(Q889="","",IFERROR(VALUE(TRIM(SUBSTITUTE(SUBSTITUTE(LOWER(Q889),"hrs",""),"hr",""))),""))))</f>
        <v>3</v>
      </c>
      <c r="S889" s="57" t="n">
        <f aca="false">IFERROR(INDEX(RATES!$E$6:$E$28,MATCH(P889,RATES!$A$6:$A$28,0)),0)</f>
        <v>84.81</v>
      </c>
      <c r="T889" s="61" t="n">
        <f aca="false">IF(ISNUMBER(R889),R889,0)*S889</f>
        <v>254.43</v>
      </c>
      <c r="U889" s="61" t="n">
        <f aca="false">T889*INDEX(INPUTS!$H$10:$H$14,MATCH(B889,INPUTS!$A$10:$A$14,0))</f>
        <v>40.19994</v>
      </c>
      <c r="V889" s="61" t="n">
        <f aca="false">N(STACK!K889)</f>
        <v>1845</v>
      </c>
      <c r="W889" s="61" t="n">
        <f aca="false">T889+U889+V889</f>
        <v>2139.62994</v>
      </c>
      <c r="X889" s="61" t="n">
        <f aca="false">N(STACK!L889)</f>
        <v>1665</v>
      </c>
      <c r="Y889" s="61" t="n">
        <f aca="false">W889-X889</f>
        <v>474.62994</v>
      </c>
      <c r="Z889" s="1" t="n">
        <f aca="false">N(STACK!J889)</f>
        <v>28</v>
      </c>
      <c r="AA889" s="1" t="str">
        <f aca="false">TRIM(IF(D889="UNMAPPED","Program not mapped. ","")&amp;IF(OR(K889="UNMAPPED",K889="UNASSIGNED"),"Category needs review. ","")&amp;IF(P889="UNMAPPED","Title not mapped. ","")&amp;IF(AND(P889&lt;&gt;"No staff time",R889=""),"Missing hours. ","")&amp;IF(M889="","Date not readable. ","")&amp;IF(N889="No","Outside fiscal year. ","")&amp;IF(AND(F889="Event",ISNUMBER(R889)),IF(R889&gt;12,"Event hours look high. ",""),"")&amp;IF(G889&gt;0,"See CONFIRM sheet.",""))</f>
        <v/>
      </c>
      <c r="AB889" s="1" t="n">
        <f aca="false">IF(N889="No",0,IF(REVIEW!O889=0,0,IF(G889&gt;0,IF(INDEX(CONFIRM!$J$5:$J$53,G889)&lt;&gt;"",INDEX(CONFIRM!$J$5:$J$53,G889),1),1)))</f>
        <v>1</v>
      </c>
      <c r="AC889" s="1" t="n">
        <f aca="false">IF(AB889=1,IF(COUNTIFS($B$5:B889,B889,$D$5:D889,D889,$AB$5:AB889,1)=1,1,0),0)</f>
        <v>0</v>
      </c>
    </row>
    <row r="890" customFormat="false" ht="15" hidden="false" customHeight="false" outlineLevel="0" collapsed="false">
      <c r="A890" s="48" t="str">
        <f aca="false">STACK!A890</f>
        <v>CBH-0062</v>
      </c>
      <c r="B890" s="48" t="str">
        <f aca="false">STACK!B890</f>
        <v>CBH</v>
      </c>
      <c r="C890" s="48" t="str">
        <f aca="false">STACK!E890</f>
        <v>Free Clinic Staffing</v>
      </c>
      <c r="D890" s="1" t="str">
        <f aca="false">IFERROR(INDEX(MAP!$J$7:$J$101,MATCH(TRIM(C890),MAP!$I$7:$I$101,0)),"UNMAPPED")</f>
        <v>Free Clinic Provider Staffing</v>
      </c>
      <c r="E890" s="1" t="str">
        <f aca="false">IFERROR(INDEX(MAP!$K$7:$K$101,MATCH(TRIM(C890),MAP!$I$7:$I$101,0)),"")</f>
        <v>Access to care</v>
      </c>
      <c r="F890" s="1" t="str">
        <f aca="false">IFERROR(INDEX(MAP!$L$7:$L$101,MATCH(TRIM(C890),MAP!$I$7:$I$101,0)),"")</f>
        <v>Monthly</v>
      </c>
      <c r="G890" s="1" t="n">
        <f aca="false">IFERROR(MATCH(A890,CONFIRM!$A$5:$A$53,0),0)</f>
        <v>0</v>
      </c>
      <c r="H890" s="48" t="str">
        <f aca="false">STACK!F890</f>
        <v>Screenings</v>
      </c>
      <c r="I890" s="1" t="str">
        <f aca="false">IF(G890&gt;0,IF(INDEX(CONFIRM!$I$5:$I$53,G890)&lt;&gt;"",INDEX(CONFIRM!$I$5:$I$53,G890),H890),H890)</f>
        <v>Screenings</v>
      </c>
      <c r="J890" s="1" t="str">
        <f aca="false">IFERROR(INDEX(MAP!$F$7:$F$74,MATCH(TRIM(I890),MAP!$E$7:$E$74,0)),"UNMAPPED")</f>
        <v>Community-based clinical services</v>
      </c>
      <c r="K890" s="1" t="str">
        <f aca="false">IFERROR(INDEX(MAP!$G$7:$G$74,MATCH(TRIM(I890),MAP!$E$7:$E$74,0)),"UNMAPPED")</f>
        <v>7e</v>
      </c>
      <c r="L890" s="49" t="str">
        <f aca="false">STACK!G890</f>
        <v>2025-09-30</v>
      </c>
      <c r="M890" s="59" t="n">
        <f aca="false">IF(G890&gt;0,IF(INDEX(CONFIRM!$G$5:$G$53,G890)&lt;&gt;"",INDEX(CONFIRM!$G$5:$G$53,G890),IF(ISNUMBER(L890),L890,IFERROR(DATEVALUE(L890),""))),IF(ISNUMBER(L890),L890,IFERROR(DATEVALUE(L890),"")))</f>
        <v>45930</v>
      </c>
      <c r="N890" s="1" t="str">
        <f aca="false">IF(M890="","Check",IF(AND(M890&gt;=INPUTS!$C$6,M890&lt;=INPUTS!$C$7),"Yes","No"))</f>
        <v>Yes</v>
      </c>
      <c r="O890" s="48" t="str">
        <f aca="false">STACK!H890</f>
        <v>Family NP</v>
      </c>
      <c r="P890" s="1" t="str">
        <f aca="false">IF(G890&gt;0,IF(INDEX(CONFIRM!$H$5:$H$53,G890)&lt;&gt;"",INDEX(CONFIRM!$H$5:$H$53,G890),IFERROR(INDEX(MAP!$B$7:$B$156,MATCH(TRIM(O890),MAP!$A$7:$A$156,0)),"UNMAPPED")),IFERROR(INDEX(MAP!$B$7:$B$156,MATCH(TRIM(O890),MAP!$A$7:$A$156,0)),"UNMAPPED"))</f>
        <v>Nurse Practitioner</v>
      </c>
      <c r="Q890" s="48" t="n">
        <f aca="false">STACK!I890</f>
        <v>43.25</v>
      </c>
      <c r="R890" s="60" t="n">
        <f aca="false">IF(G890&gt;0,IF(INDEX(CONFIRM!$F$5:$F$53,G890)&lt;&gt;"",INDEX(CONFIRM!$F$5:$F$53,G890),IF(ISNUMBER(Q890),Q890,IF(Q890="","",IFERROR(VALUE(TRIM(SUBSTITUTE(SUBSTITUTE(LOWER(Q890),"hrs",""),"hr",""))),"")))),IF(ISNUMBER(Q890),Q890,IF(Q890="","",IFERROR(VALUE(TRIM(SUBSTITUTE(SUBSTITUTE(LOWER(Q890),"hrs",""),"hr",""))),""))))</f>
        <v>43.25</v>
      </c>
      <c r="S890" s="57" t="n">
        <f aca="false">IFERROR(INDEX(RATES!$E$6:$E$28,MATCH(P890,RATES!$A$6:$A$28,0)),0)</f>
        <v>79.67</v>
      </c>
      <c r="T890" s="61" t="n">
        <f aca="false">IF(ISNUMBER(R890),R890,0)*S890</f>
        <v>3445.7275</v>
      </c>
      <c r="U890" s="61" t="n">
        <f aca="false">T890*INDEX(INPUTS!$H$10:$H$14,MATCH(B890,INPUTS!$A$10:$A$14,0))</f>
        <v>544.424945</v>
      </c>
      <c r="V890" s="61" t="n">
        <f aca="false">N(STACK!K890)</f>
        <v>3790</v>
      </c>
      <c r="W890" s="61" t="n">
        <f aca="false">T890+U890+V890</f>
        <v>7780.152445</v>
      </c>
      <c r="X890" s="61" t="n">
        <f aca="false">N(STACK!L890)</f>
        <v>0</v>
      </c>
      <c r="Y890" s="61" t="n">
        <f aca="false">W890-X890</f>
        <v>7780.152445</v>
      </c>
      <c r="Z890" s="1" t="n">
        <f aca="false">N(STACK!J890)</f>
        <v>224</v>
      </c>
      <c r="AA890" s="1" t="str">
        <f aca="false">TRIM(IF(D890="UNMAPPED","Program not mapped. ","")&amp;IF(OR(K890="UNMAPPED",K890="UNASSIGNED"),"Category needs review. ","")&amp;IF(P890="UNMAPPED","Title not mapped. ","")&amp;IF(AND(P890&lt;&gt;"No staff time",R890=""),"Missing hours. ","")&amp;IF(M890="","Date not readable. ","")&amp;IF(N890="No","Outside fiscal year. ","")&amp;IF(AND(F890="Event",ISNUMBER(R890)),IF(R890&gt;12,"Event hours look high. ",""),"")&amp;IF(G890&gt;0,"See CONFIRM sheet.",""))</f>
        <v/>
      </c>
      <c r="AB890" s="1" t="n">
        <f aca="false">IF(N890="No",0,IF(REVIEW!O890=0,0,IF(G890&gt;0,IF(INDEX(CONFIRM!$J$5:$J$53,G890)&lt;&gt;"",INDEX(CONFIRM!$J$5:$J$53,G890),1),1)))</f>
        <v>1</v>
      </c>
      <c r="AC890" s="1" t="n">
        <f aca="false">IF(AB890=1,IF(COUNTIFS($B$5:B890,B890,$D$5:D890,D890,$AB$5:AB890,1)=1,1,0),0)</f>
        <v>0</v>
      </c>
    </row>
    <row r="891" customFormat="false" ht="15" hidden="false" customHeight="false" outlineLevel="0" collapsed="false">
      <c r="A891" s="48" t="str">
        <f aca="false">STACK!A891</f>
        <v>CBH-0063</v>
      </c>
      <c r="B891" s="48" t="str">
        <f aca="false">STACK!B891</f>
        <v>CBH</v>
      </c>
      <c r="C891" s="48" t="str">
        <f aca="false">STACK!E891</f>
        <v>Free Clinic Staffing</v>
      </c>
      <c r="D891" s="1" t="str">
        <f aca="false">IFERROR(INDEX(MAP!$J$7:$J$101,MATCH(TRIM(C891),MAP!$I$7:$I$101,0)),"UNMAPPED")</f>
        <v>Free Clinic Provider Staffing</v>
      </c>
      <c r="E891" s="1" t="str">
        <f aca="false">IFERROR(INDEX(MAP!$K$7:$K$101,MATCH(TRIM(C891),MAP!$I$7:$I$101,0)),"")</f>
        <v>Access to care</v>
      </c>
      <c r="F891" s="1" t="str">
        <f aca="false">IFERROR(INDEX(MAP!$L$7:$L$101,MATCH(TRIM(C891),MAP!$I$7:$I$101,0)),"")</f>
        <v>Monthly</v>
      </c>
      <c r="G891" s="1" t="n">
        <f aca="false">IFERROR(MATCH(A891,CONFIRM!$A$5:$A$53,0),0)</f>
        <v>0</v>
      </c>
      <c r="H891" s="48" t="str">
        <f aca="false">STACK!F891</f>
        <v>Screenings</v>
      </c>
      <c r="I891" s="1" t="str">
        <f aca="false">IF(G891&gt;0,IF(INDEX(CONFIRM!$I$5:$I$53,G891)&lt;&gt;"",INDEX(CONFIRM!$I$5:$I$53,G891),H891),H891)</f>
        <v>Screenings</v>
      </c>
      <c r="J891" s="1" t="str">
        <f aca="false">IFERROR(INDEX(MAP!$F$7:$F$74,MATCH(TRIM(I891),MAP!$E$7:$E$74,0)),"UNMAPPED")</f>
        <v>Community-based clinical services</v>
      </c>
      <c r="K891" s="1" t="str">
        <f aca="false">IFERROR(INDEX(MAP!$G$7:$G$74,MATCH(TRIM(I891),MAP!$E$7:$E$74,0)),"UNMAPPED")</f>
        <v>7e</v>
      </c>
      <c r="L891" s="49" t="str">
        <f aca="false">STACK!G891</f>
        <v>2025-09-30</v>
      </c>
      <c r="M891" s="59" t="n">
        <f aca="false">IF(G891&gt;0,IF(INDEX(CONFIRM!$G$5:$G$53,G891)&lt;&gt;"",INDEX(CONFIRM!$G$5:$G$53,G891),IF(ISNUMBER(L891),L891,IFERROR(DATEVALUE(L891),""))),IF(ISNUMBER(L891),L891,IFERROR(DATEVALUE(L891),"")))</f>
        <v>45930</v>
      </c>
      <c r="N891" s="1" t="str">
        <f aca="false">IF(M891="","Check",IF(AND(M891&gt;=INPUTS!$C$6,M891&lt;=INPUTS!$C$7),"Yes","No"))</f>
        <v>Yes</v>
      </c>
      <c r="O891" s="48" t="str">
        <f aca="false">STACK!H891</f>
        <v>RPh</v>
      </c>
      <c r="P891" s="1" t="str">
        <f aca="false">IF(G891&gt;0,IF(INDEX(CONFIRM!$H$5:$H$53,G891)&lt;&gt;"",INDEX(CONFIRM!$H$5:$H$53,G891),IFERROR(INDEX(MAP!$B$7:$B$156,MATCH(TRIM(O891),MAP!$A$7:$A$156,0)),"UNMAPPED")),IFERROR(INDEX(MAP!$B$7:$B$156,MATCH(TRIM(O891),MAP!$A$7:$A$156,0)),"UNMAPPED"))</f>
        <v>Pharmacist</v>
      </c>
      <c r="Q891" s="48" t="n">
        <f aca="false">STACK!I891</f>
        <v>11</v>
      </c>
      <c r="R891" s="60" t="n">
        <f aca="false">IF(G891&gt;0,IF(INDEX(CONFIRM!$F$5:$F$53,G891)&lt;&gt;"",INDEX(CONFIRM!$F$5:$F$53,G891),IF(ISNUMBER(Q891),Q891,IF(Q891="","",IFERROR(VALUE(TRIM(SUBSTITUTE(SUBSTITUTE(LOWER(Q891),"hrs",""),"hr",""))),"")))),IF(ISNUMBER(Q891),Q891,IF(Q891="","",IFERROR(VALUE(TRIM(SUBSTITUTE(SUBSTITUTE(LOWER(Q891),"hrs",""),"hr",""))),""))))</f>
        <v>11</v>
      </c>
      <c r="S891" s="57" t="n">
        <f aca="false">IFERROR(INDEX(RATES!$E$6:$E$28,MATCH(P891,RATES!$A$6:$A$28,0)),0)</f>
        <v>84.81</v>
      </c>
      <c r="T891" s="61" t="n">
        <f aca="false">IF(ISNUMBER(R891),R891,0)*S891</f>
        <v>932.91</v>
      </c>
      <c r="U891" s="61" t="n">
        <f aca="false">T891*INDEX(INPUTS!$H$10:$H$14,MATCH(B891,INPUTS!$A$10:$A$14,0))</f>
        <v>147.39978</v>
      </c>
      <c r="V891" s="61" t="n">
        <f aca="false">N(STACK!K891)</f>
        <v>0</v>
      </c>
      <c r="W891" s="61" t="n">
        <f aca="false">T891+U891+V891</f>
        <v>1080.30978</v>
      </c>
      <c r="X891" s="61" t="n">
        <f aca="false">N(STACK!L891)</f>
        <v>0</v>
      </c>
      <c r="Y891" s="61" t="n">
        <f aca="false">W891-X891</f>
        <v>1080.30978</v>
      </c>
      <c r="Z891" s="1" t="n">
        <f aca="false">N(STACK!J891)</f>
        <v>0</v>
      </c>
      <c r="AA891" s="1" t="str">
        <f aca="false">TRIM(IF(D891="UNMAPPED","Program not mapped. ","")&amp;IF(OR(K891="UNMAPPED",K891="UNASSIGNED"),"Category needs review. ","")&amp;IF(P891="UNMAPPED","Title not mapped. ","")&amp;IF(AND(P891&lt;&gt;"No staff time",R891=""),"Missing hours. ","")&amp;IF(M891="","Date not readable. ","")&amp;IF(N891="No","Outside fiscal year. ","")&amp;IF(AND(F891="Event",ISNUMBER(R891)),IF(R891&gt;12,"Event hours look high. ",""),"")&amp;IF(G891&gt;0,"See CONFIRM sheet.",""))</f>
        <v/>
      </c>
      <c r="AB891" s="1" t="n">
        <f aca="false">IF(N891="No",0,IF(REVIEW!O891=0,0,IF(G891&gt;0,IF(INDEX(CONFIRM!$J$5:$J$53,G891)&lt;&gt;"",INDEX(CONFIRM!$J$5:$J$53,G891),1),1)))</f>
        <v>1</v>
      </c>
      <c r="AC891" s="1" t="n">
        <f aca="false">IF(AB891=1,IF(COUNTIFS($B$5:B891,B891,$D$5:D891,D891,$AB$5:AB891,1)=1,1,0),0)</f>
        <v>0</v>
      </c>
    </row>
    <row r="892" customFormat="false" ht="15" hidden="false" customHeight="false" outlineLevel="0" collapsed="false">
      <c r="A892" s="48" t="str">
        <f aca="false">STACK!A892</f>
        <v>CBH-0064</v>
      </c>
      <c r="B892" s="48" t="str">
        <f aca="false">STACK!B892</f>
        <v>CBH</v>
      </c>
      <c r="C892" s="48" t="str">
        <f aca="false">STACK!E892</f>
        <v>Free Clinic Staffing</v>
      </c>
      <c r="D892" s="1" t="str">
        <f aca="false">IFERROR(INDEX(MAP!$J$7:$J$101,MATCH(TRIM(C892),MAP!$I$7:$I$101,0)),"UNMAPPED")</f>
        <v>Free Clinic Provider Staffing</v>
      </c>
      <c r="E892" s="1" t="str">
        <f aca="false">IFERROR(INDEX(MAP!$K$7:$K$101,MATCH(TRIM(C892),MAP!$I$7:$I$101,0)),"")</f>
        <v>Access to care</v>
      </c>
      <c r="F892" s="1" t="str">
        <f aca="false">IFERROR(INDEX(MAP!$L$7:$L$101,MATCH(TRIM(C892),MAP!$I$7:$I$101,0)),"")</f>
        <v>Monthly</v>
      </c>
      <c r="G892" s="1" t="n">
        <f aca="false">IFERROR(MATCH(A892,CONFIRM!$A$5:$A$53,0),0)</f>
        <v>0</v>
      </c>
      <c r="H892" s="48" t="str">
        <f aca="false">STACK!F892</f>
        <v>Screenings</v>
      </c>
      <c r="I892" s="1" t="str">
        <f aca="false">IF(G892&gt;0,IF(INDEX(CONFIRM!$I$5:$I$53,G892)&lt;&gt;"",INDEX(CONFIRM!$I$5:$I$53,G892),H892),H892)</f>
        <v>Screenings</v>
      </c>
      <c r="J892" s="1" t="str">
        <f aca="false">IFERROR(INDEX(MAP!$F$7:$F$74,MATCH(TRIM(I892),MAP!$E$7:$E$74,0)),"UNMAPPED")</f>
        <v>Community-based clinical services</v>
      </c>
      <c r="K892" s="1" t="str">
        <f aca="false">IFERROR(INDEX(MAP!$G$7:$G$74,MATCH(TRIM(I892),MAP!$E$7:$E$74,0)),"UNMAPPED")</f>
        <v>7e</v>
      </c>
      <c r="L892" s="49" t="str">
        <f aca="false">STACK!G892</f>
        <v>2025-09-30</v>
      </c>
      <c r="M892" s="59" t="n">
        <f aca="false">IF(G892&gt;0,IF(INDEX(CONFIRM!$G$5:$G$53,G892)&lt;&gt;"",INDEX(CONFIRM!$G$5:$G$53,G892),IF(ISNUMBER(L892),L892,IFERROR(DATEVALUE(L892),""))),IF(ISNUMBER(L892),L892,IFERROR(DATEVALUE(L892),"")))</f>
        <v>45930</v>
      </c>
      <c r="N892" s="1" t="str">
        <f aca="false">IF(M892="","Check",IF(AND(M892&gt;=INPUTS!$C$6,M892&lt;=INPUTS!$C$7),"Yes","No"))</f>
        <v>Yes</v>
      </c>
      <c r="O892" s="48" t="str">
        <f aca="false">STACK!H892</f>
        <v>RN - Outreach</v>
      </c>
      <c r="P892" s="1" t="str">
        <f aca="false">IF(G892&gt;0,IF(INDEX(CONFIRM!$H$5:$H$53,G892)&lt;&gt;"",INDEX(CONFIRM!$H$5:$H$53,G892),IFERROR(INDEX(MAP!$B$7:$B$156,MATCH(TRIM(O892),MAP!$A$7:$A$156,0)),"UNMAPPED")),IFERROR(INDEX(MAP!$B$7:$B$156,MATCH(TRIM(O892),MAP!$A$7:$A$156,0)),"UNMAPPED"))</f>
        <v>Registered Nurse</v>
      </c>
      <c r="Q892" s="48" t="n">
        <f aca="false">STACK!I892</f>
        <v>34.5</v>
      </c>
      <c r="R892" s="60" t="n">
        <f aca="false">IF(G892&gt;0,IF(INDEX(CONFIRM!$F$5:$F$53,G892)&lt;&gt;"",INDEX(CONFIRM!$F$5:$F$53,G892),IF(ISNUMBER(Q892),Q892,IF(Q892="","",IFERROR(VALUE(TRIM(SUBSTITUTE(SUBSTITUTE(LOWER(Q892),"hrs",""),"hr",""))),"")))),IF(ISNUMBER(Q892),Q892,IF(Q892="","",IFERROR(VALUE(TRIM(SUBSTITUTE(SUBSTITUTE(LOWER(Q892),"hrs",""),"hr",""))),""))))</f>
        <v>34.5</v>
      </c>
      <c r="S892" s="57" t="n">
        <f aca="false">IFERROR(INDEX(RATES!$E$6:$E$28,MATCH(P892,RATES!$A$6:$A$28,0)),0)</f>
        <v>55.8975</v>
      </c>
      <c r="T892" s="61" t="n">
        <f aca="false">IF(ISNUMBER(R892),R892,0)*S892</f>
        <v>1928.46375</v>
      </c>
      <c r="U892" s="61" t="n">
        <f aca="false">T892*INDEX(INPUTS!$H$10:$H$14,MATCH(B892,INPUTS!$A$10:$A$14,0))</f>
        <v>304.6972725</v>
      </c>
      <c r="V892" s="61" t="n">
        <f aca="false">N(STACK!K892)</f>
        <v>0</v>
      </c>
      <c r="W892" s="61" t="n">
        <f aca="false">T892+U892+V892</f>
        <v>2233.1610225</v>
      </c>
      <c r="X892" s="61" t="n">
        <f aca="false">N(STACK!L892)</f>
        <v>0</v>
      </c>
      <c r="Y892" s="61" t="n">
        <f aca="false">W892-X892</f>
        <v>2233.1610225</v>
      </c>
      <c r="Z892" s="1" t="n">
        <f aca="false">N(STACK!J892)</f>
        <v>0</v>
      </c>
      <c r="AA892" s="1" t="str">
        <f aca="false">TRIM(IF(D892="UNMAPPED","Program not mapped. ","")&amp;IF(OR(K892="UNMAPPED",K892="UNASSIGNED"),"Category needs review. ","")&amp;IF(P892="UNMAPPED","Title not mapped. ","")&amp;IF(AND(P892&lt;&gt;"No staff time",R892=""),"Missing hours. ","")&amp;IF(M892="","Date not readable. ","")&amp;IF(N892="No","Outside fiscal year. ","")&amp;IF(AND(F892="Event",ISNUMBER(R892)),IF(R892&gt;12,"Event hours look high. ",""),"")&amp;IF(G892&gt;0,"See CONFIRM sheet.",""))</f>
        <v/>
      </c>
      <c r="AB892" s="1" t="n">
        <f aca="false">IF(N892="No",0,IF(REVIEW!O892=0,0,IF(G892&gt;0,IF(INDEX(CONFIRM!$J$5:$J$53,G892)&lt;&gt;"",INDEX(CONFIRM!$J$5:$J$53,G892),1),1)))</f>
        <v>1</v>
      </c>
      <c r="AC892" s="1" t="n">
        <f aca="false">IF(AB892=1,IF(COUNTIFS($B$5:B892,B892,$D$5:D892,D892,$AB$5:AB892,1)=1,1,0),0)</f>
        <v>0</v>
      </c>
    </row>
    <row r="893" customFormat="false" ht="15" hidden="false" customHeight="false" outlineLevel="0" collapsed="false">
      <c r="A893" s="48" t="str">
        <f aca="false">STACK!A893</f>
        <v>CBH-0065</v>
      </c>
      <c r="B893" s="48" t="str">
        <f aca="false">STACK!B893</f>
        <v>CBH</v>
      </c>
      <c r="C893" s="48" t="str">
        <f aca="false">STACK!E893</f>
        <v>Med Assistance</v>
      </c>
      <c r="D893" s="1" t="str">
        <f aca="false">IFERROR(INDEX(MAP!$J$7:$J$101,MATCH(TRIM(C893),MAP!$I$7:$I$101,0)),"UNMAPPED")</f>
        <v>Medication Assistance Program</v>
      </c>
      <c r="E893" s="1" t="str">
        <f aca="false">IFERROR(INDEX(MAP!$K$7:$K$101,MATCH(TRIM(C893),MAP!$I$7:$I$101,0)),"")</f>
        <v>Access to care</v>
      </c>
      <c r="F893" s="1" t="str">
        <f aca="false">IFERROR(INDEX(MAP!$L$7:$L$101,MATCH(TRIM(C893),MAP!$I$7:$I$101,0)),"")</f>
        <v>Monthly</v>
      </c>
      <c r="G893" s="1" t="n">
        <f aca="false">IFERROR(MATCH(A893,CONFIRM!$A$5:$A$53,0),0)</f>
        <v>0</v>
      </c>
      <c r="H893" s="48" t="str">
        <f aca="false">STACK!F893</f>
        <v>Patient Support</v>
      </c>
      <c r="I893" s="1" t="str">
        <f aca="false">IF(G893&gt;0,IF(INDEX(CONFIRM!$I$5:$I$53,G893)&lt;&gt;"",INDEX(CONFIRM!$I$5:$I$53,G893),H893),H893)</f>
        <v>Patient Support</v>
      </c>
      <c r="J893" s="1" t="str">
        <f aca="false">IFERROR(INDEX(MAP!$F$7:$F$74,MATCH(TRIM(I893),MAP!$E$7:$E$74,0)),"UNMAPPED")</f>
        <v>Health care support services</v>
      </c>
      <c r="K893" s="1" t="str">
        <f aca="false">IFERROR(INDEX(MAP!$G$7:$G$74,MATCH(TRIM(I893),MAP!$E$7:$E$74,0)),"UNMAPPED")</f>
        <v>7e</v>
      </c>
      <c r="L893" s="49" t="str">
        <f aca="false">STACK!G893</f>
        <v>2025-09-30</v>
      </c>
      <c r="M893" s="59" t="n">
        <f aca="false">IF(G893&gt;0,IF(INDEX(CONFIRM!$G$5:$G$53,G893)&lt;&gt;"",INDEX(CONFIRM!$G$5:$G$53,G893),IF(ISNUMBER(L893),L893,IFERROR(DATEVALUE(L893),""))),IF(ISNUMBER(L893),L893,IFERROR(DATEVALUE(L893),"")))</f>
        <v>45930</v>
      </c>
      <c r="N893" s="1" t="str">
        <f aca="false">IF(M893="","Check",IF(AND(M893&gt;=INPUTS!$C$6,M893&lt;=INPUTS!$C$7),"Yes","No"))</f>
        <v>Yes</v>
      </c>
      <c r="O893" s="48" t="str">
        <f aca="false">STACK!H893</f>
        <v>Nurse Navigator</v>
      </c>
      <c r="P893" s="1" t="str">
        <f aca="false">IF(G893&gt;0,IF(INDEX(CONFIRM!$H$5:$H$53,G893)&lt;&gt;"",INDEX(CONFIRM!$H$5:$H$53,G893),IFERROR(INDEX(MAP!$B$7:$B$156,MATCH(TRIM(O893),MAP!$A$7:$A$156,0)),"UNMAPPED")),IFERROR(INDEX(MAP!$B$7:$B$156,MATCH(TRIM(O893),MAP!$A$7:$A$156,0)),"UNMAPPED"))</f>
        <v>Patient Navigator</v>
      </c>
      <c r="Q893" s="48" t="n">
        <f aca="false">STACK!I893</f>
        <v>61</v>
      </c>
      <c r="R893" s="60" t="n">
        <f aca="false">IF(G893&gt;0,IF(INDEX(CONFIRM!$F$5:$F$53,G893)&lt;&gt;"",INDEX(CONFIRM!$F$5:$F$53,G893),IF(ISNUMBER(Q893),Q893,IF(Q893="","",IFERROR(VALUE(TRIM(SUBSTITUTE(SUBSTITUTE(LOWER(Q893),"hrs",""),"hr",""))),"")))),IF(ISNUMBER(Q893),Q893,IF(Q893="","",IFERROR(VALUE(TRIM(SUBSTITUTE(SUBSTITUTE(LOWER(Q893),"hrs",""),"hr",""))),""))))</f>
        <v>61</v>
      </c>
      <c r="S893" s="57" t="n">
        <f aca="false">IFERROR(INDEX(RATES!$E$6:$E$28,MATCH(P893,RATES!$A$6:$A$28,0)),0)</f>
        <v>30.84</v>
      </c>
      <c r="T893" s="61" t="n">
        <f aca="false">IF(ISNUMBER(R893),R893,0)*S893</f>
        <v>1881.24</v>
      </c>
      <c r="U893" s="61" t="n">
        <f aca="false">T893*INDEX(INPUTS!$H$10:$H$14,MATCH(B893,INPUTS!$A$10:$A$14,0))</f>
        <v>297.23592</v>
      </c>
      <c r="V893" s="61" t="n">
        <f aca="false">N(STACK!K893)</f>
        <v>0</v>
      </c>
      <c r="W893" s="61" t="n">
        <f aca="false">T893+U893+V893</f>
        <v>2178.47592</v>
      </c>
      <c r="X893" s="61" t="n">
        <f aca="false">N(STACK!L893)</f>
        <v>0</v>
      </c>
      <c r="Y893" s="61" t="n">
        <f aca="false">W893-X893</f>
        <v>2178.47592</v>
      </c>
      <c r="Z893" s="1" t="n">
        <f aca="false">N(STACK!J893)</f>
        <v>0</v>
      </c>
      <c r="AA893" s="1" t="str">
        <f aca="false">TRIM(IF(D893="UNMAPPED","Program not mapped. ","")&amp;IF(OR(K893="UNMAPPED",K893="UNASSIGNED"),"Category needs review. ","")&amp;IF(P893="UNMAPPED","Title not mapped. ","")&amp;IF(AND(P893&lt;&gt;"No staff time",R893=""),"Missing hours. ","")&amp;IF(M893="","Date not readable. ","")&amp;IF(N893="No","Outside fiscal year. ","")&amp;IF(AND(F893="Event",ISNUMBER(R893)),IF(R893&gt;12,"Event hours look high. ",""),"")&amp;IF(G893&gt;0,"See CONFIRM sheet.",""))</f>
        <v/>
      </c>
      <c r="AB893" s="1" t="n">
        <f aca="false">IF(N893="No",0,IF(REVIEW!O893=0,0,IF(G893&gt;0,IF(INDEX(CONFIRM!$J$5:$J$53,G893)&lt;&gt;"",INDEX(CONFIRM!$J$5:$J$53,G893),1),1)))</f>
        <v>1</v>
      </c>
      <c r="AC893" s="1" t="n">
        <f aca="false">IF(AB893=1,IF(COUNTIFS($B$5:B893,B893,$D$5:D893,D893,$AB$5:AB893,1)=1,1,0),0)</f>
        <v>0</v>
      </c>
    </row>
    <row r="894" customFormat="false" ht="15" hidden="false" customHeight="false" outlineLevel="0" collapsed="false">
      <c r="A894" s="48" t="str">
        <f aca="false">STACK!A894</f>
        <v>CBH-0066</v>
      </c>
      <c r="B894" s="48" t="str">
        <f aca="false">STACK!B894</f>
        <v>CBH</v>
      </c>
      <c r="C894" s="48" t="str">
        <f aca="false">STACK!E894</f>
        <v>Med Assistance</v>
      </c>
      <c r="D894" s="1" t="str">
        <f aca="false">IFERROR(INDEX(MAP!$J$7:$J$101,MATCH(TRIM(C894),MAP!$I$7:$I$101,0)),"UNMAPPED")</f>
        <v>Medication Assistance Program</v>
      </c>
      <c r="E894" s="1" t="str">
        <f aca="false">IFERROR(INDEX(MAP!$K$7:$K$101,MATCH(TRIM(C894),MAP!$I$7:$I$101,0)),"")</f>
        <v>Access to care</v>
      </c>
      <c r="F894" s="1" t="str">
        <f aca="false">IFERROR(INDEX(MAP!$L$7:$L$101,MATCH(TRIM(C894),MAP!$I$7:$I$101,0)),"")</f>
        <v>Monthly</v>
      </c>
      <c r="G894" s="1" t="n">
        <f aca="false">IFERROR(MATCH(A894,CONFIRM!$A$5:$A$53,0),0)</f>
        <v>0</v>
      </c>
      <c r="H894" s="48" t="str">
        <f aca="false">STACK!F894</f>
        <v>Patient Support</v>
      </c>
      <c r="I894" s="1" t="str">
        <f aca="false">IF(G894&gt;0,IF(INDEX(CONFIRM!$I$5:$I$53,G894)&lt;&gt;"",INDEX(CONFIRM!$I$5:$I$53,G894),H894),H894)</f>
        <v>Patient Support</v>
      </c>
      <c r="J894" s="1" t="str">
        <f aca="false">IFERROR(INDEX(MAP!$F$7:$F$74,MATCH(TRIM(I894),MAP!$E$7:$E$74,0)),"UNMAPPED")</f>
        <v>Health care support services</v>
      </c>
      <c r="K894" s="1" t="str">
        <f aca="false">IFERROR(INDEX(MAP!$G$7:$G$74,MATCH(TRIM(I894),MAP!$E$7:$E$74,0)),"UNMAPPED")</f>
        <v>7e</v>
      </c>
      <c r="L894" s="49" t="str">
        <f aca="false">STACK!G894</f>
        <v>2025-09-30</v>
      </c>
      <c r="M894" s="59" t="n">
        <f aca="false">IF(G894&gt;0,IF(INDEX(CONFIRM!$G$5:$G$53,G894)&lt;&gt;"",INDEX(CONFIRM!$G$5:$G$53,G894),IF(ISNUMBER(L894),L894,IFERROR(DATEVALUE(L894),""))),IF(ISNUMBER(L894),L894,IFERROR(DATEVALUE(L894),"")))</f>
        <v>45930</v>
      </c>
      <c r="N894" s="1" t="str">
        <f aca="false">IF(M894="","Check",IF(AND(M894&gt;=INPUTS!$C$6,M894&lt;=INPUTS!$C$7),"Yes","No"))</f>
        <v>Yes</v>
      </c>
      <c r="O894" s="48" t="str">
        <f aca="false">STACK!H894</f>
        <v>Pharmacist</v>
      </c>
      <c r="P894" s="1" t="str">
        <f aca="false">IF(G894&gt;0,IF(INDEX(CONFIRM!$H$5:$H$53,G894)&lt;&gt;"",INDEX(CONFIRM!$H$5:$H$53,G894),IFERROR(INDEX(MAP!$B$7:$B$156,MATCH(TRIM(O894),MAP!$A$7:$A$156,0)),"UNMAPPED")),IFERROR(INDEX(MAP!$B$7:$B$156,MATCH(TRIM(O894),MAP!$A$7:$A$156,0)),"UNMAPPED"))</f>
        <v>Pharmacist</v>
      </c>
      <c r="Q894" s="48" t="n">
        <f aca="false">STACK!I894</f>
        <v>18.5</v>
      </c>
      <c r="R894" s="60" t="n">
        <f aca="false">IF(G894&gt;0,IF(INDEX(CONFIRM!$F$5:$F$53,G894)&lt;&gt;"",INDEX(CONFIRM!$F$5:$F$53,G894),IF(ISNUMBER(Q894),Q894,IF(Q894="","",IFERROR(VALUE(TRIM(SUBSTITUTE(SUBSTITUTE(LOWER(Q894),"hrs",""),"hr",""))),"")))),IF(ISNUMBER(Q894),Q894,IF(Q894="","",IFERROR(VALUE(TRIM(SUBSTITUTE(SUBSTITUTE(LOWER(Q894),"hrs",""),"hr",""))),""))))</f>
        <v>18.5</v>
      </c>
      <c r="S894" s="57" t="n">
        <f aca="false">IFERROR(INDEX(RATES!$E$6:$E$28,MATCH(P894,RATES!$A$6:$A$28,0)),0)</f>
        <v>84.81</v>
      </c>
      <c r="T894" s="61" t="n">
        <f aca="false">IF(ISNUMBER(R894),R894,0)*S894</f>
        <v>1568.985</v>
      </c>
      <c r="U894" s="61" t="n">
        <f aca="false">T894*INDEX(INPUTS!$H$10:$H$14,MATCH(B894,INPUTS!$A$10:$A$14,0))</f>
        <v>247.89963</v>
      </c>
      <c r="V894" s="61" t="n">
        <f aca="false">N(STACK!K894)</f>
        <v>19380</v>
      </c>
      <c r="W894" s="61" t="n">
        <f aca="false">T894+U894+V894</f>
        <v>21196.88463</v>
      </c>
      <c r="X894" s="61" t="n">
        <f aca="false">N(STACK!L894)</f>
        <v>0</v>
      </c>
      <c r="Y894" s="61" t="n">
        <f aca="false">W894-X894</f>
        <v>21196.88463</v>
      </c>
      <c r="Z894" s="1" t="n">
        <f aca="false">N(STACK!J894)</f>
        <v>109</v>
      </c>
      <c r="AA894" s="1" t="str">
        <f aca="false">TRIM(IF(D894="UNMAPPED","Program not mapped. ","")&amp;IF(OR(K894="UNMAPPED",K894="UNASSIGNED"),"Category needs review. ","")&amp;IF(P894="UNMAPPED","Title not mapped. ","")&amp;IF(AND(P894&lt;&gt;"No staff time",R894=""),"Missing hours. ","")&amp;IF(M894="","Date not readable. ","")&amp;IF(N894="No","Outside fiscal year. ","")&amp;IF(AND(F894="Event",ISNUMBER(R894)),IF(R894&gt;12,"Event hours look high. ",""),"")&amp;IF(G894&gt;0,"See CONFIRM sheet.",""))</f>
        <v/>
      </c>
      <c r="AB894" s="1" t="n">
        <f aca="false">IF(N894="No",0,IF(REVIEW!O894=0,0,IF(G894&gt;0,IF(INDEX(CONFIRM!$J$5:$J$53,G894)&lt;&gt;"",INDEX(CONFIRM!$J$5:$J$53,G894),1),1)))</f>
        <v>1</v>
      </c>
      <c r="AC894" s="1" t="n">
        <f aca="false">IF(AB894=1,IF(COUNTIFS($B$5:B894,B894,$D$5:D894,D894,$AB$5:AB894,1)=1,1,0),0)</f>
        <v>0</v>
      </c>
    </row>
    <row r="895" customFormat="false" ht="15" hidden="false" customHeight="false" outlineLevel="0" collapsed="false">
      <c r="A895" s="48" t="str">
        <f aca="false">STACK!A895</f>
        <v>CBH-0067</v>
      </c>
      <c r="B895" s="48" t="str">
        <f aca="false">STACK!B895</f>
        <v>CBH</v>
      </c>
      <c r="C895" s="48" t="str">
        <f aca="false">STACK!E895</f>
        <v>Community Benefit Admin</v>
      </c>
      <c r="D895" s="1" t="str">
        <f aca="false">IFERROR(INDEX(MAP!$J$7:$J$101,MATCH(TRIM(C895),MAP!$I$7:$I$101,0)),"UNMAPPED")</f>
        <v>Community Benefit Program Administration</v>
      </c>
      <c r="E895" s="1" t="str">
        <f aca="false">IFERROR(INDEX(MAP!$K$7:$K$101,MATCH(TRIM(C895),MAP!$I$7:$I$101,0)),"")</f>
        <v>Community benefit infrastructure</v>
      </c>
      <c r="F895" s="1" t="str">
        <f aca="false">IFERROR(INDEX(MAP!$L$7:$L$101,MATCH(TRIM(C895),MAP!$I$7:$I$101,0)),"")</f>
        <v>Monthly</v>
      </c>
      <c r="G895" s="1" t="n">
        <f aca="false">IFERROR(MATCH(A895,CONFIRM!$A$5:$A$53,0),0)</f>
        <v>0</v>
      </c>
      <c r="H895" s="48" t="str">
        <f aca="false">STACK!F895</f>
        <v>Ops</v>
      </c>
      <c r="I895" s="1" t="str">
        <f aca="false">IF(G895&gt;0,IF(INDEX(CONFIRM!$I$5:$I$53,G895)&lt;&gt;"",INDEX(CONFIRM!$I$5:$I$53,G895),H895),H895)</f>
        <v>Ops</v>
      </c>
      <c r="J895" s="1" t="str">
        <f aca="false">IFERROR(INDEX(MAP!$F$7:$F$74,MATCH(TRIM(I895),MAP!$E$7:$E$74,0)),"UNMAPPED")</f>
        <v>Community benefit operations</v>
      </c>
      <c r="K895" s="1" t="str">
        <f aca="false">IFERROR(INDEX(MAP!$G$7:$G$74,MATCH(TRIM(I895),MAP!$E$7:$E$74,0)),"UNMAPPED")</f>
        <v>7e</v>
      </c>
      <c r="L895" s="49" t="str">
        <f aca="false">STACK!G895</f>
        <v>2025-09-30</v>
      </c>
      <c r="M895" s="59" t="n">
        <f aca="false">IF(G895&gt;0,IF(INDEX(CONFIRM!$G$5:$G$53,G895)&lt;&gt;"",INDEX(CONFIRM!$G$5:$G$53,G895),IF(ISNUMBER(L895),L895,IFERROR(DATEVALUE(L895),""))),IF(ISNUMBER(L895),L895,IFERROR(DATEVALUE(L895),"")))</f>
        <v>45930</v>
      </c>
      <c r="N895" s="1" t="str">
        <f aca="false">IF(M895="","Check",IF(AND(M895&gt;=INPUTS!$C$6,M895&lt;=INPUTS!$C$7),"Yes","No"))</f>
        <v>Yes</v>
      </c>
      <c r="O895" s="48" t="str">
        <f aca="false">STACK!H895</f>
        <v>Admin Asst</v>
      </c>
      <c r="P895" s="1" t="str">
        <f aca="false">IF(G895&gt;0,IF(INDEX(CONFIRM!$H$5:$H$53,G895)&lt;&gt;"",INDEX(CONFIRM!$H$5:$H$53,G895),IFERROR(INDEX(MAP!$B$7:$B$156,MATCH(TRIM(O895),MAP!$A$7:$A$156,0)),"UNMAPPED")),IFERROR(INDEX(MAP!$B$7:$B$156,MATCH(TRIM(O895),MAP!$A$7:$A$156,0)),"UNMAPPED"))</f>
        <v>Administrative Assistant</v>
      </c>
      <c r="Q895" s="48" t="n">
        <f aca="false">STACK!I895</f>
        <v>50.5</v>
      </c>
      <c r="R895" s="60" t="n">
        <f aca="false">IF(G895&gt;0,IF(INDEX(CONFIRM!$F$5:$F$53,G895)&lt;&gt;"",INDEX(CONFIRM!$F$5:$F$53,G895),IF(ISNUMBER(Q895),Q895,IF(Q895="","",IFERROR(VALUE(TRIM(SUBSTITUTE(SUBSTITUTE(LOWER(Q895),"hrs",""),"hr",""))),"")))),IF(ISNUMBER(Q895),Q895,IF(Q895="","",IFERROR(VALUE(TRIM(SUBSTITUTE(SUBSTITUTE(LOWER(Q895),"hrs",""),"hr",""))),""))))</f>
        <v>50.5</v>
      </c>
      <c r="S895" s="57" t="n">
        <f aca="false">IFERROR(INDEX(RATES!$E$6:$E$28,MATCH(P895,RATES!$A$6:$A$28,0)),0)</f>
        <v>26.985</v>
      </c>
      <c r="T895" s="61" t="n">
        <f aca="false">IF(ISNUMBER(R895),R895,0)*S895</f>
        <v>1362.7425</v>
      </c>
      <c r="U895" s="61" t="n">
        <f aca="false">T895*INDEX(INPUTS!$H$10:$H$14,MATCH(B895,INPUTS!$A$10:$A$14,0))</f>
        <v>215.313315</v>
      </c>
      <c r="V895" s="61" t="n">
        <f aca="false">N(STACK!K895)</f>
        <v>0</v>
      </c>
      <c r="W895" s="61" t="n">
        <f aca="false">T895+U895+V895</f>
        <v>1578.055815</v>
      </c>
      <c r="X895" s="61" t="n">
        <f aca="false">N(STACK!L895)</f>
        <v>0</v>
      </c>
      <c r="Y895" s="61" t="n">
        <f aca="false">W895-X895</f>
        <v>1578.055815</v>
      </c>
      <c r="Z895" s="1" t="n">
        <f aca="false">N(STACK!J895)</f>
        <v>0</v>
      </c>
      <c r="AA895" s="1" t="str">
        <f aca="false">TRIM(IF(D895="UNMAPPED","Program not mapped. ","")&amp;IF(OR(K895="UNMAPPED",K895="UNASSIGNED"),"Category needs review. ","")&amp;IF(P895="UNMAPPED","Title not mapped. ","")&amp;IF(AND(P895&lt;&gt;"No staff time",R895=""),"Missing hours. ","")&amp;IF(M895="","Date not readable. ","")&amp;IF(N895="No","Outside fiscal year. ","")&amp;IF(AND(F895="Event",ISNUMBER(R895)),IF(R895&gt;12,"Event hours look high. ",""),"")&amp;IF(G895&gt;0,"See CONFIRM sheet.",""))</f>
        <v/>
      </c>
      <c r="AB895" s="1" t="n">
        <f aca="false">IF(N895="No",0,IF(REVIEW!O895=0,0,IF(G895&gt;0,IF(INDEX(CONFIRM!$J$5:$J$53,G895)&lt;&gt;"",INDEX(CONFIRM!$J$5:$J$53,G895),1),1)))</f>
        <v>1</v>
      </c>
      <c r="AC895" s="1" t="n">
        <f aca="false">IF(AB895=1,IF(COUNTIFS($B$5:B895,B895,$D$5:D895,D895,$AB$5:AB895,1)=1,1,0),0)</f>
        <v>0</v>
      </c>
    </row>
    <row r="896" customFormat="false" ht="15" hidden="false" customHeight="false" outlineLevel="0" collapsed="false">
      <c r="A896" s="48" t="str">
        <f aca="false">STACK!A896</f>
        <v>CBH-0068</v>
      </c>
      <c r="B896" s="48" t="str">
        <f aca="false">STACK!B896</f>
        <v>CBH</v>
      </c>
      <c r="C896" s="48" t="str">
        <f aca="false">STACK!E896</f>
        <v>Community Benefit Admin</v>
      </c>
      <c r="D896" s="1" t="str">
        <f aca="false">IFERROR(INDEX(MAP!$J$7:$J$101,MATCH(TRIM(C896),MAP!$I$7:$I$101,0)),"UNMAPPED")</f>
        <v>Community Benefit Program Administration</v>
      </c>
      <c r="E896" s="1" t="str">
        <f aca="false">IFERROR(INDEX(MAP!$K$7:$K$101,MATCH(TRIM(C896),MAP!$I$7:$I$101,0)),"")</f>
        <v>Community benefit infrastructure</v>
      </c>
      <c r="F896" s="1" t="str">
        <f aca="false">IFERROR(INDEX(MAP!$L$7:$L$101,MATCH(TRIM(C896),MAP!$I$7:$I$101,0)),"")</f>
        <v>Monthly</v>
      </c>
      <c r="G896" s="1" t="n">
        <f aca="false">IFERROR(MATCH(A896,CONFIRM!$A$5:$A$53,0),0)</f>
        <v>0</v>
      </c>
      <c r="H896" s="48" t="str">
        <f aca="false">STACK!F896</f>
        <v>Ops</v>
      </c>
      <c r="I896" s="1" t="str">
        <f aca="false">IF(G896&gt;0,IF(INDEX(CONFIRM!$I$5:$I$53,G896)&lt;&gt;"",INDEX(CONFIRM!$I$5:$I$53,G896),H896),H896)</f>
        <v>Ops</v>
      </c>
      <c r="J896" s="1" t="str">
        <f aca="false">IFERROR(INDEX(MAP!$F$7:$F$74,MATCH(TRIM(I896),MAP!$E$7:$E$74,0)),"UNMAPPED")</f>
        <v>Community benefit operations</v>
      </c>
      <c r="K896" s="1" t="str">
        <f aca="false">IFERROR(INDEX(MAP!$G$7:$G$74,MATCH(TRIM(I896),MAP!$E$7:$E$74,0)),"UNMAPPED")</f>
        <v>7e</v>
      </c>
      <c r="L896" s="49" t="str">
        <f aca="false">STACK!G896</f>
        <v>2025-09-30</v>
      </c>
      <c r="M896" s="59" t="n">
        <f aca="false">IF(G896&gt;0,IF(INDEX(CONFIRM!$G$5:$G$53,G896)&lt;&gt;"",INDEX(CONFIRM!$G$5:$G$53,G896),IF(ISNUMBER(L896),L896,IFERROR(DATEVALUE(L896),""))),IF(ISNUMBER(L896),L896,IFERROR(DATEVALUE(L896),"")))</f>
        <v>45930</v>
      </c>
      <c r="N896" s="1" t="str">
        <f aca="false">IF(M896="","Check",IF(AND(M896&gt;=INPUTS!$C$6,M896&lt;=INPUTS!$C$7),"Yes","No"))</f>
        <v>Yes</v>
      </c>
      <c r="O896" s="48" t="str">
        <f aca="false">STACK!H896</f>
        <v>Manager Community Benefit</v>
      </c>
      <c r="P896" s="1" t="str">
        <f aca="false">IF(G896&gt;0,IF(INDEX(CONFIRM!$H$5:$H$53,G896)&lt;&gt;"",INDEX(CONFIRM!$H$5:$H$53,G896),IFERROR(INDEX(MAP!$B$7:$B$156,MATCH(TRIM(O896),MAP!$A$7:$A$156,0)),"UNMAPPED")),IFERROR(INDEX(MAP!$B$7:$B$156,MATCH(TRIM(O896),MAP!$A$7:$A$156,0)),"UNMAPPED"))</f>
        <v>Community Benefit Manager</v>
      </c>
      <c r="Q896" s="48" t="n">
        <f aca="false">STACK!I896</f>
        <v>64.25</v>
      </c>
      <c r="R896" s="60" t="n">
        <f aca="false">IF(G896&gt;0,IF(INDEX(CONFIRM!$F$5:$F$53,G896)&lt;&gt;"",INDEX(CONFIRM!$F$5:$F$53,G896),IF(ISNUMBER(Q896),Q896,IF(Q896="","",IFERROR(VALUE(TRIM(SUBSTITUTE(SUBSTITUTE(LOWER(Q896),"hrs",""),"hr",""))),"")))),IF(ISNUMBER(Q896),Q896,IF(Q896="","",IFERROR(VALUE(TRIM(SUBSTITUTE(SUBSTITUTE(LOWER(Q896),"hrs",""),"hr",""))),""))))</f>
        <v>64.25</v>
      </c>
      <c r="S896" s="57" t="n">
        <f aca="false">IFERROR(INDEX(RATES!$E$6:$E$28,MATCH(P896,RATES!$A$6:$A$28,0)),0)</f>
        <v>59.11</v>
      </c>
      <c r="T896" s="61" t="n">
        <f aca="false">IF(ISNUMBER(R896),R896,0)*S896</f>
        <v>3797.8175</v>
      </c>
      <c r="U896" s="61" t="n">
        <f aca="false">T896*INDEX(INPUTS!$H$10:$H$14,MATCH(B896,INPUTS!$A$10:$A$14,0))</f>
        <v>600.055165</v>
      </c>
      <c r="V896" s="61" t="n">
        <f aca="false">N(STACK!K896)</f>
        <v>360</v>
      </c>
      <c r="W896" s="61" t="n">
        <f aca="false">T896+U896+V896</f>
        <v>4757.872665</v>
      </c>
      <c r="X896" s="61" t="n">
        <f aca="false">N(STACK!L896)</f>
        <v>0</v>
      </c>
      <c r="Y896" s="61" t="n">
        <f aca="false">W896-X896</f>
        <v>4757.872665</v>
      </c>
      <c r="Z896" s="1" t="n">
        <f aca="false">N(STACK!J896)</f>
        <v>0</v>
      </c>
      <c r="AA896" s="1" t="str">
        <f aca="false">TRIM(IF(D896="UNMAPPED","Program not mapped. ","")&amp;IF(OR(K896="UNMAPPED",K896="UNASSIGNED"),"Category needs review. ","")&amp;IF(P896="UNMAPPED","Title not mapped. ","")&amp;IF(AND(P896&lt;&gt;"No staff time",R896=""),"Missing hours. ","")&amp;IF(M896="","Date not readable. ","")&amp;IF(N896="No","Outside fiscal year. ","")&amp;IF(AND(F896="Event",ISNUMBER(R896)),IF(R896&gt;12,"Event hours look high. ",""),"")&amp;IF(G896&gt;0,"See CONFIRM sheet.",""))</f>
        <v/>
      </c>
      <c r="AB896" s="1" t="n">
        <f aca="false">IF(N896="No",0,IF(REVIEW!O896=0,0,IF(G896&gt;0,IF(INDEX(CONFIRM!$J$5:$J$53,G896)&lt;&gt;"",INDEX(CONFIRM!$J$5:$J$53,G896),1),1)))</f>
        <v>1</v>
      </c>
      <c r="AC896" s="1" t="n">
        <f aca="false">IF(AB896=1,IF(COUNTIFS($B$5:B896,B896,$D$5:D896,D896,$AB$5:AB896,1)=1,1,0),0)</f>
        <v>0</v>
      </c>
    </row>
    <row r="897" customFormat="false" ht="15" hidden="false" customHeight="false" outlineLevel="0" collapsed="false">
      <c r="A897" s="48" t="str">
        <f aca="false">STACK!A897</f>
        <v>CBH-0069</v>
      </c>
      <c r="B897" s="48" t="str">
        <f aca="false">STACK!B897</f>
        <v>CBH</v>
      </c>
      <c r="C897" s="48" t="str">
        <f aca="false">STACK!E897</f>
        <v>Interpreter Services</v>
      </c>
      <c r="D897" s="1" t="str">
        <f aca="false">IFERROR(INDEX(MAP!$J$7:$J$101,MATCH(TRIM(C897),MAP!$I$7:$I$101,0)),"UNMAPPED")</f>
        <v>Interpreter Services for Community Clinics</v>
      </c>
      <c r="E897" s="1" t="str">
        <f aca="false">IFERROR(INDEX(MAP!$K$7:$K$101,MATCH(TRIM(C897),MAP!$I$7:$I$101,0)),"")</f>
        <v>Access to care</v>
      </c>
      <c r="F897" s="1" t="str">
        <f aca="false">IFERROR(INDEX(MAP!$L$7:$L$101,MATCH(TRIM(C897),MAP!$I$7:$I$101,0)),"")</f>
        <v>Monthly</v>
      </c>
      <c r="G897" s="1" t="n">
        <f aca="false">IFERROR(MATCH(A897,CONFIRM!$A$5:$A$53,0),0)</f>
        <v>0</v>
      </c>
      <c r="H897" s="48" t="str">
        <f aca="false">STACK!F897</f>
        <v>Patient Support</v>
      </c>
      <c r="I897" s="1" t="str">
        <f aca="false">IF(G897&gt;0,IF(INDEX(CONFIRM!$I$5:$I$53,G897)&lt;&gt;"",INDEX(CONFIRM!$I$5:$I$53,G897),H897),H897)</f>
        <v>Patient Support</v>
      </c>
      <c r="J897" s="1" t="str">
        <f aca="false">IFERROR(INDEX(MAP!$F$7:$F$74,MATCH(TRIM(I897),MAP!$E$7:$E$74,0)),"UNMAPPED")</f>
        <v>Health care support services</v>
      </c>
      <c r="K897" s="1" t="str">
        <f aca="false">IFERROR(INDEX(MAP!$G$7:$G$74,MATCH(TRIM(I897),MAP!$E$7:$E$74,0)),"UNMAPPED")</f>
        <v>7e</v>
      </c>
      <c r="L897" s="49" t="str">
        <f aca="false">STACK!G897</f>
        <v>2025-09-30</v>
      </c>
      <c r="M897" s="59" t="n">
        <f aca="false">IF(G897&gt;0,IF(INDEX(CONFIRM!$G$5:$G$53,G897)&lt;&gt;"",INDEX(CONFIRM!$G$5:$G$53,G897),IF(ISNUMBER(L897),L897,IFERROR(DATEVALUE(L897),""))),IF(ISNUMBER(L897),L897,IFERROR(DATEVALUE(L897),"")))</f>
        <v>45930</v>
      </c>
      <c r="N897" s="1" t="str">
        <f aca="false">IF(M897="","Check",IF(AND(M897&gt;=INPUTS!$C$6,M897&lt;=INPUTS!$C$7),"Yes","No"))</f>
        <v>Yes</v>
      </c>
      <c r="O897" s="48" t="str">
        <f aca="false">STACK!H897</f>
        <v>Interp.</v>
      </c>
      <c r="P897" s="1" t="str">
        <f aca="false">IF(G897&gt;0,IF(INDEX(CONFIRM!$H$5:$H$53,G897)&lt;&gt;"",INDEX(CONFIRM!$H$5:$H$53,G897),IFERROR(INDEX(MAP!$B$7:$B$156,MATCH(TRIM(O897),MAP!$A$7:$A$156,0)),"UNMAPPED")),IFERROR(INDEX(MAP!$B$7:$B$156,MATCH(TRIM(O897),MAP!$A$7:$A$156,0)),"UNMAPPED"))</f>
        <v>Interpreter</v>
      </c>
      <c r="Q897" s="48" t="n">
        <f aca="false">STACK!I897</f>
        <v>40</v>
      </c>
      <c r="R897" s="60" t="n">
        <f aca="false">IF(G897&gt;0,IF(INDEX(CONFIRM!$F$5:$F$53,G897)&lt;&gt;"",INDEX(CONFIRM!$F$5:$F$53,G897),IF(ISNUMBER(Q897),Q897,IF(Q897="","",IFERROR(VALUE(TRIM(SUBSTITUTE(SUBSTITUTE(LOWER(Q897),"hrs",""),"hr",""))),"")))),IF(ISNUMBER(Q897),Q897,IF(Q897="","",IFERROR(VALUE(TRIM(SUBSTITUTE(SUBSTITUTE(LOWER(Q897),"hrs",""),"hr",""))),""))))</f>
        <v>40</v>
      </c>
      <c r="S897" s="57" t="n">
        <f aca="false">IFERROR(INDEX(RATES!$E$6:$E$28,MATCH(P897,RATES!$A$6:$A$28,0)),0)</f>
        <v>32.7675</v>
      </c>
      <c r="T897" s="61" t="n">
        <f aca="false">IF(ISNUMBER(R897),R897,0)*S897</f>
        <v>1310.7</v>
      </c>
      <c r="U897" s="61" t="n">
        <f aca="false">T897*INDEX(INPUTS!$H$10:$H$14,MATCH(B897,INPUTS!$A$10:$A$14,0))</f>
        <v>207.0906</v>
      </c>
      <c r="V897" s="61" t="n">
        <f aca="false">N(STACK!K897)</f>
        <v>0</v>
      </c>
      <c r="W897" s="61" t="n">
        <f aca="false">T897+U897+V897</f>
        <v>1517.7906</v>
      </c>
      <c r="X897" s="61" t="n">
        <f aca="false">N(STACK!L897)</f>
        <v>0</v>
      </c>
      <c r="Y897" s="61" t="n">
        <f aca="false">W897-X897</f>
        <v>1517.7906</v>
      </c>
      <c r="Z897" s="1" t="n">
        <f aca="false">N(STACK!J897)</f>
        <v>139</v>
      </c>
      <c r="AA897" s="1" t="str">
        <f aca="false">TRIM(IF(D897="UNMAPPED","Program not mapped. ","")&amp;IF(OR(K897="UNMAPPED",K897="UNASSIGNED"),"Category needs review. ","")&amp;IF(P897="UNMAPPED","Title not mapped. ","")&amp;IF(AND(P897&lt;&gt;"No staff time",R897=""),"Missing hours. ","")&amp;IF(M897="","Date not readable. ","")&amp;IF(N897="No","Outside fiscal year. ","")&amp;IF(AND(F897="Event",ISNUMBER(R897)),IF(R897&gt;12,"Event hours look high. ",""),"")&amp;IF(G897&gt;0,"See CONFIRM sheet.",""))</f>
        <v/>
      </c>
      <c r="AB897" s="1" t="n">
        <f aca="false">IF(N897="No",0,IF(REVIEW!O897=0,0,IF(G897&gt;0,IF(INDEX(CONFIRM!$J$5:$J$53,G897)&lt;&gt;"",INDEX(CONFIRM!$J$5:$J$53,G897),1),1)))</f>
        <v>1</v>
      </c>
      <c r="AC897" s="1" t="n">
        <f aca="false">IF(AB897=1,IF(COUNTIFS($B$5:B897,B897,$D$5:D897,D897,$AB$5:AB897,1)=1,1,0),0)</f>
        <v>0</v>
      </c>
    </row>
    <row r="898" customFormat="false" ht="15" hidden="false" customHeight="false" outlineLevel="0" collapsed="false">
      <c r="A898" s="48" t="str">
        <f aca="false">STACK!A898</f>
        <v>CBH-0070</v>
      </c>
      <c r="B898" s="48" t="str">
        <f aca="false">STACK!B898</f>
        <v>CBH</v>
      </c>
      <c r="C898" s="48" t="str">
        <f aca="false">STACK!E898</f>
        <v>Nursing Student Rotations</v>
      </c>
      <c r="D898" s="1" t="str">
        <f aca="false">IFERROR(INDEX(MAP!$J$7:$J$101,MATCH(TRIM(C898),MAP!$I$7:$I$101,0)),"UNMAPPED")</f>
        <v>Nursing Student Clinical Rotations</v>
      </c>
      <c r="E898" s="1" t="str">
        <f aca="false">IFERROR(INDEX(MAP!$K$7:$K$101,MATCH(TRIM(C898),MAP!$I$7:$I$101,0)),"")</f>
        <v>Health workforce</v>
      </c>
      <c r="F898" s="1" t="str">
        <f aca="false">IFERROR(INDEX(MAP!$L$7:$L$101,MATCH(TRIM(C898),MAP!$I$7:$I$101,0)),"")</f>
        <v>Monthly</v>
      </c>
      <c r="G898" s="1" t="n">
        <f aca="false">IFERROR(MATCH(A898,CONFIRM!$A$5:$A$53,0),0)</f>
        <v>0</v>
      </c>
      <c r="H898" s="48" t="str">
        <f aca="false">STACK!F898</f>
        <v>Education - Health Professions</v>
      </c>
      <c r="I898" s="1" t="str">
        <f aca="false">IF(G898&gt;0,IF(INDEX(CONFIRM!$I$5:$I$53,G898)&lt;&gt;"",INDEX(CONFIRM!$I$5:$I$53,G898),H898),H898)</f>
        <v>Education - Health Professions</v>
      </c>
      <c r="J898" s="1" t="str">
        <f aca="false">IFERROR(INDEX(MAP!$F$7:$F$74,MATCH(TRIM(I898),MAP!$E$7:$E$74,0)),"UNMAPPED")</f>
        <v>Health professions education</v>
      </c>
      <c r="K898" s="1" t="str">
        <f aca="false">IFERROR(INDEX(MAP!$G$7:$G$74,MATCH(TRIM(I898),MAP!$E$7:$E$74,0)),"UNMAPPED")</f>
        <v>7f</v>
      </c>
      <c r="L898" s="49" t="str">
        <f aca="false">STACK!G898</f>
        <v>2025-09-30</v>
      </c>
      <c r="M898" s="59" t="n">
        <f aca="false">IF(G898&gt;0,IF(INDEX(CONFIRM!$G$5:$G$53,G898)&lt;&gt;"",INDEX(CONFIRM!$G$5:$G$53,G898),IF(ISNUMBER(L898),L898,IFERROR(DATEVALUE(L898),""))),IF(ISNUMBER(L898),L898,IFERROR(DATEVALUE(L898),"")))</f>
        <v>45930</v>
      </c>
      <c r="N898" s="1" t="str">
        <f aca="false">IF(M898="","Check",IF(AND(M898&gt;=INPUTS!$C$6,M898&lt;=INPUTS!$C$7),"Yes","No"))</f>
        <v>Yes</v>
      </c>
      <c r="O898" s="48" t="str">
        <f aca="false">STACK!H898</f>
        <v>Clin Educator</v>
      </c>
      <c r="P898" s="1" t="str">
        <f aca="false">IF(G898&gt;0,IF(INDEX(CONFIRM!$H$5:$H$53,G898)&lt;&gt;"",INDEX(CONFIRM!$H$5:$H$53,G898),IFERROR(INDEX(MAP!$B$7:$B$156,MATCH(TRIM(O898),MAP!$A$7:$A$156,0)),"UNMAPPED")),IFERROR(INDEX(MAP!$B$7:$B$156,MATCH(TRIM(O898),MAP!$A$7:$A$156,0)),"UNMAPPED"))</f>
        <v>Clinical Nurse Educator</v>
      </c>
      <c r="Q898" s="48" t="n">
        <f aca="false">STACK!I898</f>
        <v>136</v>
      </c>
      <c r="R898" s="60" t="n">
        <f aca="false">IF(G898&gt;0,IF(INDEX(CONFIRM!$F$5:$F$53,G898)&lt;&gt;"",INDEX(CONFIRM!$F$5:$F$53,G898),IF(ISNUMBER(Q898),Q898,IF(Q898="","",IFERROR(VALUE(TRIM(SUBSTITUTE(SUBSTITUTE(LOWER(Q898),"hrs",""),"hr",""))),"")))),IF(ISNUMBER(Q898),Q898,IF(Q898="","",IFERROR(VALUE(TRIM(SUBSTITUTE(SUBSTITUTE(LOWER(Q898),"hrs",""),"hr",""))),""))))</f>
        <v>136</v>
      </c>
      <c r="S898" s="57" t="n">
        <f aca="false">IFERROR(INDEX(RATES!$E$6:$E$28,MATCH(P898,RATES!$A$6:$A$28,0)),0)</f>
        <v>62.965</v>
      </c>
      <c r="T898" s="61" t="n">
        <f aca="false">IF(ISNUMBER(R898),R898,0)*S898</f>
        <v>8563.24</v>
      </c>
      <c r="U898" s="61" t="n">
        <f aca="false">T898*INDEX(INPUTS!$H$10:$H$14,MATCH(B898,INPUTS!$A$10:$A$14,0))</f>
        <v>1352.99192</v>
      </c>
      <c r="V898" s="61" t="n">
        <f aca="false">N(STACK!K898)</f>
        <v>295</v>
      </c>
      <c r="W898" s="61" t="n">
        <f aca="false">T898+U898+V898</f>
        <v>10211.23192</v>
      </c>
      <c r="X898" s="61" t="n">
        <f aca="false">N(STACK!L898)</f>
        <v>0</v>
      </c>
      <c r="Y898" s="61" t="n">
        <f aca="false">W898-X898</f>
        <v>10211.23192</v>
      </c>
      <c r="Z898" s="1" t="n">
        <f aca="false">N(STACK!J898)</f>
        <v>39</v>
      </c>
      <c r="AA898" s="1" t="str">
        <f aca="false">TRIM(IF(D898="UNMAPPED","Program not mapped. ","")&amp;IF(OR(K898="UNMAPPED",K898="UNASSIGNED"),"Category needs review. ","")&amp;IF(P898="UNMAPPED","Title not mapped. ","")&amp;IF(AND(P898&lt;&gt;"No staff time",R898=""),"Missing hours. ","")&amp;IF(M898="","Date not readable. ","")&amp;IF(N898="No","Outside fiscal year. ","")&amp;IF(AND(F898="Event",ISNUMBER(R898)),IF(R898&gt;12,"Event hours look high. ",""),"")&amp;IF(G898&gt;0,"See CONFIRM sheet.",""))</f>
        <v/>
      </c>
      <c r="AB898" s="1" t="n">
        <f aca="false">IF(N898="No",0,IF(REVIEW!O898=0,0,IF(G898&gt;0,IF(INDEX(CONFIRM!$J$5:$J$53,G898)&lt;&gt;"",INDEX(CONFIRM!$J$5:$J$53,G898),1),1)))</f>
        <v>1</v>
      </c>
      <c r="AC898" s="1" t="n">
        <f aca="false">IF(AB898=1,IF(COUNTIFS($B$5:B898,B898,$D$5:D898,D898,$AB$5:AB898,1)=1,1,0),0)</f>
        <v>0</v>
      </c>
    </row>
    <row r="899" customFormat="false" ht="15" hidden="false" customHeight="false" outlineLevel="0" collapsed="false">
      <c r="A899" s="48" t="str">
        <f aca="false">STACK!A899</f>
        <v>CBH-0071</v>
      </c>
      <c r="B899" s="48" t="str">
        <f aca="false">STACK!B899</f>
        <v>CBH</v>
      </c>
      <c r="C899" s="48" t="str">
        <f aca="false">STACK!E899</f>
        <v>Nursing Student Rotations</v>
      </c>
      <c r="D899" s="1" t="str">
        <f aca="false">IFERROR(INDEX(MAP!$J$7:$J$101,MATCH(TRIM(C899),MAP!$I$7:$I$101,0)),"UNMAPPED")</f>
        <v>Nursing Student Clinical Rotations</v>
      </c>
      <c r="E899" s="1" t="str">
        <f aca="false">IFERROR(INDEX(MAP!$K$7:$K$101,MATCH(TRIM(C899),MAP!$I$7:$I$101,0)),"")</f>
        <v>Health workforce</v>
      </c>
      <c r="F899" s="1" t="str">
        <f aca="false">IFERROR(INDEX(MAP!$L$7:$L$101,MATCH(TRIM(C899),MAP!$I$7:$I$101,0)),"")</f>
        <v>Monthly</v>
      </c>
      <c r="G899" s="1" t="n">
        <f aca="false">IFERROR(MATCH(A899,CONFIRM!$A$5:$A$53,0),0)</f>
        <v>0</v>
      </c>
      <c r="H899" s="48" t="str">
        <f aca="false">STACK!F899</f>
        <v>Education - Health Professions</v>
      </c>
      <c r="I899" s="1" t="str">
        <f aca="false">IF(G899&gt;0,IF(INDEX(CONFIRM!$I$5:$I$53,G899)&lt;&gt;"",INDEX(CONFIRM!$I$5:$I$53,G899),H899),H899)</f>
        <v>Education - Health Professions</v>
      </c>
      <c r="J899" s="1" t="str">
        <f aca="false">IFERROR(INDEX(MAP!$F$7:$F$74,MATCH(TRIM(I899),MAP!$E$7:$E$74,0)),"UNMAPPED")</f>
        <v>Health professions education</v>
      </c>
      <c r="K899" s="1" t="str">
        <f aca="false">IFERROR(INDEX(MAP!$G$7:$G$74,MATCH(TRIM(I899),MAP!$E$7:$E$74,0)),"UNMAPPED")</f>
        <v>7f</v>
      </c>
      <c r="L899" s="49" t="str">
        <f aca="false">STACK!G899</f>
        <v>2025-09-30</v>
      </c>
      <c r="M899" s="59" t="n">
        <f aca="false">IF(G899&gt;0,IF(INDEX(CONFIRM!$G$5:$G$53,G899)&lt;&gt;"",INDEX(CONFIRM!$G$5:$G$53,G899),IF(ISNUMBER(L899),L899,IFERROR(DATEVALUE(L899),""))),IF(ISNUMBER(L899),L899,IFERROR(DATEVALUE(L899),"")))</f>
        <v>45930</v>
      </c>
      <c r="N899" s="1" t="str">
        <f aca="false">IF(M899="","Check",IF(AND(M899&gt;=INPUTS!$C$6,M899&lt;=INPUTS!$C$7),"Yes","No"))</f>
        <v>Yes</v>
      </c>
      <c r="O899" s="48" t="str">
        <f aca="false">STACK!H899</f>
        <v>Registered Nurse</v>
      </c>
      <c r="P899" s="1" t="str">
        <f aca="false">IF(G899&gt;0,IF(INDEX(CONFIRM!$H$5:$H$53,G899)&lt;&gt;"",INDEX(CONFIRM!$H$5:$H$53,G899),IFERROR(INDEX(MAP!$B$7:$B$156,MATCH(TRIM(O899),MAP!$A$7:$A$156,0)),"UNMAPPED")),IFERROR(INDEX(MAP!$B$7:$B$156,MATCH(TRIM(O899),MAP!$A$7:$A$156,0)),"UNMAPPED"))</f>
        <v>Registered Nurse</v>
      </c>
      <c r="Q899" s="48" t="n">
        <f aca="false">STACK!I899</f>
        <v>155.25</v>
      </c>
      <c r="R899" s="60" t="n">
        <f aca="false">IF(G899&gt;0,IF(INDEX(CONFIRM!$F$5:$F$53,G899)&lt;&gt;"",INDEX(CONFIRM!$F$5:$F$53,G899),IF(ISNUMBER(Q899),Q899,IF(Q899="","",IFERROR(VALUE(TRIM(SUBSTITUTE(SUBSTITUTE(LOWER(Q899),"hrs",""),"hr",""))),"")))),IF(ISNUMBER(Q899),Q899,IF(Q899="","",IFERROR(VALUE(TRIM(SUBSTITUTE(SUBSTITUTE(LOWER(Q899),"hrs",""),"hr",""))),""))))</f>
        <v>155.25</v>
      </c>
      <c r="S899" s="57" t="n">
        <f aca="false">IFERROR(INDEX(RATES!$E$6:$E$28,MATCH(P899,RATES!$A$6:$A$28,0)),0)</f>
        <v>55.8975</v>
      </c>
      <c r="T899" s="61" t="n">
        <f aca="false">IF(ISNUMBER(R899),R899,0)*S899</f>
        <v>8678.086875</v>
      </c>
      <c r="U899" s="61" t="n">
        <f aca="false">T899*INDEX(INPUTS!$H$10:$H$14,MATCH(B899,INPUTS!$A$10:$A$14,0))</f>
        <v>1371.13772625</v>
      </c>
      <c r="V899" s="61" t="n">
        <f aca="false">N(STACK!K899)</f>
        <v>0</v>
      </c>
      <c r="W899" s="61" t="n">
        <f aca="false">T899+U899+V899</f>
        <v>10049.22460125</v>
      </c>
      <c r="X899" s="61" t="n">
        <f aca="false">N(STACK!L899)</f>
        <v>0</v>
      </c>
      <c r="Y899" s="61" t="n">
        <f aca="false">W899-X899</f>
        <v>10049.22460125</v>
      </c>
      <c r="Z899" s="1" t="n">
        <f aca="false">N(STACK!J899)</f>
        <v>0</v>
      </c>
      <c r="AA899" s="1" t="str">
        <f aca="false">TRIM(IF(D899="UNMAPPED","Program not mapped. ","")&amp;IF(OR(K899="UNMAPPED",K899="UNASSIGNED"),"Category needs review. ","")&amp;IF(P899="UNMAPPED","Title not mapped. ","")&amp;IF(AND(P899&lt;&gt;"No staff time",R899=""),"Missing hours. ","")&amp;IF(M899="","Date not readable. ","")&amp;IF(N899="No","Outside fiscal year. ","")&amp;IF(AND(F899="Event",ISNUMBER(R899)),IF(R899&gt;12,"Event hours look high. ",""),"")&amp;IF(G899&gt;0,"See CONFIRM sheet.",""))</f>
        <v/>
      </c>
      <c r="AB899" s="1" t="n">
        <f aca="false">IF(N899="No",0,IF(REVIEW!O899=0,0,IF(G899&gt;0,IF(INDEX(CONFIRM!$J$5:$J$53,G899)&lt;&gt;"",INDEX(CONFIRM!$J$5:$J$53,G899),1),1)))</f>
        <v>1</v>
      </c>
      <c r="AC899" s="1" t="n">
        <f aca="false">IF(AB899=1,IF(COUNTIFS($B$5:B899,B899,$D$5:D899,D899,$AB$5:AB899,1)=1,1,0),0)</f>
        <v>0</v>
      </c>
    </row>
    <row r="900" customFormat="false" ht="15" hidden="false" customHeight="false" outlineLevel="0" collapsed="false">
      <c r="A900" s="48" t="str">
        <f aca="false">STACK!A900</f>
        <v>CBH-0072</v>
      </c>
      <c r="B900" s="48" t="str">
        <f aca="false">STACK!B900</f>
        <v>CBH</v>
      </c>
      <c r="C900" s="48" t="str">
        <f aca="false">STACK!E900</f>
        <v>Pharmacy Students</v>
      </c>
      <c r="D900" s="1" t="str">
        <f aca="false">IFERROR(INDEX(MAP!$J$7:$J$101,MATCH(TRIM(C900),MAP!$I$7:$I$101,0)),"UNMAPPED")</f>
        <v>Pharmacy Student Rotations</v>
      </c>
      <c r="E900" s="1" t="str">
        <f aca="false">IFERROR(INDEX(MAP!$K$7:$K$101,MATCH(TRIM(C900),MAP!$I$7:$I$101,0)),"")</f>
        <v>Health workforce</v>
      </c>
      <c r="F900" s="1" t="str">
        <f aca="false">IFERROR(INDEX(MAP!$L$7:$L$101,MATCH(TRIM(C900),MAP!$I$7:$I$101,0)),"")</f>
        <v>Monthly</v>
      </c>
      <c r="G900" s="1" t="n">
        <f aca="false">IFERROR(MATCH(A900,CONFIRM!$A$5:$A$53,0),0)</f>
        <v>0</v>
      </c>
      <c r="H900" s="48" t="str">
        <f aca="false">STACK!F900</f>
        <v>Education - Health Professions</v>
      </c>
      <c r="I900" s="1" t="str">
        <f aca="false">IF(G900&gt;0,IF(INDEX(CONFIRM!$I$5:$I$53,G900)&lt;&gt;"",INDEX(CONFIRM!$I$5:$I$53,G900),H900),H900)</f>
        <v>Education - Health Professions</v>
      </c>
      <c r="J900" s="1" t="str">
        <f aca="false">IFERROR(INDEX(MAP!$F$7:$F$74,MATCH(TRIM(I900),MAP!$E$7:$E$74,0)),"UNMAPPED")</f>
        <v>Health professions education</v>
      </c>
      <c r="K900" s="1" t="str">
        <f aca="false">IFERROR(INDEX(MAP!$G$7:$G$74,MATCH(TRIM(I900),MAP!$E$7:$E$74,0)),"UNMAPPED")</f>
        <v>7f</v>
      </c>
      <c r="L900" s="49" t="str">
        <f aca="false">STACK!G900</f>
        <v>2025-09-30</v>
      </c>
      <c r="M900" s="59" t="n">
        <f aca="false">IF(G900&gt;0,IF(INDEX(CONFIRM!$G$5:$G$53,G900)&lt;&gt;"",INDEX(CONFIRM!$G$5:$G$53,G900),IF(ISNUMBER(L900),L900,IFERROR(DATEVALUE(L900),""))),IF(ISNUMBER(L900),L900,IFERROR(DATEVALUE(L900),"")))</f>
        <v>45930</v>
      </c>
      <c r="N900" s="1" t="str">
        <f aca="false">IF(M900="","Check",IF(AND(M900&gt;=INPUTS!$C$6,M900&lt;=INPUTS!$C$7),"Yes","No"))</f>
        <v>Yes</v>
      </c>
      <c r="O900" s="48" t="str">
        <f aca="false">STACK!H900</f>
        <v> RPh</v>
      </c>
      <c r="P900" s="1" t="str">
        <f aca="false">IF(G900&gt;0,IF(INDEX(CONFIRM!$H$5:$H$53,G900)&lt;&gt;"",INDEX(CONFIRM!$H$5:$H$53,G900),IFERROR(INDEX(MAP!$B$7:$B$156,MATCH(TRIM(O900),MAP!$A$7:$A$156,0)),"UNMAPPED")),IFERROR(INDEX(MAP!$B$7:$B$156,MATCH(TRIM(O900),MAP!$A$7:$A$156,0)),"UNMAPPED"))</f>
        <v>Pharmacist</v>
      </c>
      <c r="Q900" s="48" t="n">
        <f aca="false">STACK!I900</f>
        <v>61.75</v>
      </c>
      <c r="R900" s="60" t="n">
        <f aca="false">IF(G900&gt;0,IF(INDEX(CONFIRM!$F$5:$F$53,G900)&lt;&gt;"",INDEX(CONFIRM!$F$5:$F$53,G900),IF(ISNUMBER(Q900),Q900,IF(Q900="","",IFERROR(VALUE(TRIM(SUBSTITUTE(SUBSTITUTE(LOWER(Q900),"hrs",""),"hr",""))),"")))),IF(ISNUMBER(Q900),Q900,IF(Q900="","",IFERROR(VALUE(TRIM(SUBSTITUTE(SUBSTITUTE(LOWER(Q900),"hrs",""),"hr",""))),""))))</f>
        <v>61.75</v>
      </c>
      <c r="S900" s="57" t="n">
        <f aca="false">IFERROR(INDEX(RATES!$E$6:$E$28,MATCH(P900,RATES!$A$6:$A$28,0)),0)</f>
        <v>84.81</v>
      </c>
      <c r="T900" s="61" t="n">
        <f aca="false">IF(ISNUMBER(R900),R900,0)*S900</f>
        <v>5237.0175</v>
      </c>
      <c r="U900" s="61" t="n">
        <f aca="false">T900*INDEX(INPUTS!$H$10:$H$14,MATCH(B900,INPUTS!$A$10:$A$14,0))</f>
        <v>827.448765</v>
      </c>
      <c r="V900" s="61" t="n">
        <f aca="false">N(STACK!K900)</f>
        <v>90</v>
      </c>
      <c r="W900" s="61" t="n">
        <f aca="false">T900+U900+V900</f>
        <v>6154.466265</v>
      </c>
      <c r="X900" s="61" t="n">
        <f aca="false">N(STACK!L900)</f>
        <v>0</v>
      </c>
      <c r="Y900" s="61" t="n">
        <f aca="false">W900-X900</f>
        <v>6154.466265</v>
      </c>
      <c r="Z900" s="1" t="n">
        <f aca="false">N(STACK!J900)</f>
        <v>5</v>
      </c>
      <c r="AA900" s="1" t="str">
        <f aca="false">TRIM(IF(D900="UNMAPPED","Program not mapped. ","")&amp;IF(OR(K900="UNMAPPED",K900="UNASSIGNED"),"Category needs review. ","")&amp;IF(P900="UNMAPPED","Title not mapped. ","")&amp;IF(AND(P900&lt;&gt;"No staff time",R900=""),"Missing hours. ","")&amp;IF(M900="","Date not readable. ","")&amp;IF(N900="No","Outside fiscal year. ","")&amp;IF(AND(F900="Event",ISNUMBER(R900)),IF(R900&gt;12,"Event hours look high. ",""),"")&amp;IF(G900&gt;0,"See CONFIRM sheet.",""))</f>
        <v/>
      </c>
      <c r="AB900" s="1" t="n">
        <f aca="false">IF(N900="No",0,IF(REVIEW!O900=0,0,IF(G900&gt;0,IF(INDEX(CONFIRM!$J$5:$J$53,G900)&lt;&gt;"",INDEX(CONFIRM!$J$5:$J$53,G900),1),1)))</f>
        <v>1</v>
      </c>
      <c r="AC900" s="1" t="n">
        <f aca="false">IF(AB900=1,IF(COUNTIFS($B$5:B900,B900,$D$5:D900,D900,$AB$5:AB900,1)=1,1,0),0)</f>
        <v>0</v>
      </c>
    </row>
    <row r="901" customFormat="false" ht="15" hidden="false" customHeight="false" outlineLevel="0" collapsed="false">
      <c r="A901" s="48" t="str">
        <f aca="false">STACK!A901</f>
        <v>CBH-0073</v>
      </c>
      <c r="B901" s="48" t="str">
        <f aca="false">STACK!B901</f>
        <v>CBH</v>
      </c>
      <c r="C901" s="48" t="str">
        <f aca="false">STACK!E901</f>
        <v>Health Coalition</v>
      </c>
      <c r="D901" s="1" t="str">
        <f aca="false">IFERROR(INDEX(MAP!$J$7:$J$101,MATCH(TRIM(C901),MAP!$I$7:$I$101,0)),"UNMAPPED")</f>
        <v>Regional Health Coalition</v>
      </c>
      <c r="E901" s="1" t="str">
        <f aca="false">IFERROR(INDEX(MAP!$K$7:$K$101,MATCH(TRIM(C901),MAP!$I$7:$I$101,0)),"")</f>
        <v>Community benefit infrastructure</v>
      </c>
      <c r="F901" s="1" t="str">
        <f aca="false">IFERROR(INDEX(MAP!$L$7:$L$101,MATCH(TRIM(C901),MAP!$I$7:$I$101,0)),"")</f>
        <v>Event</v>
      </c>
      <c r="G901" s="1" t="n">
        <f aca="false">IFERROR(MATCH(A901,CONFIRM!$A$5:$A$53,0),0)</f>
        <v>12</v>
      </c>
      <c r="H901" s="48" t="str">
        <f aca="false">STACK!F901</f>
        <v>Community Health Improvement</v>
      </c>
      <c r="I901" s="1" t="str">
        <f aca="false">IF(G901&gt;0,IF(INDEX(CONFIRM!$I$5:$I$53,G901)&lt;&gt;"",INDEX(CONFIRM!$I$5:$I$53,G901),H901),H901)</f>
        <v>Community building: coalition building</v>
      </c>
      <c r="J901" s="1" t="str">
        <f aca="false">IFERROR(INDEX(MAP!$F$7:$F$74,MATCH(TRIM(I901),MAP!$E$7:$E$74,0)),"UNMAPPED")</f>
        <v>Community building: coalition building</v>
      </c>
      <c r="K901" s="1" t="str">
        <f aca="false">IFERROR(INDEX(MAP!$G$7:$G$74,MATCH(TRIM(I901),MAP!$E$7:$E$74,0)),"UNMAPPED")</f>
        <v>II-6</v>
      </c>
      <c r="L901" s="49" t="str">
        <f aca="false">STACK!G901</f>
        <v>2025-09-30</v>
      </c>
      <c r="M901" s="59" t="n">
        <f aca="false">IF(G901&gt;0,IF(INDEX(CONFIRM!$G$5:$G$53,G901)&lt;&gt;"",INDEX(CONFIRM!$G$5:$G$53,G901),IF(ISNUMBER(L901),L901,IFERROR(DATEVALUE(L901),""))),IF(ISNUMBER(L901),L901,IFERROR(DATEVALUE(L901),"")))</f>
        <v>45930</v>
      </c>
      <c r="N901" s="1" t="str">
        <f aca="false">IF(M901="","Check",IF(AND(M901&gt;=INPUTS!$C$6,M901&lt;=INPUTS!$C$7),"Yes","No"))</f>
        <v>Yes</v>
      </c>
      <c r="O901" s="48" t="str">
        <f aca="false">STACK!H901</f>
        <v>Community Benefit Mgr</v>
      </c>
      <c r="P901" s="1" t="str">
        <f aca="false">IF(G901&gt;0,IF(INDEX(CONFIRM!$H$5:$H$53,G901)&lt;&gt;"",INDEX(CONFIRM!$H$5:$H$53,G901),IFERROR(INDEX(MAP!$B$7:$B$156,MATCH(TRIM(O901),MAP!$A$7:$A$156,0)),"UNMAPPED")),IFERROR(INDEX(MAP!$B$7:$B$156,MATCH(TRIM(O901),MAP!$A$7:$A$156,0)),"UNMAPPED"))</f>
        <v>Community Benefit Manager</v>
      </c>
      <c r="Q901" s="48" t="n">
        <f aca="false">STACK!I901</f>
        <v>2</v>
      </c>
      <c r="R901" s="60" t="n">
        <f aca="false">IF(G901&gt;0,IF(INDEX(CONFIRM!$F$5:$F$53,G901)&lt;&gt;"",INDEX(CONFIRM!$F$5:$F$53,G901),IF(ISNUMBER(Q901),Q901,IF(Q901="","",IFERROR(VALUE(TRIM(SUBSTITUTE(SUBSTITUTE(LOWER(Q901),"hrs",""),"hr",""))),"")))),IF(ISNUMBER(Q901),Q901,IF(Q901="","",IFERROR(VALUE(TRIM(SUBSTITUTE(SUBSTITUTE(LOWER(Q901),"hrs",""),"hr",""))),""))))</f>
        <v>2</v>
      </c>
      <c r="S901" s="57" t="n">
        <f aca="false">IFERROR(INDEX(RATES!$E$6:$E$28,MATCH(P901,RATES!$A$6:$A$28,0)),0)</f>
        <v>59.11</v>
      </c>
      <c r="T901" s="61" t="n">
        <f aca="false">IF(ISNUMBER(R901),R901,0)*S901</f>
        <v>118.22</v>
      </c>
      <c r="U901" s="61" t="n">
        <f aca="false">T901*INDEX(INPUTS!$H$10:$H$14,MATCH(B901,INPUTS!$A$10:$A$14,0))</f>
        <v>18.67876</v>
      </c>
      <c r="V901" s="61" t="n">
        <f aca="false">N(STACK!K901)</f>
        <v>0</v>
      </c>
      <c r="W901" s="61" t="n">
        <f aca="false">T901+U901+V901</f>
        <v>136.89876</v>
      </c>
      <c r="X901" s="61" t="n">
        <f aca="false">N(STACK!L901)</f>
        <v>0</v>
      </c>
      <c r="Y901" s="61" t="n">
        <f aca="false">W901-X901</f>
        <v>136.89876</v>
      </c>
      <c r="Z901" s="1" t="n">
        <f aca="false">N(STACK!J901)</f>
        <v>0</v>
      </c>
      <c r="AA901" s="1" t="str">
        <f aca="false">TRIM(IF(D901="UNMAPPED","Program not mapped. ","")&amp;IF(OR(K901="UNMAPPED",K901="UNASSIGNED"),"Category needs review. ","")&amp;IF(P901="UNMAPPED","Title not mapped. ","")&amp;IF(AND(P901&lt;&gt;"No staff time",R901=""),"Missing hours. ","")&amp;IF(M901="","Date not readable. ","")&amp;IF(N901="No","Outside fiscal year. ","")&amp;IF(AND(F901="Event",ISNUMBER(R901)),IF(R901&gt;12,"Event hours look high. ",""),"")&amp;IF(G901&gt;0,"See CONFIRM sheet.",""))</f>
        <v>See CONFIRM sheet.</v>
      </c>
      <c r="AB901" s="1" t="n">
        <f aca="false">IF(N901="No",0,IF(REVIEW!O901=0,0,IF(G901&gt;0,IF(INDEX(CONFIRM!$J$5:$J$53,G901)&lt;&gt;"",INDEX(CONFIRM!$J$5:$J$53,G901),1),1)))</f>
        <v>1</v>
      </c>
      <c r="AC901" s="1" t="n">
        <f aca="false">IF(AB901=1,IF(COUNTIFS($B$5:B901,B901,$D$5:D901,D901,$AB$5:AB901,1)=1,1,0),0)</f>
        <v>0</v>
      </c>
    </row>
    <row r="902" customFormat="false" ht="15" hidden="false" customHeight="false" outlineLevel="0" collapsed="false">
      <c r="A902" s="48" t="str">
        <f aca="false">STACK!A902</f>
        <v>CBH-0074</v>
      </c>
      <c r="B902" s="48" t="str">
        <f aca="false">STACK!B902</f>
        <v>CBH</v>
      </c>
      <c r="C902" s="48" t="str">
        <f aca="false">STACK!E902</f>
        <v>Health Coalition</v>
      </c>
      <c r="D902" s="1" t="str">
        <f aca="false">IFERROR(INDEX(MAP!$J$7:$J$101,MATCH(TRIM(C902),MAP!$I$7:$I$101,0)),"UNMAPPED")</f>
        <v>Regional Health Coalition</v>
      </c>
      <c r="E902" s="1" t="str">
        <f aca="false">IFERROR(INDEX(MAP!$K$7:$K$101,MATCH(TRIM(C902),MAP!$I$7:$I$101,0)),"")</f>
        <v>Community benefit infrastructure</v>
      </c>
      <c r="F902" s="1" t="str">
        <f aca="false">IFERROR(INDEX(MAP!$L$7:$L$101,MATCH(TRIM(C902),MAP!$I$7:$I$101,0)),"")</f>
        <v>Event</v>
      </c>
      <c r="G902" s="1" t="n">
        <f aca="false">IFERROR(MATCH(A902,CONFIRM!$A$5:$A$53,0),0)</f>
        <v>13</v>
      </c>
      <c r="H902" s="48" t="str">
        <f aca="false">STACK!F902</f>
        <v>Community Health Improvement</v>
      </c>
      <c r="I902" s="1" t="str">
        <f aca="false">IF(G902&gt;0,IF(INDEX(CONFIRM!$I$5:$I$53,G902)&lt;&gt;"",INDEX(CONFIRM!$I$5:$I$53,G902),H902),H902)</f>
        <v>Community building: coalition building</v>
      </c>
      <c r="J902" s="1" t="str">
        <f aca="false">IFERROR(INDEX(MAP!$F$7:$F$74,MATCH(TRIM(I902),MAP!$E$7:$E$74,0)),"UNMAPPED")</f>
        <v>Community building: coalition building</v>
      </c>
      <c r="K902" s="1" t="str">
        <f aca="false">IFERROR(INDEX(MAP!$G$7:$G$74,MATCH(TRIM(I902),MAP!$E$7:$E$74,0)),"UNMAPPED")</f>
        <v>II-6</v>
      </c>
      <c r="L902" s="49" t="str">
        <f aca="false">STACK!G902</f>
        <v>2025-09-30</v>
      </c>
      <c r="M902" s="59" t="n">
        <f aca="false">IF(G902&gt;0,IF(INDEX(CONFIRM!$G$5:$G$53,G902)&lt;&gt;"",INDEX(CONFIRM!$G$5:$G$53,G902),IF(ISNUMBER(L902),L902,IFERROR(DATEVALUE(L902),""))),IF(ISNUMBER(L902),L902,IFERROR(DATEVALUE(L902),"")))</f>
        <v>45930</v>
      </c>
      <c r="N902" s="1" t="str">
        <f aca="false">IF(M902="","Check",IF(AND(M902&gt;=INPUTS!$C$6,M902&lt;=INPUTS!$C$7),"Yes","No"))</f>
        <v>Yes</v>
      </c>
      <c r="O902" s="48" t="str">
        <f aca="false">STACK!H902</f>
        <v>Director</v>
      </c>
      <c r="P902" s="1" t="str">
        <f aca="false">IF(G902&gt;0,IF(INDEX(CONFIRM!$H$5:$H$53,G902)&lt;&gt;"",INDEX(CONFIRM!$H$5:$H$53,G902),IFERROR(INDEX(MAP!$B$7:$B$156,MATCH(TRIM(O902),MAP!$A$7:$A$156,0)),"UNMAPPED")),IFERROR(INDEX(MAP!$B$7:$B$156,MATCH(TRIM(O902),MAP!$A$7:$A$156,0)),"UNMAPPED"))</f>
        <v>Director</v>
      </c>
      <c r="Q902" s="48" t="n">
        <f aca="false">STACK!I902</f>
        <v>2.75</v>
      </c>
      <c r="R902" s="60" t="n">
        <f aca="false">IF(G902&gt;0,IF(INDEX(CONFIRM!$F$5:$F$53,G902)&lt;&gt;"",INDEX(CONFIRM!$F$5:$F$53,G902),IF(ISNUMBER(Q902),Q902,IF(Q902="","",IFERROR(VALUE(TRIM(SUBSTITUTE(SUBSTITUTE(LOWER(Q902),"hrs",""),"hr",""))),"")))),IF(ISNUMBER(Q902),Q902,IF(Q902="","",IFERROR(VALUE(TRIM(SUBSTITUTE(SUBSTITUTE(LOWER(Q902),"hrs",""),"hr",""))),""))))</f>
        <v>2.75</v>
      </c>
      <c r="S902" s="57" t="n">
        <f aca="false">IFERROR(INDEX(RATES!$E$6:$E$28,MATCH(P902,RATES!$A$6:$A$28,0)),0)</f>
        <v>92.52</v>
      </c>
      <c r="T902" s="61" t="n">
        <f aca="false">IF(ISNUMBER(R902),R902,0)*S902</f>
        <v>254.43</v>
      </c>
      <c r="U902" s="61" t="n">
        <f aca="false">T902*INDEX(INPUTS!$H$10:$H$14,MATCH(B902,INPUTS!$A$10:$A$14,0))</f>
        <v>40.19994</v>
      </c>
      <c r="V902" s="61" t="n">
        <f aca="false">N(STACK!K902)</f>
        <v>145</v>
      </c>
      <c r="W902" s="61" t="n">
        <f aca="false">T902+U902+V902</f>
        <v>439.62994</v>
      </c>
      <c r="X902" s="61" t="n">
        <f aca="false">N(STACK!L902)</f>
        <v>0</v>
      </c>
      <c r="Y902" s="61" t="n">
        <f aca="false">W902-X902</f>
        <v>439.62994</v>
      </c>
      <c r="Z902" s="1" t="n">
        <f aca="false">N(STACK!J902)</f>
        <v>0</v>
      </c>
      <c r="AA902" s="1" t="str">
        <f aca="false">TRIM(IF(D902="UNMAPPED","Program not mapped. ","")&amp;IF(OR(K902="UNMAPPED",K902="UNASSIGNED"),"Category needs review. ","")&amp;IF(P902="UNMAPPED","Title not mapped. ","")&amp;IF(AND(P902&lt;&gt;"No staff time",R902=""),"Missing hours. ","")&amp;IF(M902="","Date not readable. ","")&amp;IF(N902="No","Outside fiscal year. ","")&amp;IF(AND(F902="Event",ISNUMBER(R902)),IF(R902&gt;12,"Event hours look high. ",""),"")&amp;IF(G902&gt;0,"See CONFIRM sheet.",""))</f>
        <v>See CONFIRM sheet.</v>
      </c>
      <c r="AB902" s="1" t="n">
        <f aca="false">IF(N902="No",0,IF(REVIEW!O902=0,0,IF(G902&gt;0,IF(INDEX(CONFIRM!$J$5:$J$53,G902)&lt;&gt;"",INDEX(CONFIRM!$J$5:$J$53,G902),1),1)))</f>
        <v>1</v>
      </c>
      <c r="AC902" s="1" t="n">
        <f aca="false">IF(AB902=1,IF(COUNTIFS($B$5:B902,B902,$D$5:D902,D902,$AB$5:AB902,1)=1,1,0),0)</f>
        <v>0</v>
      </c>
    </row>
    <row r="903" customFormat="false" ht="15" hidden="false" customHeight="false" outlineLevel="0" collapsed="false">
      <c r="A903" s="48" t="str">
        <f aca="false">STACK!A903</f>
        <v>CBH-0075</v>
      </c>
      <c r="B903" s="48" t="str">
        <f aca="false">STACK!B903</f>
        <v>CBH</v>
      </c>
      <c r="C903" s="48" t="str">
        <f aca="false">STACK!E903</f>
        <v>Bereavement Group</v>
      </c>
      <c r="D903" s="1" t="str">
        <f aca="false">IFERROR(INDEX(MAP!$J$7:$J$101,MATCH(TRIM(C903),MAP!$I$7:$I$101,0)),"UNMAPPED")</f>
        <v>Grief Support Group</v>
      </c>
      <c r="E903" s="1" t="str">
        <f aca="false">IFERROR(INDEX(MAP!$K$7:$K$101,MATCH(TRIM(C903),MAP!$I$7:$I$101,0)),"")</f>
        <v>Behavioral health</v>
      </c>
      <c r="F903" s="1" t="str">
        <f aca="false">IFERROR(INDEX(MAP!$L$7:$L$101,MATCH(TRIM(C903),MAP!$I$7:$I$101,0)),"")</f>
        <v>Event</v>
      </c>
      <c r="G903" s="1" t="n">
        <f aca="false">IFERROR(MATCH(A903,CONFIRM!$A$5:$A$53,0),0)</f>
        <v>0</v>
      </c>
      <c r="H903" s="48" t="str">
        <f aca="false">STACK!F903</f>
        <v>Patient Support</v>
      </c>
      <c r="I903" s="1" t="str">
        <f aca="false">IF(G903&gt;0,IF(INDEX(CONFIRM!$I$5:$I$53,G903)&lt;&gt;"",INDEX(CONFIRM!$I$5:$I$53,G903),H903),H903)</f>
        <v>Patient Support</v>
      </c>
      <c r="J903" s="1" t="str">
        <f aca="false">IFERROR(INDEX(MAP!$F$7:$F$74,MATCH(TRIM(I903),MAP!$E$7:$E$74,0)),"UNMAPPED")</f>
        <v>Health care support services</v>
      </c>
      <c r="K903" s="1" t="str">
        <f aca="false">IFERROR(INDEX(MAP!$G$7:$G$74,MATCH(TRIM(I903),MAP!$E$7:$E$74,0)),"UNMAPPED")</f>
        <v>7e</v>
      </c>
      <c r="L903" s="49" t="str">
        <f aca="false">STACK!G903</f>
        <v>2025-10-02</v>
      </c>
      <c r="M903" s="59" t="n">
        <f aca="false">IF(G903&gt;0,IF(INDEX(CONFIRM!$G$5:$G$53,G903)&lt;&gt;"",INDEX(CONFIRM!$G$5:$G$53,G903),IF(ISNUMBER(L903),L903,IFERROR(DATEVALUE(L903),""))),IF(ISNUMBER(L903),L903,IFERROR(DATEVALUE(L903),"")))</f>
        <v>45932</v>
      </c>
      <c r="N903" s="1" t="str">
        <f aca="false">IF(M903="","Check",IF(AND(M903&gt;=INPUTS!$C$6,M903&lt;=INPUTS!$C$7),"Yes","No"))</f>
        <v>Yes</v>
      </c>
      <c r="O903" s="48" t="str">
        <f aca="false">STACK!H903</f>
        <v>Pastoral Care</v>
      </c>
      <c r="P903" s="1" t="str">
        <f aca="false">IF(G903&gt;0,IF(INDEX(CONFIRM!$H$5:$H$53,G903)&lt;&gt;"",INDEX(CONFIRM!$H$5:$H$53,G903),IFERROR(INDEX(MAP!$B$7:$B$156,MATCH(TRIM(O903),MAP!$A$7:$A$156,0)),"UNMAPPED")),IFERROR(INDEX(MAP!$B$7:$B$156,MATCH(TRIM(O903),MAP!$A$7:$A$156,0)),"UNMAPPED"))</f>
        <v>Chaplain</v>
      </c>
      <c r="Q903" s="48" t="n">
        <f aca="false">STACK!I903</f>
        <v>2</v>
      </c>
      <c r="R903" s="60" t="n">
        <f aca="false">IF(G903&gt;0,IF(INDEX(CONFIRM!$F$5:$F$53,G903)&lt;&gt;"",INDEX(CONFIRM!$F$5:$F$53,G903),IF(ISNUMBER(Q903),Q903,IF(Q903="","",IFERROR(VALUE(TRIM(SUBSTITUTE(SUBSTITUTE(LOWER(Q903),"hrs",""),"hr",""))),"")))),IF(ISNUMBER(Q903),Q903,IF(Q903="","",IFERROR(VALUE(TRIM(SUBSTITUTE(SUBSTITUTE(LOWER(Q903),"hrs",""),"hr",""))),""))))</f>
        <v>2</v>
      </c>
      <c r="S903" s="57" t="n">
        <f aca="false">IFERROR(INDEX(RATES!$E$6:$E$28,MATCH(P903,RATES!$A$6:$A$28,0)),0)</f>
        <v>39.835</v>
      </c>
      <c r="T903" s="61" t="n">
        <f aca="false">IF(ISNUMBER(R903),R903,0)*S903</f>
        <v>79.67</v>
      </c>
      <c r="U903" s="61" t="n">
        <f aca="false">T903*INDEX(INPUTS!$H$10:$H$14,MATCH(B903,INPUTS!$A$10:$A$14,0))</f>
        <v>12.58786</v>
      </c>
      <c r="V903" s="61" t="n">
        <f aca="false">N(STACK!K903)</f>
        <v>40</v>
      </c>
      <c r="W903" s="61" t="n">
        <f aca="false">T903+U903+V903</f>
        <v>132.25786</v>
      </c>
      <c r="X903" s="61" t="n">
        <f aca="false">N(STACK!L903)</f>
        <v>0</v>
      </c>
      <c r="Y903" s="61" t="n">
        <f aca="false">W903-X903</f>
        <v>132.25786</v>
      </c>
      <c r="Z903" s="1" t="n">
        <f aca="false">N(STACK!J903)</f>
        <v>15</v>
      </c>
      <c r="AA903" s="1" t="str">
        <f aca="false">TRIM(IF(D903="UNMAPPED","Program not mapped. ","")&amp;IF(OR(K903="UNMAPPED",K903="UNASSIGNED"),"Category needs review. ","")&amp;IF(P903="UNMAPPED","Title not mapped. ","")&amp;IF(AND(P903&lt;&gt;"No staff time",R903=""),"Missing hours. ","")&amp;IF(M903="","Date not readable. ","")&amp;IF(N903="No","Outside fiscal year. ","")&amp;IF(AND(F903="Event",ISNUMBER(R903)),IF(R903&gt;12,"Event hours look high. ",""),"")&amp;IF(G903&gt;0,"See CONFIRM sheet.",""))</f>
        <v/>
      </c>
      <c r="AB903" s="1" t="n">
        <f aca="false">IF(N903="No",0,IF(REVIEW!O903=0,0,IF(G903&gt;0,IF(INDEX(CONFIRM!$J$5:$J$53,G903)&lt;&gt;"",INDEX(CONFIRM!$J$5:$J$53,G903),1),1)))</f>
        <v>1</v>
      </c>
      <c r="AC903" s="1" t="n">
        <f aca="false">IF(AB903=1,IF(COUNTIFS($B$5:B903,B903,$D$5:D903,D903,$AB$5:AB903,1)=1,1,0),0)</f>
        <v>0</v>
      </c>
    </row>
    <row r="904" customFormat="false" ht="15" hidden="false" customHeight="false" outlineLevel="0" collapsed="false">
      <c r="A904" s="48" t="str">
        <f aca="false">STACK!A904</f>
        <v>CBH-0076</v>
      </c>
      <c r="B904" s="48" t="str">
        <f aca="false">STACK!B904</f>
        <v>CBH</v>
      </c>
      <c r="C904" s="48" t="str">
        <f aca="false">STACK!E904</f>
        <v>Bereavement Group</v>
      </c>
      <c r="D904" s="1" t="str">
        <f aca="false">IFERROR(INDEX(MAP!$J$7:$J$101,MATCH(TRIM(C904),MAP!$I$7:$I$101,0)),"UNMAPPED")</f>
        <v>Grief Support Group</v>
      </c>
      <c r="E904" s="1" t="str">
        <f aca="false">IFERROR(INDEX(MAP!$K$7:$K$101,MATCH(TRIM(C904),MAP!$I$7:$I$101,0)),"")</f>
        <v>Behavioral health</v>
      </c>
      <c r="F904" s="1" t="str">
        <f aca="false">IFERROR(INDEX(MAP!$L$7:$L$101,MATCH(TRIM(C904),MAP!$I$7:$I$101,0)),"")</f>
        <v>Event</v>
      </c>
      <c r="G904" s="1" t="n">
        <f aca="false">IFERROR(MATCH(A904,CONFIRM!$A$5:$A$53,0),0)</f>
        <v>0</v>
      </c>
      <c r="H904" s="48" t="str">
        <f aca="false">STACK!F904</f>
        <v>Patient Support</v>
      </c>
      <c r="I904" s="1" t="str">
        <f aca="false">IF(G904&gt;0,IF(INDEX(CONFIRM!$I$5:$I$53,G904)&lt;&gt;"",INDEX(CONFIRM!$I$5:$I$53,G904),H904),H904)</f>
        <v>Patient Support</v>
      </c>
      <c r="J904" s="1" t="str">
        <f aca="false">IFERROR(INDEX(MAP!$F$7:$F$74,MATCH(TRIM(I904),MAP!$E$7:$E$74,0)),"UNMAPPED")</f>
        <v>Health care support services</v>
      </c>
      <c r="K904" s="1" t="str">
        <f aca="false">IFERROR(INDEX(MAP!$G$7:$G$74,MATCH(TRIM(I904),MAP!$E$7:$E$74,0)),"UNMAPPED")</f>
        <v>7e</v>
      </c>
      <c r="L904" s="49" t="str">
        <f aca="false">STACK!G904</f>
        <v>2025-10-02</v>
      </c>
      <c r="M904" s="59" t="n">
        <f aca="false">IF(G904&gt;0,IF(INDEX(CONFIRM!$G$5:$G$53,G904)&lt;&gt;"",INDEX(CONFIRM!$G$5:$G$53,G904),IF(ISNUMBER(L904),L904,IFERROR(DATEVALUE(L904),""))),IF(ISNUMBER(L904),L904,IFERROR(DATEVALUE(L904),"")))</f>
        <v>45932</v>
      </c>
      <c r="N904" s="1" t="str">
        <f aca="false">IF(M904="","Check",IF(AND(M904&gt;=INPUTS!$C$6,M904&lt;=INPUTS!$C$7),"Yes","No"))</f>
        <v>Yes</v>
      </c>
      <c r="O904" s="48" t="str">
        <f aca="false">STACK!H904</f>
        <v>LCSW</v>
      </c>
      <c r="P904" s="1" t="str">
        <f aca="false">IF(G904&gt;0,IF(INDEX(CONFIRM!$H$5:$H$53,G904)&lt;&gt;"",INDEX(CONFIRM!$H$5:$H$53,G904),IFERROR(INDEX(MAP!$B$7:$B$156,MATCH(TRIM(O904),MAP!$A$7:$A$156,0)),"UNMAPPED")),IFERROR(INDEX(MAP!$B$7:$B$156,MATCH(TRIM(O904),MAP!$A$7:$A$156,0)),"UNMAPPED"))</f>
        <v>Social Worker</v>
      </c>
      <c r="Q904" s="48" t="n">
        <f aca="false">STACK!I904</f>
        <v>1.75</v>
      </c>
      <c r="R904" s="60" t="n">
        <f aca="false">IF(G904&gt;0,IF(INDEX(CONFIRM!$F$5:$F$53,G904)&lt;&gt;"",INDEX(CONFIRM!$F$5:$F$53,G904),IF(ISNUMBER(Q904),Q904,IF(Q904="","",IFERROR(VALUE(TRIM(SUBSTITUTE(SUBSTITUTE(LOWER(Q904),"hrs",""),"hr",""))),"")))),IF(ISNUMBER(Q904),Q904,IF(Q904="","",IFERROR(VALUE(TRIM(SUBSTITUTE(SUBSTITUTE(LOWER(Q904),"hrs",""),"hr",""))),""))))</f>
        <v>1.75</v>
      </c>
      <c r="S904" s="57" t="n">
        <f aca="false">IFERROR(INDEX(RATES!$E$6:$E$28,MATCH(P904,RATES!$A$6:$A$28,0)),0)</f>
        <v>45.6175</v>
      </c>
      <c r="T904" s="61" t="n">
        <f aca="false">IF(ISNUMBER(R904),R904,0)*S904</f>
        <v>79.830625</v>
      </c>
      <c r="U904" s="61" t="n">
        <f aca="false">T904*INDEX(INPUTS!$H$10:$H$14,MATCH(B904,INPUTS!$A$10:$A$14,0))</f>
        <v>12.61323875</v>
      </c>
      <c r="V904" s="61" t="n">
        <f aca="false">N(STACK!K904)</f>
        <v>0</v>
      </c>
      <c r="W904" s="61" t="n">
        <f aca="false">T904+U904+V904</f>
        <v>92.44386375</v>
      </c>
      <c r="X904" s="61" t="n">
        <f aca="false">N(STACK!L904)</f>
        <v>0</v>
      </c>
      <c r="Y904" s="61" t="n">
        <f aca="false">W904-X904</f>
        <v>92.44386375</v>
      </c>
      <c r="Z904" s="1" t="n">
        <f aca="false">N(STACK!J904)</f>
        <v>0</v>
      </c>
      <c r="AA904" s="1" t="str">
        <f aca="false">TRIM(IF(D904="UNMAPPED","Program not mapped. ","")&amp;IF(OR(K904="UNMAPPED",K904="UNASSIGNED"),"Category needs review. ","")&amp;IF(P904="UNMAPPED","Title not mapped. ","")&amp;IF(AND(P904&lt;&gt;"No staff time",R904=""),"Missing hours. ","")&amp;IF(M904="","Date not readable. ","")&amp;IF(N904="No","Outside fiscal year. ","")&amp;IF(AND(F904="Event",ISNUMBER(R904)),IF(R904&gt;12,"Event hours look high. ",""),"")&amp;IF(G904&gt;0,"See CONFIRM sheet.",""))</f>
        <v/>
      </c>
      <c r="AB904" s="1" t="n">
        <f aca="false">IF(N904="No",0,IF(REVIEW!O904=0,0,IF(G904&gt;0,IF(INDEX(CONFIRM!$J$5:$J$53,G904)&lt;&gt;"",INDEX(CONFIRM!$J$5:$J$53,G904),1),1)))</f>
        <v>1</v>
      </c>
      <c r="AC904" s="1" t="n">
        <f aca="false">IF(AB904=1,IF(COUNTIFS($B$5:B904,B904,$D$5:D904,D904,$AB$5:AB904,1)=1,1,0),0)</f>
        <v>0</v>
      </c>
    </row>
    <row r="905" customFormat="false" ht="15" hidden="false" customHeight="false" outlineLevel="0" collapsed="false">
      <c r="A905" s="48" t="str">
        <f aca="false">STACK!A905</f>
        <v>CBH-0077</v>
      </c>
      <c r="B905" s="48" t="str">
        <f aca="false">STACK!B905</f>
        <v>CBH</v>
      </c>
      <c r="C905" s="48" t="str">
        <f aca="false">STACK!E905</f>
        <v>Diabetes Prevention</v>
      </c>
      <c r="D905" s="1" t="str">
        <f aca="false">IFERROR(INDEX(MAP!$J$7:$J$101,MATCH(TRIM(C905),MAP!$I$7:$I$101,0)),"UNMAPPED")</f>
        <v>Diabetes Prevention Classes</v>
      </c>
      <c r="E905" s="1" t="str">
        <f aca="false">IFERROR(INDEX(MAP!$K$7:$K$101,MATCH(TRIM(C905),MAP!$I$7:$I$101,0)),"")</f>
        <v>Chronic disease prevention</v>
      </c>
      <c r="F905" s="1" t="str">
        <f aca="false">IFERROR(INDEX(MAP!$L$7:$L$101,MATCH(TRIM(C905),MAP!$I$7:$I$101,0)),"")</f>
        <v>Event</v>
      </c>
      <c r="G905" s="1" t="n">
        <f aca="false">IFERROR(MATCH(A905,CONFIRM!$A$5:$A$53,0),0)</f>
        <v>0</v>
      </c>
      <c r="H905" s="48" t="str">
        <f aca="false">STACK!F905</f>
        <v>Health Education</v>
      </c>
      <c r="I905" s="1" t="str">
        <f aca="false">IF(G905&gt;0,IF(INDEX(CONFIRM!$I$5:$I$53,G905)&lt;&gt;"",INDEX(CONFIRM!$I$5:$I$53,G905),H905),H905)</f>
        <v>Health Education</v>
      </c>
      <c r="J905" s="1" t="str">
        <f aca="false">IFERROR(INDEX(MAP!$F$7:$F$74,MATCH(TRIM(I905),MAP!$E$7:$E$74,0)),"UNMAPPED")</f>
        <v>Community health education</v>
      </c>
      <c r="K905" s="1" t="str">
        <f aca="false">IFERROR(INDEX(MAP!$G$7:$G$74,MATCH(TRIM(I905),MAP!$E$7:$E$74,0)),"UNMAPPED")</f>
        <v>7e</v>
      </c>
      <c r="L905" s="49" t="str">
        <f aca="false">STACK!G905</f>
        <v>2025-10-07</v>
      </c>
      <c r="M905" s="59" t="n">
        <f aca="false">IF(G905&gt;0,IF(INDEX(CONFIRM!$G$5:$G$53,G905)&lt;&gt;"",INDEX(CONFIRM!$G$5:$G$53,G905),IF(ISNUMBER(L905),L905,IFERROR(DATEVALUE(L905),""))),IF(ISNUMBER(L905),L905,IFERROR(DATEVALUE(L905),"")))</f>
        <v>45937</v>
      </c>
      <c r="N905" s="1" t="str">
        <f aca="false">IF(M905="","Check",IF(AND(M905&gt;=INPUTS!$C$6,M905&lt;=INPUTS!$C$7),"Yes","No"))</f>
        <v>Yes</v>
      </c>
      <c r="O905" s="48" t="str">
        <f aca="false">STACK!H905</f>
        <v>Health Education Specialist</v>
      </c>
      <c r="P905" s="1" t="str">
        <f aca="false">IF(G905&gt;0,IF(INDEX(CONFIRM!$H$5:$H$53,G905)&lt;&gt;"",INDEX(CONFIRM!$H$5:$H$53,G905),IFERROR(INDEX(MAP!$B$7:$B$156,MATCH(TRIM(O905),MAP!$A$7:$A$156,0)),"UNMAPPED")),IFERROR(INDEX(MAP!$B$7:$B$156,MATCH(TRIM(O905),MAP!$A$7:$A$156,0)),"UNMAPPED"))</f>
        <v>Health Educator</v>
      </c>
      <c r="Q905" s="48" t="n">
        <f aca="false">STACK!I905</f>
        <v>2.25</v>
      </c>
      <c r="R905" s="60" t="n">
        <f aca="false">IF(G905&gt;0,IF(INDEX(CONFIRM!$F$5:$F$53,G905)&lt;&gt;"",INDEX(CONFIRM!$F$5:$F$53,G905),IF(ISNUMBER(Q905),Q905,IF(Q905="","",IFERROR(VALUE(TRIM(SUBSTITUTE(SUBSTITUTE(LOWER(Q905),"hrs",""),"hr",""))),"")))),IF(ISNUMBER(Q905),Q905,IF(Q905="","",IFERROR(VALUE(TRIM(SUBSTITUTE(SUBSTITUTE(LOWER(Q905),"hrs",""),"hr",""))),""))))</f>
        <v>2.25</v>
      </c>
      <c r="S905" s="57" t="n">
        <f aca="false">IFERROR(INDEX(RATES!$E$6:$E$28,MATCH(P905,RATES!$A$6:$A$28,0)),0)</f>
        <v>37.265</v>
      </c>
      <c r="T905" s="61" t="n">
        <f aca="false">IF(ISNUMBER(R905),R905,0)*S905</f>
        <v>83.84625</v>
      </c>
      <c r="U905" s="61" t="n">
        <f aca="false">T905*INDEX(INPUTS!$H$10:$H$14,MATCH(B905,INPUTS!$A$10:$A$14,0))</f>
        <v>13.2477075</v>
      </c>
      <c r="V905" s="61" t="n">
        <f aca="false">N(STACK!K905)</f>
        <v>115</v>
      </c>
      <c r="W905" s="61" t="n">
        <f aca="false">T905+U905+V905</f>
        <v>212.0939575</v>
      </c>
      <c r="X905" s="61" t="n">
        <f aca="false">N(STACK!L905)</f>
        <v>0</v>
      </c>
      <c r="Y905" s="61" t="n">
        <f aca="false">W905-X905</f>
        <v>212.0939575</v>
      </c>
      <c r="Z905" s="1" t="n">
        <f aca="false">N(STACK!J905)</f>
        <v>14</v>
      </c>
      <c r="AA905" s="1" t="str">
        <f aca="false">TRIM(IF(D905="UNMAPPED","Program not mapped. ","")&amp;IF(OR(K905="UNMAPPED",K905="UNASSIGNED"),"Category needs review. ","")&amp;IF(P905="UNMAPPED","Title not mapped. ","")&amp;IF(AND(P905&lt;&gt;"No staff time",R905=""),"Missing hours. ","")&amp;IF(M905="","Date not readable. ","")&amp;IF(N905="No","Outside fiscal year. ","")&amp;IF(AND(F905="Event",ISNUMBER(R905)),IF(R905&gt;12,"Event hours look high. ",""),"")&amp;IF(G905&gt;0,"See CONFIRM sheet.",""))</f>
        <v/>
      </c>
      <c r="AB905" s="1" t="n">
        <f aca="false">IF(N905="No",0,IF(REVIEW!O905=0,0,IF(G905&gt;0,IF(INDEX(CONFIRM!$J$5:$J$53,G905)&lt;&gt;"",INDEX(CONFIRM!$J$5:$J$53,G905),1),1)))</f>
        <v>1</v>
      </c>
      <c r="AC905" s="1" t="n">
        <f aca="false">IF(AB905=1,IF(COUNTIFS($B$5:B905,B905,$D$5:D905,D905,$AB$5:AB905,1)=1,1,0),0)</f>
        <v>0</v>
      </c>
    </row>
    <row r="906" customFormat="false" ht="15" hidden="false" customHeight="false" outlineLevel="0" collapsed="false">
      <c r="A906" s="48" t="str">
        <f aca="false">STACK!A906</f>
        <v>CBH-0078</v>
      </c>
      <c r="B906" s="48" t="str">
        <f aca="false">STACK!B906</f>
        <v>CBH</v>
      </c>
      <c r="C906" s="48" t="str">
        <f aca="false">STACK!E906</f>
        <v>Diabetes Prevention</v>
      </c>
      <c r="D906" s="1" t="str">
        <f aca="false">IFERROR(INDEX(MAP!$J$7:$J$101,MATCH(TRIM(C906),MAP!$I$7:$I$101,0)),"UNMAPPED")</f>
        <v>Diabetes Prevention Classes</v>
      </c>
      <c r="E906" s="1" t="str">
        <f aca="false">IFERROR(INDEX(MAP!$K$7:$K$101,MATCH(TRIM(C906),MAP!$I$7:$I$101,0)),"")</f>
        <v>Chronic disease prevention</v>
      </c>
      <c r="F906" s="1" t="str">
        <f aca="false">IFERROR(INDEX(MAP!$L$7:$L$101,MATCH(TRIM(C906),MAP!$I$7:$I$101,0)),"")</f>
        <v>Event</v>
      </c>
      <c r="G906" s="1" t="n">
        <f aca="false">IFERROR(MATCH(A906,CONFIRM!$A$5:$A$53,0),0)</f>
        <v>0</v>
      </c>
      <c r="H906" s="48" t="str">
        <f aca="false">STACK!F906</f>
        <v>Health Education</v>
      </c>
      <c r="I906" s="1" t="str">
        <f aca="false">IF(G906&gt;0,IF(INDEX(CONFIRM!$I$5:$I$53,G906)&lt;&gt;"",INDEX(CONFIRM!$I$5:$I$53,G906),H906),H906)</f>
        <v>Health Education</v>
      </c>
      <c r="J906" s="1" t="str">
        <f aca="false">IFERROR(INDEX(MAP!$F$7:$F$74,MATCH(TRIM(I906),MAP!$E$7:$E$74,0)),"UNMAPPED")</f>
        <v>Community health education</v>
      </c>
      <c r="K906" s="1" t="str">
        <f aca="false">IFERROR(INDEX(MAP!$G$7:$G$74,MATCH(TRIM(I906),MAP!$E$7:$E$74,0)),"UNMAPPED")</f>
        <v>7e</v>
      </c>
      <c r="L906" s="49" t="str">
        <f aca="false">STACK!G906</f>
        <v>2025-10-07</v>
      </c>
      <c r="M906" s="59" t="n">
        <f aca="false">IF(G906&gt;0,IF(INDEX(CONFIRM!$G$5:$G$53,G906)&lt;&gt;"",INDEX(CONFIRM!$G$5:$G$53,G906),IF(ISNUMBER(L906),L906,IFERROR(DATEVALUE(L906),""))),IF(ISNUMBER(L906),L906,IFERROR(DATEVALUE(L906),"")))</f>
        <v>45937</v>
      </c>
      <c r="N906" s="1" t="str">
        <f aca="false">IF(M906="","Check",IF(AND(M906&gt;=INPUTS!$C$6,M906&lt;=INPUTS!$C$7),"Yes","No"))</f>
        <v>Yes</v>
      </c>
      <c r="O906" s="48" t="str">
        <f aca="false">STACK!H906</f>
        <v>dietitian</v>
      </c>
      <c r="P906" s="1" t="str">
        <f aca="false">IF(G906&gt;0,IF(INDEX(CONFIRM!$H$5:$H$53,G906)&lt;&gt;"",INDEX(CONFIRM!$H$5:$H$53,G906),IFERROR(INDEX(MAP!$B$7:$B$156,MATCH(TRIM(O906),MAP!$A$7:$A$156,0)),"UNMAPPED")),IFERROR(INDEX(MAP!$B$7:$B$156,MATCH(TRIM(O906),MAP!$A$7:$A$156,0)),"UNMAPPED"))</f>
        <v>Registered Dietitian</v>
      </c>
      <c r="Q906" s="48" t="n">
        <f aca="false">STACK!I906</f>
        <v>1.5</v>
      </c>
      <c r="R906" s="60" t="n">
        <f aca="false">IF(G906&gt;0,IF(INDEX(CONFIRM!$F$5:$F$53,G906)&lt;&gt;"",INDEX(CONFIRM!$F$5:$F$53,G906),IF(ISNUMBER(Q906),Q906,IF(Q906="","",IFERROR(VALUE(TRIM(SUBSTITUTE(SUBSTITUTE(LOWER(Q906),"hrs",""),"hr",""))),"")))),IF(ISNUMBER(Q906),Q906,IF(Q906="","",IFERROR(VALUE(TRIM(SUBSTITUTE(SUBSTITUTE(LOWER(Q906),"hrs",""),"hr",""))),""))))</f>
        <v>1.5</v>
      </c>
      <c r="S906" s="57" t="n">
        <f aca="false">IFERROR(INDEX(RATES!$E$6:$E$28,MATCH(P906,RATES!$A$6:$A$28,0)),0)</f>
        <v>46.9025</v>
      </c>
      <c r="T906" s="61" t="n">
        <f aca="false">IF(ISNUMBER(R906),R906,0)*S906</f>
        <v>70.35375</v>
      </c>
      <c r="U906" s="61" t="n">
        <f aca="false">T906*INDEX(INPUTS!$H$10:$H$14,MATCH(B906,INPUTS!$A$10:$A$14,0))</f>
        <v>11.1158925</v>
      </c>
      <c r="V906" s="61" t="n">
        <f aca="false">N(STACK!K906)</f>
        <v>0</v>
      </c>
      <c r="W906" s="61" t="n">
        <f aca="false">T906+U906+V906</f>
        <v>81.4696425</v>
      </c>
      <c r="X906" s="61" t="n">
        <f aca="false">N(STACK!L906)</f>
        <v>0</v>
      </c>
      <c r="Y906" s="61" t="n">
        <f aca="false">W906-X906</f>
        <v>81.4696425</v>
      </c>
      <c r="Z906" s="1" t="n">
        <f aca="false">N(STACK!J906)</f>
        <v>0</v>
      </c>
      <c r="AA906" s="1" t="str">
        <f aca="false">TRIM(IF(D906="UNMAPPED","Program not mapped. ","")&amp;IF(OR(K906="UNMAPPED",K906="UNASSIGNED"),"Category needs review. ","")&amp;IF(P906="UNMAPPED","Title not mapped. ","")&amp;IF(AND(P906&lt;&gt;"No staff time",R906=""),"Missing hours. ","")&amp;IF(M906="","Date not readable. ","")&amp;IF(N906="No","Outside fiscal year. ","")&amp;IF(AND(F906="Event",ISNUMBER(R906)),IF(R906&gt;12,"Event hours look high. ",""),"")&amp;IF(G906&gt;0,"See CONFIRM sheet.",""))</f>
        <v/>
      </c>
      <c r="AB906" s="1" t="n">
        <f aca="false">IF(N906="No",0,IF(REVIEW!O906=0,0,IF(G906&gt;0,IF(INDEX(CONFIRM!$J$5:$J$53,G906)&lt;&gt;"",INDEX(CONFIRM!$J$5:$J$53,G906),1),1)))</f>
        <v>1</v>
      </c>
      <c r="AC906" s="1" t="n">
        <f aca="false">IF(AB906=1,IF(COUNTIFS($B$5:B906,B906,$D$5:D906,D906,$AB$5:AB906,1)=1,1,0),0)</f>
        <v>0</v>
      </c>
    </row>
    <row r="907" customFormat="false" ht="15" hidden="false" customHeight="false" outlineLevel="0" collapsed="false">
      <c r="A907" s="48" t="str">
        <f aca="false">STACK!A907</f>
        <v>CBH-0079</v>
      </c>
      <c r="B907" s="48" t="str">
        <f aca="false">STACK!B907</f>
        <v>CBH</v>
      </c>
      <c r="C907" s="48" t="str">
        <f aca="false">STACK!E907</f>
        <v>Blood Pressure Screening</v>
      </c>
      <c r="D907" s="1" t="str">
        <f aca="false">IFERROR(INDEX(MAP!$J$7:$J$101,MATCH(TRIM(C907),MAP!$I$7:$I$101,0)),"UNMAPPED")</f>
        <v>Community Blood Pressure Checks</v>
      </c>
      <c r="E907" s="1" t="str">
        <f aca="false">IFERROR(INDEX(MAP!$K$7:$K$101,MATCH(TRIM(C907),MAP!$I$7:$I$101,0)),"")</f>
        <v>Chronic disease prevention</v>
      </c>
      <c r="F907" s="1" t="str">
        <f aca="false">IFERROR(INDEX(MAP!$L$7:$L$101,MATCH(TRIM(C907),MAP!$I$7:$I$101,0)),"")</f>
        <v>Event</v>
      </c>
      <c r="G907" s="1" t="n">
        <f aca="false">IFERROR(MATCH(A907,CONFIRM!$A$5:$A$53,0),0)</f>
        <v>0</v>
      </c>
      <c r="H907" s="48" t="str">
        <f aca="false">STACK!F907</f>
        <v>Screenings</v>
      </c>
      <c r="I907" s="1" t="str">
        <f aca="false">IF(G907&gt;0,IF(INDEX(CONFIRM!$I$5:$I$53,G907)&lt;&gt;"",INDEX(CONFIRM!$I$5:$I$53,G907),H907),H907)</f>
        <v>Screenings</v>
      </c>
      <c r="J907" s="1" t="str">
        <f aca="false">IFERROR(INDEX(MAP!$F$7:$F$74,MATCH(TRIM(I907),MAP!$E$7:$E$74,0)),"UNMAPPED")</f>
        <v>Community-based clinical services</v>
      </c>
      <c r="K907" s="1" t="str">
        <f aca="false">IFERROR(INDEX(MAP!$G$7:$G$74,MATCH(TRIM(I907),MAP!$E$7:$E$74,0)),"UNMAPPED")</f>
        <v>7e</v>
      </c>
      <c r="L907" s="49" t="str">
        <f aca="false">STACK!G907</f>
        <v>2025-10-07</v>
      </c>
      <c r="M907" s="59" t="n">
        <f aca="false">IF(G907&gt;0,IF(INDEX(CONFIRM!$G$5:$G$53,G907)&lt;&gt;"",INDEX(CONFIRM!$G$5:$G$53,G907),IF(ISNUMBER(L907),L907,IFERROR(DATEVALUE(L907),""))),IF(ISNUMBER(L907),L907,IFERROR(DATEVALUE(L907),"")))</f>
        <v>45937</v>
      </c>
      <c r="N907" s="1" t="str">
        <f aca="false">IF(M907="","Check",IF(AND(M907&gt;=INPUTS!$C$6,M907&lt;=INPUTS!$C$7),"Yes","No"))</f>
        <v>Yes</v>
      </c>
      <c r="O907" s="48" t="str">
        <f aca="false">STACK!H907</f>
        <v>rn ii</v>
      </c>
      <c r="P907" s="1" t="str">
        <f aca="false">IF(G907&gt;0,IF(INDEX(CONFIRM!$H$5:$H$53,G907)&lt;&gt;"",INDEX(CONFIRM!$H$5:$H$53,G907),IFERROR(INDEX(MAP!$B$7:$B$156,MATCH(TRIM(O907),MAP!$A$7:$A$156,0)),"UNMAPPED")),IFERROR(INDEX(MAP!$B$7:$B$156,MATCH(TRIM(O907),MAP!$A$7:$A$156,0)),"UNMAPPED"))</f>
        <v>Registered Nurse</v>
      </c>
      <c r="Q907" s="48" t="n">
        <f aca="false">STACK!I907</f>
        <v>3.5</v>
      </c>
      <c r="R907" s="60" t="n">
        <f aca="false">IF(G907&gt;0,IF(INDEX(CONFIRM!$F$5:$F$53,G907)&lt;&gt;"",INDEX(CONFIRM!$F$5:$F$53,G907),IF(ISNUMBER(Q907),Q907,IF(Q907="","",IFERROR(VALUE(TRIM(SUBSTITUTE(SUBSTITUTE(LOWER(Q907),"hrs",""),"hr",""))),"")))),IF(ISNUMBER(Q907),Q907,IF(Q907="","",IFERROR(VALUE(TRIM(SUBSTITUTE(SUBSTITUTE(LOWER(Q907),"hrs",""),"hr",""))),""))))</f>
        <v>3.5</v>
      </c>
      <c r="S907" s="57" t="n">
        <f aca="false">IFERROR(INDEX(RATES!$E$6:$E$28,MATCH(P907,RATES!$A$6:$A$28,0)),0)</f>
        <v>55.8975</v>
      </c>
      <c r="T907" s="61" t="n">
        <f aca="false">IF(ISNUMBER(R907),R907,0)*S907</f>
        <v>195.64125</v>
      </c>
      <c r="U907" s="61" t="n">
        <f aca="false">T907*INDEX(INPUTS!$H$10:$H$14,MATCH(B907,INPUTS!$A$10:$A$14,0))</f>
        <v>30.9113175</v>
      </c>
      <c r="V907" s="61" t="n">
        <f aca="false">N(STACK!K907)</f>
        <v>85</v>
      </c>
      <c r="W907" s="61" t="n">
        <f aca="false">T907+U907+V907</f>
        <v>311.5525675</v>
      </c>
      <c r="X907" s="61" t="n">
        <f aca="false">N(STACK!L907)</f>
        <v>0</v>
      </c>
      <c r="Y907" s="61" t="n">
        <f aca="false">W907-X907</f>
        <v>311.5525675</v>
      </c>
      <c r="Z907" s="1" t="n">
        <f aca="false">N(STACK!J907)</f>
        <v>53</v>
      </c>
      <c r="AA907" s="1" t="str">
        <f aca="false">TRIM(IF(D907="UNMAPPED","Program not mapped. ","")&amp;IF(OR(K907="UNMAPPED",K907="UNASSIGNED"),"Category needs review. ","")&amp;IF(P907="UNMAPPED","Title not mapped. ","")&amp;IF(AND(P907&lt;&gt;"No staff time",R907=""),"Missing hours. ","")&amp;IF(M907="","Date not readable. ","")&amp;IF(N907="No","Outside fiscal year. ","")&amp;IF(AND(F907="Event",ISNUMBER(R907)),IF(R907&gt;12,"Event hours look high. ",""),"")&amp;IF(G907&gt;0,"See CONFIRM sheet.",""))</f>
        <v/>
      </c>
      <c r="AB907" s="1" t="n">
        <f aca="false">IF(N907="No",0,IF(REVIEW!O907=0,0,IF(G907&gt;0,IF(INDEX(CONFIRM!$J$5:$J$53,G907)&lt;&gt;"",INDEX(CONFIRM!$J$5:$J$53,G907),1),1)))</f>
        <v>1</v>
      </c>
      <c r="AC907" s="1" t="n">
        <f aca="false">IF(AB907=1,IF(COUNTIFS($B$5:B907,B907,$D$5:D907,D907,$AB$5:AB907,1)=1,1,0),0)</f>
        <v>0</v>
      </c>
    </row>
    <row r="908" customFormat="false" ht="15" hidden="false" customHeight="false" outlineLevel="0" collapsed="false">
      <c r="A908" s="48" t="str">
        <f aca="false">STACK!A908</f>
        <v>CBH-0080</v>
      </c>
      <c r="B908" s="48" t="str">
        <f aca="false">STACK!B908</f>
        <v>CBH</v>
      </c>
      <c r="C908" s="48" t="str">
        <f aca="false">STACK!E908</f>
        <v>Blood Pressure Screening</v>
      </c>
      <c r="D908" s="1" t="str">
        <f aca="false">IFERROR(INDEX(MAP!$J$7:$J$101,MATCH(TRIM(C908),MAP!$I$7:$I$101,0)),"UNMAPPED")</f>
        <v>Community Blood Pressure Checks</v>
      </c>
      <c r="E908" s="1" t="str">
        <f aca="false">IFERROR(INDEX(MAP!$K$7:$K$101,MATCH(TRIM(C908),MAP!$I$7:$I$101,0)),"")</f>
        <v>Chronic disease prevention</v>
      </c>
      <c r="F908" s="1" t="str">
        <f aca="false">IFERROR(INDEX(MAP!$L$7:$L$101,MATCH(TRIM(C908),MAP!$I$7:$I$101,0)),"")</f>
        <v>Event</v>
      </c>
      <c r="G908" s="1" t="n">
        <f aca="false">IFERROR(MATCH(A908,CONFIRM!$A$5:$A$53,0),0)</f>
        <v>0</v>
      </c>
      <c r="H908" s="48" t="str">
        <f aca="false">STACK!F908</f>
        <v>Screenings</v>
      </c>
      <c r="I908" s="1" t="str">
        <f aca="false">IF(G908&gt;0,IF(INDEX(CONFIRM!$I$5:$I$53,G908)&lt;&gt;"",INDEX(CONFIRM!$I$5:$I$53,G908),H908),H908)</f>
        <v>Screenings</v>
      </c>
      <c r="J908" s="1" t="str">
        <f aca="false">IFERROR(INDEX(MAP!$F$7:$F$74,MATCH(TRIM(I908),MAP!$E$7:$E$74,0)),"UNMAPPED")</f>
        <v>Community-based clinical services</v>
      </c>
      <c r="K908" s="1" t="str">
        <f aca="false">IFERROR(INDEX(MAP!$G$7:$G$74,MATCH(TRIM(I908),MAP!$E$7:$E$74,0)),"UNMAPPED")</f>
        <v>7e</v>
      </c>
      <c r="L908" s="49" t="str">
        <f aca="false">STACK!G908</f>
        <v>2025-10-11</v>
      </c>
      <c r="M908" s="59" t="n">
        <f aca="false">IF(G908&gt;0,IF(INDEX(CONFIRM!$G$5:$G$53,G908)&lt;&gt;"",INDEX(CONFIRM!$G$5:$G$53,G908),IF(ISNUMBER(L908),L908,IFERROR(DATEVALUE(L908),""))),IF(ISNUMBER(L908),L908,IFERROR(DATEVALUE(L908),"")))</f>
        <v>45941</v>
      </c>
      <c r="N908" s="1" t="str">
        <f aca="false">IF(M908="","Check",IF(AND(M908&gt;=INPUTS!$C$6,M908&lt;=INPUTS!$C$7),"Yes","No"))</f>
        <v>Yes</v>
      </c>
      <c r="O908" s="48" t="str">
        <f aca="false">STACK!H908</f>
        <v>Registered Nurse</v>
      </c>
      <c r="P908" s="1" t="str">
        <f aca="false">IF(G908&gt;0,IF(INDEX(CONFIRM!$H$5:$H$53,G908)&lt;&gt;"",INDEX(CONFIRM!$H$5:$H$53,G908),IFERROR(INDEX(MAP!$B$7:$B$156,MATCH(TRIM(O908),MAP!$A$7:$A$156,0)),"UNMAPPED")),IFERROR(INDEX(MAP!$B$7:$B$156,MATCH(TRIM(O908),MAP!$A$7:$A$156,0)),"UNMAPPED"))</f>
        <v>Registered Nurse</v>
      </c>
      <c r="Q908" s="48" t="n">
        <f aca="false">STACK!I908</f>
        <v>3.75</v>
      </c>
      <c r="R908" s="60" t="n">
        <f aca="false">IF(G908&gt;0,IF(INDEX(CONFIRM!$F$5:$F$53,G908)&lt;&gt;"",INDEX(CONFIRM!$F$5:$F$53,G908),IF(ISNUMBER(Q908),Q908,IF(Q908="","",IFERROR(VALUE(TRIM(SUBSTITUTE(SUBSTITUTE(LOWER(Q908),"hrs",""),"hr",""))),"")))),IF(ISNUMBER(Q908),Q908,IF(Q908="","",IFERROR(VALUE(TRIM(SUBSTITUTE(SUBSTITUTE(LOWER(Q908),"hrs",""),"hr",""))),""))))</f>
        <v>3.75</v>
      </c>
      <c r="S908" s="57" t="n">
        <f aca="false">IFERROR(INDEX(RATES!$E$6:$E$28,MATCH(P908,RATES!$A$6:$A$28,0)),0)</f>
        <v>55.8975</v>
      </c>
      <c r="T908" s="61" t="n">
        <f aca="false">IF(ISNUMBER(R908),R908,0)*S908</f>
        <v>209.615625</v>
      </c>
      <c r="U908" s="61" t="n">
        <f aca="false">T908*INDEX(INPUTS!$H$10:$H$14,MATCH(B908,INPUTS!$A$10:$A$14,0))</f>
        <v>33.11926875</v>
      </c>
      <c r="V908" s="61" t="n">
        <f aca="false">N(STACK!K908)</f>
        <v>40</v>
      </c>
      <c r="W908" s="61" t="n">
        <f aca="false">T908+U908+V908</f>
        <v>282.73489375</v>
      </c>
      <c r="X908" s="61" t="n">
        <f aca="false">N(STACK!L908)</f>
        <v>0</v>
      </c>
      <c r="Y908" s="61" t="n">
        <f aca="false">W908-X908</f>
        <v>282.73489375</v>
      </c>
      <c r="Z908" s="1" t="n">
        <f aca="false">N(STACK!J908)</f>
        <v>74</v>
      </c>
      <c r="AA908" s="1" t="str">
        <f aca="false">TRIM(IF(D908="UNMAPPED","Program not mapped. ","")&amp;IF(OR(K908="UNMAPPED",K908="UNASSIGNED"),"Category needs review. ","")&amp;IF(P908="UNMAPPED","Title not mapped. ","")&amp;IF(AND(P908&lt;&gt;"No staff time",R908=""),"Missing hours. ","")&amp;IF(M908="","Date not readable. ","")&amp;IF(N908="No","Outside fiscal year. ","")&amp;IF(AND(F908="Event",ISNUMBER(R908)),IF(R908&gt;12,"Event hours look high. ",""),"")&amp;IF(G908&gt;0,"See CONFIRM sheet.",""))</f>
        <v/>
      </c>
      <c r="AB908" s="1" t="n">
        <f aca="false">IF(N908="No",0,IF(REVIEW!O908=0,0,IF(G908&gt;0,IF(INDEX(CONFIRM!$J$5:$J$53,G908)&lt;&gt;"",INDEX(CONFIRM!$J$5:$J$53,G908),1),1)))</f>
        <v>1</v>
      </c>
      <c r="AC908" s="1" t="n">
        <f aca="false">IF(AB908=1,IF(COUNTIFS($B$5:B908,B908,$D$5:D908,D908,$AB$5:AB908,1)=1,1,0),0)</f>
        <v>0</v>
      </c>
    </row>
    <row r="909" customFormat="false" ht="15" hidden="false" customHeight="false" outlineLevel="0" collapsed="false">
      <c r="A909" s="48" t="str">
        <f aca="false">STACK!A909</f>
        <v>CBH-0081</v>
      </c>
      <c r="B909" s="48" t="str">
        <f aca="false">STACK!B909</f>
        <v>CBH</v>
      </c>
      <c r="C909" s="48" t="str">
        <f aca="false">STACK!E909</f>
        <v>Prenatal &amp; Newborn Classes</v>
      </c>
      <c r="D909" s="1" t="str">
        <f aca="false">IFERROR(INDEX(MAP!$J$7:$J$101,MATCH(TRIM(C909),MAP!$I$7:$I$101,0)),"UNMAPPED")</f>
        <v>Childbirth and Newborn Care Classes</v>
      </c>
      <c r="E909" s="1" t="str">
        <f aca="false">IFERROR(INDEX(MAP!$K$7:$K$101,MATCH(TRIM(C909),MAP!$I$7:$I$101,0)),"")</f>
        <v>Maternal and child health</v>
      </c>
      <c r="F909" s="1" t="str">
        <f aca="false">IFERROR(INDEX(MAP!$L$7:$L$101,MATCH(TRIM(C909),MAP!$I$7:$I$101,0)),"")</f>
        <v>Event</v>
      </c>
      <c r="G909" s="1" t="n">
        <f aca="false">IFERROR(MATCH(A909,CONFIRM!$A$5:$A$53,0),0)</f>
        <v>0</v>
      </c>
      <c r="H909" s="48" t="str">
        <f aca="false">STACK!F909</f>
        <v>Health Education</v>
      </c>
      <c r="I909" s="1" t="str">
        <f aca="false">IF(G909&gt;0,IF(INDEX(CONFIRM!$I$5:$I$53,G909)&lt;&gt;"",INDEX(CONFIRM!$I$5:$I$53,G909),H909),H909)</f>
        <v>Health Education</v>
      </c>
      <c r="J909" s="1" t="str">
        <f aca="false">IFERROR(INDEX(MAP!$F$7:$F$74,MATCH(TRIM(I909),MAP!$E$7:$E$74,0)),"UNMAPPED")</f>
        <v>Community health education</v>
      </c>
      <c r="K909" s="1" t="str">
        <f aca="false">IFERROR(INDEX(MAP!$G$7:$G$74,MATCH(TRIM(I909),MAP!$E$7:$E$74,0)),"UNMAPPED")</f>
        <v>7e</v>
      </c>
      <c r="L909" s="49" t="str">
        <f aca="false">STACK!G909</f>
        <v>2025-10-13</v>
      </c>
      <c r="M909" s="59" t="n">
        <f aca="false">IF(G909&gt;0,IF(INDEX(CONFIRM!$G$5:$G$53,G909)&lt;&gt;"",INDEX(CONFIRM!$G$5:$G$53,G909),IF(ISNUMBER(L909),L909,IFERROR(DATEVALUE(L909),""))),IF(ISNUMBER(L909),L909,IFERROR(DATEVALUE(L909),"")))</f>
        <v>45943</v>
      </c>
      <c r="N909" s="1" t="str">
        <f aca="false">IF(M909="","Check",IF(AND(M909&gt;=INPUTS!$C$6,M909&lt;=INPUTS!$C$7),"Yes","No"))</f>
        <v>Yes</v>
      </c>
      <c r="O909" s="48" t="str">
        <f aca="false">STACK!H909</f>
        <v>RN Educator</v>
      </c>
      <c r="P909" s="1" t="str">
        <f aca="false">IF(G909&gt;0,IF(INDEX(CONFIRM!$H$5:$H$53,G909)&lt;&gt;"",INDEX(CONFIRM!$H$5:$H$53,G909),IFERROR(INDEX(MAP!$B$7:$B$156,MATCH(TRIM(O909),MAP!$A$7:$A$156,0)),"UNMAPPED")),IFERROR(INDEX(MAP!$B$7:$B$156,MATCH(TRIM(O909),MAP!$A$7:$A$156,0)),"UNMAPPED"))</f>
        <v>Clinical Nurse Educator</v>
      </c>
      <c r="Q909" s="48" t="n">
        <f aca="false">STACK!I909</f>
        <v>3.5</v>
      </c>
      <c r="R909" s="60" t="n">
        <f aca="false">IF(G909&gt;0,IF(INDEX(CONFIRM!$F$5:$F$53,G909)&lt;&gt;"",INDEX(CONFIRM!$F$5:$F$53,G909),IF(ISNUMBER(Q909),Q909,IF(Q909="","",IFERROR(VALUE(TRIM(SUBSTITUTE(SUBSTITUTE(LOWER(Q909),"hrs",""),"hr",""))),"")))),IF(ISNUMBER(Q909),Q909,IF(Q909="","",IFERROR(VALUE(TRIM(SUBSTITUTE(SUBSTITUTE(LOWER(Q909),"hrs",""),"hr",""))),""))))</f>
        <v>3.5</v>
      </c>
      <c r="S909" s="57" t="n">
        <f aca="false">IFERROR(INDEX(RATES!$E$6:$E$28,MATCH(P909,RATES!$A$6:$A$28,0)),0)</f>
        <v>62.965</v>
      </c>
      <c r="T909" s="61" t="n">
        <f aca="false">IF(ISNUMBER(R909),R909,0)*S909</f>
        <v>220.3775</v>
      </c>
      <c r="U909" s="61" t="n">
        <f aca="false">T909*INDEX(INPUTS!$H$10:$H$14,MATCH(B909,INPUTS!$A$10:$A$14,0))</f>
        <v>34.819645</v>
      </c>
      <c r="V909" s="61" t="n">
        <f aca="false">N(STACK!K909)</f>
        <v>155</v>
      </c>
      <c r="W909" s="61" t="n">
        <f aca="false">T909+U909+V909</f>
        <v>410.197145</v>
      </c>
      <c r="X909" s="61" t="n">
        <f aca="false">N(STACK!L909)</f>
        <v>320</v>
      </c>
      <c r="Y909" s="61" t="n">
        <f aca="false">W909-X909</f>
        <v>90.197145</v>
      </c>
      <c r="Z909" s="1" t="n">
        <f aca="false">N(STACK!J909)</f>
        <v>16</v>
      </c>
      <c r="AA909" s="1" t="str">
        <f aca="false">TRIM(IF(D909="UNMAPPED","Program not mapped. ","")&amp;IF(OR(K909="UNMAPPED",K909="UNASSIGNED"),"Category needs review. ","")&amp;IF(P909="UNMAPPED","Title not mapped. ","")&amp;IF(AND(P909&lt;&gt;"No staff time",R909=""),"Missing hours. ","")&amp;IF(M909="","Date not readable. ","")&amp;IF(N909="No","Outside fiscal year. ","")&amp;IF(AND(F909="Event",ISNUMBER(R909)),IF(R909&gt;12,"Event hours look high. ",""),"")&amp;IF(G909&gt;0,"See CONFIRM sheet.",""))</f>
        <v/>
      </c>
      <c r="AB909" s="1" t="n">
        <f aca="false">IF(N909="No",0,IF(REVIEW!O909=0,0,IF(G909&gt;0,IF(INDEX(CONFIRM!$J$5:$J$53,G909)&lt;&gt;"",INDEX(CONFIRM!$J$5:$J$53,G909),1),1)))</f>
        <v>1</v>
      </c>
      <c r="AC909" s="1" t="n">
        <f aca="false">IF(AB909=1,IF(COUNTIFS($B$5:B909,B909,$D$5:D909,D909,$AB$5:AB909,1)=1,1,0),0)</f>
        <v>0</v>
      </c>
    </row>
    <row r="910" customFormat="false" ht="15" hidden="false" customHeight="false" outlineLevel="0" collapsed="false">
      <c r="A910" s="48" t="str">
        <f aca="false">STACK!A910</f>
        <v>CBH-0082</v>
      </c>
      <c r="B910" s="48" t="str">
        <f aca="false">STACK!B910</f>
        <v>CBH</v>
      </c>
      <c r="C910" s="48" t="str">
        <f aca="false">STACK!E910</f>
        <v>Bereavement Group</v>
      </c>
      <c r="D910" s="1" t="str">
        <f aca="false">IFERROR(INDEX(MAP!$J$7:$J$101,MATCH(TRIM(C910),MAP!$I$7:$I$101,0)),"UNMAPPED")</f>
        <v>Grief Support Group</v>
      </c>
      <c r="E910" s="1" t="str">
        <f aca="false">IFERROR(INDEX(MAP!$K$7:$K$101,MATCH(TRIM(C910),MAP!$I$7:$I$101,0)),"")</f>
        <v>Behavioral health</v>
      </c>
      <c r="F910" s="1" t="str">
        <f aca="false">IFERROR(INDEX(MAP!$L$7:$L$101,MATCH(TRIM(C910),MAP!$I$7:$I$101,0)),"")</f>
        <v>Event</v>
      </c>
      <c r="G910" s="1" t="n">
        <f aca="false">IFERROR(MATCH(A910,CONFIRM!$A$5:$A$53,0),0)</f>
        <v>0</v>
      </c>
      <c r="H910" s="48" t="str">
        <f aca="false">STACK!F910</f>
        <v>Patient Support</v>
      </c>
      <c r="I910" s="1" t="str">
        <f aca="false">IF(G910&gt;0,IF(INDEX(CONFIRM!$I$5:$I$53,G910)&lt;&gt;"",INDEX(CONFIRM!$I$5:$I$53,G910),H910),H910)</f>
        <v>Patient Support</v>
      </c>
      <c r="J910" s="1" t="str">
        <f aca="false">IFERROR(INDEX(MAP!$F$7:$F$74,MATCH(TRIM(I910),MAP!$E$7:$E$74,0)),"UNMAPPED")</f>
        <v>Health care support services</v>
      </c>
      <c r="K910" s="1" t="str">
        <f aca="false">IFERROR(INDEX(MAP!$G$7:$G$74,MATCH(TRIM(I910),MAP!$E$7:$E$74,0)),"UNMAPPED")</f>
        <v>7e</v>
      </c>
      <c r="L910" s="49" t="str">
        <f aca="false">STACK!G910</f>
        <v>2025-10-17</v>
      </c>
      <c r="M910" s="59" t="n">
        <f aca="false">IF(G910&gt;0,IF(INDEX(CONFIRM!$G$5:$G$53,G910)&lt;&gt;"",INDEX(CONFIRM!$G$5:$G$53,G910),IF(ISNUMBER(L910),L910,IFERROR(DATEVALUE(L910),""))),IF(ISNUMBER(L910),L910,IFERROR(DATEVALUE(L910),"")))</f>
        <v>45947</v>
      </c>
      <c r="N910" s="1" t="str">
        <f aca="false">IF(M910="","Check",IF(AND(M910&gt;=INPUTS!$C$6,M910&lt;=INPUTS!$C$7),"Yes","No"))</f>
        <v>Yes</v>
      </c>
      <c r="O910" s="48" t="str">
        <f aca="false">STACK!H910</f>
        <v>Chaplain</v>
      </c>
      <c r="P910" s="1" t="str">
        <f aca="false">IF(G910&gt;0,IF(INDEX(CONFIRM!$H$5:$H$53,G910)&lt;&gt;"",INDEX(CONFIRM!$H$5:$H$53,G910),IFERROR(INDEX(MAP!$B$7:$B$156,MATCH(TRIM(O910),MAP!$A$7:$A$156,0)),"UNMAPPED")),IFERROR(INDEX(MAP!$B$7:$B$156,MATCH(TRIM(O910),MAP!$A$7:$A$156,0)),"UNMAPPED"))</f>
        <v>Chaplain</v>
      </c>
      <c r="Q910" s="48" t="n">
        <f aca="false">STACK!I910</f>
        <v>2</v>
      </c>
      <c r="R910" s="60" t="n">
        <f aca="false">IF(G910&gt;0,IF(INDEX(CONFIRM!$F$5:$F$53,G910)&lt;&gt;"",INDEX(CONFIRM!$F$5:$F$53,G910),IF(ISNUMBER(Q910),Q910,IF(Q910="","",IFERROR(VALUE(TRIM(SUBSTITUTE(SUBSTITUTE(LOWER(Q910),"hrs",""),"hr",""))),"")))),IF(ISNUMBER(Q910),Q910,IF(Q910="","",IFERROR(VALUE(TRIM(SUBSTITUTE(SUBSTITUTE(LOWER(Q910),"hrs",""),"hr",""))),""))))</f>
        <v>2</v>
      </c>
      <c r="S910" s="57" t="n">
        <f aca="false">IFERROR(INDEX(RATES!$E$6:$E$28,MATCH(P910,RATES!$A$6:$A$28,0)),0)</f>
        <v>39.835</v>
      </c>
      <c r="T910" s="61" t="n">
        <f aca="false">IF(ISNUMBER(R910),R910,0)*S910</f>
        <v>79.67</v>
      </c>
      <c r="U910" s="61" t="n">
        <f aca="false">T910*INDEX(INPUTS!$H$10:$H$14,MATCH(B910,INPUTS!$A$10:$A$14,0))</f>
        <v>12.58786</v>
      </c>
      <c r="V910" s="61" t="n">
        <f aca="false">N(STACK!K910)</f>
        <v>40</v>
      </c>
      <c r="W910" s="61" t="n">
        <f aca="false">T910+U910+V910</f>
        <v>132.25786</v>
      </c>
      <c r="X910" s="61" t="n">
        <f aca="false">N(STACK!L910)</f>
        <v>0</v>
      </c>
      <c r="Y910" s="61" t="n">
        <f aca="false">W910-X910</f>
        <v>132.25786</v>
      </c>
      <c r="Z910" s="1" t="n">
        <f aca="false">N(STACK!J910)</f>
        <v>8</v>
      </c>
      <c r="AA910" s="1" t="str">
        <f aca="false">TRIM(IF(D910="UNMAPPED","Program not mapped. ","")&amp;IF(OR(K910="UNMAPPED",K910="UNASSIGNED"),"Category needs review. ","")&amp;IF(P910="UNMAPPED","Title not mapped. ","")&amp;IF(AND(P910&lt;&gt;"No staff time",R910=""),"Missing hours. ","")&amp;IF(M910="","Date not readable. ","")&amp;IF(N910="No","Outside fiscal year. ","")&amp;IF(AND(F910="Event",ISNUMBER(R910)),IF(R910&gt;12,"Event hours look high. ",""),"")&amp;IF(G910&gt;0,"See CONFIRM sheet.",""))</f>
        <v/>
      </c>
      <c r="AB910" s="1" t="n">
        <f aca="false">IF(N910="No",0,IF(REVIEW!O910=0,0,IF(G910&gt;0,IF(INDEX(CONFIRM!$J$5:$J$53,G910)&lt;&gt;"",INDEX(CONFIRM!$J$5:$J$53,G910),1),1)))</f>
        <v>1</v>
      </c>
      <c r="AC910" s="1" t="n">
        <f aca="false">IF(AB910=1,IF(COUNTIFS($B$5:B910,B910,$D$5:D910,D910,$AB$5:AB910,1)=1,1,0),0)</f>
        <v>0</v>
      </c>
    </row>
    <row r="911" customFormat="false" ht="15" hidden="false" customHeight="false" outlineLevel="0" collapsed="false">
      <c r="A911" s="48" t="str">
        <f aca="false">STACK!A911</f>
        <v>CBH-0083</v>
      </c>
      <c r="B911" s="48" t="str">
        <f aca="false">STACK!B911</f>
        <v>CBH</v>
      </c>
      <c r="C911" s="48" t="str">
        <f aca="false">STACK!E911</f>
        <v>Bereavement Group</v>
      </c>
      <c r="D911" s="1" t="str">
        <f aca="false">IFERROR(INDEX(MAP!$J$7:$J$101,MATCH(TRIM(C911),MAP!$I$7:$I$101,0)),"UNMAPPED")</f>
        <v>Grief Support Group</v>
      </c>
      <c r="E911" s="1" t="str">
        <f aca="false">IFERROR(INDEX(MAP!$K$7:$K$101,MATCH(TRIM(C911),MAP!$I$7:$I$101,0)),"")</f>
        <v>Behavioral health</v>
      </c>
      <c r="F911" s="1" t="str">
        <f aca="false">IFERROR(INDEX(MAP!$L$7:$L$101,MATCH(TRIM(C911),MAP!$I$7:$I$101,0)),"")</f>
        <v>Event</v>
      </c>
      <c r="G911" s="1" t="n">
        <f aca="false">IFERROR(MATCH(A911,CONFIRM!$A$5:$A$53,0),0)</f>
        <v>0</v>
      </c>
      <c r="H911" s="48" t="str">
        <f aca="false">STACK!F911</f>
        <v>Patient Support</v>
      </c>
      <c r="I911" s="1" t="str">
        <f aca="false">IF(G911&gt;0,IF(INDEX(CONFIRM!$I$5:$I$53,G911)&lt;&gt;"",INDEX(CONFIRM!$I$5:$I$53,G911),H911),H911)</f>
        <v>Patient Support</v>
      </c>
      <c r="J911" s="1" t="str">
        <f aca="false">IFERROR(INDEX(MAP!$F$7:$F$74,MATCH(TRIM(I911),MAP!$E$7:$E$74,0)),"UNMAPPED")</f>
        <v>Health care support services</v>
      </c>
      <c r="K911" s="1" t="str">
        <f aca="false">IFERROR(INDEX(MAP!$G$7:$G$74,MATCH(TRIM(I911),MAP!$E$7:$E$74,0)),"UNMAPPED")</f>
        <v>7e</v>
      </c>
      <c r="L911" s="49" t="str">
        <f aca="false">STACK!G911</f>
        <v>2025-10-17</v>
      </c>
      <c r="M911" s="59" t="n">
        <f aca="false">IF(G911&gt;0,IF(INDEX(CONFIRM!$G$5:$G$53,G911)&lt;&gt;"",INDEX(CONFIRM!$G$5:$G$53,G911),IF(ISNUMBER(L911),L911,IFERROR(DATEVALUE(L911),""))),IF(ISNUMBER(L911),L911,IFERROR(DATEVALUE(L911),"")))</f>
        <v>45947</v>
      </c>
      <c r="N911" s="1" t="str">
        <f aca="false">IF(M911="","Check",IF(AND(M911&gt;=INPUTS!$C$6,M911&lt;=INPUTS!$C$7),"Yes","No"))</f>
        <v>Yes</v>
      </c>
      <c r="O911" s="48" t="str">
        <f aca="false">STACK!H911</f>
        <v>MSW</v>
      </c>
      <c r="P911" s="1" t="str">
        <f aca="false">IF(G911&gt;0,IF(INDEX(CONFIRM!$H$5:$H$53,G911)&lt;&gt;"",INDEX(CONFIRM!$H$5:$H$53,G911),IFERROR(INDEX(MAP!$B$7:$B$156,MATCH(TRIM(O911),MAP!$A$7:$A$156,0)),"UNMAPPED")),IFERROR(INDEX(MAP!$B$7:$B$156,MATCH(TRIM(O911),MAP!$A$7:$A$156,0)),"UNMAPPED"))</f>
        <v>Social Worker</v>
      </c>
      <c r="Q911" s="48" t="n">
        <f aca="false">STACK!I911</f>
        <v>1.75</v>
      </c>
      <c r="R911" s="60" t="n">
        <f aca="false">IF(G911&gt;0,IF(INDEX(CONFIRM!$F$5:$F$53,G911)&lt;&gt;"",INDEX(CONFIRM!$F$5:$F$53,G911),IF(ISNUMBER(Q911),Q911,IF(Q911="","",IFERROR(VALUE(TRIM(SUBSTITUTE(SUBSTITUTE(LOWER(Q911),"hrs",""),"hr",""))),"")))),IF(ISNUMBER(Q911),Q911,IF(Q911="","",IFERROR(VALUE(TRIM(SUBSTITUTE(SUBSTITUTE(LOWER(Q911),"hrs",""),"hr",""))),""))))</f>
        <v>1.75</v>
      </c>
      <c r="S911" s="57" t="n">
        <f aca="false">IFERROR(INDEX(RATES!$E$6:$E$28,MATCH(P911,RATES!$A$6:$A$28,0)),0)</f>
        <v>45.6175</v>
      </c>
      <c r="T911" s="61" t="n">
        <f aca="false">IF(ISNUMBER(R911),R911,0)*S911</f>
        <v>79.830625</v>
      </c>
      <c r="U911" s="61" t="n">
        <f aca="false">T911*INDEX(INPUTS!$H$10:$H$14,MATCH(B911,INPUTS!$A$10:$A$14,0))</f>
        <v>12.61323875</v>
      </c>
      <c r="V911" s="61" t="n">
        <f aca="false">N(STACK!K911)</f>
        <v>0</v>
      </c>
      <c r="W911" s="61" t="n">
        <f aca="false">T911+U911+V911</f>
        <v>92.44386375</v>
      </c>
      <c r="X911" s="61" t="n">
        <f aca="false">N(STACK!L911)</f>
        <v>0</v>
      </c>
      <c r="Y911" s="61" t="n">
        <f aca="false">W911-X911</f>
        <v>92.44386375</v>
      </c>
      <c r="Z911" s="1" t="n">
        <f aca="false">N(STACK!J911)</f>
        <v>0</v>
      </c>
      <c r="AA911" s="1" t="str">
        <f aca="false">TRIM(IF(D911="UNMAPPED","Program not mapped. ","")&amp;IF(OR(K911="UNMAPPED",K911="UNASSIGNED"),"Category needs review. ","")&amp;IF(P911="UNMAPPED","Title not mapped. ","")&amp;IF(AND(P911&lt;&gt;"No staff time",R911=""),"Missing hours. ","")&amp;IF(M911="","Date not readable. ","")&amp;IF(N911="No","Outside fiscal year. ","")&amp;IF(AND(F911="Event",ISNUMBER(R911)),IF(R911&gt;12,"Event hours look high. ",""),"")&amp;IF(G911&gt;0,"See CONFIRM sheet.",""))</f>
        <v/>
      </c>
      <c r="AB911" s="1" t="n">
        <f aca="false">IF(N911="No",0,IF(REVIEW!O911=0,0,IF(G911&gt;0,IF(INDEX(CONFIRM!$J$5:$J$53,G911)&lt;&gt;"",INDEX(CONFIRM!$J$5:$J$53,G911),1),1)))</f>
        <v>1</v>
      </c>
      <c r="AC911" s="1" t="n">
        <f aca="false">IF(AB911=1,IF(COUNTIFS($B$5:B911,B911,$D$5:D911,D911,$AB$5:AB911,1)=1,1,0),0)</f>
        <v>0</v>
      </c>
    </row>
    <row r="912" customFormat="false" ht="15" hidden="false" customHeight="false" outlineLevel="0" collapsed="false">
      <c r="A912" s="48" t="str">
        <f aca="false">STACK!A912</f>
        <v>CBH-0084</v>
      </c>
      <c r="B912" s="48" t="str">
        <f aca="false">STACK!B912</f>
        <v>CBH</v>
      </c>
      <c r="C912" s="48" t="str">
        <f aca="false">STACK!E912</f>
        <v>Health Coalition</v>
      </c>
      <c r="D912" s="1" t="str">
        <f aca="false">IFERROR(INDEX(MAP!$J$7:$J$101,MATCH(TRIM(C912),MAP!$I$7:$I$101,0)),"UNMAPPED")</f>
        <v>Regional Health Coalition</v>
      </c>
      <c r="E912" s="1" t="str">
        <f aca="false">IFERROR(INDEX(MAP!$K$7:$K$101,MATCH(TRIM(C912),MAP!$I$7:$I$101,0)),"")</f>
        <v>Community benefit infrastructure</v>
      </c>
      <c r="F912" s="1" t="str">
        <f aca="false">IFERROR(INDEX(MAP!$L$7:$L$101,MATCH(TRIM(C912),MAP!$I$7:$I$101,0)),"")</f>
        <v>Event</v>
      </c>
      <c r="G912" s="1" t="n">
        <f aca="false">IFERROR(MATCH(A912,CONFIRM!$A$5:$A$53,0),0)</f>
        <v>14</v>
      </c>
      <c r="H912" s="48" t="str">
        <f aca="false">STACK!F912</f>
        <v>Community Health Improvement</v>
      </c>
      <c r="I912" s="1" t="str">
        <f aca="false">IF(G912&gt;0,IF(INDEX(CONFIRM!$I$5:$I$53,G912)&lt;&gt;"",INDEX(CONFIRM!$I$5:$I$53,G912),H912),H912)</f>
        <v>Community building: coalition building</v>
      </c>
      <c r="J912" s="1" t="str">
        <f aca="false">IFERROR(INDEX(MAP!$F$7:$F$74,MATCH(TRIM(I912),MAP!$E$7:$E$74,0)),"UNMAPPED")</f>
        <v>Community building: coalition building</v>
      </c>
      <c r="K912" s="1" t="str">
        <f aca="false">IFERROR(INDEX(MAP!$G$7:$G$74,MATCH(TRIM(I912),MAP!$E$7:$E$74,0)),"UNMAPPED")</f>
        <v>II-6</v>
      </c>
      <c r="L912" s="49" t="str">
        <f aca="false">STACK!G912</f>
        <v>2025-10-20</v>
      </c>
      <c r="M912" s="59" t="n">
        <f aca="false">IF(G912&gt;0,IF(INDEX(CONFIRM!$G$5:$G$53,G912)&lt;&gt;"",INDEX(CONFIRM!$G$5:$G$53,G912),IF(ISNUMBER(L912),L912,IFERROR(DATEVALUE(L912),""))),IF(ISNUMBER(L912),L912,IFERROR(DATEVALUE(L912),"")))</f>
        <v>45950</v>
      </c>
      <c r="N912" s="1" t="str">
        <f aca="false">IF(M912="","Check",IF(AND(M912&gt;=INPUTS!$C$6,M912&lt;=INPUTS!$C$7),"Yes","No"))</f>
        <v>Yes</v>
      </c>
      <c r="O912" s="48" t="str">
        <f aca="false">STACK!H912</f>
        <v>Mgr, Community Benefit</v>
      </c>
      <c r="P912" s="1" t="str">
        <f aca="false">IF(G912&gt;0,IF(INDEX(CONFIRM!$H$5:$H$53,G912)&lt;&gt;"",INDEX(CONFIRM!$H$5:$H$53,G912),IFERROR(INDEX(MAP!$B$7:$B$156,MATCH(TRIM(O912),MAP!$A$7:$A$156,0)),"UNMAPPED")),IFERROR(INDEX(MAP!$B$7:$B$156,MATCH(TRIM(O912),MAP!$A$7:$A$156,0)),"UNMAPPED"))</f>
        <v>Community Benefit Manager</v>
      </c>
      <c r="Q912" s="48" t="n">
        <f aca="false">STACK!I912</f>
        <v>2.5</v>
      </c>
      <c r="R912" s="60" t="n">
        <f aca="false">IF(G912&gt;0,IF(INDEX(CONFIRM!$F$5:$F$53,G912)&lt;&gt;"",INDEX(CONFIRM!$F$5:$F$53,G912),IF(ISNUMBER(Q912),Q912,IF(Q912="","",IFERROR(VALUE(TRIM(SUBSTITUTE(SUBSTITUTE(LOWER(Q912),"hrs",""),"hr",""))),"")))),IF(ISNUMBER(Q912),Q912,IF(Q912="","",IFERROR(VALUE(TRIM(SUBSTITUTE(SUBSTITUTE(LOWER(Q912),"hrs",""),"hr",""))),""))))</f>
        <v>2.5</v>
      </c>
      <c r="S912" s="57" t="n">
        <f aca="false">IFERROR(INDEX(RATES!$E$6:$E$28,MATCH(P912,RATES!$A$6:$A$28,0)),0)</f>
        <v>59.11</v>
      </c>
      <c r="T912" s="61" t="n">
        <f aca="false">IF(ISNUMBER(R912),R912,0)*S912</f>
        <v>147.775</v>
      </c>
      <c r="U912" s="61" t="n">
        <f aca="false">T912*INDEX(INPUTS!$H$10:$H$14,MATCH(B912,INPUTS!$A$10:$A$14,0))</f>
        <v>23.34845</v>
      </c>
      <c r="V912" s="61" t="n">
        <f aca="false">N(STACK!K912)</f>
        <v>0</v>
      </c>
      <c r="W912" s="61" t="n">
        <f aca="false">T912+U912+V912</f>
        <v>171.12345</v>
      </c>
      <c r="X912" s="61" t="n">
        <f aca="false">N(STACK!L912)</f>
        <v>0</v>
      </c>
      <c r="Y912" s="61" t="n">
        <f aca="false">W912-X912</f>
        <v>171.12345</v>
      </c>
      <c r="Z912" s="1" t="n">
        <f aca="false">N(STACK!J912)</f>
        <v>0</v>
      </c>
      <c r="AA912" s="1" t="str">
        <f aca="false">TRIM(IF(D912="UNMAPPED","Program not mapped. ","")&amp;IF(OR(K912="UNMAPPED",K912="UNASSIGNED"),"Category needs review. ","")&amp;IF(P912="UNMAPPED","Title not mapped. ","")&amp;IF(AND(P912&lt;&gt;"No staff time",R912=""),"Missing hours. ","")&amp;IF(M912="","Date not readable. ","")&amp;IF(N912="No","Outside fiscal year. ","")&amp;IF(AND(F912="Event",ISNUMBER(R912)),IF(R912&gt;12,"Event hours look high. ",""),"")&amp;IF(G912&gt;0,"See CONFIRM sheet.",""))</f>
        <v>See CONFIRM sheet.</v>
      </c>
      <c r="AB912" s="1" t="n">
        <f aca="false">IF(N912="No",0,IF(REVIEW!O912=0,0,IF(G912&gt;0,IF(INDEX(CONFIRM!$J$5:$J$53,G912)&lt;&gt;"",INDEX(CONFIRM!$J$5:$J$53,G912),1),1)))</f>
        <v>1</v>
      </c>
      <c r="AC912" s="1" t="n">
        <f aca="false">IF(AB912=1,IF(COUNTIFS($B$5:B912,B912,$D$5:D912,D912,$AB$5:AB912,1)=1,1,0),0)</f>
        <v>0</v>
      </c>
    </row>
    <row r="913" customFormat="false" ht="15" hidden="false" customHeight="false" outlineLevel="0" collapsed="false">
      <c r="A913" s="48" t="str">
        <f aca="false">STACK!A913</f>
        <v>CBH-0085</v>
      </c>
      <c r="B913" s="48" t="str">
        <f aca="false">STACK!B913</f>
        <v>CBH</v>
      </c>
      <c r="C913" s="48" t="str">
        <f aca="false">STACK!E913</f>
        <v>Health Coalition</v>
      </c>
      <c r="D913" s="1" t="str">
        <f aca="false">IFERROR(INDEX(MAP!$J$7:$J$101,MATCH(TRIM(C913),MAP!$I$7:$I$101,0)),"UNMAPPED")</f>
        <v>Regional Health Coalition</v>
      </c>
      <c r="E913" s="1" t="str">
        <f aca="false">IFERROR(INDEX(MAP!$K$7:$K$101,MATCH(TRIM(C913),MAP!$I$7:$I$101,0)),"")</f>
        <v>Community benefit infrastructure</v>
      </c>
      <c r="F913" s="1" t="str">
        <f aca="false">IFERROR(INDEX(MAP!$L$7:$L$101,MATCH(TRIM(C913),MAP!$I$7:$I$101,0)),"")</f>
        <v>Event</v>
      </c>
      <c r="G913" s="1" t="n">
        <f aca="false">IFERROR(MATCH(A913,CONFIRM!$A$5:$A$53,0),0)</f>
        <v>15</v>
      </c>
      <c r="H913" s="48" t="str">
        <f aca="false">STACK!F913</f>
        <v>Community Health Improvement</v>
      </c>
      <c r="I913" s="1" t="str">
        <f aca="false">IF(G913&gt;0,IF(INDEX(CONFIRM!$I$5:$I$53,G913)&lt;&gt;"",INDEX(CONFIRM!$I$5:$I$53,G913),H913),H913)</f>
        <v>Community building: coalition building</v>
      </c>
      <c r="J913" s="1" t="str">
        <f aca="false">IFERROR(INDEX(MAP!$F$7:$F$74,MATCH(TRIM(I913),MAP!$E$7:$E$74,0)),"UNMAPPED")</f>
        <v>Community building: coalition building</v>
      </c>
      <c r="K913" s="1" t="str">
        <f aca="false">IFERROR(INDEX(MAP!$G$7:$G$74,MATCH(TRIM(I913),MAP!$E$7:$E$74,0)),"UNMAPPED")</f>
        <v>II-6</v>
      </c>
      <c r="L913" s="49" t="str">
        <f aca="false">STACK!G913</f>
        <v>2025-10-20</v>
      </c>
      <c r="M913" s="59" t="n">
        <f aca="false">IF(G913&gt;0,IF(INDEX(CONFIRM!$G$5:$G$53,G913)&lt;&gt;"",INDEX(CONFIRM!$G$5:$G$53,G913),IF(ISNUMBER(L913),L913,IFERROR(DATEVALUE(L913),""))),IF(ISNUMBER(L913),L913,IFERROR(DATEVALUE(L913),"")))</f>
        <v>45950</v>
      </c>
      <c r="N913" s="1" t="str">
        <f aca="false">IF(M913="","Check",IF(AND(M913&gt;=INPUTS!$C$6,M913&lt;=INPUTS!$C$7),"Yes","No"))</f>
        <v>Yes</v>
      </c>
      <c r="O913" s="48" t="str">
        <f aca="false">STACK!H913</f>
        <v>Executive Director</v>
      </c>
      <c r="P913" s="1" t="str">
        <f aca="false">IF(G913&gt;0,IF(INDEX(CONFIRM!$H$5:$H$53,G913)&lt;&gt;"",INDEX(CONFIRM!$H$5:$H$53,G913),IFERROR(INDEX(MAP!$B$7:$B$156,MATCH(TRIM(O913),MAP!$A$7:$A$156,0)),"UNMAPPED")),IFERROR(INDEX(MAP!$B$7:$B$156,MATCH(TRIM(O913),MAP!$A$7:$A$156,0)),"UNMAPPED"))</f>
        <v>Director</v>
      </c>
      <c r="Q913" s="48" t="n">
        <f aca="false">STACK!I913</f>
        <v>2.5</v>
      </c>
      <c r="R913" s="60" t="n">
        <f aca="false">IF(G913&gt;0,IF(INDEX(CONFIRM!$F$5:$F$53,G913)&lt;&gt;"",INDEX(CONFIRM!$F$5:$F$53,G913),IF(ISNUMBER(Q913),Q913,IF(Q913="","",IFERROR(VALUE(TRIM(SUBSTITUTE(SUBSTITUTE(LOWER(Q913),"hrs",""),"hr",""))),"")))),IF(ISNUMBER(Q913),Q913,IF(Q913="","",IFERROR(VALUE(TRIM(SUBSTITUTE(SUBSTITUTE(LOWER(Q913),"hrs",""),"hr",""))),""))))</f>
        <v>2.5</v>
      </c>
      <c r="S913" s="57" t="n">
        <f aca="false">IFERROR(INDEX(RATES!$E$6:$E$28,MATCH(P913,RATES!$A$6:$A$28,0)),0)</f>
        <v>92.52</v>
      </c>
      <c r="T913" s="61" t="n">
        <f aca="false">IF(ISNUMBER(R913),R913,0)*S913</f>
        <v>231.3</v>
      </c>
      <c r="U913" s="61" t="n">
        <f aca="false">T913*INDEX(INPUTS!$H$10:$H$14,MATCH(B913,INPUTS!$A$10:$A$14,0))</f>
        <v>36.5454</v>
      </c>
      <c r="V913" s="61" t="n">
        <f aca="false">N(STACK!K913)</f>
        <v>95</v>
      </c>
      <c r="W913" s="61" t="n">
        <f aca="false">T913+U913+V913</f>
        <v>362.8454</v>
      </c>
      <c r="X913" s="61" t="n">
        <f aca="false">N(STACK!L913)</f>
        <v>0</v>
      </c>
      <c r="Y913" s="61" t="n">
        <f aca="false">W913-X913</f>
        <v>362.8454</v>
      </c>
      <c r="Z913" s="1" t="n">
        <f aca="false">N(STACK!J913)</f>
        <v>0</v>
      </c>
      <c r="AA913" s="1" t="str">
        <f aca="false">TRIM(IF(D913="UNMAPPED","Program not mapped. ","")&amp;IF(OR(K913="UNMAPPED",K913="UNASSIGNED"),"Category needs review. ","")&amp;IF(P913="UNMAPPED","Title not mapped. ","")&amp;IF(AND(P913&lt;&gt;"No staff time",R913=""),"Missing hours. ","")&amp;IF(M913="","Date not readable. ","")&amp;IF(N913="No","Outside fiscal year. ","")&amp;IF(AND(F913="Event",ISNUMBER(R913)),IF(R913&gt;12,"Event hours look high. ",""),"")&amp;IF(G913&gt;0,"See CONFIRM sheet.",""))</f>
        <v>See CONFIRM sheet.</v>
      </c>
      <c r="AB913" s="1" t="n">
        <f aca="false">IF(N913="No",0,IF(REVIEW!O913=0,0,IF(G913&gt;0,IF(INDEX(CONFIRM!$J$5:$J$53,G913)&lt;&gt;"",INDEX(CONFIRM!$J$5:$J$53,G913),1),1)))</f>
        <v>1</v>
      </c>
      <c r="AC913" s="1" t="n">
        <f aca="false">IF(AB913=1,IF(COUNTIFS($B$5:B913,B913,$D$5:D913,D913,$AB$5:AB913,1)=1,1,0),0)</f>
        <v>0</v>
      </c>
    </row>
    <row r="914" customFormat="false" ht="15" hidden="false" customHeight="false" outlineLevel="0" collapsed="false">
      <c r="A914" s="48" t="str">
        <f aca="false">STACK!A914</f>
        <v>CBH-0086</v>
      </c>
      <c r="B914" s="48" t="str">
        <f aca="false">STACK!B914</f>
        <v>CBH</v>
      </c>
      <c r="C914" s="48" t="str">
        <f aca="false">STACK!E914</f>
        <v>Matter of Balance Classes</v>
      </c>
      <c r="D914" s="1" t="str">
        <f aca="false">IFERROR(INDEX(MAP!$J$7:$J$101,MATCH(TRIM(C914),MAP!$I$7:$I$101,0)),"UNMAPPED")</f>
        <v>Fall Prevention Classes for Older Adults</v>
      </c>
      <c r="E914" s="1" t="str">
        <f aca="false">IFERROR(INDEX(MAP!$K$7:$K$101,MATCH(TRIM(C914),MAP!$I$7:$I$101,0)),"")</f>
        <v>Chronic disease prevention</v>
      </c>
      <c r="F914" s="1" t="str">
        <f aca="false">IFERROR(INDEX(MAP!$L$7:$L$101,MATCH(TRIM(C914),MAP!$I$7:$I$101,0)),"")</f>
        <v>Event</v>
      </c>
      <c r="G914" s="1" t="n">
        <f aca="false">IFERROR(MATCH(A914,CONFIRM!$A$5:$A$53,0),0)</f>
        <v>0</v>
      </c>
      <c r="H914" s="48" t="str">
        <f aca="false">STACK!F914</f>
        <v>Health Education</v>
      </c>
      <c r="I914" s="1" t="str">
        <f aca="false">IF(G914&gt;0,IF(INDEX(CONFIRM!$I$5:$I$53,G914)&lt;&gt;"",INDEX(CONFIRM!$I$5:$I$53,G914),H914),H914)</f>
        <v>Health Education</v>
      </c>
      <c r="J914" s="1" t="str">
        <f aca="false">IFERROR(INDEX(MAP!$F$7:$F$74,MATCH(TRIM(I914),MAP!$E$7:$E$74,0)),"UNMAPPED")</f>
        <v>Community health education</v>
      </c>
      <c r="K914" s="1" t="str">
        <f aca="false">IFERROR(INDEX(MAP!$G$7:$G$74,MATCH(TRIM(I914),MAP!$E$7:$E$74,0)),"UNMAPPED")</f>
        <v>7e</v>
      </c>
      <c r="L914" s="49" t="str">
        <f aca="false">STACK!G914</f>
        <v>2025-10-24</v>
      </c>
      <c r="M914" s="59" t="n">
        <f aca="false">IF(G914&gt;0,IF(INDEX(CONFIRM!$G$5:$G$53,G914)&lt;&gt;"",INDEX(CONFIRM!$G$5:$G$53,G914),IF(ISNUMBER(L914),L914,IFERROR(DATEVALUE(L914),""))),IF(ISNUMBER(L914),L914,IFERROR(DATEVALUE(L914),"")))</f>
        <v>45954</v>
      </c>
      <c r="N914" s="1" t="str">
        <f aca="false">IF(M914="","Check",IF(AND(M914&gt;=INPUTS!$C$6,M914&lt;=INPUTS!$C$7),"Yes","No"))</f>
        <v>Yes</v>
      </c>
      <c r="O914" s="48" t="str">
        <f aca="false">STACK!H914</f>
        <v>RT</v>
      </c>
      <c r="P914" s="1" t="str">
        <f aca="false">IF(G914&gt;0,IF(INDEX(CONFIRM!$H$5:$H$53,G914)&lt;&gt;"",INDEX(CONFIRM!$H$5:$H$53,G914),IFERROR(INDEX(MAP!$B$7:$B$156,MATCH(TRIM(O914),MAP!$A$7:$A$156,0)),"UNMAPPED")),IFERROR(INDEX(MAP!$B$7:$B$156,MATCH(TRIM(O914),MAP!$A$7:$A$156,0)),"UNMAPPED"))</f>
        <v>Licensed Therapist</v>
      </c>
      <c r="Q914" s="48" t="n">
        <f aca="false">STACK!I914</f>
        <v>2</v>
      </c>
      <c r="R914" s="60" t="n">
        <f aca="false">IF(G914&gt;0,IF(INDEX(CONFIRM!$F$5:$F$53,G914)&lt;&gt;"",INDEX(CONFIRM!$F$5:$F$53,G914),IF(ISNUMBER(Q914),Q914,IF(Q914="","",IFERROR(VALUE(TRIM(SUBSTITUTE(SUBSTITUTE(LOWER(Q914),"hrs",""),"hr",""))),"")))),IF(ISNUMBER(Q914),Q914,IF(Q914="","",IFERROR(VALUE(TRIM(SUBSTITUTE(SUBSTITUTE(LOWER(Q914),"hrs",""),"hr",""))),""))))</f>
        <v>2</v>
      </c>
      <c r="S914" s="57" t="n">
        <f aca="false">IFERROR(INDEX(RATES!$E$6:$E$28,MATCH(P914,RATES!$A$6:$A$28,0)),0)</f>
        <v>53.97</v>
      </c>
      <c r="T914" s="61" t="n">
        <f aca="false">IF(ISNUMBER(R914),R914,0)*S914</f>
        <v>107.94</v>
      </c>
      <c r="U914" s="61" t="n">
        <f aca="false">T914*INDEX(INPUTS!$H$10:$H$14,MATCH(B914,INPUTS!$A$10:$A$14,0))</f>
        <v>17.05452</v>
      </c>
      <c r="V914" s="61" t="n">
        <f aca="false">N(STACK!K914)</f>
        <v>45</v>
      </c>
      <c r="W914" s="61" t="n">
        <f aca="false">T914+U914+V914</f>
        <v>169.99452</v>
      </c>
      <c r="X914" s="61" t="n">
        <f aca="false">N(STACK!L914)</f>
        <v>0</v>
      </c>
      <c r="Y914" s="61" t="n">
        <f aca="false">W914-X914</f>
        <v>169.99452</v>
      </c>
      <c r="Z914" s="1" t="n">
        <f aca="false">N(STACK!J914)</f>
        <v>22</v>
      </c>
      <c r="AA914" s="1" t="str">
        <f aca="false">TRIM(IF(D914="UNMAPPED","Program not mapped. ","")&amp;IF(OR(K914="UNMAPPED",K914="UNASSIGNED"),"Category needs review. ","")&amp;IF(P914="UNMAPPED","Title not mapped. ","")&amp;IF(AND(P914&lt;&gt;"No staff time",R914=""),"Missing hours. ","")&amp;IF(M914="","Date not readable. ","")&amp;IF(N914="No","Outside fiscal year. ","")&amp;IF(AND(F914="Event",ISNUMBER(R914)),IF(R914&gt;12,"Event hours look high. ",""),"")&amp;IF(G914&gt;0,"See CONFIRM sheet.",""))</f>
        <v/>
      </c>
      <c r="AB914" s="1" t="n">
        <f aca="false">IF(N914="No",0,IF(REVIEW!O914=0,0,IF(G914&gt;0,IF(INDEX(CONFIRM!$J$5:$J$53,G914)&lt;&gt;"",INDEX(CONFIRM!$J$5:$J$53,G914),1),1)))</f>
        <v>1</v>
      </c>
      <c r="AC914" s="1" t="n">
        <f aca="false">IF(AB914=1,IF(COUNTIFS($B$5:B914,B914,$D$5:D914,D914,$AB$5:AB914,1)=1,1,0),0)</f>
        <v>0</v>
      </c>
    </row>
    <row r="915" customFormat="false" ht="15" hidden="false" customHeight="false" outlineLevel="0" collapsed="false">
      <c r="A915" s="48" t="str">
        <f aca="false">STACK!A915</f>
        <v>CBH-0087</v>
      </c>
      <c r="B915" s="48" t="str">
        <f aca="false">STACK!B915</f>
        <v>CBH</v>
      </c>
      <c r="C915" s="48" t="str">
        <f aca="false">STACK!E915</f>
        <v>Diabetes Prevention</v>
      </c>
      <c r="D915" s="1" t="str">
        <f aca="false">IFERROR(INDEX(MAP!$J$7:$J$101,MATCH(TRIM(C915),MAP!$I$7:$I$101,0)),"UNMAPPED")</f>
        <v>Diabetes Prevention Classes</v>
      </c>
      <c r="E915" s="1" t="str">
        <f aca="false">IFERROR(INDEX(MAP!$K$7:$K$101,MATCH(TRIM(C915),MAP!$I$7:$I$101,0)),"")</f>
        <v>Chronic disease prevention</v>
      </c>
      <c r="F915" s="1" t="str">
        <f aca="false">IFERROR(INDEX(MAP!$L$7:$L$101,MATCH(TRIM(C915),MAP!$I$7:$I$101,0)),"")</f>
        <v>Event</v>
      </c>
      <c r="G915" s="1" t="n">
        <f aca="false">IFERROR(MATCH(A915,CONFIRM!$A$5:$A$53,0),0)</f>
        <v>0</v>
      </c>
      <c r="H915" s="48" t="str">
        <f aca="false">STACK!F915</f>
        <v>Health Education</v>
      </c>
      <c r="I915" s="1" t="str">
        <f aca="false">IF(G915&gt;0,IF(INDEX(CONFIRM!$I$5:$I$53,G915)&lt;&gt;"",INDEX(CONFIRM!$I$5:$I$53,G915),H915),H915)</f>
        <v>Health Education</v>
      </c>
      <c r="J915" s="1" t="str">
        <f aca="false">IFERROR(INDEX(MAP!$F$7:$F$74,MATCH(TRIM(I915),MAP!$E$7:$E$74,0)),"UNMAPPED")</f>
        <v>Community health education</v>
      </c>
      <c r="K915" s="1" t="str">
        <f aca="false">IFERROR(INDEX(MAP!$G$7:$G$74,MATCH(TRIM(I915),MAP!$E$7:$E$74,0)),"UNMAPPED")</f>
        <v>7e</v>
      </c>
      <c r="L915" s="49" t="str">
        <f aca="false">STACK!G915</f>
        <v>2025-10-25</v>
      </c>
      <c r="M915" s="59" t="n">
        <f aca="false">IF(G915&gt;0,IF(INDEX(CONFIRM!$G$5:$G$53,G915)&lt;&gt;"",INDEX(CONFIRM!$G$5:$G$53,G915),IF(ISNUMBER(L915),L915,IFERROR(DATEVALUE(L915),""))),IF(ISNUMBER(L915),L915,IFERROR(DATEVALUE(L915),"")))</f>
        <v>45955</v>
      </c>
      <c r="N915" s="1" t="str">
        <f aca="false">IF(M915="","Check",IF(AND(M915&gt;=INPUTS!$C$6,M915&lt;=INPUTS!$C$7),"Yes","No"))</f>
        <v>Yes</v>
      </c>
      <c r="O915" s="48" t="str">
        <f aca="false">STACK!H915</f>
        <v>CHES</v>
      </c>
      <c r="P915" s="1" t="str">
        <f aca="false">IF(G915&gt;0,IF(INDEX(CONFIRM!$H$5:$H$53,G915)&lt;&gt;"",INDEX(CONFIRM!$H$5:$H$53,G915),IFERROR(INDEX(MAP!$B$7:$B$156,MATCH(TRIM(O915),MAP!$A$7:$A$156,0)),"UNMAPPED")),IFERROR(INDEX(MAP!$B$7:$B$156,MATCH(TRIM(O915),MAP!$A$7:$A$156,0)),"UNMAPPED"))</f>
        <v>Health Educator</v>
      </c>
      <c r="Q915" s="48" t="n">
        <f aca="false">STACK!I915</f>
        <v>2.5</v>
      </c>
      <c r="R915" s="60" t="n">
        <f aca="false">IF(G915&gt;0,IF(INDEX(CONFIRM!$F$5:$F$53,G915)&lt;&gt;"",INDEX(CONFIRM!$F$5:$F$53,G915),IF(ISNUMBER(Q915),Q915,IF(Q915="","",IFERROR(VALUE(TRIM(SUBSTITUTE(SUBSTITUTE(LOWER(Q915),"hrs",""),"hr",""))),"")))),IF(ISNUMBER(Q915),Q915,IF(Q915="","",IFERROR(VALUE(TRIM(SUBSTITUTE(SUBSTITUTE(LOWER(Q915),"hrs",""),"hr",""))),""))))</f>
        <v>2.5</v>
      </c>
      <c r="S915" s="57" t="n">
        <f aca="false">IFERROR(INDEX(RATES!$E$6:$E$28,MATCH(P915,RATES!$A$6:$A$28,0)),0)</f>
        <v>37.265</v>
      </c>
      <c r="T915" s="61" t="n">
        <f aca="false">IF(ISNUMBER(R915),R915,0)*S915</f>
        <v>93.1625</v>
      </c>
      <c r="U915" s="61" t="n">
        <f aca="false">T915*INDEX(INPUTS!$H$10:$H$14,MATCH(B915,INPUTS!$A$10:$A$14,0))</f>
        <v>14.719675</v>
      </c>
      <c r="V915" s="61" t="n">
        <f aca="false">N(STACK!K915)</f>
        <v>120</v>
      </c>
      <c r="W915" s="61" t="n">
        <f aca="false">T915+U915+V915</f>
        <v>227.882175</v>
      </c>
      <c r="X915" s="61" t="n">
        <f aca="false">N(STACK!L915)</f>
        <v>0</v>
      </c>
      <c r="Y915" s="61" t="n">
        <f aca="false">W915-X915</f>
        <v>227.882175</v>
      </c>
      <c r="Z915" s="1" t="n">
        <f aca="false">N(STACK!J915)</f>
        <v>17</v>
      </c>
      <c r="AA915" s="1" t="str">
        <f aca="false">TRIM(IF(D915="UNMAPPED","Program not mapped. ","")&amp;IF(OR(K915="UNMAPPED",K915="UNASSIGNED"),"Category needs review. ","")&amp;IF(P915="UNMAPPED","Title not mapped. ","")&amp;IF(AND(P915&lt;&gt;"No staff time",R915=""),"Missing hours. ","")&amp;IF(M915="","Date not readable. ","")&amp;IF(N915="No","Outside fiscal year. ","")&amp;IF(AND(F915="Event",ISNUMBER(R915)),IF(R915&gt;12,"Event hours look high. ",""),"")&amp;IF(G915&gt;0,"See CONFIRM sheet.",""))</f>
        <v/>
      </c>
      <c r="AB915" s="1" t="n">
        <f aca="false">IF(N915="No",0,IF(REVIEW!O915=0,0,IF(G915&gt;0,IF(INDEX(CONFIRM!$J$5:$J$53,G915)&lt;&gt;"",INDEX(CONFIRM!$J$5:$J$53,G915),1),1)))</f>
        <v>1</v>
      </c>
      <c r="AC915" s="1" t="n">
        <f aca="false">IF(AB915=1,IF(COUNTIFS($B$5:B915,B915,$D$5:D915,D915,$AB$5:AB915,1)=1,1,0),0)</f>
        <v>0</v>
      </c>
    </row>
    <row r="916" customFormat="false" ht="15" hidden="false" customHeight="false" outlineLevel="0" collapsed="false">
      <c r="A916" s="48" t="str">
        <f aca="false">STACK!A916</f>
        <v>CBH-0088</v>
      </c>
      <c r="B916" s="48" t="str">
        <f aca="false">STACK!B916</f>
        <v>CBH</v>
      </c>
      <c r="C916" s="48" t="str">
        <f aca="false">STACK!E916</f>
        <v>Diabetes Prevention</v>
      </c>
      <c r="D916" s="1" t="str">
        <f aca="false">IFERROR(INDEX(MAP!$J$7:$J$101,MATCH(TRIM(C916),MAP!$I$7:$I$101,0)),"UNMAPPED")</f>
        <v>Diabetes Prevention Classes</v>
      </c>
      <c r="E916" s="1" t="str">
        <f aca="false">IFERROR(INDEX(MAP!$K$7:$K$101,MATCH(TRIM(C916),MAP!$I$7:$I$101,0)),"")</f>
        <v>Chronic disease prevention</v>
      </c>
      <c r="F916" s="1" t="str">
        <f aca="false">IFERROR(INDEX(MAP!$L$7:$L$101,MATCH(TRIM(C916),MAP!$I$7:$I$101,0)),"")</f>
        <v>Event</v>
      </c>
      <c r="G916" s="1" t="n">
        <f aca="false">IFERROR(MATCH(A916,CONFIRM!$A$5:$A$53,0),0)</f>
        <v>0</v>
      </c>
      <c r="H916" s="48" t="str">
        <f aca="false">STACK!F916</f>
        <v>Health Education</v>
      </c>
      <c r="I916" s="1" t="str">
        <f aca="false">IF(G916&gt;0,IF(INDEX(CONFIRM!$I$5:$I$53,G916)&lt;&gt;"",INDEX(CONFIRM!$I$5:$I$53,G916),H916),H916)</f>
        <v>Health Education</v>
      </c>
      <c r="J916" s="1" t="str">
        <f aca="false">IFERROR(INDEX(MAP!$F$7:$F$74,MATCH(TRIM(I916),MAP!$E$7:$E$74,0)),"UNMAPPED")</f>
        <v>Community health education</v>
      </c>
      <c r="K916" s="1" t="str">
        <f aca="false">IFERROR(INDEX(MAP!$G$7:$G$74,MATCH(TRIM(I916),MAP!$E$7:$E$74,0)),"UNMAPPED")</f>
        <v>7e</v>
      </c>
      <c r="L916" s="49" t="str">
        <f aca="false">STACK!G916</f>
        <v>2025-10-25</v>
      </c>
      <c r="M916" s="59" t="n">
        <f aca="false">IF(G916&gt;0,IF(INDEX(CONFIRM!$G$5:$G$53,G916)&lt;&gt;"",INDEX(CONFIRM!$G$5:$G$53,G916),IF(ISNUMBER(L916),L916,IFERROR(DATEVALUE(L916),""))),IF(ISNUMBER(L916),L916,IFERROR(DATEVALUE(L916),"")))</f>
        <v>45955</v>
      </c>
      <c r="N916" s="1" t="str">
        <f aca="false">IF(M916="","Check",IF(AND(M916&gt;=INPUTS!$C$6,M916&lt;=INPUTS!$C$7),"Yes","No"))</f>
        <v>Yes</v>
      </c>
      <c r="O916" s="48" t="str">
        <f aca="false">STACK!H916</f>
        <v>DIETITIAN</v>
      </c>
      <c r="P916" s="1" t="str">
        <f aca="false">IF(G916&gt;0,IF(INDEX(CONFIRM!$H$5:$H$53,G916)&lt;&gt;"",INDEX(CONFIRM!$H$5:$H$53,G916),IFERROR(INDEX(MAP!$B$7:$B$156,MATCH(TRIM(O916),MAP!$A$7:$A$156,0)),"UNMAPPED")),IFERROR(INDEX(MAP!$B$7:$B$156,MATCH(TRIM(O916),MAP!$A$7:$A$156,0)),"UNMAPPED"))</f>
        <v>Registered Dietitian</v>
      </c>
      <c r="Q916" s="48" t="n">
        <f aca="false">STACK!I916</f>
        <v>2</v>
      </c>
      <c r="R916" s="60" t="n">
        <f aca="false">IF(G916&gt;0,IF(INDEX(CONFIRM!$F$5:$F$53,G916)&lt;&gt;"",INDEX(CONFIRM!$F$5:$F$53,G916),IF(ISNUMBER(Q916),Q916,IF(Q916="","",IFERROR(VALUE(TRIM(SUBSTITUTE(SUBSTITUTE(LOWER(Q916),"hrs",""),"hr",""))),"")))),IF(ISNUMBER(Q916),Q916,IF(Q916="","",IFERROR(VALUE(TRIM(SUBSTITUTE(SUBSTITUTE(LOWER(Q916),"hrs",""),"hr",""))),""))))</f>
        <v>2</v>
      </c>
      <c r="S916" s="57" t="n">
        <f aca="false">IFERROR(INDEX(RATES!$E$6:$E$28,MATCH(P916,RATES!$A$6:$A$28,0)),0)</f>
        <v>46.9025</v>
      </c>
      <c r="T916" s="61" t="n">
        <f aca="false">IF(ISNUMBER(R916),R916,0)*S916</f>
        <v>93.805</v>
      </c>
      <c r="U916" s="61" t="n">
        <f aca="false">T916*INDEX(INPUTS!$H$10:$H$14,MATCH(B916,INPUTS!$A$10:$A$14,0))</f>
        <v>14.82119</v>
      </c>
      <c r="V916" s="61" t="n">
        <f aca="false">N(STACK!K916)</f>
        <v>0</v>
      </c>
      <c r="W916" s="61" t="n">
        <f aca="false">T916+U916+V916</f>
        <v>108.62619</v>
      </c>
      <c r="X916" s="61" t="n">
        <f aca="false">N(STACK!L916)</f>
        <v>0</v>
      </c>
      <c r="Y916" s="61" t="n">
        <f aca="false">W916-X916</f>
        <v>108.62619</v>
      </c>
      <c r="Z916" s="1" t="n">
        <f aca="false">N(STACK!J916)</f>
        <v>0</v>
      </c>
      <c r="AA916" s="1" t="str">
        <f aca="false">TRIM(IF(D916="UNMAPPED","Program not mapped. ","")&amp;IF(OR(K916="UNMAPPED",K916="UNASSIGNED"),"Category needs review. ","")&amp;IF(P916="UNMAPPED","Title not mapped. ","")&amp;IF(AND(P916&lt;&gt;"No staff time",R916=""),"Missing hours. ","")&amp;IF(M916="","Date not readable. ","")&amp;IF(N916="No","Outside fiscal year. ","")&amp;IF(AND(F916="Event",ISNUMBER(R916)),IF(R916&gt;12,"Event hours look high. ",""),"")&amp;IF(G916&gt;0,"See CONFIRM sheet.",""))</f>
        <v/>
      </c>
      <c r="AB916" s="1" t="n">
        <f aca="false">IF(N916="No",0,IF(REVIEW!O916=0,0,IF(G916&gt;0,IF(INDEX(CONFIRM!$J$5:$J$53,G916)&lt;&gt;"",INDEX(CONFIRM!$J$5:$J$53,G916),1),1)))</f>
        <v>1</v>
      </c>
      <c r="AC916" s="1" t="n">
        <f aca="false">IF(AB916=1,IF(COUNTIFS($B$5:B916,B916,$D$5:D916,D916,$AB$5:AB916,1)=1,1,0),0)</f>
        <v>0</v>
      </c>
    </row>
    <row r="917" customFormat="false" ht="15" hidden="false" customHeight="false" outlineLevel="0" collapsed="false">
      <c r="A917" s="48" t="str">
        <f aca="false">STACK!A917</f>
        <v>CBH-0089</v>
      </c>
      <c r="B917" s="48" t="str">
        <f aca="false">STACK!B917</f>
        <v>CBH</v>
      </c>
      <c r="C917" s="48" t="str">
        <f aca="false">STACK!E917</f>
        <v>Naloxone Training</v>
      </c>
      <c r="D917" s="1" t="str">
        <f aca="false">IFERROR(INDEX(MAP!$J$7:$J$101,MATCH(TRIM(C917),MAP!$I$7:$I$101,0)),"UNMAPPED")</f>
        <v>Naloxone Training and Distribution</v>
      </c>
      <c r="E917" s="1" t="str">
        <f aca="false">IFERROR(INDEX(MAP!$K$7:$K$101,MATCH(TRIM(C917),MAP!$I$7:$I$101,0)),"")</f>
        <v>Behavioral health</v>
      </c>
      <c r="F917" s="1" t="str">
        <f aca="false">IFERROR(INDEX(MAP!$L$7:$L$101,MATCH(TRIM(C917),MAP!$I$7:$I$101,0)),"")</f>
        <v>Event</v>
      </c>
      <c r="G917" s="1" t="n">
        <f aca="false">IFERROR(MATCH(A917,CONFIRM!$A$5:$A$53,0),0)</f>
        <v>16</v>
      </c>
      <c r="H917" s="48" t="str">
        <f aca="false">STACK!F917</f>
        <v>Health Education</v>
      </c>
      <c r="I917" s="1" t="str">
        <f aca="false">IF(G917&gt;0,IF(INDEX(CONFIRM!$I$5:$I$53,G917)&lt;&gt;"",INDEX(CONFIRM!$I$5:$I$53,G917),H917),H917)</f>
        <v>Health Education</v>
      </c>
      <c r="J917" s="1" t="str">
        <f aca="false">IFERROR(INDEX(MAP!$F$7:$F$74,MATCH(TRIM(I917),MAP!$E$7:$E$74,0)),"UNMAPPED")</f>
        <v>Community health education</v>
      </c>
      <c r="K917" s="1" t="str">
        <f aca="false">IFERROR(INDEX(MAP!$G$7:$G$74,MATCH(TRIM(I917),MAP!$E$7:$E$74,0)),"UNMAPPED")</f>
        <v>7e</v>
      </c>
      <c r="L917" s="49" t="str">
        <f aca="false">STACK!G917</f>
        <v>2025-25-10</v>
      </c>
      <c r="M917" s="59" t="n">
        <f aca="false">IF(G917&gt;0,IF(INDEX(CONFIRM!$G$5:$G$53,G917)&lt;&gt;"",INDEX(CONFIRM!$G$5:$G$53,G917),IF(ISNUMBER(L917),L917,IFERROR(DATEVALUE(L917),""))),IF(ISNUMBER(L917),L917,IFERROR(DATEVALUE(L917),"")))</f>
        <v>45955</v>
      </c>
      <c r="N917" s="1" t="str">
        <f aca="false">IF(M917="","Check",IF(AND(M917&gt;=INPUTS!$C$6,M917&lt;=INPUTS!$C$7),"Yes","No"))</f>
        <v>Yes</v>
      </c>
      <c r="O917" s="48" t="str">
        <f aca="false">STACK!H917</f>
        <v>Hlth Educator</v>
      </c>
      <c r="P917" s="1" t="str">
        <f aca="false">IF(G917&gt;0,IF(INDEX(CONFIRM!$H$5:$H$53,G917)&lt;&gt;"",INDEX(CONFIRM!$H$5:$H$53,G917),IFERROR(INDEX(MAP!$B$7:$B$156,MATCH(TRIM(O917),MAP!$A$7:$A$156,0)),"UNMAPPED")),IFERROR(INDEX(MAP!$B$7:$B$156,MATCH(TRIM(O917),MAP!$A$7:$A$156,0)),"UNMAPPED"))</f>
        <v>Health Educator</v>
      </c>
      <c r="Q917" s="48" t="n">
        <f aca="false">STACK!I917</f>
        <v>2.75</v>
      </c>
      <c r="R917" s="60" t="n">
        <f aca="false">IF(G917&gt;0,IF(INDEX(CONFIRM!$F$5:$F$53,G917)&lt;&gt;"",INDEX(CONFIRM!$F$5:$F$53,G917),IF(ISNUMBER(Q917),Q917,IF(Q917="","",IFERROR(VALUE(TRIM(SUBSTITUTE(SUBSTITUTE(LOWER(Q917),"hrs",""),"hr",""))),"")))),IF(ISNUMBER(Q917),Q917,IF(Q917="","",IFERROR(VALUE(TRIM(SUBSTITUTE(SUBSTITUTE(LOWER(Q917),"hrs",""),"hr",""))),""))))</f>
        <v>2.75</v>
      </c>
      <c r="S917" s="57" t="n">
        <f aca="false">IFERROR(INDEX(RATES!$E$6:$E$28,MATCH(P917,RATES!$A$6:$A$28,0)),0)</f>
        <v>37.265</v>
      </c>
      <c r="T917" s="61" t="n">
        <f aca="false">IF(ISNUMBER(R917),R917,0)*S917</f>
        <v>102.47875</v>
      </c>
      <c r="U917" s="61" t="n">
        <f aca="false">T917*INDEX(INPUTS!$H$10:$H$14,MATCH(B917,INPUTS!$A$10:$A$14,0))</f>
        <v>16.1916425</v>
      </c>
      <c r="V917" s="61" t="n">
        <f aca="false">N(STACK!K917)</f>
        <v>0</v>
      </c>
      <c r="W917" s="61" t="n">
        <f aca="false">T917+U917+V917</f>
        <v>118.6703925</v>
      </c>
      <c r="X917" s="61" t="n">
        <f aca="false">N(STACK!L917)</f>
        <v>0</v>
      </c>
      <c r="Y917" s="61" t="n">
        <f aca="false">W917-X917</f>
        <v>118.6703925</v>
      </c>
      <c r="Z917" s="1" t="n">
        <f aca="false">N(STACK!J917)</f>
        <v>0</v>
      </c>
      <c r="AA917" s="1" t="str">
        <f aca="false">TRIM(IF(D917="UNMAPPED","Program not mapped. ","")&amp;IF(OR(K917="UNMAPPED",K917="UNASSIGNED"),"Category needs review. ","")&amp;IF(P917="UNMAPPED","Title not mapped. ","")&amp;IF(AND(P917&lt;&gt;"No staff time",R917=""),"Missing hours. ","")&amp;IF(M917="","Date not readable. ","")&amp;IF(N917="No","Outside fiscal year. ","")&amp;IF(AND(F917="Event",ISNUMBER(R917)),IF(R917&gt;12,"Event hours look high. ",""),"")&amp;IF(G917&gt;0,"See CONFIRM sheet.",""))</f>
        <v>See CONFIRM sheet.</v>
      </c>
      <c r="AB917" s="1" t="n">
        <f aca="false">IF(N917="No",0,IF(REVIEW!O917=0,0,IF(G917&gt;0,IF(INDEX(CONFIRM!$J$5:$J$53,G917)&lt;&gt;"",INDEX(CONFIRM!$J$5:$J$53,G917),1),1)))</f>
        <v>1</v>
      </c>
      <c r="AC917" s="1" t="n">
        <f aca="false">IF(AB917=1,IF(COUNTIFS($B$5:B917,B917,$D$5:D917,D917,$AB$5:AB917,1)=1,1,0),0)</f>
        <v>0</v>
      </c>
    </row>
    <row r="918" customFormat="false" ht="15" hidden="false" customHeight="false" outlineLevel="0" collapsed="false">
      <c r="A918" s="48" t="str">
        <f aca="false">STACK!A918</f>
        <v>CBH-0090</v>
      </c>
      <c r="B918" s="48" t="str">
        <f aca="false">STACK!B918</f>
        <v>CBH</v>
      </c>
      <c r="C918" s="48" t="str">
        <f aca="false">STACK!E918</f>
        <v>Naloxone Training</v>
      </c>
      <c r="D918" s="1" t="str">
        <f aca="false">IFERROR(INDEX(MAP!$J$7:$J$101,MATCH(TRIM(C918),MAP!$I$7:$I$101,0)),"UNMAPPED")</f>
        <v>Naloxone Training and Distribution</v>
      </c>
      <c r="E918" s="1" t="str">
        <f aca="false">IFERROR(INDEX(MAP!$K$7:$K$101,MATCH(TRIM(C918),MAP!$I$7:$I$101,0)),"")</f>
        <v>Behavioral health</v>
      </c>
      <c r="F918" s="1" t="str">
        <f aca="false">IFERROR(INDEX(MAP!$L$7:$L$101,MATCH(TRIM(C918),MAP!$I$7:$I$101,0)),"")</f>
        <v>Event</v>
      </c>
      <c r="G918" s="1" t="n">
        <f aca="false">IFERROR(MATCH(A918,CONFIRM!$A$5:$A$53,0),0)</f>
        <v>0</v>
      </c>
      <c r="H918" s="48" t="str">
        <f aca="false">STACK!F918</f>
        <v>Health Education</v>
      </c>
      <c r="I918" s="1" t="str">
        <f aca="false">IF(G918&gt;0,IF(INDEX(CONFIRM!$I$5:$I$53,G918)&lt;&gt;"",INDEX(CONFIRM!$I$5:$I$53,G918),H918),H918)</f>
        <v>Health Education</v>
      </c>
      <c r="J918" s="1" t="str">
        <f aca="false">IFERROR(INDEX(MAP!$F$7:$F$74,MATCH(TRIM(I918),MAP!$E$7:$E$74,0)),"UNMAPPED")</f>
        <v>Community health education</v>
      </c>
      <c r="K918" s="1" t="str">
        <f aca="false">IFERROR(INDEX(MAP!$G$7:$G$74,MATCH(TRIM(I918),MAP!$E$7:$E$74,0)),"UNMAPPED")</f>
        <v>7e</v>
      </c>
      <c r="L918" s="49" t="str">
        <f aca="false">STACK!G918</f>
        <v>2025-10-25</v>
      </c>
      <c r="M918" s="59" t="n">
        <f aca="false">IF(G918&gt;0,IF(INDEX(CONFIRM!$G$5:$G$53,G918)&lt;&gt;"",INDEX(CONFIRM!$G$5:$G$53,G918),IF(ISNUMBER(L918),L918,IFERROR(DATEVALUE(L918),""))),IF(ISNUMBER(L918),L918,IFERROR(DATEVALUE(L918),"")))</f>
        <v>45955</v>
      </c>
      <c r="N918" s="1" t="str">
        <f aca="false">IF(M918="","Check",IF(AND(M918&gt;=INPUTS!$C$6,M918&lt;=INPUTS!$C$7),"Yes","No"))</f>
        <v>Yes</v>
      </c>
      <c r="O918" s="48" t="str">
        <f aca="false">STACK!H918</f>
        <v> RPh</v>
      </c>
      <c r="P918" s="1" t="str">
        <f aca="false">IF(G918&gt;0,IF(INDEX(CONFIRM!$H$5:$H$53,G918)&lt;&gt;"",INDEX(CONFIRM!$H$5:$H$53,G918),IFERROR(INDEX(MAP!$B$7:$B$156,MATCH(TRIM(O918),MAP!$A$7:$A$156,0)),"UNMAPPED")),IFERROR(INDEX(MAP!$B$7:$B$156,MATCH(TRIM(O918),MAP!$A$7:$A$156,0)),"UNMAPPED"))</f>
        <v>Pharmacist</v>
      </c>
      <c r="Q918" s="48" t="n">
        <f aca="false">STACK!I918</f>
        <v>2.5</v>
      </c>
      <c r="R918" s="60" t="n">
        <f aca="false">IF(G918&gt;0,IF(INDEX(CONFIRM!$F$5:$F$53,G918)&lt;&gt;"",INDEX(CONFIRM!$F$5:$F$53,G918),IF(ISNUMBER(Q918),Q918,IF(Q918="","",IFERROR(VALUE(TRIM(SUBSTITUTE(SUBSTITUTE(LOWER(Q918),"hrs",""),"hr",""))),"")))),IF(ISNUMBER(Q918),Q918,IF(Q918="","",IFERROR(VALUE(TRIM(SUBSTITUTE(SUBSTITUTE(LOWER(Q918),"hrs",""),"hr",""))),""))))</f>
        <v>2.5</v>
      </c>
      <c r="S918" s="57" t="n">
        <f aca="false">IFERROR(INDEX(RATES!$E$6:$E$28,MATCH(P918,RATES!$A$6:$A$28,0)),0)</f>
        <v>84.81</v>
      </c>
      <c r="T918" s="61" t="n">
        <f aca="false">IF(ISNUMBER(R918),R918,0)*S918</f>
        <v>212.025</v>
      </c>
      <c r="U918" s="61" t="n">
        <f aca="false">T918*INDEX(INPUTS!$H$10:$H$14,MATCH(B918,INPUTS!$A$10:$A$14,0))</f>
        <v>33.49995</v>
      </c>
      <c r="V918" s="61" t="n">
        <f aca="false">N(STACK!K918)</f>
        <v>1640</v>
      </c>
      <c r="W918" s="61" t="n">
        <f aca="false">T918+U918+V918</f>
        <v>1885.52495</v>
      </c>
      <c r="X918" s="61" t="n">
        <f aca="false">N(STACK!L918)</f>
        <v>1440</v>
      </c>
      <c r="Y918" s="61" t="n">
        <f aca="false">W918-X918</f>
        <v>445.52495</v>
      </c>
      <c r="Z918" s="1" t="n">
        <f aca="false">N(STACK!J918)</f>
        <v>42</v>
      </c>
      <c r="AA918" s="1" t="str">
        <f aca="false">TRIM(IF(D918="UNMAPPED","Program not mapped. ","")&amp;IF(OR(K918="UNMAPPED",K918="UNASSIGNED"),"Category needs review. ","")&amp;IF(P918="UNMAPPED","Title not mapped. ","")&amp;IF(AND(P918&lt;&gt;"No staff time",R918=""),"Missing hours. ","")&amp;IF(M918="","Date not readable. ","")&amp;IF(N918="No","Outside fiscal year. ","")&amp;IF(AND(F918="Event",ISNUMBER(R918)),IF(R918&gt;12,"Event hours look high. ",""),"")&amp;IF(G918&gt;0,"See CONFIRM sheet.",""))</f>
        <v/>
      </c>
      <c r="AB918" s="1" t="n">
        <f aca="false">IF(N918="No",0,IF(REVIEW!O918=0,0,IF(G918&gt;0,IF(INDEX(CONFIRM!$J$5:$J$53,G918)&lt;&gt;"",INDEX(CONFIRM!$J$5:$J$53,G918),1),1)))</f>
        <v>1</v>
      </c>
      <c r="AC918" s="1" t="n">
        <f aca="false">IF(AB918=1,IF(COUNTIFS($B$5:B918,B918,$D$5:D918,D918,$AB$5:AB918,1)=1,1,0),0)</f>
        <v>0</v>
      </c>
    </row>
    <row r="919" customFormat="false" ht="15" hidden="false" customHeight="false" outlineLevel="0" collapsed="false">
      <c r="A919" s="48" t="str">
        <f aca="false">STACK!A919</f>
        <v>CBH-0091</v>
      </c>
      <c r="B919" s="48" t="str">
        <f aca="false">STACK!B919</f>
        <v>CBH</v>
      </c>
      <c r="C919" s="48" t="str">
        <f aca="false">STACK!E919</f>
        <v>Blood Pressure Screening</v>
      </c>
      <c r="D919" s="1" t="str">
        <f aca="false">IFERROR(INDEX(MAP!$J$7:$J$101,MATCH(TRIM(C919),MAP!$I$7:$I$101,0)),"UNMAPPED")</f>
        <v>Community Blood Pressure Checks</v>
      </c>
      <c r="E919" s="1" t="str">
        <f aca="false">IFERROR(INDEX(MAP!$K$7:$K$101,MATCH(TRIM(C919),MAP!$I$7:$I$101,0)),"")</f>
        <v>Chronic disease prevention</v>
      </c>
      <c r="F919" s="1" t="str">
        <f aca="false">IFERROR(INDEX(MAP!$L$7:$L$101,MATCH(TRIM(C919),MAP!$I$7:$I$101,0)),"")</f>
        <v>Event</v>
      </c>
      <c r="G919" s="1" t="n">
        <f aca="false">IFERROR(MATCH(A919,CONFIRM!$A$5:$A$53,0),0)</f>
        <v>0</v>
      </c>
      <c r="H919" s="48" t="str">
        <f aca="false">STACK!F919</f>
        <v>Screenings</v>
      </c>
      <c r="I919" s="1" t="str">
        <f aca="false">IF(G919&gt;0,IF(INDEX(CONFIRM!$I$5:$I$53,G919)&lt;&gt;"",INDEX(CONFIRM!$I$5:$I$53,G919),H919),H919)</f>
        <v>Screenings</v>
      </c>
      <c r="J919" s="1" t="str">
        <f aca="false">IFERROR(INDEX(MAP!$F$7:$F$74,MATCH(TRIM(I919),MAP!$E$7:$E$74,0)),"UNMAPPED")</f>
        <v>Community-based clinical services</v>
      </c>
      <c r="K919" s="1" t="str">
        <f aca="false">IFERROR(INDEX(MAP!$G$7:$G$74,MATCH(TRIM(I919),MAP!$E$7:$E$74,0)),"UNMAPPED")</f>
        <v>7e</v>
      </c>
      <c r="L919" s="49" t="str">
        <f aca="false">STACK!G919</f>
        <v>2025-10-28</v>
      </c>
      <c r="M919" s="59" t="n">
        <f aca="false">IF(G919&gt;0,IF(INDEX(CONFIRM!$G$5:$G$53,G919)&lt;&gt;"",INDEX(CONFIRM!$G$5:$G$53,G919),IF(ISNUMBER(L919),L919,IFERROR(DATEVALUE(L919),""))),IF(ISNUMBER(L919),L919,IFERROR(DATEVALUE(L919),"")))</f>
        <v>45958</v>
      </c>
      <c r="N919" s="1" t="str">
        <f aca="false">IF(M919="","Check",IF(AND(M919&gt;=INPUTS!$C$6,M919&lt;=INPUTS!$C$7),"Yes","No"))</f>
        <v>Yes</v>
      </c>
      <c r="O919" s="48" t="str">
        <f aca="false">STACK!H919</f>
        <v>R.N.</v>
      </c>
      <c r="P919" s="1" t="str">
        <f aca="false">IF(G919&gt;0,IF(INDEX(CONFIRM!$H$5:$H$53,G919)&lt;&gt;"",INDEX(CONFIRM!$H$5:$H$53,G919),IFERROR(INDEX(MAP!$B$7:$B$156,MATCH(TRIM(O919),MAP!$A$7:$A$156,0)),"UNMAPPED")),IFERROR(INDEX(MAP!$B$7:$B$156,MATCH(TRIM(O919),MAP!$A$7:$A$156,0)),"UNMAPPED"))</f>
        <v>Registered Nurse</v>
      </c>
      <c r="Q919" s="48" t="n">
        <f aca="false">STACK!I919</f>
        <v>3.75</v>
      </c>
      <c r="R919" s="60" t="n">
        <f aca="false">IF(G919&gt;0,IF(INDEX(CONFIRM!$F$5:$F$53,G919)&lt;&gt;"",INDEX(CONFIRM!$F$5:$F$53,G919),IF(ISNUMBER(Q919),Q919,IF(Q919="","",IFERROR(VALUE(TRIM(SUBSTITUTE(SUBSTITUTE(LOWER(Q919),"hrs",""),"hr",""))),"")))),IF(ISNUMBER(Q919),Q919,IF(Q919="","",IFERROR(VALUE(TRIM(SUBSTITUTE(SUBSTITUTE(LOWER(Q919),"hrs",""),"hr",""))),""))))</f>
        <v>3.75</v>
      </c>
      <c r="S919" s="57" t="n">
        <f aca="false">IFERROR(INDEX(RATES!$E$6:$E$28,MATCH(P919,RATES!$A$6:$A$28,0)),0)</f>
        <v>55.8975</v>
      </c>
      <c r="T919" s="61" t="n">
        <f aca="false">IF(ISNUMBER(R919),R919,0)*S919</f>
        <v>209.615625</v>
      </c>
      <c r="U919" s="61" t="n">
        <f aca="false">T919*INDEX(INPUTS!$H$10:$H$14,MATCH(B919,INPUTS!$A$10:$A$14,0))</f>
        <v>33.11926875</v>
      </c>
      <c r="V919" s="61" t="n">
        <f aca="false">N(STACK!K919)</f>
        <v>95</v>
      </c>
      <c r="W919" s="61" t="n">
        <f aca="false">T919+U919+V919</f>
        <v>337.73489375</v>
      </c>
      <c r="X919" s="61" t="n">
        <f aca="false">N(STACK!L919)</f>
        <v>0</v>
      </c>
      <c r="Y919" s="61" t="n">
        <f aca="false">W919-X919</f>
        <v>337.73489375</v>
      </c>
      <c r="Z919" s="1" t="n">
        <f aca="false">N(STACK!J919)</f>
        <v>67</v>
      </c>
      <c r="AA919" s="1" t="str">
        <f aca="false">TRIM(IF(D919="UNMAPPED","Program not mapped. ","")&amp;IF(OR(K919="UNMAPPED",K919="UNASSIGNED"),"Category needs review. ","")&amp;IF(P919="UNMAPPED","Title not mapped. ","")&amp;IF(AND(P919&lt;&gt;"No staff time",R919=""),"Missing hours. ","")&amp;IF(M919="","Date not readable. ","")&amp;IF(N919="No","Outside fiscal year. ","")&amp;IF(AND(F919="Event",ISNUMBER(R919)),IF(R919&gt;12,"Event hours look high. ",""),"")&amp;IF(G919&gt;0,"See CONFIRM sheet.",""))</f>
        <v/>
      </c>
      <c r="AB919" s="1" t="n">
        <f aca="false">IF(N919="No",0,IF(REVIEW!O919=0,0,IF(G919&gt;0,IF(INDEX(CONFIRM!$J$5:$J$53,G919)&lt;&gt;"",INDEX(CONFIRM!$J$5:$J$53,G919),1),1)))</f>
        <v>1</v>
      </c>
      <c r="AC919" s="1" t="n">
        <f aca="false">IF(AB919=1,IF(COUNTIFS($B$5:B919,B919,$D$5:D919,D919,$AB$5:AB919,1)=1,1,0),0)</f>
        <v>0</v>
      </c>
    </row>
    <row r="920" customFormat="false" ht="15" hidden="false" customHeight="false" outlineLevel="0" collapsed="false">
      <c r="A920" s="48" t="str">
        <f aca="false">STACK!A920</f>
        <v>CBH-0092</v>
      </c>
      <c r="B920" s="48" t="str">
        <f aca="false">STACK!B920</f>
        <v>CBH</v>
      </c>
      <c r="C920" s="48" t="str">
        <f aca="false">STACK!E920</f>
        <v>Free Clinic Staffing</v>
      </c>
      <c r="D920" s="1" t="str">
        <f aca="false">IFERROR(INDEX(MAP!$J$7:$J$101,MATCH(TRIM(C920),MAP!$I$7:$I$101,0)),"UNMAPPED")</f>
        <v>Free Clinic Provider Staffing</v>
      </c>
      <c r="E920" s="1" t="str">
        <f aca="false">IFERROR(INDEX(MAP!$K$7:$K$101,MATCH(TRIM(C920),MAP!$I$7:$I$101,0)),"")</f>
        <v>Access to care</v>
      </c>
      <c r="F920" s="1" t="str">
        <f aca="false">IFERROR(INDEX(MAP!$L$7:$L$101,MATCH(TRIM(C920),MAP!$I$7:$I$101,0)),"")</f>
        <v>Monthly</v>
      </c>
      <c r="G920" s="1" t="n">
        <f aca="false">IFERROR(MATCH(A920,CONFIRM!$A$5:$A$53,0),0)</f>
        <v>0</v>
      </c>
      <c r="H920" s="48" t="str">
        <f aca="false">STACK!F920</f>
        <v>Screenings</v>
      </c>
      <c r="I920" s="1" t="str">
        <f aca="false">IF(G920&gt;0,IF(INDEX(CONFIRM!$I$5:$I$53,G920)&lt;&gt;"",INDEX(CONFIRM!$I$5:$I$53,G920),H920),H920)</f>
        <v>Screenings</v>
      </c>
      <c r="J920" s="1" t="str">
        <f aca="false">IFERROR(INDEX(MAP!$F$7:$F$74,MATCH(TRIM(I920),MAP!$E$7:$E$74,0)),"UNMAPPED")</f>
        <v>Community-based clinical services</v>
      </c>
      <c r="K920" s="1" t="str">
        <f aca="false">IFERROR(INDEX(MAP!$G$7:$G$74,MATCH(TRIM(I920),MAP!$E$7:$E$74,0)),"UNMAPPED")</f>
        <v>7e</v>
      </c>
      <c r="L920" s="49" t="str">
        <f aca="false">STACK!G920</f>
        <v>2025-10-31</v>
      </c>
      <c r="M920" s="59" t="n">
        <f aca="false">IF(G920&gt;0,IF(INDEX(CONFIRM!$G$5:$G$53,G920)&lt;&gt;"",INDEX(CONFIRM!$G$5:$G$53,G920),IF(ISNUMBER(L920),L920,IFERROR(DATEVALUE(L920),""))),IF(ISNUMBER(L920),L920,IFERROR(DATEVALUE(L920),"")))</f>
        <v>45961</v>
      </c>
      <c r="N920" s="1" t="str">
        <f aca="false">IF(M920="","Check",IF(AND(M920&gt;=INPUTS!$C$6,M920&lt;=INPUTS!$C$7),"Yes","No"))</f>
        <v>Yes</v>
      </c>
      <c r="O920" s="48" t="str">
        <f aca="false">STACK!H920</f>
        <v>Nurse Practitioner</v>
      </c>
      <c r="P920" s="1" t="str">
        <f aca="false">IF(G920&gt;0,IF(INDEX(CONFIRM!$H$5:$H$53,G920)&lt;&gt;"",INDEX(CONFIRM!$H$5:$H$53,G920),IFERROR(INDEX(MAP!$B$7:$B$156,MATCH(TRIM(O920),MAP!$A$7:$A$156,0)),"UNMAPPED")),IFERROR(INDEX(MAP!$B$7:$B$156,MATCH(TRIM(O920),MAP!$A$7:$A$156,0)),"UNMAPPED"))</f>
        <v>Nurse Practitioner</v>
      </c>
      <c r="Q920" s="48" t="n">
        <f aca="false">STACK!I920</f>
        <v>43</v>
      </c>
      <c r="R920" s="60" t="n">
        <f aca="false">IF(G920&gt;0,IF(INDEX(CONFIRM!$F$5:$F$53,G920)&lt;&gt;"",INDEX(CONFIRM!$F$5:$F$53,G920),IF(ISNUMBER(Q920),Q920,IF(Q920="","",IFERROR(VALUE(TRIM(SUBSTITUTE(SUBSTITUTE(LOWER(Q920),"hrs",""),"hr",""))),"")))),IF(ISNUMBER(Q920),Q920,IF(Q920="","",IFERROR(VALUE(TRIM(SUBSTITUTE(SUBSTITUTE(LOWER(Q920),"hrs",""),"hr",""))),""))))</f>
        <v>43</v>
      </c>
      <c r="S920" s="57" t="n">
        <f aca="false">IFERROR(INDEX(RATES!$E$6:$E$28,MATCH(P920,RATES!$A$6:$A$28,0)),0)</f>
        <v>79.67</v>
      </c>
      <c r="T920" s="61" t="n">
        <f aca="false">IF(ISNUMBER(R920),R920,0)*S920</f>
        <v>3425.81</v>
      </c>
      <c r="U920" s="61" t="n">
        <f aca="false">T920*INDEX(INPUTS!$H$10:$H$14,MATCH(B920,INPUTS!$A$10:$A$14,0))</f>
        <v>541.27798</v>
      </c>
      <c r="V920" s="61" t="n">
        <f aca="false">N(STACK!K920)</f>
        <v>3605</v>
      </c>
      <c r="W920" s="61" t="n">
        <f aca="false">T920+U920+V920</f>
        <v>7572.08798</v>
      </c>
      <c r="X920" s="61" t="n">
        <f aca="false">N(STACK!L920)</f>
        <v>0</v>
      </c>
      <c r="Y920" s="61" t="n">
        <f aca="false">W920-X920</f>
        <v>7572.08798</v>
      </c>
      <c r="Z920" s="1" t="n">
        <f aca="false">N(STACK!J920)</f>
        <v>208</v>
      </c>
      <c r="AA920" s="1" t="str">
        <f aca="false">TRIM(IF(D920="UNMAPPED","Program not mapped. ","")&amp;IF(OR(K920="UNMAPPED",K920="UNASSIGNED"),"Category needs review. ","")&amp;IF(P920="UNMAPPED","Title not mapped. ","")&amp;IF(AND(P920&lt;&gt;"No staff time",R920=""),"Missing hours. ","")&amp;IF(M920="","Date not readable. ","")&amp;IF(N920="No","Outside fiscal year. ","")&amp;IF(AND(F920="Event",ISNUMBER(R920)),IF(R920&gt;12,"Event hours look high. ",""),"")&amp;IF(G920&gt;0,"See CONFIRM sheet.",""))</f>
        <v/>
      </c>
      <c r="AB920" s="1" t="n">
        <f aca="false">IF(N920="No",0,IF(REVIEW!O920=0,0,IF(G920&gt;0,IF(INDEX(CONFIRM!$J$5:$J$53,G920)&lt;&gt;"",INDEX(CONFIRM!$J$5:$J$53,G920),1),1)))</f>
        <v>1</v>
      </c>
      <c r="AC920" s="1" t="n">
        <f aca="false">IF(AB920=1,IF(COUNTIFS($B$5:B920,B920,$D$5:D920,D920,$AB$5:AB920,1)=1,1,0),0)</f>
        <v>0</v>
      </c>
    </row>
    <row r="921" customFormat="false" ht="15" hidden="false" customHeight="false" outlineLevel="0" collapsed="false">
      <c r="A921" s="48" t="str">
        <f aca="false">STACK!A921</f>
        <v>CBH-0093</v>
      </c>
      <c r="B921" s="48" t="str">
        <f aca="false">STACK!B921</f>
        <v>CBH</v>
      </c>
      <c r="C921" s="48" t="str">
        <f aca="false">STACK!E921</f>
        <v>Free Clinic Staffing</v>
      </c>
      <c r="D921" s="1" t="str">
        <f aca="false">IFERROR(INDEX(MAP!$J$7:$J$101,MATCH(TRIM(C921),MAP!$I$7:$I$101,0)),"UNMAPPED")</f>
        <v>Free Clinic Provider Staffing</v>
      </c>
      <c r="E921" s="1" t="str">
        <f aca="false">IFERROR(INDEX(MAP!$K$7:$K$101,MATCH(TRIM(C921),MAP!$I$7:$I$101,0)),"")</f>
        <v>Access to care</v>
      </c>
      <c r="F921" s="1" t="str">
        <f aca="false">IFERROR(INDEX(MAP!$L$7:$L$101,MATCH(TRIM(C921),MAP!$I$7:$I$101,0)),"")</f>
        <v>Monthly</v>
      </c>
      <c r="G921" s="1" t="n">
        <f aca="false">IFERROR(MATCH(A921,CONFIRM!$A$5:$A$53,0),0)</f>
        <v>0</v>
      </c>
      <c r="H921" s="48" t="str">
        <f aca="false">STACK!F921</f>
        <v>Screenings</v>
      </c>
      <c r="I921" s="1" t="str">
        <f aca="false">IF(G921&gt;0,IF(INDEX(CONFIRM!$I$5:$I$53,G921)&lt;&gt;"",INDEX(CONFIRM!$I$5:$I$53,G921),H921),H921)</f>
        <v>Screenings</v>
      </c>
      <c r="J921" s="1" t="str">
        <f aca="false">IFERROR(INDEX(MAP!$F$7:$F$74,MATCH(TRIM(I921),MAP!$E$7:$E$74,0)),"UNMAPPED")</f>
        <v>Community-based clinical services</v>
      </c>
      <c r="K921" s="1" t="str">
        <f aca="false">IFERROR(INDEX(MAP!$G$7:$G$74,MATCH(TRIM(I921),MAP!$E$7:$E$74,0)),"UNMAPPED")</f>
        <v>7e</v>
      </c>
      <c r="L921" s="49" t="str">
        <f aca="false">STACK!G921</f>
        <v>2025-10-31</v>
      </c>
      <c r="M921" s="59" t="n">
        <f aca="false">IF(G921&gt;0,IF(INDEX(CONFIRM!$G$5:$G$53,G921)&lt;&gt;"",INDEX(CONFIRM!$G$5:$G$53,G921),IF(ISNUMBER(L921),L921,IFERROR(DATEVALUE(L921),""))),IF(ISNUMBER(L921),L921,IFERROR(DATEVALUE(L921),"")))</f>
        <v>45961</v>
      </c>
      <c r="N921" s="1" t="str">
        <f aca="false">IF(M921="","Check",IF(AND(M921&gt;=INPUTS!$C$6,M921&lt;=INPUTS!$C$7),"Yes","No"))</f>
        <v>Yes</v>
      </c>
      <c r="O921" s="48" t="str">
        <f aca="false">STACK!H921</f>
        <v>RPh </v>
      </c>
      <c r="P921" s="1" t="str">
        <f aca="false">IF(G921&gt;0,IF(INDEX(CONFIRM!$H$5:$H$53,G921)&lt;&gt;"",INDEX(CONFIRM!$H$5:$H$53,G921),IFERROR(INDEX(MAP!$B$7:$B$156,MATCH(TRIM(O921),MAP!$A$7:$A$156,0)),"UNMAPPED")),IFERROR(INDEX(MAP!$B$7:$B$156,MATCH(TRIM(O921),MAP!$A$7:$A$156,0)),"UNMAPPED"))</f>
        <v>Pharmacist</v>
      </c>
      <c r="Q921" s="48" t="n">
        <f aca="false">STACK!I921</f>
        <v>13.75</v>
      </c>
      <c r="R921" s="60" t="n">
        <f aca="false">IF(G921&gt;0,IF(INDEX(CONFIRM!$F$5:$F$53,G921)&lt;&gt;"",INDEX(CONFIRM!$F$5:$F$53,G921),IF(ISNUMBER(Q921),Q921,IF(Q921="","",IFERROR(VALUE(TRIM(SUBSTITUTE(SUBSTITUTE(LOWER(Q921),"hrs",""),"hr",""))),"")))),IF(ISNUMBER(Q921),Q921,IF(Q921="","",IFERROR(VALUE(TRIM(SUBSTITUTE(SUBSTITUTE(LOWER(Q921),"hrs",""),"hr",""))),""))))</f>
        <v>13.75</v>
      </c>
      <c r="S921" s="57" t="n">
        <f aca="false">IFERROR(INDEX(RATES!$E$6:$E$28,MATCH(P921,RATES!$A$6:$A$28,0)),0)</f>
        <v>84.81</v>
      </c>
      <c r="T921" s="61" t="n">
        <f aca="false">IF(ISNUMBER(R921),R921,0)*S921</f>
        <v>1166.1375</v>
      </c>
      <c r="U921" s="61" t="n">
        <f aca="false">T921*INDEX(INPUTS!$H$10:$H$14,MATCH(B921,INPUTS!$A$10:$A$14,0))</f>
        <v>184.249725</v>
      </c>
      <c r="V921" s="61" t="n">
        <f aca="false">N(STACK!K921)</f>
        <v>0</v>
      </c>
      <c r="W921" s="61" t="n">
        <f aca="false">T921+U921+V921</f>
        <v>1350.387225</v>
      </c>
      <c r="X921" s="61" t="n">
        <f aca="false">N(STACK!L921)</f>
        <v>0</v>
      </c>
      <c r="Y921" s="61" t="n">
        <f aca="false">W921-X921</f>
        <v>1350.387225</v>
      </c>
      <c r="Z921" s="1" t="n">
        <f aca="false">N(STACK!J921)</f>
        <v>0</v>
      </c>
      <c r="AA921" s="1" t="str">
        <f aca="false">TRIM(IF(D921="UNMAPPED","Program not mapped. ","")&amp;IF(OR(K921="UNMAPPED",K921="UNASSIGNED"),"Category needs review. ","")&amp;IF(P921="UNMAPPED","Title not mapped. ","")&amp;IF(AND(P921&lt;&gt;"No staff time",R921=""),"Missing hours. ","")&amp;IF(M921="","Date not readable. ","")&amp;IF(N921="No","Outside fiscal year. ","")&amp;IF(AND(F921="Event",ISNUMBER(R921)),IF(R921&gt;12,"Event hours look high. ",""),"")&amp;IF(G921&gt;0,"See CONFIRM sheet.",""))</f>
        <v/>
      </c>
      <c r="AB921" s="1" t="n">
        <f aca="false">IF(N921="No",0,IF(REVIEW!O921=0,0,IF(G921&gt;0,IF(INDEX(CONFIRM!$J$5:$J$53,G921)&lt;&gt;"",INDEX(CONFIRM!$J$5:$J$53,G921),1),1)))</f>
        <v>1</v>
      </c>
      <c r="AC921" s="1" t="n">
        <f aca="false">IF(AB921=1,IF(COUNTIFS($B$5:B921,B921,$D$5:D921,D921,$AB$5:AB921,1)=1,1,0),0)</f>
        <v>0</v>
      </c>
    </row>
    <row r="922" customFormat="false" ht="15" hidden="false" customHeight="false" outlineLevel="0" collapsed="false">
      <c r="A922" s="48" t="str">
        <f aca="false">STACK!A922</f>
        <v>CBH-0094</v>
      </c>
      <c r="B922" s="48" t="str">
        <f aca="false">STACK!B922</f>
        <v>CBH</v>
      </c>
      <c r="C922" s="48" t="str">
        <f aca="false">STACK!E922</f>
        <v>Free Clinic Staffing</v>
      </c>
      <c r="D922" s="1" t="str">
        <f aca="false">IFERROR(INDEX(MAP!$J$7:$J$101,MATCH(TRIM(C922),MAP!$I$7:$I$101,0)),"UNMAPPED")</f>
        <v>Free Clinic Provider Staffing</v>
      </c>
      <c r="E922" s="1" t="str">
        <f aca="false">IFERROR(INDEX(MAP!$K$7:$K$101,MATCH(TRIM(C922),MAP!$I$7:$I$101,0)),"")</f>
        <v>Access to care</v>
      </c>
      <c r="F922" s="1" t="str">
        <f aca="false">IFERROR(INDEX(MAP!$L$7:$L$101,MATCH(TRIM(C922),MAP!$I$7:$I$101,0)),"")</f>
        <v>Monthly</v>
      </c>
      <c r="G922" s="1" t="n">
        <f aca="false">IFERROR(MATCH(A922,CONFIRM!$A$5:$A$53,0),0)</f>
        <v>0</v>
      </c>
      <c r="H922" s="48" t="str">
        <f aca="false">STACK!F922</f>
        <v>Screenings</v>
      </c>
      <c r="I922" s="1" t="str">
        <f aca="false">IF(G922&gt;0,IF(INDEX(CONFIRM!$I$5:$I$53,G922)&lt;&gt;"",INDEX(CONFIRM!$I$5:$I$53,G922),H922),H922)</f>
        <v>Screenings</v>
      </c>
      <c r="J922" s="1" t="str">
        <f aca="false">IFERROR(INDEX(MAP!$F$7:$F$74,MATCH(TRIM(I922),MAP!$E$7:$E$74,0)),"UNMAPPED")</f>
        <v>Community-based clinical services</v>
      </c>
      <c r="K922" s="1" t="str">
        <f aca="false">IFERROR(INDEX(MAP!$G$7:$G$74,MATCH(TRIM(I922),MAP!$E$7:$E$74,0)),"UNMAPPED")</f>
        <v>7e</v>
      </c>
      <c r="L922" s="49" t="str">
        <f aca="false">STACK!G922</f>
        <v>2025-10-31</v>
      </c>
      <c r="M922" s="59" t="n">
        <f aca="false">IF(G922&gt;0,IF(INDEX(CONFIRM!$G$5:$G$53,G922)&lt;&gt;"",INDEX(CONFIRM!$G$5:$G$53,G922),IF(ISNUMBER(L922),L922,IFERROR(DATEVALUE(L922),""))),IF(ISNUMBER(L922),L922,IFERROR(DATEVALUE(L922),"")))</f>
        <v>45961</v>
      </c>
      <c r="N922" s="1" t="str">
        <f aca="false">IF(M922="","Check",IF(AND(M922&gt;=INPUTS!$C$6,M922&lt;=INPUTS!$C$7),"Yes","No"))</f>
        <v>Yes</v>
      </c>
      <c r="O922" s="48" t="str">
        <f aca="false">STACK!H922</f>
        <v>Charge RN</v>
      </c>
      <c r="P922" s="1" t="str">
        <f aca="false">IF(G922&gt;0,IF(INDEX(CONFIRM!$H$5:$H$53,G922)&lt;&gt;"",INDEX(CONFIRM!$H$5:$H$53,G922),IFERROR(INDEX(MAP!$B$7:$B$156,MATCH(TRIM(O922),MAP!$A$7:$A$156,0)),"UNMAPPED")),IFERROR(INDEX(MAP!$B$7:$B$156,MATCH(TRIM(O922),MAP!$A$7:$A$156,0)),"UNMAPPED"))</f>
        <v>Registered Nurse</v>
      </c>
      <c r="Q922" s="48" t="n">
        <f aca="false">STACK!I922</f>
        <v>33</v>
      </c>
      <c r="R922" s="60" t="n">
        <f aca="false">IF(G922&gt;0,IF(INDEX(CONFIRM!$F$5:$F$53,G922)&lt;&gt;"",INDEX(CONFIRM!$F$5:$F$53,G922),IF(ISNUMBER(Q922),Q922,IF(Q922="","",IFERROR(VALUE(TRIM(SUBSTITUTE(SUBSTITUTE(LOWER(Q922),"hrs",""),"hr",""))),"")))),IF(ISNUMBER(Q922),Q922,IF(Q922="","",IFERROR(VALUE(TRIM(SUBSTITUTE(SUBSTITUTE(LOWER(Q922),"hrs",""),"hr",""))),""))))</f>
        <v>33</v>
      </c>
      <c r="S922" s="57" t="n">
        <f aca="false">IFERROR(INDEX(RATES!$E$6:$E$28,MATCH(P922,RATES!$A$6:$A$28,0)),0)</f>
        <v>55.8975</v>
      </c>
      <c r="T922" s="61" t="n">
        <f aca="false">IF(ISNUMBER(R922),R922,0)*S922</f>
        <v>1844.6175</v>
      </c>
      <c r="U922" s="61" t="n">
        <f aca="false">T922*INDEX(INPUTS!$H$10:$H$14,MATCH(B922,INPUTS!$A$10:$A$14,0))</f>
        <v>291.449565</v>
      </c>
      <c r="V922" s="61" t="n">
        <f aca="false">N(STACK!K922)</f>
        <v>0</v>
      </c>
      <c r="W922" s="61" t="n">
        <f aca="false">T922+U922+V922</f>
        <v>2136.067065</v>
      </c>
      <c r="X922" s="61" t="n">
        <f aca="false">N(STACK!L922)</f>
        <v>0</v>
      </c>
      <c r="Y922" s="61" t="n">
        <f aca="false">W922-X922</f>
        <v>2136.067065</v>
      </c>
      <c r="Z922" s="1" t="n">
        <f aca="false">N(STACK!J922)</f>
        <v>0</v>
      </c>
      <c r="AA922" s="1" t="str">
        <f aca="false">TRIM(IF(D922="UNMAPPED","Program not mapped. ","")&amp;IF(OR(K922="UNMAPPED",K922="UNASSIGNED"),"Category needs review. ","")&amp;IF(P922="UNMAPPED","Title not mapped. ","")&amp;IF(AND(P922&lt;&gt;"No staff time",R922=""),"Missing hours. ","")&amp;IF(M922="","Date not readable. ","")&amp;IF(N922="No","Outside fiscal year. ","")&amp;IF(AND(F922="Event",ISNUMBER(R922)),IF(R922&gt;12,"Event hours look high. ",""),"")&amp;IF(G922&gt;0,"See CONFIRM sheet.",""))</f>
        <v/>
      </c>
      <c r="AB922" s="1" t="n">
        <f aca="false">IF(N922="No",0,IF(REVIEW!O922=0,0,IF(G922&gt;0,IF(INDEX(CONFIRM!$J$5:$J$53,G922)&lt;&gt;"",INDEX(CONFIRM!$J$5:$J$53,G922),1),1)))</f>
        <v>1</v>
      </c>
      <c r="AC922" s="1" t="n">
        <f aca="false">IF(AB922=1,IF(COUNTIFS($B$5:B922,B922,$D$5:D922,D922,$AB$5:AB922,1)=1,1,0),0)</f>
        <v>0</v>
      </c>
    </row>
    <row r="923" customFormat="false" ht="15" hidden="false" customHeight="false" outlineLevel="0" collapsed="false">
      <c r="A923" s="48" t="str">
        <f aca="false">STACK!A923</f>
        <v>CBH-0095</v>
      </c>
      <c r="B923" s="48" t="str">
        <f aca="false">STACK!B923</f>
        <v>CBH</v>
      </c>
      <c r="C923" s="48" t="str">
        <f aca="false">STACK!E923</f>
        <v>Med Assistance</v>
      </c>
      <c r="D923" s="1" t="str">
        <f aca="false">IFERROR(INDEX(MAP!$J$7:$J$101,MATCH(TRIM(C923),MAP!$I$7:$I$101,0)),"UNMAPPED")</f>
        <v>Medication Assistance Program</v>
      </c>
      <c r="E923" s="1" t="str">
        <f aca="false">IFERROR(INDEX(MAP!$K$7:$K$101,MATCH(TRIM(C923),MAP!$I$7:$I$101,0)),"")</f>
        <v>Access to care</v>
      </c>
      <c r="F923" s="1" t="str">
        <f aca="false">IFERROR(INDEX(MAP!$L$7:$L$101,MATCH(TRIM(C923),MAP!$I$7:$I$101,0)),"")</f>
        <v>Monthly</v>
      </c>
      <c r="G923" s="1" t="n">
        <f aca="false">IFERROR(MATCH(A923,CONFIRM!$A$5:$A$53,0),0)</f>
        <v>0</v>
      </c>
      <c r="H923" s="48" t="str">
        <f aca="false">STACK!F923</f>
        <v>Patient Support</v>
      </c>
      <c r="I923" s="1" t="str">
        <f aca="false">IF(G923&gt;0,IF(INDEX(CONFIRM!$I$5:$I$53,G923)&lt;&gt;"",INDEX(CONFIRM!$I$5:$I$53,G923),H923),H923)</f>
        <v>Patient Support</v>
      </c>
      <c r="J923" s="1" t="str">
        <f aca="false">IFERROR(INDEX(MAP!$F$7:$F$74,MATCH(TRIM(I923),MAP!$E$7:$E$74,0)),"UNMAPPED")</f>
        <v>Health care support services</v>
      </c>
      <c r="K923" s="1" t="str">
        <f aca="false">IFERROR(INDEX(MAP!$G$7:$G$74,MATCH(TRIM(I923),MAP!$E$7:$E$74,0)),"UNMAPPED")</f>
        <v>7e</v>
      </c>
      <c r="L923" s="49" t="str">
        <f aca="false">STACK!G923</f>
        <v>2025-10-31</v>
      </c>
      <c r="M923" s="59" t="n">
        <f aca="false">IF(G923&gt;0,IF(INDEX(CONFIRM!$G$5:$G$53,G923)&lt;&gt;"",INDEX(CONFIRM!$G$5:$G$53,G923),IF(ISNUMBER(L923),L923,IFERROR(DATEVALUE(L923),""))),IF(ISNUMBER(L923),L923,IFERROR(DATEVALUE(L923),"")))</f>
        <v>45961</v>
      </c>
      <c r="N923" s="1" t="str">
        <f aca="false">IF(M923="","Check",IF(AND(M923&gt;=INPUTS!$C$6,M923&lt;=INPUTS!$C$7),"Yes","No"))</f>
        <v>Yes</v>
      </c>
      <c r="O923" s="48" t="str">
        <f aca="false">STACK!H923</f>
        <v>Nurse Navigator</v>
      </c>
      <c r="P923" s="1" t="str">
        <f aca="false">IF(G923&gt;0,IF(INDEX(CONFIRM!$H$5:$H$53,G923)&lt;&gt;"",INDEX(CONFIRM!$H$5:$H$53,G923),IFERROR(INDEX(MAP!$B$7:$B$156,MATCH(TRIM(O923),MAP!$A$7:$A$156,0)),"UNMAPPED")),IFERROR(INDEX(MAP!$B$7:$B$156,MATCH(TRIM(O923),MAP!$A$7:$A$156,0)),"UNMAPPED"))</f>
        <v>Patient Navigator</v>
      </c>
      <c r="Q923" s="48" t="n">
        <f aca="false">STACK!I923</f>
        <v>76.5</v>
      </c>
      <c r="R923" s="60" t="n">
        <f aca="false">IF(G923&gt;0,IF(INDEX(CONFIRM!$F$5:$F$53,G923)&lt;&gt;"",INDEX(CONFIRM!$F$5:$F$53,G923),IF(ISNUMBER(Q923),Q923,IF(Q923="","",IFERROR(VALUE(TRIM(SUBSTITUTE(SUBSTITUTE(LOWER(Q923),"hrs",""),"hr",""))),"")))),IF(ISNUMBER(Q923),Q923,IF(Q923="","",IFERROR(VALUE(TRIM(SUBSTITUTE(SUBSTITUTE(LOWER(Q923),"hrs",""),"hr",""))),""))))</f>
        <v>76.5</v>
      </c>
      <c r="S923" s="57" t="n">
        <f aca="false">IFERROR(INDEX(RATES!$E$6:$E$28,MATCH(P923,RATES!$A$6:$A$28,0)),0)</f>
        <v>30.84</v>
      </c>
      <c r="T923" s="61" t="n">
        <f aca="false">IF(ISNUMBER(R923),R923,0)*S923</f>
        <v>2359.26</v>
      </c>
      <c r="U923" s="61" t="n">
        <f aca="false">T923*INDEX(INPUTS!$H$10:$H$14,MATCH(B923,INPUTS!$A$10:$A$14,0))</f>
        <v>372.76308</v>
      </c>
      <c r="V923" s="61" t="n">
        <f aca="false">N(STACK!K923)</f>
        <v>0</v>
      </c>
      <c r="W923" s="61" t="n">
        <f aca="false">T923+U923+V923</f>
        <v>2732.02308</v>
      </c>
      <c r="X923" s="61" t="n">
        <f aca="false">N(STACK!L923)</f>
        <v>0</v>
      </c>
      <c r="Y923" s="61" t="n">
        <f aca="false">W923-X923</f>
        <v>2732.02308</v>
      </c>
      <c r="Z923" s="1" t="n">
        <f aca="false">N(STACK!J923)</f>
        <v>0</v>
      </c>
      <c r="AA923" s="1" t="str">
        <f aca="false">TRIM(IF(D923="UNMAPPED","Program not mapped. ","")&amp;IF(OR(K923="UNMAPPED",K923="UNASSIGNED"),"Category needs review. ","")&amp;IF(P923="UNMAPPED","Title not mapped. ","")&amp;IF(AND(P923&lt;&gt;"No staff time",R923=""),"Missing hours. ","")&amp;IF(M923="","Date not readable. ","")&amp;IF(N923="No","Outside fiscal year. ","")&amp;IF(AND(F923="Event",ISNUMBER(R923)),IF(R923&gt;12,"Event hours look high. ",""),"")&amp;IF(G923&gt;0,"See CONFIRM sheet.",""))</f>
        <v/>
      </c>
      <c r="AB923" s="1" t="n">
        <f aca="false">IF(N923="No",0,IF(REVIEW!O923=0,0,IF(G923&gt;0,IF(INDEX(CONFIRM!$J$5:$J$53,G923)&lt;&gt;"",INDEX(CONFIRM!$J$5:$J$53,G923),1),1)))</f>
        <v>1</v>
      </c>
      <c r="AC923" s="1" t="n">
        <f aca="false">IF(AB923=1,IF(COUNTIFS($B$5:B923,B923,$D$5:D923,D923,$AB$5:AB923,1)=1,1,0),0)</f>
        <v>0</v>
      </c>
    </row>
    <row r="924" customFormat="false" ht="15" hidden="false" customHeight="false" outlineLevel="0" collapsed="false">
      <c r="A924" s="48" t="str">
        <f aca="false">STACK!A924</f>
        <v>CBH-0096</v>
      </c>
      <c r="B924" s="48" t="str">
        <f aca="false">STACK!B924</f>
        <v>CBH</v>
      </c>
      <c r="C924" s="48" t="str">
        <f aca="false">STACK!E924</f>
        <v>Med Assistance</v>
      </c>
      <c r="D924" s="1" t="str">
        <f aca="false">IFERROR(INDEX(MAP!$J$7:$J$101,MATCH(TRIM(C924),MAP!$I$7:$I$101,0)),"UNMAPPED")</f>
        <v>Medication Assistance Program</v>
      </c>
      <c r="E924" s="1" t="str">
        <f aca="false">IFERROR(INDEX(MAP!$K$7:$K$101,MATCH(TRIM(C924),MAP!$I$7:$I$101,0)),"")</f>
        <v>Access to care</v>
      </c>
      <c r="F924" s="1" t="str">
        <f aca="false">IFERROR(INDEX(MAP!$L$7:$L$101,MATCH(TRIM(C924),MAP!$I$7:$I$101,0)),"")</f>
        <v>Monthly</v>
      </c>
      <c r="G924" s="1" t="n">
        <f aca="false">IFERROR(MATCH(A924,CONFIRM!$A$5:$A$53,0),0)</f>
        <v>0</v>
      </c>
      <c r="H924" s="48" t="str">
        <f aca="false">STACK!F924</f>
        <v>Patient Support</v>
      </c>
      <c r="I924" s="1" t="str">
        <f aca="false">IF(G924&gt;0,IF(INDEX(CONFIRM!$I$5:$I$53,G924)&lt;&gt;"",INDEX(CONFIRM!$I$5:$I$53,G924),H924),H924)</f>
        <v>Patient Support</v>
      </c>
      <c r="J924" s="1" t="str">
        <f aca="false">IFERROR(INDEX(MAP!$F$7:$F$74,MATCH(TRIM(I924),MAP!$E$7:$E$74,0)),"UNMAPPED")</f>
        <v>Health care support services</v>
      </c>
      <c r="K924" s="1" t="str">
        <f aca="false">IFERROR(INDEX(MAP!$G$7:$G$74,MATCH(TRIM(I924),MAP!$E$7:$E$74,0)),"UNMAPPED")</f>
        <v>7e</v>
      </c>
      <c r="L924" s="49" t="str">
        <f aca="false">STACK!G924</f>
        <v>2025-10-31</v>
      </c>
      <c r="M924" s="59" t="n">
        <f aca="false">IF(G924&gt;0,IF(INDEX(CONFIRM!$G$5:$G$53,G924)&lt;&gt;"",INDEX(CONFIRM!$G$5:$G$53,G924),IF(ISNUMBER(L924),L924,IFERROR(DATEVALUE(L924),""))),IF(ISNUMBER(L924),L924,IFERROR(DATEVALUE(L924),"")))</f>
        <v>45961</v>
      </c>
      <c r="N924" s="1" t="str">
        <f aca="false">IF(M924="","Check",IF(AND(M924&gt;=INPUTS!$C$6,M924&lt;=INPUTS!$C$7),"Yes","No"))</f>
        <v>Yes</v>
      </c>
      <c r="O924" s="48" t="str">
        <f aca="false">STACK!H924</f>
        <v>Pharmacist II</v>
      </c>
      <c r="P924" s="1" t="str">
        <f aca="false">IF(G924&gt;0,IF(INDEX(CONFIRM!$H$5:$H$53,G924)&lt;&gt;"",INDEX(CONFIRM!$H$5:$H$53,G924),IFERROR(INDEX(MAP!$B$7:$B$156,MATCH(TRIM(O924),MAP!$A$7:$A$156,0)),"UNMAPPED")),IFERROR(INDEX(MAP!$B$7:$B$156,MATCH(TRIM(O924),MAP!$A$7:$A$156,0)),"UNMAPPED"))</f>
        <v>Pharmacist</v>
      </c>
      <c r="Q924" s="48" t="n">
        <f aca="false">STACK!I924</f>
        <v>23</v>
      </c>
      <c r="R924" s="60" t="n">
        <f aca="false">IF(G924&gt;0,IF(INDEX(CONFIRM!$F$5:$F$53,G924)&lt;&gt;"",INDEX(CONFIRM!$F$5:$F$53,G924),IF(ISNUMBER(Q924),Q924,IF(Q924="","",IFERROR(VALUE(TRIM(SUBSTITUTE(SUBSTITUTE(LOWER(Q924),"hrs",""),"hr",""))),"")))),IF(ISNUMBER(Q924),Q924,IF(Q924="","",IFERROR(VALUE(TRIM(SUBSTITUTE(SUBSTITUTE(LOWER(Q924),"hrs",""),"hr",""))),""))))</f>
        <v>23</v>
      </c>
      <c r="S924" s="57" t="n">
        <f aca="false">IFERROR(INDEX(RATES!$E$6:$E$28,MATCH(P924,RATES!$A$6:$A$28,0)),0)</f>
        <v>84.81</v>
      </c>
      <c r="T924" s="61" t="n">
        <f aca="false">IF(ISNUMBER(R924),R924,0)*S924</f>
        <v>1950.63</v>
      </c>
      <c r="U924" s="61" t="n">
        <f aca="false">T924*INDEX(INPUTS!$H$10:$H$14,MATCH(B924,INPUTS!$A$10:$A$14,0))</f>
        <v>308.19954</v>
      </c>
      <c r="V924" s="61" t="n">
        <f aca="false">N(STACK!K924)</f>
        <v>24500</v>
      </c>
      <c r="W924" s="61" t="n">
        <f aca="false">T924+U924+V924</f>
        <v>26758.82954</v>
      </c>
      <c r="X924" s="61" t="n">
        <f aca="false">N(STACK!L924)</f>
        <v>0</v>
      </c>
      <c r="Y924" s="61" t="n">
        <f aca="false">W924-X924</f>
        <v>26758.82954</v>
      </c>
      <c r="Z924" s="1" t="n">
        <f aca="false">N(STACK!J924)</f>
        <v>127</v>
      </c>
      <c r="AA924" s="1" t="str">
        <f aca="false">TRIM(IF(D924="UNMAPPED","Program not mapped. ","")&amp;IF(OR(K924="UNMAPPED",K924="UNASSIGNED"),"Category needs review. ","")&amp;IF(P924="UNMAPPED","Title not mapped. ","")&amp;IF(AND(P924&lt;&gt;"No staff time",R924=""),"Missing hours. ","")&amp;IF(M924="","Date not readable. ","")&amp;IF(N924="No","Outside fiscal year. ","")&amp;IF(AND(F924="Event",ISNUMBER(R924)),IF(R924&gt;12,"Event hours look high. ",""),"")&amp;IF(G924&gt;0,"See CONFIRM sheet.",""))</f>
        <v/>
      </c>
      <c r="AB924" s="1" t="n">
        <f aca="false">IF(N924="No",0,IF(REVIEW!O924=0,0,IF(G924&gt;0,IF(INDEX(CONFIRM!$J$5:$J$53,G924)&lt;&gt;"",INDEX(CONFIRM!$J$5:$J$53,G924),1),1)))</f>
        <v>1</v>
      </c>
      <c r="AC924" s="1" t="n">
        <f aca="false">IF(AB924=1,IF(COUNTIFS($B$5:B924,B924,$D$5:D924,D924,$AB$5:AB924,1)=1,1,0),0)</f>
        <v>0</v>
      </c>
    </row>
    <row r="925" customFormat="false" ht="15" hidden="false" customHeight="false" outlineLevel="0" collapsed="false">
      <c r="A925" s="48" t="str">
        <f aca="false">STACK!A925</f>
        <v>CBH-0097</v>
      </c>
      <c r="B925" s="48" t="str">
        <f aca="false">STACK!B925</f>
        <v>CBH</v>
      </c>
      <c r="C925" s="48" t="str">
        <f aca="false">STACK!E925</f>
        <v>Community Benefit Admin</v>
      </c>
      <c r="D925" s="1" t="str">
        <f aca="false">IFERROR(INDEX(MAP!$J$7:$J$101,MATCH(TRIM(C925),MAP!$I$7:$I$101,0)),"UNMAPPED")</f>
        <v>Community Benefit Program Administration</v>
      </c>
      <c r="E925" s="1" t="str">
        <f aca="false">IFERROR(INDEX(MAP!$K$7:$K$101,MATCH(TRIM(C925),MAP!$I$7:$I$101,0)),"")</f>
        <v>Community benefit infrastructure</v>
      </c>
      <c r="F925" s="1" t="str">
        <f aca="false">IFERROR(INDEX(MAP!$L$7:$L$101,MATCH(TRIM(C925),MAP!$I$7:$I$101,0)),"")</f>
        <v>Monthly</v>
      </c>
      <c r="G925" s="1" t="n">
        <f aca="false">IFERROR(MATCH(A925,CONFIRM!$A$5:$A$53,0),0)</f>
        <v>0</v>
      </c>
      <c r="H925" s="48" t="str">
        <f aca="false">STACK!F925</f>
        <v>Ops</v>
      </c>
      <c r="I925" s="1" t="str">
        <f aca="false">IF(G925&gt;0,IF(INDEX(CONFIRM!$I$5:$I$53,G925)&lt;&gt;"",INDEX(CONFIRM!$I$5:$I$53,G925),H925),H925)</f>
        <v>Ops</v>
      </c>
      <c r="J925" s="1" t="str">
        <f aca="false">IFERROR(INDEX(MAP!$F$7:$F$74,MATCH(TRIM(I925),MAP!$E$7:$E$74,0)),"UNMAPPED")</f>
        <v>Community benefit operations</v>
      </c>
      <c r="K925" s="1" t="str">
        <f aca="false">IFERROR(INDEX(MAP!$G$7:$G$74,MATCH(TRIM(I925),MAP!$E$7:$E$74,0)),"UNMAPPED")</f>
        <v>7e</v>
      </c>
      <c r="L925" s="49" t="str">
        <f aca="false">STACK!G925</f>
        <v>2025-10-31</v>
      </c>
      <c r="M925" s="59" t="n">
        <f aca="false">IF(G925&gt;0,IF(INDEX(CONFIRM!$G$5:$G$53,G925)&lt;&gt;"",INDEX(CONFIRM!$G$5:$G$53,G925),IF(ISNUMBER(L925),L925,IFERROR(DATEVALUE(L925),""))),IF(ISNUMBER(L925),L925,IFERROR(DATEVALUE(L925),"")))</f>
        <v>45961</v>
      </c>
      <c r="N925" s="1" t="str">
        <f aca="false">IF(M925="","Check",IF(AND(M925&gt;=INPUTS!$C$6,M925&lt;=INPUTS!$C$7),"Yes","No"))</f>
        <v>Yes</v>
      </c>
      <c r="O925" s="48" t="str">
        <f aca="false">STACK!H925</f>
        <v>Admin Support</v>
      </c>
      <c r="P925" s="1" t="str">
        <f aca="false">IF(G925&gt;0,IF(INDEX(CONFIRM!$H$5:$H$53,G925)&lt;&gt;"",INDEX(CONFIRM!$H$5:$H$53,G925),IFERROR(INDEX(MAP!$B$7:$B$156,MATCH(TRIM(O925),MAP!$A$7:$A$156,0)),"UNMAPPED")),IFERROR(INDEX(MAP!$B$7:$B$156,MATCH(TRIM(O925),MAP!$A$7:$A$156,0)),"UNMAPPED"))</f>
        <v>Administrative Assistant</v>
      </c>
      <c r="Q925" s="48" t="n">
        <f aca="false">STACK!I925</f>
        <v>56.25</v>
      </c>
      <c r="R925" s="60" t="n">
        <f aca="false">IF(G925&gt;0,IF(INDEX(CONFIRM!$F$5:$F$53,G925)&lt;&gt;"",INDEX(CONFIRM!$F$5:$F$53,G925),IF(ISNUMBER(Q925),Q925,IF(Q925="","",IFERROR(VALUE(TRIM(SUBSTITUTE(SUBSTITUTE(LOWER(Q925),"hrs",""),"hr",""))),"")))),IF(ISNUMBER(Q925),Q925,IF(Q925="","",IFERROR(VALUE(TRIM(SUBSTITUTE(SUBSTITUTE(LOWER(Q925),"hrs",""),"hr",""))),""))))</f>
        <v>56.25</v>
      </c>
      <c r="S925" s="57" t="n">
        <f aca="false">IFERROR(INDEX(RATES!$E$6:$E$28,MATCH(P925,RATES!$A$6:$A$28,0)),0)</f>
        <v>26.985</v>
      </c>
      <c r="T925" s="61" t="n">
        <f aca="false">IF(ISNUMBER(R925),R925,0)*S925</f>
        <v>1517.90625</v>
      </c>
      <c r="U925" s="61" t="n">
        <f aca="false">T925*INDEX(INPUTS!$H$10:$H$14,MATCH(B925,INPUTS!$A$10:$A$14,0))</f>
        <v>239.8291875</v>
      </c>
      <c r="V925" s="61" t="n">
        <f aca="false">N(STACK!K925)</f>
        <v>0</v>
      </c>
      <c r="W925" s="61" t="n">
        <f aca="false">T925+U925+V925</f>
        <v>1757.7354375</v>
      </c>
      <c r="X925" s="61" t="n">
        <f aca="false">N(STACK!L925)</f>
        <v>0</v>
      </c>
      <c r="Y925" s="61" t="n">
        <f aca="false">W925-X925</f>
        <v>1757.7354375</v>
      </c>
      <c r="Z925" s="1" t="n">
        <f aca="false">N(STACK!J925)</f>
        <v>0</v>
      </c>
      <c r="AA925" s="1" t="str">
        <f aca="false">TRIM(IF(D925="UNMAPPED","Program not mapped. ","")&amp;IF(OR(K925="UNMAPPED",K925="UNASSIGNED"),"Category needs review. ","")&amp;IF(P925="UNMAPPED","Title not mapped. ","")&amp;IF(AND(P925&lt;&gt;"No staff time",R925=""),"Missing hours. ","")&amp;IF(M925="","Date not readable. ","")&amp;IF(N925="No","Outside fiscal year. ","")&amp;IF(AND(F925="Event",ISNUMBER(R925)),IF(R925&gt;12,"Event hours look high. ",""),"")&amp;IF(G925&gt;0,"See CONFIRM sheet.",""))</f>
        <v/>
      </c>
      <c r="AB925" s="1" t="n">
        <f aca="false">IF(N925="No",0,IF(REVIEW!O925=0,0,IF(G925&gt;0,IF(INDEX(CONFIRM!$J$5:$J$53,G925)&lt;&gt;"",INDEX(CONFIRM!$J$5:$J$53,G925),1),1)))</f>
        <v>1</v>
      </c>
      <c r="AC925" s="1" t="n">
        <f aca="false">IF(AB925=1,IF(COUNTIFS($B$5:B925,B925,$D$5:D925,D925,$AB$5:AB925,1)=1,1,0),0)</f>
        <v>0</v>
      </c>
    </row>
    <row r="926" customFormat="false" ht="15" hidden="false" customHeight="false" outlineLevel="0" collapsed="false">
      <c r="A926" s="48" t="str">
        <f aca="false">STACK!A926</f>
        <v>CBH-0098</v>
      </c>
      <c r="B926" s="48" t="str">
        <f aca="false">STACK!B926</f>
        <v>CBH</v>
      </c>
      <c r="C926" s="48" t="str">
        <f aca="false">STACK!E926</f>
        <v>Community Benefit Admin</v>
      </c>
      <c r="D926" s="1" t="str">
        <f aca="false">IFERROR(INDEX(MAP!$J$7:$J$101,MATCH(TRIM(C926),MAP!$I$7:$I$101,0)),"UNMAPPED")</f>
        <v>Community Benefit Program Administration</v>
      </c>
      <c r="E926" s="1" t="str">
        <f aca="false">IFERROR(INDEX(MAP!$K$7:$K$101,MATCH(TRIM(C926),MAP!$I$7:$I$101,0)),"")</f>
        <v>Community benefit infrastructure</v>
      </c>
      <c r="F926" s="1" t="str">
        <f aca="false">IFERROR(INDEX(MAP!$L$7:$L$101,MATCH(TRIM(C926),MAP!$I$7:$I$101,0)),"")</f>
        <v>Monthly</v>
      </c>
      <c r="G926" s="1" t="n">
        <f aca="false">IFERROR(MATCH(A926,CONFIRM!$A$5:$A$53,0),0)</f>
        <v>0</v>
      </c>
      <c r="H926" s="48" t="str">
        <f aca="false">STACK!F926</f>
        <v>Ops</v>
      </c>
      <c r="I926" s="1" t="str">
        <f aca="false">IF(G926&gt;0,IF(INDEX(CONFIRM!$I$5:$I$53,G926)&lt;&gt;"",INDEX(CONFIRM!$I$5:$I$53,G926),H926),H926)</f>
        <v>Ops</v>
      </c>
      <c r="J926" s="1" t="str">
        <f aca="false">IFERROR(INDEX(MAP!$F$7:$F$74,MATCH(TRIM(I926),MAP!$E$7:$E$74,0)),"UNMAPPED")</f>
        <v>Community benefit operations</v>
      </c>
      <c r="K926" s="1" t="str">
        <f aca="false">IFERROR(INDEX(MAP!$G$7:$G$74,MATCH(TRIM(I926),MAP!$E$7:$E$74,0)),"UNMAPPED")</f>
        <v>7e</v>
      </c>
      <c r="L926" s="49" t="str">
        <f aca="false">STACK!G926</f>
        <v>2025-10-31</v>
      </c>
      <c r="M926" s="59" t="n">
        <f aca="false">IF(G926&gt;0,IF(INDEX(CONFIRM!$G$5:$G$53,G926)&lt;&gt;"",INDEX(CONFIRM!$G$5:$G$53,G926),IF(ISNUMBER(L926),L926,IFERROR(DATEVALUE(L926),""))),IF(ISNUMBER(L926),L926,IFERROR(DATEVALUE(L926),"")))</f>
        <v>45961</v>
      </c>
      <c r="N926" s="1" t="str">
        <f aca="false">IF(M926="","Check",IF(AND(M926&gt;=INPUTS!$C$6,M926&lt;=INPUTS!$C$7),"Yes","No"))</f>
        <v>Yes</v>
      </c>
      <c r="O926" s="48" t="str">
        <f aca="false">STACK!H926</f>
        <v>Mgr, Community Benefit</v>
      </c>
      <c r="P926" s="1" t="str">
        <f aca="false">IF(G926&gt;0,IF(INDEX(CONFIRM!$H$5:$H$53,G926)&lt;&gt;"",INDEX(CONFIRM!$H$5:$H$53,G926),IFERROR(INDEX(MAP!$B$7:$B$156,MATCH(TRIM(O926),MAP!$A$7:$A$156,0)),"UNMAPPED")),IFERROR(INDEX(MAP!$B$7:$B$156,MATCH(TRIM(O926),MAP!$A$7:$A$156,0)),"UNMAPPED"))</f>
        <v>Community Benefit Manager</v>
      </c>
      <c r="Q926" s="48" t="n">
        <f aca="false">STACK!I926</f>
        <v>57</v>
      </c>
      <c r="R926" s="60" t="n">
        <f aca="false">IF(G926&gt;0,IF(INDEX(CONFIRM!$F$5:$F$53,G926)&lt;&gt;"",INDEX(CONFIRM!$F$5:$F$53,G926),IF(ISNUMBER(Q926),Q926,IF(Q926="","",IFERROR(VALUE(TRIM(SUBSTITUTE(SUBSTITUTE(LOWER(Q926),"hrs",""),"hr",""))),"")))),IF(ISNUMBER(Q926),Q926,IF(Q926="","",IFERROR(VALUE(TRIM(SUBSTITUTE(SUBSTITUTE(LOWER(Q926),"hrs",""),"hr",""))),""))))</f>
        <v>57</v>
      </c>
      <c r="S926" s="57" t="n">
        <f aca="false">IFERROR(INDEX(RATES!$E$6:$E$28,MATCH(P926,RATES!$A$6:$A$28,0)),0)</f>
        <v>59.11</v>
      </c>
      <c r="T926" s="61" t="n">
        <f aca="false">IF(ISNUMBER(R926),R926,0)*S926</f>
        <v>3369.27</v>
      </c>
      <c r="U926" s="61" t="n">
        <f aca="false">T926*INDEX(INPUTS!$H$10:$H$14,MATCH(B926,INPUTS!$A$10:$A$14,0))</f>
        <v>532.34466</v>
      </c>
      <c r="V926" s="61" t="n">
        <f aca="false">N(STACK!K926)</f>
        <v>505</v>
      </c>
      <c r="W926" s="61" t="n">
        <f aca="false">T926+U926+V926</f>
        <v>4406.61466</v>
      </c>
      <c r="X926" s="61" t="n">
        <f aca="false">N(STACK!L926)</f>
        <v>0</v>
      </c>
      <c r="Y926" s="61" t="n">
        <f aca="false">W926-X926</f>
        <v>4406.61466</v>
      </c>
      <c r="Z926" s="1" t="n">
        <f aca="false">N(STACK!J926)</f>
        <v>0</v>
      </c>
      <c r="AA926" s="1" t="str">
        <f aca="false">TRIM(IF(D926="UNMAPPED","Program not mapped. ","")&amp;IF(OR(K926="UNMAPPED",K926="UNASSIGNED"),"Category needs review. ","")&amp;IF(P926="UNMAPPED","Title not mapped. ","")&amp;IF(AND(P926&lt;&gt;"No staff time",R926=""),"Missing hours. ","")&amp;IF(M926="","Date not readable. ","")&amp;IF(N926="No","Outside fiscal year. ","")&amp;IF(AND(F926="Event",ISNUMBER(R926)),IF(R926&gt;12,"Event hours look high. ",""),"")&amp;IF(G926&gt;0,"See CONFIRM sheet.",""))</f>
        <v/>
      </c>
      <c r="AB926" s="1" t="n">
        <f aca="false">IF(N926="No",0,IF(REVIEW!O926=0,0,IF(G926&gt;0,IF(INDEX(CONFIRM!$J$5:$J$53,G926)&lt;&gt;"",INDEX(CONFIRM!$J$5:$J$53,G926),1),1)))</f>
        <v>1</v>
      </c>
      <c r="AC926" s="1" t="n">
        <f aca="false">IF(AB926=1,IF(COUNTIFS($B$5:B926,B926,$D$5:D926,D926,$AB$5:AB926,1)=1,1,0),0)</f>
        <v>0</v>
      </c>
    </row>
    <row r="927" customFormat="false" ht="15" hidden="false" customHeight="false" outlineLevel="0" collapsed="false">
      <c r="A927" s="48" t="str">
        <f aca="false">STACK!A927</f>
        <v>CBH-0099</v>
      </c>
      <c r="B927" s="48" t="str">
        <f aca="false">STACK!B927</f>
        <v>CBH</v>
      </c>
      <c r="C927" s="48" t="str">
        <f aca="false">STACK!E927</f>
        <v>Interpreter Services</v>
      </c>
      <c r="D927" s="1" t="str">
        <f aca="false">IFERROR(INDEX(MAP!$J$7:$J$101,MATCH(TRIM(C927),MAP!$I$7:$I$101,0)),"UNMAPPED")</f>
        <v>Interpreter Services for Community Clinics</v>
      </c>
      <c r="E927" s="1" t="str">
        <f aca="false">IFERROR(INDEX(MAP!$K$7:$K$101,MATCH(TRIM(C927),MAP!$I$7:$I$101,0)),"")</f>
        <v>Access to care</v>
      </c>
      <c r="F927" s="1" t="str">
        <f aca="false">IFERROR(INDEX(MAP!$L$7:$L$101,MATCH(TRIM(C927),MAP!$I$7:$I$101,0)),"")</f>
        <v>Monthly</v>
      </c>
      <c r="G927" s="1" t="n">
        <f aca="false">IFERROR(MATCH(A927,CONFIRM!$A$5:$A$53,0),0)</f>
        <v>0</v>
      </c>
      <c r="H927" s="48" t="str">
        <f aca="false">STACK!F927</f>
        <v>Patient Support</v>
      </c>
      <c r="I927" s="1" t="str">
        <f aca="false">IF(G927&gt;0,IF(INDEX(CONFIRM!$I$5:$I$53,G927)&lt;&gt;"",INDEX(CONFIRM!$I$5:$I$53,G927),H927),H927)</f>
        <v>Patient Support</v>
      </c>
      <c r="J927" s="1" t="str">
        <f aca="false">IFERROR(INDEX(MAP!$F$7:$F$74,MATCH(TRIM(I927),MAP!$E$7:$E$74,0)),"UNMAPPED")</f>
        <v>Health care support services</v>
      </c>
      <c r="K927" s="1" t="str">
        <f aca="false">IFERROR(INDEX(MAP!$G$7:$G$74,MATCH(TRIM(I927),MAP!$E$7:$E$74,0)),"UNMAPPED")</f>
        <v>7e</v>
      </c>
      <c r="L927" s="49" t="str">
        <f aca="false">STACK!G927</f>
        <v>2025-10-31</v>
      </c>
      <c r="M927" s="59" t="n">
        <f aca="false">IF(G927&gt;0,IF(INDEX(CONFIRM!$G$5:$G$53,G927)&lt;&gt;"",INDEX(CONFIRM!$G$5:$G$53,G927),IF(ISNUMBER(L927),L927,IFERROR(DATEVALUE(L927),""))),IF(ISNUMBER(L927),L927,IFERROR(DATEVALUE(L927),"")))</f>
        <v>45961</v>
      </c>
      <c r="N927" s="1" t="str">
        <f aca="false">IF(M927="","Check",IF(AND(M927&gt;=INPUTS!$C$6,M927&lt;=INPUTS!$C$7),"Yes","No"))</f>
        <v>Yes</v>
      </c>
      <c r="O927" s="48" t="str">
        <f aca="false">STACK!H927</f>
        <v>Medical Interpreter</v>
      </c>
      <c r="P927" s="1" t="str">
        <f aca="false">IF(G927&gt;0,IF(INDEX(CONFIRM!$H$5:$H$53,G927)&lt;&gt;"",INDEX(CONFIRM!$H$5:$H$53,G927),IFERROR(INDEX(MAP!$B$7:$B$156,MATCH(TRIM(O927),MAP!$A$7:$A$156,0)),"UNMAPPED")),IFERROR(INDEX(MAP!$B$7:$B$156,MATCH(TRIM(O927),MAP!$A$7:$A$156,0)),"UNMAPPED"))</f>
        <v>Interpreter</v>
      </c>
      <c r="Q927" s="48" t="n">
        <f aca="false">STACK!I927</f>
        <v>62.75</v>
      </c>
      <c r="R927" s="60" t="n">
        <f aca="false">IF(G927&gt;0,IF(INDEX(CONFIRM!$F$5:$F$53,G927)&lt;&gt;"",INDEX(CONFIRM!$F$5:$F$53,G927),IF(ISNUMBER(Q927),Q927,IF(Q927="","",IFERROR(VALUE(TRIM(SUBSTITUTE(SUBSTITUTE(LOWER(Q927),"hrs",""),"hr",""))),"")))),IF(ISNUMBER(Q927),Q927,IF(Q927="","",IFERROR(VALUE(TRIM(SUBSTITUTE(SUBSTITUTE(LOWER(Q927),"hrs",""),"hr",""))),""))))</f>
        <v>62.75</v>
      </c>
      <c r="S927" s="57" t="n">
        <f aca="false">IFERROR(INDEX(RATES!$E$6:$E$28,MATCH(P927,RATES!$A$6:$A$28,0)),0)</f>
        <v>32.7675</v>
      </c>
      <c r="T927" s="61" t="n">
        <f aca="false">IF(ISNUMBER(R927),R927,0)*S927</f>
        <v>2056.160625</v>
      </c>
      <c r="U927" s="61" t="n">
        <f aca="false">T927*INDEX(INPUTS!$H$10:$H$14,MATCH(B927,INPUTS!$A$10:$A$14,0))</f>
        <v>324.87337875</v>
      </c>
      <c r="V927" s="61" t="n">
        <f aca="false">N(STACK!K927)</f>
        <v>0</v>
      </c>
      <c r="W927" s="61" t="n">
        <f aca="false">T927+U927+V927</f>
        <v>2381.03400375</v>
      </c>
      <c r="X927" s="61" t="n">
        <f aca="false">N(STACK!L927)</f>
        <v>0</v>
      </c>
      <c r="Y927" s="61" t="n">
        <f aca="false">W927-X927</f>
        <v>2381.03400375</v>
      </c>
      <c r="Z927" s="1" t="n">
        <f aca="false">N(STACK!J927)</f>
        <v>139</v>
      </c>
      <c r="AA927" s="1" t="str">
        <f aca="false">TRIM(IF(D927="UNMAPPED","Program not mapped. ","")&amp;IF(OR(K927="UNMAPPED",K927="UNASSIGNED"),"Category needs review. ","")&amp;IF(P927="UNMAPPED","Title not mapped. ","")&amp;IF(AND(P927&lt;&gt;"No staff time",R927=""),"Missing hours. ","")&amp;IF(M927="","Date not readable. ","")&amp;IF(N927="No","Outside fiscal year. ","")&amp;IF(AND(F927="Event",ISNUMBER(R927)),IF(R927&gt;12,"Event hours look high. ",""),"")&amp;IF(G927&gt;0,"See CONFIRM sheet.",""))</f>
        <v/>
      </c>
      <c r="AB927" s="1" t="n">
        <f aca="false">IF(N927="No",0,IF(REVIEW!O927=0,0,IF(G927&gt;0,IF(INDEX(CONFIRM!$J$5:$J$53,G927)&lt;&gt;"",INDEX(CONFIRM!$J$5:$J$53,G927),1),1)))</f>
        <v>1</v>
      </c>
      <c r="AC927" s="1" t="n">
        <f aca="false">IF(AB927=1,IF(COUNTIFS($B$5:B927,B927,$D$5:D927,D927,$AB$5:AB927,1)=1,1,0),0)</f>
        <v>0</v>
      </c>
    </row>
    <row r="928" customFormat="false" ht="15" hidden="false" customHeight="false" outlineLevel="0" collapsed="false">
      <c r="A928" s="48" t="str">
        <f aca="false">STACK!A928</f>
        <v>CBH-0100</v>
      </c>
      <c r="B928" s="48" t="str">
        <f aca="false">STACK!B928</f>
        <v>CBH</v>
      </c>
      <c r="C928" s="48" t="str">
        <f aca="false">STACK!E928</f>
        <v>Nursing Student Rotations</v>
      </c>
      <c r="D928" s="1" t="str">
        <f aca="false">IFERROR(INDEX(MAP!$J$7:$J$101,MATCH(TRIM(C928),MAP!$I$7:$I$101,0)),"UNMAPPED")</f>
        <v>Nursing Student Clinical Rotations</v>
      </c>
      <c r="E928" s="1" t="str">
        <f aca="false">IFERROR(INDEX(MAP!$K$7:$K$101,MATCH(TRIM(C928),MAP!$I$7:$I$101,0)),"")</f>
        <v>Health workforce</v>
      </c>
      <c r="F928" s="1" t="str">
        <f aca="false">IFERROR(INDEX(MAP!$L$7:$L$101,MATCH(TRIM(C928),MAP!$I$7:$I$101,0)),"")</f>
        <v>Monthly</v>
      </c>
      <c r="G928" s="1" t="n">
        <f aca="false">IFERROR(MATCH(A928,CONFIRM!$A$5:$A$53,0),0)</f>
        <v>0</v>
      </c>
      <c r="H928" s="48" t="str">
        <f aca="false">STACK!F928</f>
        <v>Education - Health Professions</v>
      </c>
      <c r="I928" s="1" t="str">
        <f aca="false">IF(G928&gt;0,IF(INDEX(CONFIRM!$I$5:$I$53,G928)&lt;&gt;"",INDEX(CONFIRM!$I$5:$I$53,G928),H928),H928)</f>
        <v>Education - Health Professions</v>
      </c>
      <c r="J928" s="1" t="str">
        <f aca="false">IFERROR(INDEX(MAP!$F$7:$F$74,MATCH(TRIM(I928),MAP!$E$7:$E$74,0)),"UNMAPPED")</f>
        <v>Health professions education</v>
      </c>
      <c r="K928" s="1" t="str">
        <f aca="false">IFERROR(INDEX(MAP!$G$7:$G$74,MATCH(TRIM(I928),MAP!$E$7:$E$74,0)),"UNMAPPED")</f>
        <v>7f</v>
      </c>
      <c r="L928" s="49" t="str">
        <f aca="false">STACK!G928</f>
        <v>2025-10-31</v>
      </c>
      <c r="M928" s="59" t="n">
        <f aca="false">IF(G928&gt;0,IF(INDEX(CONFIRM!$G$5:$G$53,G928)&lt;&gt;"",INDEX(CONFIRM!$G$5:$G$53,G928),IF(ISNUMBER(L928),L928,IFERROR(DATEVALUE(L928),""))),IF(ISNUMBER(L928),L928,IFERROR(DATEVALUE(L928),"")))</f>
        <v>45961</v>
      </c>
      <c r="N928" s="1" t="str">
        <f aca="false">IF(M928="","Check",IF(AND(M928&gt;=INPUTS!$C$6,M928&lt;=INPUTS!$C$7),"Yes","No"))</f>
        <v>Yes</v>
      </c>
      <c r="O928" s="48" t="str">
        <f aca="false">STACK!H928</f>
        <v>Clinical Nurse Educator</v>
      </c>
      <c r="P928" s="1" t="str">
        <f aca="false">IF(G928&gt;0,IF(INDEX(CONFIRM!$H$5:$H$53,G928)&lt;&gt;"",INDEX(CONFIRM!$H$5:$H$53,G928),IFERROR(INDEX(MAP!$B$7:$B$156,MATCH(TRIM(O928),MAP!$A$7:$A$156,0)),"UNMAPPED")),IFERROR(INDEX(MAP!$B$7:$B$156,MATCH(TRIM(O928),MAP!$A$7:$A$156,0)),"UNMAPPED"))</f>
        <v>Clinical Nurse Educator</v>
      </c>
      <c r="Q928" s="48" t="n">
        <f aca="false">STACK!I928</f>
        <v>113.25</v>
      </c>
      <c r="R928" s="60" t="n">
        <f aca="false">IF(G928&gt;0,IF(INDEX(CONFIRM!$F$5:$F$53,G928)&lt;&gt;"",INDEX(CONFIRM!$F$5:$F$53,G928),IF(ISNUMBER(Q928),Q928,IF(Q928="","",IFERROR(VALUE(TRIM(SUBSTITUTE(SUBSTITUTE(LOWER(Q928),"hrs",""),"hr",""))),"")))),IF(ISNUMBER(Q928),Q928,IF(Q928="","",IFERROR(VALUE(TRIM(SUBSTITUTE(SUBSTITUTE(LOWER(Q928),"hrs",""),"hr",""))),""))))</f>
        <v>113.25</v>
      </c>
      <c r="S928" s="57" t="n">
        <f aca="false">IFERROR(INDEX(RATES!$E$6:$E$28,MATCH(P928,RATES!$A$6:$A$28,0)),0)</f>
        <v>62.965</v>
      </c>
      <c r="T928" s="61" t="n">
        <f aca="false">IF(ISNUMBER(R928),R928,0)*S928</f>
        <v>7130.78625</v>
      </c>
      <c r="U928" s="61" t="n">
        <f aca="false">T928*INDEX(INPUTS!$H$10:$H$14,MATCH(B928,INPUTS!$A$10:$A$14,0))</f>
        <v>1126.6642275</v>
      </c>
      <c r="V928" s="61" t="n">
        <f aca="false">N(STACK!K928)</f>
        <v>995</v>
      </c>
      <c r="W928" s="61" t="n">
        <f aca="false">T928+U928+V928</f>
        <v>9252.4504775</v>
      </c>
      <c r="X928" s="61" t="n">
        <f aca="false">N(STACK!L928)</f>
        <v>0</v>
      </c>
      <c r="Y928" s="61" t="n">
        <f aca="false">W928-X928</f>
        <v>9252.4504775</v>
      </c>
      <c r="Z928" s="1" t="n">
        <f aca="false">N(STACK!J928)</f>
        <v>38</v>
      </c>
      <c r="AA928" s="1" t="str">
        <f aca="false">TRIM(IF(D928="UNMAPPED","Program not mapped. ","")&amp;IF(OR(K928="UNMAPPED",K928="UNASSIGNED"),"Category needs review. ","")&amp;IF(P928="UNMAPPED","Title not mapped. ","")&amp;IF(AND(P928&lt;&gt;"No staff time",R928=""),"Missing hours. ","")&amp;IF(M928="","Date not readable. ","")&amp;IF(N928="No","Outside fiscal year. ","")&amp;IF(AND(F928="Event",ISNUMBER(R928)),IF(R928&gt;12,"Event hours look high. ",""),"")&amp;IF(G928&gt;0,"See CONFIRM sheet.",""))</f>
        <v/>
      </c>
      <c r="AB928" s="1" t="n">
        <f aca="false">IF(N928="No",0,IF(REVIEW!O928=0,0,IF(G928&gt;0,IF(INDEX(CONFIRM!$J$5:$J$53,G928)&lt;&gt;"",INDEX(CONFIRM!$J$5:$J$53,G928),1),1)))</f>
        <v>1</v>
      </c>
      <c r="AC928" s="1" t="n">
        <f aca="false">IF(AB928=1,IF(COUNTIFS($B$5:B928,B928,$D$5:D928,D928,$AB$5:AB928,1)=1,1,0),0)</f>
        <v>0</v>
      </c>
    </row>
    <row r="929" customFormat="false" ht="15" hidden="false" customHeight="false" outlineLevel="0" collapsed="false">
      <c r="A929" s="48" t="str">
        <f aca="false">STACK!A929</f>
        <v>CBH-0101</v>
      </c>
      <c r="B929" s="48" t="str">
        <f aca="false">STACK!B929</f>
        <v>CBH</v>
      </c>
      <c r="C929" s="48" t="str">
        <f aca="false">STACK!E929</f>
        <v>Nursing Student Rotations</v>
      </c>
      <c r="D929" s="1" t="str">
        <f aca="false">IFERROR(INDEX(MAP!$J$7:$J$101,MATCH(TRIM(C929),MAP!$I$7:$I$101,0)),"UNMAPPED")</f>
        <v>Nursing Student Clinical Rotations</v>
      </c>
      <c r="E929" s="1" t="str">
        <f aca="false">IFERROR(INDEX(MAP!$K$7:$K$101,MATCH(TRIM(C929),MAP!$I$7:$I$101,0)),"")</f>
        <v>Health workforce</v>
      </c>
      <c r="F929" s="1" t="str">
        <f aca="false">IFERROR(INDEX(MAP!$L$7:$L$101,MATCH(TRIM(C929),MAP!$I$7:$I$101,0)),"")</f>
        <v>Monthly</v>
      </c>
      <c r="G929" s="1" t="n">
        <f aca="false">IFERROR(MATCH(A929,CONFIRM!$A$5:$A$53,0),0)</f>
        <v>0</v>
      </c>
      <c r="H929" s="48" t="str">
        <f aca="false">STACK!F929</f>
        <v>Education - Health Professions</v>
      </c>
      <c r="I929" s="1" t="str">
        <f aca="false">IF(G929&gt;0,IF(INDEX(CONFIRM!$I$5:$I$53,G929)&lt;&gt;"",INDEX(CONFIRM!$I$5:$I$53,G929),H929),H929)</f>
        <v>Education - Health Professions</v>
      </c>
      <c r="J929" s="1" t="str">
        <f aca="false">IFERROR(INDEX(MAP!$F$7:$F$74,MATCH(TRIM(I929),MAP!$E$7:$E$74,0)),"UNMAPPED")</f>
        <v>Health professions education</v>
      </c>
      <c r="K929" s="1" t="str">
        <f aca="false">IFERROR(INDEX(MAP!$G$7:$G$74,MATCH(TRIM(I929),MAP!$E$7:$E$74,0)),"UNMAPPED")</f>
        <v>7f</v>
      </c>
      <c r="L929" s="49" t="str">
        <f aca="false">STACK!G929</f>
        <v>2025-10-31</v>
      </c>
      <c r="M929" s="59" t="n">
        <f aca="false">IF(G929&gt;0,IF(INDEX(CONFIRM!$G$5:$G$53,G929)&lt;&gt;"",INDEX(CONFIRM!$G$5:$G$53,G929),IF(ISNUMBER(L929),L929,IFERROR(DATEVALUE(L929),""))),IF(ISNUMBER(L929),L929,IFERROR(DATEVALUE(L929),"")))</f>
        <v>45961</v>
      </c>
      <c r="N929" s="1" t="str">
        <f aca="false">IF(M929="","Check",IF(AND(M929&gt;=INPUTS!$C$6,M929&lt;=INPUTS!$C$7),"Yes","No"))</f>
        <v>Yes</v>
      </c>
      <c r="O929" s="48" t="str">
        <f aca="false">STACK!H929</f>
        <v>R.N.</v>
      </c>
      <c r="P929" s="1" t="str">
        <f aca="false">IF(G929&gt;0,IF(INDEX(CONFIRM!$H$5:$H$53,G929)&lt;&gt;"",INDEX(CONFIRM!$H$5:$H$53,G929),IFERROR(INDEX(MAP!$B$7:$B$156,MATCH(TRIM(O929),MAP!$A$7:$A$156,0)),"UNMAPPED")),IFERROR(INDEX(MAP!$B$7:$B$156,MATCH(TRIM(O929),MAP!$A$7:$A$156,0)),"UNMAPPED"))</f>
        <v>Registered Nurse</v>
      </c>
      <c r="Q929" s="48" t="n">
        <f aca="false">STACK!I929</f>
        <v>220.75</v>
      </c>
      <c r="R929" s="60" t="n">
        <f aca="false">IF(G929&gt;0,IF(INDEX(CONFIRM!$F$5:$F$53,G929)&lt;&gt;"",INDEX(CONFIRM!$F$5:$F$53,G929),IF(ISNUMBER(Q929),Q929,IF(Q929="","",IFERROR(VALUE(TRIM(SUBSTITUTE(SUBSTITUTE(LOWER(Q929),"hrs",""),"hr",""))),"")))),IF(ISNUMBER(Q929),Q929,IF(Q929="","",IFERROR(VALUE(TRIM(SUBSTITUTE(SUBSTITUTE(LOWER(Q929),"hrs",""),"hr",""))),""))))</f>
        <v>220.75</v>
      </c>
      <c r="S929" s="57" t="n">
        <f aca="false">IFERROR(INDEX(RATES!$E$6:$E$28,MATCH(P929,RATES!$A$6:$A$28,0)),0)</f>
        <v>55.8975</v>
      </c>
      <c r="T929" s="61" t="n">
        <f aca="false">IF(ISNUMBER(R929),R929,0)*S929</f>
        <v>12339.373125</v>
      </c>
      <c r="U929" s="61" t="n">
        <f aca="false">T929*INDEX(INPUTS!$H$10:$H$14,MATCH(B929,INPUTS!$A$10:$A$14,0))</f>
        <v>1949.62095375</v>
      </c>
      <c r="V929" s="61" t="n">
        <f aca="false">N(STACK!K929)</f>
        <v>0</v>
      </c>
      <c r="W929" s="61" t="n">
        <f aca="false">T929+U929+V929</f>
        <v>14288.99407875</v>
      </c>
      <c r="X929" s="61" t="n">
        <f aca="false">N(STACK!L929)</f>
        <v>0</v>
      </c>
      <c r="Y929" s="61" t="n">
        <f aca="false">W929-X929</f>
        <v>14288.99407875</v>
      </c>
      <c r="Z929" s="1" t="n">
        <f aca="false">N(STACK!J929)</f>
        <v>0</v>
      </c>
      <c r="AA929" s="1" t="str">
        <f aca="false">TRIM(IF(D929="UNMAPPED","Program not mapped. ","")&amp;IF(OR(K929="UNMAPPED",K929="UNASSIGNED"),"Category needs review. ","")&amp;IF(P929="UNMAPPED","Title not mapped. ","")&amp;IF(AND(P929&lt;&gt;"No staff time",R929=""),"Missing hours. ","")&amp;IF(M929="","Date not readable. ","")&amp;IF(N929="No","Outside fiscal year. ","")&amp;IF(AND(F929="Event",ISNUMBER(R929)),IF(R929&gt;12,"Event hours look high. ",""),"")&amp;IF(G929&gt;0,"See CONFIRM sheet.",""))</f>
        <v/>
      </c>
      <c r="AB929" s="1" t="n">
        <f aca="false">IF(N929="No",0,IF(REVIEW!O929=0,0,IF(G929&gt;0,IF(INDEX(CONFIRM!$J$5:$J$53,G929)&lt;&gt;"",INDEX(CONFIRM!$J$5:$J$53,G929),1),1)))</f>
        <v>1</v>
      </c>
      <c r="AC929" s="1" t="n">
        <f aca="false">IF(AB929=1,IF(COUNTIFS($B$5:B929,B929,$D$5:D929,D929,$AB$5:AB929,1)=1,1,0),0)</f>
        <v>0</v>
      </c>
    </row>
    <row r="930" customFormat="false" ht="15" hidden="false" customHeight="false" outlineLevel="0" collapsed="false">
      <c r="A930" s="48" t="str">
        <f aca="false">STACK!A930</f>
        <v>CBH-0102</v>
      </c>
      <c r="B930" s="48" t="str">
        <f aca="false">STACK!B930</f>
        <v>CBH</v>
      </c>
      <c r="C930" s="48" t="str">
        <f aca="false">STACK!E930</f>
        <v>Pharmacy Students</v>
      </c>
      <c r="D930" s="1" t="str">
        <f aca="false">IFERROR(INDEX(MAP!$J$7:$J$101,MATCH(TRIM(C930),MAP!$I$7:$I$101,0)),"UNMAPPED")</f>
        <v>Pharmacy Student Rotations</v>
      </c>
      <c r="E930" s="1" t="str">
        <f aca="false">IFERROR(INDEX(MAP!$K$7:$K$101,MATCH(TRIM(C930),MAP!$I$7:$I$101,0)),"")</f>
        <v>Health workforce</v>
      </c>
      <c r="F930" s="1" t="str">
        <f aca="false">IFERROR(INDEX(MAP!$L$7:$L$101,MATCH(TRIM(C930),MAP!$I$7:$I$101,0)),"")</f>
        <v>Monthly</v>
      </c>
      <c r="G930" s="1" t="n">
        <f aca="false">IFERROR(MATCH(A930,CONFIRM!$A$5:$A$53,0),0)</f>
        <v>0</v>
      </c>
      <c r="H930" s="48" t="str">
        <f aca="false">STACK!F930</f>
        <v>Education - Health Professions</v>
      </c>
      <c r="I930" s="1" t="str">
        <f aca="false">IF(G930&gt;0,IF(INDEX(CONFIRM!$I$5:$I$53,G930)&lt;&gt;"",INDEX(CONFIRM!$I$5:$I$53,G930),H930),H930)</f>
        <v>Education - Health Professions</v>
      </c>
      <c r="J930" s="1" t="str">
        <f aca="false">IFERROR(INDEX(MAP!$F$7:$F$74,MATCH(TRIM(I930),MAP!$E$7:$E$74,0)),"UNMAPPED")</f>
        <v>Health professions education</v>
      </c>
      <c r="K930" s="1" t="str">
        <f aca="false">IFERROR(INDEX(MAP!$G$7:$G$74,MATCH(TRIM(I930),MAP!$E$7:$E$74,0)),"UNMAPPED")</f>
        <v>7f</v>
      </c>
      <c r="L930" s="49" t="str">
        <f aca="false">STACK!G930</f>
        <v>2025-10-31</v>
      </c>
      <c r="M930" s="59" t="n">
        <f aca="false">IF(G930&gt;0,IF(INDEX(CONFIRM!$G$5:$G$53,G930)&lt;&gt;"",INDEX(CONFIRM!$G$5:$G$53,G930),IF(ISNUMBER(L930),L930,IFERROR(DATEVALUE(L930),""))),IF(ISNUMBER(L930),L930,IFERROR(DATEVALUE(L930),"")))</f>
        <v>45961</v>
      </c>
      <c r="N930" s="1" t="str">
        <f aca="false">IF(M930="","Check",IF(AND(M930&gt;=INPUTS!$C$6,M930&lt;=INPUTS!$C$7),"Yes","No"))</f>
        <v>Yes</v>
      </c>
      <c r="O930" s="48" t="str">
        <f aca="false">STACK!H930</f>
        <v>Pharmacist</v>
      </c>
      <c r="P930" s="1" t="str">
        <f aca="false">IF(G930&gt;0,IF(INDEX(CONFIRM!$H$5:$H$53,G930)&lt;&gt;"",INDEX(CONFIRM!$H$5:$H$53,G930),IFERROR(INDEX(MAP!$B$7:$B$156,MATCH(TRIM(O930),MAP!$A$7:$A$156,0)),"UNMAPPED")),IFERROR(INDEX(MAP!$B$7:$B$156,MATCH(TRIM(O930),MAP!$A$7:$A$156,0)),"UNMAPPED"))</f>
        <v>Pharmacist</v>
      </c>
      <c r="Q930" s="48" t="n">
        <f aca="false">STACK!I930</f>
        <v>58.5</v>
      </c>
      <c r="R930" s="60" t="n">
        <f aca="false">IF(G930&gt;0,IF(INDEX(CONFIRM!$F$5:$F$53,G930)&lt;&gt;"",INDEX(CONFIRM!$F$5:$F$53,G930),IF(ISNUMBER(Q930),Q930,IF(Q930="","",IFERROR(VALUE(TRIM(SUBSTITUTE(SUBSTITUTE(LOWER(Q930),"hrs",""),"hr",""))),"")))),IF(ISNUMBER(Q930),Q930,IF(Q930="","",IFERROR(VALUE(TRIM(SUBSTITUTE(SUBSTITUTE(LOWER(Q930),"hrs",""),"hr",""))),""))))</f>
        <v>58.5</v>
      </c>
      <c r="S930" s="57" t="n">
        <f aca="false">IFERROR(INDEX(RATES!$E$6:$E$28,MATCH(P930,RATES!$A$6:$A$28,0)),0)</f>
        <v>84.81</v>
      </c>
      <c r="T930" s="61" t="n">
        <f aca="false">IF(ISNUMBER(R930),R930,0)*S930</f>
        <v>4961.385</v>
      </c>
      <c r="U930" s="61" t="n">
        <f aca="false">T930*INDEX(INPUTS!$H$10:$H$14,MATCH(B930,INPUTS!$A$10:$A$14,0))</f>
        <v>783.89883</v>
      </c>
      <c r="V930" s="61" t="n">
        <f aca="false">N(STACK!K930)</f>
        <v>115</v>
      </c>
      <c r="W930" s="61" t="n">
        <f aca="false">T930+U930+V930</f>
        <v>5860.28383</v>
      </c>
      <c r="X930" s="61" t="n">
        <f aca="false">N(STACK!L930)</f>
        <v>0</v>
      </c>
      <c r="Y930" s="61" t="n">
        <f aca="false">W930-X930</f>
        <v>5860.28383</v>
      </c>
      <c r="Z930" s="1" t="n">
        <f aca="false">N(STACK!J930)</f>
        <v>4</v>
      </c>
      <c r="AA930" s="1" t="str">
        <f aca="false">TRIM(IF(D930="UNMAPPED","Program not mapped. ","")&amp;IF(OR(K930="UNMAPPED",K930="UNASSIGNED"),"Category needs review. ","")&amp;IF(P930="UNMAPPED","Title not mapped. ","")&amp;IF(AND(P930&lt;&gt;"No staff time",R930=""),"Missing hours. ","")&amp;IF(M930="","Date not readable. ","")&amp;IF(N930="No","Outside fiscal year. ","")&amp;IF(AND(F930="Event",ISNUMBER(R930)),IF(R930&gt;12,"Event hours look high. ",""),"")&amp;IF(G930&gt;0,"See CONFIRM sheet.",""))</f>
        <v/>
      </c>
      <c r="AB930" s="1" t="n">
        <f aca="false">IF(N930="No",0,IF(REVIEW!O930=0,0,IF(G930&gt;0,IF(INDEX(CONFIRM!$J$5:$J$53,G930)&lt;&gt;"",INDEX(CONFIRM!$J$5:$J$53,G930),1),1)))</f>
        <v>1</v>
      </c>
      <c r="AC930" s="1" t="n">
        <f aca="false">IF(AB930=1,IF(COUNTIFS($B$5:B930,B930,$D$5:D930,D930,$AB$5:AB930,1)=1,1,0),0)</f>
        <v>0</v>
      </c>
    </row>
    <row r="931" customFormat="false" ht="15" hidden="false" customHeight="false" outlineLevel="0" collapsed="false">
      <c r="A931" s="48" t="str">
        <f aca="false">STACK!A931</f>
        <v>CBH-0103</v>
      </c>
      <c r="B931" s="48" t="str">
        <f aca="false">STACK!B931</f>
        <v>CBH</v>
      </c>
      <c r="C931" s="48" t="str">
        <f aca="false">STACK!E931</f>
        <v>Diabetes Prevention</v>
      </c>
      <c r="D931" s="1" t="str">
        <f aca="false">IFERROR(INDEX(MAP!$J$7:$J$101,MATCH(TRIM(C931),MAP!$I$7:$I$101,0)),"UNMAPPED")</f>
        <v>Diabetes Prevention Classes</v>
      </c>
      <c r="E931" s="1" t="str">
        <f aca="false">IFERROR(INDEX(MAP!$K$7:$K$101,MATCH(TRIM(C931),MAP!$I$7:$I$101,0)),"")</f>
        <v>Chronic disease prevention</v>
      </c>
      <c r="F931" s="1" t="str">
        <f aca="false">IFERROR(INDEX(MAP!$L$7:$L$101,MATCH(TRIM(C931),MAP!$I$7:$I$101,0)),"")</f>
        <v>Event</v>
      </c>
      <c r="G931" s="1" t="n">
        <f aca="false">IFERROR(MATCH(A931,CONFIRM!$A$5:$A$53,0),0)</f>
        <v>0</v>
      </c>
      <c r="H931" s="48" t="str">
        <f aca="false">STACK!F931</f>
        <v>Health Education</v>
      </c>
      <c r="I931" s="1" t="str">
        <f aca="false">IF(G931&gt;0,IF(INDEX(CONFIRM!$I$5:$I$53,G931)&lt;&gt;"",INDEX(CONFIRM!$I$5:$I$53,G931),H931),H931)</f>
        <v>Health Education</v>
      </c>
      <c r="J931" s="1" t="str">
        <f aca="false">IFERROR(INDEX(MAP!$F$7:$F$74,MATCH(TRIM(I931),MAP!$E$7:$E$74,0)),"UNMAPPED")</f>
        <v>Community health education</v>
      </c>
      <c r="K931" s="1" t="str">
        <f aca="false">IFERROR(INDEX(MAP!$G$7:$G$74,MATCH(TRIM(I931),MAP!$E$7:$E$74,0)),"UNMAPPED")</f>
        <v>7e</v>
      </c>
      <c r="L931" s="49" t="str">
        <f aca="false">STACK!G931</f>
        <v>2025-11-10</v>
      </c>
      <c r="M931" s="59" t="n">
        <f aca="false">IF(G931&gt;0,IF(INDEX(CONFIRM!$G$5:$G$53,G931)&lt;&gt;"",INDEX(CONFIRM!$G$5:$G$53,G931),IF(ISNUMBER(L931),L931,IFERROR(DATEVALUE(L931),""))),IF(ISNUMBER(L931),L931,IFERROR(DATEVALUE(L931),"")))</f>
        <v>45971</v>
      </c>
      <c r="N931" s="1" t="str">
        <f aca="false">IF(M931="","Check",IF(AND(M931&gt;=INPUTS!$C$6,M931&lt;=INPUTS!$C$7),"Yes","No"))</f>
        <v>Yes</v>
      </c>
      <c r="O931" s="48" t="str">
        <f aca="false">STACK!H931</f>
        <v>Health Ed</v>
      </c>
      <c r="P931" s="1" t="str">
        <f aca="false">IF(G931&gt;0,IF(INDEX(CONFIRM!$H$5:$H$53,G931)&lt;&gt;"",INDEX(CONFIRM!$H$5:$H$53,G931),IFERROR(INDEX(MAP!$B$7:$B$156,MATCH(TRIM(O931),MAP!$A$7:$A$156,0)),"UNMAPPED")),IFERROR(INDEX(MAP!$B$7:$B$156,MATCH(TRIM(O931),MAP!$A$7:$A$156,0)),"UNMAPPED"))</f>
        <v>Health Educator</v>
      </c>
      <c r="Q931" s="48" t="n">
        <f aca="false">STACK!I931</f>
        <v>2.5</v>
      </c>
      <c r="R931" s="60" t="n">
        <f aca="false">IF(G931&gt;0,IF(INDEX(CONFIRM!$F$5:$F$53,G931)&lt;&gt;"",INDEX(CONFIRM!$F$5:$F$53,G931),IF(ISNUMBER(Q931),Q931,IF(Q931="","",IFERROR(VALUE(TRIM(SUBSTITUTE(SUBSTITUTE(LOWER(Q931),"hrs",""),"hr",""))),"")))),IF(ISNUMBER(Q931),Q931,IF(Q931="","",IFERROR(VALUE(TRIM(SUBSTITUTE(SUBSTITUTE(LOWER(Q931),"hrs",""),"hr",""))),""))))</f>
        <v>2.5</v>
      </c>
      <c r="S931" s="57" t="n">
        <f aca="false">IFERROR(INDEX(RATES!$E$6:$E$28,MATCH(P931,RATES!$A$6:$A$28,0)),0)</f>
        <v>37.265</v>
      </c>
      <c r="T931" s="61" t="n">
        <f aca="false">IF(ISNUMBER(R931),R931,0)*S931</f>
        <v>93.1625</v>
      </c>
      <c r="U931" s="61" t="n">
        <f aca="false">T931*INDEX(INPUTS!$H$10:$H$14,MATCH(B931,INPUTS!$A$10:$A$14,0))</f>
        <v>14.719675</v>
      </c>
      <c r="V931" s="61" t="n">
        <f aca="false">N(STACK!K931)</f>
        <v>80</v>
      </c>
      <c r="W931" s="61" t="n">
        <f aca="false">T931+U931+V931</f>
        <v>187.882175</v>
      </c>
      <c r="X931" s="61" t="n">
        <f aca="false">N(STACK!L931)</f>
        <v>0</v>
      </c>
      <c r="Y931" s="61" t="n">
        <f aca="false">W931-X931</f>
        <v>187.882175</v>
      </c>
      <c r="Z931" s="1" t="n">
        <f aca="false">N(STACK!J931)</f>
        <v>17</v>
      </c>
      <c r="AA931" s="1" t="str">
        <f aca="false">TRIM(IF(D931="UNMAPPED","Program not mapped. ","")&amp;IF(OR(K931="UNMAPPED",K931="UNASSIGNED"),"Category needs review. ","")&amp;IF(P931="UNMAPPED","Title not mapped. ","")&amp;IF(AND(P931&lt;&gt;"No staff time",R931=""),"Missing hours. ","")&amp;IF(M931="","Date not readable. ","")&amp;IF(N931="No","Outside fiscal year. ","")&amp;IF(AND(F931="Event",ISNUMBER(R931)),IF(R931&gt;12,"Event hours look high. ",""),"")&amp;IF(G931&gt;0,"See CONFIRM sheet.",""))</f>
        <v/>
      </c>
      <c r="AB931" s="1" t="n">
        <f aca="false">IF(N931="No",0,IF(REVIEW!O931=0,0,IF(G931&gt;0,IF(INDEX(CONFIRM!$J$5:$J$53,G931)&lt;&gt;"",INDEX(CONFIRM!$J$5:$J$53,G931),1),1)))</f>
        <v>1</v>
      </c>
      <c r="AC931" s="1" t="n">
        <f aca="false">IF(AB931=1,IF(COUNTIFS($B$5:B931,B931,$D$5:D931,D931,$AB$5:AB931,1)=1,1,0),0)</f>
        <v>0</v>
      </c>
    </row>
    <row r="932" customFormat="false" ht="15" hidden="false" customHeight="false" outlineLevel="0" collapsed="false">
      <c r="A932" s="48" t="str">
        <f aca="false">STACK!A932</f>
        <v>CBH-0104</v>
      </c>
      <c r="B932" s="48" t="str">
        <f aca="false">STACK!B932</f>
        <v>CBH</v>
      </c>
      <c r="C932" s="48" t="str">
        <f aca="false">STACK!E932</f>
        <v>Diabetes Prevention</v>
      </c>
      <c r="D932" s="1" t="str">
        <f aca="false">IFERROR(INDEX(MAP!$J$7:$J$101,MATCH(TRIM(C932),MAP!$I$7:$I$101,0)),"UNMAPPED")</f>
        <v>Diabetes Prevention Classes</v>
      </c>
      <c r="E932" s="1" t="str">
        <f aca="false">IFERROR(INDEX(MAP!$K$7:$K$101,MATCH(TRIM(C932),MAP!$I$7:$I$101,0)),"")</f>
        <v>Chronic disease prevention</v>
      </c>
      <c r="F932" s="1" t="str">
        <f aca="false">IFERROR(INDEX(MAP!$L$7:$L$101,MATCH(TRIM(C932),MAP!$I$7:$I$101,0)),"")</f>
        <v>Event</v>
      </c>
      <c r="G932" s="1" t="n">
        <f aca="false">IFERROR(MATCH(A932,CONFIRM!$A$5:$A$53,0),0)</f>
        <v>0</v>
      </c>
      <c r="H932" s="48" t="str">
        <f aca="false">STACK!F932</f>
        <v>Health Education</v>
      </c>
      <c r="I932" s="1" t="str">
        <f aca="false">IF(G932&gt;0,IF(INDEX(CONFIRM!$I$5:$I$53,G932)&lt;&gt;"",INDEX(CONFIRM!$I$5:$I$53,G932),H932),H932)</f>
        <v>Health Education</v>
      </c>
      <c r="J932" s="1" t="str">
        <f aca="false">IFERROR(INDEX(MAP!$F$7:$F$74,MATCH(TRIM(I932),MAP!$E$7:$E$74,0)),"UNMAPPED")</f>
        <v>Community health education</v>
      </c>
      <c r="K932" s="1" t="str">
        <f aca="false">IFERROR(INDEX(MAP!$G$7:$G$74,MATCH(TRIM(I932),MAP!$E$7:$E$74,0)),"UNMAPPED")</f>
        <v>7e</v>
      </c>
      <c r="L932" s="49" t="str">
        <f aca="false">STACK!G932</f>
        <v>2025-11-10</v>
      </c>
      <c r="M932" s="59" t="n">
        <f aca="false">IF(G932&gt;0,IF(INDEX(CONFIRM!$G$5:$G$53,G932)&lt;&gt;"",INDEX(CONFIRM!$G$5:$G$53,G932),IF(ISNUMBER(L932),L932,IFERROR(DATEVALUE(L932),""))),IF(ISNUMBER(L932),L932,IFERROR(DATEVALUE(L932),"")))</f>
        <v>45971</v>
      </c>
      <c r="N932" s="1" t="str">
        <f aca="false">IF(M932="","Check",IF(AND(M932&gt;=INPUTS!$C$6,M932&lt;=INPUTS!$C$7),"Yes","No"))</f>
        <v>Yes</v>
      </c>
      <c r="O932" s="48" t="str">
        <f aca="false">STACK!H932</f>
        <v>Clinical Dietitian</v>
      </c>
      <c r="P932" s="1" t="str">
        <f aca="false">IF(G932&gt;0,IF(INDEX(CONFIRM!$H$5:$H$53,G932)&lt;&gt;"",INDEX(CONFIRM!$H$5:$H$53,G932),IFERROR(INDEX(MAP!$B$7:$B$156,MATCH(TRIM(O932),MAP!$A$7:$A$156,0)),"UNMAPPED")),IFERROR(INDEX(MAP!$B$7:$B$156,MATCH(TRIM(O932),MAP!$A$7:$A$156,0)),"UNMAPPED"))</f>
        <v>Registered Dietitian</v>
      </c>
      <c r="Q932" s="48" t="n">
        <f aca="false">STACK!I932</f>
        <v>1.75</v>
      </c>
      <c r="R932" s="60" t="n">
        <f aca="false">IF(G932&gt;0,IF(INDEX(CONFIRM!$F$5:$F$53,G932)&lt;&gt;"",INDEX(CONFIRM!$F$5:$F$53,G932),IF(ISNUMBER(Q932),Q932,IF(Q932="","",IFERROR(VALUE(TRIM(SUBSTITUTE(SUBSTITUTE(LOWER(Q932),"hrs",""),"hr",""))),"")))),IF(ISNUMBER(Q932),Q932,IF(Q932="","",IFERROR(VALUE(TRIM(SUBSTITUTE(SUBSTITUTE(LOWER(Q932),"hrs",""),"hr",""))),""))))</f>
        <v>1.75</v>
      </c>
      <c r="S932" s="57" t="n">
        <f aca="false">IFERROR(INDEX(RATES!$E$6:$E$28,MATCH(P932,RATES!$A$6:$A$28,0)),0)</f>
        <v>46.9025</v>
      </c>
      <c r="T932" s="61" t="n">
        <f aca="false">IF(ISNUMBER(R932),R932,0)*S932</f>
        <v>82.079375</v>
      </c>
      <c r="U932" s="61" t="n">
        <f aca="false">T932*INDEX(INPUTS!$H$10:$H$14,MATCH(B932,INPUTS!$A$10:$A$14,0))</f>
        <v>12.96854125</v>
      </c>
      <c r="V932" s="61" t="n">
        <f aca="false">N(STACK!K932)</f>
        <v>0</v>
      </c>
      <c r="W932" s="61" t="n">
        <f aca="false">T932+U932+V932</f>
        <v>95.04791625</v>
      </c>
      <c r="X932" s="61" t="n">
        <f aca="false">N(STACK!L932)</f>
        <v>0</v>
      </c>
      <c r="Y932" s="61" t="n">
        <f aca="false">W932-X932</f>
        <v>95.04791625</v>
      </c>
      <c r="Z932" s="1" t="n">
        <f aca="false">N(STACK!J932)</f>
        <v>0</v>
      </c>
      <c r="AA932" s="1" t="str">
        <f aca="false">TRIM(IF(D932="UNMAPPED","Program not mapped. ","")&amp;IF(OR(K932="UNMAPPED",K932="UNASSIGNED"),"Category needs review. ","")&amp;IF(P932="UNMAPPED","Title not mapped. ","")&amp;IF(AND(P932&lt;&gt;"No staff time",R932=""),"Missing hours. ","")&amp;IF(M932="","Date not readable. ","")&amp;IF(N932="No","Outside fiscal year. ","")&amp;IF(AND(F932="Event",ISNUMBER(R932)),IF(R932&gt;12,"Event hours look high. ",""),"")&amp;IF(G932&gt;0,"See CONFIRM sheet.",""))</f>
        <v/>
      </c>
      <c r="AB932" s="1" t="n">
        <f aca="false">IF(N932="No",0,IF(REVIEW!O932=0,0,IF(G932&gt;0,IF(INDEX(CONFIRM!$J$5:$J$53,G932)&lt;&gt;"",INDEX(CONFIRM!$J$5:$J$53,G932),1),1)))</f>
        <v>1</v>
      </c>
      <c r="AC932" s="1" t="n">
        <f aca="false">IF(AB932=1,IF(COUNTIFS($B$5:B932,B932,$D$5:D932,D932,$AB$5:AB932,1)=1,1,0),0)</f>
        <v>0</v>
      </c>
    </row>
    <row r="933" customFormat="false" ht="15" hidden="false" customHeight="false" outlineLevel="0" collapsed="false">
      <c r="A933" s="48" t="str">
        <f aca="false">STACK!A933</f>
        <v>CBH-0105</v>
      </c>
      <c r="B933" s="48" t="str">
        <f aca="false">STACK!B933</f>
        <v>CBH</v>
      </c>
      <c r="C933" s="48" t="str">
        <f aca="false">STACK!E933</f>
        <v>Prenatal &amp; Newborn Classes</v>
      </c>
      <c r="D933" s="1" t="str">
        <f aca="false">IFERROR(INDEX(MAP!$J$7:$J$101,MATCH(TRIM(C933),MAP!$I$7:$I$101,0)),"UNMAPPED")</f>
        <v>Childbirth and Newborn Care Classes</v>
      </c>
      <c r="E933" s="1" t="str">
        <f aca="false">IFERROR(INDEX(MAP!$K$7:$K$101,MATCH(TRIM(C933),MAP!$I$7:$I$101,0)),"")</f>
        <v>Maternal and child health</v>
      </c>
      <c r="F933" s="1" t="str">
        <f aca="false">IFERROR(INDEX(MAP!$L$7:$L$101,MATCH(TRIM(C933),MAP!$I$7:$I$101,0)),"")</f>
        <v>Event</v>
      </c>
      <c r="G933" s="1" t="n">
        <f aca="false">IFERROR(MATCH(A933,CONFIRM!$A$5:$A$53,0),0)</f>
        <v>0</v>
      </c>
      <c r="H933" s="48" t="str">
        <f aca="false">STACK!F933</f>
        <v>Health Education</v>
      </c>
      <c r="I933" s="1" t="str">
        <f aca="false">IF(G933&gt;0,IF(INDEX(CONFIRM!$I$5:$I$53,G933)&lt;&gt;"",INDEX(CONFIRM!$I$5:$I$53,G933),H933),H933)</f>
        <v>Health Education</v>
      </c>
      <c r="J933" s="1" t="str">
        <f aca="false">IFERROR(INDEX(MAP!$F$7:$F$74,MATCH(TRIM(I933),MAP!$E$7:$E$74,0)),"UNMAPPED")</f>
        <v>Community health education</v>
      </c>
      <c r="K933" s="1" t="str">
        <f aca="false">IFERROR(INDEX(MAP!$G$7:$G$74,MATCH(TRIM(I933),MAP!$E$7:$E$74,0)),"UNMAPPED")</f>
        <v>7e</v>
      </c>
      <c r="L933" s="49" t="str">
        <f aca="false">STACK!G933</f>
        <v>2025-11-14</v>
      </c>
      <c r="M933" s="59" t="n">
        <f aca="false">IF(G933&gt;0,IF(INDEX(CONFIRM!$G$5:$G$53,G933)&lt;&gt;"",INDEX(CONFIRM!$G$5:$G$53,G933),IF(ISNUMBER(L933),L933,IFERROR(DATEVALUE(L933),""))),IF(ISNUMBER(L933),L933,IFERROR(DATEVALUE(L933),"")))</f>
        <v>45975</v>
      </c>
      <c r="N933" s="1" t="str">
        <f aca="false">IF(M933="","Check",IF(AND(M933&gt;=INPUTS!$C$6,M933&lt;=INPUTS!$C$7),"Yes","No"))</f>
        <v>Yes</v>
      </c>
      <c r="O933" s="48" t="str">
        <f aca="false">STACK!H933</f>
        <v>RN Educator</v>
      </c>
      <c r="P933" s="1" t="str">
        <f aca="false">IF(G933&gt;0,IF(INDEX(CONFIRM!$H$5:$H$53,G933)&lt;&gt;"",INDEX(CONFIRM!$H$5:$H$53,G933),IFERROR(INDEX(MAP!$B$7:$B$156,MATCH(TRIM(O933),MAP!$A$7:$A$156,0)),"UNMAPPED")),IFERROR(INDEX(MAP!$B$7:$B$156,MATCH(TRIM(O933),MAP!$A$7:$A$156,0)),"UNMAPPED"))</f>
        <v>Clinical Nurse Educator</v>
      </c>
      <c r="Q933" s="48" t="n">
        <f aca="false">STACK!I933</f>
        <v>3.5</v>
      </c>
      <c r="R933" s="60" t="n">
        <f aca="false">IF(G933&gt;0,IF(INDEX(CONFIRM!$F$5:$F$53,G933)&lt;&gt;"",INDEX(CONFIRM!$F$5:$F$53,G933),IF(ISNUMBER(Q933),Q933,IF(Q933="","",IFERROR(VALUE(TRIM(SUBSTITUTE(SUBSTITUTE(LOWER(Q933),"hrs",""),"hr",""))),"")))),IF(ISNUMBER(Q933),Q933,IF(Q933="","",IFERROR(VALUE(TRIM(SUBSTITUTE(SUBSTITUTE(LOWER(Q933),"hrs",""),"hr",""))),""))))</f>
        <v>3.5</v>
      </c>
      <c r="S933" s="57" t="n">
        <f aca="false">IFERROR(INDEX(RATES!$E$6:$E$28,MATCH(P933,RATES!$A$6:$A$28,0)),0)</f>
        <v>62.965</v>
      </c>
      <c r="T933" s="61" t="n">
        <f aca="false">IF(ISNUMBER(R933),R933,0)*S933</f>
        <v>220.3775</v>
      </c>
      <c r="U933" s="61" t="n">
        <f aca="false">T933*INDEX(INPUTS!$H$10:$H$14,MATCH(B933,INPUTS!$A$10:$A$14,0))</f>
        <v>34.819645</v>
      </c>
      <c r="V933" s="61" t="n">
        <f aca="false">N(STACK!K933)</f>
        <v>155</v>
      </c>
      <c r="W933" s="61" t="n">
        <f aca="false">T933+U933+V933</f>
        <v>410.197145</v>
      </c>
      <c r="X933" s="61" t="n">
        <f aca="false">N(STACK!L933)</f>
        <v>360</v>
      </c>
      <c r="Y933" s="61" t="n">
        <f aca="false">W933-X933</f>
        <v>50.197145</v>
      </c>
      <c r="Z933" s="1" t="n">
        <f aca="false">N(STACK!J933)</f>
        <v>18</v>
      </c>
      <c r="AA933" s="1" t="str">
        <f aca="false">TRIM(IF(D933="UNMAPPED","Program not mapped. ","")&amp;IF(OR(K933="UNMAPPED",K933="UNASSIGNED"),"Category needs review. ","")&amp;IF(P933="UNMAPPED","Title not mapped. ","")&amp;IF(AND(P933&lt;&gt;"No staff time",R933=""),"Missing hours. ","")&amp;IF(M933="","Date not readable. ","")&amp;IF(N933="No","Outside fiscal year. ","")&amp;IF(AND(F933="Event",ISNUMBER(R933)),IF(R933&gt;12,"Event hours look high. ",""),"")&amp;IF(G933&gt;0,"See CONFIRM sheet.",""))</f>
        <v/>
      </c>
      <c r="AB933" s="1" t="n">
        <f aca="false">IF(N933="No",0,IF(REVIEW!O933=0,0,IF(G933&gt;0,IF(INDEX(CONFIRM!$J$5:$J$53,G933)&lt;&gt;"",INDEX(CONFIRM!$J$5:$J$53,G933),1),1)))</f>
        <v>1</v>
      </c>
      <c r="AC933" s="1" t="n">
        <f aca="false">IF(AB933=1,IF(COUNTIFS($B$5:B933,B933,$D$5:D933,D933,$AB$5:AB933,1)=1,1,0),0)</f>
        <v>0</v>
      </c>
    </row>
    <row r="934" customFormat="false" ht="15" hidden="false" customHeight="false" outlineLevel="0" collapsed="false">
      <c r="A934" s="48" t="str">
        <f aca="false">STACK!A934</f>
        <v>CBH-0106</v>
      </c>
      <c r="B934" s="48" t="str">
        <f aca="false">STACK!B934</f>
        <v>CBH</v>
      </c>
      <c r="C934" s="48" t="str">
        <f aca="false">STACK!E934</f>
        <v>Blood Pressure Screening</v>
      </c>
      <c r="D934" s="1" t="str">
        <f aca="false">IFERROR(INDEX(MAP!$J$7:$J$101,MATCH(TRIM(C934),MAP!$I$7:$I$101,0)),"UNMAPPED")</f>
        <v>Community Blood Pressure Checks</v>
      </c>
      <c r="E934" s="1" t="str">
        <f aca="false">IFERROR(INDEX(MAP!$K$7:$K$101,MATCH(TRIM(C934),MAP!$I$7:$I$101,0)),"")</f>
        <v>Chronic disease prevention</v>
      </c>
      <c r="F934" s="1" t="str">
        <f aca="false">IFERROR(INDEX(MAP!$L$7:$L$101,MATCH(TRIM(C934),MAP!$I$7:$I$101,0)),"")</f>
        <v>Event</v>
      </c>
      <c r="G934" s="1" t="n">
        <f aca="false">IFERROR(MATCH(A934,CONFIRM!$A$5:$A$53,0),0)</f>
        <v>0</v>
      </c>
      <c r="H934" s="48" t="str">
        <f aca="false">STACK!F934</f>
        <v>Screenings</v>
      </c>
      <c r="I934" s="1" t="str">
        <f aca="false">IF(G934&gt;0,IF(INDEX(CONFIRM!$I$5:$I$53,G934)&lt;&gt;"",INDEX(CONFIRM!$I$5:$I$53,G934),H934),H934)</f>
        <v>Screenings</v>
      </c>
      <c r="J934" s="1" t="str">
        <f aca="false">IFERROR(INDEX(MAP!$F$7:$F$74,MATCH(TRIM(I934),MAP!$E$7:$E$74,0)),"UNMAPPED")</f>
        <v>Community-based clinical services</v>
      </c>
      <c r="K934" s="1" t="str">
        <f aca="false">IFERROR(INDEX(MAP!$G$7:$G$74,MATCH(TRIM(I934),MAP!$E$7:$E$74,0)),"UNMAPPED")</f>
        <v>7e</v>
      </c>
      <c r="L934" s="49" t="str">
        <f aca="false">STACK!G934</f>
        <v>2025-11-18</v>
      </c>
      <c r="M934" s="59" t="n">
        <f aca="false">IF(G934&gt;0,IF(INDEX(CONFIRM!$G$5:$G$53,G934)&lt;&gt;"",INDEX(CONFIRM!$G$5:$G$53,G934),IF(ISNUMBER(L934),L934,IFERROR(DATEVALUE(L934),""))),IF(ISNUMBER(L934),L934,IFERROR(DATEVALUE(L934),"")))</f>
        <v>45979</v>
      </c>
      <c r="N934" s="1" t="str">
        <f aca="false">IF(M934="","Check",IF(AND(M934&gt;=INPUTS!$C$6,M934&lt;=INPUTS!$C$7),"Yes","No"))</f>
        <v>Yes</v>
      </c>
      <c r="O934" s="48" t="str">
        <f aca="false">STACK!H934</f>
        <v>Charge RN</v>
      </c>
      <c r="P934" s="1" t="str">
        <f aca="false">IF(G934&gt;0,IF(INDEX(CONFIRM!$H$5:$H$53,G934)&lt;&gt;"",INDEX(CONFIRM!$H$5:$H$53,G934),IFERROR(INDEX(MAP!$B$7:$B$156,MATCH(TRIM(O934),MAP!$A$7:$A$156,0)),"UNMAPPED")),IFERROR(INDEX(MAP!$B$7:$B$156,MATCH(TRIM(O934),MAP!$A$7:$A$156,0)),"UNMAPPED"))</f>
        <v>Registered Nurse</v>
      </c>
      <c r="Q934" s="48" t="n">
        <f aca="false">STACK!I934</f>
        <v>3.25</v>
      </c>
      <c r="R934" s="60" t="n">
        <f aca="false">IF(G934&gt;0,IF(INDEX(CONFIRM!$F$5:$F$53,G934)&lt;&gt;"",INDEX(CONFIRM!$F$5:$F$53,G934),IF(ISNUMBER(Q934),Q934,IF(Q934="","",IFERROR(VALUE(TRIM(SUBSTITUTE(SUBSTITUTE(LOWER(Q934),"hrs",""),"hr",""))),"")))),IF(ISNUMBER(Q934),Q934,IF(Q934="","",IFERROR(VALUE(TRIM(SUBSTITUTE(SUBSTITUTE(LOWER(Q934),"hrs",""),"hr",""))),""))))</f>
        <v>3.25</v>
      </c>
      <c r="S934" s="57" t="n">
        <f aca="false">IFERROR(INDEX(RATES!$E$6:$E$28,MATCH(P934,RATES!$A$6:$A$28,0)),0)</f>
        <v>55.8975</v>
      </c>
      <c r="T934" s="61" t="n">
        <f aca="false">IF(ISNUMBER(R934),R934,0)*S934</f>
        <v>181.666875</v>
      </c>
      <c r="U934" s="61" t="n">
        <f aca="false">T934*INDEX(INPUTS!$H$10:$H$14,MATCH(B934,INPUTS!$A$10:$A$14,0))</f>
        <v>28.70336625</v>
      </c>
      <c r="V934" s="61" t="n">
        <f aca="false">N(STACK!K934)</f>
        <v>65</v>
      </c>
      <c r="W934" s="61" t="n">
        <f aca="false">T934+U934+V934</f>
        <v>275.37024125</v>
      </c>
      <c r="X934" s="61" t="n">
        <f aca="false">N(STACK!L934)</f>
        <v>0</v>
      </c>
      <c r="Y934" s="61" t="n">
        <f aca="false">W934-X934</f>
        <v>275.37024125</v>
      </c>
      <c r="Z934" s="1" t="n">
        <f aca="false">N(STACK!J934)</f>
        <v>56</v>
      </c>
      <c r="AA934" s="1" t="str">
        <f aca="false">TRIM(IF(D934="UNMAPPED","Program not mapped. ","")&amp;IF(OR(K934="UNMAPPED",K934="UNASSIGNED"),"Category needs review. ","")&amp;IF(P934="UNMAPPED","Title not mapped. ","")&amp;IF(AND(P934&lt;&gt;"No staff time",R934=""),"Missing hours. ","")&amp;IF(M934="","Date not readable. ","")&amp;IF(N934="No","Outside fiscal year. ","")&amp;IF(AND(F934="Event",ISNUMBER(R934)),IF(R934&gt;12,"Event hours look high. ",""),"")&amp;IF(G934&gt;0,"See CONFIRM sheet.",""))</f>
        <v/>
      </c>
      <c r="AB934" s="1" t="n">
        <f aca="false">IF(N934="No",0,IF(REVIEW!O934=0,0,IF(G934&gt;0,IF(INDEX(CONFIRM!$J$5:$J$53,G934)&lt;&gt;"",INDEX(CONFIRM!$J$5:$J$53,G934),1),1)))</f>
        <v>1</v>
      </c>
      <c r="AC934" s="1" t="n">
        <f aca="false">IF(AB934=1,IF(COUNTIFS($B$5:B934,B934,$D$5:D934,D934,$AB$5:AB934,1)=1,1,0),0)</f>
        <v>0</v>
      </c>
    </row>
    <row r="935" customFormat="false" ht="15" hidden="false" customHeight="false" outlineLevel="0" collapsed="false">
      <c r="A935" s="48" t="str">
        <f aca="false">STACK!A935</f>
        <v>CBH-0107</v>
      </c>
      <c r="B935" s="48" t="str">
        <f aca="false">STACK!B935</f>
        <v>CBH</v>
      </c>
      <c r="C935" s="48" t="str">
        <f aca="false">STACK!E935</f>
        <v>Blood Pressure Screening</v>
      </c>
      <c r="D935" s="1" t="str">
        <f aca="false">IFERROR(INDEX(MAP!$J$7:$J$101,MATCH(TRIM(C935),MAP!$I$7:$I$101,0)),"UNMAPPED")</f>
        <v>Community Blood Pressure Checks</v>
      </c>
      <c r="E935" s="1" t="str">
        <f aca="false">IFERROR(INDEX(MAP!$K$7:$K$101,MATCH(TRIM(C935),MAP!$I$7:$I$101,0)),"")</f>
        <v>Chronic disease prevention</v>
      </c>
      <c r="F935" s="1" t="str">
        <f aca="false">IFERROR(INDEX(MAP!$L$7:$L$101,MATCH(TRIM(C935),MAP!$I$7:$I$101,0)),"")</f>
        <v>Event</v>
      </c>
      <c r="G935" s="1" t="n">
        <f aca="false">IFERROR(MATCH(A935,CONFIRM!$A$5:$A$53,0),0)</f>
        <v>0</v>
      </c>
      <c r="H935" s="48" t="str">
        <f aca="false">STACK!F935</f>
        <v>Screenings</v>
      </c>
      <c r="I935" s="1" t="str">
        <f aca="false">IF(G935&gt;0,IF(INDEX(CONFIRM!$I$5:$I$53,G935)&lt;&gt;"",INDEX(CONFIRM!$I$5:$I$53,G935),H935),H935)</f>
        <v>Screenings</v>
      </c>
      <c r="J935" s="1" t="str">
        <f aca="false">IFERROR(INDEX(MAP!$F$7:$F$74,MATCH(TRIM(I935),MAP!$E$7:$E$74,0)),"UNMAPPED")</f>
        <v>Community-based clinical services</v>
      </c>
      <c r="K935" s="1" t="str">
        <f aca="false">IFERROR(INDEX(MAP!$G$7:$G$74,MATCH(TRIM(I935),MAP!$E$7:$E$74,0)),"UNMAPPED")</f>
        <v>7e</v>
      </c>
      <c r="L935" s="49" t="str">
        <f aca="false">STACK!G935</f>
        <v>2025-11-22</v>
      </c>
      <c r="M935" s="59" t="n">
        <f aca="false">IF(G935&gt;0,IF(INDEX(CONFIRM!$G$5:$G$53,G935)&lt;&gt;"",INDEX(CONFIRM!$G$5:$G$53,G935),IF(ISNUMBER(L935),L935,IFERROR(DATEVALUE(L935),""))),IF(ISNUMBER(L935),L935,IFERROR(DATEVALUE(L935),"")))</f>
        <v>45983</v>
      </c>
      <c r="N935" s="1" t="str">
        <f aca="false">IF(M935="","Check",IF(AND(M935&gt;=INPUTS!$C$6,M935&lt;=INPUTS!$C$7),"Yes","No"))</f>
        <v>Yes</v>
      </c>
      <c r="O935" s="48" t="str">
        <f aca="false">STACK!H935</f>
        <v> Staff RN</v>
      </c>
      <c r="P935" s="1" t="str">
        <f aca="false">IF(G935&gt;0,IF(INDEX(CONFIRM!$H$5:$H$53,G935)&lt;&gt;"",INDEX(CONFIRM!$H$5:$H$53,G935),IFERROR(INDEX(MAP!$B$7:$B$156,MATCH(TRIM(O935),MAP!$A$7:$A$156,0)),"UNMAPPED")),IFERROR(INDEX(MAP!$B$7:$B$156,MATCH(TRIM(O935),MAP!$A$7:$A$156,0)),"UNMAPPED"))</f>
        <v>Registered Nurse</v>
      </c>
      <c r="Q935" s="48" t="n">
        <f aca="false">STACK!I935</f>
        <v>3.25</v>
      </c>
      <c r="R935" s="60" t="n">
        <f aca="false">IF(G935&gt;0,IF(INDEX(CONFIRM!$F$5:$F$53,G935)&lt;&gt;"",INDEX(CONFIRM!$F$5:$F$53,G935),IF(ISNUMBER(Q935),Q935,IF(Q935="","",IFERROR(VALUE(TRIM(SUBSTITUTE(SUBSTITUTE(LOWER(Q935),"hrs",""),"hr",""))),"")))),IF(ISNUMBER(Q935),Q935,IF(Q935="","",IFERROR(VALUE(TRIM(SUBSTITUTE(SUBSTITUTE(LOWER(Q935),"hrs",""),"hr",""))),""))))</f>
        <v>3.25</v>
      </c>
      <c r="S935" s="57" t="n">
        <f aca="false">IFERROR(INDEX(RATES!$E$6:$E$28,MATCH(P935,RATES!$A$6:$A$28,0)),0)</f>
        <v>55.8975</v>
      </c>
      <c r="T935" s="61" t="n">
        <f aca="false">IF(ISNUMBER(R935),R935,0)*S935</f>
        <v>181.666875</v>
      </c>
      <c r="U935" s="61" t="n">
        <f aca="false">T935*INDEX(INPUTS!$H$10:$H$14,MATCH(B935,INPUTS!$A$10:$A$14,0))</f>
        <v>28.70336625</v>
      </c>
      <c r="V935" s="61" t="n">
        <f aca="false">N(STACK!K935)</f>
        <v>60</v>
      </c>
      <c r="W935" s="61" t="n">
        <f aca="false">T935+U935+V935</f>
        <v>270.37024125</v>
      </c>
      <c r="X935" s="61" t="n">
        <f aca="false">N(STACK!L935)</f>
        <v>0</v>
      </c>
      <c r="Y935" s="61" t="n">
        <f aca="false">W935-X935</f>
        <v>270.37024125</v>
      </c>
      <c r="Z935" s="1" t="n">
        <f aca="false">N(STACK!J935)</f>
        <v>46</v>
      </c>
      <c r="AA935" s="1" t="str">
        <f aca="false">TRIM(IF(D935="UNMAPPED","Program not mapped. ","")&amp;IF(OR(K935="UNMAPPED",K935="UNASSIGNED"),"Category needs review. ","")&amp;IF(P935="UNMAPPED","Title not mapped. ","")&amp;IF(AND(P935&lt;&gt;"No staff time",R935=""),"Missing hours. ","")&amp;IF(M935="","Date not readable. ","")&amp;IF(N935="No","Outside fiscal year. ","")&amp;IF(AND(F935="Event",ISNUMBER(R935)),IF(R935&gt;12,"Event hours look high. ",""),"")&amp;IF(G935&gt;0,"See CONFIRM sheet.",""))</f>
        <v/>
      </c>
      <c r="AB935" s="1" t="n">
        <f aca="false">IF(N935="No",0,IF(REVIEW!O935=0,0,IF(G935&gt;0,IF(INDEX(CONFIRM!$J$5:$J$53,G935)&lt;&gt;"",INDEX(CONFIRM!$J$5:$J$53,G935),1),1)))</f>
        <v>1</v>
      </c>
      <c r="AC935" s="1" t="n">
        <f aca="false">IF(AB935=1,IF(COUNTIFS($B$5:B935,B935,$D$5:D935,D935,$AB$5:AB935,1)=1,1,0),0)</f>
        <v>0</v>
      </c>
    </row>
    <row r="936" customFormat="false" ht="15" hidden="false" customHeight="false" outlineLevel="0" collapsed="false">
      <c r="A936" s="48" t="str">
        <f aca="false">STACK!A936</f>
        <v>CBH-0108</v>
      </c>
      <c r="B936" s="48" t="str">
        <f aca="false">STACK!B936</f>
        <v>CBH</v>
      </c>
      <c r="C936" s="48" t="str">
        <f aca="false">STACK!E936</f>
        <v>Naloxone Training</v>
      </c>
      <c r="D936" s="1" t="str">
        <f aca="false">IFERROR(INDEX(MAP!$J$7:$J$101,MATCH(TRIM(C936),MAP!$I$7:$I$101,0)),"UNMAPPED")</f>
        <v>Naloxone Training and Distribution</v>
      </c>
      <c r="E936" s="1" t="str">
        <f aca="false">IFERROR(INDEX(MAP!$K$7:$K$101,MATCH(TRIM(C936),MAP!$I$7:$I$101,0)),"")</f>
        <v>Behavioral health</v>
      </c>
      <c r="F936" s="1" t="str">
        <f aca="false">IFERROR(INDEX(MAP!$L$7:$L$101,MATCH(TRIM(C936),MAP!$I$7:$I$101,0)),"")</f>
        <v>Event</v>
      </c>
      <c r="G936" s="1" t="n">
        <f aca="false">IFERROR(MATCH(A936,CONFIRM!$A$5:$A$53,0),0)</f>
        <v>0</v>
      </c>
      <c r="H936" s="48" t="str">
        <f aca="false">STACK!F936</f>
        <v>Health Education</v>
      </c>
      <c r="I936" s="1" t="str">
        <f aca="false">IF(G936&gt;0,IF(INDEX(CONFIRM!$I$5:$I$53,G936)&lt;&gt;"",INDEX(CONFIRM!$I$5:$I$53,G936),H936),H936)</f>
        <v>Health Education</v>
      </c>
      <c r="J936" s="1" t="str">
        <f aca="false">IFERROR(INDEX(MAP!$F$7:$F$74,MATCH(TRIM(I936),MAP!$E$7:$E$74,0)),"UNMAPPED")</f>
        <v>Community health education</v>
      </c>
      <c r="K936" s="1" t="str">
        <f aca="false">IFERROR(INDEX(MAP!$G$7:$G$74,MATCH(TRIM(I936),MAP!$E$7:$E$74,0)),"UNMAPPED")</f>
        <v>7e</v>
      </c>
      <c r="L936" s="49" t="str">
        <f aca="false">STACK!G936</f>
        <v>2025-11-26</v>
      </c>
      <c r="M936" s="59" t="n">
        <f aca="false">IF(G936&gt;0,IF(INDEX(CONFIRM!$G$5:$G$53,G936)&lt;&gt;"",INDEX(CONFIRM!$G$5:$G$53,G936),IF(ISNUMBER(L936),L936,IFERROR(DATEVALUE(L936),""))),IF(ISNUMBER(L936),L936,IFERROR(DATEVALUE(L936),"")))</f>
        <v>45987</v>
      </c>
      <c r="N936" s="1" t="str">
        <f aca="false">IF(M936="","Check",IF(AND(M936&gt;=INPUTS!$C$6,M936&lt;=INPUTS!$C$7),"Yes","No"))</f>
        <v>Yes</v>
      </c>
      <c r="O936" s="48" t="str">
        <f aca="false">STACK!H936</f>
        <v>Community Educator</v>
      </c>
      <c r="P936" s="1" t="str">
        <f aca="false">IF(G936&gt;0,IF(INDEX(CONFIRM!$H$5:$H$53,G936)&lt;&gt;"",INDEX(CONFIRM!$H$5:$H$53,G936),IFERROR(INDEX(MAP!$B$7:$B$156,MATCH(TRIM(O936),MAP!$A$7:$A$156,0)),"UNMAPPED")),IFERROR(INDEX(MAP!$B$7:$B$156,MATCH(TRIM(O936),MAP!$A$7:$A$156,0)),"UNMAPPED"))</f>
        <v>Health Educator</v>
      </c>
      <c r="Q936" s="48" t="n">
        <f aca="false">STACK!I936</f>
        <v>2.75</v>
      </c>
      <c r="R936" s="60" t="n">
        <f aca="false">IF(G936&gt;0,IF(INDEX(CONFIRM!$F$5:$F$53,G936)&lt;&gt;"",INDEX(CONFIRM!$F$5:$F$53,G936),IF(ISNUMBER(Q936),Q936,IF(Q936="","",IFERROR(VALUE(TRIM(SUBSTITUTE(SUBSTITUTE(LOWER(Q936),"hrs",""),"hr",""))),"")))),IF(ISNUMBER(Q936),Q936,IF(Q936="","",IFERROR(VALUE(TRIM(SUBSTITUTE(SUBSTITUTE(LOWER(Q936),"hrs",""),"hr",""))),""))))</f>
        <v>2.75</v>
      </c>
      <c r="S936" s="57" t="n">
        <f aca="false">IFERROR(INDEX(RATES!$E$6:$E$28,MATCH(P936,RATES!$A$6:$A$28,0)),0)</f>
        <v>37.265</v>
      </c>
      <c r="T936" s="61" t="n">
        <f aca="false">IF(ISNUMBER(R936),R936,0)*S936</f>
        <v>102.47875</v>
      </c>
      <c r="U936" s="61" t="n">
        <f aca="false">T936*INDEX(INPUTS!$H$10:$H$14,MATCH(B936,INPUTS!$A$10:$A$14,0))</f>
        <v>16.1916425</v>
      </c>
      <c r="V936" s="61" t="n">
        <f aca="false">N(STACK!K936)</f>
        <v>0</v>
      </c>
      <c r="W936" s="61" t="n">
        <f aca="false">T936+U936+V936</f>
        <v>118.6703925</v>
      </c>
      <c r="X936" s="61" t="n">
        <f aca="false">N(STACK!L936)</f>
        <v>0</v>
      </c>
      <c r="Y936" s="61" t="n">
        <f aca="false">W936-X936</f>
        <v>118.6703925</v>
      </c>
      <c r="Z936" s="1" t="n">
        <f aca="false">N(STACK!J936)</f>
        <v>0</v>
      </c>
      <c r="AA936" s="1" t="str">
        <f aca="false">TRIM(IF(D936="UNMAPPED","Program not mapped. ","")&amp;IF(OR(K936="UNMAPPED",K936="UNASSIGNED"),"Category needs review. ","")&amp;IF(P936="UNMAPPED","Title not mapped. ","")&amp;IF(AND(P936&lt;&gt;"No staff time",R936=""),"Missing hours. ","")&amp;IF(M936="","Date not readable. ","")&amp;IF(N936="No","Outside fiscal year. ","")&amp;IF(AND(F936="Event",ISNUMBER(R936)),IF(R936&gt;12,"Event hours look high. ",""),"")&amp;IF(G936&gt;0,"See CONFIRM sheet.",""))</f>
        <v/>
      </c>
      <c r="AB936" s="1" t="n">
        <f aca="false">IF(N936="No",0,IF(REVIEW!O936=0,0,IF(G936&gt;0,IF(INDEX(CONFIRM!$J$5:$J$53,G936)&lt;&gt;"",INDEX(CONFIRM!$J$5:$J$53,G936),1),1)))</f>
        <v>1</v>
      </c>
      <c r="AC936" s="1" t="n">
        <f aca="false">IF(AB936=1,IF(COUNTIFS($B$5:B936,B936,$D$5:D936,D936,$AB$5:AB936,1)=1,1,0),0)</f>
        <v>0</v>
      </c>
    </row>
    <row r="937" customFormat="false" ht="15" hidden="false" customHeight="false" outlineLevel="0" collapsed="false">
      <c r="A937" s="48" t="str">
        <f aca="false">STACK!A937</f>
        <v>CBH-0109</v>
      </c>
      <c r="B937" s="48" t="str">
        <f aca="false">STACK!B937</f>
        <v>CBH</v>
      </c>
      <c r="C937" s="48" t="str">
        <f aca="false">STACK!E937</f>
        <v>Naloxone Training</v>
      </c>
      <c r="D937" s="1" t="str">
        <f aca="false">IFERROR(INDEX(MAP!$J$7:$J$101,MATCH(TRIM(C937),MAP!$I$7:$I$101,0)),"UNMAPPED")</f>
        <v>Naloxone Training and Distribution</v>
      </c>
      <c r="E937" s="1" t="str">
        <f aca="false">IFERROR(INDEX(MAP!$K$7:$K$101,MATCH(TRIM(C937),MAP!$I$7:$I$101,0)),"")</f>
        <v>Behavioral health</v>
      </c>
      <c r="F937" s="1" t="str">
        <f aca="false">IFERROR(INDEX(MAP!$L$7:$L$101,MATCH(TRIM(C937),MAP!$I$7:$I$101,0)),"")</f>
        <v>Event</v>
      </c>
      <c r="G937" s="1" t="n">
        <f aca="false">IFERROR(MATCH(A937,CONFIRM!$A$5:$A$53,0),0)</f>
        <v>0</v>
      </c>
      <c r="H937" s="48" t="str">
        <f aca="false">STACK!F937</f>
        <v>Health Education</v>
      </c>
      <c r="I937" s="1" t="str">
        <f aca="false">IF(G937&gt;0,IF(INDEX(CONFIRM!$I$5:$I$53,G937)&lt;&gt;"",INDEX(CONFIRM!$I$5:$I$53,G937),H937),H937)</f>
        <v>Health Education</v>
      </c>
      <c r="J937" s="1" t="str">
        <f aca="false">IFERROR(INDEX(MAP!$F$7:$F$74,MATCH(TRIM(I937),MAP!$E$7:$E$74,0)),"UNMAPPED")</f>
        <v>Community health education</v>
      </c>
      <c r="K937" s="1" t="str">
        <f aca="false">IFERROR(INDEX(MAP!$G$7:$G$74,MATCH(TRIM(I937),MAP!$E$7:$E$74,0)),"UNMAPPED")</f>
        <v>7e</v>
      </c>
      <c r="L937" s="49" t="str">
        <f aca="false">STACK!G937</f>
        <v>2025-11-26</v>
      </c>
      <c r="M937" s="59" t="n">
        <f aca="false">IF(G937&gt;0,IF(INDEX(CONFIRM!$G$5:$G$53,G937)&lt;&gt;"",INDEX(CONFIRM!$G$5:$G$53,G937),IF(ISNUMBER(L937),L937,IFERROR(DATEVALUE(L937),""))),IF(ISNUMBER(L937),L937,IFERROR(DATEVALUE(L937),"")))</f>
        <v>45987</v>
      </c>
      <c r="N937" s="1" t="str">
        <f aca="false">IF(M937="","Check",IF(AND(M937&gt;=INPUTS!$C$6,M937&lt;=INPUTS!$C$7),"Yes","No"))</f>
        <v>Yes</v>
      </c>
      <c r="O937" s="48" t="str">
        <f aca="false">STACK!H937</f>
        <v>Staff Pharmacist</v>
      </c>
      <c r="P937" s="1" t="str">
        <f aca="false">IF(G937&gt;0,IF(INDEX(CONFIRM!$H$5:$H$53,G937)&lt;&gt;"",INDEX(CONFIRM!$H$5:$H$53,G937),IFERROR(INDEX(MAP!$B$7:$B$156,MATCH(TRIM(O937),MAP!$A$7:$A$156,0)),"UNMAPPED")),IFERROR(INDEX(MAP!$B$7:$B$156,MATCH(TRIM(O937),MAP!$A$7:$A$156,0)),"UNMAPPED"))</f>
        <v>Pharmacist</v>
      </c>
      <c r="Q937" s="48" t="n">
        <f aca="false">STACK!I937</f>
        <v>3</v>
      </c>
      <c r="R937" s="60" t="n">
        <f aca="false">IF(G937&gt;0,IF(INDEX(CONFIRM!$F$5:$F$53,G937)&lt;&gt;"",INDEX(CONFIRM!$F$5:$F$53,G937),IF(ISNUMBER(Q937),Q937,IF(Q937="","",IFERROR(VALUE(TRIM(SUBSTITUTE(SUBSTITUTE(LOWER(Q937),"hrs",""),"hr",""))),"")))),IF(ISNUMBER(Q937),Q937,IF(Q937="","",IFERROR(VALUE(TRIM(SUBSTITUTE(SUBSTITUTE(LOWER(Q937),"hrs",""),"hr",""))),""))))</f>
        <v>3</v>
      </c>
      <c r="S937" s="57" t="n">
        <f aca="false">IFERROR(INDEX(RATES!$E$6:$E$28,MATCH(P937,RATES!$A$6:$A$28,0)),0)</f>
        <v>84.81</v>
      </c>
      <c r="T937" s="61" t="n">
        <f aca="false">IF(ISNUMBER(R937),R937,0)*S937</f>
        <v>254.43</v>
      </c>
      <c r="U937" s="61" t="n">
        <f aca="false">T937*INDEX(INPUTS!$H$10:$H$14,MATCH(B937,INPUTS!$A$10:$A$14,0))</f>
        <v>40.19994</v>
      </c>
      <c r="V937" s="61" t="n">
        <f aca="false">N(STACK!K937)</f>
        <v>2050</v>
      </c>
      <c r="W937" s="61" t="n">
        <f aca="false">T937+U937+V937</f>
        <v>2344.62994</v>
      </c>
      <c r="X937" s="61" t="n">
        <f aca="false">N(STACK!L937)</f>
        <v>1755</v>
      </c>
      <c r="Y937" s="61" t="n">
        <f aca="false">W937-X937</f>
        <v>589.62994</v>
      </c>
      <c r="Z937" s="1" t="n">
        <f aca="false">N(STACK!J937)</f>
        <v>18</v>
      </c>
      <c r="AA937" s="1" t="str">
        <f aca="false">TRIM(IF(D937="UNMAPPED","Program not mapped. ","")&amp;IF(OR(K937="UNMAPPED",K937="UNASSIGNED"),"Category needs review. ","")&amp;IF(P937="UNMAPPED","Title not mapped. ","")&amp;IF(AND(P937&lt;&gt;"No staff time",R937=""),"Missing hours. ","")&amp;IF(M937="","Date not readable. ","")&amp;IF(N937="No","Outside fiscal year. ","")&amp;IF(AND(F937="Event",ISNUMBER(R937)),IF(R937&gt;12,"Event hours look high. ",""),"")&amp;IF(G937&gt;0,"See CONFIRM sheet.",""))</f>
        <v/>
      </c>
      <c r="AB937" s="1" t="n">
        <f aca="false">IF(N937="No",0,IF(REVIEW!O937=0,0,IF(G937&gt;0,IF(INDEX(CONFIRM!$J$5:$J$53,G937)&lt;&gt;"",INDEX(CONFIRM!$J$5:$J$53,G937),1),1)))</f>
        <v>1</v>
      </c>
      <c r="AC937" s="1" t="n">
        <f aca="false">IF(AB937=1,IF(COUNTIFS($B$5:B937,B937,$D$5:D937,D937,$AB$5:AB937,1)=1,1,0),0)</f>
        <v>0</v>
      </c>
    </row>
    <row r="938" customFormat="false" ht="15" hidden="false" customHeight="false" outlineLevel="0" collapsed="false">
      <c r="A938" s="48" t="str">
        <f aca="false">STACK!A938</f>
        <v>CBH-0110</v>
      </c>
      <c r="B938" s="48" t="str">
        <f aca="false">STACK!B938</f>
        <v>CBH</v>
      </c>
      <c r="C938" s="48" t="str">
        <f aca="false">STACK!E938</f>
        <v>Prenatal &amp; Newborn Classes</v>
      </c>
      <c r="D938" s="1" t="str">
        <f aca="false">IFERROR(INDEX(MAP!$J$7:$J$101,MATCH(TRIM(C938),MAP!$I$7:$I$101,0)),"UNMAPPED")</f>
        <v>Childbirth and Newborn Care Classes</v>
      </c>
      <c r="E938" s="1" t="str">
        <f aca="false">IFERROR(INDEX(MAP!$K$7:$K$101,MATCH(TRIM(C938),MAP!$I$7:$I$101,0)),"")</f>
        <v>Maternal and child health</v>
      </c>
      <c r="F938" s="1" t="str">
        <f aca="false">IFERROR(INDEX(MAP!$L$7:$L$101,MATCH(TRIM(C938),MAP!$I$7:$I$101,0)),"")</f>
        <v>Event</v>
      </c>
      <c r="G938" s="1" t="n">
        <f aca="false">IFERROR(MATCH(A938,CONFIRM!$A$5:$A$53,0),0)</f>
        <v>0</v>
      </c>
      <c r="H938" s="48" t="str">
        <f aca="false">STACK!F938</f>
        <v>Health Education</v>
      </c>
      <c r="I938" s="1" t="str">
        <f aca="false">IF(G938&gt;0,IF(INDEX(CONFIRM!$I$5:$I$53,G938)&lt;&gt;"",INDEX(CONFIRM!$I$5:$I$53,G938),H938),H938)</f>
        <v>Health Education</v>
      </c>
      <c r="J938" s="1" t="str">
        <f aca="false">IFERROR(INDEX(MAP!$F$7:$F$74,MATCH(TRIM(I938),MAP!$E$7:$E$74,0)),"UNMAPPED")</f>
        <v>Community health education</v>
      </c>
      <c r="K938" s="1" t="str">
        <f aca="false">IFERROR(INDEX(MAP!$G$7:$G$74,MATCH(TRIM(I938),MAP!$E$7:$E$74,0)),"UNMAPPED")</f>
        <v>7e</v>
      </c>
      <c r="L938" s="49" t="str">
        <f aca="false">STACK!G938</f>
        <v>2025-11-28</v>
      </c>
      <c r="M938" s="59" t="n">
        <f aca="false">IF(G938&gt;0,IF(INDEX(CONFIRM!$G$5:$G$53,G938)&lt;&gt;"",INDEX(CONFIRM!$G$5:$G$53,G938),IF(ISNUMBER(L938),L938,IFERROR(DATEVALUE(L938),""))),IF(ISNUMBER(L938),L938,IFERROR(DATEVALUE(L938),"")))</f>
        <v>45989</v>
      </c>
      <c r="N938" s="1" t="str">
        <f aca="false">IF(M938="","Check",IF(AND(M938&gt;=INPUTS!$C$6,M938&lt;=INPUTS!$C$7),"Yes","No"))</f>
        <v>Yes</v>
      </c>
      <c r="O938" s="48" t="str">
        <f aca="false">STACK!H938</f>
        <v>RN Educator</v>
      </c>
      <c r="P938" s="1" t="str">
        <f aca="false">IF(G938&gt;0,IF(INDEX(CONFIRM!$H$5:$H$53,G938)&lt;&gt;"",INDEX(CONFIRM!$H$5:$H$53,G938),IFERROR(INDEX(MAP!$B$7:$B$156,MATCH(TRIM(O938),MAP!$A$7:$A$156,0)),"UNMAPPED")),IFERROR(INDEX(MAP!$B$7:$B$156,MATCH(TRIM(O938),MAP!$A$7:$A$156,0)),"UNMAPPED"))</f>
        <v>Clinical Nurse Educator</v>
      </c>
      <c r="Q938" s="48" t="n">
        <f aca="false">STACK!I938</f>
        <v>3.25</v>
      </c>
      <c r="R938" s="60" t="n">
        <f aca="false">IF(G938&gt;0,IF(INDEX(CONFIRM!$F$5:$F$53,G938)&lt;&gt;"",INDEX(CONFIRM!$F$5:$F$53,G938),IF(ISNUMBER(Q938),Q938,IF(Q938="","",IFERROR(VALUE(TRIM(SUBSTITUTE(SUBSTITUTE(LOWER(Q938),"hrs",""),"hr",""))),"")))),IF(ISNUMBER(Q938),Q938,IF(Q938="","",IFERROR(VALUE(TRIM(SUBSTITUTE(SUBSTITUTE(LOWER(Q938),"hrs",""),"hr",""))),""))))</f>
        <v>3.25</v>
      </c>
      <c r="S938" s="57" t="n">
        <f aca="false">IFERROR(INDEX(RATES!$E$6:$E$28,MATCH(P938,RATES!$A$6:$A$28,0)),0)</f>
        <v>62.965</v>
      </c>
      <c r="T938" s="61" t="n">
        <f aca="false">IF(ISNUMBER(R938),R938,0)*S938</f>
        <v>204.63625</v>
      </c>
      <c r="U938" s="61" t="n">
        <f aca="false">T938*INDEX(INPUTS!$H$10:$H$14,MATCH(B938,INPUTS!$A$10:$A$14,0))</f>
        <v>32.3325275</v>
      </c>
      <c r="V938" s="61" t="n">
        <f aca="false">N(STACK!K938)</f>
        <v>140</v>
      </c>
      <c r="W938" s="61" t="n">
        <f aca="false">T938+U938+V938</f>
        <v>376.9687775</v>
      </c>
      <c r="X938" s="61" t="n">
        <f aca="false">N(STACK!L938)</f>
        <v>320</v>
      </c>
      <c r="Y938" s="61" t="n">
        <f aca="false">W938-X938</f>
        <v>56.9687775</v>
      </c>
      <c r="Z938" s="1" t="n">
        <f aca="false">N(STACK!J938)</f>
        <v>16</v>
      </c>
      <c r="AA938" s="1" t="str">
        <f aca="false">TRIM(IF(D938="UNMAPPED","Program not mapped. ","")&amp;IF(OR(K938="UNMAPPED",K938="UNASSIGNED"),"Category needs review. ","")&amp;IF(P938="UNMAPPED","Title not mapped. ","")&amp;IF(AND(P938&lt;&gt;"No staff time",R938=""),"Missing hours. ","")&amp;IF(M938="","Date not readable. ","")&amp;IF(N938="No","Outside fiscal year. ","")&amp;IF(AND(F938="Event",ISNUMBER(R938)),IF(R938&gt;12,"Event hours look high. ",""),"")&amp;IF(G938&gt;0,"See CONFIRM sheet.",""))</f>
        <v/>
      </c>
      <c r="AB938" s="1" t="n">
        <f aca="false">IF(N938="No",0,IF(REVIEW!O938=0,0,IF(G938&gt;0,IF(INDEX(CONFIRM!$J$5:$J$53,G938)&lt;&gt;"",INDEX(CONFIRM!$J$5:$J$53,G938),1),1)))</f>
        <v>1</v>
      </c>
      <c r="AC938" s="1" t="n">
        <f aca="false">IF(AB938=1,IF(COUNTIFS($B$5:B938,B938,$D$5:D938,D938,$AB$5:AB938,1)=1,1,0),0)</f>
        <v>0</v>
      </c>
    </row>
    <row r="939" customFormat="false" ht="15" hidden="false" customHeight="false" outlineLevel="0" collapsed="false">
      <c r="A939" s="48" t="str">
        <f aca="false">STACK!A939</f>
        <v>CBH-0111</v>
      </c>
      <c r="B939" s="48" t="str">
        <f aca="false">STACK!B939</f>
        <v>CBH</v>
      </c>
      <c r="C939" s="48" t="str">
        <f aca="false">STACK!E939</f>
        <v>Bereavement Group</v>
      </c>
      <c r="D939" s="1" t="str">
        <f aca="false">IFERROR(INDEX(MAP!$J$7:$J$101,MATCH(TRIM(C939),MAP!$I$7:$I$101,0)),"UNMAPPED")</f>
        <v>Grief Support Group</v>
      </c>
      <c r="E939" s="1" t="str">
        <f aca="false">IFERROR(INDEX(MAP!$K$7:$K$101,MATCH(TRIM(C939),MAP!$I$7:$I$101,0)),"")</f>
        <v>Behavioral health</v>
      </c>
      <c r="F939" s="1" t="str">
        <f aca="false">IFERROR(INDEX(MAP!$L$7:$L$101,MATCH(TRIM(C939),MAP!$I$7:$I$101,0)),"")</f>
        <v>Event</v>
      </c>
      <c r="G939" s="1" t="n">
        <f aca="false">IFERROR(MATCH(A939,CONFIRM!$A$5:$A$53,0),0)</f>
        <v>0</v>
      </c>
      <c r="H939" s="48" t="str">
        <f aca="false">STACK!F939</f>
        <v>Patient Support</v>
      </c>
      <c r="I939" s="1" t="str">
        <f aca="false">IF(G939&gt;0,IF(INDEX(CONFIRM!$I$5:$I$53,G939)&lt;&gt;"",INDEX(CONFIRM!$I$5:$I$53,G939),H939),H939)</f>
        <v>Patient Support</v>
      </c>
      <c r="J939" s="1" t="str">
        <f aca="false">IFERROR(INDEX(MAP!$F$7:$F$74,MATCH(TRIM(I939),MAP!$E$7:$E$74,0)),"UNMAPPED")</f>
        <v>Health care support services</v>
      </c>
      <c r="K939" s="1" t="str">
        <f aca="false">IFERROR(INDEX(MAP!$G$7:$G$74,MATCH(TRIM(I939),MAP!$E$7:$E$74,0)),"UNMAPPED")</f>
        <v>7e</v>
      </c>
      <c r="L939" s="49" t="str">
        <f aca="false">STACK!G939</f>
        <v>2025-11-29</v>
      </c>
      <c r="M939" s="59" t="n">
        <f aca="false">IF(G939&gt;0,IF(INDEX(CONFIRM!$G$5:$G$53,G939)&lt;&gt;"",INDEX(CONFIRM!$G$5:$G$53,G939),IF(ISNUMBER(L939),L939,IFERROR(DATEVALUE(L939),""))),IF(ISNUMBER(L939),L939,IFERROR(DATEVALUE(L939),"")))</f>
        <v>45990</v>
      </c>
      <c r="N939" s="1" t="str">
        <f aca="false">IF(M939="","Check",IF(AND(M939&gt;=INPUTS!$C$6,M939&lt;=INPUTS!$C$7),"Yes","No"))</f>
        <v>Yes</v>
      </c>
      <c r="O939" s="48" t="str">
        <f aca="false">STACK!H939</f>
        <v>Chaplain</v>
      </c>
      <c r="P939" s="1" t="str">
        <f aca="false">IF(G939&gt;0,IF(INDEX(CONFIRM!$H$5:$H$53,G939)&lt;&gt;"",INDEX(CONFIRM!$H$5:$H$53,G939),IFERROR(INDEX(MAP!$B$7:$B$156,MATCH(TRIM(O939),MAP!$A$7:$A$156,0)),"UNMAPPED")),IFERROR(INDEX(MAP!$B$7:$B$156,MATCH(TRIM(O939),MAP!$A$7:$A$156,0)),"UNMAPPED"))</f>
        <v>Chaplain</v>
      </c>
      <c r="Q939" s="48" t="n">
        <f aca="false">STACK!I939</f>
        <v>2.75</v>
      </c>
      <c r="R939" s="60" t="n">
        <f aca="false">IF(G939&gt;0,IF(INDEX(CONFIRM!$F$5:$F$53,G939)&lt;&gt;"",INDEX(CONFIRM!$F$5:$F$53,G939),IF(ISNUMBER(Q939),Q939,IF(Q939="","",IFERROR(VALUE(TRIM(SUBSTITUTE(SUBSTITUTE(LOWER(Q939),"hrs",""),"hr",""))),"")))),IF(ISNUMBER(Q939),Q939,IF(Q939="","",IFERROR(VALUE(TRIM(SUBSTITUTE(SUBSTITUTE(LOWER(Q939),"hrs",""),"hr",""))),""))))</f>
        <v>2.75</v>
      </c>
      <c r="S939" s="57" t="n">
        <f aca="false">IFERROR(INDEX(RATES!$E$6:$E$28,MATCH(P939,RATES!$A$6:$A$28,0)),0)</f>
        <v>39.835</v>
      </c>
      <c r="T939" s="61" t="n">
        <f aca="false">IF(ISNUMBER(R939),R939,0)*S939</f>
        <v>109.54625</v>
      </c>
      <c r="U939" s="61" t="n">
        <f aca="false">T939*INDEX(INPUTS!$H$10:$H$14,MATCH(B939,INPUTS!$A$10:$A$14,0))</f>
        <v>17.3083075</v>
      </c>
      <c r="V939" s="61" t="n">
        <f aca="false">N(STACK!K939)</f>
        <v>45</v>
      </c>
      <c r="W939" s="61" t="n">
        <f aca="false">T939+U939+V939</f>
        <v>171.8545575</v>
      </c>
      <c r="X939" s="61" t="n">
        <f aca="false">N(STACK!L939)</f>
        <v>0</v>
      </c>
      <c r="Y939" s="61" t="n">
        <f aca="false">W939-X939</f>
        <v>171.8545575</v>
      </c>
      <c r="Z939" s="1" t="n">
        <f aca="false">N(STACK!J939)</f>
        <v>14</v>
      </c>
      <c r="AA939" s="1" t="str">
        <f aca="false">TRIM(IF(D939="UNMAPPED","Program not mapped. ","")&amp;IF(OR(K939="UNMAPPED",K939="UNASSIGNED"),"Category needs review. ","")&amp;IF(P939="UNMAPPED","Title not mapped. ","")&amp;IF(AND(P939&lt;&gt;"No staff time",R939=""),"Missing hours. ","")&amp;IF(M939="","Date not readable. ","")&amp;IF(N939="No","Outside fiscal year. ","")&amp;IF(AND(F939="Event",ISNUMBER(R939)),IF(R939&gt;12,"Event hours look high. ",""),"")&amp;IF(G939&gt;0,"See CONFIRM sheet.",""))</f>
        <v/>
      </c>
      <c r="AB939" s="1" t="n">
        <f aca="false">IF(N939="No",0,IF(REVIEW!O939=0,0,IF(G939&gt;0,IF(INDEX(CONFIRM!$J$5:$J$53,G939)&lt;&gt;"",INDEX(CONFIRM!$J$5:$J$53,G939),1),1)))</f>
        <v>1</v>
      </c>
      <c r="AC939" s="1" t="n">
        <f aca="false">IF(AB939=1,IF(COUNTIFS($B$5:B939,B939,$D$5:D939,D939,$AB$5:AB939,1)=1,1,0),0)</f>
        <v>0</v>
      </c>
    </row>
    <row r="940" customFormat="false" ht="15" hidden="false" customHeight="false" outlineLevel="0" collapsed="false">
      <c r="A940" s="48" t="str">
        <f aca="false">STACK!A940</f>
        <v>CBH-0112</v>
      </c>
      <c r="B940" s="48" t="str">
        <f aca="false">STACK!B940</f>
        <v>CBH</v>
      </c>
      <c r="C940" s="48" t="str">
        <f aca="false">STACK!E940</f>
        <v>Bereavement Group</v>
      </c>
      <c r="D940" s="1" t="str">
        <f aca="false">IFERROR(INDEX(MAP!$J$7:$J$101,MATCH(TRIM(C940),MAP!$I$7:$I$101,0)),"UNMAPPED")</f>
        <v>Grief Support Group</v>
      </c>
      <c r="E940" s="1" t="str">
        <f aca="false">IFERROR(INDEX(MAP!$K$7:$K$101,MATCH(TRIM(C940),MAP!$I$7:$I$101,0)),"")</f>
        <v>Behavioral health</v>
      </c>
      <c r="F940" s="1" t="str">
        <f aca="false">IFERROR(INDEX(MAP!$L$7:$L$101,MATCH(TRIM(C940),MAP!$I$7:$I$101,0)),"")</f>
        <v>Event</v>
      </c>
      <c r="G940" s="1" t="n">
        <f aca="false">IFERROR(MATCH(A940,CONFIRM!$A$5:$A$53,0),0)</f>
        <v>0</v>
      </c>
      <c r="H940" s="48" t="str">
        <f aca="false">STACK!F940</f>
        <v>Patient Support</v>
      </c>
      <c r="I940" s="1" t="str">
        <f aca="false">IF(G940&gt;0,IF(INDEX(CONFIRM!$I$5:$I$53,G940)&lt;&gt;"",INDEX(CONFIRM!$I$5:$I$53,G940),H940),H940)</f>
        <v>Patient Support</v>
      </c>
      <c r="J940" s="1" t="str">
        <f aca="false">IFERROR(INDEX(MAP!$F$7:$F$74,MATCH(TRIM(I940),MAP!$E$7:$E$74,0)),"UNMAPPED")</f>
        <v>Health care support services</v>
      </c>
      <c r="K940" s="1" t="str">
        <f aca="false">IFERROR(INDEX(MAP!$G$7:$G$74,MATCH(TRIM(I940),MAP!$E$7:$E$74,0)),"UNMAPPED")</f>
        <v>7e</v>
      </c>
      <c r="L940" s="49" t="str">
        <f aca="false">STACK!G940</f>
        <v>2025-11-29</v>
      </c>
      <c r="M940" s="59" t="n">
        <f aca="false">IF(G940&gt;0,IF(INDEX(CONFIRM!$G$5:$G$53,G940)&lt;&gt;"",INDEX(CONFIRM!$G$5:$G$53,G940),IF(ISNUMBER(L940),L940,IFERROR(DATEVALUE(L940),""))),IF(ISNUMBER(L940),L940,IFERROR(DATEVALUE(L940),"")))</f>
        <v>45990</v>
      </c>
      <c r="N940" s="1" t="str">
        <f aca="false">IF(M940="","Check",IF(AND(M940&gt;=INPUTS!$C$6,M940&lt;=INPUTS!$C$7),"Yes","No"))</f>
        <v>Yes</v>
      </c>
      <c r="O940" s="48" t="str">
        <f aca="false">STACK!H940</f>
        <v>MSW </v>
      </c>
      <c r="P940" s="1" t="str">
        <f aca="false">IF(G940&gt;0,IF(INDEX(CONFIRM!$H$5:$H$53,G940)&lt;&gt;"",INDEX(CONFIRM!$H$5:$H$53,G940),IFERROR(INDEX(MAP!$B$7:$B$156,MATCH(TRIM(O940),MAP!$A$7:$A$156,0)),"UNMAPPED")),IFERROR(INDEX(MAP!$B$7:$B$156,MATCH(TRIM(O940),MAP!$A$7:$A$156,0)),"UNMAPPED"))</f>
        <v>Social Worker</v>
      </c>
      <c r="Q940" s="48" t="n">
        <f aca="false">STACK!I940</f>
        <v>2</v>
      </c>
      <c r="R940" s="60" t="n">
        <f aca="false">IF(G940&gt;0,IF(INDEX(CONFIRM!$F$5:$F$53,G940)&lt;&gt;"",INDEX(CONFIRM!$F$5:$F$53,G940),IF(ISNUMBER(Q940),Q940,IF(Q940="","",IFERROR(VALUE(TRIM(SUBSTITUTE(SUBSTITUTE(LOWER(Q940),"hrs",""),"hr",""))),"")))),IF(ISNUMBER(Q940),Q940,IF(Q940="","",IFERROR(VALUE(TRIM(SUBSTITUTE(SUBSTITUTE(LOWER(Q940),"hrs",""),"hr",""))),""))))</f>
        <v>2</v>
      </c>
      <c r="S940" s="57" t="n">
        <f aca="false">IFERROR(INDEX(RATES!$E$6:$E$28,MATCH(P940,RATES!$A$6:$A$28,0)),0)</f>
        <v>45.6175</v>
      </c>
      <c r="T940" s="61" t="n">
        <f aca="false">IF(ISNUMBER(R940),R940,0)*S940</f>
        <v>91.235</v>
      </c>
      <c r="U940" s="61" t="n">
        <f aca="false">T940*INDEX(INPUTS!$H$10:$H$14,MATCH(B940,INPUTS!$A$10:$A$14,0))</f>
        <v>14.41513</v>
      </c>
      <c r="V940" s="61" t="n">
        <f aca="false">N(STACK!K940)</f>
        <v>0</v>
      </c>
      <c r="W940" s="61" t="n">
        <f aca="false">T940+U940+V940</f>
        <v>105.65013</v>
      </c>
      <c r="X940" s="61" t="n">
        <f aca="false">N(STACK!L940)</f>
        <v>0</v>
      </c>
      <c r="Y940" s="61" t="n">
        <f aca="false">W940-X940</f>
        <v>105.65013</v>
      </c>
      <c r="Z940" s="1" t="n">
        <f aca="false">N(STACK!J940)</f>
        <v>0</v>
      </c>
      <c r="AA940" s="1" t="str">
        <f aca="false">TRIM(IF(D940="UNMAPPED","Program not mapped. ","")&amp;IF(OR(K940="UNMAPPED",K940="UNASSIGNED"),"Category needs review. ","")&amp;IF(P940="UNMAPPED","Title not mapped. ","")&amp;IF(AND(P940&lt;&gt;"No staff time",R940=""),"Missing hours. ","")&amp;IF(M940="","Date not readable. ","")&amp;IF(N940="No","Outside fiscal year. ","")&amp;IF(AND(F940="Event",ISNUMBER(R940)),IF(R940&gt;12,"Event hours look high. ",""),"")&amp;IF(G940&gt;0,"See CONFIRM sheet.",""))</f>
        <v/>
      </c>
      <c r="AB940" s="1" t="n">
        <f aca="false">IF(N940="No",0,IF(REVIEW!O940=0,0,IF(G940&gt;0,IF(INDEX(CONFIRM!$J$5:$J$53,G940)&lt;&gt;"",INDEX(CONFIRM!$J$5:$J$53,G940),1),1)))</f>
        <v>1</v>
      </c>
      <c r="AC940" s="1" t="n">
        <f aca="false">IF(AB940=1,IF(COUNTIFS($B$5:B940,B940,$D$5:D940,D940,$AB$5:AB940,1)=1,1,0),0)</f>
        <v>0</v>
      </c>
    </row>
    <row r="941" customFormat="false" ht="15" hidden="false" customHeight="false" outlineLevel="0" collapsed="false">
      <c r="A941" s="48" t="str">
        <f aca="false">STACK!A941</f>
        <v>CBH-0113</v>
      </c>
      <c r="B941" s="48" t="str">
        <f aca="false">STACK!B941</f>
        <v>CBH</v>
      </c>
      <c r="C941" s="48" t="str">
        <f aca="false">STACK!E941</f>
        <v>Free Clinic Staffing</v>
      </c>
      <c r="D941" s="1" t="str">
        <f aca="false">IFERROR(INDEX(MAP!$J$7:$J$101,MATCH(TRIM(C941),MAP!$I$7:$I$101,0)),"UNMAPPED")</f>
        <v>Free Clinic Provider Staffing</v>
      </c>
      <c r="E941" s="1" t="str">
        <f aca="false">IFERROR(INDEX(MAP!$K$7:$K$101,MATCH(TRIM(C941),MAP!$I$7:$I$101,0)),"")</f>
        <v>Access to care</v>
      </c>
      <c r="F941" s="1" t="str">
        <f aca="false">IFERROR(INDEX(MAP!$L$7:$L$101,MATCH(TRIM(C941),MAP!$I$7:$I$101,0)),"")</f>
        <v>Monthly</v>
      </c>
      <c r="G941" s="1" t="n">
        <f aca="false">IFERROR(MATCH(A941,CONFIRM!$A$5:$A$53,0),0)</f>
        <v>0</v>
      </c>
      <c r="H941" s="48" t="str">
        <f aca="false">STACK!F941</f>
        <v>Screenings</v>
      </c>
      <c r="I941" s="1" t="str">
        <f aca="false">IF(G941&gt;0,IF(INDEX(CONFIRM!$I$5:$I$53,G941)&lt;&gt;"",INDEX(CONFIRM!$I$5:$I$53,G941),H941),H941)</f>
        <v>Screenings</v>
      </c>
      <c r="J941" s="1" t="str">
        <f aca="false">IFERROR(INDEX(MAP!$F$7:$F$74,MATCH(TRIM(I941),MAP!$E$7:$E$74,0)),"UNMAPPED")</f>
        <v>Community-based clinical services</v>
      </c>
      <c r="K941" s="1" t="str">
        <f aca="false">IFERROR(INDEX(MAP!$G$7:$G$74,MATCH(TRIM(I941),MAP!$E$7:$E$74,0)),"UNMAPPED")</f>
        <v>7e</v>
      </c>
      <c r="L941" s="49" t="str">
        <f aca="false">STACK!G941</f>
        <v>2025-11-30</v>
      </c>
      <c r="M941" s="59" t="n">
        <f aca="false">IF(G941&gt;0,IF(INDEX(CONFIRM!$G$5:$G$53,G941)&lt;&gt;"",INDEX(CONFIRM!$G$5:$G$53,G941),IF(ISNUMBER(L941),L941,IFERROR(DATEVALUE(L941),""))),IF(ISNUMBER(L941),L941,IFERROR(DATEVALUE(L941),"")))</f>
        <v>45991</v>
      </c>
      <c r="N941" s="1" t="str">
        <f aca="false">IF(M941="","Check",IF(AND(M941&gt;=INPUTS!$C$6,M941&lt;=INPUTS!$C$7),"Yes","No"))</f>
        <v>Yes</v>
      </c>
      <c r="O941" s="48" t="str">
        <f aca="false">STACK!H941</f>
        <v>Family NP</v>
      </c>
      <c r="P941" s="1" t="str">
        <f aca="false">IF(G941&gt;0,IF(INDEX(CONFIRM!$H$5:$H$53,G941)&lt;&gt;"",INDEX(CONFIRM!$H$5:$H$53,G941),IFERROR(INDEX(MAP!$B$7:$B$156,MATCH(TRIM(O941),MAP!$A$7:$A$156,0)),"UNMAPPED")),IFERROR(INDEX(MAP!$B$7:$B$156,MATCH(TRIM(O941),MAP!$A$7:$A$156,0)),"UNMAPPED"))</f>
        <v>Nurse Practitioner</v>
      </c>
      <c r="Q941" s="48" t="n">
        <f aca="false">STACK!I941</f>
        <v>33.5</v>
      </c>
      <c r="R941" s="60" t="n">
        <f aca="false">IF(G941&gt;0,IF(INDEX(CONFIRM!$F$5:$F$53,G941)&lt;&gt;"",INDEX(CONFIRM!$F$5:$F$53,G941),IF(ISNUMBER(Q941),Q941,IF(Q941="","",IFERROR(VALUE(TRIM(SUBSTITUTE(SUBSTITUTE(LOWER(Q941),"hrs",""),"hr",""))),"")))),IF(ISNUMBER(Q941),Q941,IF(Q941="","",IFERROR(VALUE(TRIM(SUBSTITUTE(SUBSTITUTE(LOWER(Q941),"hrs",""),"hr",""))),""))))</f>
        <v>33.5</v>
      </c>
      <c r="S941" s="57" t="n">
        <f aca="false">IFERROR(INDEX(RATES!$E$6:$E$28,MATCH(P941,RATES!$A$6:$A$28,0)),0)</f>
        <v>79.67</v>
      </c>
      <c r="T941" s="61" t="n">
        <f aca="false">IF(ISNUMBER(R941),R941,0)*S941</f>
        <v>2668.945</v>
      </c>
      <c r="U941" s="61" t="n">
        <f aca="false">T941*INDEX(INPUTS!$H$10:$H$14,MATCH(B941,INPUTS!$A$10:$A$14,0))</f>
        <v>421.69331</v>
      </c>
      <c r="V941" s="61" t="n">
        <f aca="false">N(STACK!K941)</f>
        <v>2950</v>
      </c>
      <c r="W941" s="61" t="n">
        <f aca="false">T941+U941+V941</f>
        <v>6040.63831</v>
      </c>
      <c r="X941" s="61" t="n">
        <f aca="false">N(STACK!L941)</f>
        <v>0</v>
      </c>
      <c r="Y941" s="61" t="n">
        <f aca="false">W941-X941</f>
        <v>6040.63831</v>
      </c>
      <c r="Z941" s="1" t="n">
        <f aca="false">N(STACK!J941)</f>
        <v>233</v>
      </c>
      <c r="AA941" s="1" t="str">
        <f aca="false">TRIM(IF(D941="UNMAPPED","Program not mapped. ","")&amp;IF(OR(K941="UNMAPPED",K941="UNASSIGNED"),"Category needs review. ","")&amp;IF(P941="UNMAPPED","Title not mapped. ","")&amp;IF(AND(P941&lt;&gt;"No staff time",R941=""),"Missing hours. ","")&amp;IF(M941="","Date not readable. ","")&amp;IF(N941="No","Outside fiscal year. ","")&amp;IF(AND(F941="Event",ISNUMBER(R941)),IF(R941&gt;12,"Event hours look high. ",""),"")&amp;IF(G941&gt;0,"See CONFIRM sheet.",""))</f>
        <v/>
      </c>
      <c r="AB941" s="1" t="n">
        <f aca="false">IF(N941="No",0,IF(REVIEW!O941=0,0,IF(G941&gt;0,IF(INDEX(CONFIRM!$J$5:$J$53,G941)&lt;&gt;"",INDEX(CONFIRM!$J$5:$J$53,G941),1),1)))</f>
        <v>1</v>
      </c>
      <c r="AC941" s="1" t="n">
        <f aca="false">IF(AB941=1,IF(COUNTIFS($B$5:B941,B941,$D$5:D941,D941,$AB$5:AB941,1)=1,1,0),0)</f>
        <v>0</v>
      </c>
    </row>
    <row r="942" customFormat="false" ht="15" hidden="false" customHeight="false" outlineLevel="0" collapsed="false">
      <c r="A942" s="48" t="str">
        <f aca="false">STACK!A942</f>
        <v>CBH-0114</v>
      </c>
      <c r="B942" s="48" t="str">
        <f aca="false">STACK!B942</f>
        <v>CBH</v>
      </c>
      <c r="C942" s="48" t="str">
        <f aca="false">STACK!E942</f>
        <v>Free Clinic Staffing</v>
      </c>
      <c r="D942" s="1" t="str">
        <f aca="false">IFERROR(INDEX(MAP!$J$7:$J$101,MATCH(TRIM(C942),MAP!$I$7:$I$101,0)),"UNMAPPED")</f>
        <v>Free Clinic Provider Staffing</v>
      </c>
      <c r="E942" s="1" t="str">
        <f aca="false">IFERROR(INDEX(MAP!$K$7:$K$101,MATCH(TRIM(C942),MAP!$I$7:$I$101,0)),"")</f>
        <v>Access to care</v>
      </c>
      <c r="F942" s="1" t="str">
        <f aca="false">IFERROR(INDEX(MAP!$L$7:$L$101,MATCH(TRIM(C942),MAP!$I$7:$I$101,0)),"")</f>
        <v>Monthly</v>
      </c>
      <c r="G942" s="1" t="n">
        <f aca="false">IFERROR(MATCH(A942,CONFIRM!$A$5:$A$53,0),0)</f>
        <v>0</v>
      </c>
      <c r="H942" s="48" t="str">
        <f aca="false">STACK!F942</f>
        <v>Screenings</v>
      </c>
      <c r="I942" s="1" t="str">
        <f aca="false">IF(G942&gt;0,IF(INDEX(CONFIRM!$I$5:$I$53,G942)&lt;&gt;"",INDEX(CONFIRM!$I$5:$I$53,G942),H942),H942)</f>
        <v>Screenings</v>
      </c>
      <c r="J942" s="1" t="str">
        <f aca="false">IFERROR(INDEX(MAP!$F$7:$F$74,MATCH(TRIM(I942),MAP!$E$7:$E$74,0)),"UNMAPPED")</f>
        <v>Community-based clinical services</v>
      </c>
      <c r="K942" s="1" t="str">
        <f aca="false">IFERROR(INDEX(MAP!$G$7:$G$74,MATCH(TRIM(I942),MAP!$E$7:$E$74,0)),"UNMAPPED")</f>
        <v>7e</v>
      </c>
      <c r="L942" s="49" t="str">
        <f aca="false">STACK!G942</f>
        <v>2025-11-30</v>
      </c>
      <c r="M942" s="59" t="n">
        <f aca="false">IF(G942&gt;0,IF(INDEX(CONFIRM!$G$5:$G$53,G942)&lt;&gt;"",INDEX(CONFIRM!$G$5:$G$53,G942),IF(ISNUMBER(L942),L942,IFERROR(DATEVALUE(L942),""))),IF(ISNUMBER(L942),L942,IFERROR(DATEVALUE(L942),"")))</f>
        <v>45991</v>
      </c>
      <c r="N942" s="1" t="str">
        <f aca="false">IF(M942="","Check",IF(AND(M942&gt;=INPUTS!$C$6,M942&lt;=INPUTS!$C$7),"Yes","No"))</f>
        <v>Yes</v>
      </c>
      <c r="O942" s="48" t="str">
        <f aca="false">STACK!H942</f>
        <v>Pharmacist</v>
      </c>
      <c r="P942" s="1" t="str">
        <f aca="false">IF(G942&gt;0,IF(INDEX(CONFIRM!$H$5:$H$53,G942)&lt;&gt;"",INDEX(CONFIRM!$H$5:$H$53,G942),IFERROR(INDEX(MAP!$B$7:$B$156,MATCH(TRIM(O942),MAP!$A$7:$A$156,0)),"UNMAPPED")),IFERROR(INDEX(MAP!$B$7:$B$156,MATCH(TRIM(O942),MAP!$A$7:$A$156,0)),"UNMAPPED"))</f>
        <v>Pharmacist</v>
      </c>
      <c r="Q942" s="48" t="n">
        <f aca="false">STACK!I942</f>
        <v>11.25</v>
      </c>
      <c r="R942" s="60" t="n">
        <f aca="false">IF(G942&gt;0,IF(INDEX(CONFIRM!$F$5:$F$53,G942)&lt;&gt;"",INDEX(CONFIRM!$F$5:$F$53,G942),IF(ISNUMBER(Q942),Q942,IF(Q942="","",IFERROR(VALUE(TRIM(SUBSTITUTE(SUBSTITUTE(LOWER(Q942),"hrs",""),"hr",""))),"")))),IF(ISNUMBER(Q942),Q942,IF(Q942="","",IFERROR(VALUE(TRIM(SUBSTITUTE(SUBSTITUTE(LOWER(Q942),"hrs",""),"hr",""))),""))))</f>
        <v>11.25</v>
      </c>
      <c r="S942" s="57" t="n">
        <f aca="false">IFERROR(INDEX(RATES!$E$6:$E$28,MATCH(P942,RATES!$A$6:$A$28,0)),0)</f>
        <v>84.81</v>
      </c>
      <c r="T942" s="61" t="n">
        <f aca="false">IF(ISNUMBER(R942),R942,0)*S942</f>
        <v>954.1125</v>
      </c>
      <c r="U942" s="61" t="n">
        <f aca="false">T942*INDEX(INPUTS!$H$10:$H$14,MATCH(B942,INPUTS!$A$10:$A$14,0))</f>
        <v>150.749775</v>
      </c>
      <c r="V942" s="61" t="n">
        <f aca="false">N(STACK!K942)</f>
        <v>0</v>
      </c>
      <c r="W942" s="61" t="n">
        <f aca="false">T942+U942+V942</f>
        <v>1104.862275</v>
      </c>
      <c r="X942" s="61" t="n">
        <f aca="false">N(STACK!L942)</f>
        <v>0</v>
      </c>
      <c r="Y942" s="61" t="n">
        <f aca="false">W942-X942</f>
        <v>1104.862275</v>
      </c>
      <c r="Z942" s="1" t="n">
        <f aca="false">N(STACK!J942)</f>
        <v>0</v>
      </c>
      <c r="AA942" s="1" t="str">
        <f aca="false">TRIM(IF(D942="UNMAPPED","Program not mapped. ","")&amp;IF(OR(K942="UNMAPPED",K942="UNASSIGNED"),"Category needs review. ","")&amp;IF(P942="UNMAPPED","Title not mapped. ","")&amp;IF(AND(P942&lt;&gt;"No staff time",R942=""),"Missing hours. ","")&amp;IF(M942="","Date not readable. ","")&amp;IF(N942="No","Outside fiscal year. ","")&amp;IF(AND(F942="Event",ISNUMBER(R942)),IF(R942&gt;12,"Event hours look high. ",""),"")&amp;IF(G942&gt;0,"See CONFIRM sheet.",""))</f>
        <v/>
      </c>
      <c r="AB942" s="1" t="n">
        <f aca="false">IF(N942="No",0,IF(REVIEW!O942=0,0,IF(G942&gt;0,IF(INDEX(CONFIRM!$J$5:$J$53,G942)&lt;&gt;"",INDEX(CONFIRM!$J$5:$J$53,G942),1),1)))</f>
        <v>1</v>
      </c>
      <c r="AC942" s="1" t="n">
        <f aca="false">IF(AB942=1,IF(COUNTIFS($B$5:B942,B942,$D$5:D942,D942,$AB$5:AB942,1)=1,1,0),0)</f>
        <v>0</v>
      </c>
    </row>
    <row r="943" customFormat="false" ht="15" hidden="false" customHeight="false" outlineLevel="0" collapsed="false">
      <c r="A943" s="48" t="str">
        <f aca="false">STACK!A943</f>
        <v>CBH-0115</v>
      </c>
      <c r="B943" s="48" t="str">
        <f aca="false">STACK!B943</f>
        <v>CBH</v>
      </c>
      <c r="C943" s="48" t="str">
        <f aca="false">STACK!E943</f>
        <v>Free Clinic Staffing</v>
      </c>
      <c r="D943" s="1" t="str">
        <f aca="false">IFERROR(INDEX(MAP!$J$7:$J$101,MATCH(TRIM(C943),MAP!$I$7:$I$101,0)),"UNMAPPED")</f>
        <v>Free Clinic Provider Staffing</v>
      </c>
      <c r="E943" s="1" t="str">
        <f aca="false">IFERROR(INDEX(MAP!$K$7:$K$101,MATCH(TRIM(C943),MAP!$I$7:$I$101,0)),"")</f>
        <v>Access to care</v>
      </c>
      <c r="F943" s="1" t="str">
        <f aca="false">IFERROR(INDEX(MAP!$L$7:$L$101,MATCH(TRIM(C943),MAP!$I$7:$I$101,0)),"")</f>
        <v>Monthly</v>
      </c>
      <c r="G943" s="1" t="n">
        <f aca="false">IFERROR(MATCH(A943,CONFIRM!$A$5:$A$53,0),0)</f>
        <v>0</v>
      </c>
      <c r="H943" s="48" t="str">
        <f aca="false">STACK!F943</f>
        <v>Screenings</v>
      </c>
      <c r="I943" s="1" t="str">
        <f aca="false">IF(G943&gt;0,IF(INDEX(CONFIRM!$I$5:$I$53,G943)&lt;&gt;"",INDEX(CONFIRM!$I$5:$I$53,G943),H943),H943)</f>
        <v>Screenings</v>
      </c>
      <c r="J943" s="1" t="str">
        <f aca="false">IFERROR(INDEX(MAP!$F$7:$F$74,MATCH(TRIM(I943),MAP!$E$7:$E$74,0)),"UNMAPPED")</f>
        <v>Community-based clinical services</v>
      </c>
      <c r="K943" s="1" t="str">
        <f aca="false">IFERROR(INDEX(MAP!$G$7:$G$74,MATCH(TRIM(I943),MAP!$E$7:$E$74,0)),"UNMAPPED")</f>
        <v>7e</v>
      </c>
      <c r="L943" s="49" t="str">
        <f aca="false">STACK!G943</f>
        <v>2025-11-30</v>
      </c>
      <c r="M943" s="59" t="n">
        <f aca="false">IF(G943&gt;0,IF(INDEX(CONFIRM!$G$5:$G$53,G943)&lt;&gt;"",INDEX(CONFIRM!$G$5:$G$53,G943),IF(ISNUMBER(L943),L943,IFERROR(DATEVALUE(L943),""))),IF(ISNUMBER(L943),L943,IFERROR(DATEVALUE(L943),"")))</f>
        <v>45991</v>
      </c>
      <c r="N943" s="1" t="str">
        <f aca="false">IF(M943="","Check",IF(AND(M943&gt;=INPUTS!$C$6,M943&lt;=INPUTS!$C$7),"Yes","No"))</f>
        <v>Yes</v>
      </c>
      <c r="O943" s="48" t="str">
        <f aca="false">STACK!H943</f>
        <v>Staff RN</v>
      </c>
      <c r="P943" s="1" t="str">
        <f aca="false">IF(G943&gt;0,IF(INDEX(CONFIRM!$H$5:$H$53,G943)&lt;&gt;"",INDEX(CONFIRM!$H$5:$H$53,G943),IFERROR(INDEX(MAP!$B$7:$B$156,MATCH(TRIM(O943),MAP!$A$7:$A$156,0)),"UNMAPPED")),IFERROR(INDEX(MAP!$B$7:$B$156,MATCH(TRIM(O943),MAP!$A$7:$A$156,0)),"UNMAPPED"))</f>
        <v>Registered Nurse</v>
      </c>
      <c r="Q943" s="48" t="n">
        <f aca="false">STACK!I943</f>
        <v>31</v>
      </c>
      <c r="R943" s="60" t="n">
        <f aca="false">IF(G943&gt;0,IF(INDEX(CONFIRM!$F$5:$F$53,G943)&lt;&gt;"",INDEX(CONFIRM!$F$5:$F$53,G943),IF(ISNUMBER(Q943),Q943,IF(Q943="","",IFERROR(VALUE(TRIM(SUBSTITUTE(SUBSTITUTE(LOWER(Q943),"hrs",""),"hr",""))),"")))),IF(ISNUMBER(Q943),Q943,IF(Q943="","",IFERROR(VALUE(TRIM(SUBSTITUTE(SUBSTITUTE(LOWER(Q943),"hrs",""),"hr",""))),""))))</f>
        <v>31</v>
      </c>
      <c r="S943" s="57" t="n">
        <f aca="false">IFERROR(INDEX(RATES!$E$6:$E$28,MATCH(P943,RATES!$A$6:$A$28,0)),0)</f>
        <v>55.8975</v>
      </c>
      <c r="T943" s="61" t="n">
        <f aca="false">IF(ISNUMBER(R943),R943,0)*S943</f>
        <v>1732.8225</v>
      </c>
      <c r="U943" s="61" t="n">
        <f aca="false">T943*INDEX(INPUTS!$H$10:$H$14,MATCH(B943,INPUTS!$A$10:$A$14,0))</f>
        <v>273.785955</v>
      </c>
      <c r="V943" s="61" t="n">
        <f aca="false">N(STACK!K943)</f>
        <v>0</v>
      </c>
      <c r="W943" s="61" t="n">
        <f aca="false">T943+U943+V943</f>
        <v>2006.608455</v>
      </c>
      <c r="X943" s="61" t="n">
        <f aca="false">N(STACK!L943)</f>
        <v>0</v>
      </c>
      <c r="Y943" s="61" t="n">
        <f aca="false">W943-X943</f>
        <v>2006.608455</v>
      </c>
      <c r="Z943" s="1" t="n">
        <f aca="false">N(STACK!J943)</f>
        <v>0</v>
      </c>
      <c r="AA943" s="1" t="str">
        <f aca="false">TRIM(IF(D943="UNMAPPED","Program not mapped. ","")&amp;IF(OR(K943="UNMAPPED",K943="UNASSIGNED"),"Category needs review. ","")&amp;IF(P943="UNMAPPED","Title not mapped. ","")&amp;IF(AND(P943&lt;&gt;"No staff time",R943=""),"Missing hours. ","")&amp;IF(M943="","Date not readable. ","")&amp;IF(N943="No","Outside fiscal year. ","")&amp;IF(AND(F943="Event",ISNUMBER(R943)),IF(R943&gt;12,"Event hours look high. ",""),"")&amp;IF(G943&gt;0,"See CONFIRM sheet.",""))</f>
        <v/>
      </c>
      <c r="AB943" s="1" t="n">
        <f aca="false">IF(N943="No",0,IF(REVIEW!O943=0,0,IF(G943&gt;0,IF(INDEX(CONFIRM!$J$5:$J$53,G943)&lt;&gt;"",INDEX(CONFIRM!$J$5:$J$53,G943),1),1)))</f>
        <v>1</v>
      </c>
      <c r="AC943" s="1" t="n">
        <f aca="false">IF(AB943=1,IF(COUNTIFS($B$5:B943,B943,$D$5:D943,D943,$AB$5:AB943,1)=1,1,0),0)</f>
        <v>0</v>
      </c>
    </row>
    <row r="944" customFormat="false" ht="15" hidden="false" customHeight="false" outlineLevel="0" collapsed="false">
      <c r="A944" s="48" t="str">
        <f aca="false">STACK!A944</f>
        <v>CBH-0116</v>
      </c>
      <c r="B944" s="48" t="str">
        <f aca="false">STACK!B944</f>
        <v>CBH</v>
      </c>
      <c r="C944" s="48" t="str">
        <f aca="false">STACK!E944</f>
        <v>Med Assistance</v>
      </c>
      <c r="D944" s="1" t="str">
        <f aca="false">IFERROR(INDEX(MAP!$J$7:$J$101,MATCH(TRIM(C944),MAP!$I$7:$I$101,0)),"UNMAPPED")</f>
        <v>Medication Assistance Program</v>
      </c>
      <c r="E944" s="1" t="str">
        <f aca="false">IFERROR(INDEX(MAP!$K$7:$K$101,MATCH(TRIM(C944),MAP!$I$7:$I$101,0)),"")</f>
        <v>Access to care</v>
      </c>
      <c r="F944" s="1" t="str">
        <f aca="false">IFERROR(INDEX(MAP!$L$7:$L$101,MATCH(TRIM(C944),MAP!$I$7:$I$101,0)),"")</f>
        <v>Monthly</v>
      </c>
      <c r="G944" s="1" t="n">
        <f aca="false">IFERROR(MATCH(A944,CONFIRM!$A$5:$A$53,0),0)</f>
        <v>0</v>
      </c>
      <c r="H944" s="48" t="str">
        <f aca="false">STACK!F944</f>
        <v>Patient Support</v>
      </c>
      <c r="I944" s="1" t="str">
        <f aca="false">IF(G944&gt;0,IF(INDEX(CONFIRM!$I$5:$I$53,G944)&lt;&gt;"",INDEX(CONFIRM!$I$5:$I$53,G944),H944),H944)</f>
        <v>Patient Support</v>
      </c>
      <c r="J944" s="1" t="str">
        <f aca="false">IFERROR(INDEX(MAP!$F$7:$F$74,MATCH(TRIM(I944),MAP!$E$7:$E$74,0)),"UNMAPPED")</f>
        <v>Health care support services</v>
      </c>
      <c r="K944" s="1" t="str">
        <f aca="false">IFERROR(INDEX(MAP!$G$7:$G$74,MATCH(TRIM(I944),MAP!$E$7:$E$74,0)),"UNMAPPED")</f>
        <v>7e</v>
      </c>
      <c r="L944" s="49" t="str">
        <f aca="false">STACK!G944</f>
        <v>2025-11-30</v>
      </c>
      <c r="M944" s="59" t="n">
        <f aca="false">IF(G944&gt;0,IF(INDEX(CONFIRM!$G$5:$G$53,G944)&lt;&gt;"",INDEX(CONFIRM!$G$5:$G$53,G944),IF(ISNUMBER(L944),L944,IFERROR(DATEVALUE(L944),""))),IF(ISNUMBER(L944),L944,IFERROR(DATEVALUE(L944),"")))</f>
        <v>45991</v>
      </c>
      <c r="N944" s="1" t="str">
        <f aca="false">IF(M944="","Check",IF(AND(M944&gt;=INPUTS!$C$6,M944&lt;=INPUTS!$C$7),"Yes","No"))</f>
        <v>Yes</v>
      </c>
      <c r="O944" s="48" t="str">
        <f aca="false">STACK!H944</f>
        <v>Care Navigator</v>
      </c>
      <c r="P944" s="1" t="str">
        <f aca="false">IF(G944&gt;0,IF(INDEX(CONFIRM!$H$5:$H$53,G944)&lt;&gt;"",INDEX(CONFIRM!$H$5:$H$53,G944),IFERROR(INDEX(MAP!$B$7:$B$156,MATCH(TRIM(O944),MAP!$A$7:$A$156,0)),"UNMAPPED")),IFERROR(INDEX(MAP!$B$7:$B$156,MATCH(TRIM(O944),MAP!$A$7:$A$156,0)),"UNMAPPED"))</f>
        <v>Patient Navigator</v>
      </c>
      <c r="Q944" s="48" t="n">
        <f aca="false">STACK!I944</f>
        <v>73.5</v>
      </c>
      <c r="R944" s="60" t="n">
        <f aca="false">IF(G944&gt;0,IF(INDEX(CONFIRM!$F$5:$F$53,G944)&lt;&gt;"",INDEX(CONFIRM!$F$5:$F$53,G944),IF(ISNUMBER(Q944),Q944,IF(Q944="","",IFERROR(VALUE(TRIM(SUBSTITUTE(SUBSTITUTE(LOWER(Q944),"hrs",""),"hr",""))),"")))),IF(ISNUMBER(Q944),Q944,IF(Q944="","",IFERROR(VALUE(TRIM(SUBSTITUTE(SUBSTITUTE(LOWER(Q944),"hrs",""),"hr",""))),""))))</f>
        <v>73.5</v>
      </c>
      <c r="S944" s="57" t="n">
        <f aca="false">IFERROR(INDEX(RATES!$E$6:$E$28,MATCH(P944,RATES!$A$6:$A$28,0)),0)</f>
        <v>30.84</v>
      </c>
      <c r="T944" s="61" t="n">
        <f aca="false">IF(ISNUMBER(R944),R944,0)*S944</f>
        <v>2266.74</v>
      </c>
      <c r="U944" s="61" t="n">
        <f aca="false">T944*INDEX(INPUTS!$H$10:$H$14,MATCH(B944,INPUTS!$A$10:$A$14,0))</f>
        <v>358.14492</v>
      </c>
      <c r="V944" s="61" t="n">
        <f aca="false">N(STACK!K944)</f>
        <v>0</v>
      </c>
      <c r="W944" s="61" t="n">
        <f aca="false">T944+U944+V944</f>
        <v>2624.88492</v>
      </c>
      <c r="X944" s="61" t="n">
        <f aca="false">N(STACK!L944)</f>
        <v>0</v>
      </c>
      <c r="Y944" s="61" t="n">
        <f aca="false">W944-X944</f>
        <v>2624.88492</v>
      </c>
      <c r="Z944" s="1" t="n">
        <f aca="false">N(STACK!J944)</f>
        <v>0</v>
      </c>
      <c r="AA944" s="1" t="str">
        <f aca="false">TRIM(IF(D944="UNMAPPED","Program not mapped. ","")&amp;IF(OR(K944="UNMAPPED",K944="UNASSIGNED"),"Category needs review. ","")&amp;IF(P944="UNMAPPED","Title not mapped. ","")&amp;IF(AND(P944&lt;&gt;"No staff time",R944=""),"Missing hours. ","")&amp;IF(M944="","Date not readable. ","")&amp;IF(N944="No","Outside fiscal year. ","")&amp;IF(AND(F944="Event",ISNUMBER(R944)),IF(R944&gt;12,"Event hours look high. ",""),"")&amp;IF(G944&gt;0,"See CONFIRM sheet.",""))</f>
        <v/>
      </c>
      <c r="AB944" s="1" t="n">
        <f aca="false">IF(N944="No",0,IF(REVIEW!O944=0,0,IF(G944&gt;0,IF(INDEX(CONFIRM!$J$5:$J$53,G944)&lt;&gt;"",INDEX(CONFIRM!$J$5:$J$53,G944),1),1)))</f>
        <v>1</v>
      </c>
      <c r="AC944" s="1" t="n">
        <f aca="false">IF(AB944=1,IF(COUNTIFS($B$5:B944,B944,$D$5:D944,D944,$AB$5:AB944,1)=1,1,0),0)</f>
        <v>0</v>
      </c>
    </row>
    <row r="945" customFormat="false" ht="15" hidden="false" customHeight="false" outlineLevel="0" collapsed="false">
      <c r="A945" s="48" t="str">
        <f aca="false">STACK!A945</f>
        <v>CBH-0117</v>
      </c>
      <c r="B945" s="48" t="str">
        <f aca="false">STACK!B945</f>
        <v>CBH</v>
      </c>
      <c r="C945" s="48" t="str">
        <f aca="false">STACK!E945</f>
        <v>Med Assistance</v>
      </c>
      <c r="D945" s="1" t="str">
        <f aca="false">IFERROR(INDEX(MAP!$J$7:$J$101,MATCH(TRIM(C945),MAP!$I$7:$I$101,0)),"UNMAPPED")</f>
        <v>Medication Assistance Program</v>
      </c>
      <c r="E945" s="1" t="str">
        <f aca="false">IFERROR(INDEX(MAP!$K$7:$K$101,MATCH(TRIM(C945),MAP!$I$7:$I$101,0)),"")</f>
        <v>Access to care</v>
      </c>
      <c r="F945" s="1" t="str">
        <f aca="false">IFERROR(INDEX(MAP!$L$7:$L$101,MATCH(TRIM(C945),MAP!$I$7:$I$101,0)),"")</f>
        <v>Monthly</v>
      </c>
      <c r="G945" s="1" t="n">
        <f aca="false">IFERROR(MATCH(A945,CONFIRM!$A$5:$A$53,0),0)</f>
        <v>0</v>
      </c>
      <c r="H945" s="48" t="str">
        <f aca="false">STACK!F945</f>
        <v>Patient Support</v>
      </c>
      <c r="I945" s="1" t="str">
        <f aca="false">IF(G945&gt;0,IF(INDEX(CONFIRM!$I$5:$I$53,G945)&lt;&gt;"",INDEX(CONFIRM!$I$5:$I$53,G945),H945),H945)</f>
        <v>Patient Support</v>
      </c>
      <c r="J945" s="1" t="str">
        <f aca="false">IFERROR(INDEX(MAP!$F$7:$F$74,MATCH(TRIM(I945),MAP!$E$7:$E$74,0)),"UNMAPPED")</f>
        <v>Health care support services</v>
      </c>
      <c r="K945" s="1" t="str">
        <f aca="false">IFERROR(INDEX(MAP!$G$7:$G$74,MATCH(TRIM(I945),MAP!$E$7:$E$74,0)),"UNMAPPED")</f>
        <v>7e</v>
      </c>
      <c r="L945" s="49" t="str">
        <f aca="false">STACK!G945</f>
        <v>2025-11-30</v>
      </c>
      <c r="M945" s="59" t="n">
        <f aca="false">IF(G945&gt;0,IF(INDEX(CONFIRM!$G$5:$G$53,G945)&lt;&gt;"",INDEX(CONFIRM!$G$5:$G$53,G945),IF(ISNUMBER(L945),L945,IFERROR(DATEVALUE(L945),""))),IF(ISNUMBER(L945),L945,IFERROR(DATEVALUE(L945),"")))</f>
        <v>45991</v>
      </c>
      <c r="N945" s="1" t="str">
        <f aca="false">IF(M945="","Check",IF(AND(M945&gt;=INPUTS!$C$6,M945&lt;=INPUTS!$C$7),"Yes","No"))</f>
        <v>Yes</v>
      </c>
      <c r="O945" s="48" t="str">
        <f aca="false">STACK!H945</f>
        <v>RPh</v>
      </c>
      <c r="P945" s="1" t="str">
        <f aca="false">IF(G945&gt;0,IF(INDEX(CONFIRM!$H$5:$H$53,G945)&lt;&gt;"",INDEX(CONFIRM!$H$5:$H$53,G945),IFERROR(INDEX(MAP!$B$7:$B$156,MATCH(TRIM(O945),MAP!$A$7:$A$156,0)),"UNMAPPED")),IFERROR(INDEX(MAP!$B$7:$B$156,MATCH(TRIM(O945),MAP!$A$7:$A$156,0)),"UNMAPPED"))</f>
        <v>Pharmacist</v>
      </c>
      <c r="Q945" s="48" t="n">
        <f aca="false">STACK!I945</f>
        <v>22</v>
      </c>
      <c r="R945" s="60" t="n">
        <f aca="false">IF(G945&gt;0,IF(INDEX(CONFIRM!$F$5:$F$53,G945)&lt;&gt;"",INDEX(CONFIRM!$F$5:$F$53,G945),IF(ISNUMBER(Q945),Q945,IF(Q945="","",IFERROR(VALUE(TRIM(SUBSTITUTE(SUBSTITUTE(LOWER(Q945),"hrs",""),"hr",""))),"")))),IF(ISNUMBER(Q945),Q945,IF(Q945="","",IFERROR(VALUE(TRIM(SUBSTITUTE(SUBSTITUTE(LOWER(Q945),"hrs",""),"hr",""))),""))))</f>
        <v>22</v>
      </c>
      <c r="S945" s="57" t="n">
        <f aca="false">IFERROR(INDEX(RATES!$E$6:$E$28,MATCH(P945,RATES!$A$6:$A$28,0)),0)</f>
        <v>84.81</v>
      </c>
      <c r="T945" s="61" t="n">
        <f aca="false">IF(ISNUMBER(R945),R945,0)*S945</f>
        <v>1865.82</v>
      </c>
      <c r="U945" s="61" t="n">
        <f aca="false">T945*INDEX(INPUTS!$H$10:$H$14,MATCH(B945,INPUTS!$A$10:$A$14,0))</f>
        <v>294.79956</v>
      </c>
      <c r="V945" s="61" t="n">
        <f aca="false">N(STACK!K945)</f>
        <v>21295</v>
      </c>
      <c r="W945" s="61" t="n">
        <f aca="false">T945+U945+V945</f>
        <v>23455.61956</v>
      </c>
      <c r="X945" s="61" t="n">
        <f aca="false">N(STACK!L945)</f>
        <v>0</v>
      </c>
      <c r="Y945" s="61" t="n">
        <f aca="false">W945-X945</f>
        <v>23455.61956</v>
      </c>
      <c r="Z945" s="1" t="n">
        <f aca="false">N(STACK!J945)</f>
        <v>98</v>
      </c>
      <c r="AA945" s="1" t="str">
        <f aca="false">TRIM(IF(D945="UNMAPPED","Program not mapped. ","")&amp;IF(OR(K945="UNMAPPED",K945="UNASSIGNED"),"Category needs review. ","")&amp;IF(P945="UNMAPPED","Title not mapped. ","")&amp;IF(AND(P945&lt;&gt;"No staff time",R945=""),"Missing hours. ","")&amp;IF(M945="","Date not readable. ","")&amp;IF(N945="No","Outside fiscal year. ","")&amp;IF(AND(F945="Event",ISNUMBER(R945)),IF(R945&gt;12,"Event hours look high. ",""),"")&amp;IF(G945&gt;0,"See CONFIRM sheet.",""))</f>
        <v/>
      </c>
      <c r="AB945" s="1" t="n">
        <f aca="false">IF(N945="No",0,IF(REVIEW!O945=0,0,IF(G945&gt;0,IF(INDEX(CONFIRM!$J$5:$J$53,G945)&lt;&gt;"",INDEX(CONFIRM!$J$5:$J$53,G945),1),1)))</f>
        <v>1</v>
      </c>
      <c r="AC945" s="1" t="n">
        <f aca="false">IF(AB945=1,IF(COUNTIFS($B$5:B945,B945,$D$5:D945,D945,$AB$5:AB945,1)=1,1,0),0)</f>
        <v>0</v>
      </c>
    </row>
    <row r="946" customFormat="false" ht="15" hidden="false" customHeight="false" outlineLevel="0" collapsed="false">
      <c r="A946" s="48" t="str">
        <f aca="false">STACK!A946</f>
        <v>CBH-0118</v>
      </c>
      <c r="B946" s="48" t="str">
        <f aca="false">STACK!B946</f>
        <v>CBH</v>
      </c>
      <c r="C946" s="48" t="str">
        <f aca="false">STACK!E946</f>
        <v>Community Benefit Admin</v>
      </c>
      <c r="D946" s="1" t="str">
        <f aca="false">IFERROR(INDEX(MAP!$J$7:$J$101,MATCH(TRIM(C946),MAP!$I$7:$I$101,0)),"UNMAPPED")</f>
        <v>Community Benefit Program Administration</v>
      </c>
      <c r="E946" s="1" t="str">
        <f aca="false">IFERROR(INDEX(MAP!$K$7:$K$101,MATCH(TRIM(C946),MAP!$I$7:$I$101,0)),"")</f>
        <v>Community benefit infrastructure</v>
      </c>
      <c r="F946" s="1" t="str">
        <f aca="false">IFERROR(INDEX(MAP!$L$7:$L$101,MATCH(TRIM(C946),MAP!$I$7:$I$101,0)),"")</f>
        <v>Monthly</v>
      </c>
      <c r="G946" s="1" t="n">
        <f aca="false">IFERROR(MATCH(A946,CONFIRM!$A$5:$A$53,0),0)</f>
        <v>0</v>
      </c>
      <c r="H946" s="48" t="str">
        <f aca="false">STACK!F946</f>
        <v>Ops</v>
      </c>
      <c r="I946" s="1" t="str">
        <f aca="false">IF(G946&gt;0,IF(INDEX(CONFIRM!$I$5:$I$53,G946)&lt;&gt;"",INDEX(CONFIRM!$I$5:$I$53,G946),H946),H946)</f>
        <v>Ops</v>
      </c>
      <c r="J946" s="1" t="str">
        <f aca="false">IFERROR(INDEX(MAP!$F$7:$F$74,MATCH(TRIM(I946),MAP!$E$7:$E$74,0)),"UNMAPPED")</f>
        <v>Community benefit operations</v>
      </c>
      <c r="K946" s="1" t="str">
        <f aca="false">IFERROR(INDEX(MAP!$G$7:$G$74,MATCH(TRIM(I946),MAP!$E$7:$E$74,0)),"UNMAPPED")</f>
        <v>7e</v>
      </c>
      <c r="L946" s="49" t="str">
        <f aca="false">STACK!G946</f>
        <v>2025-11-30</v>
      </c>
      <c r="M946" s="59" t="n">
        <f aca="false">IF(G946&gt;0,IF(INDEX(CONFIRM!$G$5:$G$53,G946)&lt;&gt;"",INDEX(CONFIRM!$G$5:$G$53,G946),IF(ISNUMBER(L946),L946,IFERROR(DATEVALUE(L946),""))),IF(ISNUMBER(L946),L946,IFERROR(DATEVALUE(L946),"")))</f>
        <v>45991</v>
      </c>
      <c r="N946" s="1" t="str">
        <f aca="false">IF(M946="","Check",IF(AND(M946&gt;=INPUTS!$C$6,M946&lt;=INPUTS!$C$7),"Yes","No"))</f>
        <v>Yes</v>
      </c>
      <c r="O946" s="48" t="str">
        <f aca="false">STACK!H946</f>
        <v>Administrative Assistant</v>
      </c>
      <c r="P946" s="1" t="str">
        <f aca="false">IF(G946&gt;0,IF(INDEX(CONFIRM!$H$5:$H$53,G946)&lt;&gt;"",INDEX(CONFIRM!$H$5:$H$53,G946),IFERROR(INDEX(MAP!$B$7:$B$156,MATCH(TRIM(O946),MAP!$A$7:$A$156,0)),"UNMAPPED")),IFERROR(INDEX(MAP!$B$7:$B$156,MATCH(TRIM(O946),MAP!$A$7:$A$156,0)),"UNMAPPED"))</f>
        <v>Administrative Assistant</v>
      </c>
      <c r="Q946" s="48" t="n">
        <f aca="false">STACK!I946</f>
        <v>36.5</v>
      </c>
      <c r="R946" s="60" t="n">
        <f aca="false">IF(G946&gt;0,IF(INDEX(CONFIRM!$F$5:$F$53,G946)&lt;&gt;"",INDEX(CONFIRM!$F$5:$F$53,G946),IF(ISNUMBER(Q946),Q946,IF(Q946="","",IFERROR(VALUE(TRIM(SUBSTITUTE(SUBSTITUTE(LOWER(Q946),"hrs",""),"hr",""))),"")))),IF(ISNUMBER(Q946),Q946,IF(Q946="","",IFERROR(VALUE(TRIM(SUBSTITUTE(SUBSTITUTE(LOWER(Q946),"hrs",""),"hr",""))),""))))</f>
        <v>36.5</v>
      </c>
      <c r="S946" s="57" t="n">
        <f aca="false">IFERROR(INDEX(RATES!$E$6:$E$28,MATCH(P946,RATES!$A$6:$A$28,0)),0)</f>
        <v>26.985</v>
      </c>
      <c r="T946" s="61" t="n">
        <f aca="false">IF(ISNUMBER(R946),R946,0)*S946</f>
        <v>984.9525</v>
      </c>
      <c r="U946" s="61" t="n">
        <f aca="false">T946*INDEX(INPUTS!$H$10:$H$14,MATCH(B946,INPUTS!$A$10:$A$14,0))</f>
        <v>155.622495</v>
      </c>
      <c r="V946" s="61" t="n">
        <f aca="false">N(STACK!K946)</f>
        <v>0</v>
      </c>
      <c r="W946" s="61" t="n">
        <f aca="false">T946+U946+V946</f>
        <v>1140.574995</v>
      </c>
      <c r="X946" s="61" t="n">
        <f aca="false">N(STACK!L946)</f>
        <v>0</v>
      </c>
      <c r="Y946" s="61" t="n">
        <f aca="false">W946-X946</f>
        <v>1140.574995</v>
      </c>
      <c r="Z946" s="1" t="n">
        <f aca="false">N(STACK!J946)</f>
        <v>0</v>
      </c>
      <c r="AA946" s="1" t="str">
        <f aca="false">TRIM(IF(D946="UNMAPPED","Program not mapped. ","")&amp;IF(OR(K946="UNMAPPED",K946="UNASSIGNED"),"Category needs review. ","")&amp;IF(P946="UNMAPPED","Title not mapped. ","")&amp;IF(AND(P946&lt;&gt;"No staff time",R946=""),"Missing hours. ","")&amp;IF(M946="","Date not readable. ","")&amp;IF(N946="No","Outside fiscal year. ","")&amp;IF(AND(F946="Event",ISNUMBER(R946)),IF(R946&gt;12,"Event hours look high. ",""),"")&amp;IF(G946&gt;0,"See CONFIRM sheet.",""))</f>
        <v/>
      </c>
      <c r="AB946" s="1" t="n">
        <f aca="false">IF(N946="No",0,IF(REVIEW!O946=0,0,IF(G946&gt;0,IF(INDEX(CONFIRM!$J$5:$J$53,G946)&lt;&gt;"",INDEX(CONFIRM!$J$5:$J$53,G946),1),1)))</f>
        <v>1</v>
      </c>
      <c r="AC946" s="1" t="n">
        <f aca="false">IF(AB946=1,IF(COUNTIFS($B$5:B946,B946,$D$5:D946,D946,$AB$5:AB946,1)=1,1,0),0)</f>
        <v>0</v>
      </c>
    </row>
    <row r="947" customFormat="false" ht="15" hidden="false" customHeight="false" outlineLevel="0" collapsed="false">
      <c r="A947" s="48" t="str">
        <f aca="false">STACK!A947</f>
        <v>CBH-0119</v>
      </c>
      <c r="B947" s="48" t="str">
        <f aca="false">STACK!B947</f>
        <v>CBH</v>
      </c>
      <c r="C947" s="48" t="str">
        <f aca="false">STACK!E947</f>
        <v>Community Benefit Admin</v>
      </c>
      <c r="D947" s="1" t="str">
        <f aca="false">IFERROR(INDEX(MAP!$J$7:$J$101,MATCH(TRIM(C947),MAP!$I$7:$I$101,0)),"UNMAPPED")</f>
        <v>Community Benefit Program Administration</v>
      </c>
      <c r="E947" s="1" t="str">
        <f aca="false">IFERROR(INDEX(MAP!$K$7:$K$101,MATCH(TRIM(C947),MAP!$I$7:$I$101,0)),"")</f>
        <v>Community benefit infrastructure</v>
      </c>
      <c r="F947" s="1" t="str">
        <f aca="false">IFERROR(INDEX(MAP!$L$7:$L$101,MATCH(TRIM(C947),MAP!$I$7:$I$101,0)),"")</f>
        <v>Monthly</v>
      </c>
      <c r="G947" s="1" t="n">
        <f aca="false">IFERROR(MATCH(A947,CONFIRM!$A$5:$A$53,0),0)</f>
        <v>0</v>
      </c>
      <c r="H947" s="48" t="str">
        <f aca="false">STACK!F947</f>
        <v>Ops</v>
      </c>
      <c r="I947" s="1" t="str">
        <f aca="false">IF(G947&gt;0,IF(INDEX(CONFIRM!$I$5:$I$53,G947)&lt;&gt;"",INDEX(CONFIRM!$I$5:$I$53,G947),H947),H947)</f>
        <v>Ops</v>
      </c>
      <c r="J947" s="1" t="str">
        <f aca="false">IFERROR(INDEX(MAP!$F$7:$F$74,MATCH(TRIM(I947),MAP!$E$7:$E$74,0)),"UNMAPPED")</f>
        <v>Community benefit operations</v>
      </c>
      <c r="K947" s="1" t="str">
        <f aca="false">IFERROR(INDEX(MAP!$G$7:$G$74,MATCH(TRIM(I947),MAP!$E$7:$E$74,0)),"UNMAPPED")</f>
        <v>7e</v>
      </c>
      <c r="L947" s="49" t="str">
        <f aca="false">STACK!G947</f>
        <v>2025-11-30</v>
      </c>
      <c r="M947" s="59" t="n">
        <f aca="false">IF(G947&gt;0,IF(INDEX(CONFIRM!$G$5:$G$53,G947)&lt;&gt;"",INDEX(CONFIRM!$G$5:$G$53,G947),IF(ISNUMBER(L947),L947,IFERROR(DATEVALUE(L947),""))),IF(ISNUMBER(L947),L947,IFERROR(DATEVALUE(L947),"")))</f>
        <v>45991</v>
      </c>
      <c r="N947" s="1" t="str">
        <f aca="false">IF(M947="","Check",IF(AND(M947&gt;=INPUTS!$C$6,M947&lt;=INPUTS!$C$7),"Yes","No"))</f>
        <v>Yes</v>
      </c>
      <c r="O947" s="48" t="str">
        <f aca="false">STACK!H947</f>
        <v>CB Manager</v>
      </c>
      <c r="P947" s="1" t="str">
        <f aca="false">IF(G947&gt;0,IF(INDEX(CONFIRM!$H$5:$H$53,G947)&lt;&gt;"",INDEX(CONFIRM!$H$5:$H$53,G947),IFERROR(INDEX(MAP!$B$7:$B$156,MATCH(TRIM(O947),MAP!$A$7:$A$156,0)),"UNMAPPED")),IFERROR(INDEX(MAP!$B$7:$B$156,MATCH(TRIM(O947),MAP!$A$7:$A$156,0)),"UNMAPPED"))</f>
        <v>Community Benefit Manager</v>
      </c>
      <c r="Q947" s="48" t="n">
        <f aca="false">STACK!I947</f>
        <v>60.5</v>
      </c>
      <c r="R947" s="60" t="n">
        <f aca="false">IF(G947&gt;0,IF(INDEX(CONFIRM!$F$5:$F$53,G947)&lt;&gt;"",INDEX(CONFIRM!$F$5:$F$53,G947),IF(ISNUMBER(Q947),Q947,IF(Q947="","",IFERROR(VALUE(TRIM(SUBSTITUTE(SUBSTITUTE(LOWER(Q947),"hrs",""),"hr",""))),"")))),IF(ISNUMBER(Q947),Q947,IF(Q947="","",IFERROR(VALUE(TRIM(SUBSTITUTE(SUBSTITUTE(LOWER(Q947),"hrs",""),"hr",""))),""))))</f>
        <v>60.5</v>
      </c>
      <c r="S947" s="57" t="n">
        <f aca="false">IFERROR(INDEX(RATES!$E$6:$E$28,MATCH(P947,RATES!$A$6:$A$28,0)),0)</f>
        <v>59.11</v>
      </c>
      <c r="T947" s="61" t="n">
        <f aca="false">IF(ISNUMBER(R947),R947,0)*S947</f>
        <v>3576.155</v>
      </c>
      <c r="U947" s="61" t="n">
        <f aca="false">T947*INDEX(INPUTS!$H$10:$H$14,MATCH(B947,INPUTS!$A$10:$A$14,0))</f>
        <v>565.03249</v>
      </c>
      <c r="V947" s="61" t="n">
        <f aca="false">N(STACK!K947)</f>
        <v>735</v>
      </c>
      <c r="W947" s="61" t="n">
        <f aca="false">T947+U947+V947</f>
        <v>4876.18749</v>
      </c>
      <c r="X947" s="61" t="n">
        <f aca="false">N(STACK!L947)</f>
        <v>0</v>
      </c>
      <c r="Y947" s="61" t="n">
        <f aca="false">W947-X947</f>
        <v>4876.18749</v>
      </c>
      <c r="Z947" s="1" t="n">
        <f aca="false">N(STACK!J947)</f>
        <v>0</v>
      </c>
      <c r="AA947" s="1" t="str">
        <f aca="false">TRIM(IF(D947="UNMAPPED","Program not mapped. ","")&amp;IF(OR(K947="UNMAPPED",K947="UNASSIGNED"),"Category needs review. ","")&amp;IF(P947="UNMAPPED","Title not mapped. ","")&amp;IF(AND(P947&lt;&gt;"No staff time",R947=""),"Missing hours. ","")&amp;IF(M947="","Date not readable. ","")&amp;IF(N947="No","Outside fiscal year. ","")&amp;IF(AND(F947="Event",ISNUMBER(R947)),IF(R947&gt;12,"Event hours look high. ",""),"")&amp;IF(G947&gt;0,"See CONFIRM sheet.",""))</f>
        <v/>
      </c>
      <c r="AB947" s="1" t="n">
        <f aca="false">IF(N947="No",0,IF(REVIEW!O947=0,0,IF(G947&gt;0,IF(INDEX(CONFIRM!$J$5:$J$53,G947)&lt;&gt;"",INDEX(CONFIRM!$J$5:$J$53,G947),1),1)))</f>
        <v>1</v>
      </c>
      <c r="AC947" s="1" t="n">
        <f aca="false">IF(AB947=1,IF(COUNTIFS($B$5:B947,B947,$D$5:D947,D947,$AB$5:AB947,1)=1,1,0),0)</f>
        <v>0</v>
      </c>
    </row>
    <row r="948" customFormat="false" ht="15" hidden="false" customHeight="false" outlineLevel="0" collapsed="false">
      <c r="A948" s="48" t="str">
        <f aca="false">STACK!A948</f>
        <v>CBH-0120</v>
      </c>
      <c r="B948" s="48" t="str">
        <f aca="false">STACK!B948</f>
        <v>CBH</v>
      </c>
      <c r="C948" s="48" t="str">
        <f aca="false">STACK!E948</f>
        <v>Interpreter Services</v>
      </c>
      <c r="D948" s="1" t="str">
        <f aca="false">IFERROR(INDEX(MAP!$J$7:$J$101,MATCH(TRIM(C948),MAP!$I$7:$I$101,0)),"UNMAPPED")</f>
        <v>Interpreter Services for Community Clinics</v>
      </c>
      <c r="E948" s="1" t="str">
        <f aca="false">IFERROR(INDEX(MAP!$K$7:$K$101,MATCH(TRIM(C948),MAP!$I$7:$I$101,0)),"")</f>
        <v>Access to care</v>
      </c>
      <c r="F948" s="1" t="str">
        <f aca="false">IFERROR(INDEX(MAP!$L$7:$L$101,MATCH(TRIM(C948),MAP!$I$7:$I$101,0)),"")</f>
        <v>Monthly</v>
      </c>
      <c r="G948" s="1" t="n">
        <f aca="false">IFERROR(MATCH(A948,CONFIRM!$A$5:$A$53,0),0)</f>
        <v>0</v>
      </c>
      <c r="H948" s="48" t="str">
        <f aca="false">STACK!F948</f>
        <v>Patient Support</v>
      </c>
      <c r="I948" s="1" t="str">
        <f aca="false">IF(G948&gt;0,IF(INDEX(CONFIRM!$I$5:$I$53,G948)&lt;&gt;"",INDEX(CONFIRM!$I$5:$I$53,G948),H948),H948)</f>
        <v>Patient Support</v>
      </c>
      <c r="J948" s="1" t="str">
        <f aca="false">IFERROR(INDEX(MAP!$F$7:$F$74,MATCH(TRIM(I948),MAP!$E$7:$E$74,0)),"UNMAPPED")</f>
        <v>Health care support services</v>
      </c>
      <c r="K948" s="1" t="str">
        <f aca="false">IFERROR(INDEX(MAP!$G$7:$G$74,MATCH(TRIM(I948),MAP!$E$7:$E$74,0)),"UNMAPPED")</f>
        <v>7e</v>
      </c>
      <c r="L948" s="49" t="str">
        <f aca="false">STACK!G948</f>
        <v>2025-11-30</v>
      </c>
      <c r="M948" s="59" t="n">
        <f aca="false">IF(G948&gt;0,IF(INDEX(CONFIRM!$G$5:$G$53,G948)&lt;&gt;"",INDEX(CONFIRM!$G$5:$G$53,G948),IF(ISNUMBER(L948),L948,IFERROR(DATEVALUE(L948),""))),IF(ISNUMBER(L948),L948,IFERROR(DATEVALUE(L948),"")))</f>
        <v>45991</v>
      </c>
      <c r="N948" s="1" t="str">
        <f aca="false">IF(M948="","Check",IF(AND(M948&gt;=INPUTS!$C$6,M948&lt;=INPUTS!$C$7),"Yes","No"))</f>
        <v>Yes</v>
      </c>
      <c r="O948" s="48" t="str">
        <f aca="false">STACK!H948</f>
        <v>Spanish Interpreter </v>
      </c>
      <c r="P948" s="1" t="str">
        <f aca="false">IF(G948&gt;0,IF(INDEX(CONFIRM!$H$5:$H$53,G948)&lt;&gt;"",INDEX(CONFIRM!$H$5:$H$53,G948),IFERROR(INDEX(MAP!$B$7:$B$156,MATCH(TRIM(O948),MAP!$A$7:$A$156,0)),"UNMAPPED")),IFERROR(INDEX(MAP!$B$7:$B$156,MATCH(TRIM(O948),MAP!$A$7:$A$156,0)),"UNMAPPED"))</f>
        <v>Interpreter</v>
      </c>
      <c r="Q948" s="48" t="n">
        <f aca="false">STACK!I948</f>
        <v>48.75</v>
      </c>
      <c r="R948" s="60" t="n">
        <f aca="false">IF(G948&gt;0,IF(INDEX(CONFIRM!$F$5:$F$53,G948)&lt;&gt;"",INDEX(CONFIRM!$F$5:$F$53,G948),IF(ISNUMBER(Q948),Q948,IF(Q948="","",IFERROR(VALUE(TRIM(SUBSTITUTE(SUBSTITUTE(LOWER(Q948),"hrs",""),"hr",""))),"")))),IF(ISNUMBER(Q948),Q948,IF(Q948="","",IFERROR(VALUE(TRIM(SUBSTITUTE(SUBSTITUTE(LOWER(Q948),"hrs",""),"hr",""))),""))))</f>
        <v>48.75</v>
      </c>
      <c r="S948" s="57" t="n">
        <f aca="false">IFERROR(INDEX(RATES!$E$6:$E$28,MATCH(P948,RATES!$A$6:$A$28,0)),0)</f>
        <v>32.7675</v>
      </c>
      <c r="T948" s="61" t="n">
        <f aca="false">IF(ISNUMBER(R948),R948,0)*S948</f>
        <v>1597.415625</v>
      </c>
      <c r="U948" s="61" t="n">
        <f aca="false">T948*INDEX(INPUTS!$H$10:$H$14,MATCH(B948,INPUTS!$A$10:$A$14,0))</f>
        <v>252.39166875</v>
      </c>
      <c r="V948" s="61" t="n">
        <f aca="false">N(STACK!K948)</f>
        <v>0</v>
      </c>
      <c r="W948" s="61" t="n">
        <f aca="false">T948+U948+V948</f>
        <v>1849.80729375</v>
      </c>
      <c r="X948" s="61" t="n">
        <f aca="false">N(STACK!L948)</f>
        <v>0</v>
      </c>
      <c r="Y948" s="61" t="n">
        <f aca="false">W948-X948</f>
        <v>1849.80729375</v>
      </c>
      <c r="Z948" s="1" t="n">
        <f aca="false">N(STACK!J948)</f>
        <v>127</v>
      </c>
      <c r="AA948" s="1" t="str">
        <f aca="false">TRIM(IF(D948="UNMAPPED","Program not mapped. ","")&amp;IF(OR(K948="UNMAPPED",K948="UNASSIGNED"),"Category needs review. ","")&amp;IF(P948="UNMAPPED","Title not mapped. ","")&amp;IF(AND(P948&lt;&gt;"No staff time",R948=""),"Missing hours. ","")&amp;IF(M948="","Date not readable. ","")&amp;IF(N948="No","Outside fiscal year. ","")&amp;IF(AND(F948="Event",ISNUMBER(R948)),IF(R948&gt;12,"Event hours look high. ",""),"")&amp;IF(G948&gt;0,"See CONFIRM sheet.",""))</f>
        <v/>
      </c>
      <c r="AB948" s="1" t="n">
        <f aca="false">IF(N948="No",0,IF(REVIEW!O948=0,0,IF(G948&gt;0,IF(INDEX(CONFIRM!$J$5:$J$53,G948)&lt;&gt;"",INDEX(CONFIRM!$J$5:$J$53,G948),1),1)))</f>
        <v>1</v>
      </c>
      <c r="AC948" s="1" t="n">
        <f aca="false">IF(AB948=1,IF(COUNTIFS($B$5:B948,B948,$D$5:D948,D948,$AB$5:AB948,1)=1,1,0),0)</f>
        <v>0</v>
      </c>
    </row>
    <row r="949" customFormat="false" ht="15" hidden="false" customHeight="false" outlineLevel="0" collapsed="false">
      <c r="A949" s="48" t="str">
        <f aca="false">STACK!A949</f>
        <v>CBH-0121</v>
      </c>
      <c r="B949" s="48" t="str">
        <f aca="false">STACK!B949</f>
        <v>CBH</v>
      </c>
      <c r="C949" s="48" t="str">
        <f aca="false">STACK!E949</f>
        <v>Nursing Student Rotations</v>
      </c>
      <c r="D949" s="1" t="str">
        <f aca="false">IFERROR(INDEX(MAP!$J$7:$J$101,MATCH(TRIM(C949),MAP!$I$7:$I$101,0)),"UNMAPPED")</f>
        <v>Nursing Student Clinical Rotations</v>
      </c>
      <c r="E949" s="1" t="str">
        <f aca="false">IFERROR(INDEX(MAP!$K$7:$K$101,MATCH(TRIM(C949),MAP!$I$7:$I$101,0)),"")</f>
        <v>Health workforce</v>
      </c>
      <c r="F949" s="1" t="str">
        <f aca="false">IFERROR(INDEX(MAP!$L$7:$L$101,MATCH(TRIM(C949),MAP!$I$7:$I$101,0)),"")</f>
        <v>Monthly</v>
      </c>
      <c r="G949" s="1" t="n">
        <f aca="false">IFERROR(MATCH(A949,CONFIRM!$A$5:$A$53,0),0)</f>
        <v>0</v>
      </c>
      <c r="H949" s="48" t="str">
        <f aca="false">STACK!F949</f>
        <v>Education - Health Professions</v>
      </c>
      <c r="I949" s="1" t="str">
        <f aca="false">IF(G949&gt;0,IF(INDEX(CONFIRM!$I$5:$I$53,G949)&lt;&gt;"",INDEX(CONFIRM!$I$5:$I$53,G949),H949),H949)</f>
        <v>Education - Health Professions</v>
      </c>
      <c r="J949" s="1" t="str">
        <f aca="false">IFERROR(INDEX(MAP!$F$7:$F$74,MATCH(TRIM(I949),MAP!$E$7:$E$74,0)),"UNMAPPED")</f>
        <v>Health professions education</v>
      </c>
      <c r="K949" s="1" t="str">
        <f aca="false">IFERROR(INDEX(MAP!$G$7:$G$74,MATCH(TRIM(I949),MAP!$E$7:$E$74,0)),"UNMAPPED")</f>
        <v>7f</v>
      </c>
      <c r="L949" s="49" t="str">
        <f aca="false">STACK!G949</f>
        <v>2025-11-30</v>
      </c>
      <c r="M949" s="59" t="n">
        <f aca="false">IF(G949&gt;0,IF(INDEX(CONFIRM!$G$5:$G$53,G949)&lt;&gt;"",INDEX(CONFIRM!$G$5:$G$53,G949),IF(ISNUMBER(L949),L949,IFERROR(DATEVALUE(L949),""))),IF(ISNUMBER(L949),L949,IFERROR(DATEVALUE(L949),"")))</f>
        <v>45991</v>
      </c>
      <c r="N949" s="1" t="str">
        <f aca="false">IF(M949="","Check",IF(AND(M949&gt;=INPUTS!$C$6,M949&lt;=INPUTS!$C$7),"Yes","No"))</f>
        <v>Yes</v>
      </c>
      <c r="O949" s="48" t="str">
        <f aca="false">STACK!H949</f>
        <v>Educator, Nursing</v>
      </c>
      <c r="P949" s="1" t="str">
        <f aca="false">IF(G949&gt;0,IF(INDEX(CONFIRM!$H$5:$H$53,G949)&lt;&gt;"",INDEX(CONFIRM!$H$5:$H$53,G949),IFERROR(INDEX(MAP!$B$7:$B$156,MATCH(TRIM(O949),MAP!$A$7:$A$156,0)),"UNMAPPED")),IFERROR(INDEX(MAP!$B$7:$B$156,MATCH(TRIM(O949),MAP!$A$7:$A$156,0)),"UNMAPPED"))</f>
        <v>Clinical Nurse Educator</v>
      </c>
      <c r="Q949" s="48" t="n">
        <f aca="false">STACK!I949</f>
        <v>140.5</v>
      </c>
      <c r="R949" s="60" t="n">
        <f aca="false">IF(G949&gt;0,IF(INDEX(CONFIRM!$F$5:$F$53,G949)&lt;&gt;"",INDEX(CONFIRM!$F$5:$F$53,G949),IF(ISNUMBER(Q949),Q949,IF(Q949="","",IFERROR(VALUE(TRIM(SUBSTITUTE(SUBSTITUTE(LOWER(Q949),"hrs",""),"hr",""))),"")))),IF(ISNUMBER(Q949),Q949,IF(Q949="","",IFERROR(VALUE(TRIM(SUBSTITUTE(SUBSTITUTE(LOWER(Q949),"hrs",""),"hr",""))),""))))</f>
        <v>140.5</v>
      </c>
      <c r="S949" s="57" t="n">
        <f aca="false">IFERROR(INDEX(RATES!$E$6:$E$28,MATCH(P949,RATES!$A$6:$A$28,0)),0)</f>
        <v>62.965</v>
      </c>
      <c r="T949" s="61" t="n">
        <f aca="false">IF(ISNUMBER(R949),R949,0)*S949</f>
        <v>8846.5825</v>
      </c>
      <c r="U949" s="61" t="n">
        <f aca="false">T949*INDEX(INPUTS!$H$10:$H$14,MATCH(B949,INPUTS!$A$10:$A$14,0))</f>
        <v>1397.760035</v>
      </c>
      <c r="V949" s="61" t="n">
        <f aca="false">N(STACK!K949)</f>
        <v>900</v>
      </c>
      <c r="W949" s="61" t="n">
        <f aca="false">T949+U949+V949</f>
        <v>11144.342535</v>
      </c>
      <c r="X949" s="61" t="n">
        <f aca="false">N(STACK!L949)</f>
        <v>0</v>
      </c>
      <c r="Y949" s="61" t="n">
        <f aca="false">W949-X949</f>
        <v>11144.342535</v>
      </c>
      <c r="Z949" s="1" t="n">
        <f aca="false">N(STACK!J949)</f>
        <v>34</v>
      </c>
      <c r="AA949" s="1" t="str">
        <f aca="false">TRIM(IF(D949="UNMAPPED","Program not mapped. ","")&amp;IF(OR(K949="UNMAPPED",K949="UNASSIGNED"),"Category needs review. ","")&amp;IF(P949="UNMAPPED","Title not mapped. ","")&amp;IF(AND(P949&lt;&gt;"No staff time",R949=""),"Missing hours. ","")&amp;IF(M949="","Date not readable. ","")&amp;IF(N949="No","Outside fiscal year. ","")&amp;IF(AND(F949="Event",ISNUMBER(R949)),IF(R949&gt;12,"Event hours look high. ",""),"")&amp;IF(G949&gt;0,"See CONFIRM sheet.",""))</f>
        <v/>
      </c>
      <c r="AB949" s="1" t="n">
        <f aca="false">IF(N949="No",0,IF(REVIEW!O949=0,0,IF(G949&gt;0,IF(INDEX(CONFIRM!$J$5:$J$53,G949)&lt;&gt;"",INDEX(CONFIRM!$J$5:$J$53,G949),1),1)))</f>
        <v>1</v>
      </c>
      <c r="AC949" s="1" t="n">
        <f aca="false">IF(AB949=1,IF(COUNTIFS($B$5:B949,B949,$D$5:D949,D949,$AB$5:AB949,1)=1,1,0),0)</f>
        <v>0</v>
      </c>
    </row>
    <row r="950" customFormat="false" ht="15" hidden="false" customHeight="false" outlineLevel="0" collapsed="false">
      <c r="A950" s="48" t="str">
        <f aca="false">STACK!A950</f>
        <v>CBH-0122</v>
      </c>
      <c r="B950" s="48" t="str">
        <f aca="false">STACK!B950</f>
        <v>CBH</v>
      </c>
      <c r="C950" s="48" t="str">
        <f aca="false">STACK!E950</f>
        <v>Nursing Student Rotations</v>
      </c>
      <c r="D950" s="1" t="str">
        <f aca="false">IFERROR(INDEX(MAP!$J$7:$J$101,MATCH(TRIM(C950),MAP!$I$7:$I$101,0)),"UNMAPPED")</f>
        <v>Nursing Student Clinical Rotations</v>
      </c>
      <c r="E950" s="1" t="str">
        <f aca="false">IFERROR(INDEX(MAP!$K$7:$K$101,MATCH(TRIM(C950),MAP!$I$7:$I$101,0)),"")</f>
        <v>Health workforce</v>
      </c>
      <c r="F950" s="1" t="str">
        <f aca="false">IFERROR(INDEX(MAP!$L$7:$L$101,MATCH(TRIM(C950),MAP!$I$7:$I$101,0)),"")</f>
        <v>Monthly</v>
      </c>
      <c r="G950" s="1" t="n">
        <f aca="false">IFERROR(MATCH(A950,CONFIRM!$A$5:$A$53,0),0)</f>
        <v>0</v>
      </c>
      <c r="H950" s="48" t="str">
        <f aca="false">STACK!F950</f>
        <v>Education - Health Professions</v>
      </c>
      <c r="I950" s="1" t="str">
        <f aca="false">IF(G950&gt;0,IF(INDEX(CONFIRM!$I$5:$I$53,G950)&lt;&gt;"",INDEX(CONFIRM!$I$5:$I$53,G950),H950),H950)</f>
        <v>Education - Health Professions</v>
      </c>
      <c r="J950" s="1" t="str">
        <f aca="false">IFERROR(INDEX(MAP!$F$7:$F$74,MATCH(TRIM(I950),MAP!$E$7:$E$74,0)),"UNMAPPED")</f>
        <v>Health professions education</v>
      </c>
      <c r="K950" s="1" t="str">
        <f aca="false">IFERROR(INDEX(MAP!$G$7:$G$74,MATCH(TRIM(I950),MAP!$E$7:$E$74,0)),"UNMAPPED")</f>
        <v>7f</v>
      </c>
      <c r="L950" s="49" t="str">
        <f aca="false">STACK!G950</f>
        <v>2025-11-30</v>
      </c>
      <c r="M950" s="59" t="n">
        <f aca="false">IF(G950&gt;0,IF(INDEX(CONFIRM!$G$5:$G$53,G950)&lt;&gt;"",INDEX(CONFIRM!$G$5:$G$53,G950),IF(ISNUMBER(L950),L950,IFERROR(DATEVALUE(L950),""))),IF(ISNUMBER(L950),L950,IFERROR(DATEVALUE(L950),"")))</f>
        <v>45991</v>
      </c>
      <c r="N950" s="1" t="str">
        <f aca="false">IF(M950="","Check",IF(AND(M950&gt;=INPUTS!$C$6,M950&lt;=INPUTS!$C$7),"Yes","No"))</f>
        <v>Yes</v>
      </c>
      <c r="O950" s="48" t="str">
        <f aca="false">STACK!H950</f>
        <v>R.N.</v>
      </c>
      <c r="P950" s="1" t="str">
        <f aca="false">IF(G950&gt;0,IF(INDEX(CONFIRM!$H$5:$H$53,G950)&lt;&gt;"",INDEX(CONFIRM!$H$5:$H$53,G950),IFERROR(INDEX(MAP!$B$7:$B$156,MATCH(TRIM(O950),MAP!$A$7:$A$156,0)),"UNMAPPED")),IFERROR(INDEX(MAP!$B$7:$B$156,MATCH(TRIM(O950),MAP!$A$7:$A$156,0)),"UNMAPPED"))</f>
        <v>Registered Nurse</v>
      </c>
      <c r="Q950" s="48" t="n">
        <f aca="false">STACK!I950</f>
        <v>184.75</v>
      </c>
      <c r="R950" s="60" t="n">
        <f aca="false">IF(G950&gt;0,IF(INDEX(CONFIRM!$F$5:$F$53,G950)&lt;&gt;"",INDEX(CONFIRM!$F$5:$F$53,G950),IF(ISNUMBER(Q950),Q950,IF(Q950="","",IFERROR(VALUE(TRIM(SUBSTITUTE(SUBSTITUTE(LOWER(Q950),"hrs",""),"hr",""))),"")))),IF(ISNUMBER(Q950),Q950,IF(Q950="","",IFERROR(VALUE(TRIM(SUBSTITUTE(SUBSTITUTE(LOWER(Q950),"hrs",""),"hr",""))),""))))</f>
        <v>184.75</v>
      </c>
      <c r="S950" s="57" t="n">
        <f aca="false">IFERROR(INDEX(RATES!$E$6:$E$28,MATCH(P950,RATES!$A$6:$A$28,0)),0)</f>
        <v>55.8975</v>
      </c>
      <c r="T950" s="61" t="n">
        <f aca="false">IF(ISNUMBER(R950),R950,0)*S950</f>
        <v>10327.063125</v>
      </c>
      <c r="U950" s="61" t="n">
        <f aca="false">T950*INDEX(INPUTS!$H$10:$H$14,MATCH(B950,INPUTS!$A$10:$A$14,0))</f>
        <v>1631.67597375</v>
      </c>
      <c r="V950" s="61" t="n">
        <f aca="false">N(STACK!K950)</f>
        <v>0</v>
      </c>
      <c r="W950" s="61" t="n">
        <f aca="false">T950+U950+V950</f>
        <v>11958.73909875</v>
      </c>
      <c r="X950" s="61" t="n">
        <f aca="false">N(STACK!L950)</f>
        <v>0</v>
      </c>
      <c r="Y950" s="61" t="n">
        <f aca="false">W950-X950</f>
        <v>11958.73909875</v>
      </c>
      <c r="Z950" s="1" t="n">
        <f aca="false">N(STACK!J950)</f>
        <v>0</v>
      </c>
      <c r="AA950" s="1" t="str">
        <f aca="false">TRIM(IF(D950="UNMAPPED","Program not mapped. ","")&amp;IF(OR(K950="UNMAPPED",K950="UNASSIGNED"),"Category needs review. ","")&amp;IF(P950="UNMAPPED","Title not mapped. ","")&amp;IF(AND(P950&lt;&gt;"No staff time",R950=""),"Missing hours. ","")&amp;IF(M950="","Date not readable. ","")&amp;IF(N950="No","Outside fiscal year. ","")&amp;IF(AND(F950="Event",ISNUMBER(R950)),IF(R950&gt;12,"Event hours look high. ",""),"")&amp;IF(G950&gt;0,"See CONFIRM sheet.",""))</f>
        <v/>
      </c>
      <c r="AB950" s="1" t="n">
        <f aca="false">IF(N950="No",0,IF(REVIEW!O950=0,0,IF(G950&gt;0,IF(INDEX(CONFIRM!$J$5:$J$53,G950)&lt;&gt;"",INDEX(CONFIRM!$J$5:$J$53,G950),1),1)))</f>
        <v>1</v>
      </c>
      <c r="AC950" s="1" t="n">
        <f aca="false">IF(AB950=1,IF(COUNTIFS($B$5:B950,B950,$D$5:D950,D950,$AB$5:AB950,1)=1,1,0),0)</f>
        <v>0</v>
      </c>
    </row>
    <row r="951" customFormat="false" ht="15" hidden="false" customHeight="false" outlineLevel="0" collapsed="false">
      <c r="A951" s="48" t="str">
        <f aca="false">STACK!A951</f>
        <v>CBH-0123</v>
      </c>
      <c r="B951" s="48" t="str">
        <f aca="false">STACK!B951</f>
        <v>CBH</v>
      </c>
      <c r="C951" s="48" t="str">
        <f aca="false">STACK!E951</f>
        <v>Pharmacy Students</v>
      </c>
      <c r="D951" s="1" t="str">
        <f aca="false">IFERROR(INDEX(MAP!$J$7:$J$101,MATCH(TRIM(C951),MAP!$I$7:$I$101,0)),"UNMAPPED")</f>
        <v>Pharmacy Student Rotations</v>
      </c>
      <c r="E951" s="1" t="str">
        <f aca="false">IFERROR(INDEX(MAP!$K$7:$K$101,MATCH(TRIM(C951),MAP!$I$7:$I$101,0)),"")</f>
        <v>Health workforce</v>
      </c>
      <c r="F951" s="1" t="str">
        <f aca="false">IFERROR(INDEX(MAP!$L$7:$L$101,MATCH(TRIM(C951),MAP!$I$7:$I$101,0)),"")</f>
        <v>Monthly</v>
      </c>
      <c r="G951" s="1" t="n">
        <f aca="false">IFERROR(MATCH(A951,CONFIRM!$A$5:$A$53,0),0)</f>
        <v>0</v>
      </c>
      <c r="H951" s="48" t="str">
        <f aca="false">STACK!F951</f>
        <v>Education - Health Professions</v>
      </c>
      <c r="I951" s="1" t="str">
        <f aca="false">IF(G951&gt;0,IF(INDEX(CONFIRM!$I$5:$I$53,G951)&lt;&gt;"",INDEX(CONFIRM!$I$5:$I$53,G951),H951),H951)</f>
        <v>Education - Health Professions</v>
      </c>
      <c r="J951" s="1" t="str">
        <f aca="false">IFERROR(INDEX(MAP!$F$7:$F$74,MATCH(TRIM(I951),MAP!$E$7:$E$74,0)),"UNMAPPED")</f>
        <v>Health professions education</v>
      </c>
      <c r="K951" s="1" t="str">
        <f aca="false">IFERROR(INDEX(MAP!$G$7:$G$74,MATCH(TRIM(I951),MAP!$E$7:$E$74,0)),"UNMAPPED")</f>
        <v>7f</v>
      </c>
      <c r="L951" s="49" t="str">
        <f aca="false">STACK!G951</f>
        <v>2025-11-30</v>
      </c>
      <c r="M951" s="59" t="n">
        <f aca="false">IF(G951&gt;0,IF(INDEX(CONFIRM!$G$5:$G$53,G951)&lt;&gt;"",INDEX(CONFIRM!$G$5:$G$53,G951),IF(ISNUMBER(L951),L951,IFERROR(DATEVALUE(L951),""))),IF(ISNUMBER(L951),L951,IFERROR(DATEVALUE(L951),"")))</f>
        <v>45991</v>
      </c>
      <c r="N951" s="1" t="str">
        <f aca="false">IF(M951="","Check",IF(AND(M951&gt;=INPUTS!$C$6,M951&lt;=INPUTS!$C$7),"Yes","No"))</f>
        <v>Yes</v>
      </c>
      <c r="O951" s="48" t="str">
        <f aca="false">STACK!H951</f>
        <v>RPh</v>
      </c>
      <c r="P951" s="1" t="str">
        <f aca="false">IF(G951&gt;0,IF(INDEX(CONFIRM!$H$5:$H$53,G951)&lt;&gt;"",INDEX(CONFIRM!$H$5:$H$53,G951),IFERROR(INDEX(MAP!$B$7:$B$156,MATCH(TRIM(O951),MAP!$A$7:$A$156,0)),"UNMAPPED")),IFERROR(INDEX(MAP!$B$7:$B$156,MATCH(TRIM(O951),MAP!$A$7:$A$156,0)),"UNMAPPED"))</f>
        <v>Pharmacist</v>
      </c>
      <c r="Q951" s="48" t="n">
        <f aca="false">STACK!I951</f>
        <v>55.75</v>
      </c>
      <c r="R951" s="60" t="n">
        <f aca="false">IF(G951&gt;0,IF(INDEX(CONFIRM!$F$5:$F$53,G951)&lt;&gt;"",INDEX(CONFIRM!$F$5:$F$53,G951),IF(ISNUMBER(Q951),Q951,IF(Q951="","",IFERROR(VALUE(TRIM(SUBSTITUTE(SUBSTITUTE(LOWER(Q951),"hrs",""),"hr",""))),"")))),IF(ISNUMBER(Q951),Q951,IF(Q951="","",IFERROR(VALUE(TRIM(SUBSTITUTE(SUBSTITUTE(LOWER(Q951),"hrs",""),"hr",""))),""))))</f>
        <v>55.75</v>
      </c>
      <c r="S951" s="57" t="n">
        <f aca="false">IFERROR(INDEX(RATES!$E$6:$E$28,MATCH(P951,RATES!$A$6:$A$28,0)),0)</f>
        <v>84.81</v>
      </c>
      <c r="T951" s="61" t="n">
        <f aca="false">IF(ISNUMBER(R951),R951,0)*S951</f>
        <v>4728.1575</v>
      </c>
      <c r="U951" s="61" t="n">
        <f aca="false">T951*INDEX(INPUTS!$H$10:$H$14,MATCH(B951,INPUTS!$A$10:$A$14,0))</f>
        <v>747.048885</v>
      </c>
      <c r="V951" s="61" t="n">
        <f aca="false">N(STACK!K951)</f>
        <v>180</v>
      </c>
      <c r="W951" s="61" t="n">
        <f aca="false">T951+U951+V951</f>
        <v>5655.206385</v>
      </c>
      <c r="X951" s="61" t="n">
        <f aca="false">N(STACK!L951)</f>
        <v>0</v>
      </c>
      <c r="Y951" s="61" t="n">
        <f aca="false">W951-X951</f>
        <v>5655.206385</v>
      </c>
      <c r="Z951" s="1" t="n">
        <f aca="false">N(STACK!J951)</f>
        <v>4</v>
      </c>
      <c r="AA951" s="1" t="str">
        <f aca="false">TRIM(IF(D951="UNMAPPED","Program not mapped. ","")&amp;IF(OR(K951="UNMAPPED",K951="UNASSIGNED"),"Category needs review. ","")&amp;IF(P951="UNMAPPED","Title not mapped. ","")&amp;IF(AND(P951&lt;&gt;"No staff time",R951=""),"Missing hours. ","")&amp;IF(M951="","Date not readable. ","")&amp;IF(N951="No","Outside fiscal year. ","")&amp;IF(AND(F951="Event",ISNUMBER(R951)),IF(R951&gt;12,"Event hours look high. ",""),"")&amp;IF(G951&gt;0,"See CONFIRM sheet.",""))</f>
        <v/>
      </c>
      <c r="AB951" s="1" t="n">
        <f aca="false">IF(N951="No",0,IF(REVIEW!O951=0,0,IF(G951&gt;0,IF(INDEX(CONFIRM!$J$5:$J$53,G951)&lt;&gt;"",INDEX(CONFIRM!$J$5:$J$53,G951),1),1)))</f>
        <v>1</v>
      </c>
      <c r="AC951" s="1" t="n">
        <f aca="false">IF(AB951=1,IF(COUNTIFS($B$5:B951,B951,$D$5:D951,D951,$AB$5:AB951,1)=1,1,0),0)</f>
        <v>0</v>
      </c>
    </row>
    <row r="952" customFormat="false" ht="15" hidden="false" customHeight="false" outlineLevel="0" collapsed="false">
      <c r="A952" s="48" t="str">
        <f aca="false">STACK!A952</f>
        <v>CBH-0124</v>
      </c>
      <c r="B952" s="48" t="str">
        <f aca="false">STACK!B952</f>
        <v>CBH</v>
      </c>
      <c r="C952" s="48" t="str">
        <f aca="false">STACK!E952</f>
        <v>Matter of Balance Classes</v>
      </c>
      <c r="D952" s="1" t="str">
        <f aca="false">IFERROR(INDEX(MAP!$J$7:$J$101,MATCH(TRIM(C952),MAP!$I$7:$I$101,0)),"UNMAPPED")</f>
        <v>Fall Prevention Classes for Older Adults</v>
      </c>
      <c r="E952" s="1" t="str">
        <f aca="false">IFERROR(INDEX(MAP!$K$7:$K$101,MATCH(TRIM(C952),MAP!$I$7:$I$101,0)),"")</f>
        <v>Chronic disease prevention</v>
      </c>
      <c r="F952" s="1" t="str">
        <f aca="false">IFERROR(INDEX(MAP!$L$7:$L$101,MATCH(TRIM(C952),MAP!$I$7:$I$101,0)),"")</f>
        <v>Event</v>
      </c>
      <c r="G952" s="1" t="n">
        <f aca="false">IFERROR(MATCH(A952,CONFIRM!$A$5:$A$53,0),0)</f>
        <v>0</v>
      </c>
      <c r="H952" s="48" t="str">
        <f aca="false">STACK!F952</f>
        <v>Health Education</v>
      </c>
      <c r="I952" s="1" t="str">
        <f aca="false">IF(G952&gt;0,IF(INDEX(CONFIRM!$I$5:$I$53,G952)&lt;&gt;"",INDEX(CONFIRM!$I$5:$I$53,G952),H952),H952)</f>
        <v>Health Education</v>
      </c>
      <c r="J952" s="1" t="str">
        <f aca="false">IFERROR(INDEX(MAP!$F$7:$F$74,MATCH(TRIM(I952),MAP!$E$7:$E$74,0)),"UNMAPPED")</f>
        <v>Community health education</v>
      </c>
      <c r="K952" s="1" t="str">
        <f aca="false">IFERROR(INDEX(MAP!$G$7:$G$74,MATCH(TRIM(I952),MAP!$E$7:$E$74,0)),"UNMAPPED")</f>
        <v>7e</v>
      </c>
      <c r="L952" s="49" t="str">
        <f aca="false">STACK!G952</f>
        <v>2025-12-02</v>
      </c>
      <c r="M952" s="59" t="n">
        <f aca="false">IF(G952&gt;0,IF(INDEX(CONFIRM!$G$5:$G$53,G952)&lt;&gt;"",INDEX(CONFIRM!$G$5:$G$53,G952),IF(ISNUMBER(L952),L952,IFERROR(DATEVALUE(L952),""))),IF(ISNUMBER(L952),L952,IFERROR(DATEVALUE(L952),"")))</f>
        <v>45993</v>
      </c>
      <c r="N952" s="1" t="str">
        <f aca="false">IF(M952="","Check",IF(AND(M952&gt;=INPUTS!$C$6,M952&lt;=INPUTS!$C$7),"Yes","No"))</f>
        <v>Yes</v>
      </c>
      <c r="O952" s="48" t="str">
        <f aca="false">STACK!H952</f>
        <v>Physical Therapy</v>
      </c>
      <c r="P952" s="1" t="str">
        <f aca="false">IF(G952&gt;0,IF(INDEX(CONFIRM!$H$5:$H$53,G952)&lt;&gt;"",INDEX(CONFIRM!$H$5:$H$53,G952),IFERROR(INDEX(MAP!$B$7:$B$156,MATCH(TRIM(O952),MAP!$A$7:$A$156,0)),"UNMAPPED")),IFERROR(INDEX(MAP!$B$7:$B$156,MATCH(TRIM(O952),MAP!$A$7:$A$156,0)),"UNMAPPED"))</f>
        <v>Licensed Therapist</v>
      </c>
      <c r="Q952" s="48" t="n">
        <f aca="false">STACK!I952</f>
        <v>2</v>
      </c>
      <c r="R952" s="60" t="n">
        <f aca="false">IF(G952&gt;0,IF(INDEX(CONFIRM!$F$5:$F$53,G952)&lt;&gt;"",INDEX(CONFIRM!$F$5:$F$53,G952),IF(ISNUMBER(Q952),Q952,IF(Q952="","",IFERROR(VALUE(TRIM(SUBSTITUTE(SUBSTITUTE(LOWER(Q952),"hrs",""),"hr",""))),"")))),IF(ISNUMBER(Q952),Q952,IF(Q952="","",IFERROR(VALUE(TRIM(SUBSTITUTE(SUBSTITUTE(LOWER(Q952),"hrs",""),"hr",""))),""))))</f>
        <v>2</v>
      </c>
      <c r="S952" s="57" t="n">
        <f aca="false">IFERROR(INDEX(RATES!$E$6:$E$28,MATCH(P952,RATES!$A$6:$A$28,0)),0)</f>
        <v>53.97</v>
      </c>
      <c r="T952" s="61" t="n">
        <f aca="false">IF(ISNUMBER(R952),R952,0)*S952</f>
        <v>107.94</v>
      </c>
      <c r="U952" s="61" t="n">
        <f aca="false">T952*INDEX(INPUTS!$H$10:$H$14,MATCH(B952,INPUTS!$A$10:$A$14,0))</f>
        <v>17.05452</v>
      </c>
      <c r="V952" s="61" t="n">
        <f aca="false">N(STACK!K952)</f>
        <v>65</v>
      </c>
      <c r="W952" s="61" t="n">
        <f aca="false">T952+U952+V952</f>
        <v>189.99452</v>
      </c>
      <c r="X952" s="61" t="n">
        <f aca="false">N(STACK!L952)</f>
        <v>0</v>
      </c>
      <c r="Y952" s="61" t="n">
        <f aca="false">W952-X952</f>
        <v>189.99452</v>
      </c>
      <c r="Z952" s="1" t="n">
        <f aca="false">N(STACK!J952)</f>
        <v>10</v>
      </c>
      <c r="AA952" s="1" t="str">
        <f aca="false">TRIM(IF(D952="UNMAPPED","Program not mapped. ","")&amp;IF(OR(K952="UNMAPPED",K952="UNASSIGNED"),"Category needs review. ","")&amp;IF(P952="UNMAPPED","Title not mapped. ","")&amp;IF(AND(P952&lt;&gt;"No staff time",R952=""),"Missing hours. ","")&amp;IF(M952="","Date not readable. ","")&amp;IF(N952="No","Outside fiscal year. ","")&amp;IF(AND(F952="Event",ISNUMBER(R952)),IF(R952&gt;12,"Event hours look high. ",""),"")&amp;IF(G952&gt;0,"See CONFIRM sheet.",""))</f>
        <v/>
      </c>
      <c r="AB952" s="1" t="n">
        <f aca="false">IF(N952="No",0,IF(REVIEW!O952=0,0,IF(G952&gt;0,IF(INDEX(CONFIRM!$J$5:$J$53,G952)&lt;&gt;"",INDEX(CONFIRM!$J$5:$J$53,G952),1),1)))</f>
        <v>1</v>
      </c>
      <c r="AC952" s="1" t="n">
        <f aca="false">IF(AB952=1,IF(COUNTIFS($B$5:B952,B952,$D$5:D952,D952,$AB$5:AB952,1)=1,1,0),0)</f>
        <v>0</v>
      </c>
    </row>
    <row r="953" customFormat="false" ht="15" hidden="false" customHeight="false" outlineLevel="0" collapsed="false">
      <c r="A953" s="48" t="str">
        <f aca="false">STACK!A953</f>
        <v>CBH-0125</v>
      </c>
      <c r="B953" s="48" t="str">
        <f aca="false">STACK!B953</f>
        <v>CBH</v>
      </c>
      <c r="C953" s="48" t="str">
        <f aca="false">STACK!E953</f>
        <v>Mental Health First Aid</v>
      </c>
      <c r="D953" s="1" t="str">
        <f aca="false">IFERROR(INDEX(MAP!$J$7:$J$101,MATCH(TRIM(C953),MAP!$I$7:$I$101,0)),"UNMAPPED")</f>
        <v>Mental Health First Aid Training</v>
      </c>
      <c r="E953" s="1" t="str">
        <f aca="false">IFERROR(INDEX(MAP!$K$7:$K$101,MATCH(TRIM(C953),MAP!$I$7:$I$101,0)),"")</f>
        <v>Behavioral health</v>
      </c>
      <c r="F953" s="1" t="str">
        <f aca="false">IFERROR(INDEX(MAP!$L$7:$L$101,MATCH(TRIM(C953),MAP!$I$7:$I$101,0)),"")</f>
        <v>Event</v>
      </c>
      <c r="G953" s="1" t="n">
        <f aca="false">IFERROR(MATCH(A953,CONFIRM!$A$5:$A$53,0),0)</f>
        <v>0</v>
      </c>
      <c r="H953" s="48" t="str">
        <f aca="false">STACK!F953</f>
        <v>Health Education</v>
      </c>
      <c r="I953" s="1" t="str">
        <f aca="false">IF(G953&gt;0,IF(INDEX(CONFIRM!$I$5:$I$53,G953)&lt;&gt;"",INDEX(CONFIRM!$I$5:$I$53,G953),H953),H953)</f>
        <v>Health Education</v>
      </c>
      <c r="J953" s="1" t="str">
        <f aca="false">IFERROR(INDEX(MAP!$F$7:$F$74,MATCH(TRIM(I953),MAP!$E$7:$E$74,0)),"UNMAPPED")</f>
        <v>Community health education</v>
      </c>
      <c r="K953" s="1" t="str">
        <f aca="false">IFERROR(INDEX(MAP!$G$7:$G$74,MATCH(TRIM(I953),MAP!$E$7:$E$74,0)),"UNMAPPED")</f>
        <v>7e</v>
      </c>
      <c r="L953" s="49" t="str">
        <f aca="false">STACK!G953</f>
        <v>2025-12-12</v>
      </c>
      <c r="M953" s="59" t="n">
        <f aca="false">IF(G953&gt;0,IF(INDEX(CONFIRM!$G$5:$G$53,G953)&lt;&gt;"",INDEX(CONFIRM!$G$5:$G$53,G953),IF(ISNUMBER(L953),L953,IFERROR(DATEVALUE(L953),""))),IF(ISNUMBER(L953),L953,IFERROR(DATEVALUE(L953),"")))</f>
        <v>46003</v>
      </c>
      <c r="N953" s="1" t="str">
        <f aca="false">IF(M953="","Check",IF(AND(M953&gt;=INPUTS!$C$6,M953&lt;=INPUTS!$C$7),"Yes","No"))</f>
        <v>Yes</v>
      </c>
      <c r="O953" s="48" t="str">
        <f aca="false">STACK!H953</f>
        <v>Wellness Educator</v>
      </c>
      <c r="P953" s="1" t="str">
        <f aca="false">IF(G953&gt;0,IF(INDEX(CONFIRM!$H$5:$H$53,G953)&lt;&gt;"",INDEX(CONFIRM!$H$5:$H$53,G953),IFERROR(INDEX(MAP!$B$7:$B$156,MATCH(TRIM(O953),MAP!$A$7:$A$156,0)),"UNMAPPED")),IFERROR(INDEX(MAP!$B$7:$B$156,MATCH(TRIM(O953),MAP!$A$7:$A$156,0)),"UNMAPPED"))</f>
        <v>Health Educator</v>
      </c>
      <c r="Q953" s="48" t="n">
        <f aca="false">STACK!I953</f>
        <v>8</v>
      </c>
      <c r="R953" s="60" t="n">
        <f aca="false">IF(G953&gt;0,IF(INDEX(CONFIRM!$F$5:$F$53,G953)&lt;&gt;"",INDEX(CONFIRM!$F$5:$F$53,G953),IF(ISNUMBER(Q953),Q953,IF(Q953="","",IFERROR(VALUE(TRIM(SUBSTITUTE(SUBSTITUTE(LOWER(Q953),"hrs",""),"hr",""))),"")))),IF(ISNUMBER(Q953),Q953,IF(Q953="","",IFERROR(VALUE(TRIM(SUBSTITUTE(SUBSTITUTE(LOWER(Q953),"hrs",""),"hr",""))),""))))</f>
        <v>8</v>
      </c>
      <c r="S953" s="57" t="n">
        <f aca="false">IFERROR(INDEX(RATES!$E$6:$E$28,MATCH(P953,RATES!$A$6:$A$28,0)),0)</f>
        <v>37.265</v>
      </c>
      <c r="T953" s="61" t="n">
        <f aca="false">IF(ISNUMBER(R953),R953,0)*S953</f>
        <v>298.12</v>
      </c>
      <c r="U953" s="61" t="n">
        <f aca="false">T953*INDEX(INPUTS!$H$10:$H$14,MATCH(B953,INPUTS!$A$10:$A$14,0))</f>
        <v>47.10296</v>
      </c>
      <c r="V953" s="61" t="n">
        <f aca="false">N(STACK!K953)</f>
        <v>0</v>
      </c>
      <c r="W953" s="61" t="n">
        <f aca="false">T953+U953+V953</f>
        <v>345.22296</v>
      </c>
      <c r="X953" s="61" t="n">
        <f aca="false">N(STACK!L953)</f>
        <v>0</v>
      </c>
      <c r="Y953" s="61" t="n">
        <f aca="false">W953-X953</f>
        <v>345.22296</v>
      </c>
      <c r="Z953" s="1" t="n">
        <f aca="false">N(STACK!J953)</f>
        <v>0</v>
      </c>
      <c r="AA953" s="1" t="str">
        <f aca="false">TRIM(IF(D953="UNMAPPED","Program not mapped. ","")&amp;IF(OR(K953="UNMAPPED",K953="UNASSIGNED"),"Category needs review. ","")&amp;IF(P953="UNMAPPED","Title not mapped. ","")&amp;IF(AND(P953&lt;&gt;"No staff time",R953=""),"Missing hours. ","")&amp;IF(M953="","Date not readable. ","")&amp;IF(N953="No","Outside fiscal year. ","")&amp;IF(AND(F953="Event",ISNUMBER(R953)),IF(R953&gt;12,"Event hours look high. ",""),"")&amp;IF(G953&gt;0,"See CONFIRM sheet.",""))</f>
        <v/>
      </c>
      <c r="AB953" s="1" t="n">
        <f aca="false">IF(N953="No",0,IF(REVIEW!O953=0,0,IF(G953&gt;0,IF(INDEX(CONFIRM!$J$5:$J$53,G953)&lt;&gt;"",INDEX(CONFIRM!$J$5:$J$53,G953),1),1)))</f>
        <v>1</v>
      </c>
      <c r="AC953" s="1" t="n">
        <f aca="false">IF(AB953=1,IF(COUNTIFS($B$5:B953,B953,$D$5:D953,D953,$AB$5:AB953,1)=1,1,0),0)</f>
        <v>0</v>
      </c>
    </row>
    <row r="954" customFormat="false" ht="15" hidden="false" customHeight="false" outlineLevel="0" collapsed="false">
      <c r="A954" s="48" t="str">
        <f aca="false">STACK!A954</f>
        <v>CBH-0126</v>
      </c>
      <c r="B954" s="48" t="str">
        <f aca="false">STACK!B954</f>
        <v>CBH</v>
      </c>
      <c r="C954" s="48" t="str">
        <f aca="false">STACK!E954</f>
        <v>Mental Health First Aid</v>
      </c>
      <c r="D954" s="1" t="str">
        <f aca="false">IFERROR(INDEX(MAP!$J$7:$J$101,MATCH(TRIM(C954),MAP!$I$7:$I$101,0)),"UNMAPPED")</f>
        <v>Mental Health First Aid Training</v>
      </c>
      <c r="E954" s="1" t="str">
        <f aca="false">IFERROR(INDEX(MAP!$K$7:$K$101,MATCH(TRIM(C954),MAP!$I$7:$I$101,0)),"")</f>
        <v>Behavioral health</v>
      </c>
      <c r="F954" s="1" t="str">
        <f aca="false">IFERROR(INDEX(MAP!$L$7:$L$101,MATCH(TRIM(C954),MAP!$I$7:$I$101,0)),"")</f>
        <v>Event</v>
      </c>
      <c r="G954" s="1" t="n">
        <f aca="false">IFERROR(MATCH(A954,CONFIRM!$A$5:$A$53,0),0)</f>
        <v>0</v>
      </c>
      <c r="H954" s="48" t="str">
        <f aca="false">STACK!F954</f>
        <v>Health Education</v>
      </c>
      <c r="I954" s="1" t="str">
        <f aca="false">IF(G954&gt;0,IF(INDEX(CONFIRM!$I$5:$I$53,G954)&lt;&gt;"",INDEX(CONFIRM!$I$5:$I$53,G954),H954),H954)</f>
        <v>Health Education</v>
      </c>
      <c r="J954" s="1" t="str">
        <f aca="false">IFERROR(INDEX(MAP!$F$7:$F$74,MATCH(TRIM(I954),MAP!$E$7:$E$74,0)),"UNMAPPED")</f>
        <v>Community health education</v>
      </c>
      <c r="K954" s="1" t="str">
        <f aca="false">IFERROR(INDEX(MAP!$G$7:$G$74,MATCH(TRIM(I954),MAP!$E$7:$E$74,0)),"UNMAPPED")</f>
        <v>7e</v>
      </c>
      <c r="L954" s="49" t="str">
        <f aca="false">STACK!G954</f>
        <v>2025-12-12</v>
      </c>
      <c r="M954" s="59" t="n">
        <f aca="false">IF(G954&gt;0,IF(INDEX(CONFIRM!$G$5:$G$53,G954)&lt;&gt;"",INDEX(CONFIRM!$G$5:$G$53,G954),IF(ISNUMBER(L954),L954,IFERROR(DATEVALUE(L954),""))),IF(ISNUMBER(L954),L954,IFERROR(DATEVALUE(L954),"")))</f>
        <v>46003</v>
      </c>
      <c r="N954" s="1" t="str">
        <f aca="false">IF(M954="","Check",IF(AND(M954&gt;=INPUTS!$C$6,M954&lt;=INPUTS!$C$7),"Yes","No"))</f>
        <v>Yes</v>
      </c>
      <c r="O954" s="48" t="str">
        <f aca="false">STACK!H954</f>
        <v>MSW</v>
      </c>
      <c r="P954" s="1" t="str">
        <f aca="false">IF(G954&gt;0,IF(INDEX(CONFIRM!$H$5:$H$53,G954)&lt;&gt;"",INDEX(CONFIRM!$H$5:$H$53,G954),IFERROR(INDEX(MAP!$B$7:$B$156,MATCH(TRIM(O954),MAP!$A$7:$A$156,0)),"UNMAPPED")),IFERROR(INDEX(MAP!$B$7:$B$156,MATCH(TRIM(O954),MAP!$A$7:$A$156,0)),"UNMAPPED"))</f>
        <v>Social Worker</v>
      </c>
      <c r="Q954" s="48" t="n">
        <f aca="false">STACK!I954</f>
        <v>8</v>
      </c>
      <c r="R954" s="60" t="n">
        <f aca="false">IF(G954&gt;0,IF(INDEX(CONFIRM!$F$5:$F$53,G954)&lt;&gt;"",INDEX(CONFIRM!$F$5:$F$53,G954),IF(ISNUMBER(Q954),Q954,IF(Q954="","",IFERROR(VALUE(TRIM(SUBSTITUTE(SUBSTITUTE(LOWER(Q954),"hrs",""),"hr",""))),"")))),IF(ISNUMBER(Q954),Q954,IF(Q954="","",IFERROR(VALUE(TRIM(SUBSTITUTE(SUBSTITUTE(LOWER(Q954),"hrs",""),"hr",""))),""))))</f>
        <v>8</v>
      </c>
      <c r="S954" s="57" t="n">
        <f aca="false">IFERROR(INDEX(RATES!$E$6:$E$28,MATCH(P954,RATES!$A$6:$A$28,0)),0)</f>
        <v>45.6175</v>
      </c>
      <c r="T954" s="61" t="n">
        <f aca="false">IF(ISNUMBER(R954),R954,0)*S954</f>
        <v>364.94</v>
      </c>
      <c r="U954" s="61" t="n">
        <f aca="false">T954*INDEX(INPUTS!$H$10:$H$14,MATCH(B954,INPUTS!$A$10:$A$14,0))</f>
        <v>57.66052</v>
      </c>
      <c r="V954" s="61" t="n">
        <f aca="false">N(STACK!K954)</f>
        <v>375</v>
      </c>
      <c r="W954" s="61" t="n">
        <f aca="false">T954+U954+V954</f>
        <v>797.60052</v>
      </c>
      <c r="X954" s="61" t="n">
        <f aca="false">N(STACK!L954)</f>
        <v>0</v>
      </c>
      <c r="Y954" s="61" t="n">
        <f aca="false">W954-X954</f>
        <v>797.60052</v>
      </c>
      <c r="Z954" s="1" t="n">
        <f aca="false">N(STACK!J954)</f>
        <v>15</v>
      </c>
      <c r="AA954" s="1" t="str">
        <f aca="false">TRIM(IF(D954="UNMAPPED","Program not mapped. ","")&amp;IF(OR(K954="UNMAPPED",K954="UNASSIGNED"),"Category needs review. ","")&amp;IF(P954="UNMAPPED","Title not mapped. ","")&amp;IF(AND(P954&lt;&gt;"No staff time",R954=""),"Missing hours. ","")&amp;IF(M954="","Date not readable. ","")&amp;IF(N954="No","Outside fiscal year. ","")&amp;IF(AND(F954="Event",ISNUMBER(R954)),IF(R954&gt;12,"Event hours look high. ",""),"")&amp;IF(G954&gt;0,"See CONFIRM sheet.",""))</f>
        <v/>
      </c>
      <c r="AB954" s="1" t="n">
        <f aca="false">IF(N954="No",0,IF(REVIEW!O954=0,0,IF(G954&gt;0,IF(INDEX(CONFIRM!$J$5:$J$53,G954)&lt;&gt;"",INDEX(CONFIRM!$J$5:$J$53,G954),1),1)))</f>
        <v>1</v>
      </c>
      <c r="AC954" s="1" t="n">
        <f aca="false">IF(AB954=1,IF(COUNTIFS($B$5:B954,B954,$D$5:D954,D954,$AB$5:AB954,1)=1,1,0),0)</f>
        <v>0</v>
      </c>
    </row>
    <row r="955" customFormat="false" ht="15" hidden="false" customHeight="false" outlineLevel="0" collapsed="false">
      <c r="A955" s="48" t="str">
        <f aca="false">STACK!A955</f>
        <v>CBH-0127</v>
      </c>
      <c r="B955" s="48" t="str">
        <f aca="false">STACK!B955</f>
        <v>CBH</v>
      </c>
      <c r="C955" s="48" t="str">
        <f aca="false">STACK!E955</f>
        <v>Mental Health First Aid</v>
      </c>
      <c r="D955" s="1" t="str">
        <f aca="false">IFERROR(INDEX(MAP!$J$7:$J$101,MATCH(TRIM(C955),MAP!$I$7:$I$101,0)),"UNMAPPED")</f>
        <v>Mental Health First Aid Training</v>
      </c>
      <c r="E955" s="1" t="str">
        <f aca="false">IFERROR(INDEX(MAP!$K$7:$K$101,MATCH(TRIM(C955),MAP!$I$7:$I$101,0)),"")</f>
        <v>Behavioral health</v>
      </c>
      <c r="F955" s="1" t="str">
        <f aca="false">IFERROR(INDEX(MAP!$L$7:$L$101,MATCH(TRIM(C955),MAP!$I$7:$I$101,0)),"")</f>
        <v>Event</v>
      </c>
      <c r="G955" s="1" t="n">
        <f aca="false">IFERROR(MATCH(A955,CONFIRM!$A$5:$A$53,0),0)</f>
        <v>0</v>
      </c>
      <c r="H955" s="48" t="str">
        <f aca="false">STACK!F955</f>
        <v>Health Education</v>
      </c>
      <c r="I955" s="1" t="str">
        <f aca="false">IF(G955&gt;0,IF(INDEX(CONFIRM!$I$5:$I$53,G955)&lt;&gt;"",INDEX(CONFIRM!$I$5:$I$53,G955),H955),H955)</f>
        <v>Health Education</v>
      </c>
      <c r="J955" s="1" t="str">
        <f aca="false">IFERROR(INDEX(MAP!$F$7:$F$74,MATCH(TRIM(I955),MAP!$E$7:$E$74,0)),"UNMAPPED")</f>
        <v>Community health education</v>
      </c>
      <c r="K955" s="1" t="str">
        <f aca="false">IFERROR(INDEX(MAP!$G$7:$G$74,MATCH(TRIM(I955),MAP!$E$7:$E$74,0)),"UNMAPPED")</f>
        <v>7e</v>
      </c>
      <c r="L955" s="49" t="str">
        <f aca="false">STACK!G955</f>
        <v>2025-12-13</v>
      </c>
      <c r="M955" s="59" t="n">
        <f aca="false">IF(G955&gt;0,IF(INDEX(CONFIRM!$G$5:$G$53,G955)&lt;&gt;"",INDEX(CONFIRM!$G$5:$G$53,G955),IF(ISNUMBER(L955),L955,IFERROR(DATEVALUE(L955),""))),IF(ISNUMBER(L955),L955,IFERROR(DATEVALUE(L955),"")))</f>
        <v>46004</v>
      </c>
      <c r="N955" s="1" t="str">
        <f aca="false">IF(M955="","Check",IF(AND(M955&gt;=INPUTS!$C$6,M955&lt;=INPUTS!$C$7),"Yes","No"))</f>
        <v>Yes</v>
      </c>
      <c r="O955" s="48" t="str">
        <f aca="false">STACK!H955</f>
        <v>Health Ed</v>
      </c>
      <c r="P955" s="1" t="str">
        <f aca="false">IF(G955&gt;0,IF(INDEX(CONFIRM!$H$5:$H$53,G955)&lt;&gt;"",INDEX(CONFIRM!$H$5:$H$53,G955),IFERROR(INDEX(MAP!$B$7:$B$156,MATCH(TRIM(O955),MAP!$A$7:$A$156,0)),"UNMAPPED")),IFERROR(INDEX(MAP!$B$7:$B$156,MATCH(TRIM(O955),MAP!$A$7:$A$156,0)),"UNMAPPED"))</f>
        <v>Health Educator</v>
      </c>
      <c r="Q955" s="48" t="n">
        <f aca="false">STACK!I955</f>
        <v>8</v>
      </c>
      <c r="R955" s="60" t="n">
        <f aca="false">IF(G955&gt;0,IF(INDEX(CONFIRM!$F$5:$F$53,G955)&lt;&gt;"",INDEX(CONFIRM!$F$5:$F$53,G955),IF(ISNUMBER(Q955),Q955,IF(Q955="","",IFERROR(VALUE(TRIM(SUBSTITUTE(SUBSTITUTE(LOWER(Q955),"hrs",""),"hr",""))),"")))),IF(ISNUMBER(Q955),Q955,IF(Q955="","",IFERROR(VALUE(TRIM(SUBSTITUTE(SUBSTITUTE(LOWER(Q955),"hrs",""),"hr",""))),""))))</f>
        <v>8</v>
      </c>
      <c r="S955" s="57" t="n">
        <f aca="false">IFERROR(INDEX(RATES!$E$6:$E$28,MATCH(P955,RATES!$A$6:$A$28,0)),0)</f>
        <v>37.265</v>
      </c>
      <c r="T955" s="61" t="n">
        <f aca="false">IF(ISNUMBER(R955),R955,0)*S955</f>
        <v>298.12</v>
      </c>
      <c r="U955" s="61" t="n">
        <f aca="false">T955*INDEX(INPUTS!$H$10:$H$14,MATCH(B955,INPUTS!$A$10:$A$14,0))</f>
        <v>47.10296</v>
      </c>
      <c r="V955" s="61" t="n">
        <f aca="false">N(STACK!K955)</f>
        <v>0</v>
      </c>
      <c r="W955" s="61" t="n">
        <f aca="false">T955+U955+V955</f>
        <v>345.22296</v>
      </c>
      <c r="X955" s="61" t="n">
        <f aca="false">N(STACK!L955)</f>
        <v>0</v>
      </c>
      <c r="Y955" s="61" t="n">
        <f aca="false">W955-X955</f>
        <v>345.22296</v>
      </c>
      <c r="Z955" s="1" t="n">
        <f aca="false">N(STACK!J955)</f>
        <v>0</v>
      </c>
      <c r="AA955" s="1" t="str">
        <f aca="false">TRIM(IF(D955="UNMAPPED","Program not mapped. ","")&amp;IF(OR(K955="UNMAPPED",K955="UNASSIGNED"),"Category needs review. ","")&amp;IF(P955="UNMAPPED","Title not mapped. ","")&amp;IF(AND(P955&lt;&gt;"No staff time",R955=""),"Missing hours. ","")&amp;IF(M955="","Date not readable. ","")&amp;IF(N955="No","Outside fiscal year. ","")&amp;IF(AND(F955="Event",ISNUMBER(R955)),IF(R955&gt;12,"Event hours look high. ",""),"")&amp;IF(G955&gt;0,"See CONFIRM sheet.",""))</f>
        <v/>
      </c>
      <c r="AB955" s="1" t="n">
        <f aca="false">IF(N955="No",0,IF(REVIEW!O955=0,0,IF(G955&gt;0,IF(INDEX(CONFIRM!$J$5:$J$53,G955)&lt;&gt;"",INDEX(CONFIRM!$J$5:$J$53,G955),1),1)))</f>
        <v>1</v>
      </c>
      <c r="AC955" s="1" t="n">
        <f aca="false">IF(AB955=1,IF(COUNTIFS($B$5:B955,B955,$D$5:D955,D955,$AB$5:AB955,1)=1,1,0),0)</f>
        <v>0</v>
      </c>
    </row>
    <row r="956" customFormat="false" ht="15" hidden="false" customHeight="false" outlineLevel="0" collapsed="false">
      <c r="A956" s="48" t="str">
        <f aca="false">STACK!A956</f>
        <v>CBH-0128</v>
      </c>
      <c r="B956" s="48" t="str">
        <f aca="false">STACK!B956</f>
        <v>CBH</v>
      </c>
      <c r="C956" s="48" t="str">
        <f aca="false">STACK!E956</f>
        <v>Mental Health First Aid</v>
      </c>
      <c r="D956" s="1" t="str">
        <f aca="false">IFERROR(INDEX(MAP!$J$7:$J$101,MATCH(TRIM(C956),MAP!$I$7:$I$101,0)),"UNMAPPED")</f>
        <v>Mental Health First Aid Training</v>
      </c>
      <c r="E956" s="1" t="str">
        <f aca="false">IFERROR(INDEX(MAP!$K$7:$K$101,MATCH(TRIM(C956),MAP!$I$7:$I$101,0)),"")</f>
        <v>Behavioral health</v>
      </c>
      <c r="F956" s="1" t="str">
        <f aca="false">IFERROR(INDEX(MAP!$L$7:$L$101,MATCH(TRIM(C956),MAP!$I$7:$I$101,0)),"")</f>
        <v>Event</v>
      </c>
      <c r="G956" s="1" t="n">
        <f aca="false">IFERROR(MATCH(A956,CONFIRM!$A$5:$A$53,0),0)</f>
        <v>0</v>
      </c>
      <c r="H956" s="48" t="str">
        <f aca="false">STACK!F956</f>
        <v>Health Education</v>
      </c>
      <c r="I956" s="1" t="str">
        <f aca="false">IF(G956&gt;0,IF(INDEX(CONFIRM!$I$5:$I$53,G956)&lt;&gt;"",INDEX(CONFIRM!$I$5:$I$53,G956),H956),H956)</f>
        <v>Health Education</v>
      </c>
      <c r="J956" s="1" t="str">
        <f aca="false">IFERROR(INDEX(MAP!$F$7:$F$74,MATCH(TRIM(I956),MAP!$E$7:$E$74,0)),"UNMAPPED")</f>
        <v>Community health education</v>
      </c>
      <c r="K956" s="1" t="str">
        <f aca="false">IFERROR(INDEX(MAP!$G$7:$G$74,MATCH(TRIM(I956),MAP!$E$7:$E$74,0)),"UNMAPPED")</f>
        <v>7e</v>
      </c>
      <c r="L956" s="49" t="str">
        <f aca="false">STACK!G956</f>
        <v>2025-12-13</v>
      </c>
      <c r="M956" s="59" t="n">
        <f aca="false">IF(G956&gt;0,IF(INDEX(CONFIRM!$G$5:$G$53,G956)&lt;&gt;"",INDEX(CONFIRM!$G$5:$G$53,G956),IF(ISNUMBER(L956),L956,IFERROR(DATEVALUE(L956),""))),IF(ISNUMBER(L956),L956,IFERROR(DATEVALUE(L956),"")))</f>
        <v>46004</v>
      </c>
      <c r="N956" s="1" t="str">
        <f aca="false">IF(M956="","Check",IF(AND(M956&gt;=INPUTS!$C$6,M956&lt;=INPUTS!$C$7),"Yes","No"))</f>
        <v>Yes</v>
      </c>
      <c r="O956" s="48" t="str">
        <f aca="false">STACK!H956</f>
        <v>LMSW</v>
      </c>
      <c r="P956" s="1" t="str">
        <f aca="false">IF(G956&gt;0,IF(INDEX(CONFIRM!$H$5:$H$53,G956)&lt;&gt;"",INDEX(CONFIRM!$H$5:$H$53,G956),IFERROR(INDEX(MAP!$B$7:$B$156,MATCH(TRIM(O956),MAP!$A$7:$A$156,0)),"UNMAPPED")),IFERROR(INDEX(MAP!$B$7:$B$156,MATCH(TRIM(O956),MAP!$A$7:$A$156,0)),"UNMAPPED"))</f>
        <v>Social Worker</v>
      </c>
      <c r="Q956" s="48" t="n">
        <f aca="false">STACK!I956</f>
        <v>8</v>
      </c>
      <c r="R956" s="60" t="n">
        <f aca="false">IF(G956&gt;0,IF(INDEX(CONFIRM!$F$5:$F$53,G956)&lt;&gt;"",INDEX(CONFIRM!$F$5:$F$53,G956),IF(ISNUMBER(Q956),Q956,IF(Q956="","",IFERROR(VALUE(TRIM(SUBSTITUTE(SUBSTITUTE(LOWER(Q956),"hrs",""),"hr",""))),"")))),IF(ISNUMBER(Q956),Q956,IF(Q956="","",IFERROR(VALUE(TRIM(SUBSTITUTE(SUBSTITUTE(LOWER(Q956),"hrs",""),"hr",""))),""))))</f>
        <v>8</v>
      </c>
      <c r="S956" s="57" t="n">
        <f aca="false">IFERROR(INDEX(RATES!$E$6:$E$28,MATCH(P956,RATES!$A$6:$A$28,0)),0)</f>
        <v>45.6175</v>
      </c>
      <c r="T956" s="61" t="n">
        <f aca="false">IF(ISNUMBER(R956),R956,0)*S956</f>
        <v>364.94</v>
      </c>
      <c r="U956" s="61" t="n">
        <f aca="false">T956*INDEX(INPUTS!$H$10:$H$14,MATCH(B956,INPUTS!$A$10:$A$14,0))</f>
        <v>57.66052</v>
      </c>
      <c r="V956" s="61" t="n">
        <f aca="false">N(STACK!K956)</f>
        <v>535</v>
      </c>
      <c r="W956" s="61" t="n">
        <f aca="false">T956+U956+V956</f>
        <v>957.60052</v>
      </c>
      <c r="X956" s="61" t="n">
        <f aca="false">N(STACK!L956)</f>
        <v>0</v>
      </c>
      <c r="Y956" s="61" t="n">
        <f aca="false">W956-X956</f>
        <v>957.60052</v>
      </c>
      <c r="Z956" s="1" t="n">
        <f aca="false">N(STACK!J956)</f>
        <v>19</v>
      </c>
      <c r="AA956" s="1" t="str">
        <f aca="false">TRIM(IF(D956="UNMAPPED","Program not mapped. ","")&amp;IF(OR(K956="UNMAPPED",K956="UNASSIGNED"),"Category needs review. ","")&amp;IF(P956="UNMAPPED","Title not mapped. ","")&amp;IF(AND(P956&lt;&gt;"No staff time",R956=""),"Missing hours. ","")&amp;IF(M956="","Date not readable. ","")&amp;IF(N956="No","Outside fiscal year. ","")&amp;IF(AND(F956="Event",ISNUMBER(R956)),IF(R956&gt;12,"Event hours look high. ",""),"")&amp;IF(G956&gt;0,"See CONFIRM sheet.",""))</f>
        <v/>
      </c>
      <c r="AB956" s="1" t="n">
        <f aca="false">IF(N956="No",0,IF(REVIEW!O956=0,0,IF(G956&gt;0,IF(INDEX(CONFIRM!$J$5:$J$53,G956)&lt;&gt;"",INDEX(CONFIRM!$J$5:$J$53,G956),1),1)))</f>
        <v>1</v>
      </c>
      <c r="AC956" s="1" t="n">
        <f aca="false">IF(AB956=1,IF(COUNTIFS($B$5:B956,B956,$D$5:D956,D956,$AB$5:AB956,1)=1,1,0),0)</f>
        <v>0</v>
      </c>
    </row>
    <row r="957" customFormat="false" ht="15" hidden="false" customHeight="false" outlineLevel="0" collapsed="false">
      <c r="A957" s="48" t="str">
        <f aca="false">STACK!A957</f>
        <v>CBH-0129</v>
      </c>
      <c r="B957" s="48" t="str">
        <f aca="false">STACK!B957</f>
        <v>CBH</v>
      </c>
      <c r="C957" s="48" t="str">
        <f aca="false">STACK!E957</f>
        <v>Naloxone Training</v>
      </c>
      <c r="D957" s="1" t="str">
        <f aca="false">IFERROR(INDEX(MAP!$J$7:$J$101,MATCH(TRIM(C957),MAP!$I$7:$I$101,0)),"UNMAPPED")</f>
        <v>Naloxone Training and Distribution</v>
      </c>
      <c r="E957" s="1" t="str">
        <f aca="false">IFERROR(INDEX(MAP!$K$7:$K$101,MATCH(TRIM(C957),MAP!$I$7:$I$101,0)),"")</f>
        <v>Behavioral health</v>
      </c>
      <c r="F957" s="1" t="str">
        <f aca="false">IFERROR(INDEX(MAP!$L$7:$L$101,MATCH(TRIM(C957),MAP!$I$7:$I$101,0)),"")</f>
        <v>Event</v>
      </c>
      <c r="G957" s="1" t="n">
        <f aca="false">IFERROR(MATCH(A957,CONFIRM!$A$5:$A$53,0),0)</f>
        <v>0</v>
      </c>
      <c r="H957" s="48" t="str">
        <f aca="false">STACK!F957</f>
        <v>Health Education</v>
      </c>
      <c r="I957" s="1" t="str">
        <f aca="false">IF(G957&gt;0,IF(INDEX(CONFIRM!$I$5:$I$53,G957)&lt;&gt;"",INDEX(CONFIRM!$I$5:$I$53,G957),H957),H957)</f>
        <v>Health Education</v>
      </c>
      <c r="J957" s="1" t="str">
        <f aca="false">IFERROR(INDEX(MAP!$F$7:$F$74,MATCH(TRIM(I957),MAP!$E$7:$E$74,0)),"UNMAPPED")</f>
        <v>Community health education</v>
      </c>
      <c r="K957" s="1" t="str">
        <f aca="false">IFERROR(INDEX(MAP!$G$7:$G$74,MATCH(TRIM(I957),MAP!$E$7:$E$74,0)),"UNMAPPED")</f>
        <v>7e</v>
      </c>
      <c r="L957" s="49" t="str">
        <f aca="false">STACK!G957</f>
        <v>2025-12-19</v>
      </c>
      <c r="M957" s="59" t="n">
        <f aca="false">IF(G957&gt;0,IF(INDEX(CONFIRM!$G$5:$G$53,G957)&lt;&gt;"",INDEX(CONFIRM!$G$5:$G$53,G957),IF(ISNUMBER(L957),L957,IFERROR(DATEVALUE(L957),""))),IF(ISNUMBER(L957),L957,IFERROR(DATEVALUE(L957),"")))</f>
        <v>46010</v>
      </c>
      <c r="N957" s="1" t="str">
        <f aca="false">IF(M957="","Check",IF(AND(M957&gt;=INPUTS!$C$6,M957&lt;=INPUTS!$C$7),"Yes","No"))</f>
        <v>Yes</v>
      </c>
      <c r="O957" s="48" t="str">
        <f aca="false">STACK!H957</f>
        <v>CHES</v>
      </c>
      <c r="P957" s="1" t="str">
        <f aca="false">IF(G957&gt;0,IF(INDEX(CONFIRM!$H$5:$H$53,G957)&lt;&gt;"",INDEX(CONFIRM!$H$5:$H$53,G957),IFERROR(INDEX(MAP!$B$7:$B$156,MATCH(TRIM(O957),MAP!$A$7:$A$156,0)),"UNMAPPED")),IFERROR(INDEX(MAP!$B$7:$B$156,MATCH(TRIM(O957),MAP!$A$7:$A$156,0)),"UNMAPPED"))</f>
        <v>Health Educator</v>
      </c>
      <c r="Q957" s="48" t="n">
        <f aca="false">STACK!I957</f>
        <v>3</v>
      </c>
      <c r="R957" s="60" t="n">
        <f aca="false">IF(G957&gt;0,IF(INDEX(CONFIRM!$F$5:$F$53,G957)&lt;&gt;"",INDEX(CONFIRM!$F$5:$F$53,G957),IF(ISNUMBER(Q957),Q957,IF(Q957="","",IFERROR(VALUE(TRIM(SUBSTITUTE(SUBSTITUTE(LOWER(Q957),"hrs",""),"hr",""))),"")))),IF(ISNUMBER(Q957),Q957,IF(Q957="","",IFERROR(VALUE(TRIM(SUBSTITUTE(SUBSTITUTE(LOWER(Q957),"hrs",""),"hr",""))),""))))</f>
        <v>3</v>
      </c>
      <c r="S957" s="57" t="n">
        <f aca="false">IFERROR(INDEX(RATES!$E$6:$E$28,MATCH(P957,RATES!$A$6:$A$28,0)),0)</f>
        <v>37.265</v>
      </c>
      <c r="T957" s="61" t="n">
        <f aca="false">IF(ISNUMBER(R957),R957,0)*S957</f>
        <v>111.795</v>
      </c>
      <c r="U957" s="61" t="n">
        <f aca="false">T957*INDEX(INPUTS!$H$10:$H$14,MATCH(B957,INPUTS!$A$10:$A$14,0))</f>
        <v>17.66361</v>
      </c>
      <c r="V957" s="61" t="n">
        <f aca="false">N(STACK!K957)</f>
        <v>0</v>
      </c>
      <c r="W957" s="61" t="n">
        <f aca="false">T957+U957+V957</f>
        <v>129.45861</v>
      </c>
      <c r="X957" s="61" t="n">
        <f aca="false">N(STACK!L957)</f>
        <v>0</v>
      </c>
      <c r="Y957" s="61" t="n">
        <f aca="false">W957-X957</f>
        <v>129.45861</v>
      </c>
      <c r="Z957" s="1" t="n">
        <f aca="false">N(STACK!J957)</f>
        <v>0</v>
      </c>
      <c r="AA957" s="1" t="str">
        <f aca="false">TRIM(IF(D957="UNMAPPED","Program not mapped. ","")&amp;IF(OR(K957="UNMAPPED",K957="UNASSIGNED"),"Category needs review. ","")&amp;IF(P957="UNMAPPED","Title not mapped. ","")&amp;IF(AND(P957&lt;&gt;"No staff time",R957=""),"Missing hours. ","")&amp;IF(M957="","Date not readable. ","")&amp;IF(N957="No","Outside fiscal year. ","")&amp;IF(AND(F957="Event",ISNUMBER(R957)),IF(R957&gt;12,"Event hours look high. ",""),"")&amp;IF(G957&gt;0,"See CONFIRM sheet.",""))</f>
        <v/>
      </c>
      <c r="AB957" s="1" t="n">
        <f aca="false">IF(N957="No",0,IF(REVIEW!O957=0,0,IF(G957&gt;0,IF(INDEX(CONFIRM!$J$5:$J$53,G957)&lt;&gt;"",INDEX(CONFIRM!$J$5:$J$53,G957),1),1)))</f>
        <v>1</v>
      </c>
      <c r="AC957" s="1" t="n">
        <f aca="false">IF(AB957=1,IF(COUNTIFS($B$5:B957,B957,$D$5:D957,D957,$AB$5:AB957,1)=1,1,0),0)</f>
        <v>0</v>
      </c>
    </row>
    <row r="958" customFormat="false" ht="15" hidden="false" customHeight="false" outlineLevel="0" collapsed="false">
      <c r="A958" s="48" t="str">
        <f aca="false">STACK!A958</f>
        <v>CBH-0130</v>
      </c>
      <c r="B958" s="48" t="str">
        <f aca="false">STACK!B958</f>
        <v>CBH</v>
      </c>
      <c r="C958" s="48" t="str">
        <f aca="false">STACK!E958</f>
        <v>Naloxone Training</v>
      </c>
      <c r="D958" s="1" t="str">
        <f aca="false">IFERROR(INDEX(MAP!$J$7:$J$101,MATCH(TRIM(C958),MAP!$I$7:$I$101,0)),"UNMAPPED")</f>
        <v>Naloxone Training and Distribution</v>
      </c>
      <c r="E958" s="1" t="str">
        <f aca="false">IFERROR(INDEX(MAP!$K$7:$K$101,MATCH(TRIM(C958),MAP!$I$7:$I$101,0)),"")</f>
        <v>Behavioral health</v>
      </c>
      <c r="F958" s="1" t="str">
        <f aca="false">IFERROR(INDEX(MAP!$L$7:$L$101,MATCH(TRIM(C958),MAP!$I$7:$I$101,0)),"")</f>
        <v>Event</v>
      </c>
      <c r="G958" s="1" t="n">
        <f aca="false">IFERROR(MATCH(A958,CONFIRM!$A$5:$A$53,0),0)</f>
        <v>0</v>
      </c>
      <c r="H958" s="48" t="str">
        <f aca="false">STACK!F958</f>
        <v>Health Education</v>
      </c>
      <c r="I958" s="1" t="str">
        <f aca="false">IF(G958&gt;0,IF(INDEX(CONFIRM!$I$5:$I$53,G958)&lt;&gt;"",INDEX(CONFIRM!$I$5:$I$53,G958),H958),H958)</f>
        <v>Health Education</v>
      </c>
      <c r="J958" s="1" t="str">
        <f aca="false">IFERROR(INDEX(MAP!$F$7:$F$74,MATCH(TRIM(I958),MAP!$E$7:$E$74,0)),"UNMAPPED")</f>
        <v>Community health education</v>
      </c>
      <c r="K958" s="1" t="str">
        <f aca="false">IFERROR(INDEX(MAP!$G$7:$G$74,MATCH(TRIM(I958),MAP!$E$7:$E$74,0)),"UNMAPPED")</f>
        <v>7e</v>
      </c>
      <c r="L958" s="49" t="str">
        <f aca="false">STACK!G958</f>
        <v>2025-12-19</v>
      </c>
      <c r="M958" s="59" t="n">
        <f aca="false">IF(G958&gt;0,IF(INDEX(CONFIRM!$G$5:$G$53,G958)&lt;&gt;"",INDEX(CONFIRM!$G$5:$G$53,G958),IF(ISNUMBER(L958),L958,IFERROR(DATEVALUE(L958),""))),IF(ISNUMBER(L958),L958,IFERROR(DATEVALUE(L958),"")))</f>
        <v>46010</v>
      </c>
      <c r="N958" s="1" t="str">
        <f aca="false">IF(M958="","Check",IF(AND(M958&gt;=INPUTS!$C$6,M958&lt;=INPUTS!$C$7),"Yes","No"))</f>
        <v>Yes</v>
      </c>
      <c r="O958" s="48" t="str">
        <f aca="false">STACK!H958</f>
        <v>Clinical Pharmacist </v>
      </c>
      <c r="P958" s="1" t="str">
        <f aca="false">IF(G958&gt;0,IF(INDEX(CONFIRM!$H$5:$H$53,G958)&lt;&gt;"",INDEX(CONFIRM!$H$5:$H$53,G958),IFERROR(INDEX(MAP!$B$7:$B$156,MATCH(TRIM(O958),MAP!$A$7:$A$156,0)),"UNMAPPED")),IFERROR(INDEX(MAP!$B$7:$B$156,MATCH(TRIM(O958),MAP!$A$7:$A$156,0)),"UNMAPPED"))</f>
        <v>Pharmacist</v>
      </c>
      <c r="Q958" s="48" t="n">
        <f aca="false">STACK!I958</f>
        <v>2.5</v>
      </c>
      <c r="R958" s="60" t="n">
        <f aca="false">IF(G958&gt;0,IF(INDEX(CONFIRM!$F$5:$F$53,G958)&lt;&gt;"",INDEX(CONFIRM!$F$5:$F$53,G958),IF(ISNUMBER(Q958),Q958,IF(Q958="","",IFERROR(VALUE(TRIM(SUBSTITUTE(SUBSTITUTE(LOWER(Q958),"hrs",""),"hr",""))),"")))),IF(ISNUMBER(Q958),Q958,IF(Q958="","",IFERROR(VALUE(TRIM(SUBSTITUTE(SUBSTITUTE(LOWER(Q958),"hrs",""),"hr",""))),""))))</f>
        <v>2.5</v>
      </c>
      <c r="S958" s="57" t="n">
        <f aca="false">IFERROR(INDEX(RATES!$E$6:$E$28,MATCH(P958,RATES!$A$6:$A$28,0)),0)</f>
        <v>84.81</v>
      </c>
      <c r="T958" s="61" t="n">
        <f aca="false">IF(ISNUMBER(R958),R958,0)*S958</f>
        <v>212.025</v>
      </c>
      <c r="U958" s="61" t="n">
        <f aca="false">T958*INDEX(INPUTS!$H$10:$H$14,MATCH(B958,INPUTS!$A$10:$A$14,0))</f>
        <v>33.49995</v>
      </c>
      <c r="V958" s="61" t="n">
        <f aca="false">N(STACK!K958)</f>
        <v>2020</v>
      </c>
      <c r="W958" s="61" t="n">
        <f aca="false">T958+U958+V958</f>
        <v>2265.52495</v>
      </c>
      <c r="X958" s="61" t="n">
        <f aca="false">N(STACK!L958)</f>
        <v>1465</v>
      </c>
      <c r="Y958" s="61" t="n">
        <f aca="false">W958-X958</f>
        <v>800.52495</v>
      </c>
      <c r="Z958" s="1" t="n">
        <f aca="false">N(STACK!J958)</f>
        <v>39</v>
      </c>
      <c r="AA958" s="1" t="str">
        <f aca="false">TRIM(IF(D958="UNMAPPED","Program not mapped. ","")&amp;IF(OR(K958="UNMAPPED",K958="UNASSIGNED"),"Category needs review. ","")&amp;IF(P958="UNMAPPED","Title not mapped. ","")&amp;IF(AND(P958&lt;&gt;"No staff time",R958=""),"Missing hours. ","")&amp;IF(M958="","Date not readable. ","")&amp;IF(N958="No","Outside fiscal year. ","")&amp;IF(AND(F958="Event",ISNUMBER(R958)),IF(R958&gt;12,"Event hours look high. ",""),"")&amp;IF(G958&gt;0,"See CONFIRM sheet.",""))</f>
        <v/>
      </c>
      <c r="AB958" s="1" t="n">
        <f aca="false">IF(N958="No",0,IF(REVIEW!O958=0,0,IF(G958&gt;0,IF(INDEX(CONFIRM!$J$5:$J$53,G958)&lt;&gt;"",INDEX(CONFIRM!$J$5:$J$53,G958),1),1)))</f>
        <v>1</v>
      </c>
      <c r="AC958" s="1" t="n">
        <f aca="false">IF(AB958=1,IF(COUNTIFS($B$5:B958,B958,$D$5:D958,D958,$AB$5:AB958,1)=1,1,0),0)</f>
        <v>0</v>
      </c>
    </row>
    <row r="959" customFormat="false" ht="15" hidden="false" customHeight="false" outlineLevel="0" collapsed="false">
      <c r="A959" s="48" t="str">
        <f aca="false">STACK!A959</f>
        <v>CBH-0131</v>
      </c>
      <c r="B959" s="48" t="str">
        <f aca="false">STACK!B959</f>
        <v>CBH</v>
      </c>
      <c r="C959" s="48" t="str">
        <f aca="false">STACK!E959</f>
        <v>Prenatal &amp; Newborn Classes</v>
      </c>
      <c r="D959" s="1" t="str">
        <f aca="false">IFERROR(INDEX(MAP!$J$7:$J$101,MATCH(TRIM(C959),MAP!$I$7:$I$101,0)),"UNMAPPED")</f>
        <v>Childbirth and Newborn Care Classes</v>
      </c>
      <c r="E959" s="1" t="str">
        <f aca="false">IFERROR(INDEX(MAP!$K$7:$K$101,MATCH(TRIM(C959),MAP!$I$7:$I$101,0)),"")</f>
        <v>Maternal and child health</v>
      </c>
      <c r="F959" s="1" t="str">
        <f aca="false">IFERROR(INDEX(MAP!$L$7:$L$101,MATCH(TRIM(C959),MAP!$I$7:$I$101,0)),"")</f>
        <v>Event</v>
      </c>
      <c r="G959" s="1" t="n">
        <f aca="false">IFERROR(MATCH(A959,CONFIRM!$A$5:$A$53,0),0)</f>
        <v>0</v>
      </c>
      <c r="H959" s="48" t="str">
        <f aca="false">STACK!F959</f>
        <v>Health Education</v>
      </c>
      <c r="I959" s="1" t="str">
        <f aca="false">IF(G959&gt;0,IF(INDEX(CONFIRM!$I$5:$I$53,G959)&lt;&gt;"",INDEX(CONFIRM!$I$5:$I$53,G959),H959),H959)</f>
        <v>Health Education</v>
      </c>
      <c r="J959" s="1" t="str">
        <f aca="false">IFERROR(INDEX(MAP!$F$7:$F$74,MATCH(TRIM(I959),MAP!$E$7:$E$74,0)),"UNMAPPED")</f>
        <v>Community health education</v>
      </c>
      <c r="K959" s="1" t="str">
        <f aca="false">IFERROR(INDEX(MAP!$G$7:$G$74,MATCH(TRIM(I959),MAP!$E$7:$E$74,0)),"UNMAPPED")</f>
        <v>7e</v>
      </c>
      <c r="L959" s="49" t="str">
        <f aca="false">STACK!G959</f>
        <v>2025-12-20</v>
      </c>
      <c r="M959" s="59" t="n">
        <f aca="false">IF(G959&gt;0,IF(INDEX(CONFIRM!$G$5:$G$53,G959)&lt;&gt;"",INDEX(CONFIRM!$G$5:$G$53,G959),IF(ISNUMBER(L959),L959,IFERROR(DATEVALUE(L959),""))),IF(ISNUMBER(L959),L959,IFERROR(DATEVALUE(L959),"")))</f>
        <v>46011</v>
      </c>
      <c r="N959" s="1" t="str">
        <f aca="false">IF(M959="","Check",IF(AND(M959&gt;=INPUTS!$C$6,M959&lt;=INPUTS!$C$7),"Yes","No"))</f>
        <v>Yes</v>
      </c>
      <c r="O959" s="48" t="str">
        <f aca="false">STACK!H959</f>
        <v>Clinical Nurse Educator</v>
      </c>
      <c r="P959" s="1" t="str">
        <f aca="false">IF(G959&gt;0,IF(INDEX(CONFIRM!$H$5:$H$53,G959)&lt;&gt;"",INDEX(CONFIRM!$H$5:$H$53,G959),IFERROR(INDEX(MAP!$B$7:$B$156,MATCH(TRIM(O959),MAP!$A$7:$A$156,0)),"UNMAPPED")),IFERROR(INDEX(MAP!$B$7:$B$156,MATCH(TRIM(O959),MAP!$A$7:$A$156,0)),"UNMAPPED"))</f>
        <v>Clinical Nurse Educator</v>
      </c>
      <c r="Q959" s="48" t="n">
        <f aca="false">STACK!I959</f>
        <v>3.5</v>
      </c>
      <c r="R959" s="60" t="n">
        <f aca="false">IF(G959&gt;0,IF(INDEX(CONFIRM!$F$5:$F$53,G959)&lt;&gt;"",INDEX(CONFIRM!$F$5:$F$53,G959),IF(ISNUMBER(Q959),Q959,IF(Q959="","",IFERROR(VALUE(TRIM(SUBSTITUTE(SUBSTITUTE(LOWER(Q959),"hrs",""),"hr",""))),"")))),IF(ISNUMBER(Q959),Q959,IF(Q959="","",IFERROR(VALUE(TRIM(SUBSTITUTE(SUBSTITUTE(LOWER(Q959),"hrs",""),"hr",""))),""))))</f>
        <v>3.5</v>
      </c>
      <c r="S959" s="57" t="n">
        <f aca="false">IFERROR(INDEX(RATES!$E$6:$E$28,MATCH(P959,RATES!$A$6:$A$28,0)),0)</f>
        <v>62.965</v>
      </c>
      <c r="T959" s="61" t="n">
        <f aca="false">IF(ISNUMBER(R959),R959,0)*S959</f>
        <v>220.3775</v>
      </c>
      <c r="U959" s="61" t="n">
        <f aca="false">T959*INDEX(INPUTS!$H$10:$H$14,MATCH(B959,INPUTS!$A$10:$A$14,0))</f>
        <v>34.819645</v>
      </c>
      <c r="V959" s="61" t="n">
        <f aca="false">N(STACK!K959)</f>
        <v>85</v>
      </c>
      <c r="W959" s="61" t="n">
        <f aca="false">T959+U959+V959</f>
        <v>340.197145</v>
      </c>
      <c r="X959" s="61" t="n">
        <f aca="false">N(STACK!L959)</f>
        <v>380</v>
      </c>
      <c r="Y959" s="61" t="n">
        <f aca="false">W959-X959</f>
        <v>-39.802855</v>
      </c>
      <c r="Z959" s="1" t="n">
        <f aca="false">N(STACK!J959)</f>
        <v>19</v>
      </c>
      <c r="AA959" s="1" t="str">
        <f aca="false">TRIM(IF(D959="UNMAPPED","Program not mapped. ","")&amp;IF(OR(K959="UNMAPPED",K959="UNASSIGNED"),"Category needs review. ","")&amp;IF(P959="UNMAPPED","Title not mapped. ","")&amp;IF(AND(P959&lt;&gt;"No staff time",R959=""),"Missing hours. ","")&amp;IF(M959="","Date not readable. ","")&amp;IF(N959="No","Outside fiscal year. ","")&amp;IF(AND(F959="Event",ISNUMBER(R959)),IF(R959&gt;12,"Event hours look high. ",""),"")&amp;IF(G959&gt;0,"See CONFIRM sheet.",""))</f>
        <v/>
      </c>
      <c r="AB959" s="1" t="n">
        <f aca="false">IF(N959="No",0,IF(REVIEW!O959=0,0,IF(G959&gt;0,IF(INDEX(CONFIRM!$J$5:$J$53,G959)&lt;&gt;"",INDEX(CONFIRM!$J$5:$J$53,G959),1),1)))</f>
        <v>1</v>
      </c>
      <c r="AC959" s="1" t="n">
        <f aca="false">IF(AB959=1,IF(COUNTIFS($B$5:B959,B959,$D$5:D959,D959,$AB$5:AB959,1)=1,1,0),0)</f>
        <v>0</v>
      </c>
    </row>
    <row r="960" customFormat="false" ht="15" hidden="false" customHeight="false" outlineLevel="0" collapsed="false">
      <c r="A960" s="48" t="str">
        <f aca="false">STACK!A960</f>
        <v>CBH-0132</v>
      </c>
      <c r="B960" s="48" t="str">
        <f aca="false">STACK!B960</f>
        <v>CBH</v>
      </c>
      <c r="C960" s="48" t="str">
        <f aca="false">STACK!E960</f>
        <v>Naloxone Training</v>
      </c>
      <c r="D960" s="1" t="str">
        <f aca="false">IFERROR(INDEX(MAP!$J$7:$J$101,MATCH(TRIM(C960),MAP!$I$7:$I$101,0)),"UNMAPPED")</f>
        <v>Naloxone Training and Distribution</v>
      </c>
      <c r="E960" s="1" t="str">
        <f aca="false">IFERROR(INDEX(MAP!$K$7:$K$101,MATCH(TRIM(C960),MAP!$I$7:$I$101,0)),"")</f>
        <v>Behavioral health</v>
      </c>
      <c r="F960" s="1" t="str">
        <f aca="false">IFERROR(INDEX(MAP!$L$7:$L$101,MATCH(TRIM(C960),MAP!$I$7:$I$101,0)),"")</f>
        <v>Event</v>
      </c>
      <c r="G960" s="1" t="n">
        <f aca="false">IFERROR(MATCH(A960,CONFIRM!$A$5:$A$53,0),0)</f>
        <v>0</v>
      </c>
      <c r="H960" s="48" t="str">
        <f aca="false">STACK!F960</f>
        <v>Health Education</v>
      </c>
      <c r="I960" s="1" t="str">
        <f aca="false">IF(G960&gt;0,IF(INDEX(CONFIRM!$I$5:$I$53,G960)&lt;&gt;"",INDEX(CONFIRM!$I$5:$I$53,G960),H960),H960)</f>
        <v>Health Education</v>
      </c>
      <c r="J960" s="1" t="str">
        <f aca="false">IFERROR(INDEX(MAP!$F$7:$F$74,MATCH(TRIM(I960),MAP!$E$7:$E$74,0)),"UNMAPPED")</f>
        <v>Community health education</v>
      </c>
      <c r="K960" s="1" t="str">
        <f aca="false">IFERROR(INDEX(MAP!$G$7:$G$74,MATCH(TRIM(I960),MAP!$E$7:$E$74,0)),"UNMAPPED")</f>
        <v>7e</v>
      </c>
      <c r="L960" s="49" t="str">
        <f aca="false">STACK!G960</f>
        <v>2025-12-23</v>
      </c>
      <c r="M960" s="59" t="n">
        <f aca="false">IF(G960&gt;0,IF(INDEX(CONFIRM!$G$5:$G$53,G960)&lt;&gt;"",INDEX(CONFIRM!$G$5:$G$53,G960),IF(ISNUMBER(L960),L960,IFERROR(DATEVALUE(L960),""))),IF(ISNUMBER(L960),L960,IFERROR(DATEVALUE(L960),"")))</f>
        <v>46014</v>
      </c>
      <c r="N960" s="1" t="str">
        <f aca="false">IF(M960="","Check",IF(AND(M960&gt;=INPUTS!$C$6,M960&lt;=INPUTS!$C$7),"Yes","No"))</f>
        <v>Yes</v>
      </c>
      <c r="O960" s="48" t="str">
        <f aca="false">STACK!H960</f>
        <v>Health Ed</v>
      </c>
      <c r="P960" s="1" t="str">
        <f aca="false">IF(G960&gt;0,IF(INDEX(CONFIRM!$H$5:$H$53,G960)&lt;&gt;"",INDEX(CONFIRM!$H$5:$H$53,G960),IFERROR(INDEX(MAP!$B$7:$B$156,MATCH(TRIM(O960),MAP!$A$7:$A$156,0)),"UNMAPPED")),IFERROR(INDEX(MAP!$B$7:$B$156,MATCH(TRIM(O960),MAP!$A$7:$A$156,0)),"UNMAPPED"))</f>
        <v>Health Educator</v>
      </c>
      <c r="Q960" s="48" t="n">
        <f aca="false">STACK!I960</f>
        <v>2.75</v>
      </c>
      <c r="R960" s="60" t="n">
        <f aca="false">IF(G960&gt;0,IF(INDEX(CONFIRM!$F$5:$F$53,G960)&lt;&gt;"",INDEX(CONFIRM!$F$5:$F$53,G960),IF(ISNUMBER(Q960),Q960,IF(Q960="","",IFERROR(VALUE(TRIM(SUBSTITUTE(SUBSTITUTE(LOWER(Q960),"hrs",""),"hr",""))),"")))),IF(ISNUMBER(Q960),Q960,IF(Q960="","",IFERROR(VALUE(TRIM(SUBSTITUTE(SUBSTITUTE(LOWER(Q960),"hrs",""),"hr",""))),""))))</f>
        <v>2.75</v>
      </c>
      <c r="S960" s="57" t="n">
        <f aca="false">IFERROR(INDEX(RATES!$E$6:$E$28,MATCH(P960,RATES!$A$6:$A$28,0)),0)</f>
        <v>37.265</v>
      </c>
      <c r="T960" s="61" t="n">
        <f aca="false">IF(ISNUMBER(R960),R960,0)*S960</f>
        <v>102.47875</v>
      </c>
      <c r="U960" s="61" t="n">
        <f aca="false">T960*INDEX(INPUTS!$H$10:$H$14,MATCH(B960,INPUTS!$A$10:$A$14,0))</f>
        <v>16.1916425</v>
      </c>
      <c r="V960" s="61" t="n">
        <f aca="false">N(STACK!K960)</f>
        <v>0</v>
      </c>
      <c r="W960" s="61" t="n">
        <f aca="false">T960+U960+V960</f>
        <v>118.6703925</v>
      </c>
      <c r="X960" s="61" t="n">
        <f aca="false">N(STACK!L960)</f>
        <v>0</v>
      </c>
      <c r="Y960" s="61" t="n">
        <f aca="false">W960-X960</f>
        <v>118.6703925</v>
      </c>
      <c r="Z960" s="1" t="n">
        <f aca="false">N(STACK!J960)</f>
        <v>0</v>
      </c>
      <c r="AA960" s="1" t="str">
        <f aca="false">TRIM(IF(D960="UNMAPPED","Program not mapped. ","")&amp;IF(OR(K960="UNMAPPED",K960="UNASSIGNED"),"Category needs review. ","")&amp;IF(P960="UNMAPPED","Title not mapped. ","")&amp;IF(AND(P960&lt;&gt;"No staff time",R960=""),"Missing hours. ","")&amp;IF(M960="","Date not readable. ","")&amp;IF(N960="No","Outside fiscal year. ","")&amp;IF(AND(F960="Event",ISNUMBER(R960)),IF(R960&gt;12,"Event hours look high. ",""),"")&amp;IF(G960&gt;0,"See CONFIRM sheet.",""))</f>
        <v/>
      </c>
      <c r="AB960" s="1" t="n">
        <f aca="false">IF(N960="No",0,IF(REVIEW!O960=0,0,IF(G960&gt;0,IF(INDEX(CONFIRM!$J$5:$J$53,G960)&lt;&gt;"",INDEX(CONFIRM!$J$5:$J$53,G960),1),1)))</f>
        <v>1</v>
      </c>
      <c r="AC960" s="1" t="n">
        <f aca="false">IF(AB960=1,IF(COUNTIFS($B$5:B960,B960,$D$5:D960,D960,$AB$5:AB960,1)=1,1,0),0)</f>
        <v>0</v>
      </c>
    </row>
    <row r="961" customFormat="false" ht="15" hidden="false" customHeight="false" outlineLevel="0" collapsed="false">
      <c r="A961" s="48" t="str">
        <f aca="false">STACK!A961</f>
        <v>CBH-0133</v>
      </c>
      <c r="B961" s="48" t="str">
        <f aca="false">STACK!B961</f>
        <v>CBH</v>
      </c>
      <c r="C961" s="48" t="str">
        <f aca="false">STACK!E961</f>
        <v>Naloxone Training</v>
      </c>
      <c r="D961" s="1" t="str">
        <f aca="false">IFERROR(INDEX(MAP!$J$7:$J$101,MATCH(TRIM(C961),MAP!$I$7:$I$101,0)),"UNMAPPED")</f>
        <v>Naloxone Training and Distribution</v>
      </c>
      <c r="E961" s="1" t="str">
        <f aca="false">IFERROR(INDEX(MAP!$K$7:$K$101,MATCH(TRIM(C961),MAP!$I$7:$I$101,0)),"")</f>
        <v>Behavioral health</v>
      </c>
      <c r="F961" s="1" t="str">
        <f aca="false">IFERROR(INDEX(MAP!$L$7:$L$101,MATCH(TRIM(C961),MAP!$I$7:$I$101,0)),"")</f>
        <v>Event</v>
      </c>
      <c r="G961" s="1" t="n">
        <f aca="false">IFERROR(MATCH(A961,CONFIRM!$A$5:$A$53,0),0)</f>
        <v>0</v>
      </c>
      <c r="H961" s="48" t="str">
        <f aca="false">STACK!F961</f>
        <v>Health Education</v>
      </c>
      <c r="I961" s="1" t="str">
        <f aca="false">IF(G961&gt;0,IF(INDEX(CONFIRM!$I$5:$I$53,G961)&lt;&gt;"",INDEX(CONFIRM!$I$5:$I$53,G961),H961),H961)</f>
        <v>Health Education</v>
      </c>
      <c r="J961" s="1" t="str">
        <f aca="false">IFERROR(INDEX(MAP!$F$7:$F$74,MATCH(TRIM(I961),MAP!$E$7:$E$74,0)),"UNMAPPED")</f>
        <v>Community health education</v>
      </c>
      <c r="K961" s="1" t="str">
        <f aca="false">IFERROR(INDEX(MAP!$G$7:$G$74,MATCH(TRIM(I961),MAP!$E$7:$E$74,0)),"UNMAPPED")</f>
        <v>7e</v>
      </c>
      <c r="L961" s="49" t="str">
        <f aca="false">STACK!G961</f>
        <v>2025-12-23</v>
      </c>
      <c r="M961" s="59" t="n">
        <f aca="false">IF(G961&gt;0,IF(INDEX(CONFIRM!$G$5:$G$53,G961)&lt;&gt;"",INDEX(CONFIRM!$G$5:$G$53,G961),IF(ISNUMBER(L961),L961,IFERROR(DATEVALUE(L961),""))),IF(ISNUMBER(L961),L961,IFERROR(DATEVALUE(L961),"")))</f>
        <v>46014</v>
      </c>
      <c r="N961" s="1" t="str">
        <f aca="false">IF(M961="","Check",IF(AND(M961&gt;=INPUTS!$C$6,M961&lt;=INPUTS!$C$7),"Yes","No"))</f>
        <v>Yes</v>
      </c>
      <c r="O961" s="48" t="str">
        <f aca="false">STACK!H961</f>
        <v>Clinical Pharmacist</v>
      </c>
      <c r="P961" s="1" t="str">
        <f aca="false">IF(G961&gt;0,IF(INDEX(CONFIRM!$H$5:$H$53,G961)&lt;&gt;"",INDEX(CONFIRM!$H$5:$H$53,G961),IFERROR(INDEX(MAP!$B$7:$B$156,MATCH(TRIM(O961),MAP!$A$7:$A$156,0)),"UNMAPPED")),IFERROR(INDEX(MAP!$B$7:$B$156,MATCH(TRIM(O961),MAP!$A$7:$A$156,0)),"UNMAPPED"))</f>
        <v>Pharmacist</v>
      </c>
      <c r="Q961" s="48" t="n">
        <f aca="false">STACK!I961</f>
        <v>2.5</v>
      </c>
      <c r="R961" s="60" t="n">
        <f aca="false">IF(G961&gt;0,IF(INDEX(CONFIRM!$F$5:$F$53,G961)&lt;&gt;"",INDEX(CONFIRM!$F$5:$F$53,G961),IF(ISNUMBER(Q961),Q961,IF(Q961="","",IFERROR(VALUE(TRIM(SUBSTITUTE(SUBSTITUTE(LOWER(Q961),"hrs",""),"hr",""))),"")))),IF(ISNUMBER(Q961),Q961,IF(Q961="","",IFERROR(VALUE(TRIM(SUBSTITUTE(SUBSTITUTE(LOWER(Q961),"hrs",""),"hr",""))),""))))</f>
        <v>2.5</v>
      </c>
      <c r="S961" s="57" t="n">
        <f aca="false">IFERROR(INDEX(RATES!$E$6:$E$28,MATCH(P961,RATES!$A$6:$A$28,0)),0)</f>
        <v>84.81</v>
      </c>
      <c r="T961" s="61" t="n">
        <f aca="false">IF(ISNUMBER(R961),R961,0)*S961</f>
        <v>212.025</v>
      </c>
      <c r="U961" s="61" t="n">
        <f aca="false">T961*INDEX(INPUTS!$H$10:$H$14,MATCH(B961,INPUTS!$A$10:$A$14,0))</f>
        <v>33.49995</v>
      </c>
      <c r="V961" s="61" t="n">
        <f aca="false">N(STACK!K961)</f>
        <v>1805</v>
      </c>
      <c r="W961" s="61" t="n">
        <f aca="false">T961+U961+V961</f>
        <v>2050.52495</v>
      </c>
      <c r="X961" s="61" t="n">
        <f aca="false">N(STACK!L961)</f>
        <v>1495</v>
      </c>
      <c r="Y961" s="61" t="n">
        <f aca="false">W961-X961</f>
        <v>555.52495</v>
      </c>
      <c r="Z961" s="1" t="n">
        <f aca="false">N(STACK!J961)</f>
        <v>27</v>
      </c>
      <c r="AA961" s="1" t="str">
        <f aca="false">TRIM(IF(D961="UNMAPPED","Program not mapped. ","")&amp;IF(OR(K961="UNMAPPED",K961="UNASSIGNED"),"Category needs review. ","")&amp;IF(P961="UNMAPPED","Title not mapped. ","")&amp;IF(AND(P961&lt;&gt;"No staff time",R961=""),"Missing hours. ","")&amp;IF(M961="","Date not readable. ","")&amp;IF(N961="No","Outside fiscal year. ","")&amp;IF(AND(F961="Event",ISNUMBER(R961)),IF(R961&gt;12,"Event hours look high. ",""),"")&amp;IF(G961&gt;0,"See CONFIRM sheet.",""))</f>
        <v/>
      </c>
      <c r="AB961" s="1" t="n">
        <f aca="false">IF(N961="No",0,IF(REVIEW!O961=0,0,IF(G961&gt;0,IF(INDEX(CONFIRM!$J$5:$J$53,G961)&lt;&gt;"",INDEX(CONFIRM!$J$5:$J$53,G961),1),1)))</f>
        <v>1</v>
      </c>
      <c r="AC961" s="1" t="n">
        <f aca="false">IF(AB961=1,IF(COUNTIFS($B$5:B961,B961,$D$5:D961,D961,$AB$5:AB961,1)=1,1,0),0)</f>
        <v>0</v>
      </c>
    </row>
    <row r="962" customFormat="false" ht="15" hidden="false" customHeight="false" outlineLevel="0" collapsed="false">
      <c r="A962" s="48" t="str">
        <f aca="false">STACK!A962</f>
        <v>CBH-0134</v>
      </c>
      <c r="B962" s="48" t="str">
        <f aca="false">STACK!B962</f>
        <v>CBH</v>
      </c>
      <c r="C962" s="48" t="str">
        <f aca="false">STACK!E962</f>
        <v>Matter of Balance Classes</v>
      </c>
      <c r="D962" s="1" t="str">
        <f aca="false">IFERROR(INDEX(MAP!$J$7:$J$101,MATCH(TRIM(C962),MAP!$I$7:$I$101,0)),"UNMAPPED")</f>
        <v>Fall Prevention Classes for Older Adults</v>
      </c>
      <c r="E962" s="1" t="str">
        <f aca="false">IFERROR(INDEX(MAP!$K$7:$K$101,MATCH(TRIM(C962),MAP!$I$7:$I$101,0)),"")</f>
        <v>Chronic disease prevention</v>
      </c>
      <c r="F962" s="1" t="str">
        <f aca="false">IFERROR(INDEX(MAP!$L$7:$L$101,MATCH(TRIM(C962),MAP!$I$7:$I$101,0)),"")</f>
        <v>Event</v>
      </c>
      <c r="G962" s="1" t="n">
        <f aca="false">IFERROR(MATCH(A962,CONFIRM!$A$5:$A$53,0),0)</f>
        <v>0</v>
      </c>
      <c r="H962" s="48" t="str">
        <f aca="false">STACK!F962</f>
        <v>Health Education</v>
      </c>
      <c r="I962" s="1" t="str">
        <f aca="false">IF(G962&gt;0,IF(INDEX(CONFIRM!$I$5:$I$53,G962)&lt;&gt;"",INDEX(CONFIRM!$I$5:$I$53,G962),H962),H962)</f>
        <v>Health Education</v>
      </c>
      <c r="J962" s="1" t="str">
        <f aca="false">IFERROR(INDEX(MAP!$F$7:$F$74,MATCH(TRIM(I962),MAP!$E$7:$E$74,0)),"UNMAPPED")</f>
        <v>Community health education</v>
      </c>
      <c r="K962" s="1" t="str">
        <f aca="false">IFERROR(INDEX(MAP!$G$7:$G$74,MATCH(TRIM(I962),MAP!$E$7:$E$74,0)),"UNMAPPED")</f>
        <v>7e</v>
      </c>
      <c r="L962" s="49" t="str">
        <f aca="false">STACK!G962</f>
        <v>2025-12-25</v>
      </c>
      <c r="M962" s="59" t="n">
        <f aca="false">IF(G962&gt;0,IF(INDEX(CONFIRM!$G$5:$G$53,G962)&lt;&gt;"",INDEX(CONFIRM!$G$5:$G$53,G962),IF(ISNUMBER(L962),L962,IFERROR(DATEVALUE(L962),""))),IF(ISNUMBER(L962),L962,IFERROR(DATEVALUE(L962),"")))</f>
        <v>46016</v>
      </c>
      <c r="N962" s="1" t="str">
        <f aca="false">IF(M962="","Check",IF(AND(M962&gt;=INPUTS!$C$6,M962&lt;=INPUTS!$C$7),"Yes","No"))</f>
        <v>Yes</v>
      </c>
      <c r="O962" s="48" t="str">
        <f aca="false">STACK!H962</f>
        <v>RRT</v>
      </c>
      <c r="P962" s="1" t="str">
        <f aca="false">IF(G962&gt;0,IF(INDEX(CONFIRM!$H$5:$H$53,G962)&lt;&gt;"",INDEX(CONFIRM!$H$5:$H$53,G962),IFERROR(INDEX(MAP!$B$7:$B$156,MATCH(TRIM(O962),MAP!$A$7:$A$156,0)),"UNMAPPED")),IFERROR(INDEX(MAP!$B$7:$B$156,MATCH(TRIM(O962),MAP!$A$7:$A$156,0)),"UNMAPPED"))</f>
        <v>Licensed Therapist</v>
      </c>
      <c r="Q962" s="48" t="n">
        <f aca="false">STACK!I962</f>
        <v>2</v>
      </c>
      <c r="R962" s="60" t="n">
        <f aca="false">IF(G962&gt;0,IF(INDEX(CONFIRM!$F$5:$F$53,G962)&lt;&gt;"",INDEX(CONFIRM!$F$5:$F$53,G962),IF(ISNUMBER(Q962),Q962,IF(Q962="","",IFERROR(VALUE(TRIM(SUBSTITUTE(SUBSTITUTE(LOWER(Q962),"hrs",""),"hr",""))),"")))),IF(ISNUMBER(Q962),Q962,IF(Q962="","",IFERROR(VALUE(TRIM(SUBSTITUTE(SUBSTITUTE(LOWER(Q962),"hrs",""),"hr",""))),""))))</f>
        <v>2</v>
      </c>
      <c r="S962" s="57" t="n">
        <f aca="false">IFERROR(INDEX(RATES!$E$6:$E$28,MATCH(P962,RATES!$A$6:$A$28,0)),0)</f>
        <v>53.97</v>
      </c>
      <c r="T962" s="61" t="n">
        <f aca="false">IF(ISNUMBER(R962),R962,0)*S962</f>
        <v>107.94</v>
      </c>
      <c r="U962" s="61" t="n">
        <f aca="false">T962*INDEX(INPUTS!$H$10:$H$14,MATCH(B962,INPUTS!$A$10:$A$14,0))</f>
        <v>17.05452</v>
      </c>
      <c r="V962" s="61" t="n">
        <f aca="false">N(STACK!K962)</f>
        <v>40</v>
      </c>
      <c r="W962" s="61" t="n">
        <f aca="false">T962+U962+V962</f>
        <v>164.99452</v>
      </c>
      <c r="X962" s="61" t="n">
        <f aca="false">N(STACK!L962)</f>
        <v>0</v>
      </c>
      <c r="Y962" s="61" t="n">
        <f aca="false">W962-X962</f>
        <v>164.99452</v>
      </c>
      <c r="Z962" s="1" t="n">
        <f aca="false">N(STACK!J962)</f>
        <v>9</v>
      </c>
      <c r="AA962" s="1" t="str">
        <f aca="false">TRIM(IF(D962="UNMAPPED","Program not mapped. ","")&amp;IF(OR(K962="UNMAPPED",K962="UNASSIGNED"),"Category needs review. ","")&amp;IF(P962="UNMAPPED","Title not mapped. ","")&amp;IF(AND(P962&lt;&gt;"No staff time",R962=""),"Missing hours. ","")&amp;IF(M962="","Date not readable. ","")&amp;IF(N962="No","Outside fiscal year. ","")&amp;IF(AND(F962="Event",ISNUMBER(R962)),IF(R962&gt;12,"Event hours look high. ",""),"")&amp;IF(G962&gt;0,"See CONFIRM sheet.",""))</f>
        <v/>
      </c>
      <c r="AB962" s="1" t="n">
        <f aca="false">IF(N962="No",0,IF(REVIEW!O962=0,0,IF(G962&gt;0,IF(INDEX(CONFIRM!$J$5:$J$53,G962)&lt;&gt;"",INDEX(CONFIRM!$J$5:$J$53,G962),1),1)))</f>
        <v>1</v>
      </c>
      <c r="AC962" s="1" t="n">
        <f aca="false">IF(AB962=1,IF(COUNTIFS($B$5:B962,B962,$D$5:D962,D962,$AB$5:AB962,1)=1,1,0),0)</f>
        <v>0</v>
      </c>
    </row>
    <row r="963" customFormat="false" ht="15" hidden="false" customHeight="false" outlineLevel="0" collapsed="false">
      <c r="A963" s="48" t="str">
        <f aca="false">STACK!A963</f>
        <v>CBH-0135</v>
      </c>
      <c r="B963" s="48" t="str">
        <f aca="false">STACK!B963</f>
        <v>CBH</v>
      </c>
      <c r="C963" s="48" t="str">
        <f aca="false">STACK!E963</f>
        <v>Smoke-Free Parks</v>
      </c>
      <c r="D963" s="1" t="str">
        <f aca="false">IFERROR(INDEX(MAP!$J$7:$J$101,MATCH(TRIM(C963),MAP!$I$7:$I$101,0)),"UNMAPPED")</f>
        <v>Smoke-Free Parks Advocacy</v>
      </c>
      <c r="E963" s="1" t="str">
        <f aca="false">IFERROR(INDEX(MAP!$K$7:$K$101,MATCH(TRIM(C963),MAP!$I$7:$I$101,0)),"")</f>
        <v>Chronic disease prevention</v>
      </c>
      <c r="F963" s="1" t="str">
        <f aca="false">IFERROR(INDEX(MAP!$L$7:$L$101,MATCH(TRIM(C963),MAP!$I$7:$I$101,0)),"")</f>
        <v>Event</v>
      </c>
      <c r="G963" s="1" t="n">
        <f aca="false">IFERROR(MATCH(A963,CONFIRM!$A$5:$A$53,0),0)</f>
        <v>0</v>
      </c>
      <c r="H963" s="48" t="str">
        <f aca="false">STACK!F963</f>
        <v>Advocacy</v>
      </c>
      <c r="I963" s="1" t="str">
        <f aca="false">IF(G963&gt;0,IF(INDEX(CONFIRM!$I$5:$I$53,G963)&lt;&gt;"",INDEX(CONFIRM!$I$5:$I$53,G963),H963),H963)</f>
        <v>Advocacy</v>
      </c>
      <c r="J963" s="1" t="str">
        <f aca="false">IFERROR(INDEX(MAP!$F$7:$F$74,MATCH(TRIM(I963),MAP!$E$7:$E$74,0)),"UNMAPPED")</f>
        <v>Community building: health improvement advocacy</v>
      </c>
      <c r="K963" s="1" t="str">
        <f aca="false">IFERROR(INDEX(MAP!$G$7:$G$74,MATCH(TRIM(I963),MAP!$E$7:$E$74,0)),"UNMAPPED")</f>
        <v>II-7</v>
      </c>
      <c r="L963" s="49" t="str">
        <f aca="false">STACK!G963</f>
        <v>2025-12-27</v>
      </c>
      <c r="M963" s="59" t="n">
        <f aca="false">IF(G963&gt;0,IF(INDEX(CONFIRM!$G$5:$G$53,G963)&lt;&gt;"",INDEX(CONFIRM!$G$5:$G$53,G963),IF(ISNUMBER(L963),L963,IFERROR(DATEVALUE(L963),""))),IF(ISNUMBER(L963),L963,IFERROR(DATEVALUE(L963),"")))</f>
        <v>46018</v>
      </c>
      <c r="N963" s="1" t="str">
        <f aca="false">IF(M963="","Check",IF(AND(M963&gt;=INPUTS!$C$6,M963&lt;=INPUTS!$C$7),"Yes","No"))</f>
        <v>Yes</v>
      </c>
      <c r="O963" s="48" t="str">
        <f aca="false">STACK!H963</f>
        <v>Assoc. Director</v>
      </c>
      <c r="P963" s="1" t="str">
        <f aca="false">IF(G963&gt;0,IF(INDEX(CONFIRM!$H$5:$H$53,G963)&lt;&gt;"",INDEX(CONFIRM!$H$5:$H$53,G963),IFERROR(INDEX(MAP!$B$7:$B$156,MATCH(TRIM(O963),MAP!$A$7:$A$156,0)),"UNMAPPED")),IFERROR(INDEX(MAP!$B$7:$B$156,MATCH(TRIM(O963),MAP!$A$7:$A$156,0)),"UNMAPPED"))</f>
        <v>Director</v>
      </c>
      <c r="Q963" s="48" t="n">
        <f aca="false">STACK!I963</f>
        <v>1</v>
      </c>
      <c r="R963" s="60" t="n">
        <f aca="false">IF(G963&gt;0,IF(INDEX(CONFIRM!$F$5:$F$53,G963)&lt;&gt;"",INDEX(CONFIRM!$F$5:$F$53,G963),IF(ISNUMBER(Q963),Q963,IF(Q963="","",IFERROR(VALUE(TRIM(SUBSTITUTE(SUBSTITUTE(LOWER(Q963),"hrs",""),"hr",""))),"")))),IF(ISNUMBER(Q963),Q963,IF(Q963="","",IFERROR(VALUE(TRIM(SUBSTITUTE(SUBSTITUTE(LOWER(Q963),"hrs",""),"hr",""))),""))))</f>
        <v>1</v>
      </c>
      <c r="S963" s="57" t="n">
        <f aca="false">IFERROR(INDEX(RATES!$E$6:$E$28,MATCH(P963,RATES!$A$6:$A$28,0)),0)</f>
        <v>92.52</v>
      </c>
      <c r="T963" s="61" t="n">
        <f aca="false">IF(ISNUMBER(R963),R963,0)*S963</f>
        <v>92.52</v>
      </c>
      <c r="U963" s="61" t="n">
        <f aca="false">T963*INDEX(INPUTS!$H$10:$H$14,MATCH(B963,INPUTS!$A$10:$A$14,0))</f>
        <v>14.61816</v>
      </c>
      <c r="V963" s="61" t="n">
        <f aca="false">N(STACK!K963)</f>
        <v>0</v>
      </c>
      <c r="W963" s="61" t="n">
        <f aca="false">T963+U963+V963</f>
        <v>107.13816</v>
      </c>
      <c r="X963" s="61" t="n">
        <f aca="false">N(STACK!L963)</f>
        <v>0</v>
      </c>
      <c r="Y963" s="61" t="n">
        <f aca="false">W963-X963</f>
        <v>107.13816</v>
      </c>
      <c r="Z963" s="1" t="n">
        <f aca="false">N(STACK!J963)</f>
        <v>0</v>
      </c>
      <c r="AA963" s="1" t="str">
        <f aca="false">TRIM(IF(D963="UNMAPPED","Program not mapped. ","")&amp;IF(OR(K963="UNMAPPED",K963="UNASSIGNED"),"Category needs review. ","")&amp;IF(P963="UNMAPPED","Title not mapped. ","")&amp;IF(AND(P963&lt;&gt;"No staff time",R963=""),"Missing hours. ","")&amp;IF(M963="","Date not readable. ","")&amp;IF(N963="No","Outside fiscal year. ","")&amp;IF(AND(F963="Event",ISNUMBER(R963)),IF(R963&gt;12,"Event hours look high. ",""),"")&amp;IF(G963&gt;0,"See CONFIRM sheet.",""))</f>
        <v/>
      </c>
      <c r="AB963" s="1" t="n">
        <f aca="false">IF(N963="No",0,IF(REVIEW!O963=0,0,IF(G963&gt;0,IF(INDEX(CONFIRM!$J$5:$J$53,G963)&lt;&gt;"",INDEX(CONFIRM!$J$5:$J$53,G963),1),1)))</f>
        <v>1</v>
      </c>
      <c r="AC963" s="1" t="n">
        <f aca="false">IF(AB963=1,IF(COUNTIFS($B$5:B963,B963,$D$5:D963,D963,$AB$5:AB963,1)=1,1,0),0)</f>
        <v>0</v>
      </c>
    </row>
    <row r="964" customFormat="false" ht="15" hidden="false" customHeight="false" outlineLevel="0" collapsed="false">
      <c r="A964" s="48" t="str">
        <f aca="false">STACK!A964</f>
        <v>CBH-0136</v>
      </c>
      <c r="B964" s="48" t="str">
        <f aca="false">STACK!B964</f>
        <v>CBH</v>
      </c>
      <c r="C964" s="48" t="str">
        <f aca="false">STACK!E964</f>
        <v>Smoke-Free Parks</v>
      </c>
      <c r="D964" s="1" t="str">
        <f aca="false">IFERROR(INDEX(MAP!$J$7:$J$101,MATCH(TRIM(C964),MAP!$I$7:$I$101,0)),"UNMAPPED")</f>
        <v>Smoke-Free Parks Advocacy</v>
      </c>
      <c r="E964" s="1" t="str">
        <f aca="false">IFERROR(INDEX(MAP!$K$7:$K$101,MATCH(TRIM(C964),MAP!$I$7:$I$101,0)),"")</f>
        <v>Chronic disease prevention</v>
      </c>
      <c r="F964" s="1" t="str">
        <f aca="false">IFERROR(INDEX(MAP!$L$7:$L$101,MATCH(TRIM(C964),MAP!$I$7:$I$101,0)),"")</f>
        <v>Event</v>
      </c>
      <c r="G964" s="1" t="n">
        <f aca="false">IFERROR(MATCH(A964,CONFIRM!$A$5:$A$53,0),0)</f>
        <v>0</v>
      </c>
      <c r="H964" s="48" t="str">
        <f aca="false">STACK!F964</f>
        <v>Advocacy</v>
      </c>
      <c r="I964" s="1" t="str">
        <f aca="false">IF(G964&gt;0,IF(INDEX(CONFIRM!$I$5:$I$53,G964)&lt;&gt;"",INDEX(CONFIRM!$I$5:$I$53,G964),H964),H964)</f>
        <v>Advocacy</v>
      </c>
      <c r="J964" s="1" t="str">
        <f aca="false">IFERROR(INDEX(MAP!$F$7:$F$74,MATCH(TRIM(I964),MAP!$E$7:$E$74,0)),"UNMAPPED")</f>
        <v>Community building: health improvement advocacy</v>
      </c>
      <c r="K964" s="1" t="str">
        <f aca="false">IFERROR(INDEX(MAP!$G$7:$G$74,MATCH(TRIM(I964),MAP!$E$7:$E$74,0)),"UNMAPPED")</f>
        <v>II-7</v>
      </c>
      <c r="L964" s="49" t="str">
        <f aca="false">STACK!G964</f>
        <v>2025-12-27</v>
      </c>
      <c r="M964" s="59" t="n">
        <f aca="false">IF(G964&gt;0,IF(INDEX(CONFIRM!$G$5:$G$53,G964)&lt;&gt;"",INDEX(CONFIRM!$G$5:$G$53,G964),IF(ISNUMBER(L964),L964,IFERROR(DATEVALUE(L964),""))),IF(ISNUMBER(L964),L964,IFERROR(DATEVALUE(L964),"")))</f>
        <v>46018</v>
      </c>
      <c r="N964" s="1" t="str">
        <f aca="false">IF(M964="","Check",IF(AND(M964&gt;=INPUTS!$C$6,M964&lt;=INPUTS!$C$7),"Yes","No"))</f>
        <v>Yes</v>
      </c>
      <c r="O964" s="48" t="str">
        <f aca="false">STACK!H964</f>
        <v>COMMUNITY EDUCATOR</v>
      </c>
      <c r="P964" s="1" t="str">
        <f aca="false">IF(G964&gt;0,IF(INDEX(CONFIRM!$H$5:$H$53,G964)&lt;&gt;"",INDEX(CONFIRM!$H$5:$H$53,G964),IFERROR(INDEX(MAP!$B$7:$B$156,MATCH(TRIM(O964),MAP!$A$7:$A$156,0)),"UNMAPPED")),IFERROR(INDEX(MAP!$B$7:$B$156,MATCH(TRIM(O964),MAP!$A$7:$A$156,0)),"UNMAPPED"))</f>
        <v>Health Educator</v>
      </c>
      <c r="Q964" s="48" t="n">
        <f aca="false">STACK!I964</f>
        <v>4.75</v>
      </c>
      <c r="R964" s="60" t="n">
        <f aca="false">IF(G964&gt;0,IF(INDEX(CONFIRM!$F$5:$F$53,G964)&lt;&gt;"",INDEX(CONFIRM!$F$5:$F$53,G964),IF(ISNUMBER(Q964),Q964,IF(Q964="","",IFERROR(VALUE(TRIM(SUBSTITUTE(SUBSTITUTE(LOWER(Q964),"hrs",""),"hr",""))),"")))),IF(ISNUMBER(Q964),Q964,IF(Q964="","",IFERROR(VALUE(TRIM(SUBSTITUTE(SUBSTITUTE(LOWER(Q964),"hrs",""),"hr",""))),""))))</f>
        <v>4.75</v>
      </c>
      <c r="S964" s="57" t="n">
        <f aca="false">IFERROR(INDEX(RATES!$E$6:$E$28,MATCH(P964,RATES!$A$6:$A$28,0)),0)</f>
        <v>37.265</v>
      </c>
      <c r="T964" s="61" t="n">
        <f aca="false">IF(ISNUMBER(R964),R964,0)*S964</f>
        <v>177.00875</v>
      </c>
      <c r="U964" s="61" t="n">
        <f aca="false">T964*INDEX(INPUTS!$H$10:$H$14,MATCH(B964,INPUTS!$A$10:$A$14,0))</f>
        <v>27.9673825</v>
      </c>
      <c r="V964" s="61" t="n">
        <f aca="false">N(STACK!K964)</f>
        <v>410</v>
      </c>
      <c r="W964" s="61" t="n">
        <f aca="false">T964+U964+V964</f>
        <v>614.9761325</v>
      </c>
      <c r="X964" s="61" t="n">
        <f aca="false">N(STACK!L964)</f>
        <v>0</v>
      </c>
      <c r="Y964" s="61" t="n">
        <f aca="false">W964-X964</f>
        <v>614.9761325</v>
      </c>
      <c r="Z964" s="1" t="n">
        <f aca="false">N(STACK!J964)</f>
        <v>0</v>
      </c>
      <c r="AA964" s="1" t="str">
        <f aca="false">TRIM(IF(D964="UNMAPPED","Program not mapped. ","")&amp;IF(OR(K964="UNMAPPED",K964="UNASSIGNED"),"Category needs review. ","")&amp;IF(P964="UNMAPPED","Title not mapped. ","")&amp;IF(AND(P964&lt;&gt;"No staff time",R964=""),"Missing hours. ","")&amp;IF(M964="","Date not readable. ","")&amp;IF(N964="No","Outside fiscal year. ","")&amp;IF(AND(F964="Event",ISNUMBER(R964)),IF(R964&gt;12,"Event hours look high. ",""),"")&amp;IF(G964&gt;0,"See CONFIRM sheet.",""))</f>
        <v/>
      </c>
      <c r="AB964" s="1" t="n">
        <f aca="false">IF(N964="No",0,IF(REVIEW!O964=0,0,IF(G964&gt;0,IF(INDEX(CONFIRM!$J$5:$J$53,G964)&lt;&gt;"",INDEX(CONFIRM!$J$5:$J$53,G964),1),1)))</f>
        <v>1</v>
      </c>
      <c r="AC964" s="1" t="n">
        <f aca="false">IF(AB964=1,IF(COUNTIFS($B$5:B964,B964,$D$5:D964,D964,$AB$5:AB964,1)=1,1,0),0)</f>
        <v>0</v>
      </c>
    </row>
    <row r="965" customFormat="false" ht="15" hidden="false" customHeight="false" outlineLevel="0" collapsed="false">
      <c r="A965" s="48" t="str">
        <f aca="false">STACK!A965</f>
        <v>CBH-0137</v>
      </c>
      <c r="B965" s="48" t="str">
        <f aca="false">STACK!B965</f>
        <v>CBH</v>
      </c>
      <c r="C965" s="48" t="str">
        <f aca="false">STACK!E965</f>
        <v>Prenatal &amp; Newborn Classes</v>
      </c>
      <c r="D965" s="1" t="str">
        <f aca="false">IFERROR(INDEX(MAP!$J$7:$J$101,MATCH(TRIM(C965),MAP!$I$7:$I$101,0)),"UNMAPPED")</f>
        <v>Childbirth and Newborn Care Classes</v>
      </c>
      <c r="E965" s="1" t="str">
        <f aca="false">IFERROR(INDEX(MAP!$K$7:$K$101,MATCH(TRIM(C965),MAP!$I$7:$I$101,0)),"")</f>
        <v>Maternal and child health</v>
      </c>
      <c r="F965" s="1" t="str">
        <f aca="false">IFERROR(INDEX(MAP!$L$7:$L$101,MATCH(TRIM(C965),MAP!$I$7:$I$101,0)),"")</f>
        <v>Event</v>
      </c>
      <c r="G965" s="1" t="n">
        <f aca="false">IFERROR(MATCH(A965,CONFIRM!$A$5:$A$53,0),0)</f>
        <v>0</v>
      </c>
      <c r="H965" s="48" t="str">
        <f aca="false">STACK!F965</f>
        <v>Health Education</v>
      </c>
      <c r="I965" s="1" t="str">
        <f aca="false">IF(G965&gt;0,IF(INDEX(CONFIRM!$I$5:$I$53,G965)&lt;&gt;"",INDEX(CONFIRM!$I$5:$I$53,G965),H965),H965)</f>
        <v>Health Education</v>
      </c>
      <c r="J965" s="1" t="str">
        <f aca="false">IFERROR(INDEX(MAP!$F$7:$F$74,MATCH(TRIM(I965),MAP!$E$7:$E$74,0)),"UNMAPPED")</f>
        <v>Community health education</v>
      </c>
      <c r="K965" s="1" t="str">
        <f aca="false">IFERROR(INDEX(MAP!$G$7:$G$74,MATCH(TRIM(I965),MAP!$E$7:$E$74,0)),"UNMAPPED")</f>
        <v>7e</v>
      </c>
      <c r="L965" s="49" t="str">
        <f aca="false">STACK!G965</f>
        <v>2025-12-30</v>
      </c>
      <c r="M965" s="59" t="n">
        <f aca="false">IF(G965&gt;0,IF(INDEX(CONFIRM!$G$5:$G$53,G965)&lt;&gt;"",INDEX(CONFIRM!$G$5:$G$53,G965),IF(ISNUMBER(L965),L965,IFERROR(DATEVALUE(L965),""))),IF(ISNUMBER(L965),L965,IFERROR(DATEVALUE(L965),"")))</f>
        <v>46021</v>
      </c>
      <c r="N965" s="1" t="str">
        <f aca="false">IF(M965="","Check",IF(AND(M965&gt;=INPUTS!$C$6,M965&lt;=INPUTS!$C$7),"Yes","No"))</f>
        <v>Yes</v>
      </c>
      <c r="O965" s="48" t="str">
        <f aca="false">STACK!H965</f>
        <v>Clin Educator</v>
      </c>
      <c r="P965" s="1" t="str">
        <f aca="false">IF(G965&gt;0,IF(INDEX(CONFIRM!$H$5:$H$53,G965)&lt;&gt;"",INDEX(CONFIRM!$H$5:$H$53,G965),IFERROR(INDEX(MAP!$B$7:$B$156,MATCH(TRIM(O965),MAP!$A$7:$A$156,0)),"UNMAPPED")),IFERROR(INDEX(MAP!$B$7:$B$156,MATCH(TRIM(O965),MAP!$A$7:$A$156,0)),"UNMAPPED"))</f>
        <v>Clinical Nurse Educator</v>
      </c>
      <c r="Q965" s="48" t="n">
        <f aca="false">STACK!I965</f>
        <v>3.25</v>
      </c>
      <c r="R965" s="60" t="n">
        <f aca="false">IF(G965&gt;0,IF(INDEX(CONFIRM!$F$5:$F$53,G965)&lt;&gt;"",INDEX(CONFIRM!$F$5:$F$53,G965),IF(ISNUMBER(Q965),Q965,IF(Q965="","",IFERROR(VALUE(TRIM(SUBSTITUTE(SUBSTITUTE(LOWER(Q965),"hrs",""),"hr",""))),"")))),IF(ISNUMBER(Q965),Q965,IF(Q965="","",IFERROR(VALUE(TRIM(SUBSTITUTE(SUBSTITUTE(LOWER(Q965),"hrs",""),"hr",""))),""))))</f>
        <v>3.25</v>
      </c>
      <c r="S965" s="57" t="n">
        <f aca="false">IFERROR(INDEX(RATES!$E$6:$E$28,MATCH(P965,RATES!$A$6:$A$28,0)),0)</f>
        <v>62.965</v>
      </c>
      <c r="T965" s="61" t="n">
        <f aca="false">IF(ISNUMBER(R965),R965,0)*S965</f>
        <v>204.63625</v>
      </c>
      <c r="U965" s="61" t="n">
        <f aca="false">T965*INDEX(INPUTS!$H$10:$H$14,MATCH(B965,INPUTS!$A$10:$A$14,0))</f>
        <v>32.3325275</v>
      </c>
      <c r="V965" s="61" t="n">
        <f aca="false">N(STACK!K965)</f>
        <v>135</v>
      </c>
      <c r="W965" s="61" t="n">
        <f aca="false">T965+U965+V965</f>
        <v>371.9687775</v>
      </c>
      <c r="X965" s="61" t="n">
        <f aca="false">N(STACK!L965)</f>
        <v>400</v>
      </c>
      <c r="Y965" s="61" t="n">
        <f aca="false">W965-X965</f>
        <v>-28.0312225</v>
      </c>
      <c r="Z965" s="1" t="n">
        <f aca="false">N(STACK!J965)</f>
        <v>20</v>
      </c>
      <c r="AA965" s="1" t="str">
        <f aca="false">TRIM(IF(D965="UNMAPPED","Program not mapped. ","")&amp;IF(OR(K965="UNMAPPED",K965="UNASSIGNED"),"Category needs review. ","")&amp;IF(P965="UNMAPPED","Title not mapped. ","")&amp;IF(AND(P965&lt;&gt;"No staff time",R965=""),"Missing hours. ","")&amp;IF(M965="","Date not readable. ","")&amp;IF(N965="No","Outside fiscal year. ","")&amp;IF(AND(F965="Event",ISNUMBER(R965)),IF(R965&gt;12,"Event hours look high. ",""),"")&amp;IF(G965&gt;0,"See CONFIRM sheet.",""))</f>
        <v/>
      </c>
      <c r="AB965" s="1" t="n">
        <f aca="false">IF(N965="No",0,IF(REVIEW!O965=0,0,IF(G965&gt;0,IF(INDEX(CONFIRM!$J$5:$J$53,G965)&lt;&gt;"",INDEX(CONFIRM!$J$5:$J$53,G965),1),1)))</f>
        <v>1</v>
      </c>
      <c r="AC965" s="1" t="n">
        <f aca="false">IF(AB965=1,IF(COUNTIFS($B$5:B965,B965,$D$5:D965,D965,$AB$5:AB965,1)=1,1,0),0)</f>
        <v>0</v>
      </c>
    </row>
    <row r="966" customFormat="false" ht="15" hidden="false" customHeight="false" outlineLevel="0" collapsed="false">
      <c r="A966" s="48" t="str">
        <f aca="false">STACK!A966</f>
        <v>CBH-0138</v>
      </c>
      <c r="B966" s="48" t="str">
        <f aca="false">STACK!B966</f>
        <v>CBH</v>
      </c>
      <c r="C966" s="48" t="str">
        <f aca="false">STACK!E966</f>
        <v>Diabetes Prevention</v>
      </c>
      <c r="D966" s="1" t="str">
        <f aca="false">IFERROR(INDEX(MAP!$J$7:$J$101,MATCH(TRIM(C966),MAP!$I$7:$I$101,0)),"UNMAPPED")</f>
        <v>Diabetes Prevention Classes</v>
      </c>
      <c r="E966" s="1" t="str">
        <f aca="false">IFERROR(INDEX(MAP!$K$7:$K$101,MATCH(TRIM(C966),MAP!$I$7:$I$101,0)),"")</f>
        <v>Chronic disease prevention</v>
      </c>
      <c r="F966" s="1" t="str">
        <f aca="false">IFERROR(INDEX(MAP!$L$7:$L$101,MATCH(TRIM(C966),MAP!$I$7:$I$101,0)),"")</f>
        <v>Event</v>
      </c>
      <c r="G966" s="1" t="n">
        <f aca="false">IFERROR(MATCH(A966,CONFIRM!$A$5:$A$53,0),0)</f>
        <v>0</v>
      </c>
      <c r="H966" s="48" t="str">
        <f aca="false">STACK!F966</f>
        <v>Health Education</v>
      </c>
      <c r="I966" s="1" t="str">
        <f aca="false">IF(G966&gt;0,IF(INDEX(CONFIRM!$I$5:$I$53,G966)&lt;&gt;"",INDEX(CONFIRM!$I$5:$I$53,G966),H966),H966)</f>
        <v>Health Education</v>
      </c>
      <c r="J966" s="1" t="str">
        <f aca="false">IFERROR(INDEX(MAP!$F$7:$F$74,MATCH(TRIM(I966),MAP!$E$7:$E$74,0)),"UNMAPPED")</f>
        <v>Community health education</v>
      </c>
      <c r="K966" s="1" t="str">
        <f aca="false">IFERROR(INDEX(MAP!$G$7:$G$74,MATCH(TRIM(I966),MAP!$E$7:$E$74,0)),"UNMAPPED")</f>
        <v>7e</v>
      </c>
      <c r="L966" s="49" t="str">
        <f aca="false">STACK!G966</f>
        <v>2025-12-31</v>
      </c>
      <c r="M966" s="59" t="n">
        <f aca="false">IF(G966&gt;0,IF(INDEX(CONFIRM!$G$5:$G$53,G966)&lt;&gt;"",INDEX(CONFIRM!$G$5:$G$53,G966),IF(ISNUMBER(L966),L966,IFERROR(DATEVALUE(L966),""))),IF(ISNUMBER(L966),L966,IFERROR(DATEVALUE(L966),"")))</f>
        <v>46022</v>
      </c>
      <c r="N966" s="1" t="str">
        <f aca="false">IF(M966="","Check",IF(AND(M966&gt;=INPUTS!$C$6,M966&lt;=INPUTS!$C$7),"Yes","No"))</f>
        <v>Yes</v>
      </c>
      <c r="O966" s="48" t="str">
        <f aca="false">STACK!H966</f>
        <v>CHES</v>
      </c>
      <c r="P966" s="1" t="str">
        <f aca="false">IF(G966&gt;0,IF(INDEX(CONFIRM!$H$5:$H$53,G966)&lt;&gt;"",INDEX(CONFIRM!$H$5:$H$53,G966),IFERROR(INDEX(MAP!$B$7:$B$156,MATCH(TRIM(O966),MAP!$A$7:$A$156,0)),"UNMAPPED")),IFERROR(INDEX(MAP!$B$7:$B$156,MATCH(TRIM(O966),MAP!$A$7:$A$156,0)),"UNMAPPED"))</f>
        <v>Health Educator</v>
      </c>
      <c r="Q966" s="48" t="n">
        <f aca="false">STACK!I966</f>
        <v>2.5</v>
      </c>
      <c r="R966" s="60" t="n">
        <f aca="false">IF(G966&gt;0,IF(INDEX(CONFIRM!$F$5:$F$53,G966)&lt;&gt;"",INDEX(CONFIRM!$F$5:$F$53,G966),IF(ISNUMBER(Q966),Q966,IF(Q966="","",IFERROR(VALUE(TRIM(SUBSTITUTE(SUBSTITUTE(LOWER(Q966),"hrs",""),"hr",""))),"")))),IF(ISNUMBER(Q966),Q966,IF(Q966="","",IFERROR(VALUE(TRIM(SUBSTITUTE(SUBSTITUTE(LOWER(Q966),"hrs",""),"hr",""))),""))))</f>
        <v>2.5</v>
      </c>
      <c r="S966" s="57" t="n">
        <f aca="false">IFERROR(INDEX(RATES!$E$6:$E$28,MATCH(P966,RATES!$A$6:$A$28,0)),0)</f>
        <v>37.265</v>
      </c>
      <c r="T966" s="61" t="n">
        <f aca="false">IF(ISNUMBER(R966),R966,0)*S966</f>
        <v>93.1625</v>
      </c>
      <c r="U966" s="61" t="n">
        <f aca="false">T966*INDEX(INPUTS!$H$10:$H$14,MATCH(B966,INPUTS!$A$10:$A$14,0))</f>
        <v>14.719675</v>
      </c>
      <c r="V966" s="61" t="n">
        <f aca="false">N(STACK!K966)</f>
        <v>175</v>
      </c>
      <c r="W966" s="61" t="n">
        <f aca="false">T966+U966+V966</f>
        <v>282.882175</v>
      </c>
      <c r="X966" s="61" t="n">
        <f aca="false">N(STACK!L966)</f>
        <v>0</v>
      </c>
      <c r="Y966" s="61" t="n">
        <f aca="false">W966-X966</f>
        <v>282.882175</v>
      </c>
      <c r="Z966" s="1" t="n">
        <f aca="false">N(STACK!J966)</f>
        <v>15</v>
      </c>
      <c r="AA966" s="1" t="str">
        <f aca="false">TRIM(IF(D966="UNMAPPED","Program not mapped. ","")&amp;IF(OR(K966="UNMAPPED",K966="UNASSIGNED"),"Category needs review. ","")&amp;IF(P966="UNMAPPED","Title not mapped. ","")&amp;IF(AND(P966&lt;&gt;"No staff time",R966=""),"Missing hours. ","")&amp;IF(M966="","Date not readable. ","")&amp;IF(N966="No","Outside fiscal year. ","")&amp;IF(AND(F966="Event",ISNUMBER(R966)),IF(R966&gt;12,"Event hours look high. ",""),"")&amp;IF(G966&gt;0,"See CONFIRM sheet.",""))</f>
        <v/>
      </c>
      <c r="AB966" s="1" t="n">
        <f aca="false">IF(N966="No",0,IF(REVIEW!O966=0,0,IF(G966&gt;0,IF(INDEX(CONFIRM!$J$5:$J$53,G966)&lt;&gt;"",INDEX(CONFIRM!$J$5:$J$53,G966),1),1)))</f>
        <v>1</v>
      </c>
      <c r="AC966" s="1" t="n">
        <f aca="false">IF(AB966=1,IF(COUNTIFS($B$5:B966,B966,$D$5:D966,D966,$AB$5:AB966,1)=1,1,0),0)</f>
        <v>0</v>
      </c>
    </row>
    <row r="967" customFormat="false" ht="15" hidden="false" customHeight="false" outlineLevel="0" collapsed="false">
      <c r="A967" s="48" t="str">
        <f aca="false">STACK!A967</f>
        <v>CBH-0139</v>
      </c>
      <c r="B967" s="48" t="str">
        <f aca="false">STACK!B967</f>
        <v>CBH</v>
      </c>
      <c r="C967" s="48" t="str">
        <f aca="false">STACK!E967</f>
        <v>Diabetes Prevention</v>
      </c>
      <c r="D967" s="1" t="str">
        <f aca="false">IFERROR(INDEX(MAP!$J$7:$J$101,MATCH(TRIM(C967),MAP!$I$7:$I$101,0)),"UNMAPPED")</f>
        <v>Diabetes Prevention Classes</v>
      </c>
      <c r="E967" s="1" t="str">
        <f aca="false">IFERROR(INDEX(MAP!$K$7:$K$101,MATCH(TRIM(C967),MAP!$I$7:$I$101,0)),"")</f>
        <v>Chronic disease prevention</v>
      </c>
      <c r="F967" s="1" t="str">
        <f aca="false">IFERROR(INDEX(MAP!$L$7:$L$101,MATCH(TRIM(C967),MAP!$I$7:$I$101,0)),"")</f>
        <v>Event</v>
      </c>
      <c r="G967" s="1" t="n">
        <f aca="false">IFERROR(MATCH(A967,CONFIRM!$A$5:$A$53,0),0)</f>
        <v>0</v>
      </c>
      <c r="H967" s="48" t="str">
        <f aca="false">STACK!F967</f>
        <v>Health Education</v>
      </c>
      <c r="I967" s="1" t="str">
        <f aca="false">IF(G967&gt;0,IF(INDEX(CONFIRM!$I$5:$I$53,G967)&lt;&gt;"",INDEX(CONFIRM!$I$5:$I$53,G967),H967),H967)</f>
        <v>Health Education</v>
      </c>
      <c r="J967" s="1" t="str">
        <f aca="false">IFERROR(INDEX(MAP!$F$7:$F$74,MATCH(TRIM(I967),MAP!$E$7:$E$74,0)),"UNMAPPED")</f>
        <v>Community health education</v>
      </c>
      <c r="K967" s="1" t="str">
        <f aca="false">IFERROR(INDEX(MAP!$G$7:$G$74,MATCH(TRIM(I967),MAP!$E$7:$E$74,0)),"UNMAPPED")</f>
        <v>7e</v>
      </c>
      <c r="L967" s="49" t="str">
        <f aca="false">STACK!G967</f>
        <v>2025-12-31</v>
      </c>
      <c r="M967" s="59" t="n">
        <f aca="false">IF(G967&gt;0,IF(INDEX(CONFIRM!$G$5:$G$53,G967)&lt;&gt;"",INDEX(CONFIRM!$G$5:$G$53,G967),IF(ISNUMBER(L967),L967,IFERROR(DATEVALUE(L967),""))),IF(ISNUMBER(L967),L967,IFERROR(DATEVALUE(L967),"")))</f>
        <v>46022</v>
      </c>
      <c r="N967" s="1" t="str">
        <f aca="false">IF(M967="","Check",IF(AND(M967&gt;=INPUTS!$C$6,M967&lt;=INPUTS!$C$7),"Yes","No"))</f>
        <v>Yes</v>
      </c>
      <c r="O967" s="48" t="str">
        <f aca="false">STACK!H967</f>
        <v>Clinical Dietitian</v>
      </c>
      <c r="P967" s="1" t="str">
        <f aca="false">IF(G967&gt;0,IF(INDEX(CONFIRM!$H$5:$H$53,G967)&lt;&gt;"",INDEX(CONFIRM!$H$5:$H$53,G967),IFERROR(INDEX(MAP!$B$7:$B$156,MATCH(TRIM(O967),MAP!$A$7:$A$156,0)),"UNMAPPED")),IFERROR(INDEX(MAP!$B$7:$B$156,MATCH(TRIM(O967),MAP!$A$7:$A$156,0)),"UNMAPPED"))</f>
        <v>Registered Dietitian</v>
      </c>
      <c r="Q967" s="48" t="n">
        <f aca="false">STACK!I967</f>
        <v>2</v>
      </c>
      <c r="R967" s="60" t="n">
        <f aca="false">IF(G967&gt;0,IF(INDEX(CONFIRM!$F$5:$F$53,G967)&lt;&gt;"",INDEX(CONFIRM!$F$5:$F$53,G967),IF(ISNUMBER(Q967),Q967,IF(Q967="","",IFERROR(VALUE(TRIM(SUBSTITUTE(SUBSTITUTE(LOWER(Q967),"hrs",""),"hr",""))),"")))),IF(ISNUMBER(Q967),Q967,IF(Q967="","",IFERROR(VALUE(TRIM(SUBSTITUTE(SUBSTITUTE(LOWER(Q967),"hrs",""),"hr",""))),""))))</f>
        <v>2</v>
      </c>
      <c r="S967" s="57" t="n">
        <f aca="false">IFERROR(INDEX(RATES!$E$6:$E$28,MATCH(P967,RATES!$A$6:$A$28,0)),0)</f>
        <v>46.9025</v>
      </c>
      <c r="T967" s="61" t="n">
        <f aca="false">IF(ISNUMBER(R967),R967,0)*S967</f>
        <v>93.805</v>
      </c>
      <c r="U967" s="61" t="n">
        <f aca="false">T967*INDEX(INPUTS!$H$10:$H$14,MATCH(B967,INPUTS!$A$10:$A$14,0))</f>
        <v>14.82119</v>
      </c>
      <c r="V967" s="61" t="n">
        <f aca="false">N(STACK!K967)</f>
        <v>0</v>
      </c>
      <c r="W967" s="61" t="n">
        <f aca="false">T967+U967+V967</f>
        <v>108.62619</v>
      </c>
      <c r="X967" s="61" t="n">
        <f aca="false">N(STACK!L967)</f>
        <v>0</v>
      </c>
      <c r="Y967" s="61" t="n">
        <f aca="false">W967-X967</f>
        <v>108.62619</v>
      </c>
      <c r="Z967" s="1" t="n">
        <f aca="false">N(STACK!J967)</f>
        <v>0</v>
      </c>
      <c r="AA967" s="1" t="str">
        <f aca="false">TRIM(IF(D967="UNMAPPED","Program not mapped. ","")&amp;IF(OR(K967="UNMAPPED",K967="UNASSIGNED"),"Category needs review. ","")&amp;IF(P967="UNMAPPED","Title not mapped. ","")&amp;IF(AND(P967&lt;&gt;"No staff time",R967=""),"Missing hours. ","")&amp;IF(M967="","Date not readable. ","")&amp;IF(N967="No","Outside fiscal year. ","")&amp;IF(AND(F967="Event",ISNUMBER(R967)),IF(R967&gt;12,"Event hours look high. ",""),"")&amp;IF(G967&gt;0,"See CONFIRM sheet.",""))</f>
        <v/>
      </c>
      <c r="AB967" s="1" t="n">
        <f aca="false">IF(N967="No",0,IF(REVIEW!O967=0,0,IF(G967&gt;0,IF(INDEX(CONFIRM!$J$5:$J$53,G967)&lt;&gt;"",INDEX(CONFIRM!$J$5:$J$53,G967),1),1)))</f>
        <v>1</v>
      </c>
      <c r="AC967" s="1" t="n">
        <f aca="false">IF(AB967=1,IF(COUNTIFS($B$5:B967,B967,$D$5:D967,D967,$AB$5:AB967,1)=1,1,0),0)</f>
        <v>0</v>
      </c>
    </row>
    <row r="968" customFormat="false" ht="15" hidden="false" customHeight="false" outlineLevel="0" collapsed="false">
      <c r="A968" s="48" t="str">
        <f aca="false">STACK!A968</f>
        <v>CBH-0140</v>
      </c>
      <c r="B968" s="48" t="str">
        <f aca="false">STACK!B968</f>
        <v>CBH</v>
      </c>
      <c r="C968" s="48" t="str">
        <f aca="false">STACK!E968</f>
        <v>Free Clinic Staffing</v>
      </c>
      <c r="D968" s="1" t="str">
        <f aca="false">IFERROR(INDEX(MAP!$J$7:$J$101,MATCH(TRIM(C968),MAP!$I$7:$I$101,0)),"UNMAPPED")</f>
        <v>Free Clinic Provider Staffing</v>
      </c>
      <c r="E968" s="1" t="str">
        <f aca="false">IFERROR(INDEX(MAP!$K$7:$K$101,MATCH(TRIM(C968),MAP!$I$7:$I$101,0)),"")</f>
        <v>Access to care</v>
      </c>
      <c r="F968" s="1" t="str">
        <f aca="false">IFERROR(INDEX(MAP!$L$7:$L$101,MATCH(TRIM(C968),MAP!$I$7:$I$101,0)),"")</f>
        <v>Monthly</v>
      </c>
      <c r="G968" s="1" t="n">
        <f aca="false">IFERROR(MATCH(A968,CONFIRM!$A$5:$A$53,0),0)</f>
        <v>0</v>
      </c>
      <c r="H968" s="48" t="str">
        <f aca="false">STACK!F968</f>
        <v>Screenings</v>
      </c>
      <c r="I968" s="1" t="str">
        <f aca="false">IF(G968&gt;0,IF(INDEX(CONFIRM!$I$5:$I$53,G968)&lt;&gt;"",INDEX(CONFIRM!$I$5:$I$53,G968),H968),H968)</f>
        <v>Screenings</v>
      </c>
      <c r="J968" s="1" t="str">
        <f aca="false">IFERROR(INDEX(MAP!$F$7:$F$74,MATCH(TRIM(I968),MAP!$E$7:$E$74,0)),"UNMAPPED")</f>
        <v>Community-based clinical services</v>
      </c>
      <c r="K968" s="1" t="str">
        <f aca="false">IFERROR(INDEX(MAP!$G$7:$G$74,MATCH(TRIM(I968),MAP!$E$7:$E$74,0)),"UNMAPPED")</f>
        <v>7e</v>
      </c>
      <c r="L968" s="49" t="str">
        <f aca="false">STACK!G968</f>
        <v>2025-12-31</v>
      </c>
      <c r="M968" s="59" t="n">
        <f aca="false">IF(G968&gt;0,IF(INDEX(CONFIRM!$G$5:$G$53,G968)&lt;&gt;"",INDEX(CONFIRM!$G$5:$G$53,G968),IF(ISNUMBER(L968),L968,IFERROR(DATEVALUE(L968),""))),IF(ISNUMBER(L968),L968,IFERROR(DATEVALUE(L968),"")))</f>
        <v>46022</v>
      </c>
      <c r="N968" s="1" t="str">
        <f aca="false">IF(M968="","Check",IF(AND(M968&gt;=INPUTS!$C$6,M968&lt;=INPUTS!$C$7),"Yes","No"))</f>
        <v>Yes</v>
      </c>
      <c r="O968" s="48" t="str">
        <f aca="false">STACK!H968</f>
        <v>FNP</v>
      </c>
      <c r="P968" s="1" t="str">
        <f aca="false">IF(G968&gt;0,IF(INDEX(CONFIRM!$H$5:$H$53,G968)&lt;&gt;"",INDEX(CONFIRM!$H$5:$H$53,G968),IFERROR(INDEX(MAP!$B$7:$B$156,MATCH(TRIM(O968),MAP!$A$7:$A$156,0)),"UNMAPPED")),IFERROR(INDEX(MAP!$B$7:$B$156,MATCH(TRIM(O968),MAP!$A$7:$A$156,0)),"UNMAPPED"))</f>
        <v>Nurse Practitioner</v>
      </c>
      <c r="Q968" s="48" t="n">
        <f aca="false">STACK!I968</f>
        <v>42.75</v>
      </c>
      <c r="R968" s="60" t="n">
        <f aca="false">IF(G968&gt;0,IF(INDEX(CONFIRM!$F$5:$F$53,G968)&lt;&gt;"",INDEX(CONFIRM!$F$5:$F$53,G968),IF(ISNUMBER(Q968),Q968,IF(Q968="","",IFERROR(VALUE(TRIM(SUBSTITUTE(SUBSTITUTE(LOWER(Q968),"hrs",""),"hr",""))),"")))),IF(ISNUMBER(Q968),Q968,IF(Q968="","",IFERROR(VALUE(TRIM(SUBSTITUTE(SUBSTITUTE(LOWER(Q968),"hrs",""),"hr",""))),""))))</f>
        <v>42.75</v>
      </c>
      <c r="S968" s="57" t="n">
        <f aca="false">IFERROR(INDEX(RATES!$E$6:$E$28,MATCH(P968,RATES!$A$6:$A$28,0)),0)</f>
        <v>79.67</v>
      </c>
      <c r="T968" s="61" t="n">
        <f aca="false">IF(ISNUMBER(R968),R968,0)*S968</f>
        <v>3405.8925</v>
      </c>
      <c r="U968" s="61" t="n">
        <f aca="false">T968*INDEX(INPUTS!$H$10:$H$14,MATCH(B968,INPUTS!$A$10:$A$14,0))</f>
        <v>538.131015</v>
      </c>
      <c r="V968" s="61" t="n">
        <f aca="false">N(STACK!K968)</f>
        <v>4165</v>
      </c>
      <c r="W968" s="61" t="n">
        <f aca="false">T968+U968+V968</f>
        <v>8109.023515</v>
      </c>
      <c r="X968" s="61" t="n">
        <f aca="false">N(STACK!L968)</f>
        <v>0</v>
      </c>
      <c r="Y968" s="61" t="n">
        <f aca="false">W968-X968</f>
        <v>8109.023515</v>
      </c>
      <c r="Z968" s="1" t="n">
        <f aca="false">N(STACK!J968)</f>
        <v>301</v>
      </c>
      <c r="AA968" s="1" t="str">
        <f aca="false">TRIM(IF(D968="UNMAPPED","Program not mapped. ","")&amp;IF(OR(K968="UNMAPPED",K968="UNASSIGNED"),"Category needs review. ","")&amp;IF(P968="UNMAPPED","Title not mapped. ","")&amp;IF(AND(P968&lt;&gt;"No staff time",R968=""),"Missing hours. ","")&amp;IF(M968="","Date not readable. ","")&amp;IF(N968="No","Outside fiscal year. ","")&amp;IF(AND(F968="Event",ISNUMBER(R968)),IF(R968&gt;12,"Event hours look high. ",""),"")&amp;IF(G968&gt;0,"See CONFIRM sheet.",""))</f>
        <v/>
      </c>
      <c r="AB968" s="1" t="n">
        <f aca="false">IF(N968="No",0,IF(REVIEW!O968=0,0,IF(G968&gt;0,IF(INDEX(CONFIRM!$J$5:$J$53,G968)&lt;&gt;"",INDEX(CONFIRM!$J$5:$J$53,G968),1),1)))</f>
        <v>1</v>
      </c>
      <c r="AC968" s="1" t="n">
        <f aca="false">IF(AB968=1,IF(COUNTIFS($B$5:B968,B968,$D$5:D968,D968,$AB$5:AB968,1)=1,1,0),0)</f>
        <v>0</v>
      </c>
    </row>
    <row r="969" customFormat="false" ht="15" hidden="false" customHeight="false" outlineLevel="0" collapsed="false">
      <c r="A969" s="48" t="str">
        <f aca="false">STACK!A969</f>
        <v>CBH-0141</v>
      </c>
      <c r="B969" s="48" t="str">
        <f aca="false">STACK!B969</f>
        <v>CBH</v>
      </c>
      <c r="C969" s="48" t="str">
        <f aca="false">STACK!E969</f>
        <v>Free Clinic Staffing</v>
      </c>
      <c r="D969" s="1" t="str">
        <f aca="false">IFERROR(INDEX(MAP!$J$7:$J$101,MATCH(TRIM(C969),MAP!$I$7:$I$101,0)),"UNMAPPED")</f>
        <v>Free Clinic Provider Staffing</v>
      </c>
      <c r="E969" s="1" t="str">
        <f aca="false">IFERROR(INDEX(MAP!$K$7:$K$101,MATCH(TRIM(C969),MAP!$I$7:$I$101,0)),"")</f>
        <v>Access to care</v>
      </c>
      <c r="F969" s="1" t="str">
        <f aca="false">IFERROR(INDEX(MAP!$L$7:$L$101,MATCH(TRIM(C969),MAP!$I$7:$I$101,0)),"")</f>
        <v>Monthly</v>
      </c>
      <c r="G969" s="1" t="n">
        <f aca="false">IFERROR(MATCH(A969,CONFIRM!$A$5:$A$53,0),0)</f>
        <v>0</v>
      </c>
      <c r="H969" s="48" t="str">
        <f aca="false">STACK!F969</f>
        <v>Screenings</v>
      </c>
      <c r="I969" s="1" t="str">
        <f aca="false">IF(G969&gt;0,IF(INDEX(CONFIRM!$I$5:$I$53,G969)&lt;&gt;"",INDEX(CONFIRM!$I$5:$I$53,G969),H969),H969)</f>
        <v>Screenings</v>
      </c>
      <c r="J969" s="1" t="str">
        <f aca="false">IFERROR(INDEX(MAP!$F$7:$F$74,MATCH(TRIM(I969),MAP!$E$7:$E$74,0)),"UNMAPPED")</f>
        <v>Community-based clinical services</v>
      </c>
      <c r="K969" s="1" t="str">
        <f aca="false">IFERROR(INDEX(MAP!$G$7:$G$74,MATCH(TRIM(I969),MAP!$E$7:$E$74,0)),"UNMAPPED")</f>
        <v>7e</v>
      </c>
      <c r="L969" s="49" t="str">
        <f aca="false">STACK!G969</f>
        <v>2025-12-31</v>
      </c>
      <c r="M969" s="59" t="n">
        <f aca="false">IF(G969&gt;0,IF(INDEX(CONFIRM!$G$5:$G$53,G969)&lt;&gt;"",INDEX(CONFIRM!$G$5:$G$53,G969),IF(ISNUMBER(L969),L969,IFERROR(DATEVALUE(L969),""))),IF(ISNUMBER(L969),L969,IFERROR(DATEVALUE(L969),"")))</f>
        <v>46022</v>
      </c>
      <c r="N969" s="1" t="str">
        <f aca="false">IF(M969="","Check",IF(AND(M969&gt;=INPUTS!$C$6,M969&lt;=INPUTS!$C$7),"Yes","No"))</f>
        <v>Yes</v>
      </c>
      <c r="O969" s="48" t="str">
        <f aca="false">STACK!H969</f>
        <v>Staff Pharmacist</v>
      </c>
      <c r="P969" s="1" t="str">
        <f aca="false">IF(G969&gt;0,IF(INDEX(CONFIRM!$H$5:$H$53,G969)&lt;&gt;"",INDEX(CONFIRM!$H$5:$H$53,G969),IFERROR(INDEX(MAP!$B$7:$B$156,MATCH(TRIM(O969),MAP!$A$7:$A$156,0)),"UNMAPPED")),IFERROR(INDEX(MAP!$B$7:$B$156,MATCH(TRIM(O969),MAP!$A$7:$A$156,0)),"UNMAPPED"))</f>
        <v>Pharmacist</v>
      </c>
      <c r="Q969" s="48" t="n">
        <f aca="false">STACK!I969</f>
        <v>16.5</v>
      </c>
      <c r="R969" s="60" t="n">
        <f aca="false">IF(G969&gt;0,IF(INDEX(CONFIRM!$F$5:$F$53,G969)&lt;&gt;"",INDEX(CONFIRM!$F$5:$F$53,G969),IF(ISNUMBER(Q969),Q969,IF(Q969="","",IFERROR(VALUE(TRIM(SUBSTITUTE(SUBSTITUTE(LOWER(Q969),"hrs",""),"hr",""))),"")))),IF(ISNUMBER(Q969),Q969,IF(Q969="","",IFERROR(VALUE(TRIM(SUBSTITUTE(SUBSTITUTE(LOWER(Q969),"hrs",""),"hr",""))),""))))</f>
        <v>16.5</v>
      </c>
      <c r="S969" s="57" t="n">
        <f aca="false">IFERROR(INDEX(RATES!$E$6:$E$28,MATCH(P969,RATES!$A$6:$A$28,0)),0)</f>
        <v>84.81</v>
      </c>
      <c r="T969" s="61" t="n">
        <f aca="false">IF(ISNUMBER(R969),R969,0)*S969</f>
        <v>1399.365</v>
      </c>
      <c r="U969" s="61" t="n">
        <f aca="false">T969*INDEX(INPUTS!$H$10:$H$14,MATCH(B969,INPUTS!$A$10:$A$14,0))</f>
        <v>221.09967</v>
      </c>
      <c r="V969" s="61" t="n">
        <f aca="false">N(STACK!K969)</f>
        <v>0</v>
      </c>
      <c r="W969" s="61" t="n">
        <f aca="false">T969+U969+V969</f>
        <v>1620.46467</v>
      </c>
      <c r="X969" s="61" t="n">
        <f aca="false">N(STACK!L969)</f>
        <v>0</v>
      </c>
      <c r="Y969" s="61" t="n">
        <f aca="false">W969-X969</f>
        <v>1620.46467</v>
      </c>
      <c r="Z969" s="1" t="n">
        <f aca="false">N(STACK!J969)</f>
        <v>0</v>
      </c>
      <c r="AA969" s="1" t="str">
        <f aca="false">TRIM(IF(D969="UNMAPPED","Program not mapped. ","")&amp;IF(OR(K969="UNMAPPED",K969="UNASSIGNED"),"Category needs review. ","")&amp;IF(P969="UNMAPPED","Title not mapped. ","")&amp;IF(AND(P969&lt;&gt;"No staff time",R969=""),"Missing hours. ","")&amp;IF(M969="","Date not readable. ","")&amp;IF(N969="No","Outside fiscal year. ","")&amp;IF(AND(F969="Event",ISNUMBER(R969)),IF(R969&gt;12,"Event hours look high. ",""),"")&amp;IF(G969&gt;0,"See CONFIRM sheet.",""))</f>
        <v/>
      </c>
      <c r="AB969" s="1" t="n">
        <f aca="false">IF(N969="No",0,IF(REVIEW!O969=0,0,IF(G969&gt;0,IF(INDEX(CONFIRM!$J$5:$J$53,G969)&lt;&gt;"",INDEX(CONFIRM!$J$5:$J$53,G969),1),1)))</f>
        <v>1</v>
      </c>
      <c r="AC969" s="1" t="n">
        <f aca="false">IF(AB969=1,IF(COUNTIFS($B$5:B969,B969,$D$5:D969,D969,$AB$5:AB969,1)=1,1,0),0)</f>
        <v>0</v>
      </c>
    </row>
    <row r="970" customFormat="false" ht="15" hidden="false" customHeight="false" outlineLevel="0" collapsed="false">
      <c r="A970" s="48" t="str">
        <f aca="false">STACK!A970</f>
        <v>CBH-0142</v>
      </c>
      <c r="B970" s="48" t="str">
        <f aca="false">STACK!B970</f>
        <v>CBH</v>
      </c>
      <c r="C970" s="48" t="str">
        <f aca="false">STACK!E970</f>
        <v>Free Clinic Staffing</v>
      </c>
      <c r="D970" s="1" t="str">
        <f aca="false">IFERROR(INDEX(MAP!$J$7:$J$101,MATCH(TRIM(C970),MAP!$I$7:$I$101,0)),"UNMAPPED")</f>
        <v>Free Clinic Provider Staffing</v>
      </c>
      <c r="E970" s="1" t="str">
        <f aca="false">IFERROR(INDEX(MAP!$K$7:$K$101,MATCH(TRIM(C970),MAP!$I$7:$I$101,0)),"")</f>
        <v>Access to care</v>
      </c>
      <c r="F970" s="1" t="str">
        <f aca="false">IFERROR(INDEX(MAP!$L$7:$L$101,MATCH(TRIM(C970),MAP!$I$7:$I$101,0)),"")</f>
        <v>Monthly</v>
      </c>
      <c r="G970" s="1" t="n">
        <f aca="false">IFERROR(MATCH(A970,CONFIRM!$A$5:$A$53,0),0)</f>
        <v>0</v>
      </c>
      <c r="H970" s="48" t="str">
        <f aca="false">STACK!F970</f>
        <v>Screenings</v>
      </c>
      <c r="I970" s="1" t="str">
        <f aca="false">IF(G970&gt;0,IF(INDEX(CONFIRM!$I$5:$I$53,G970)&lt;&gt;"",INDEX(CONFIRM!$I$5:$I$53,G970),H970),H970)</f>
        <v>Screenings</v>
      </c>
      <c r="J970" s="1" t="str">
        <f aca="false">IFERROR(INDEX(MAP!$F$7:$F$74,MATCH(TRIM(I970),MAP!$E$7:$E$74,0)),"UNMAPPED")</f>
        <v>Community-based clinical services</v>
      </c>
      <c r="K970" s="1" t="str">
        <f aca="false">IFERROR(INDEX(MAP!$G$7:$G$74,MATCH(TRIM(I970),MAP!$E$7:$E$74,0)),"UNMAPPED")</f>
        <v>7e</v>
      </c>
      <c r="L970" s="49" t="str">
        <f aca="false">STACK!G970</f>
        <v>2025-12-31</v>
      </c>
      <c r="M970" s="59" t="n">
        <f aca="false">IF(G970&gt;0,IF(INDEX(CONFIRM!$G$5:$G$53,G970)&lt;&gt;"",INDEX(CONFIRM!$G$5:$G$53,G970),IF(ISNUMBER(L970),L970,IFERROR(DATEVALUE(L970),""))),IF(ISNUMBER(L970),L970,IFERROR(DATEVALUE(L970),"")))</f>
        <v>46022</v>
      </c>
      <c r="N970" s="1" t="str">
        <f aca="false">IF(M970="","Check",IF(AND(M970&gt;=INPUTS!$C$6,M970&lt;=INPUTS!$C$7),"Yes","No"))</f>
        <v>Yes</v>
      </c>
      <c r="O970" s="48" t="str">
        <f aca="false">STACK!H970</f>
        <v>RN II</v>
      </c>
      <c r="P970" s="1" t="str">
        <f aca="false">IF(G970&gt;0,IF(INDEX(CONFIRM!$H$5:$H$53,G970)&lt;&gt;"",INDEX(CONFIRM!$H$5:$H$53,G970),IFERROR(INDEX(MAP!$B$7:$B$156,MATCH(TRIM(O970),MAP!$A$7:$A$156,0)),"UNMAPPED")),IFERROR(INDEX(MAP!$B$7:$B$156,MATCH(TRIM(O970),MAP!$A$7:$A$156,0)),"UNMAPPED"))</f>
        <v>Registered Nurse</v>
      </c>
      <c r="Q970" s="48" t="n">
        <f aca="false">STACK!I970</f>
        <v>30.5</v>
      </c>
      <c r="R970" s="60" t="n">
        <f aca="false">IF(G970&gt;0,IF(INDEX(CONFIRM!$F$5:$F$53,G970)&lt;&gt;"",INDEX(CONFIRM!$F$5:$F$53,G970),IF(ISNUMBER(Q970),Q970,IF(Q970="","",IFERROR(VALUE(TRIM(SUBSTITUTE(SUBSTITUTE(LOWER(Q970),"hrs",""),"hr",""))),"")))),IF(ISNUMBER(Q970),Q970,IF(Q970="","",IFERROR(VALUE(TRIM(SUBSTITUTE(SUBSTITUTE(LOWER(Q970),"hrs",""),"hr",""))),""))))</f>
        <v>30.5</v>
      </c>
      <c r="S970" s="57" t="n">
        <f aca="false">IFERROR(INDEX(RATES!$E$6:$E$28,MATCH(P970,RATES!$A$6:$A$28,0)),0)</f>
        <v>55.8975</v>
      </c>
      <c r="T970" s="61" t="n">
        <f aca="false">IF(ISNUMBER(R970),R970,0)*S970</f>
        <v>1704.87375</v>
      </c>
      <c r="U970" s="61" t="n">
        <f aca="false">T970*INDEX(INPUTS!$H$10:$H$14,MATCH(B970,INPUTS!$A$10:$A$14,0))</f>
        <v>269.3700525</v>
      </c>
      <c r="V970" s="61" t="n">
        <f aca="false">N(STACK!K970)</f>
        <v>0</v>
      </c>
      <c r="W970" s="61" t="n">
        <f aca="false">T970+U970+V970</f>
        <v>1974.2438025</v>
      </c>
      <c r="X970" s="61" t="n">
        <f aca="false">N(STACK!L970)</f>
        <v>0</v>
      </c>
      <c r="Y970" s="61" t="n">
        <f aca="false">W970-X970</f>
        <v>1974.2438025</v>
      </c>
      <c r="Z970" s="1" t="n">
        <f aca="false">N(STACK!J970)</f>
        <v>0</v>
      </c>
      <c r="AA970" s="1" t="str">
        <f aca="false">TRIM(IF(D970="UNMAPPED","Program not mapped. ","")&amp;IF(OR(K970="UNMAPPED",K970="UNASSIGNED"),"Category needs review. ","")&amp;IF(P970="UNMAPPED","Title not mapped. ","")&amp;IF(AND(P970&lt;&gt;"No staff time",R970=""),"Missing hours. ","")&amp;IF(M970="","Date not readable. ","")&amp;IF(N970="No","Outside fiscal year. ","")&amp;IF(AND(F970="Event",ISNUMBER(R970)),IF(R970&gt;12,"Event hours look high. ",""),"")&amp;IF(G970&gt;0,"See CONFIRM sheet.",""))</f>
        <v/>
      </c>
      <c r="AB970" s="1" t="n">
        <f aca="false">IF(N970="No",0,IF(REVIEW!O970=0,0,IF(G970&gt;0,IF(INDEX(CONFIRM!$J$5:$J$53,G970)&lt;&gt;"",INDEX(CONFIRM!$J$5:$J$53,G970),1),1)))</f>
        <v>1</v>
      </c>
      <c r="AC970" s="1" t="n">
        <f aca="false">IF(AB970=1,IF(COUNTIFS($B$5:B970,B970,$D$5:D970,D970,$AB$5:AB970,1)=1,1,0),0)</f>
        <v>0</v>
      </c>
    </row>
    <row r="971" customFormat="false" ht="15" hidden="false" customHeight="false" outlineLevel="0" collapsed="false">
      <c r="A971" s="48" t="str">
        <f aca="false">STACK!A971</f>
        <v>CBH-0143</v>
      </c>
      <c r="B971" s="48" t="str">
        <f aca="false">STACK!B971</f>
        <v>CBH</v>
      </c>
      <c r="C971" s="48" t="str">
        <f aca="false">STACK!E971</f>
        <v>Med Assistance</v>
      </c>
      <c r="D971" s="1" t="str">
        <f aca="false">IFERROR(INDEX(MAP!$J$7:$J$101,MATCH(TRIM(C971),MAP!$I$7:$I$101,0)),"UNMAPPED")</f>
        <v>Medication Assistance Program</v>
      </c>
      <c r="E971" s="1" t="str">
        <f aca="false">IFERROR(INDEX(MAP!$K$7:$K$101,MATCH(TRIM(C971),MAP!$I$7:$I$101,0)),"")</f>
        <v>Access to care</v>
      </c>
      <c r="F971" s="1" t="str">
        <f aca="false">IFERROR(INDEX(MAP!$L$7:$L$101,MATCH(TRIM(C971),MAP!$I$7:$I$101,0)),"")</f>
        <v>Monthly</v>
      </c>
      <c r="G971" s="1" t="n">
        <f aca="false">IFERROR(MATCH(A971,CONFIRM!$A$5:$A$53,0),0)</f>
        <v>0</v>
      </c>
      <c r="H971" s="48" t="str">
        <f aca="false">STACK!F971</f>
        <v>Patient Support</v>
      </c>
      <c r="I971" s="1" t="str">
        <f aca="false">IF(G971&gt;0,IF(INDEX(CONFIRM!$I$5:$I$53,G971)&lt;&gt;"",INDEX(CONFIRM!$I$5:$I$53,G971),H971),H971)</f>
        <v>Patient Support</v>
      </c>
      <c r="J971" s="1" t="str">
        <f aca="false">IFERROR(INDEX(MAP!$F$7:$F$74,MATCH(TRIM(I971),MAP!$E$7:$E$74,0)),"UNMAPPED")</f>
        <v>Health care support services</v>
      </c>
      <c r="K971" s="1" t="str">
        <f aca="false">IFERROR(INDEX(MAP!$G$7:$G$74,MATCH(TRIM(I971),MAP!$E$7:$E$74,0)),"UNMAPPED")</f>
        <v>7e</v>
      </c>
      <c r="L971" s="49" t="str">
        <f aca="false">STACK!G971</f>
        <v>2025-12-31</v>
      </c>
      <c r="M971" s="59" t="n">
        <f aca="false">IF(G971&gt;0,IF(INDEX(CONFIRM!$G$5:$G$53,G971)&lt;&gt;"",INDEX(CONFIRM!$G$5:$G$53,G971),IF(ISNUMBER(L971),L971,IFERROR(DATEVALUE(L971),""))),IF(ISNUMBER(L971),L971,IFERROR(DATEVALUE(L971),"")))</f>
        <v>46022</v>
      </c>
      <c r="N971" s="1" t="str">
        <f aca="false">IF(M971="","Check",IF(AND(M971&gt;=INPUTS!$C$6,M971&lt;=INPUTS!$C$7),"Yes","No"))</f>
        <v>Yes</v>
      </c>
      <c r="O971" s="48" t="str">
        <f aca="false">STACK!H971</f>
        <v>Nurse Navigator</v>
      </c>
      <c r="P971" s="1" t="str">
        <f aca="false">IF(G971&gt;0,IF(INDEX(CONFIRM!$H$5:$H$53,G971)&lt;&gt;"",INDEX(CONFIRM!$H$5:$H$53,G971),IFERROR(INDEX(MAP!$B$7:$B$156,MATCH(TRIM(O971),MAP!$A$7:$A$156,0)),"UNMAPPED")),IFERROR(INDEX(MAP!$B$7:$B$156,MATCH(TRIM(O971),MAP!$A$7:$A$156,0)),"UNMAPPED"))</f>
        <v>Patient Navigator</v>
      </c>
      <c r="Q971" s="48" t="n">
        <f aca="false">STACK!I971</f>
        <v>67</v>
      </c>
      <c r="R971" s="60" t="n">
        <f aca="false">IF(G971&gt;0,IF(INDEX(CONFIRM!$F$5:$F$53,G971)&lt;&gt;"",INDEX(CONFIRM!$F$5:$F$53,G971),IF(ISNUMBER(Q971),Q971,IF(Q971="","",IFERROR(VALUE(TRIM(SUBSTITUTE(SUBSTITUTE(LOWER(Q971),"hrs",""),"hr",""))),"")))),IF(ISNUMBER(Q971),Q971,IF(Q971="","",IFERROR(VALUE(TRIM(SUBSTITUTE(SUBSTITUTE(LOWER(Q971),"hrs",""),"hr",""))),""))))</f>
        <v>67</v>
      </c>
      <c r="S971" s="57" t="n">
        <f aca="false">IFERROR(INDEX(RATES!$E$6:$E$28,MATCH(P971,RATES!$A$6:$A$28,0)),0)</f>
        <v>30.84</v>
      </c>
      <c r="T971" s="61" t="n">
        <f aca="false">IF(ISNUMBER(R971),R971,0)*S971</f>
        <v>2066.28</v>
      </c>
      <c r="U971" s="61" t="n">
        <f aca="false">T971*INDEX(INPUTS!$H$10:$H$14,MATCH(B971,INPUTS!$A$10:$A$14,0))</f>
        <v>326.47224</v>
      </c>
      <c r="V971" s="61" t="n">
        <f aca="false">N(STACK!K971)</f>
        <v>0</v>
      </c>
      <c r="W971" s="61" t="n">
        <f aca="false">T971+U971+V971</f>
        <v>2392.75224</v>
      </c>
      <c r="X971" s="61" t="n">
        <f aca="false">N(STACK!L971)</f>
        <v>0</v>
      </c>
      <c r="Y971" s="61" t="n">
        <f aca="false">W971-X971</f>
        <v>2392.75224</v>
      </c>
      <c r="Z971" s="1" t="n">
        <f aca="false">N(STACK!J971)</f>
        <v>0</v>
      </c>
      <c r="AA971" s="1" t="str">
        <f aca="false">TRIM(IF(D971="UNMAPPED","Program not mapped. ","")&amp;IF(OR(K971="UNMAPPED",K971="UNASSIGNED"),"Category needs review. ","")&amp;IF(P971="UNMAPPED","Title not mapped. ","")&amp;IF(AND(P971&lt;&gt;"No staff time",R971=""),"Missing hours. ","")&amp;IF(M971="","Date not readable. ","")&amp;IF(N971="No","Outside fiscal year. ","")&amp;IF(AND(F971="Event",ISNUMBER(R971)),IF(R971&gt;12,"Event hours look high. ",""),"")&amp;IF(G971&gt;0,"See CONFIRM sheet.",""))</f>
        <v/>
      </c>
      <c r="AB971" s="1" t="n">
        <f aca="false">IF(N971="No",0,IF(REVIEW!O971=0,0,IF(G971&gt;0,IF(INDEX(CONFIRM!$J$5:$J$53,G971)&lt;&gt;"",INDEX(CONFIRM!$J$5:$J$53,G971),1),1)))</f>
        <v>1</v>
      </c>
      <c r="AC971" s="1" t="n">
        <f aca="false">IF(AB971=1,IF(COUNTIFS($B$5:B971,B971,$D$5:D971,D971,$AB$5:AB971,1)=1,1,0),0)</f>
        <v>0</v>
      </c>
    </row>
    <row r="972" customFormat="false" ht="15" hidden="false" customHeight="false" outlineLevel="0" collapsed="false">
      <c r="A972" s="48" t="str">
        <f aca="false">STACK!A972</f>
        <v>CBH-0144</v>
      </c>
      <c r="B972" s="48" t="str">
        <f aca="false">STACK!B972</f>
        <v>CBH</v>
      </c>
      <c r="C972" s="48" t="str">
        <f aca="false">STACK!E972</f>
        <v>Med Assistance</v>
      </c>
      <c r="D972" s="1" t="str">
        <f aca="false">IFERROR(INDEX(MAP!$J$7:$J$101,MATCH(TRIM(C972),MAP!$I$7:$I$101,0)),"UNMAPPED")</f>
        <v>Medication Assistance Program</v>
      </c>
      <c r="E972" s="1" t="str">
        <f aca="false">IFERROR(INDEX(MAP!$K$7:$K$101,MATCH(TRIM(C972),MAP!$I$7:$I$101,0)),"")</f>
        <v>Access to care</v>
      </c>
      <c r="F972" s="1" t="str">
        <f aca="false">IFERROR(INDEX(MAP!$L$7:$L$101,MATCH(TRIM(C972),MAP!$I$7:$I$101,0)),"")</f>
        <v>Monthly</v>
      </c>
      <c r="G972" s="1" t="n">
        <f aca="false">IFERROR(MATCH(A972,CONFIRM!$A$5:$A$53,0),0)</f>
        <v>0</v>
      </c>
      <c r="H972" s="48" t="str">
        <f aca="false">STACK!F972</f>
        <v>Patient Support</v>
      </c>
      <c r="I972" s="1" t="str">
        <f aca="false">IF(G972&gt;0,IF(INDEX(CONFIRM!$I$5:$I$53,G972)&lt;&gt;"",INDEX(CONFIRM!$I$5:$I$53,G972),H972),H972)</f>
        <v>Patient Support</v>
      </c>
      <c r="J972" s="1" t="str">
        <f aca="false">IFERROR(INDEX(MAP!$F$7:$F$74,MATCH(TRIM(I972),MAP!$E$7:$E$74,0)),"UNMAPPED")</f>
        <v>Health care support services</v>
      </c>
      <c r="K972" s="1" t="str">
        <f aca="false">IFERROR(INDEX(MAP!$G$7:$G$74,MATCH(TRIM(I972),MAP!$E$7:$E$74,0)),"UNMAPPED")</f>
        <v>7e</v>
      </c>
      <c r="L972" s="49" t="str">
        <f aca="false">STACK!G972</f>
        <v>2025-12-31</v>
      </c>
      <c r="M972" s="59" t="n">
        <f aca="false">IF(G972&gt;0,IF(INDEX(CONFIRM!$G$5:$G$53,G972)&lt;&gt;"",INDEX(CONFIRM!$G$5:$G$53,G972),IF(ISNUMBER(L972),L972,IFERROR(DATEVALUE(L972),""))),IF(ISNUMBER(L972),L972,IFERROR(DATEVALUE(L972),"")))</f>
        <v>46022</v>
      </c>
      <c r="N972" s="1" t="str">
        <f aca="false">IF(M972="","Check",IF(AND(M972&gt;=INPUTS!$C$6,M972&lt;=INPUTS!$C$7),"Yes","No"))</f>
        <v>Yes</v>
      </c>
      <c r="O972" s="48" t="str">
        <f aca="false">STACK!H972</f>
        <v>RPh</v>
      </c>
      <c r="P972" s="1" t="str">
        <f aca="false">IF(G972&gt;0,IF(INDEX(CONFIRM!$H$5:$H$53,G972)&lt;&gt;"",INDEX(CONFIRM!$H$5:$H$53,G972),IFERROR(INDEX(MAP!$B$7:$B$156,MATCH(TRIM(O972),MAP!$A$7:$A$156,0)),"UNMAPPED")),IFERROR(INDEX(MAP!$B$7:$B$156,MATCH(TRIM(O972),MAP!$A$7:$A$156,0)),"UNMAPPED"))</f>
        <v>Pharmacist</v>
      </c>
      <c r="Q972" s="48" t="n">
        <f aca="false">STACK!I972</f>
        <v>18</v>
      </c>
      <c r="R972" s="60" t="n">
        <f aca="false">IF(G972&gt;0,IF(INDEX(CONFIRM!$F$5:$F$53,G972)&lt;&gt;"",INDEX(CONFIRM!$F$5:$F$53,G972),IF(ISNUMBER(Q972),Q972,IF(Q972="","",IFERROR(VALUE(TRIM(SUBSTITUTE(SUBSTITUTE(LOWER(Q972),"hrs",""),"hr",""))),"")))),IF(ISNUMBER(Q972),Q972,IF(Q972="","",IFERROR(VALUE(TRIM(SUBSTITUTE(SUBSTITUTE(LOWER(Q972),"hrs",""),"hr",""))),""))))</f>
        <v>18</v>
      </c>
      <c r="S972" s="57" t="n">
        <f aca="false">IFERROR(INDEX(RATES!$E$6:$E$28,MATCH(P972,RATES!$A$6:$A$28,0)),0)</f>
        <v>84.81</v>
      </c>
      <c r="T972" s="61" t="n">
        <f aca="false">IF(ISNUMBER(R972),R972,0)*S972</f>
        <v>1526.58</v>
      </c>
      <c r="U972" s="61" t="n">
        <f aca="false">T972*INDEX(INPUTS!$H$10:$H$14,MATCH(B972,INPUTS!$A$10:$A$14,0))</f>
        <v>241.19964</v>
      </c>
      <c r="V972" s="61" t="n">
        <f aca="false">N(STACK!K972)</f>
        <v>21170</v>
      </c>
      <c r="W972" s="61" t="n">
        <f aca="false">T972+U972+V972</f>
        <v>22937.77964</v>
      </c>
      <c r="X972" s="61" t="n">
        <f aca="false">N(STACK!L972)</f>
        <v>0</v>
      </c>
      <c r="Y972" s="61" t="n">
        <f aca="false">W972-X972</f>
        <v>22937.77964</v>
      </c>
      <c r="Z972" s="1" t="n">
        <f aca="false">N(STACK!J972)</f>
        <v>79</v>
      </c>
      <c r="AA972" s="1" t="str">
        <f aca="false">TRIM(IF(D972="UNMAPPED","Program not mapped. ","")&amp;IF(OR(K972="UNMAPPED",K972="UNASSIGNED"),"Category needs review. ","")&amp;IF(P972="UNMAPPED","Title not mapped. ","")&amp;IF(AND(P972&lt;&gt;"No staff time",R972=""),"Missing hours. ","")&amp;IF(M972="","Date not readable. ","")&amp;IF(N972="No","Outside fiscal year. ","")&amp;IF(AND(F972="Event",ISNUMBER(R972)),IF(R972&gt;12,"Event hours look high. ",""),"")&amp;IF(G972&gt;0,"See CONFIRM sheet.",""))</f>
        <v/>
      </c>
      <c r="AB972" s="1" t="n">
        <f aca="false">IF(N972="No",0,IF(REVIEW!O972=0,0,IF(G972&gt;0,IF(INDEX(CONFIRM!$J$5:$J$53,G972)&lt;&gt;"",INDEX(CONFIRM!$J$5:$J$53,G972),1),1)))</f>
        <v>1</v>
      </c>
      <c r="AC972" s="1" t="n">
        <f aca="false">IF(AB972=1,IF(COUNTIFS($B$5:B972,B972,$D$5:D972,D972,$AB$5:AB972,1)=1,1,0),0)</f>
        <v>0</v>
      </c>
    </row>
    <row r="973" customFormat="false" ht="15" hidden="false" customHeight="false" outlineLevel="0" collapsed="false">
      <c r="A973" s="48" t="str">
        <f aca="false">STACK!A973</f>
        <v>CBH-0145</v>
      </c>
      <c r="B973" s="48" t="str">
        <f aca="false">STACK!B973</f>
        <v>CBH</v>
      </c>
      <c r="C973" s="48" t="str">
        <f aca="false">STACK!E973</f>
        <v>Community Benefit Admin</v>
      </c>
      <c r="D973" s="1" t="str">
        <f aca="false">IFERROR(INDEX(MAP!$J$7:$J$101,MATCH(TRIM(C973),MAP!$I$7:$I$101,0)),"UNMAPPED")</f>
        <v>Community Benefit Program Administration</v>
      </c>
      <c r="E973" s="1" t="str">
        <f aca="false">IFERROR(INDEX(MAP!$K$7:$K$101,MATCH(TRIM(C973),MAP!$I$7:$I$101,0)),"")</f>
        <v>Community benefit infrastructure</v>
      </c>
      <c r="F973" s="1" t="str">
        <f aca="false">IFERROR(INDEX(MAP!$L$7:$L$101,MATCH(TRIM(C973),MAP!$I$7:$I$101,0)),"")</f>
        <v>Monthly</v>
      </c>
      <c r="G973" s="1" t="n">
        <f aca="false">IFERROR(MATCH(A973,CONFIRM!$A$5:$A$53,0),0)</f>
        <v>17</v>
      </c>
      <c r="H973" s="48" t="str">
        <f aca="false">STACK!F973</f>
        <v>Ops</v>
      </c>
      <c r="I973" s="1" t="str">
        <f aca="false">IF(G973&gt;0,IF(INDEX(CONFIRM!$I$5:$I$53,G973)&lt;&gt;"",INDEX(CONFIRM!$I$5:$I$53,G973),H973),H973)</f>
        <v>Ops</v>
      </c>
      <c r="J973" s="1" t="str">
        <f aca="false">IFERROR(INDEX(MAP!$F$7:$F$74,MATCH(TRIM(I973),MAP!$E$7:$E$74,0)),"UNMAPPED")</f>
        <v>Community benefit operations</v>
      </c>
      <c r="K973" s="1" t="str">
        <f aca="false">IFERROR(INDEX(MAP!$G$7:$G$74,MATCH(TRIM(I973),MAP!$E$7:$E$74,0)),"UNMAPPED")</f>
        <v>7e</v>
      </c>
      <c r="L973" s="49" t="str">
        <f aca="false">STACK!G973</f>
        <v>2025-12-31</v>
      </c>
      <c r="M973" s="59" t="n">
        <f aca="false">IF(G973&gt;0,IF(INDEX(CONFIRM!$G$5:$G$53,G973)&lt;&gt;"",INDEX(CONFIRM!$G$5:$G$53,G973),IF(ISNUMBER(L973),L973,IFERROR(DATEVALUE(L973),""))),IF(ISNUMBER(L973),L973,IFERROR(DATEVALUE(L973),"")))</f>
        <v>46022</v>
      </c>
      <c r="N973" s="1" t="str">
        <f aca="false">IF(M973="","Check",IF(AND(M973&gt;=INPUTS!$C$6,M973&lt;=INPUTS!$C$7),"Yes","No"))</f>
        <v>Yes</v>
      </c>
      <c r="O973" s="48" t="str">
        <f aca="false">STACK!H973</f>
        <v>Office Coordinator</v>
      </c>
      <c r="P973" s="1" t="str">
        <f aca="false">IF(G973&gt;0,IF(INDEX(CONFIRM!$H$5:$H$53,G973)&lt;&gt;"",INDEX(CONFIRM!$H$5:$H$53,G973),IFERROR(INDEX(MAP!$B$7:$B$156,MATCH(TRIM(O973),MAP!$A$7:$A$156,0)),"UNMAPPED")),IFERROR(INDEX(MAP!$B$7:$B$156,MATCH(TRIM(O973),MAP!$A$7:$A$156,0)),"UNMAPPED"))</f>
        <v>Administrative Assistant</v>
      </c>
      <c r="Q973" s="48" t="str">
        <f aca="false">STACK!I973</f>
        <v/>
      </c>
      <c r="R973" s="60" t="n">
        <f aca="false">IF(G973&gt;0,IF(INDEX(CONFIRM!$F$5:$F$53,G973)&lt;&gt;"",INDEX(CONFIRM!$F$5:$F$53,G973),IF(ISNUMBER(Q973),Q973,IF(Q973="","",IFERROR(VALUE(TRIM(SUBSTITUTE(SUBSTITUTE(LOWER(Q973),"hrs",""),"hr",""))),"")))),IF(ISNUMBER(Q973),Q973,IF(Q973="","",IFERROR(VALUE(TRIM(SUBSTITUTE(SUBSTITUTE(LOWER(Q973),"hrs",""),"hr",""))),""))))</f>
        <v>48.25</v>
      </c>
      <c r="S973" s="57" t="n">
        <f aca="false">IFERROR(INDEX(RATES!$E$6:$E$28,MATCH(P973,RATES!$A$6:$A$28,0)),0)</f>
        <v>26.985</v>
      </c>
      <c r="T973" s="61" t="n">
        <f aca="false">IF(ISNUMBER(R973),R973,0)*S973</f>
        <v>1302.02625</v>
      </c>
      <c r="U973" s="61" t="n">
        <f aca="false">T973*INDEX(INPUTS!$H$10:$H$14,MATCH(B973,INPUTS!$A$10:$A$14,0))</f>
        <v>205.7201475</v>
      </c>
      <c r="V973" s="61" t="n">
        <f aca="false">N(STACK!K973)</f>
        <v>0</v>
      </c>
      <c r="W973" s="61" t="n">
        <f aca="false">T973+U973+V973</f>
        <v>1507.7463975</v>
      </c>
      <c r="X973" s="61" t="n">
        <f aca="false">N(STACK!L973)</f>
        <v>0</v>
      </c>
      <c r="Y973" s="61" t="n">
        <f aca="false">W973-X973</f>
        <v>1507.7463975</v>
      </c>
      <c r="Z973" s="1" t="n">
        <f aca="false">N(STACK!J973)</f>
        <v>0</v>
      </c>
      <c r="AA973" s="1" t="str">
        <f aca="false">TRIM(IF(D973="UNMAPPED","Program not mapped. ","")&amp;IF(OR(K973="UNMAPPED",K973="UNASSIGNED"),"Category needs review. ","")&amp;IF(P973="UNMAPPED","Title not mapped. ","")&amp;IF(AND(P973&lt;&gt;"No staff time",R973=""),"Missing hours. ","")&amp;IF(M973="","Date not readable. ","")&amp;IF(N973="No","Outside fiscal year. ","")&amp;IF(AND(F973="Event",ISNUMBER(R973)),IF(R973&gt;12,"Event hours look high. ",""),"")&amp;IF(G973&gt;0,"See CONFIRM sheet.",""))</f>
        <v>See CONFIRM sheet.</v>
      </c>
      <c r="AB973" s="1" t="n">
        <f aca="false">IF(N973="No",0,IF(REVIEW!O973=0,0,IF(G973&gt;0,IF(INDEX(CONFIRM!$J$5:$J$53,G973)&lt;&gt;"",INDEX(CONFIRM!$J$5:$J$53,G973),1),1)))</f>
        <v>1</v>
      </c>
      <c r="AC973" s="1" t="n">
        <f aca="false">IF(AB973=1,IF(COUNTIFS($B$5:B973,B973,$D$5:D973,D973,$AB$5:AB973,1)=1,1,0),0)</f>
        <v>0</v>
      </c>
    </row>
    <row r="974" customFormat="false" ht="15" hidden="false" customHeight="false" outlineLevel="0" collapsed="false">
      <c r="A974" s="48" t="str">
        <f aca="false">STACK!A974</f>
        <v>CBH-0146</v>
      </c>
      <c r="B974" s="48" t="str">
        <f aca="false">STACK!B974</f>
        <v>CBH</v>
      </c>
      <c r="C974" s="48" t="str">
        <f aca="false">STACK!E974</f>
        <v>Community Benefit Admin</v>
      </c>
      <c r="D974" s="1" t="str">
        <f aca="false">IFERROR(INDEX(MAP!$J$7:$J$101,MATCH(TRIM(C974),MAP!$I$7:$I$101,0)),"UNMAPPED")</f>
        <v>Community Benefit Program Administration</v>
      </c>
      <c r="E974" s="1" t="str">
        <f aca="false">IFERROR(INDEX(MAP!$K$7:$K$101,MATCH(TRIM(C974),MAP!$I$7:$I$101,0)),"")</f>
        <v>Community benefit infrastructure</v>
      </c>
      <c r="F974" s="1" t="str">
        <f aca="false">IFERROR(INDEX(MAP!$L$7:$L$101,MATCH(TRIM(C974),MAP!$I$7:$I$101,0)),"")</f>
        <v>Monthly</v>
      </c>
      <c r="G974" s="1" t="n">
        <f aca="false">IFERROR(MATCH(A974,CONFIRM!$A$5:$A$53,0),0)</f>
        <v>0</v>
      </c>
      <c r="H974" s="48" t="str">
        <f aca="false">STACK!F974</f>
        <v>Ops</v>
      </c>
      <c r="I974" s="1" t="str">
        <f aca="false">IF(G974&gt;0,IF(INDEX(CONFIRM!$I$5:$I$53,G974)&lt;&gt;"",INDEX(CONFIRM!$I$5:$I$53,G974),H974),H974)</f>
        <v>Ops</v>
      </c>
      <c r="J974" s="1" t="str">
        <f aca="false">IFERROR(INDEX(MAP!$F$7:$F$74,MATCH(TRIM(I974),MAP!$E$7:$E$74,0)),"UNMAPPED")</f>
        <v>Community benefit operations</v>
      </c>
      <c r="K974" s="1" t="str">
        <f aca="false">IFERROR(INDEX(MAP!$G$7:$G$74,MATCH(TRIM(I974),MAP!$E$7:$E$74,0)),"UNMAPPED")</f>
        <v>7e</v>
      </c>
      <c r="L974" s="49" t="str">
        <f aca="false">STACK!G974</f>
        <v>2025-12-31</v>
      </c>
      <c r="M974" s="59" t="n">
        <f aca="false">IF(G974&gt;0,IF(INDEX(CONFIRM!$G$5:$G$53,G974)&lt;&gt;"",INDEX(CONFIRM!$G$5:$G$53,G974),IF(ISNUMBER(L974),L974,IFERROR(DATEVALUE(L974),""))),IF(ISNUMBER(L974),L974,IFERROR(DATEVALUE(L974),"")))</f>
        <v>46022</v>
      </c>
      <c r="N974" s="1" t="str">
        <f aca="false">IF(M974="","Check",IF(AND(M974&gt;=INPUTS!$C$6,M974&lt;=INPUTS!$C$7),"Yes","No"))</f>
        <v>Yes</v>
      </c>
      <c r="O974" s="48" t="str">
        <f aca="false">STACK!H974</f>
        <v>CB Manager</v>
      </c>
      <c r="P974" s="1" t="str">
        <f aca="false">IF(G974&gt;0,IF(INDEX(CONFIRM!$H$5:$H$53,G974)&lt;&gt;"",INDEX(CONFIRM!$H$5:$H$53,G974),IFERROR(INDEX(MAP!$B$7:$B$156,MATCH(TRIM(O974),MAP!$A$7:$A$156,0)),"UNMAPPED")),IFERROR(INDEX(MAP!$B$7:$B$156,MATCH(TRIM(O974),MAP!$A$7:$A$156,0)),"UNMAPPED"))</f>
        <v>Community Benefit Manager</v>
      </c>
      <c r="Q974" s="48" t="n">
        <f aca="false">STACK!I974</f>
        <v>66.5</v>
      </c>
      <c r="R974" s="60" t="n">
        <f aca="false">IF(G974&gt;0,IF(INDEX(CONFIRM!$F$5:$F$53,G974)&lt;&gt;"",INDEX(CONFIRM!$F$5:$F$53,G974),IF(ISNUMBER(Q974),Q974,IF(Q974="","",IFERROR(VALUE(TRIM(SUBSTITUTE(SUBSTITUTE(LOWER(Q974),"hrs",""),"hr",""))),"")))),IF(ISNUMBER(Q974),Q974,IF(Q974="","",IFERROR(VALUE(TRIM(SUBSTITUTE(SUBSTITUTE(LOWER(Q974),"hrs",""),"hr",""))),""))))</f>
        <v>66.5</v>
      </c>
      <c r="S974" s="57" t="n">
        <f aca="false">IFERROR(INDEX(RATES!$E$6:$E$28,MATCH(P974,RATES!$A$6:$A$28,0)),0)</f>
        <v>59.11</v>
      </c>
      <c r="T974" s="61" t="n">
        <f aca="false">IF(ISNUMBER(R974),R974,0)*S974</f>
        <v>3930.815</v>
      </c>
      <c r="U974" s="61" t="n">
        <f aca="false">T974*INDEX(INPUTS!$H$10:$H$14,MATCH(B974,INPUTS!$A$10:$A$14,0))</f>
        <v>621.06877</v>
      </c>
      <c r="V974" s="61" t="n">
        <f aca="false">N(STACK!K974)</f>
        <v>280</v>
      </c>
      <c r="W974" s="61" t="n">
        <f aca="false">T974+U974+V974</f>
        <v>4831.88377</v>
      </c>
      <c r="X974" s="61" t="n">
        <f aca="false">N(STACK!L974)</f>
        <v>0</v>
      </c>
      <c r="Y974" s="61" t="n">
        <f aca="false">W974-X974</f>
        <v>4831.88377</v>
      </c>
      <c r="Z974" s="1" t="n">
        <f aca="false">N(STACK!J974)</f>
        <v>0</v>
      </c>
      <c r="AA974" s="1" t="str">
        <f aca="false">TRIM(IF(D974="UNMAPPED","Program not mapped. ","")&amp;IF(OR(K974="UNMAPPED",K974="UNASSIGNED"),"Category needs review. ","")&amp;IF(P974="UNMAPPED","Title not mapped. ","")&amp;IF(AND(P974&lt;&gt;"No staff time",R974=""),"Missing hours. ","")&amp;IF(M974="","Date not readable. ","")&amp;IF(N974="No","Outside fiscal year. ","")&amp;IF(AND(F974="Event",ISNUMBER(R974)),IF(R974&gt;12,"Event hours look high. ",""),"")&amp;IF(G974&gt;0,"See CONFIRM sheet.",""))</f>
        <v/>
      </c>
      <c r="AB974" s="1" t="n">
        <f aca="false">IF(N974="No",0,IF(REVIEW!O974=0,0,IF(G974&gt;0,IF(INDEX(CONFIRM!$J$5:$J$53,G974)&lt;&gt;"",INDEX(CONFIRM!$J$5:$J$53,G974),1),1)))</f>
        <v>1</v>
      </c>
      <c r="AC974" s="1" t="n">
        <f aca="false">IF(AB974=1,IF(COUNTIFS($B$5:B974,B974,$D$5:D974,D974,$AB$5:AB974,1)=1,1,0),0)</f>
        <v>0</v>
      </c>
    </row>
    <row r="975" customFormat="false" ht="15" hidden="false" customHeight="false" outlineLevel="0" collapsed="false">
      <c r="A975" s="48" t="str">
        <f aca="false">STACK!A975</f>
        <v>CBH-0147</v>
      </c>
      <c r="B975" s="48" t="str">
        <f aca="false">STACK!B975</f>
        <v>CBH</v>
      </c>
      <c r="C975" s="48" t="str">
        <f aca="false">STACK!E975</f>
        <v>Matter of Balance Classes</v>
      </c>
      <c r="D975" s="1" t="str">
        <f aca="false">IFERROR(INDEX(MAP!$J$7:$J$101,MATCH(TRIM(C975),MAP!$I$7:$I$101,0)),"UNMAPPED")</f>
        <v>Fall Prevention Classes for Older Adults</v>
      </c>
      <c r="E975" s="1" t="str">
        <f aca="false">IFERROR(INDEX(MAP!$K$7:$K$101,MATCH(TRIM(C975),MAP!$I$7:$I$101,0)),"")</f>
        <v>Chronic disease prevention</v>
      </c>
      <c r="F975" s="1" t="str">
        <f aca="false">IFERROR(INDEX(MAP!$L$7:$L$101,MATCH(TRIM(C975),MAP!$I$7:$I$101,0)),"")</f>
        <v>Event</v>
      </c>
      <c r="G975" s="1" t="n">
        <f aca="false">IFERROR(MATCH(A975,CONFIRM!$A$5:$A$53,0),0)</f>
        <v>0</v>
      </c>
      <c r="H975" s="48" t="str">
        <f aca="false">STACK!F975</f>
        <v>Health Education</v>
      </c>
      <c r="I975" s="1" t="str">
        <f aca="false">IF(G975&gt;0,IF(INDEX(CONFIRM!$I$5:$I$53,G975)&lt;&gt;"",INDEX(CONFIRM!$I$5:$I$53,G975),H975),H975)</f>
        <v>Health Education</v>
      </c>
      <c r="J975" s="1" t="str">
        <f aca="false">IFERROR(INDEX(MAP!$F$7:$F$74,MATCH(TRIM(I975),MAP!$E$7:$E$74,0)),"UNMAPPED")</f>
        <v>Community health education</v>
      </c>
      <c r="K975" s="1" t="str">
        <f aca="false">IFERROR(INDEX(MAP!$G$7:$G$74,MATCH(TRIM(I975),MAP!$E$7:$E$74,0)),"UNMAPPED")</f>
        <v>7e</v>
      </c>
      <c r="L975" s="49" t="str">
        <f aca="false">STACK!G975</f>
        <v>2025-12-31</v>
      </c>
      <c r="M975" s="59" t="n">
        <f aca="false">IF(G975&gt;0,IF(INDEX(CONFIRM!$G$5:$G$53,G975)&lt;&gt;"",INDEX(CONFIRM!$G$5:$G$53,G975),IF(ISNUMBER(L975),L975,IFERROR(DATEVALUE(L975),""))),IF(ISNUMBER(L975),L975,IFERROR(DATEVALUE(L975),"")))</f>
        <v>46022</v>
      </c>
      <c r="N975" s="1" t="str">
        <f aca="false">IF(M975="","Check",IF(AND(M975&gt;=INPUTS!$C$6,M975&lt;=INPUTS!$C$7),"Yes","No"))</f>
        <v>Yes</v>
      </c>
      <c r="O975" s="48" t="str">
        <f aca="false">STACK!H975</f>
        <v>Respiratory Therapist</v>
      </c>
      <c r="P975" s="1" t="str">
        <f aca="false">IF(G975&gt;0,IF(INDEX(CONFIRM!$H$5:$H$53,G975)&lt;&gt;"",INDEX(CONFIRM!$H$5:$H$53,G975),IFERROR(INDEX(MAP!$B$7:$B$156,MATCH(TRIM(O975),MAP!$A$7:$A$156,0)),"UNMAPPED")),IFERROR(INDEX(MAP!$B$7:$B$156,MATCH(TRIM(O975),MAP!$A$7:$A$156,0)),"UNMAPPED"))</f>
        <v>Licensed Therapist</v>
      </c>
      <c r="Q975" s="48" t="n">
        <f aca="false">STACK!I975</f>
        <v>2</v>
      </c>
      <c r="R975" s="60" t="n">
        <f aca="false">IF(G975&gt;0,IF(INDEX(CONFIRM!$F$5:$F$53,G975)&lt;&gt;"",INDEX(CONFIRM!$F$5:$F$53,G975),IF(ISNUMBER(Q975),Q975,IF(Q975="","",IFERROR(VALUE(TRIM(SUBSTITUTE(SUBSTITUTE(LOWER(Q975),"hrs",""),"hr",""))),"")))),IF(ISNUMBER(Q975),Q975,IF(Q975="","",IFERROR(VALUE(TRIM(SUBSTITUTE(SUBSTITUTE(LOWER(Q975),"hrs",""),"hr",""))),""))))</f>
        <v>2</v>
      </c>
      <c r="S975" s="57" t="n">
        <f aca="false">IFERROR(INDEX(RATES!$E$6:$E$28,MATCH(P975,RATES!$A$6:$A$28,0)),0)</f>
        <v>53.97</v>
      </c>
      <c r="T975" s="61" t="n">
        <f aca="false">IF(ISNUMBER(R975),R975,0)*S975</f>
        <v>107.94</v>
      </c>
      <c r="U975" s="61" t="n">
        <f aca="false">T975*INDEX(INPUTS!$H$10:$H$14,MATCH(B975,INPUTS!$A$10:$A$14,0))</f>
        <v>17.05452</v>
      </c>
      <c r="V975" s="61" t="n">
        <f aca="false">N(STACK!K975)</f>
        <v>65</v>
      </c>
      <c r="W975" s="61" t="n">
        <f aca="false">T975+U975+V975</f>
        <v>189.99452</v>
      </c>
      <c r="X975" s="61" t="n">
        <f aca="false">N(STACK!L975)</f>
        <v>0</v>
      </c>
      <c r="Y975" s="61" t="n">
        <f aca="false">W975-X975</f>
        <v>189.99452</v>
      </c>
      <c r="Z975" s="1" t="n">
        <f aca="false">N(STACK!J975)</f>
        <v>18</v>
      </c>
      <c r="AA975" s="1" t="str">
        <f aca="false">TRIM(IF(D975="UNMAPPED","Program not mapped. ","")&amp;IF(OR(K975="UNMAPPED",K975="UNASSIGNED"),"Category needs review. ","")&amp;IF(P975="UNMAPPED","Title not mapped. ","")&amp;IF(AND(P975&lt;&gt;"No staff time",R975=""),"Missing hours. ","")&amp;IF(M975="","Date not readable. ","")&amp;IF(N975="No","Outside fiscal year. ","")&amp;IF(AND(F975="Event",ISNUMBER(R975)),IF(R975&gt;12,"Event hours look high. ",""),"")&amp;IF(G975&gt;0,"See CONFIRM sheet.",""))</f>
        <v/>
      </c>
      <c r="AB975" s="1" t="n">
        <f aca="false">IF(N975="No",0,IF(REVIEW!O975=0,0,IF(G975&gt;0,IF(INDEX(CONFIRM!$J$5:$J$53,G975)&lt;&gt;"",INDEX(CONFIRM!$J$5:$J$53,G975),1),1)))</f>
        <v>1</v>
      </c>
      <c r="AC975" s="1" t="n">
        <f aca="false">IF(AB975=1,IF(COUNTIFS($B$5:B975,B975,$D$5:D975,D975,$AB$5:AB975,1)=1,1,0),0)</f>
        <v>0</v>
      </c>
    </row>
    <row r="976" customFormat="false" ht="15" hidden="false" customHeight="false" outlineLevel="0" collapsed="false">
      <c r="A976" s="48" t="str">
        <f aca="false">STACK!A976</f>
        <v>CBH-0148</v>
      </c>
      <c r="B976" s="48" t="str">
        <f aca="false">STACK!B976</f>
        <v>CBH</v>
      </c>
      <c r="C976" s="48" t="str">
        <f aca="false">STACK!E976</f>
        <v>Interpreter Services</v>
      </c>
      <c r="D976" s="1" t="str">
        <f aca="false">IFERROR(INDEX(MAP!$J$7:$J$101,MATCH(TRIM(C976),MAP!$I$7:$I$101,0)),"UNMAPPED")</f>
        <v>Interpreter Services for Community Clinics</v>
      </c>
      <c r="E976" s="1" t="str">
        <f aca="false">IFERROR(INDEX(MAP!$K$7:$K$101,MATCH(TRIM(C976),MAP!$I$7:$I$101,0)),"")</f>
        <v>Access to care</v>
      </c>
      <c r="F976" s="1" t="str">
        <f aca="false">IFERROR(INDEX(MAP!$L$7:$L$101,MATCH(TRIM(C976),MAP!$I$7:$I$101,0)),"")</f>
        <v>Monthly</v>
      </c>
      <c r="G976" s="1" t="n">
        <f aca="false">IFERROR(MATCH(A976,CONFIRM!$A$5:$A$53,0),0)</f>
        <v>0</v>
      </c>
      <c r="H976" s="48" t="str">
        <f aca="false">STACK!F976</f>
        <v>Patient Support</v>
      </c>
      <c r="I976" s="1" t="str">
        <f aca="false">IF(G976&gt;0,IF(INDEX(CONFIRM!$I$5:$I$53,G976)&lt;&gt;"",INDEX(CONFIRM!$I$5:$I$53,G976),H976),H976)</f>
        <v>Patient Support</v>
      </c>
      <c r="J976" s="1" t="str">
        <f aca="false">IFERROR(INDEX(MAP!$F$7:$F$74,MATCH(TRIM(I976),MAP!$E$7:$E$74,0)),"UNMAPPED")</f>
        <v>Health care support services</v>
      </c>
      <c r="K976" s="1" t="str">
        <f aca="false">IFERROR(INDEX(MAP!$G$7:$G$74,MATCH(TRIM(I976),MAP!$E$7:$E$74,0)),"UNMAPPED")</f>
        <v>7e</v>
      </c>
      <c r="L976" s="49" t="str">
        <f aca="false">STACK!G976</f>
        <v>2025-12-31</v>
      </c>
      <c r="M976" s="59" t="n">
        <f aca="false">IF(G976&gt;0,IF(INDEX(CONFIRM!$G$5:$G$53,G976)&lt;&gt;"",INDEX(CONFIRM!$G$5:$G$53,G976),IF(ISNUMBER(L976),L976,IFERROR(DATEVALUE(L976),""))),IF(ISNUMBER(L976),L976,IFERROR(DATEVALUE(L976),"")))</f>
        <v>46022</v>
      </c>
      <c r="N976" s="1" t="str">
        <f aca="false">IF(M976="","Check",IF(AND(M976&gt;=INPUTS!$C$6,M976&lt;=INPUTS!$C$7),"Yes","No"))</f>
        <v>Yes</v>
      </c>
      <c r="O976" s="48" t="str">
        <f aca="false">STACK!H976</f>
        <v>Spanish Interpreter</v>
      </c>
      <c r="P976" s="1" t="str">
        <f aca="false">IF(G976&gt;0,IF(INDEX(CONFIRM!$H$5:$H$53,G976)&lt;&gt;"",INDEX(CONFIRM!$H$5:$H$53,G976),IFERROR(INDEX(MAP!$B$7:$B$156,MATCH(TRIM(O976),MAP!$A$7:$A$156,0)),"UNMAPPED")),IFERROR(INDEX(MAP!$B$7:$B$156,MATCH(TRIM(O976),MAP!$A$7:$A$156,0)),"UNMAPPED"))</f>
        <v>Interpreter</v>
      </c>
      <c r="Q976" s="48" t="n">
        <f aca="false">STACK!I976</f>
        <v>59</v>
      </c>
      <c r="R976" s="60" t="n">
        <f aca="false">IF(G976&gt;0,IF(INDEX(CONFIRM!$F$5:$F$53,G976)&lt;&gt;"",INDEX(CONFIRM!$F$5:$F$53,G976),IF(ISNUMBER(Q976),Q976,IF(Q976="","",IFERROR(VALUE(TRIM(SUBSTITUTE(SUBSTITUTE(LOWER(Q976),"hrs",""),"hr",""))),"")))),IF(ISNUMBER(Q976),Q976,IF(Q976="","",IFERROR(VALUE(TRIM(SUBSTITUTE(SUBSTITUTE(LOWER(Q976),"hrs",""),"hr",""))),""))))</f>
        <v>59</v>
      </c>
      <c r="S976" s="57" t="n">
        <f aca="false">IFERROR(INDEX(RATES!$E$6:$E$28,MATCH(P976,RATES!$A$6:$A$28,0)),0)</f>
        <v>32.7675</v>
      </c>
      <c r="T976" s="61" t="n">
        <f aca="false">IF(ISNUMBER(R976),R976,0)*S976</f>
        <v>1933.2825</v>
      </c>
      <c r="U976" s="61" t="n">
        <f aca="false">T976*INDEX(INPUTS!$H$10:$H$14,MATCH(B976,INPUTS!$A$10:$A$14,0))</f>
        <v>305.458635</v>
      </c>
      <c r="V976" s="61" t="n">
        <f aca="false">N(STACK!K976)</f>
        <v>0</v>
      </c>
      <c r="W976" s="61" t="n">
        <f aca="false">T976+U976+V976</f>
        <v>2238.741135</v>
      </c>
      <c r="X976" s="61" t="n">
        <f aca="false">N(STACK!L976)</f>
        <v>0</v>
      </c>
      <c r="Y976" s="61" t="n">
        <f aca="false">W976-X976</f>
        <v>2238.741135</v>
      </c>
      <c r="Z976" s="1" t="n">
        <f aca="false">N(STACK!J976)</f>
        <v>170</v>
      </c>
      <c r="AA976" s="1" t="str">
        <f aca="false">TRIM(IF(D976="UNMAPPED","Program not mapped. ","")&amp;IF(OR(K976="UNMAPPED",K976="UNASSIGNED"),"Category needs review. ","")&amp;IF(P976="UNMAPPED","Title not mapped. ","")&amp;IF(AND(P976&lt;&gt;"No staff time",R976=""),"Missing hours. ","")&amp;IF(M976="","Date not readable. ","")&amp;IF(N976="No","Outside fiscal year. ","")&amp;IF(AND(F976="Event",ISNUMBER(R976)),IF(R976&gt;12,"Event hours look high. ",""),"")&amp;IF(G976&gt;0,"See CONFIRM sheet.",""))</f>
        <v/>
      </c>
      <c r="AB976" s="1" t="n">
        <f aca="false">IF(N976="No",0,IF(REVIEW!O976=0,0,IF(G976&gt;0,IF(INDEX(CONFIRM!$J$5:$J$53,G976)&lt;&gt;"",INDEX(CONFIRM!$J$5:$J$53,G976),1),1)))</f>
        <v>1</v>
      </c>
      <c r="AC976" s="1" t="n">
        <f aca="false">IF(AB976=1,IF(COUNTIFS($B$5:B976,B976,$D$5:D976,D976,$AB$5:AB976,1)=1,1,0),0)</f>
        <v>0</v>
      </c>
    </row>
    <row r="977" customFormat="false" ht="15" hidden="false" customHeight="false" outlineLevel="0" collapsed="false">
      <c r="A977" s="48" t="str">
        <f aca="false">STACK!A977</f>
        <v>CBH-0149</v>
      </c>
      <c r="B977" s="48" t="str">
        <f aca="false">STACK!B977</f>
        <v>CBH</v>
      </c>
      <c r="C977" s="48" t="str">
        <f aca="false">STACK!E977</f>
        <v>Nursing Student Rotations</v>
      </c>
      <c r="D977" s="1" t="str">
        <f aca="false">IFERROR(INDEX(MAP!$J$7:$J$101,MATCH(TRIM(C977),MAP!$I$7:$I$101,0)),"UNMAPPED")</f>
        <v>Nursing Student Clinical Rotations</v>
      </c>
      <c r="E977" s="1" t="str">
        <f aca="false">IFERROR(INDEX(MAP!$K$7:$K$101,MATCH(TRIM(C977),MAP!$I$7:$I$101,0)),"")</f>
        <v>Health workforce</v>
      </c>
      <c r="F977" s="1" t="str">
        <f aca="false">IFERROR(INDEX(MAP!$L$7:$L$101,MATCH(TRIM(C977),MAP!$I$7:$I$101,0)),"")</f>
        <v>Monthly</v>
      </c>
      <c r="G977" s="1" t="n">
        <f aca="false">IFERROR(MATCH(A977,CONFIRM!$A$5:$A$53,0),0)</f>
        <v>0</v>
      </c>
      <c r="H977" s="48" t="str">
        <f aca="false">STACK!F977</f>
        <v>Education - Health Professions</v>
      </c>
      <c r="I977" s="1" t="str">
        <f aca="false">IF(G977&gt;0,IF(INDEX(CONFIRM!$I$5:$I$53,G977)&lt;&gt;"",INDEX(CONFIRM!$I$5:$I$53,G977),H977),H977)</f>
        <v>Education - Health Professions</v>
      </c>
      <c r="J977" s="1" t="str">
        <f aca="false">IFERROR(INDEX(MAP!$F$7:$F$74,MATCH(TRIM(I977),MAP!$E$7:$E$74,0)),"UNMAPPED")</f>
        <v>Health professions education</v>
      </c>
      <c r="K977" s="1" t="str">
        <f aca="false">IFERROR(INDEX(MAP!$G$7:$G$74,MATCH(TRIM(I977),MAP!$E$7:$E$74,0)),"UNMAPPED")</f>
        <v>7f</v>
      </c>
      <c r="L977" s="49" t="str">
        <f aca="false">STACK!G977</f>
        <v>2025-12-31</v>
      </c>
      <c r="M977" s="59" t="n">
        <f aca="false">IF(G977&gt;0,IF(INDEX(CONFIRM!$G$5:$G$53,G977)&lt;&gt;"",INDEX(CONFIRM!$G$5:$G$53,G977),IF(ISNUMBER(L977),L977,IFERROR(DATEVALUE(L977),""))),IF(ISNUMBER(L977),L977,IFERROR(DATEVALUE(L977),"")))</f>
        <v>46022</v>
      </c>
      <c r="N977" s="1" t="str">
        <f aca="false">IF(M977="","Check",IF(AND(M977&gt;=INPUTS!$C$6,M977&lt;=INPUTS!$C$7),"Yes","No"))</f>
        <v>Yes</v>
      </c>
      <c r="O977" s="48" t="str">
        <f aca="false">STACK!H977</f>
        <v>RN Educator</v>
      </c>
      <c r="P977" s="1" t="str">
        <f aca="false">IF(G977&gt;0,IF(INDEX(CONFIRM!$H$5:$H$53,G977)&lt;&gt;"",INDEX(CONFIRM!$H$5:$H$53,G977),IFERROR(INDEX(MAP!$B$7:$B$156,MATCH(TRIM(O977),MAP!$A$7:$A$156,0)),"UNMAPPED")),IFERROR(INDEX(MAP!$B$7:$B$156,MATCH(TRIM(O977),MAP!$A$7:$A$156,0)),"UNMAPPED"))</f>
        <v>Clinical Nurse Educator</v>
      </c>
      <c r="Q977" s="48" t="n">
        <f aca="false">STACK!I977</f>
        <v>54.75</v>
      </c>
      <c r="R977" s="60" t="n">
        <f aca="false">IF(G977&gt;0,IF(INDEX(CONFIRM!$F$5:$F$53,G977)&lt;&gt;"",INDEX(CONFIRM!$F$5:$F$53,G977),IF(ISNUMBER(Q977),Q977,IF(Q977="","",IFERROR(VALUE(TRIM(SUBSTITUTE(SUBSTITUTE(LOWER(Q977),"hrs",""),"hr",""))),"")))),IF(ISNUMBER(Q977),Q977,IF(Q977="","",IFERROR(VALUE(TRIM(SUBSTITUTE(SUBSTITUTE(LOWER(Q977),"hrs",""),"hr",""))),""))))</f>
        <v>54.75</v>
      </c>
      <c r="S977" s="57" t="n">
        <f aca="false">IFERROR(INDEX(RATES!$E$6:$E$28,MATCH(P977,RATES!$A$6:$A$28,0)),0)</f>
        <v>62.965</v>
      </c>
      <c r="T977" s="61" t="n">
        <f aca="false">IF(ISNUMBER(R977),R977,0)*S977</f>
        <v>3447.33375</v>
      </c>
      <c r="U977" s="61" t="n">
        <f aca="false">T977*INDEX(INPUTS!$H$10:$H$14,MATCH(B977,INPUTS!$A$10:$A$14,0))</f>
        <v>544.6787325</v>
      </c>
      <c r="V977" s="61" t="n">
        <f aca="false">N(STACK!K977)</f>
        <v>445</v>
      </c>
      <c r="W977" s="61" t="n">
        <f aca="false">T977+U977+V977</f>
        <v>4437.0124825</v>
      </c>
      <c r="X977" s="61" t="n">
        <f aca="false">N(STACK!L977)</f>
        <v>0</v>
      </c>
      <c r="Y977" s="61" t="n">
        <f aca="false">W977-X977</f>
        <v>4437.0124825</v>
      </c>
      <c r="Z977" s="1" t="n">
        <f aca="false">N(STACK!J977)</f>
        <v>9</v>
      </c>
      <c r="AA977" s="1" t="str">
        <f aca="false">TRIM(IF(D977="UNMAPPED","Program not mapped. ","")&amp;IF(OR(K977="UNMAPPED",K977="UNASSIGNED"),"Category needs review. ","")&amp;IF(P977="UNMAPPED","Title not mapped. ","")&amp;IF(AND(P977&lt;&gt;"No staff time",R977=""),"Missing hours. ","")&amp;IF(M977="","Date not readable. ","")&amp;IF(N977="No","Outside fiscal year. ","")&amp;IF(AND(F977="Event",ISNUMBER(R977)),IF(R977&gt;12,"Event hours look high. ",""),"")&amp;IF(G977&gt;0,"See CONFIRM sheet.",""))</f>
        <v/>
      </c>
      <c r="AB977" s="1" t="n">
        <f aca="false">IF(N977="No",0,IF(REVIEW!O977=0,0,IF(G977&gt;0,IF(INDEX(CONFIRM!$J$5:$J$53,G977)&lt;&gt;"",INDEX(CONFIRM!$J$5:$J$53,G977),1),1)))</f>
        <v>1</v>
      </c>
      <c r="AC977" s="1" t="n">
        <f aca="false">IF(AB977=1,IF(COUNTIFS($B$5:B977,B977,$D$5:D977,D977,$AB$5:AB977,1)=1,1,0),0)</f>
        <v>0</v>
      </c>
    </row>
    <row r="978" customFormat="false" ht="15" hidden="false" customHeight="false" outlineLevel="0" collapsed="false">
      <c r="A978" s="48" t="str">
        <f aca="false">STACK!A978</f>
        <v>CBH-0150</v>
      </c>
      <c r="B978" s="48" t="str">
        <f aca="false">STACK!B978</f>
        <v>CBH</v>
      </c>
      <c r="C978" s="48" t="str">
        <f aca="false">STACK!E978</f>
        <v>Nursing Student Rotations</v>
      </c>
      <c r="D978" s="1" t="str">
        <f aca="false">IFERROR(INDEX(MAP!$J$7:$J$101,MATCH(TRIM(C978),MAP!$I$7:$I$101,0)),"UNMAPPED")</f>
        <v>Nursing Student Clinical Rotations</v>
      </c>
      <c r="E978" s="1" t="str">
        <f aca="false">IFERROR(INDEX(MAP!$K$7:$K$101,MATCH(TRIM(C978),MAP!$I$7:$I$101,0)),"")</f>
        <v>Health workforce</v>
      </c>
      <c r="F978" s="1" t="str">
        <f aca="false">IFERROR(INDEX(MAP!$L$7:$L$101,MATCH(TRIM(C978),MAP!$I$7:$I$101,0)),"")</f>
        <v>Monthly</v>
      </c>
      <c r="G978" s="1" t="n">
        <f aca="false">IFERROR(MATCH(A978,CONFIRM!$A$5:$A$53,0),0)</f>
        <v>0</v>
      </c>
      <c r="H978" s="48" t="str">
        <f aca="false">STACK!F978</f>
        <v>Education - Health Professions</v>
      </c>
      <c r="I978" s="1" t="str">
        <f aca="false">IF(G978&gt;0,IF(INDEX(CONFIRM!$I$5:$I$53,G978)&lt;&gt;"",INDEX(CONFIRM!$I$5:$I$53,G978),H978),H978)</f>
        <v>Education - Health Professions</v>
      </c>
      <c r="J978" s="1" t="str">
        <f aca="false">IFERROR(INDEX(MAP!$F$7:$F$74,MATCH(TRIM(I978),MAP!$E$7:$E$74,0)),"UNMAPPED")</f>
        <v>Health professions education</v>
      </c>
      <c r="K978" s="1" t="str">
        <f aca="false">IFERROR(INDEX(MAP!$G$7:$G$74,MATCH(TRIM(I978),MAP!$E$7:$E$74,0)),"UNMAPPED")</f>
        <v>7f</v>
      </c>
      <c r="L978" s="49" t="str">
        <f aca="false">STACK!G978</f>
        <v>2025-12-31</v>
      </c>
      <c r="M978" s="59" t="n">
        <f aca="false">IF(G978&gt;0,IF(INDEX(CONFIRM!$G$5:$G$53,G978)&lt;&gt;"",INDEX(CONFIRM!$G$5:$G$53,G978),IF(ISNUMBER(L978),L978,IFERROR(DATEVALUE(L978),""))),IF(ISNUMBER(L978),L978,IFERROR(DATEVALUE(L978),"")))</f>
        <v>46022</v>
      </c>
      <c r="N978" s="1" t="str">
        <f aca="false">IF(M978="","Check",IF(AND(M978&gt;=INPUTS!$C$6,M978&lt;=INPUTS!$C$7),"Yes","No"))</f>
        <v>Yes</v>
      </c>
      <c r="O978" s="48" t="str">
        <f aca="false">STACK!H978</f>
        <v>Registered Nurse</v>
      </c>
      <c r="P978" s="1" t="str">
        <f aca="false">IF(G978&gt;0,IF(INDEX(CONFIRM!$H$5:$H$53,G978)&lt;&gt;"",INDEX(CONFIRM!$H$5:$H$53,G978),IFERROR(INDEX(MAP!$B$7:$B$156,MATCH(TRIM(O978),MAP!$A$7:$A$156,0)),"UNMAPPED")),IFERROR(INDEX(MAP!$B$7:$B$156,MATCH(TRIM(O978),MAP!$A$7:$A$156,0)),"UNMAPPED"))</f>
        <v>Registered Nurse</v>
      </c>
      <c r="Q978" s="48" t="n">
        <f aca="false">STACK!I978</f>
        <v>97</v>
      </c>
      <c r="R978" s="60" t="n">
        <f aca="false">IF(G978&gt;0,IF(INDEX(CONFIRM!$F$5:$F$53,G978)&lt;&gt;"",INDEX(CONFIRM!$F$5:$F$53,G978),IF(ISNUMBER(Q978),Q978,IF(Q978="","",IFERROR(VALUE(TRIM(SUBSTITUTE(SUBSTITUTE(LOWER(Q978),"hrs",""),"hr",""))),"")))),IF(ISNUMBER(Q978),Q978,IF(Q978="","",IFERROR(VALUE(TRIM(SUBSTITUTE(SUBSTITUTE(LOWER(Q978),"hrs",""),"hr",""))),""))))</f>
        <v>97</v>
      </c>
      <c r="S978" s="57" t="n">
        <f aca="false">IFERROR(INDEX(RATES!$E$6:$E$28,MATCH(P978,RATES!$A$6:$A$28,0)),0)</f>
        <v>55.8975</v>
      </c>
      <c r="T978" s="61" t="n">
        <f aca="false">IF(ISNUMBER(R978),R978,0)*S978</f>
        <v>5422.0575</v>
      </c>
      <c r="U978" s="61" t="n">
        <f aca="false">T978*INDEX(INPUTS!$H$10:$H$14,MATCH(B978,INPUTS!$A$10:$A$14,0))</f>
        <v>856.685085</v>
      </c>
      <c r="V978" s="61" t="n">
        <f aca="false">N(STACK!K978)</f>
        <v>0</v>
      </c>
      <c r="W978" s="61" t="n">
        <f aca="false">T978+U978+V978</f>
        <v>6278.742585</v>
      </c>
      <c r="X978" s="61" t="n">
        <f aca="false">N(STACK!L978)</f>
        <v>0</v>
      </c>
      <c r="Y978" s="61" t="n">
        <f aca="false">W978-X978</f>
        <v>6278.742585</v>
      </c>
      <c r="Z978" s="1" t="n">
        <f aca="false">N(STACK!J978)</f>
        <v>0</v>
      </c>
      <c r="AA978" s="1" t="str">
        <f aca="false">TRIM(IF(D978="UNMAPPED","Program not mapped. ","")&amp;IF(OR(K978="UNMAPPED",K978="UNASSIGNED"),"Category needs review. ","")&amp;IF(P978="UNMAPPED","Title not mapped. ","")&amp;IF(AND(P978&lt;&gt;"No staff time",R978=""),"Missing hours. ","")&amp;IF(M978="","Date not readable. ","")&amp;IF(N978="No","Outside fiscal year. ","")&amp;IF(AND(F978="Event",ISNUMBER(R978)),IF(R978&gt;12,"Event hours look high. ",""),"")&amp;IF(G978&gt;0,"See CONFIRM sheet.",""))</f>
        <v/>
      </c>
      <c r="AB978" s="1" t="n">
        <f aca="false">IF(N978="No",0,IF(REVIEW!O978=0,0,IF(G978&gt;0,IF(INDEX(CONFIRM!$J$5:$J$53,G978)&lt;&gt;"",INDEX(CONFIRM!$J$5:$J$53,G978),1),1)))</f>
        <v>1</v>
      </c>
      <c r="AC978" s="1" t="n">
        <f aca="false">IF(AB978=1,IF(COUNTIFS($B$5:B978,B978,$D$5:D978,D978,$AB$5:AB978,1)=1,1,0),0)</f>
        <v>0</v>
      </c>
    </row>
    <row r="979" customFormat="false" ht="15" hidden="false" customHeight="false" outlineLevel="0" collapsed="false">
      <c r="A979" s="48" t="str">
        <f aca="false">STACK!A979</f>
        <v>CBH-0151</v>
      </c>
      <c r="B979" s="48" t="str">
        <f aca="false">STACK!B979</f>
        <v>CBH</v>
      </c>
      <c r="C979" s="48" t="str">
        <f aca="false">STACK!E979</f>
        <v>Pharmacy Students</v>
      </c>
      <c r="D979" s="1" t="str">
        <f aca="false">IFERROR(INDEX(MAP!$J$7:$J$101,MATCH(TRIM(C979),MAP!$I$7:$I$101,0)),"UNMAPPED")</f>
        <v>Pharmacy Student Rotations</v>
      </c>
      <c r="E979" s="1" t="str">
        <f aca="false">IFERROR(INDEX(MAP!$K$7:$K$101,MATCH(TRIM(C979),MAP!$I$7:$I$101,0)),"")</f>
        <v>Health workforce</v>
      </c>
      <c r="F979" s="1" t="str">
        <f aca="false">IFERROR(INDEX(MAP!$L$7:$L$101,MATCH(TRIM(C979),MAP!$I$7:$I$101,0)),"")</f>
        <v>Monthly</v>
      </c>
      <c r="G979" s="1" t="n">
        <f aca="false">IFERROR(MATCH(A979,CONFIRM!$A$5:$A$53,0),0)</f>
        <v>0</v>
      </c>
      <c r="H979" s="48" t="str">
        <f aca="false">STACK!F979</f>
        <v>Education - Health Professions</v>
      </c>
      <c r="I979" s="1" t="str">
        <f aca="false">IF(G979&gt;0,IF(INDEX(CONFIRM!$I$5:$I$53,G979)&lt;&gt;"",INDEX(CONFIRM!$I$5:$I$53,G979),H979),H979)</f>
        <v>Education - Health Professions</v>
      </c>
      <c r="J979" s="1" t="str">
        <f aca="false">IFERROR(INDEX(MAP!$F$7:$F$74,MATCH(TRIM(I979),MAP!$E$7:$E$74,0)),"UNMAPPED")</f>
        <v>Health professions education</v>
      </c>
      <c r="K979" s="1" t="str">
        <f aca="false">IFERROR(INDEX(MAP!$G$7:$G$74,MATCH(TRIM(I979),MAP!$E$7:$E$74,0)),"UNMAPPED")</f>
        <v>7f</v>
      </c>
      <c r="L979" s="49" t="str">
        <f aca="false">STACK!G979</f>
        <v>2025-12-31</v>
      </c>
      <c r="M979" s="59" t="n">
        <f aca="false">IF(G979&gt;0,IF(INDEX(CONFIRM!$G$5:$G$53,G979)&lt;&gt;"",INDEX(CONFIRM!$G$5:$G$53,G979),IF(ISNUMBER(L979),L979,IFERROR(DATEVALUE(L979),""))),IF(ISNUMBER(L979),L979,IFERROR(DATEVALUE(L979),"")))</f>
        <v>46022</v>
      </c>
      <c r="N979" s="1" t="str">
        <f aca="false">IF(M979="","Check",IF(AND(M979&gt;=INPUTS!$C$6,M979&lt;=INPUTS!$C$7),"Yes","No"))</f>
        <v>Yes</v>
      </c>
      <c r="O979" s="48" t="str">
        <f aca="false">STACK!H979</f>
        <v>Pharmacist II</v>
      </c>
      <c r="P979" s="1" t="str">
        <f aca="false">IF(G979&gt;0,IF(INDEX(CONFIRM!$H$5:$H$53,G979)&lt;&gt;"",INDEX(CONFIRM!$H$5:$H$53,G979),IFERROR(INDEX(MAP!$B$7:$B$156,MATCH(TRIM(O979),MAP!$A$7:$A$156,0)),"UNMAPPED")),IFERROR(INDEX(MAP!$B$7:$B$156,MATCH(TRIM(O979),MAP!$A$7:$A$156,0)),"UNMAPPED"))</f>
        <v>Pharmacist</v>
      </c>
      <c r="Q979" s="48" t="n">
        <f aca="false">STACK!I979</f>
        <v>57.75</v>
      </c>
      <c r="R979" s="60" t="n">
        <f aca="false">IF(G979&gt;0,IF(INDEX(CONFIRM!$F$5:$F$53,G979)&lt;&gt;"",INDEX(CONFIRM!$F$5:$F$53,G979),IF(ISNUMBER(Q979),Q979,IF(Q979="","",IFERROR(VALUE(TRIM(SUBSTITUTE(SUBSTITUTE(LOWER(Q979),"hrs",""),"hr",""))),"")))),IF(ISNUMBER(Q979),Q979,IF(Q979="","",IFERROR(VALUE(TRIM(SUBSTITUTE(SUBSTITUTE(LOWER(Q979),"hrs",""),"hr",""))),""))))</f>
        <v>57.75</v>
      </c>
      <c r="S979" s="57" t="n">
        <f aca="false">IFERROR(INDEX(RATES!$E$6:$E$28,MATCH(P979,RATES!$A$6:$A$28,0)),0)</f>
        <v>84.81</v>
      </c>
      <c r="T979" s="61" t="n">
        <f aca="false">IF(ISNUMBER(R979),R979,0)*S979</f>
        <v>4897.7775</v>
      </c>
      <c r="U979" s="61" t="n">
        <f aca="false">T979*INDEX(INPUTS!$H$10:$H$14,MATCH(B979,INPUTS!$A$10:$A$14,0))</f>
        <v>773.848845</v>
      </c>
      <c r="V979" s="61" t="n">
        <f aca="false">N(STACK!K979)</f>
        <v>80</v>
      </c>
      <c r="W979" s="61" t="n">
        <f aca="false">T979+U979+V979</f>
        <v>5751.626345</v>
      </c>
      <c r="X979" s="61" t="n">
        <f aca="false">N(STACK!L979)</f>
        <v>0</v>
      </c>
      <c r="Y979" s="61" t="n">
        <f aca="false">W979-X979</f>
        <v>5751.626345</v>
      </c>
      <c r="Z979" s="1" t="n">
        <f aca="false">N(STACK!J979)</f>
        <v>4</v>
      </c>
      <c r="AA979" s="1" t="str">
        <f aca="false">TRIM(IF(D979="UNMAPPED","Program not mapped. ","")&amp;IF(OR(K979="UNMAPPED",K979="UNASSIGNED"),"Category needs review. ","")&amp;IF(P979="UNMAPPED","Title not mapped. ","")&amp;IF(AND(P979&lt;&gt;"No staff time",R979=""),"Missing hours. ","")&amp;IF(M979="","Date not readable. ","")&amp;IF(N979="No","Outside fiscal year. ","")&amp;IF(AND(F979="Event",ISNUMBER(R979)),IF(R979&gt;12,"Event hours look high. ",""),"")&amp;IF(G979&gt;0,"See CONFIRM sheet.",""))</f>
        <v/>
      </c>
      <c r="AB979" s="1" t="n">
        <f aca="false">IF(N979="No",0,IF(REVIEW!O979=0,0,IF(G979&gt;0,IF(INDEX(CONFIRM!$J$5:$J$53,G979)&lt;&gt;"",INDEX(CONFIRM!$J$5:$J$53,G979),1),1)))</f>
        <v>1</v>
      </c>
      <c r="AC979" s="1" t="n">
        <f aca="false">IF(AB979=1,IF(COUNTIFS($B$5:B979,B979,$D$5:D979,D979,$AB$5:AB979,1)=1,1,0),0)</f>
        <v>0</v>
      </c>
    </row>
    <row r="980" customFormat="false" ht="15" hidden="false" customHeight="false" outlineLevel="0" collapsed="false">
      <c r="A980" s="48" t="str">
        <f aca="false">STACK!A980</f>
        <v>CBH-0152</v>
      </c>
      <c r="B980" s="48" t="str">
        <f aca="false">STACK!B980</f>
        <v>CBH</v>
      </c>
      <c r="C980" s="48" t="str">
        <f aca="false">STACK!E980</f>
        <v>Naloxone Training</v>
      </c>
      <c r="D980" s="1" t="str">
        <f aca="false">IFERROR(INDEX(MAP!$J$7:$J$101,MATCH(TRIM(C980),MAP!$I$7:$I$101,0)),"UNMAPPED")</f>
        <v>Naloxone Training and Distribution</v>
      </c>
      <c r="E980" s="1" t="str">
        <f aca="false">IFERROR(INDEX(MAP!$K$7:$K$101,MATCH(TRIM(C980),MAP!$I$7:$I$101,0)),"")</f>
        <v>Behavioral health</v>
      </c>
      <c r="F980" s="1" t="str">
        <f aca="false">IFERROR(INDEX(MAP!$L$7:$L$101,MATCH(TRIM(C980),MAP!$I$7:$I$101,0)),"")</f>
        <v>Event</v>
      </c>
      <c r="G980" s="1" t="n">
        <f aca="false">IFERROR(MATCH(A980,CONFIRM!$A$5:$A$53,0),0)</f>
        <v>0</v>
      </c>
      <c r="H980" s="48" t="str">
        <f aca="false">STACK!F980</f>
        <v>Health Education</v>
      </c>
      <c r="I980" s="1" t="str">
        <f aca="false">IF(G980&gt;0,IF(INDEX(CONFIRM!$I$5:$I$53,G980)&lt;&gt;"",INDEX(CONFIRM!$I$5:$I$53,G980),H980),H980)</f>
        <v>Health Education</v>
      </c>
      <c r="J980" s="1" t="str">
        <f aca="false">IFERROR(INDEX(MAP!$F$7:$F$74,MATCH(TRIM(I980),MAP!$E$7:$E$74,0)),"UNMAPPED")</f>
        <v>Community health education</v>
      </c>
      <c r="K980" s="1" t="str">
        <f aca="false">IFERROR(INDEX(MAP!$G$7:$G$74,MATCH(TRIM(I980),MAP!$E$7:$E$74,0)),"UNMAPPED")</f>
        <v>7e</v>
      </c>
      <c r="L980" s="49" t="str">
        <f aca="false">STACK!G980</f>
        <v>2026-01-08</v>
      </c>
      <c r="M980" s="59" t="n">
        <f aca="false">IF(G980&gt;0,IF(INDEX(CONFIRM!$G$5:$G$53,G980)&lt;&gt;"",INDEX(CONFIRM!$G$5:$G$53,G980),IF(ISNUMBER(L980),L980,IFERROR(DATEVALUE(L980),""))),IF(ISNUMBER(L980),L980,IFERROR(DATEVALUE(L980),"")))</f>
        <v>46030</v>
      </c>
      <c r="N980" s="1" t="str">
        <f aca="false">IF(M980="","Check",IF(AND(M980&gt;=INPUTS!$C$6,M980&lt;=INPUTS!$C$7),"Yes","No"))</f>
        <v>Yes</v>
      </c>
      <c r="O980" s="48" t="str">
        <f aca="false">STACK!H980</f>
        <v> CHES</v>
      </c>
      <c r="P980" s="1" t="str">
        <f aca="false">IF(G980&gt;0,IF(INDEX(CONFIRM!$H$5:$H$53,G980)&lt;&gt;"",INDEX(CONFIRM!$H$5:$H$53,G980),IFERROR(INDEX(MAP!$B$7:$B$156,MATCH(TRIM(O980),MAP!$A$7:$A$156,0)),"UNMAPPED")),IFERROR(INDEX(MAP!$B$7:$B$156,MATCH(TRIM(O980),MAP!$A$7:$A$156,0)),"UNMAPPED"))</f>
        <v>Health Educator</v>
      </c>
      <c r="Q980" s="48" t="n">
        <f aca="false">STACK!I980</f>
        <v>3</v>
      </c>
      <c r="R980" s="60" t="n">
        <f aca="false">IF(G980&gt;0,IF(INDEX(CONFIRM!$F$5:$F$53,G980)&lt;&gt;"",INDEX(CONFIRM!$F$5:$F$53,G980),IF(ISNUMBER(Q980),Q980,IF(Q980="","",IFERROR(VALUE(TRIM(SUBSTITUTE(SUBSTITUTE(LOWER(Q980),"hrs",""),"hr",""))),"")))),IF(ISNUMBER(Q980),Q980,IF(Q980="","",IFERROR(VALUE(TRIM(SUBSTITUTE(SUBSTITUTE(LOWER(Q980),"hrs",""),"hr",""))),""))))</f>
        <v>3</v>
      </c>
      <c r="S980" s="57" t="n">
        <f aca="false">IFERROR(INDEX(RATES!$E$6:$E$28,MATCH(P980,RATES!$A$6:$A$28,0)),0)</f>
        <v>37.265</v>
      </c>
      <c r="T980" s="61" t="n">
        <f aca="false">IF(ISNUMBER(R980),R980,0)*S980</f>
        <v>111.795</v>
      </c>
      <c r="U980" s="61" t="n">
        <f aca="false">T980*INDEX(INPUTS!$H$10:$H$14,MATCH(B980,INPUTS!$A$10:$A$14,0))</f>
        <v>17.66361</v>
      </c>
      <c r="V980" s="61" t="n">
        <f aca="false">N(STACK!K980)</f>
        <v>0</v>
      </c>
      <c r="W980" s="61" t="n">
        <f aca="false">T980+U980+V980</f>
        <v>129.45861</v>
      </c>
      <c r="X980" s="61" t="n">
        <f aca="false">N(STACK!L980)</f>
        <v>0</v>
      </c>
      <c r="Y980" s="61" t="n">
        <f aca="false">W980-X980</f>
        <v>129.45861</v>
      </c>
      <c r="Z980" s="1" t="n">
        <f aca="false">N(STACK!J980)</f>
        <v>0</v>
      </c>
      <c r="AA980" s="1" t="str">
        <f aca="false">TRIM(IF(D980="UNMAPPED","Program not mapped. ","")&amp;IF(OR(K980="UNMAPPED",K980="UNASSIGNED"),"Category needs review. ","")&amp;IF(P980="UNMAPPED","Title not mapped. ","")&amp;IF(AND(P980&lt;&gt;"No staff time",R980=""),"Missing hours. ","")&amp;IF(M980="","Date not readable. ","")&amp;IF(N980="No","Outside fiscal year. ","")&amp;IF(AND(F980="Event",ISNUMBER(R980)),IF(R980&gt;12,"Event hours look high. ",""),"")&amp;IF(G980&gt;0,"See CONFIRM sheet.",""))</f>
        <v/>
      </c>
      <c r="AB980" s="1" t="n">
        <f aca="false">IF(N980="No",0,IF(REVIEW!O980=0,0,IF(G980&gt;0,IF(INDEX(CONFIRM!$J$5:$J$53,G980)&lt;&gt;"",INDEX(CONFIRM!$J$5:$J$53,G980),1),1)))</f>
        <v>1</v>
      </c>
      <c r="AC980" s="1" t="n">
        <f aca="false">IF(AB980=1,IF(COUNTIFS($B$5:B980,B980,$D$5:D980,D980,$AB$5:AB980,1)=1,1,0),0)</f>
        <v>0</v>
      </c>
    </row>
    <row r="981" customFormat="false" ht="15" hidden="false" customHeight="false" outlineLevel="0" collapsed="false">
      <c r="A981" s="48" t="str">
        <f aca="false">STACK!A981</f>
        <v>CBH-0153</v>
      </c>
      <c r="B981" s="48" t="str">
        <f aca="false">STACK!B981</f>
        <v>CBH</v>
      </c>
      <c r="C981" s="48" t="str">
        <f aca="false">STACK!E981</f>
        <v>Naloxone Training</v>
      </c>
      <c r="D981" s="1" t="str">
        <f aca="false">IFERROR(INDEX(MAP!$J$7:$J$101,MATCH(TRIM(C981),MAP!$I$7:$I$101,0)),"UNMAPPED")</f>
        <v>Naloxone Training and Distribution</v>
      </c>
      <c r="E981" s="1" t="str">
        <f aca="false">IFERROR(INDEX(MAP!$K$7:$K$101,MATCH(TRIM(C981),MAP!$I$7:$I$101,0)),"")</f>
        <v>Behavioral health</v>
      </c>
      <c r="F981" s="1" t="str">
        <f aca="false">IFERROR(INDEX(MAP!$L$7:$L$101,MATCH(TRIM(C981),MAP!$I$7:$I$101,0)),"")</f>
        <v>Event</v>
      </c>
      <c r="G981" s="1" t="n">
        <f aca="false">IFERROR(MATCH(A981,CONFIRM!$A$5:$A$53,0),0)</f>
        <v>0</v>
      </c>
      <c r="H981" s="48" t="str">
        <f aca="false">STACK!F981</f>
        <v>Health Education</v>
      </c>
      <c r="I981" s="1" t="str">
        <f aca="false">IF(G981&gt;0,IF(INDEX(CONFIRM!$I$5:$I$53,G981)&lt;&gt;"",INDEX(CONFIRM!$I$5:$I$53,G981),H981),H981)</f>
        <v>Health Education</v>
      </c>
      <c r="J981" s="1" t="str">
        <f aca="false">IFERROR(INDEX(MAP!$F$7:$F$74,MATCH(TRIM(I981),MAP!$E$7:$E$74,0)),"UNMAPPED")</f>
        <v>Community health education</v>
      </c>
      <c r="K981" s="1" t="str">
        <f aca="false">IFERROR(INDEX(MAP!$G$7:$G$74,MATCH(TRIM(I981),MAP!$E$7:$E$74,0)),"UNMAPPED")</f>
        <v>7e</v>
      </c>
      <c r="L981" s="49" t="str">
        <f aca="false">STACK!G981</f>
        <v>2026-01-08</v>
      </c>
      <c r="M981" s="59" t="n">
        <f aca="false">IF(G981&gt;0,IF(INDEX(CONFIRM!$G$5:$G$53,G981)&lt;&gt;"",INDEX(CONFIRM!$G$5:$G$53,G981),IF(ISNUMBER(L981),L981,IFERROR(DATEVALUE(L981),""))),IF(ISNUMBER(L981),L981,IFERROR(DATEVALUE(L981),"")))</f>
        <v>46030</v>
      </c>
      <c r="N981" s="1" t="str">
        <f aca="false">IF(M981="","Check",IF(AND(M981&gt;=INPUTS!$C$6,M981&lt;=INPUTS!$C$7),"Yes","No"))</f>
        <v>Yes</v>
      </c>
      <c r="O981" s="48" t="str">
        <f aca="false">STACK!H981</f>
        <v>Staff Pharmacist</v>
      </c>
      <c r="P981" s="1" t="str">
        <f aca="false">IF(G981&gt;0,IF(INDEX(CONFIRM!$H$5:$H$53,G981)&lt;&gt;"",INDEX(CONFIRM!$H$5:$H$53,G981),IFERROR(INDEX(MAP!$B$7:$B$156,MATCH(TRIM(O981),MAP!$A$7:$A$156,0)),"UNMAPPED")),IFERROR(INDEX(MAP!$B$7:$B$156,MATCH(TRIM(O981),MAP!$A$7:$A$156,0)),"UNMAPPED"))</f>
        <v>Pharmacist</v>
      </c>
      <c r="Q981" s="48" t="n">
        <f aca="false">STACK!I981</f>
        <v>2.25</v>
      </c>
      <c r="R981" s="60" t="n">
        <f aca="false">IF(G981&gt;0,IF(INDEX(CONFIRM!$F$5:$F$53,G981)&lt;&gt;"",INDEX(CONFIRM!$F$5:$F$53,G981),IF(ISNUMBER(Q981),Q981,IF(Q981="","",IFERROR(VALUE(TRIM(SUBSTITUTE(SUBSTITUTE(LOWER(Q981),"hrs",""),"hr",""))),"")))),IF(ISNUMBER(Q981),Q981,IF(Q981="","",IFERROR(VALUE(TRIM(SUBSTITUTE(SUBSTITUTE(LOWER(Q981),"hrs",""),"hr",""))),""))))</f>
        <v>2.25</v>
      </c>
      <c r="S981" s="57" t="n">
        <f aca="false">IFERROR(INDEX(RATES!$E$6:$E$28,MATCH(P981,RATES!$A$6:$A$28,0)),0)</f>
        <v>84.81</v>
      </c>
      <c r="T981" s="61" t="n">
        <f aca="false">IF(ISNUMBER(R981),R981,0)*S981</f>
        <v>190.8225</v>
      </c>
      <c r="U981" s="61" t="n">
        <f aca="false">T981*INDEX(INPUTS!$H$10:$H$14,MATCH(B981,INPUTS!$A$10:$A$14,0))</f>
        <v>30.149955</v>
      </c>
      <c r="V981" s="61" t="n">
        <f aca="false">N(STACK!K981)</f>
        <v>2075</v>
      </c>
      <c r="W981" s="61" t="n">
        <f aca="false">T981+U981+V981</f>
        <v>2295.972455</v>
      </c>
      <c r="X981" s="61" t="n">
        <f aca="false">N(STACK!L981)</f>
        <v>1035</v>
      </c>
      <c r="Y981" s="61" t="n">
        <f aca="false">W981-X981</f>
        <v>1260.972455</v>
      </c>
      <c r="Z981" s="1" t="n">
        <f aca="false">N(STACK!J981)</f>
        <v>44</v>
      </c>
      <c r="AA981" s="1" t="str">
        <f aca="false">TRIM(IF(D981="UNMAPPED","Program not mapped. ","")&amp;IF(OR(K981="UNMAPPED",K981="UNASSIGNED"),"Category needs review. ","")&amp;IF(P981="UNMAPPED","Title not mapped. ","")&amp;IF(AND(P981&lt;&gt;"No staff time",R981=""),"Missing hours. ","")&amp;IF(M981="","Date not readable. ","")&amp;IF(N981="No","Outside fiscal year. ","")&amp;IF(AND(F981="Event",ISNUMBER(R981)),IF(R981&gt;12,"Event hours look high. ",""),"")&amp;IF(G981&gt;0,"See CONFIRM sheet.",""))</f>
        <v/>
      </c>
      <c r="AB981" s="1" t="n">
        <f aca="false">IF(N981="No",0,IF(REVIEW!O981=0,0,IF(G981&gt;0,IF(INDEX(CONFIRM!$J$5:$J$53,G981)&lt;&gt;"",INDEX(CONFIRM!$J$5:$J$53,G981),1),1)))</f>
        <v>1</v>
      </c>
      <c r="AC981" s="1" t="n">
        <f aca="false">IF(AB981=1,IF(COUNTIFS($B$5:B981,B981,$D$5:D981,D981,$AB$5:AB981,1)=1,1,0),0)</f>
        <v>0</v>
      </c>
    </row>
    <row r="982" customFormat="false" ht="15" hidden="false" customHeight="false" outlineLevel="0" collapsed="false">
      <c r="A982" s="48" t="str">
        <f aca="false">STACK!A982</f>
        <v>CBH-0154</v>
      </c>
      <c r="B982" s="48" t="str">
        <f aca="false">STACK!B982</f>
        <v>CBH</v>
      </c>
      <c r="C982" s="48" t="str">
        <f aca="false">STACK!E982</f>
        <v>School Health Center Grant</v>
      </c>
      <c r="D982" s="1" t="str">
        <f aca="false">IFERROR(INDEX(MAP!$J$7:$J$101,MATCH(TRIM(C982),MAP!$I$7:$I$101,0)),"UNMAPPED")</f>
        <v>School-Based Health Center Support Grant</v>
      </c>
      <c r="E982" s="1" t="str">
        <f aca="false">IFERROR(INDEX(MAP!$K$7:$K$101,MATCH(TRIM(C982),MAP!$I$7:$I$101,0)),"")</f>
        <v>Maternal and child health</v>
      </c>
      <c r="F982" s="1" t="str">
        <f aca="false">IFERROR(INDEX(MAP!$L$7:$L$101,MATCH(TRIM(C982),MAP!$I$7:$I$101,0)),"")</f>
        <v>Contribution</v>
      </c>
      <c r="G982" s="1" t="n">
        <f aca="false">IFERROR(MATCH(A982,CONFIRM!$A$5:$A$53,0),0)</f>
        <v>0</v>
      </c>
      <c r="H982" s="48" t="str">
        <f aca="false">STACK!F982</f>
        <v>Donation</v>
      </c>
      <c r="I982" s="1" t="str">
        <f aca="false">IF(G982&gt;0,IF(INDEX(CONFIRM!$I$5:$I$53,G982)&lt;&gt;"",INDEX(CONFIRM!$I$5:$I$53,G982),H982),H982)</f>
        <v>Donation</v>
      </c>
      <c r="J982" s="1" t="str">
        <f aca="false">IFERROR(INDEX(MAP!$F$7:$F$74,MATCH(TRIM(I982),MAP!$E$7:$E$74,0)),"UNMAPPED")</f>
        <v>Cash and in-kind contributions</v>
      </c>
      <c r="K982" s="1" t="str">
        <f aca="false">IFERROR(INDEX(MAP!$G$7:$G$74,MATCH(TRIM(I982),MAP!$E$7:$E$74,0)),"UNMAPPED")</f>
        <v>7i</v>
      </c>
      <c r="L982" s="49" t="str">
        <f aca="false">STACK!G982</f>
        <v>2026-01-08</v>
      </c>
      <c r="M982" s="59" t="n">
        <f aca="false">IF(G982&gt;0,IF(INDEX(CONFIRM!$G$5:$G$53,G982)&lt;&gt;"",INDEX(CONFIRM!$G$5:$G$53,G982),IF(ISNUMBER(L982),L982,IFERROR(DATEVALUE(L982),""))),IF(ISNUMBER(L982),L982,IFERROR(DATEVALUE(L982),"")))</f>
        <v>46030</v>
      </c>
      <c r="N982" s="1" t="str">
        <f aca="false">IF(M982="","Check",IF(AND(M982&gt;=INPUTS!$C$6,M982&lt;=INPUTS!$C$7),"Yes","No"))</f>
        <v>Yes</v>
      </c>
      <c r="O982" s="48" t="str">
        <f aca="false">STACK!H982</f>
        <v>n.a.</v>
      </c>
      <c r="P982" s="1" t="str">
        <f aca="false">IF(G982&gt;0,IF(INDEX(CONFIRM!$H$5:$H$53,G982)&lt;&gt;"",INDEX(CONFIRM!$H$5:$H$53,G982),IFERROR(INDEX(MAP!$B$7:$B$156,MATCH(TRIM(O982),MAP!$A$7:$A$156,0)),"UNMAPPED")),IFERROR(INDEX(MAP!$B$7:$B$156,MATCH(TRIM(O982),MAP!$A$7:$A$156,0)),"UNMAPPED"))</f>
        <v>No staff time</v>
      </c>
      <c r="Q982" s="48" t="n">
        <f aca="false">STACK!I982</f>
        <v>0</v>
      </c>
      <c r="R982" s="60" t="n">
        <f aca="false">IF(G982&gt;0,IF(INDEX(CONFIRM!$F$5:$F$53,G982)&lt;&gt;"",INDEX(CONFIRM!$F$5:$F$53,G982),IF(ISNUMBER(Q982),Q982,IF(Q982="","",IFERROR(VALUE(TRIM(SUBSTITUTE(SUBSTITUTE(LOWER(Q982),"hrs",""),"hr",""))),"")))),IF(ISNUMBER(Q982),Q982,IF(Q982="","",IFERROR(VALUE(TRIM(SUBSTITUTE(SUBSTITUTE(LOWER(Q982),"hrs",""),"hr",""))),""))))</f>
        <v>0</v>
      </c>
      <c r="S982" s="57" t="n">
        <f aca="false">IFERROR(INDEX(RATES!$E$6:$E$28,MATCH(P982,RATES!$A$6:$A$28,0)),0)</f>
        <v>0</v>
      </c>
      <c r="T982" s="61" t="n">
        <f aca="false">IF(ISNUMBER(R982),R982,0)*S982</f>
        <v>0</v>
      </c>
      <c r="U982" s="61" t="n">
        <f aca="false">T982*INDEX(INPUTS!$H$10:$H$14,MATCH(B982,INPUTS!$A$10:$A$14,0))</f>
        <v>0</v>
      </c>
      <c r="V982" s="61" t="n">
        <f aca="false">N(STACK!K982)</f>
        <v>65780</v>
      </c>
      <c r="W982" s="61" t="n">
        <f aca="false">T982+U982+V982</f>
        <v>65780</v>
      </c>
      <c r="X982" s="61" t="n">
        <f aca="false">N(STACK!L982)</f>
        <v>0</v>
      </c>
      <c r="Y982" s="61" t="n">
        <f aca="false">W982-X982</f>
        <v>65780</v>
      </c>
      <c r="Z982" s="1" t="n">
        <f aca="false">N(STACK!J982)</f>
        <v>0</v>
      </c>
      <c r="AA982" s="1" t="str">
        <f aca="false">TRIM(IF(D982="UNMAPPED","Program not mapped. ","")&amp;IF(OR(K982="UNMAPPED",K982="UNASSIGNED"),"Category needs review. ","")&amp;IF(P982="UNMAPPED","Title not mapped. ","")&amp;IF(AND(P982&lt;&gt;"No staff time",R982=""),"Missing hours. ","")&amp;IF(M982="","Date not readable. ","")&amp;IF(N982="No","Outside fiscal year. ","")&amp;IF(AND(F982="Event",ISNUMBER(R982)),IF(R982&gt;12,"Event hours look high. ",""),"")&amp;IF(G982&gt;0,"See CONFIRM sheet.",""))</f>
        <v/>
      </c>
      <c r="AB982" s="1" t="n">
        <f aca="false">IF(N982="No",0,IF(REVIEW!O982=0,0,IF(G982&gt;0,IF(INDEX(CONFIRM!$J$5:$J$53,G982)&lt;&gt;"",INDEX(CONFIRM!$J$5:$J$53,G982),1),1)))</f>
        <v>1</v>
      </c>
      <c r="AC982" s="1" t="n">
        <f aca="false">IF(AB982=1,IF(COUNTIFS($B$5:B982,B982,$D$5:D982,D982,$AB$5:AB982,1)=1,1,0),0)</f>
        <v>1</v>
      </c>
    </row>
    <row r="983" customFormat="false" ht="15" hidden="false" customHeight="false" outlineLevel="0" collapsed="false">
      <c r="A983" s="48" t="str">
        <f aca="false">STACK!A983</f>
        <v>CBH-0155</v>
      </c>
      <c r="B983" s="48" t="str">
        <f aca="false">STACK!B983</f>
        <v>CBH</v>
      </c>
      <c r="C983" s="48" t="str">
        <f aca="false">STACK!E983</f>
        <v>Health Coalition</v>
      </c>
      <c r="D983" s="1" t="str">
        <f aca="false">IFERROR(INDEX(MAP!$J$7:$J$101,MATCH(TRIM(C983),MAP!$I$7:$I$101,0)),"UNMAPPED")</f>
        <v>Regional Health Coalition</v>
      </c>
      <c r="E983" s="1" t="str">
        <f aca="false">IFERROR(INDEX(MAP!$K$7:$K$101,MATCH(TRIM(C983),MAP!$I$7:$I$101,0)),"")</f>
        <v>Community benefit infrastructure</v>
      </c>
      <c r="F983" s="1" t="str">
        <f aca="false">IFERROR(INDEX(MAP!$L$7:$L$101,MATCH(TRIM(C983),MAP!$I$7:$I$101,0)),"")</f>
        <v>Event</v>
      </c>
      <c r="G983" s="1" t="n">
        <f aca="false">IFERROR(MATCH(A983,CONFIRM!$A$5:$A$53,0),0)</f>
        <v>18</v>
      </c>
      <c r="H983" s="48" t="str">
        <f aca="false">STACK!F983</f>
        <v>Community Health Improvement</v>
      </c>
      <c r="I983" s="1" t="str">
        <f aca="false">IF(G983&gt;0,IF(INDEX(CONFIRM!$I$5:$I$53,G983)&lt;&gt;"",INDEX(CONFIRM!$I$5:$I$53,G983),H983),H983)</f>
        <v>Community building: coalition building</v>
      </c>
      <c r="J983" s="1" t="str">
        <f aca="false">IFERROR(INDEX(MAP!$F$7:$F$74,MATCH(TRIM(I983),MAP!$E$7:$E$74,0)),"UNMAPPED")</f>
        <v>Community building: coalition building</v>
      </c>
      <c r="K983" s="1" t="str">
        <f aca="false">IFERROR(INDEX(MAP!$G$7:$G$74,MATCH(TRIM(I983),MAP!$E$7:$E$74,0)),"UNMAPPED")</f>
        <v>II-6</v>
      </c>
      <c r="L983" s="49" t="str">
        <f aca="false">STACK!G983</f>
        <v>2026-01-17</v>
      </c>
      <c r="M983" s="59" t="n">
        <f aca="false">IF(G983&gt;0,IF(INDEX(CONFIRM!$G$5:$G$53,G983)&lt;&gt;"",INDEX(CONFIRM!$G$5:$G$53,G983),IF(ISNUMBER(L983),L983,IFERROR(DATEVALUE(L983),""))),IF(ISNUMBER(L983),L983,IFERROR(DATEVALUE(L983),"")))</f>
        <v>46039</v>
      </c>
      <c r="N983" s="1" t="str">
        <f aca="false">IF(M983="","Check",IF(AND(M983&gt;=INPUTS!$C$6,M983&lt;=INPUTS!$C$7),"Yes","No"))</f>
        <v>Yes</v>
      </c>
      <c r="O983" s="48" t="str">
        <f aca="false">STACK!H983</f>
        <v>Mgr, Community Benefit</v>
      </c>
      <c r="P983" s="1" t="str">
        <f aca="false">IF(G983&gt;0,IF(INDEX(CONFIRM!$H$5:$H$53,G983)&lt;&gt;"",INDEX(CONFIRM!$H$5:$H$53,G983),IFERROR(INDEX(MAP!$B$7:$B$156,MATCH(TRIM(O983),MAP!$A$7:$A$156,0)),"UNMAPPED")),IFERROR(INDEX(MAP!$B$7:$B$156,MATCH(TRIM(O983),MAP!$A$7:$A$156,0)),"UNMAPPED"))</f>
        <v>Community Benefit Manager</v>
      </c>
      <c r="Q983" s="48" t="n">
        <f aca="false">STACK!I983</f>
        <v>2.5</v>
      </c>
      <c r="R983" s="60" t="n">
        <f aca="false">IF(G983&gt;0,IF(INDEX(CONFIRM!$F$5:$F$53,G983)&lt;&gt;"",INDEX(CONFIRM!$F$5:$F$53,G983),IF(ISNUMBER(Q983),Q983,IF(Q983="","",IFERROR(VALUE(TRIM(SUBSTITUTE(SUBSTITUTE(LOWER(Q983),"hrs",""),"hr",""))),"")))),IF(ISNUMBER(Q983),Q983,IF(Q983="","",IFERROR(VALUE(TRIM(SUBSTITUTE(SUBSTITUTE(LOWER(Q983),"hrs",""),"hr",""))),""))))</f>
        <v>2.5</v>
      </c>
      <c r="S983" s="57" t="n">
        <f aca="false">IFERROR(INDEX(RATES!$E$6:$E$28,MATCH(P983,RATES!$A$6:$A$28,0)),0)</f>
        <v>59.11</v>
      </c>
      <c r="T983" s="61" t="n">
        <f aca="false">IF(ISNUMBER(R983),R983,0)*S983</f>
        <v>147.775</v>
      </c>
      <c r="U983" s="61" t="n">
        <f aca="false">T983*INDEX(INPUTS!$H$10:$H$14,MATCH(B983,INPUTS!$A$10:$A$14,0))</f>
        <v>23.34845</v>
      </c>
      <c r="V983" s="61" t="n">
        <f aca="false">N(STACK!K983)</f>
        <v>0</v>
      </c>
      <c r="W983" s="61" t="n">
        <f aca="false">T983+U983+V983</f>
        <v>171.12345</v>
      </c>
      <c r="X983" s="61" t="n">
        <f aca="false">N(STACK!L983)</f>
        <v>0</v>
      </c>
      <c r="Y983" s="61" t="n">
        <f aca="false">W983-X983</f>
        <v>171.12345</v>
      </c>
      <c r="Z983" s="1" t="n">
        <f aca="false">N(STACK!J983)</f>
        <v>0</v>
      </c>
      <c r="AA983" s="1" t="str">
        <f aca="false">TRIM(IF(D983="UNMAPPED","Program not mapped. ","")&amp;IF(OR(K983="UNMAPPED",K983="UNASSIGNED"),"Category needs review. ","")&amp;IF(P983="UNMAPPED","Title not mapped. ","")&amp;IF(AND(P983&lt;&gt;"No staff time",R983=""),"Missing hours. ","")&amp;IF(M983="","Date not readable. ","")&amp;IF(N983="No","Outside fiscal year. ","")&amp;IF(AND(F983="Event",ISNUMBER(R983)),IF(R983&gt;12,"Event hours look high. ",""),"")&amp;IF(G983&gt;0,"See CONFIRM sheet.",""))</f>
        <v>See CONFIRM sheet.</v>
      </c>
      <c r="AB983" s="1" t="n">
        <f aca="false">IF(N983="No",0,IF(REVIEW!O983=0,0,IF(G983&gt;0,IF(INDEX(CONFIRM!$J$5:$J$53,G983)&lt;&gt;"",INDEX(CONFIRM!$J$5:$J$53,G983),1),1)))</f>
        <v>1</v>
      </c>
      <c r="AC983" s="1" t="n">
        <f aca="false">IF(AB983=1,IF(COUNTIFS($B$5:B983,B983,$D$5:D983,D983,$AB$5:AB983,1)=1,1,0),0)</f>
        <v>0</v>
      </c>
    </row>
    <row r="984" customFormat="false" ht="15" hidden="false" customHeight="false" outlineLevel="0" collapsed="false">
      <c r="A984" s="48" t="str">
        <f aca="false">STACK!A984</f>
        <v>CBH-0156</v>
      </c>
      <c r="B984" s="48" t="str">
        <f aca="false">STACK!B984</f>
        <v>CBH</v>
      </c>
      <c r="C984" s="48" t="str">
        <f aca="false">STACK!E984</f>
        <v>Health Coalition</v>
      </c>
      <c r="D984" s="1" t="str">
        <f aca="false">IFERROR(INDEX(MAP!$J$7:$J$101,MATCH(TRIM(C984),MAP!$I$7:$I$101,0)),"UNMAPPED")</f>
        <v>Regional Health Coalition</v>
      </c>
      <c r="E984" s="1" t="str">
        <f aca="false">IFERROR(INDEX(MAP!$K$7:$K$101,MATCH(TRIM(C984),MAP!$I$7:$I$101,0)),"")</f>
        <v>Community benefit infrastructure</v>
      </c>
      <c r="F984" s="1" t="str">
        <f aca="false">IFERROR(INDEX(MAP!$L$7:$L$101,MATCH(TRIM(C984),MAP!$I$7:$I$101,0)),"")</f>
        <v>Event</v>
      </c>
      <c r="G984" s="1" t="n">
        <f aca="false">IFERROR(MATCH(A984,CONFIRM!$A$5:$A$53,0),0)</f>
        <v>19</v>
      </c>
      <c r="H984" s="48" t="str">
        <f aca="false">STACK!F984</f>
        <v>Community Health Improvement</v>
      </c>
      <c r="I984" s="1" t="str">
        <f aca="false">IF(G984&gt;0,IF(INDEX(CONFIRM!$I$5:$I$53,G984)&lt;&gt;"",INDEX(CONFIRM!$I$5:$I$53,G984),H984),H984)</f>
        <v>Community building: coalition building</v>
      </c>
      <c r="J984" s="1" t="str">
        <f aca="false">IFERROR(INDEX(MAP!$F$7:$F$74,MATCH(TRIM(I984),MAP!$E$7:$E$74,0)),"UNMAPPED")</f>
        <v>Community building: coalition building</v>
      </c>
      <c r="K984" s="1" t="str">
        <f aca="false">IFERROR(INDEX(MAP!$G$7:$G$74,MATCH(TRIM(I984),MAP!$E$7:$E$74,0)),"UNMAPPED")</f>
        <v>II-6</v>
      </c>
      <c r="L984" s="49" t="str">
        <f aca="false">STACK!G984</f>
        <v>2026-01-17</v>
      </c>
      <c r="M984" s="59" t="n">
        <f aca="false">IF(G984&gt;0,IF(INDEX(CONFIRM!$G$5:$G$53,G984)&lt;&gt;"",INDEX(CONFIRM!$G$5:$G$53,G984),IF(ISNUMBER(L984),L984,IFERROR(DATEVALUE(L984),""))),IF(ISNUMBER(L984),L984,IFERROR(DATEVALUE(L984),"")))</f>
        <v>46039</v>
      </c>
      <c r="N984" s="1" t="str">
        <f aca="false">IF(M984="","Check",IF(AND(M984&gt;=INPUTS!$C$6,M984&lt;=INPUTS!$C$7),"Yes","No"))</f>
        <v>Yes</v>
      </c>
      <c r="O984" s="48" t="str">
        <f aca="false">STACK!H984</f>
        <v>Executive Director</v>
      </c>
      <c r="P984" s="1" t="str">
        <f aca="false">IF(G984&gt;0,IF(INDEX(CONFIRM!$H$5:$H$53,G984)&lt;&gt;"",INDEX(CONFIRM!$H$5:$H$53,G984),IFERROR(INDEX(MAP!$B$7:$B$156,MATCH(TRIM(O984),MAP!$A$7:$A$156,0)),"UNMAPPED")),IFERROR(INDEX(MAP!$B$7:$B$156,MATCH(TRIM(O984),MAP!$A$7:$A$156,0)),"UNMAPPED"))</f>
        <v>Director</v>
      </c>
      <c r="Q984" s="48" t="n">
        <f aca="false">STACK!I984</f>
        <v>2.25</v>
      </c>
      <c r="R984" s="60" t="n">
        <f aca="false">IF(G984&gt;0,IF(INDEX(CONFIRM!$F$5:$F$53,G984)&lt;&gt;"",INDEX(CONFIRM!$F$5:$F$53,G984),IF(ISNUMBER(Q984),Q984,IF(Q984="","",IFERROR(VALUE(TRIM(SUBSTITUTE(SUBSTITUTE(LOWER(Q984),"hrs",""),"hr",""))),"")))),IF(ISNUMBER(Q984),Q984,IF(Q984="","",IFERROR(VALUE(TRIM(SUBSTITUTE(SUBSTITUTE(LOWER(Q984),"hrs",""),"hr",""))),""))))</f>
        <v>2.25</v>
      </c>
      <c r="S984" s="57" t="n">
        <f aca="false">IFERROR(INDEX(RATES!$E$6:$E$28,MATCH(P984,RATES!$A$6:$A$28,0)),0)</f>
        <v>92.52</v>
      </c>
      <c r="T984" s="61" t="n">
        <f aca="false">IF(ISNUMBER(R984),R984,0)*S984</f>
        <v>208.17</v>
      </c>
      <c r="U984" s="61" t="n">
        <f aca="false">T984*INDEX(INPUTS!$H$10:$H$14,MATCH(B984,INPUTS!$A$10:$A$14,0))</f>
        <v>32.89086</v>
      </c>
      <c r="V984" s="61" t="n">
        <f aca="false">N(STACK!K984)</f>
        <v>55</v>
      </c>
      <c r="W984" s="61" t="n">
        <f aca="false">T984+U984+V984</f>
        <v>296.06086</v>
      </c>
      <c r="X984" s="61" t="n">
        <f aca="false">N(STACK!L984)</f>
        <v>0</v>
      </c>
      <c r="Y984" s="61" t="n">
        <f aca="false">W984-X984</f>
        <v>296.06086</v>
      </c>
      <c r="Z984" s="1" t="n">
        <f aca="false">N(STACK!J984)</f>
        <v>0</v>
      </c>
      <c r="AA984" s="1" t="str">
        <f aca="false">TRIM(IF(D984="UNMAPPED","Program not mapped. ","")&amp;IF(OR(K984="UNMAPPED",K984="UNASSIGNED"),"Category needs review. ","")&amp;IF(P984="UNMAPPED","Title not mapped. ","")&amp;IF(AND(P984&lt;&gt;"No staff time",R984=""),"Missing hours. ","")&amp;IF(M984="","Date not readable. ","")&amp;IF(N984="No","Outside fiscal year. ","")&amp;IF(AND(F984="Event",ISNUMBER(R984)),IF(R984&gt;12,"Event hours look high. ",""),"")&amp;IF(G984&gt;0,"See CONFIRM sheet.",""))</f>
        <v>See CONFIRM sheet.</v>
      </c>
      <c r="AB984" s="1" t="n">
        <f aca="false">IF(N984="No",0,IF(REVIEW!O984=0,0,IF(G984&gt;0,IF(INDEX(CONFIRM!$J$5:$J$53,G984)&lt;&gt;"",INDEX(CONFIRM!$J$5:$J$53,G984),1),1)))</f>
        <v>1</v>
      </c>
      <c r="AC984" s="1" t="n">
        <f aca="false">IF(AB984=1,IF(COUNTIFS($B$5:B984,B984,$D$5:D984,D984,$AB$5:AB984,1)=1,1,0),0)</f>
        <v>0</v>
      </c>
    </row>
    <row r="985" customFormat="false" ht="15" hidden="false" customHeight="false" outlineLevel="0" collapsed="false">
      <c r="A985" s="48" t="str">
        <f aca="false">STACK!A985</f>
        <v>CBH-0157</v>
      </c>
      <c r="B985" s="48" t="str">
        <f aca="false">STACK!B985</f>
        <v>CBH</v>
      </c>
      <c r="C985" s="48" t="str">
        <f aca="false">STACK!E985</f>
        <v>Diabetes Prevention</v>
      </c>
      <c r="D985" s="1" t="str">
        <f aca="false">IFERROR(INDEX(MAP!$J$7:$J$101,MATCH(TRIM(C985),MAP!$I$7:$I$101,0)),"UNMAPPED")</f>
        <v>Diabetes Prevention Classes</v>
      </c>
      <c r="E985" s="1" t="str">
        <f aca="false">IFERROR(INDEX(MAP!$K$7:$K$101,MATCH(TRIM(C985),MAP!$I$7:$I$101,0)),"")</f>
        <v>Chronic disease prevention</v>
      </c>
      <c r="F985" s="1" t="str">
        <f aca="false">IFERROR(INDEX(MAP!$L$7:$L$101,MATCH(TRIM(C985),MAP!$I$7:$I$101,0)),"")</f>
        <v>Event</v>
      </c>
      <c r="G985" s="1" t="n">
        <f aca="false">IFERROR(MATCH(A985,CONFIRM!$A$5:$A$53,0),0)</f>
        <v>0</v>
      </c>
      <c r="H985" s="48" t="str">
        <f aca="false">STACK!F985</f>
        <v>Health Education</v>
      </c>
      <c r="I985" s="1" t="str">
        <f aca="false">IF(G985&gt;0,IF(INDEX(CONFIRM!$I$5:$I$53,G985)&lt;&gt;"",INDEX(CONFIRM!$I$5:$I$53,G985),H985),H985)</f>
        <v>Health Education</v>
      </c>
      <c r="J985" s="1" t="str">
        <f aca="false">IFERROR(INDEX(MAP!$F$7:$F$74,MATCH(TRIM(I985),MAP!$E$7:$E$74,0)),"UNMAPPED")</f>
        <v>Community health education</v>
      </c>
      <c r="K985" s="1" t="str">
        <f aca="false">IFERROR(INDEX(MAP!$G$7:$G$74,MATCH(TRIM(I985),MAP!$E$7:$E$74,0)),"UNMAPPED")</f>
        <v>7e</v>
      </c>
      <c r="L985" s="49" t="str">
        <f aca="false">STACK!G985</f>
        <v>2026-01-23</v>
      </c>
      <c r="M985" s="59" t="n">
        <f aca="false">IF(G985&gt;0,IF(INDEX(CONFIRM!$G$5:$G$53,G985)&lt;&gt;"",INDEX(CONFIRM!$G$5:$G$53,G985),IF(ISNUMBER(L985),L985,IFERROR(DATEVALUE(L985),""))),IF(ISNUMBER(L985),L985,IFERROR(DATEVALUE(L985),"")))</f>
        <v>46045</v>
      </c>
      <c r="N985" s="1" t="str">
        <f aca="false">IF(M985="","Check",IF(AND(M985&gt;=INPUTS!$C$6,M985&lt;=INPUTS!$C$7),"Yes","No"))</f>
        <v>Yes</v>
      </c>
      <c r="O985" s="48" t="str">
        <f aca="false">STACK!H985</f>
        <v>Health Educator</v>
      </c>
      <c r="P985" s="1" t="str">
        <f aca="false">IF(G985&gt;0,IF(INDEX(CONFIRM!$H$5:$H$53,G985)&lt;&gt;"",INDEX(CONFIRM!$H$5:$H$53,G985),IFERROR(INDEX(MAP!$B$7:$B$156,MATCH(TRIM(O985),MAP!$A$7:$A$156,0)),"UNMAPPED")),IFERROR(INDEX(MAP!$B$7:$B$156,MATCH(TRIM(O985),MAP!$A$7:$A$156,0)),"UNMAPPED"))</f>
        <v>Health Educator</v>
      </c>
      <c r="Q985" s="48" t="n">
        <f aca="false">STACK!I985</f>
        <v>2</v>
      </c>
      <c r="R985" s="60" t="n">
        <f aca="false">IF(G985&gt;0,IF(INDEX(CONFIRM!$F$5:$F$53,G985)&lt;&gt;"",INDEX(CONFIRM!$F$5:$F$53,G985),IF(ISNUMBER(Q985),Q985,IF(Q985="","",IFERROR(VALUE(TRIM(SUBSTITUTE(SUBSTITUTE(LOWER(Q985),"hrs",""),"hr",""))),"")))),IF(ISNUMBER(Q985),Q985,IF(Q985="","",IFERROR(VALUE(TRIM(SUBSTITUTE(SUBSTITUTE(LOWER(Q985),"hrs",""),"hr",""))),""))))</f>
        <v>2</v>
      </c>
      <c r="S985" s="57" t="n">
        <f aca="false">IFERROR(INDEX(RATES!$E$6:$E$28,MATCH(P985,RATES!$A$6:$A$28,0)),0)</f>
        <v>37.265</v>
      </c>
      <c r="T985" s="61" t="n">
        <f aca="false">IF(ISNUMBER(R985),R985,0)*S985</f>
        <v>74.53</v>
      </c>
      <c r="U985" s="61" t="n">
        <f aca="false">T985*INDEX(INPUTS!$H$10:$H$14,MATCH(B985,INPUTS!$A$10:$A$14,0))</f>
        <v>11.77574</v>
      </c>
      <c r="V985" s="61" t="n">
        <f aca="false">N(STACK!K985)</f>
        <v>180</v>
      </c>
      <c r="W985" s="61" t="n">
        <f aca="false">T985+U985+V985</f>
        <v>266.30574</v>
      </c>
      <c r="X985" s="61" t="n">
        <f aca="false">N(STACK!L985)</f>
        <v>0</v>
      </c>
      <c r="Y985" s="61" t="n">
        <f aca="false">W985-X985</f>
        <v>266.30574</v>
      </c>
      <c r="Z985" s="1" t="n">
        <f aca="false">N(STACK!J985)</f>
        <v>14</v>
      </c>
      <c r="AA985" s="1" t="str">
        <f aca="false">TRIM(IF(D985="UNMAPPED","Program not mapped. ","")&amp;IF(OR(K985="UNMAPPED",K985="UNASSIGNED"),"Category needs review. ","")&amp;IF(P985="UNMAPPED","Title not mapped. ","")&amp;IF(AND(P985&lt;&gt;"No staff time",R985=""),"Missing hours. ","")&amp;IF(M985="","Date not readable. ","")&amp;IF(N985="No","Outside fiscal year. ","")&amp;IF(AND(F985="Event",ISNUMBER(R985)),IF(R985&gt;12,"Event hours look high. ",""),"")&amp;IF(G985&gt;0,"See CONFIRM sheet.",""))</f>
        <v/>
      </c>
      <c r="AB985" s="1" t="n">
        <f aca="false">IF(N985="No",0,IF(REVIEW!O985=0,0,IF(G985&gt;0,IF(INDEX(CONFIRM!$J$5:$J$53,G985)&lt;&gt;"",INDEX(CONFIRM!$J$5:$J$53,G985),1),1)))</f>
        <v>1</v>
      </c>
      <c r="AC985" s="1" t="n">
        <f aca="false">IF(AB985=1,IF(COUNTIFS($B$5:B985,B985,$D$5:D985,D985,$AB$5:AB985,1)=1,1,0),0)</f>
        <v>0</v>
      </c>
    </row>
    <row r="986" customFormat="false" ht="15" hidden="false" customHeight="false" outlineLevel="0" collapsed="false">
      <c r="A986" s="48" t="str">
        <f aca="false">STACK!A986</f>
        <v>CBH-0158</v>
      </c>
      <c r="B986" s="48" t="str">
        <f aca="false">STACK!B986</f>
        <v>CBH</v>
      </c>
      <c r="C986" s="48" t="str">
        <f aca="false">STACK!E986</f>
        <v>Diabetes Prevention</v>
      </c>
      <c r="D986" s="1" t="str">
        <f aca="false">IFERROR(INDEX(MAP!$J$7:$J$101,MATCH(TRIM(C986),MAP!$I$7:$I$101,0)),"UNMAPPED")</f>
        <v>Diabetes Prevention Classes</v>
      </c>
      <c r="E986" s="1" t="str">
        <f aca="false">IFERROR(INDEX(MAP!$K$7:$K$101,MATCH(TRIM(C986),MAP!$I$7:$I$101,0)),"")</f>
        <v>Chronic disease prevention</v>
      </c>
      <c r="F986" s="1" t="str">
        <f aca="false">IFERROR(INDEX(MAP!$L$7:$L$101,MATCH(TRIM(C986),MAP!$I$7:$I$101,0)),"")</f>
        <v>Event</v>
      </c>
      <c r="G986" s="1" t="n">
        <f aca="false">IFERROR(MATCH(A986,CONFIRM!$A$5:$A$53,0),0)</f>
        <v>0</v>
      </c>
      <c r="H986" s="48" t="str">
        <f aca="false">STACK!F986</f>
        <v>Health Education</v>
      </c>
      <c r="I986" s="1" t="str">
        <f aca="false">IF(G986&gt;0,IF(INDEX(CONFIRM!$I$5:$I$53,G986)&lt;&gt;"",INDEX(CONFIRM!$I$5:$I$53,G986),H986),H986)</f>
        <v>Health Education</v>
      </c>
      <c r="J986" s="1" t="str">
        <f aca="false">IFERROR(INDEX(MAP!$F$7:$F$74,MATCH(TRIM(I986),MAP!$E$7:$E$74,0)),"UNMAPPED")</f>
        <v>Community health education</v>
      </c>
      <c r="K986" s="1" t="str">
        <f aca="false">IFERROR(INDEX(MAP!$G$7:$G$74,MATCH(TRIM(I986),MAP!$E$7:$E$74,0)),"UNMAPPED")</f>
        <v>7e</v>
      </c>
      <c r="L986" s="49" t="str">
        <f aca="false">STACK!G986</f>
        <v>2026-01-23</v>
      </c>
      <c r="M986" s="59" t="n">
        <f aca="false">IF(G986&gt;0,IF(INDEX(CONFIRM!$G$5:$G$53,G986)&lt;&gt;"",INDEX(CONFIRM!$G$5:$G$53,G986),IF(ISNUMBER(L986),L986,IFERROR(DATEVALUE(L986),""))),IF(ISNUMBER(L986),L986,IFERROR(DATEVALUE(L986),"")))</f>
        <v>46045</v>
      </c>
      <c r="N986" s="1" t="str">
        <f aca="false">IF(M986="","Check",IF(AND(M986&gt;=INPUTS!$C$6,M986&lt;=INPUTS!$C$7),"Yes","No"))</f>
        <v>Yes</v>
      </c>
      <c r="O986" s="48" t="str">
        <f aca="false">STACK!H986</f>
        <v>Dietitian</v>
      </c>
      <c r="P986" s="1" t="str">
        <f aca="false">IF(G986&gt;0,IF(INDEX(CONFIRM!$H$5:$H$53,G986)&lt;&gt;"",INDEX(CONFIRM!$H$5:$H$53,G986),IFERROR(INDEX(MAP!$B$7:$B$156,MATCH(TRIM(O986),MAP!$A$7:$A$156,0)),"UNMAPPED")),IFERROR(INDEX(MAP!$B$7:$B$156,MATCH(TRIM(O986),MAP!$A$7:$A$156,0)),"UNMAPPED"))</f>
        <v>Registered Dietitian</v>
      </c>
      <c r="Q986" s="48" t="n">
        <f aca="false">STACK!I986</f>
        <v>1.75</v>
      </c>
      <c r="R986" s="60" t="n">
        <f aca="false">IF(G986&gt;0,IF(INDEX(CONFIRM!$F$5:$F$53,G986)&lt;&gt;"",INDEX(CONFIRM!$F$5:$F$53,G986),IF(ISNUMBER(Q986),Q986,IF(Q986="","",IFERROR(VALUE(TRIM(SUBSTITUTE(SUBSTITUTE(LOWER(Q986),"hrs",""),"hr",""))),"")))),IF(ISNUMBER(Q986),Q986,IF(Q986="","",IFERROR(VALUE(TRIM(SUBSTITUTE(SUBSTITUTE(LOWER(Q986),"hrs",""),"hr",""))),""))))</f>
        <v>1.75</v>
      </c>
      <c r="S986" s="57" t="n">
        <f aca="false">IFERROR(INDEX(RATES!$E$6:$E$28,MATCH(P986,RATES!$A$6:$A$28,0)),0)</f>
        <v>46.9025</v>
      </c>
      <c r="T986" s="61" t="n">
        <f aca="false">IF(ISNUMBER(R986),R986,0)*S986</f>
        <v>82.079375</v>
      </c>
      <c r="U986" s="61" t="n">
        <f aca="false">T986*INDEX(INPUTS!$H$10:$H$14,MATCH(B986,INPUTS!$A$10:$A$14,0))</f>
        <v>12.96854125</v>
      </c>
      <c r="V986" s="61" t="n">
        <f aca="false">N(STACK!K986)</f>
        <v>0</v>
      </c>
      <c r="W986" s="61" t="n">
        <f aca="false">T986+U986+V986</f>
        <v>95.04791625</v>
      </c>
      <c r="X986" s="61" t="n">
        <f aca="false">N(STACK!L986)</f>
        <v>0</v>
      </c>
      <c r="Y986" s="61" t="n">
        <f aca="false">W986-X986</f>
        <v>95.04791625</v>
      </c>
      <c r="Z986" s="1" t="n">
        <f aca="false">N(STACK!J986)</f>
        <v>0</v>
      </c>
      <c r="AA986" s="1" t="str">
        <f aca="false">TRIM(IF(D986="UNMAPPED","Program not mapped. ","")&amp;IF(OR(K986="UNMAPPED",K986="UNASSIGNED"),"Category needs review. ","")&amp;IF(P986="UNMAPPED","Title not mapped. ","")&amp;IF(AND(P986&lt;&gt;"No staff time",R986=""),"Missing hours. ","")&amp;IF(M986="","Date not readable. ","")&amp;IF(N986="No","Outside fiscal year. ","")&amp;IF(AND(F986="Event",ISNUMBER(R986)),IF(R986&gt;12,"Event hours look high. ",""),"")&amp;IF(G986&gt;0,"See CONFIRM sheet.",""))</f>
        <v/>
      </c>
      <c r="AB986" s="1" t="n">
        <f aca="false">IF(N986="No",0,IF(REVIEW!O986=0,0,IF(G986&gt;0,IF(INDEX(CONFIRM!$J$5:$J$53,G986)&lt;&gt;"",INDEX(CONFIRM!$J$5:$J$53,G986),1),1)))</f>
        <v>1</v>
      </c>
      <c r="AC986" s="1" t="n">
        <f aca="false">IF(AB986=1,IF(COUNTIFS($B$5:B986,B986,$D$5:D986,D986,$AB$5:AB986,1)=1,1,0),0)</f>
        <v>0</v>
      </c>
    </row>
    <row r="987" customFormat="false" ht="15" hidden="false" customHeight="false" outlineLevel="0" collapsed="false">
      <c r="A987" s="48" t="str">
        <f aca="false">STACK!A987</f>
        <v>CBH-0159</v>
      </c>
      <c r="B987" s="48" t="str">
        <f aca="false">STACK!B987</f>
        <v>CBH</v>
      </c>
      <c r="C987" s="48" t="str">
        <f aca="false">STACK!E987</f>
        <v>Free Clinic Staffing</v>
      </c>
      <c r="D987" s="1" t="str">
        <f aca="false">IFERROR(INDEX(MAP!$J$7:$J$101,MATCH(TRIM(C987),MAP!$I$7:$I$101,0)),"UNMAPPED")</f>
        <v>Free Clinic Provider Staffing</v>
      </c>
      <c r="E987" s="1" t="str">
        <f aca="false">IFERROR(INDEX(MAP!$K$7:$K$101,MATCH(TRIM(C987),MAP!$I$7:$I$101,0)),"")</f>
        <v>Access to care</v>
      </c>
      <c r="F987" s="1" t="str">
        <f aca="false">IFERROR(INDEX(MAP!$L$7:$L$101,MATCH(TRIM(C987),MAP!$I$7:$I$101,0)),"")</f>
        <v>Monthly</v>
      </c>
      <c r="G987" s="1" t="n">
        <f aca="false">IFERROR(MATCH(A987,CONFIRM!$A$5:$A$53,0),0)</f>
        <v>0</v>
      </c>
      <c r="H987" s="48" t="str">
        <f aca="false">STACK!F987</f>
        <v>Screenings</v>
      </c>
      <c r="I987" s="1" t="str">
        <f aca="false">IF(G987&gt;0,IF(INDEX(CONFIRM!$I$5:$I$53,G987)&lt;&gt;"",INDEX(CONFIRM!$I$5:$I$53,G987),H987),H987)</f>
        <v>Screenings</v>
      </c>
      <c r="J987" s="1" t="str">
        <f aca="false">IFERROR(INDEX(MAP!$F$7:$F$74,MATCH(TRIM(I987),MAP!$E$7:$E$74,0)),"UNMAPPED")</f>
        <v>Community-based clinical services</v>
      </c>
      <c r="K987" s="1" t="str">
        <f aca="false">IFERROR(INDEX(MAP!$G$7:$G$74,MATCH(TRIM(I987),MAP!$E$7:$E$74,0)),"UNMAPPED")</f>
        <v>7e</v>
      </c>
      <c r="L987" s="49" t="str">
        <f aca="false">STACK!G987</f>
        <v>2026-01-31</v>
      </c>
      <c r="M987" s="59" t="n">
        <f aca="false">IF(G987&gt;0,IF(INDEX(CONFIRM!$G$5:$G$53,G987)&lt;&gt;"",INDEX(CONFIRM!$G$5:$G$53,G987),IF(ISNUMBER(L987),L987,IFERROR(DATEVALUE(L987),""))),IF(ISNUMBER(L987),L987,IFERROR(DATEVALUE(L987),"")))</f>
        <v>46053</v>
      </c>
      <c r="N987" s="1" t="str">
        <f aca="false">IF(M987="","Check",IF(AND(M987&gt;=INPUTS!$C$6,M987&lt;=INPUTS!$C$7),"Yes","No"))</f>
        <v>Yes</v>
      </c>
      <c r="O987" s="48" t="str">
        <f aca="false">STACK!H987</f>
        <v>NP</v>
      </c>
      <c r="P987" s="1" t="str">
        <f aca="false">IF(G987&gt;0,IF(INDEX(CONFIRM!$H$5:$H$53,G987)&lt;&gt;"",INDEX(CONFIRM!$H$5:$H$53,G987),IFERROR(INDEX(MAP!$B$7:$B$156,MATCH(TRIM(O987),MAP!$A$7:$A$156,0)),"UNMAPPED")),IFERROR(INDEX(MAP!$B$7:$B$156,MATCH(TRIM(O987),MAP!$A$7:$A$156,0)),"UNMAPPED"))</f>
        <v>Nurse Practitioner</v>
      </c>
      <c r="Q987" s="48" t="n">
        <f aca="false">STACK!I987</f>
        <v>28.5</v>
      </c>
      <c r="R987" s="60" t="n">
        <f aca="false">IF(G987&gt;0,IF(INDEX(CONFIRM!$F$5:$F$53,G987)&lt;&gt;"",INDEX(CONFIRM!$F$5:$F$53,G987),IF(ISNUMBER(Q987),Q987,IF(Q987="","",IFERROR(VALUE(TRIM(SUBSTITUTE(SUBSTITUTE(LOWER(Q987),"hrs",""),"hr",""))),"")))),IF(ISNUMBER(Q987),Q987,IF(Q987="","",IFERROR(VALUE(TRIM(SUBSTITUTE(SUBSTITUTE(LOWER(Q987),"hrs",""),"hr",""))),""))))</f>
        <v>28.5</v>
      </c>
      <c r="S987" s="57" t="n">
        <f aca="false">IFERROR(INDEX(RATES!$E$6:$E$28,MATCH(P987,RATES!$A$6:$A$28,0)),0)</f>
        <v>79.67</v>
      </c>
      <c r="T987" s="61" t="n">
        <f aca="false">IF(ISNUMBER(R987),R987,0)*S987</f>
        <v>2270.595</v>
      </c>
      <c r="U987" s="61" t="n">
        <f aca="false">T987*INDEX(INPUTS!$H$10:$H$14,MATCH(B987,INPUTS!$A$10:$A$14,0))</f>
        <v>358.75401</v>
      </c>
      <c r="V987" s="61" t="n">
        <f aca="false">N(STACK!K987)</f>
        <v>4180</v>
      </c>
      <c r="W987" s="61" t="n">
        <f aca="false">T987+U987+V987</f>
        <v>6809.34901</v>
      </c>
      <c r="X987" s="61" t="n">
        <f aca="false">N(STACK!L987)</f>
        <v>0</v>
      </c>
      <c r="Y987" s="61" t="n">
        <f aca="false">W987-X987</f>
        <v>6809.34901</v>
      </c>
      <c r="Z987" s="1" t="n">
        <f aca="false">N(STACK!J987)</f>
        <v>246</v>
      </c>
      <c r="AA987" s="1" t="str">
        <f aca="false">TRIM(IF(D987="UNMAPPED","Program not mapped. ","")&amp;IF(OR(K987="UNMAPPED",K987="UNASSIGNED"),"Category needs review. ","")&amp;IF(P987="UNMAPPED","Title not mapped. ","")&amp;IF(AND(P987&lt;&gt;"No staff time",R987=""),"Missing hours. ","")&amp;IF(M987="","Date not readable. ","")&amp;IF(N987="No","Outside fiscal year. ","")&amp;IF(AND(F987="Event",ISNUMBER(R987)),IF(R987&gt;12,"Event hours look high. ",""),"")&amp;IF(G987&gt;0,"See CONFIRM sheet.",""))</f>
        <v/>
      </c>
      <c r="AB987" s="1" t="n">
        <f aca="false">IF(N987="No",0,IF(REVIEW!O987=0,0,IF(G987&gt;0,IF(INDEX(CONFIRM!$J$5:$J$53,G987)&lt;&gt;"",INDEX(CONFIRM!$J$5:$J$53,G987),1),1)))</f>
        <v>1</v>
      </c>
      <c r="AC987" s="1" t="n">
        <f aca="false">IF(AB987=1,IF(COUNTIFS($B$5:B987,B987,$D$5:D987,D987,$AB$5:AB987,1)=1,1,0),0)</f>
        <v>0</v>
      </c>
    </row>
    <row r="988" customFormat="false" ht="15" hidden="false" customHeight="false" outlineLevel="0" collapsed="false">
      <c r="A988" s="48" t="str">
        <f aca="false">STACK!A988</f>
        <v>CBH-0160</v>
      </c>
      <c r="B988" s="48" t="str">
        <f aca="false">STACK!B988</f>
        <v>CBH</v>
      </c>
      <c r="C988" s="48" t="str">
        <f aca="false">STACK!E988</f>
        <v>Free Clinic Staffing</v>
      </c>
      <c r="D988" s="1" t="str">
        <f aca="false">IFERROR(INDEX(MAP!$J$7:$J$101,MATCH(TRIM(C988),MAP!$I$7:$I$101,0)),"UNMAPPED")</f>
        <v>Free Clinic Provider Staffing</v>
      </c>
      <c r="E988" s="1" t="str">
        <f aca="false">IFERROR(INDEX(MAP!$K$7:$K$101,MATCH(TRIM(C988),MAP!$I$7:$I$101,0)),"")</f>
        <v>Access to care</v>
      </c>
      <c r="F988" s="1" t="str">
        <f aca="false">IFERROR(INDEX(MAP!$L$7:$L$101,MATCH(TRIM(C988),MAP!$I$7:$I$101,0)),"")</f>
        <v>Monthly</v>
      </c>
      <c r="G988" s="1" t="n">
        <f aca="false">IFERROR(MATCH(A988,CONFIRM!$A$5:$A$53,0),0)</f>
        <v>0</v>
      </c>
      <c r="H988" s="48" t="str">
        <f aca="false">STACK!F988</f>
        <v>Screenings</v>
      </c>
      <c r="I988" s="1" t="str">
        <f aca="false">IF(G988&gt;0,IF(INDEX(CONFIRM!$I$5:$I$53,G988)&lt;&gt;"",INDEX(CONFIRM!$I$5:$I$53,G988),H988),H988)</f>
        <v>Screenings</v>
      </c>
      <c r="J988" s="1" t="str">
        <f aca="false">IFERROR(INDEX(MAP!$F$7:$F$74,MATCH(TRIM(I988),MAP!$E$7:$E$74,0)),"UNMAPPED")</f>
        <v>Community-based clinical services</v>
      </c>
      <c r="K988" s="1" t="str">
        <f aca="false">IFERROR(INDEX(MAP!$G$7:$G$74,MATCH(TRIM(I988),MAP!$E$7:$E$74,0)),"UNMAPPED")</f>
        <v>7e</v>
      </c>
      <c r="L988" s="49" t="str">
        <f aca="false">STACK!G988</f>
        <v>2026-01-31</v>
      </c>
      <c r="M988" s="59" t="n">
        <f aca="false">IF(G988&gt;0,IF(INDEX(CONFIRM!$G$5:$G$53,G988)&lt;&gt;"",INDEX(CONFIRM!$G$5:$G$53,G988),IF(ISNUMBER(L988),L988,IFERROR(DATEVALUE(L988),""))),IF(ISNUMBER(L988),L988,IFERROR(DATEVALUE(L988),"")))</f>
        <v>46053</v>
      </c>
      <c r="N988" s="1" t="str">
        <f aca="false">IF(M988="","Check",IF(AND(M988&gt;=INPUTS!$C$6,M988&lt;=INPUTS!$C$7),"Yes","No"))</f>
        <v>Yes</v>
      </c>
      <c r="O988" s="48" t="str">
        <f aca="false">STACK!H988</f>
        <v> Clinical Pharmacist </v>
      </c>
      <c r="P988" s="1" t="str">
        <f aca="false">IF(G988&gt;0,IF(INDEX(CONFIRM!$H$5:$H$53,G988)&lt;&gt;"",INDEX(CONFIRM!$H$5:$H$53,G988),IFERROR(INDEX(MAP!$B$7:$B$156,MATCH(TRIM(O988),MAP!$A$7:$A$156,0)),"UNMAPPED")),IFERROR(INDEX(MAP!$B$7:$B$156,MATCH(TRIM(O988),MAP!$A$7:$A$156,0)),"UNMAPPED"))</f>
        <v>Pharmacist</v>
      </c>
      <c r="Q988" s="48" t="n">
        <f aca="false">STACK!I988</f>
        <v>14.75</v>
      </c>
      <c r="R988" s="60" t="n">
        <f aca="false">IF(G988&gt;0,IF(INDEX(CONFIRM!$F$5:$F$53,G988)&lt;&gt;"",INDEX(CONFIRM!$F$5:$F$53,G988),IF(ISNUMBER(Q988),Q988,IF(Q988="","",IFERROR(VALUE(TRIM(SUBSTITUTE(SUBSTITUTE(LOWER(Q988),"hrs",""),"hr",""))),"")))),IF(ISNUMBER(Q988),Q988,IF(Q988="","",IFERROR(VALUE(TRIM(SUBSTITUTE(SUBSTITUTE(LOWER(Q988),"hrs",""),"hr",""))),""))))</f>
        <v>14.75</v>
      </c>
      <c r="S988" s="57" t="n">
        <f aca="false">IFERROR(INDEX(RATES!$E$6:$E$28,MATCH(P988,RATES!$A$6:$A$28,0)),0)</f>
        <v>84.81</v>
      </c>
      <c r="T988" s="61" t="n">
        <f aca="false">IF(ISNUMBER(R988),R988,0)*S988</f>
        <v>1250.9475</v>
      </c>
      <c r="U988" s="61" t="n">
        <f aca="false">T988*INDEX(INPUTS!$H$10:$H$14,MATCH(B988,INPUTS!$A$10:$A$14,0))</f>
        <v>197.649705</v>
      </c>
      <c r="V988" s="61" t="n">
        <f aca="false">N(STACK!K988)</f>
        <v>0</v>
      </c>
      <c r="W988" s="61" t="n">
        <f aca="false">T988+U988+V988</f>
        <v>1448.597205</v>
      </c>
      <c r="X988" s="61" t="n">
        <f aca="false">N(STACK!L988)</f>
        <v>0</v>
      </c>
      <c r="Y988" s="61" t="n">
        <f aca="false">W988-X988</f>
        <v>1448.597205</v>
      </c>
      <c r="Z988" s="1" t="n">
        <f aca="false">N(STACK!J988)</f>
        <v>0</v>
      </c>
      <c r="AA988" s="1" t="str">
        <f aca="false">TRIM(IF(D988="UNMAPPED","Program not mapped. ","")&amp;IF(OR(K988="UNMAPPED",K988="UNASSIGNED"),"Category needs review. ","")&amp;IF(P988="UNMAPPED","Title not mapped. ","")&amp;IF(AND(P988&lt;&gt;"No staff time",R988=""),"Missing hours. ","")&amp;IF(M988="","Date not readable. ","")&amp;IF(N988="No","Outside fiscal year. ","")&amp;IF(AND(F988="Event",ISNUMBER(R988)),IF(R988&gt;12,"Event hours look high. ",""),"")&amp;IF(G988&gt;0,"See CONFIRM sheet.",""))</f>
        <v/>
      </c>
      <c r="AB988" s="1" t="n">
        <f aca="false">IF(N988="No",0,IF(REVIEW!O988=0,0,IF(G988&gt;0,IF(INDEX(CONFIRM!$J$5:$J$53,G988)&lt;&gt;"",INDEX(CONFIRM!$J$5:$J$53,G988),1),1)))</f>
        <v>1</v>
      </c>
      <c r="AC988" s="1" t="n">
        <f aca="false">IF(AB988=1,IF(COUNTIFS($B$5:B988,B988,$D$5:D988,D988,$AB$5:AB988,1)=1,1,0),0)</f>
        <v>0</v>
      </c>
    </row>
    <row r="989" customFormat="false" ht="15" hidden="false" customHeight="false" outlineLevel="0" collapsed="false">
      <c r="A989" s="48" t="str">
        <f aca="false">STACK!A989</f>
        <v>CBH-0161</v>
      </c>
      <c r="B989" s="48" t="str">
        <f aca="false">STACK!B989</f>
        <v>CBH</v>
      </c>
      <c r="C989" s="48" t="str">
        <f aca="false">STACK!E989</f>
        <v>Free Clinic Staffing</v>
      </c>
      <c r="D989" s="1" t="str">
        <f aca="false">IFERROR(INDEX(MAP!$J$7:$J$101,MATCH(TRIM(C989),MAP!$I$7:$I$101,0)),"UNMAPPED")</f>
        <v>Free Clinic Provider Staffing</v>
      </c>
      <c r="E989" s="1" t="str">
        <f aca="false">IFERROR(INDEX(MAP!$K$7:$K$101,MATCH(TRIM(C989),MAP!$I$7:$I$101,0)),"")</f>
        <v>Access to care</v>
      </c>
      <c r="F989" s="1" t="str">
        <f aca="false">IFERROR(INDEX(MAP!$L$7:$L$101,MATCH(TRIM(C989),MAP!$I$7:$I$101,0)),"")</f>
        <v>Monthly</v>
      </c>
      <c r="G989" s="1" t="n">
        <f aca="false">IFERROR(MATCH(A989,CONFIRM!$A$5:$A$53,0),0)</f>
        <v>0</v>
      </c>
      <c r="H989" s="48" t="str">
        <f aca="false">STACK!F989</f>
        <v>Screenings</v>
      </c>
      <c r="I989" s="1" t="str">
        <f aca="false">IF(G989&gt;0,IF(INDEX(CONFIRM!$I$5:$I$53,G989)&lt;&gt;"",INDEX(CONFIRM!$I$5:$I$53,G989),H989),H989)</f>
        <v>Screenings</v>
      </c>
      <c r="J989" s="1" t="str">
        <f aca="false">IFERROR(INDEX(MAP!$F$7:$F$74,MATCH(TRIM(I989),MAP!$E$7:$E$74,0)),"UNMAPPED")</f>
        <v>Community-based clinical services</v>
      </c>
      <c r="K989" s="1" t="str">
        <f aca="false">IFERROR(INDEX(MAP!$G$7:$G$74,MATCH(TRIM(I989),MAP!$E$7:$E$74,0)),"UNMAPPED")</f>
        <v>7e</v>
      </c>
      <c r="L989" s="49" t="str">
        <f aca="false">STACK!G989</f>
        <v>2026-01-31</v>
      </c>
      <c r="M989" s="59" t="n">
        <f aca="false">IF(G989&gt;0,IF(INDEX(CONFIRM!$G$5:$G$53,G989)&lt;&gt;"",INDEX(CONFIRM!$G$5:$G$53,G989),IF(ISNUMBER(L989),L989,IFERROR(DATEVALUE(L989),""))),IF(ISNUMBER(L989),L989,IFERROR(DATEVALUE(L989),"")))</f>
        <v>46053</v>
      </c>
      <c r="N989" s="1" t="str">
        <f aca="false">IF(M989="","Check",IF(AND(M989&gt;=INPUTS!$C$6,M989&lt;=INPUTS!$C$7),"Yes","No"))</f>
        <v>Yes</v>
      </c>
      <c r="O989" s="48" t="str">
        <f aca="false">STACK!H989</f>
        <v> Reg Nurse </v>
      </c>
      <c r="P989" s="1" t="str">
        <f aca="false">IF(G989&gt;0,IF(INDEX(CONFIRM!$H$5:$H$53,G989)&lt;&gt;"",INDEX(CONFIRM!$H$5:$H$53,G989),IFERROR(INDEX(MAP!$B$7:$B$156,MATCH(TRIM(O989),MAP!$A$7:$A$156,0)),"UNMAPPED")),IFERROR(INDEX(MAP!$B$7:$B$156,MATCH(TRIM(O989),MAP!$A$7:$A$156,0)),"UNMAPPED"))</f>
        <v>Registered Nurse</v>
      </c>
      <c r="Q989" s="48" t="n">
        <f aca="false">STACK!I989</f>
        <v>30.25</v>
      </c>
      <c r="R989" s="60" t="n">
        <f aca="false">IF(G989&gt;0,IF(INDEX(CONFIRM!$F$5:$F$53,G989)&lt;&gt;"",INDEX(CONFIRM!$F$5:$F$53,G989),IF(ISNUMBER(Q989),Q989,IF(Q989="","",IFERROR(VALUE(TRIM(SUBSTITUTE(SUBSTITUTE(LOWER(Q989),"hrs",""),"hr",""))),"")))),IF(ISNUMBER(Q989),Q989,IF(Q989="","",IFERROR(VALUE(TRIM(SUBSTITUTE(SUBSTITUTE(LOWER(Q989),"hrs",""),"hr",""))),""))))</f>
        <v>30.25</v>
      </c>
      <c r="S989" s="57" t="n">
        <f aca="false">IFERROR(INDEX(RATES!$E$6:$E$28,MATCH(P989,RATES!$A$6:$A$28,0)),0)</f>
        <v>55.8975</v>
      </c>
      <c r="T989" s="61" t="n">
        <f aca="false">IF(ISNUMBER(R989),R989,0)*S989</f>
        <v>1690.899375</v>
      </c>
      <c r="U989" s="61" t="n">
        <f aca="false">T989*INDEX(INPUTS!$H$10:$H$14,MATCH(B989,INPUTS!$A$10:$A$14,0))</f>
        <v>267.16210125</v>
      </c>
      <c r="V989" s="61" t="n">
        <f aca="false">N(STACK!K989)</f>
        <v>0</v>
      </c>
      <c r="W989" s="61" t="n">
        <f aca="false">T989+U989+V989</f>
        <v>1958.06147625</v>
      </c>
      <c r="X989" s="61" t="n">
        <f aca="false">N(STACK!L989)</f>
        <v>0</v>
      </c>
      <c r="Y989" s="61" t="n">
        <f aca="false">W989-X989</f>
        <v>1958.06147625</v>
      </c>
      <c r="Z989" s="1" t="n">
        <f aca="false">N(STACK!J989)</f>
        <v>0</v>
      </c>
      <c r="AA989" s="1" t="str">
        <f aca="false">TRIM(IF(D989="UNMAPPED","Program not mapped. ","")&amp;IF(OR(K989="UNMAPPED",K989="UNASSIGNED"),"Category needs review. ","")&amp;IF(P989="UNMAPPED","Title not mapped. ","")&amp;IF(AND(P989&lt;&gt;"No staff time",R989=""),"Missing hours. ","")&amp;IF(M989="","Date not readable. ","")&amp;IF(N989="No","Outside fiscal year. ","")&amp;IF(AND(F989="Event",ISNUMBER(R989)),IF(R989&gt;12,"Event hours look high. ",""),"")&amp;IF(G989&gt;0,"See CONFIRM sheet.",""))</f>
        <v/>
      </c>
      <c r="AB989" s="1" t="n">
        <f aca="false">IF(N989="No",0,IF(REVIEW!O989=0,0,IF(G989&gt;0,IF(INDEX(CONFIRM!$J$5:$J$53,G989)&lt;&gt;"",INDEX(CONFIRM!$J$5:$J$53,G989),1),1)))</f>
        <v>1</v>
      </c>
      <c r="AC989" s="1" t="n">
        <f aca="false">IF(AB989=1,IF(COUNTIFS($B$5:B989,B989,$D$5:D989,D989,$AB$5:AB989,1)=1,1,0),0)</f>
        <v>0</v>
      </c>
    </row>
    <row r="990" customFormat="false" ht="15" hidden="false" customHeight="false" outlineLevel="0" collapsed="false">
      <c r="A990" s="48" t="str">
        <f aca="false">STACK!A990</f>
        <v>CBH-0162</v>
      </c>
      <c r="B990" s="48" t="str">
        <f aca="false">STACK!B990</f>
        <v>CBH</v>
      </c>
      <c r="C990" s="48" t="str">
        <f aca="false">STACK!E990</f>
        <v>Med Assistance</v>
      </c>
      <c r="D990" s="1" t="str">
        <f aca="false">IFERROR(INDEX(MAP!$J$7:$J$101,MATCH(TRIM(C990),MAP!$I$7:$I$101,0)),"UNMAPPED")</f>
        <v>Medication Assistance Program</v>
      </c>
      <c r="E990" s="1" t="str">
        <f aca="false">IFERROR(INDEX(MAP!$K$7:$K$101,MATCH(TRIM(C990),MAP!$I$7:$I$101,0)),"")</f>
        <v>Access to care</v>
      </c>
      <c r="F990" s="1" t="str">
        <f aca="false">IFERROR(INDEX(MAP!$L$7:$L$101,MATCH(TRIM(C990),MAP!$I$7:$I$101,0)),"")</f>
        <v>Monthly</v>
      </c>
      <c r="G990" s="1" t="n">
        <f aca="false">IFERROR(MATCH(A990,CONFIRM!$A$5:$A$53,0),0)</f>
        <v>0</v>
      </c>
      <c r="H990" s="48" t="str">
        <f aca="false">STACK!F990</f>
        <v>Patient Support</v>
      </c>
      <c r="I990" s="1" t="str">
        <f aca="false">IF(G990&gt;0,IF(INDEX(CONFIRM!$I$5:$I$53,G990)&lt;&gt;"",INDEX(CONFIRM!$I$5:$I$53,G990),H990),H990)</f>
        <v>Patient Support</v>
      </c>
      <c r="J990" s="1" t="str">
        <f aca="false">IFERROR(INDEX(MAP!$F$7:$F$74,MATCH(TRIM(I990),MAP!$E$7:$E$74,0)),"UNMAPPED")</f>
        <v>Health care support services</v>
      </c>
      <c r="K990" s="1" t="str">
        <f aca="false">IFERROR(INDEX(MAP!$G$7:$G$74,MATCH(TRIM(I990),MAP!$E$7:$E$74,0)),"UNMAPPED")</f>
        <v>7e</v>
      </c>
      <c r="L990" s="49" t="str">
        <f aca="false">STACK!G990</f>
        <v>2026-01-31</v>
      </c>
      <c r="M990" s="59" t="n">
        <f aca="false">IF(G990&gt;0,IF(INDEX(CONFIRM!$G$5:$G$53,G990)&lt;&gt;"",INDEX(CONFIRM!$G$5:$G$53,G990),IF(ISNUMBER(L990),L990,IFERROR(DATEVALUE(L990),""))),IF(ISNUMBER(L990),L990,IFERROR(DATEVALUE(L990),"")))</f>
        <v>46053</v>
      </c>
      <c r="N990" s="1" t="str">
        <f aca="false">IF(M990="","Check",IF(AND(M990&gt;=INPUTS!$C$6,M990&lt;=INPUTS!$C$7),"Yes","No"))</f>
        <v>Yes</v>
      </c>
      <c r="O990" s="48" t="str">
        <f aca="false">STACK!H990</f>
        <v>Navigator</v>
      </c>
      <c r="P990" s="1" t="str">
        <f aca="false">IF(G990&gt;0,IF(INDEX(CONFIRM!$H$5:$H$53,G990)&lt;&gt;"",INDEX(CONFIRM!$H$5:$H$53,G990),IFERROR(INDEX(MAP!$B$7:$B$156,MATCH(TRIM(O990),MAP!$A$7:$A$156,0)),"UNMAPPED")),IFERROR(INDEX(MAP!$B$7:$B$156,MATCH(TRIM(O990),MAP!$A$7:$A$156,0)),"UNMAPPED"))</f>
        <v>Patient Navigator</v>
      </c>
      <c r="Q990" s="48" t="n">
        <f aca="false">STACK!I990</f>
        <v>81</v>
      </c>
      <c r="R990" s="60" t="n">
        <f aca="false">IF(G990&gt;0,IF(INDEX(CONFIRM!$F$5:$F$53,G990)&lt;&gt;"",INDEX(CONFIRM!$F$5:$F$53,G990),IF(ISNUMBER(Q990),Q990,IF(Q990="","",IFERROR(VALUE(TRIM(SUBSTITUTE(SUBSTITUTE(LOWER(Q990),"hrs",""),"hr",""))),"")))),IF(ISNUMBER(Q990),Q990,IF(Q990="","",IFERROR(VALUE(TRIM(SUBSTITUTE(SUBSTITUTE(LOWER(Q990),"hrs",""),"hr",""))),""))))</f>
        <v>81</v>
      </c>
      <c r="S990" s="57" t="n">
        <f aca="false">IFERROR(INDEX(RATES!$E$6:$E$28,MATCH(P990,RATES!$A$6:$A$28,0)),0)</f>
        <v>30.84</v>
      </c>
      <c r="T990" s="61" t="n">
        <f aca="false">IF(ISNUMBER(R990),R990,0)*S990</f>
        <v>2498.04</v>
      </c>
      <c r="U990" s="61" t="n">
        <f aca="false">T990*INDEX(INPUTS!$H$10:$H$14,MATCH(B990,INPUTS!$A$10:$A$14,0))</f>
        <v>394.69032</v>
      </c>
      <c r="V990" s="61" t="n">
        <f aca="false">N(STACK!K990)</f>
        <v>0</v>
      </c>
      <c r="W990" s="61" t="n">
        <f aca="false">T990+U990+V990</f>
        <v>2892.73032</v>
      </c>
      <c r="X990" s="61" t="n">
        <f aca="false">N(STACK!L990)</f>
        <v>0</v>
      </c>
      <c r="Y990" s="61" t="n">
        <f aca="false">W990-X990</f>
        <v>2892.73032</v>
      </c>
      <c r="Z990" s="1" t="n">
        <f aca="false">N(STACK!J990)</f>
        <v>0</v>
      </c>
      <c r="AA990" s="1" t="str">
        <f aca="false">TRIM(IF(D990="UNMAPPED","Program not mapped. ","")&amp;IF(OR(K990="UNMAPPED",K990="UNASSIGNED"),"Category needs review. ","")&amp;IF(P990="UNMAPPED","Title not mapped. ","")&amp;IF(AND(P990&lt;&gt;"No staff time",R990=""),"Missing hours. ","")&amp;IF(M990="","Date not readable. ","")&amp;IF(N990="No","Outside fiscal year. ","")&amp;IF(AND(F990="Event",ISNUMBER(R990)),IF(R990&gt;12,"Event hours look high. ",""),"")&amp;IF(G990&gt;0,"See CONFIRM sheet.",""))</f>
        <v/>
      </c>
      <c r="AB990" s="1" t="n">
        <f aca="false">IF(N990="No",0,IF(REVIEW!O990=0,0,IF(G990&gt;0,IF(INDEX(CONFIRM!$J$5:$J$53,G990)&lt;&gt;"",INDEX(CONFIRM!$J$5:$J$53,G990),1),1)))</f>
        <v>1</v>
      </c>
      <c r="AC990" s="1" t="n">
        <f aca="false">IF(AB990=1,IF(COUNTIFS($B$5:B990,B990,$D$5:D990,D990,$AB$5:AB990,1)=1,1,0),0)</f>
        <v>0</v>
      </c>
    </row>
    <row r="991" customFormat="false" ht="15" hidden="false" customHeight="false" outlineLevel="0" collapsed="false">
      <c r="A991" s="48" t="str">
        <f aca="false">STACK!A991</f>
        <v>CBH-0163</v>
      </c>
      <c r="B991" s="48" t="str">
        <f aca="false">STACK!B991</f>
        <v>CBH</v>
      </c>
      <c r="C991" s="48" t="str">
        <f aca="false">STACK!E991</f>
        <v>Med Assistance</v>
      </c>
      <c r="D991" s="1" t="str">
        <f aca="false">IFERROR(INDEX(MAP!$J$7:$J$101,MATCH(TRIM(C991),MAP!$I$7:$I$101,0)),"UNMAPPED")</f>
        <v>Medication Assistance Program</v>
      </c>
      <c r="E991" s="1" t="str">
        <f aca="false">IFERROR(INDEX(MAP!$K$7:$K$101,MATCH(TRIM(C991),MAP!$I$7:$I$101,0)),"")</f>
        <v>Access to care</v>
      </c>
      <c r="F991" s="1" t="str">
        <f aca="false">IFERROR(INDEX(MAP!$L$7:$L$101,MATCH(TRIM(C991),MAP!$I$7:$I$101,0)),"")</f>
        <v>Monthly</v>
      </c>
      <c r="G991" s="1" t="n">
        <f aca="false">IFERROR(MATCH(A991,CONFIRM!$A$5:$A$53,0),0)</f>
        <v>0</v>
      </c>
      <c r="H991" s="48" t="str">
        <f aca="false">STACK!F991</f>
        <v>Patient Support</v>
      </c>
      <c r="I991" s="1" t="str">
        <f aca="false">IF(G991&gt;0,IF(INDEX(CONFIRM!$I$5:$I$53,G991)&lt;&gt;"",INDEX(CONFIRM!$I$5:$I$53,G991),H991),H991)</f>
        <v>Patient Support</v>
      </c>
      <c r="J991" s="1" t="str">
        <f aca="false">IFERROR(INDEX(MAP!$F$7:$F$74,MATCH(TRIM(I991),MAP!$E$7:$E$74,0)),"UNMAPPED")</f>
        <v>Health care support services</v>
      </c>
      <c r="K991" s="1" t="str">
        <f aca="false">IFERROR(INDEX(MAP!$G$7:$G$74,MATCH(TRIM(I991),MAP!$E$7:$E$74,0)),"UNMAPPED")</f>
        <v>7e</v>
      </c>
      <c r="L991" s="49" t="str">
        <f aca="false">STACK!G991</f>
        <v>2026-01-31</v>
      </c>
      <c r="M991" s="59" t="n">
        <f aca="false">IF(G991&gt;0,IF(INDEX(CONFIRM!$G$5:$G$53,G991)&lt;&gt;"",INDEX(CONFIRM!$G$5:$G$53,G991),IF(ISNUMBER(L991),L991,IFERROR(DATEVALUE(L991),""))),IF(ISNUMBER(L991),L991,IFERROR(DATEVALUE(L991),"")))</f>
        <v>46053</v>
      </c>
      <c r="N991" s="1" t="str">
        <f aca="false">IF(M991="","Check",IF(AND(M991&gt;=INPUTS!$C$6,M991&lt;=INPUTS!$C$7),"Yes","No"))</f>
        <v>Yes</v>
      </c>
      <c r="O991" s="48" t="str">
        <f aca="false">STACK!H991</f>
        <v> RPh</v>
      </c>
      <c r="P991" s="1" t="str">
        <f aca="false">IF(G991&gt;0,IF(INDEX(CONFIRM!$H$5:$H$53,G991)&lt;&gt;"",INDEX(CONFIRM!$H$5:$H$53,G991),IFERROR(INDEX(MAP!$B$7:$B$156,MATCH(TRIM(O991),MAP!$A$7:$A$156,0)),"UNMAPPED")),IFERROR(INDEX(MAP!$B$7:$B$156,MATCH(TRIM(O991),MAP!$A$7:$A$156,0)),"UNMAPPED"))</f>
        <v>Pharmacist</v>
      </c>
      <c r="Q991" s="48" t="n">
        <f aca="false">STACK!I991</f>
        <v>23.25</v>
      </c>
      <c r="R991" s="60" t="n">
        <f aca="false">IF(G991&gt;0,IF(INDEX(CONFIRM!$F$5:$F$53,G991)&lt;&gt;"",INDEX(CONFIRM!$F$5:$F$53,G991),IF(ISNUMBER(Q991),Q991,IF(Q991="","",IFERROR(VALUE(TRIM(SUBSTITUTE(SUBSTITUTE(LOWER(Q991),"hrs",""),"hr",""))),"")))),IF(ISNUMBER(Q991),Q991,IF(Q991="","",IFERROR(VALUE(TRIM(SUBSTITUTE(SUBSTITUTE(LOWER(Q991),"hrs",""),"hr",""))),""))))</f>
        <v>23.25</v>
      </c>
      <c r="S991" s="57" t="n">
        <f aca="false">IFERROR(INDEX(RATES!$E$6:$E$28,MATCH(P991,RATES!$A$6:$A$28,0)),0)</f>
        <v>84.81</v>
      </c>
      <c r="T991" s="61" t="n">
        <f aca="false">IF(ISNUMBER(R991),R991,0)*S991</f>
        <v>1971.8325</v>
      </c>
      <c r="U991" s="61" t="n">
        <f aca="false">T991*INDEX(INPUTS!$H$10:$H$14,MATCH(B991,INPUTS!$A$10:$A$14,0))</f>
        <v>311.549535</v>
      </c>
      <c r="V991" s="61" t="n">
        <f aca="false">N(STACK!K991)</f>
        <v>19555</v>
      </c>
      <c r="W991" s="61" t="n">
        <f aca="false">T991+U991+V991</f>
        <v>21838.382035</v>
      </c>
      <c r="X991" s="61" t="n">
        <f aca="false">N(STACK!L991)</f>
        <v>0</v>
      </c>
      <c r="Y991" s="61" t="n">
        <f aca="false">W991-X991</f>
        <v>21838.382035</v>
      </c>
      <c r="Z991" s="1" t="n">
        <f aca="false">N(STACK!J991)</f>
        <v>128</v>
      </c>
      <c r="AA991" s="1" t="str">
        <f aca="false">TRIM(IF(D991="UNMAPPED","Program not mapped. ","")&amp;IF(OR(K991="UNMAPPED",K991="UNASSIGNED"),"Category needs review. ","")&amp;IF(P991="UNMAPPED","Title not mapped. ","")&amp;IF(AND(P991&lt;&gt;"No staff time",R991=""),"Missing hours. ","")&amp;IF(M991="","Date not readable. ","")&amp;IF(N991="No","Outside fiscal year. ","")&amp;IF(AND(F991="Event",ISNUMBER(R991)),IF(R991&gt;12,"Event hours look high. ",""),"")&amp;IF(G991&gt;0,"See CONFIRM sheet.",""))</f>
        <v/>
      </c>
      <c r="AB991" s="1" t="n">
        <f aca="false">IF(N991="No",0,IF(REVIEW!O991=0,0,IF(G991&gt;0,IF(INDEX(CONFIRM!$J$5:$J$53,G991)&lt;&gt;"",INDEX(CONFIRM!$J$5:$J$53,G991),1),1)))</f>
        <v>1</v>
      </c>
      <c r="AC991" s="1" t="n">
        <f aca="false">IF(AB991=1,IF(COUNTIFS($B$5:B991,B991,$D$5:D991,D991,$AB$5:AB991,1)=1,1,0),0)</f>
        <v>0</v>
      </c>
    </row>
    <row r="992" customFormat="false" ht="15" hidden="false" customHeight="false" outlineLevel="0" collapsed="false">
      <c r="A992" s="48" t="str">
        <f aca="false">STACK!A992</f>
        <v>CBH-0164</v>
      </c>
      <c r="B992" s="48" t="str">
        <f aca="false">STACK!B992</f>
        <v>CBH</v>
      </c>
      <c r="C992" s="48" t="str">
        <f aca="false">STACK!E992</f>
        <v>Community Benefit Admin</v>
      </c>
      <c r="D992" s="1" t="str">
        <f aca="false">IFERROR(INDEX(MAP!$J$7:$J$101,MATCH(TRIM(C992),MAP!$I$7:$I$101,0)),"UNMAPPED")</f>
        <v>Community Benefit Program Administration</v>
      </c>
      <c r="E992" s="1" t="str">
        <f aca="false">IFERROR(INDEX(MAP!$K$7:$K$101,MATCH(TRIM(C992),MAP!$I$7:$I$101,0)),"")</f>
        <v>Community benefit infrastructure</v>
      </c>
      <c r="F992" s="1" t="str">
        <f aca="false">IFERROR(INDEX(MAP!$L$7:$L$101,MATCH(TRIM(C992),MAP!$I$7:$I$101,0)),"")</f>
        <v>Monthly</v>
      </c>
      <c r="G992" s="1" t="n">
        <f aca="false">IFERROR(MATCH(A992,CONFIRM!$A$5:$A$53,0),0)</f>
        <v>0</v>
      </c>
      <c r="H992" s="48" t="str">
        <f aca="false">STACK!F992</f>
        <v>Ops</v>
      </c>
      <c r="I992" s="1" t="str">
        <f aca="false">IF(G992&gt;0,IF(INDEX(CONFIRM!$I$5:$I$53,G992)&lt;&gt;"",INDEX(CONFIRM!$I$5:$I$53,G992),H992),H992)</f>
        <v>Ops</v>
      </c>
      <c r="J992" s="1" t="str">
        <f aca="false">IFERROR(INDEX(MAP!$F$7:$F$74,MATCH(TRIM(I992),MAP!$E$7:$E$74,0)),"UNMAPPED")</f>
        <v>Community benefit operations</v>
      </c>
      <c r="K992" s="1" t="str">
        <f aca="false">IFERROR(INDEX(MAP!$G$7:$G$74,MATCH(TRIM(I992),MAP!$E$7:$E$74,0)),"UNMAPPED")</f>
        <v>7e</v>
      </c>
      <c r="L992" s="49" t="str">
        <f aca="false">STACK!G992</f>
        <v>2026-01-31</v>
      </c>
      <c r="M992" s="59" t="n">
        <f aca="false">IF(G992&gt;0,IF(INDEX(CONFIRM!$G$5:$G$53,G992)&lt;&gt;"",INDEX(CONFIRM!$G$5:$G$53,G992),IF(ISNUMBER(L992),L992,IFERROR(DATEVALUE(L992),""))),IF(ISNUMBER(L992),L992,IFERROR(DATEVALUE(L992),"")))</f>
        <v>46053</v>
      </c>
      <c r="N992" s="1" t="str">
        <f aca="false">IF(M992="","Check",IF(AND(M992&gt;=INPUTS!$C$6,M992&lt;=INPUTS!$C$7),"Yes","No"))</f>
        <v>Yes</v>
      </c>
      <c r="O992" s="48" t="str">
        <f aca="false">STACK!H992</f>
        <v>Administrative Assistant</v>
      </c>
      <c r="P992" s="1" t="str">
        <f aca="false">IF(G992&gt;0,IF(INDEX(CONFIRM!$H$5:$H$53,G992)&lt;&gt;"",INDEX(CONFIRM!$H$5:$H$53,G992),IFERROR(INDEX(MAP!$B$7:$B$156,MATCH(TRIM(O992),MAP!$A$7:$A$156,0)),"UNMAPPED")),IFERROR(INDEX(MAP!$B$7:$B$156,MATCH(TRIM(O992),MAP!$A$7:$A$156,0)),"UNMAPPED"))</f>
        <v>Administrative Assistant</v>
      </c>
      <c r="Q992" s="48" t="n">
        <f aca="false">STACK!I992</f>
        <v>51.75</v>
      </c>
      <c r="R992" s="60" t="n">
        <f aca="false">IF(G992&gt;0,IF(INDEX(CONFIRM!$F$5:$F$53,G992)&lt;&gt;"",INDEX(CONFIRM!$F$5:$F$53,G992),IF(ISNUMBER(Q992),Q992,IF(Q992="","",IFERROR(VALUE(TRIM(SUBSTITUTE(SUBSTITUTE(LOWER(Q992),"hrs",""),"hr",""))),"")))),IF(ISNUMBER(Q992),Q992,IF(Q992="","",IFERROR(VALUE(TRIM(SUBSTITUTE(SUBSTITUTE(LOWER(Q992),"hrs",""),"hr",""))),""))))</f>
        <v>51.75</v>
      </c>
      <c r="S992" s="57" t="n">
        <f aca="false">IFERROR(INDEX(RATES!$E$6:$E$28,MATCH(P992,RATES!$A$6:$A$28,0)),0)</f>
        <v>26.985</v>
      </c>
      <c r="T992" s="61" t="n">
        <f aca="false">IF(ISNUMBER(R992),R992,0)*S992</f>
        <v>1396.47375</v>
      </c>
      <c r="U992" s="61" t="n">
        <f aca="false">T992*INDEX(INPUTS!$H$10:$H$14,MATCH(B992,INPUTS!$A$10:$A$14,0))</f>
        <v>220.6428525</v>
      </c>
      <c r="V992" s="61" t="n">
        <f aca="false">N(STACK!K992)</f>
        <v>0</v>
      </c>
      <c r="W992" s="61" t="n">
        <f aca="false">T992+U992+V992</f>
        <v>1617.1166025</v>
      </c>
      <c r="X992" s="61" t="n">
        <f aca="false">N(STACK!L992)</f>
        <v>0</v>
      </c>
      <c r="Y992" s="61" t="n">
        <f aca="false">W992-X992</f>
        <v>1617.1166025</v>
      </c>
      <c r="Z992" s="1" t="n">
        <f aca="false">N(STACK!J992)</f>
        <v>0</v>
      </c>
      <c r="AA992" s="1" t="str">
        <f aca="false">TRIM(IF(D992="UNMAPPED","Program not mapped. ","")&amp;IF(OR(K992="UNMAPPED",K992="UNASSIGNED"),"Category needs review. ","")&amp;IF(P992="UNMAPPED","Title not mapped. ","")&amp;IF(AND(P992&lt;&gt;"No staff time",R992=""),"Missing hours. ","")&amp;IF(M992="","Date not readable. ","")&amp;IF(N992="No","Outside fiscal year. ","")&amp;IF(AND(F992="Event",ISNUMBER(R992)),IF(R992&gt;12,"Event hours look high. ",""),"")&amp;IF(G992&gt;0,"See CONFIRM sheet.",""))</f>
        <v/>
      </c>
      <c r="AB992" s="1" t="n">
        <f aca="false">IF(N992="No",0,IF(REVIEW!O992=0,0,IF(G992&gt;0,IF(INDEX(CONFIRM!$J$5:$J$53,G992)&lt;&gt;"",INDEX(CONFIRM!$J$5:$J$53,G992),1),1)))</f>
        <v>1</v>
      </c>
      <c r="AC992" s="1" t="n">
        <f aca="false">IF(AB992=1,IF(COUNTIFS($B$5:B992,B992,$D$5:D992,D992,$AB$5:AB992,1)=1,1,0),0)</f>
        <v>0</v>
      </c>
    </row>
    <row r="993" customFormat="false" ht="15" hidden="false" customHeight="false" outlineLevel="0" collapsed="false">
      <c r="A993" s="48" t="str">
        <f aca="false">STACK!A993</f>
        <v>CBH-0165</v>
      </c>
      <c r="B993" s="48" t="str">
        <f aca="false">STACK!B993</f>
        <v>CBH</v>
      </c>
      <c r="C993" s="48" t="str">
        <f aca="false">STACK!E993</f>
        <v>Community Benefit Admin</v>
      </c>
      <c r="D993" s="1" t="str">
        <f aca="false">IFERROR(INDEX(MAP!$J$7:$J$101,MATCH(TRIM(C993),MAP!$I$7:$I$101,0)),"UNMAPPED")</f>
        <v>Community Benefit Program Administration</v>
      </c>
      <c r="E993" s="1" t="str">
        <f aca="false">IFERROR(INDEX(MAP!$K$7:$K$101,MATCH(TRIM(C993),MAP!$I$7:$I$101,0)),"")</f>
        <v>Community benefit infrastructure</v>
      </c>
      <c r="F993" s="1" t="str">
        <f aca="false">IFERROR(INDEX(MAP!$L$7:$L$101,MATCH(TRIM(C993),MAP!$I$7:$I$101,0)),"")</f>
        <v>Monthly</v>
      </c>
      <c r="G993" s="1" t="n">
        <f aca="false">IFERROR(MATCH(A993,CONFIRM!$A$5:$A$53,0),0)</f>
        <v>0</v>
      </c>
      <c r="H993" s="48" t="str">
        <f aca="false">STACK!F993</f>
        <v>Ops</v>
      </c>
      <c r="I993" s="1" t="str">
        <f aca="false">IF(G993&gt;0,IF(INDEX(CONFIRM!$I$5:$I$53,G993)&lt;&gt;"",INDEX(CONFIRM!$I$5:$I$53,G993),H993),H993)</f>
        <v>Ops</v>
      </c>
      <c r="J993" s="1" t="str">
        <f aca="false">IFERROR(INDEX(MAP!$F$7:$F$74,MATCH(TRIM(I993),MAP!$E$7:$E$74,0)),"UNMAPPED")</f>
        <v>Community benefit operations</v>
      </c>
      <c r="K993" s="1" t="str">
        <f aca="false">IFERROR(INDEX(MAP!$G$7:$G$74,MATCH(TRIM(I993),MAP!$E$7:$E$74,0)),"UNMAPPED")</f>
        <v>7e</v>
      </c>
      <c r="L993" s="49" t="str">
        <f aca="false">STACK!G993</f>
        <v>2026-01-31</v>
      </c>
      <c r="M993" s="59" t="n">
        <f aca="false">IF(G993&gt;0,IF(INDEX(CONFIRM!$G$5:$G$53,G993)&lt;&gt;"",INDEX(CONFIRM!$G$5:$G$53,G993),IF(ISNUMBER(L993),L993,IFERROR(DATEVALUE(L993),""))),IF(ISNUMBER(L993),L993,IFERROR(DATEVALUE(L993),"")))</f>
        <v>46053</v>
      </c>
      <c r="N993" s="1" t="str">
        <f aca="false">IF(M993="","Check",IF(AND(M993&gt;=INPUTS!$C$6,M993&lt;=INPUTS!$C$7),"Yes","No"))</f>
        <v>Yes</v>
      </c>
      <c r="O993" s="48" t="str">
        <f aca="false">STACK!H993</f>
        <v>MGR, COMMUNITY BENEFIT</v>
      </c>
      <c r="P993" s="1" t="str">
        <f aca="false">IF(G993&gt;0,IF(INDEX(CONFIRM!$H$5:$H$53,G993)&lt;&gt;"",INDEX(CONFIRM!$H$5:$H$53,G993),IFERROR(INDEX(MAP!$B$7:$B$156,MATCH(TRIM(O993),MAP!$A$7:$A$156,0)),"UNMAPPED")),IFERROR(INDEX(MAP!$B$7:$B$156,MATCH(TRIM(O993),MAP!$A$7:$A$156,0)),"UNMAPPED"))</f>
        <v>Community Benefit Manager</v>
      </c>
      <c r="Q993" s="48" t="n">
        <f aca="false">STACK!I993</f>
        <v>66</v>
      </c>
      <c r="R993" s="60" t="n">
        <f aca="false">IF(G993&gt;0,IF(INDEX(CONFIRM!$F$5:$F$53,G993)&lt;&gt;"",INDEX(CONFIRM!$F$5:$F$53,G993),IF(ISNUMBER(Q993),Q993,IF(Q993="","",IFERROR(VALUE(TRIM(SUBSTITUTE(SUBSTITUTE(LOWER(Q993),"hrs",""),"hr",""))),"")))),IF(ISNUMBER(Q993),Q993,IF(Q993="","",IFERROR(VALUE(TRIM(SUBSTITUTE(SUBSTITUTE(LOWER(Q993),"hrs",""),"hr",""))),""))))</f>
        <v>66</v>
      </c>
      <c r="S993" s="57" t="n">
        <f aca="false">IFERROR(INDEX(RATES!$E$6:$E$28,MATCH(P993,RATES!$A$6:$A$28,0)),0)</f>
        <v>59.11</v>
      </c>
      <c r="T993" s="61" t="n">
        <f aca="false">IF(ISNUMBER(R993),R993,0)*S993</f>
        <v>3901.26</v>
      </c>
      <c r="U993" s="61" t="n">
        <f aca="false">T993*INDEX(INPUTS!$H$10:$H$14,MATCH(B993,INPUTS!$A$10:$A$14,0))</f>
        <v>616.39908</v>
      </c>
      <c r="V993" s="61" t="n">
        <f aca="false">N(STACK!K993)</f>
        <v>615</v>
      </c>
      <c r="W993" s="61" t="n">
        <f aca="false">T993+U993+V993</f>
        <v>5132.65908</v>
      </c>
      <c r="X993" s="61" t="n">
        <f aca="false">N(STACK!L993)</f>
        <v>0</v>
      </c>
      <c r="Y993" s="61" t="n">
        <f aca="false">W993-X993</f>
        <v>5132.65908</v>
      </c>
      <c r="Z993" s="1" t="n">
        <f aca="false">N(STACK!J993)</f>
        <v>0</v>
      </c>
      <c r="AA993" s="1" t="str">
        <f aca="false">TRIM(IF(D993="UNMAPPED","Program not mapped. ","")&amp;IF(OR(K993="UNMAPPED",K993="UNASSIGNED"),"Category needs review. ","")&amp;IF(P993="UNMAPPED","Title not mapped. ","")&amp;IF(AND(P993&lt;&gt;"No staff time",R993=""),"Missing hours. ","")&amp;IF(M993="","Date not readable. ","")&amp;IF(N993="No","Outside fiscal year. ","")&amp;IF(AND(F993="Event",ISNUMBER(R993)),IF(R993&gt;12,"Event hours look high. ",""),"")&amp;IF(G993&gt;0,"See CONFIRM sheet.",""))</f>
        <v/>
      </c>
      <c r="AB993" s="1" t="n">
        <f aca="false">IF(N993="No",0,IF(REVIEW!O993=0,0,IF(G993&gt;0,IF(INDEX(CONFIRM!$J$5:$J$53,G993)&lt;&gt;"",INDEX(CONFIRM!$J$5:$J$53,G993),1),1)))</f>
        <v>1</v>
      </c>
      <c r="AC993" s="1" t="n">
        <f aca="false">IF(AB993=1,IF(COUNTIFS($B$5:B993,B993,$D$5:D993,D993,$AB$5:AB993,1)=1,1,0),0)</f>
        <v>0</v>
      </c>
    </row>
    <row r="994" customFormat="false" ht="15" hidden="false" customHeight="false" outlineLevel="0" collapsed="false">
      <c r="A994" s="48" t="str">
        <f aca="false">STACK!A994</f>
        <v>CBH-0166</v>
      </c>
      <c r="B994" s="48" t="str">
        <f aca="false">STACK!B994</f>
        <v>CBH</v>
      </c>
      <c r="C994" s="48" t="str">
        <f aca="false">STACK!E994</f>
        <v>Interpreter Services</v>
      </c>
      <c r="D994" s="1" t="str">
        <f aca="false">IFERROR(INDEX(MAP!$J$7:$J$101,MATCH(TRIM(C994),MAP!$I$7:$I$101,0)),"UNMAPPED")</f>
        <v>Interpreter Services for Community Clinics</v>
      </c>
      <c r="E994" s="1" t="str">
        <f aca="false">IFERROR(INDEX(MAP!$K$7:$K$101,MATCH(TRIM(C994),MAP!$I$7:$I$101,0)),"")</f>
        <v>Access to care</v>
      </c>
      <c r="F994" s="1" t="str">
        <f aca="false">IFERROR(INDEX(MAP!$L$7:$L$101,MATCH(TRIM(C994),MAP!$I$7:$I$101,0)),"")</f>
        <v>Monthly</v>
      </c>
      <c r="G994" s="1" t="n">
        <f aca="false">IFERROR(MATCH(A994,CONFIRM!$A$5:$A$53,0),0)</f>
        <v>0</v>
      </c>
      <c r="H994" s="48" t="str">
        <f aca="false">STACK!F994</f>
        <v>Patient Support</v>
      </c>
      <c r="I994" s="1" t="str">
        <f aca="false">IF(G994&gt;0,IF(INDEX(CONFIRM!$I$5:$I$53,G994)&lt;&gt;"",INDEX(CONFIRM!$I$5:$I$53,G994),H994),H994)</f>
        <v>Patient Support</v>
      </c>
      <c r="J994" s="1" t="str">
        <f aca="false">IFERROR(INDEX(MAP!$F$7:$F$74,MATCH(TRIM(I994),MAP!$E$7:$E$74,0)),"UNMAPPED")</f>
        <v>Health care support services</v>
      </c>
      <c r="K994" s="1" t="str">
        <f aca="false">IFERROR(INDEX(MAP!$G$7:$G$74,MATCH(TRIM(I994),MAP!$E$7:$E$74,0)),"UNMAPPED")</f>
        <v>7e</v>
      </c>
      <c r="L994" s="49" t="str">
        <f aca="false">STACK!G994</f>
        <v>2026-01-31</v>
      </c>
      <c r="M994" s="59" t="n">
        <f aca="false">IF(G994&gt;0,IF(INDEX(CONFIRM!$G$5:$G$53,G994)&lt;&gt;"",INDEX(CONFIRM!$G$5:$G$53,G994),IF(ISNUMBER(L994),L994,IFERROR(DATEVALUE(L994),""))),IF(ISNUMBER(L994),L994,IFERROR(DATEVALUE(L994),"")))</f>
        <v>46053</v>
      </c>
      <c r="N994" s="1" t="str">
        <f aca="false">IF(M994="","Check",IF(AND(M994&gt;=INPUTS!$C$6,M994&lt;=INPUTS!$C$7),"Yes","No"))</f>
        <v>Yes</v>
      </c>
      <c r="O994" s="48" t="str">
        <f aca="false">STACK!H994</f>
        <v> Spanish Interpreter</v>
      </c>
      <c r="P994" s="1" t="str">
        <f aca="false">IF(G994&gt;0,IF(INDEX(CONFIRM!$H$5:$H$53,G994)&lt;&gt;"",INDEX(CONFIRM!$H$5:$H$53,G994),IFERROR(INDEX(MAP!$B$7:$B$156,MATCH(TRIM(O994),MAP!$A$7:$A$156,0)),"UNMAPPED")),IFERROR(INDEX(MAP!$B$7:$B$156,MATCH(TRIM(O994),MAP!$A$7:$A$156,0)),"UNMAPPED"))</f>
        <v>Interpreter</v>
      </c>
      <c r="Q994" s="48" t="n">
        <f aca="false">STACK!I994</f>
        <v>55.75</v>
      </c>
      <c r="R994" s="60" t="n">
        <f aca="false">IF(G994&gt;0,IF(INDEX(CONFIRM!$F$5:$F$53,G994)&lt;&gt;"",INDEX(CONFIRM!$F$5:$F$53,G994),IF(ISNUMBER(Q994),Q994,IF(Q994="","",IFERROR(VALUE(TRIM(SUBSTITUTE(SUBSTITUTE(LOWER(Q994),"hrs",""),"hr",""))),"")))),IF(ISNUMBER(Q994),Q994,IF(Q994="","",IFERROR(VALUE(TRIM(SUBSTITUTE(SUBSTITUTE(LOWER(Q994),"hrs",""),"hr",""))),""))))</f>
        <v>55.75</v>
      </c>
      <c r="S994" s="57" t="n">
        <f aca="false">IFERROR(INDEX(RATES!$E$6:$E$28,MATCH(P994,RATES!$A$6:$A$28,0)),0)</f>
        <v>32.7675</v>
      </c>
      <c r="T994" s="61" t="n">
        <f aca="false">IF(ISNUMBER(R994),R994,0)*S994</f>
        <v>1826.788125</v>
      </c>
      <c r="U994" s="61" t="n">
        <f aca="false">T994*INDEX(INPUTS!$H$10:$H$14,MATCH(B994,INPUTS!$A$10:$A$14,0))</f>
        <v>288.63252375</v>
      </c>
      <c r="V994" s="61" t="n">
        <f aca="false">N(STACK!K994)</f>
        <v>0</v>
      </c>
      <c r="W994" s="61" t="n">
        <f aca="false">T994+U994+V994</f>
        <v>2115.42064875</v>
      </c>
      <c r="X994" s="61" t="n">
        <f aca="false">N(STACK!L994)</f>
        <v>0</v>
      </c>
      <c r="Y994" s="61" t="n">
        <f aca="false">W994-X994</f>
        <v>2115.42064875</v>
      </c>
      <c r="Z994" s="1" t="n">
        <f aca="false">N(STACK!J994)</f>
        <v>143</v>
      </c>
      <c r="AA994" s="1" t="str">
        <f aca="false">TRIM(IF(D994="UNMAPPED","Program not mapped. ","")&amp;IF(OR(K994="UNMAPPED",K994="UNASSIGNED"),"Category needs review. ","")&amp;IF(P994="UNMAPPED","Title not mapped. ","")&amp;IF(AND(P994&lt;&gt;"No staff time",R994=""),"Missing hours. ","")&amp;IF(M994="","Date not readable. ","")&amp;IF(N994="No","Outside fiscal year. ","")&amp;IF(AND(F994="Event",ISNUMBER(R994)),IF(R994&gt;12,"Event hours look high. ",""),"")&amp;IF(G994&gt;0,"See CONFIRM sheet.",""))</f>
        <v/>
      </c>
      <c r="AB994" s="1" t="n">
        <f aca="false">IF(N994="No",0,IF(REVIEW!O994=0,0,IF(G994&gt;0,IF(INDEX(CONFIRM!$J$5:$J$53,G994)&lt;&gt;"",INDEX(CONFIRM!$J$5:$J$53,G994),1),1)))</f>
        <v>1</v>
      </c>
      <c r="AC994" s="1" t="n">
        <f aca="false">IF(AB994=1,IF(COUNTIFS($B$5:B994,B994,$D$5:D994,D994,$AB$5:AB994,1)=1,1,0),0)</f>
        <v>0</v>
      </c>
    </row>
    <row r="995" customFormat="false" ht="15" hidden="false" customHeight="false" outlineLevel="0" collapsed="false">
      <c r="A995" s="48" t="str">
        <f aca="false">STACK!A995</f>
        <v>CBH-0167</v>
      </c>
      <c r="B995" s="48" t="str">
        <f aca="false">STACK!B995</f>
        <v>CBH</v>
      </c>
      <c r="C995" s="48" t="str">
        <f aca="false">STACK!E995</f>
        <v>Nursing Student Rotations</v>
      </c>
      <c r="D995" s="1" t="str">
        <f aca="false">IFERROR(INDEX(MAP!$J$7:$J$101,MATCH(TRIM(C995),MAP!$I$7:$I$101,0)),"UNMAPPED")</f>
        <v>Nursing Student Clinical Rotations</v>
      </c>
      <c r="E995" s="1" t="str">
        <f aca="false">IFERROR(INDEX(MAP!$K$7:$K$101,MATCH(TRIM(C995),MAP!$I$7:$I$101,0)),"")</f>
        <v>Health workforce</v>
      </c>
      <c r="F995" s="1" t="str">
        <f aca="false">IFERROR(INDEX(MAP!$L$7:$L$101,MATCH(TRIM(C995),MAP!$I$7:$I$101,0)),"")</f>
        <v>Monthly</v>
      </c>
      <c r="G995" s="1" t="n">
        <f aca="false">IFERROR(MATCH(A995,CONFIRM!$A$5:$A$53,0),0)</f>
        <v>0</v>
      </c>
      <c r="H995" s="48" t="str">
        <f aca="false">STACK!F995</f>
        <v>Education - Health Professions</v>
      </c>
      <c r="I995" s="1" t="str">
        <f aca="false">IF(G995&gt;0,IF(INDEX(CONFIRM!$I$5:$I$53,G995)&lt;&gt;"",INDEX(CONFIRM!$I$5:$I$53,G995),H995),H995)</f>
        <v>Education - Health Professions</v>
      </c>
      <c r="J995" s="1" t="str">
        <f aca="false">IFERROR(INDEX(MAP!$F$7:$F$74,MATCH(TRIM(I995),MAP!$E$7:$E$74,0)),"UNMAPPED")</f>
        <v>Health professions education</v>
      </c>
      <c r="K995" s="1" t="str">
        <f aca="false">IFERROR(INDEX(MAP!$G$7:$G$74,MATCH(TRIM(I995),MAP!$E$7:$E$74,0)),"UNMAPPED")</f>
        <v>7f</v>
      </c>
      <c r="L995" s="49" t="str">
        <f aca="false">STACK!G995</f>
        <v>2026-01-31</v>
      </c>
      <c r="M995" s="59" t="n">
        <f aca="false">IF(G995&gt;0,IF(INDEX(CONFIRM!$G$5:$G$53,G995)&lt;&gt;"",INDEX(CONFIRM!$G$5:$G$53,G995),IF(ISNUMBER(L995),L995,IFERROR(DATEVALUE(L995),""))),IF(ISNUMBER(L995),L995,IFERROR(DATEVALUE(L995),"")))</f>
        <v>46053</v>
      </c>
      <c r="N995" s="1" t="str">
        <f aca="false">IF(M995="","Check",IF(AND(M995&gt;=INPUTS!$C$6,M995&lt;=INPUTS!$C$7),"Yes","No"))</f>
        <v>Yes</v>
      </c>
      <c r="O995" s="48" t="str">
        <f aca="false">STACK!H995</f>
        <v>NURSE EDUCATOR</v>
      </c>
      <c r="P995" s="1" t="str">
        <f aca="false">IF(G995&gt;0,IF(INDEX(CONFIRM!$H$5:$H$53,G995)&lt;&gt;"",INDEX(CONFIRM!$H$5:$H$53,G995),IFERROR(INDEX(MAP!$B$7:$B$156,MATCH(TRIM(O995),MAP!$A$7:$A$156,0)),"UNMAPPED")),IFERROR(INDEX(MAP!$B$7:$B$156,MATCH(TRIM(O995),MAP!$A$7:$A$156,0)),"UNMAPPED"))</f>
        <v>Clinical Nurse Educator</v>
      </c>
      <c r="Q995" s="48" t="n">
        <f aca="false">STACK!I995</f>
        <v>104.25</v>
      </c>
      <c r="R995" s="60" t="n">
        <f aca="false">IF(G995&gt;0,IF(INDEX(CONFIRM!$F$5:$F$53,G995)&lt;&gt;"",INDEX(CONFIRM!$F$5:$F$53,G995),IF(ISNUMBER(Q995),Q995,IF(Q995="","",IFERROR(VALUE(TRIM(SUBSTITUTE(SUBSTITUTE(LOWER(Q995),"hrs",""),"hr",""))),"")))),IF(ISNUMBER(Q995),Q995,IF(Q995="","",IFERROR(VALUE(TRIM(SUBSTITUTE(SUBSTITUTE(LOWER(Q995),"hrs",""),"hr",""))),""))))</f>
        <v>104.25</v>
      </c>
      <c r="S995" s="57" t="n">
        <f aca="false">IFERROR(INDEX(RATES!$E$6:$E$28,MATCH(P995,RATES!$A$6:$A$28,0)),0)</f>
        <v>62.965</v>
      </c>
      <c r="T995" s="61" t="n">
        <f aca="false">IF(ISNUMBER(R995),R995,0)*S995</f>
        <v>6564.10125</v>
      </c>
      <c r="U995" s="61" t="n">
        <f aca="false">T995*INDEX(INPUTS!$H$10:$H$14,MATCH(B995,INPUTS!$A$10:$A$14,0))</f>
        <v>1037.1279975</v>
      </c>
      <c r="V995" s="61" t="n">
        <f aca="false">N(STACK!K995)</f>
        <v>815</v>
      </c>
      <c r="W995" s="61" t="n">
        <f aca="false">T995+U995+V995</f>
        <v>8416.2292475</v>
      </c>
      <c r="X995" s="61" t="n">
        <f aca="false">N(STACK!L995)</f>
        <v>0</v>
      </c>
      <c r="Y995" s="61" t="n">
        <f aca="false">W995-X995</f>
        <v>8416.2292475</v>
      </c>
      <c r="Z995" s="1" t="n">
        <f aca="false">N(STACK!J995)</f>
        <v>34</v>
      </c>
      <c r="AA995" s="1" t="str">
        <f aca="false">TRIM(IF(D995="UNMAPPED","Program not mapped. ","")&amp;IF(OR(K995="UNMAPPED",K995="UNASSIGNED"),"Category needs review. ","")&amp;IF(P995="UNMAPPED","Title not mapped. ","")&amp;IF(AND(P995&lt;&gt;"No staff time",R995=""),"Missing hours. ","")&amp;IF(M995="","Date not readable. ","")&amp;IF(N995="No","Outside fiscal year. ","")&amp;IF(AND(F995="Event",ISNUMBER(R995)),IF(R995&gt;12,"Event hours look high. ",""),"")&amp;IF(G995&gt;0,"See CONFIRM sheet.",""))</f>
        <v/>
      </c>
      <c r="AB995" s="1" t="n">
        <f aca="false">IF(N995="No",0,IF(REVIEW!O995=0,0,IF(G995&gt;0,IF(INDEX(CONFIRM!$J$5:$J$53,G995)&lt;&gt;"",INDEX(CONFIRM!$J$5:$J$53,G995),1),1)))</f>
        <v>1</v>
      </c>
      <c r="AC995" s="1" t="n">
        <f aca="false">IF(AB995=1,IF(COUNTIFS($B$5:B995,B995,$D$5:D995,D995,$AB$5:AB995,1)=1,1,0),0)</f>
        <v>0</v>
      </c>
    </row>
    <row r="996" customFormat="false" ht="15" hidden="false" customHeight="false" outlineLevel="0" collapsed="false">
      <c r="A996" s="48" t="str">
        <f aca="false">STACK!A996</f>
        <v>CBH-0168</v>
      </c>
      <c r="B996" s="48" t="str">
        <f aca="false">STACK!B996</f>
        <v>CBH</v>
      </c>
      <c r="C996" s="48" t="str">
        <f aca="false">STACK!E996</f>
        <v>Nursing Student Rotations</v>
      </c>
      <c r="D996" s="1" t="str">
        <f aca="false">IFERROR(INDEX(MAP!$J$7:$J$101,MATCH(TRIM(C996),MAP!$I$7:$I$101,0)),"UNMAPPED")</f>
        <v>Nursing Student Clinical Rotations</v>
      </c>
      <c r="E996" s="1" t="str">
        <f aca="false">IFERROR(INDEX(MAP!$K$7:$K$101,MATCH(TRIM(C996),MAP!$I$7:$I$101,0)),"")</f>
        <v>Health workforce</v>
      </c>
      <c r="F996" s="1" t="str">
        <f aca="false">IFERROR(INDEX(MAP!$L$7:$L$101,MATCH(TRIM(C996),MAP!$I$7:$I$101,0)),"")</f>
        <v>Monthly</v>
      </c>
      <c r="G996" s="1" t="n">
        <f aca="false">IFERROR(MATCH(A996,CONFIRM!$A$5:$A$53,0),0)</f>
        <v>0</v>
      </c>
      <c r="H996" s="48" t="str">
        <f aca="false">STACK!F996</f>
        <v>Education - Health Professions</v>
      </c>
      <c r="I996" s="1" t="str">
        <f aca="false">IF(G996&gt;0,IF(INDEX(CONFIRM!$I$5:$I$53,G996)&lt;&gt;"",INDEX(CONFIRM!$I$5:$I$53,G996),H996),H996)</f>
        <v>Education - Health Professions</v>
      </c>
      <c r="J996" s="1" t="str">
        <f aca="false">IFERROR(INDEX(MAP!$F$7:$F$74,MATCH(TRIM(I996),MAP!$E$7:$E$74,0)),"UNMAPPED")</f>
        <v>Health professions education</v>
      </c>
      <c r="K996" s="1" t="str">
        <f aca="false">IFERROR(INDEX(MAP!$G$7:$G$74,MATCH(TRIM(I996),MAP!$E$7:$E$74,0)),"UNMAPPED")</f>
        <v>7f</v>
      </c>
      <c r="L996" s="49" t="str">
        <f aca="false">STACK!G996</f>
        <v>2026-01-31</v>
      </c>
      <c r="M996" s="59" t="n">
        <f aca="false">IF(G996&gt;0,IF(INDEX(CONFIRM!$G$5:$G$53,G996)&lt;&gt;"",INDEX(CONFIRM!$G$5:$G$53,G996),IF(ISNUMBER(L996),L996,IFERROR(DATEVALUE(L996),""))),IF(ISNUMBER(L996),L996,IFERROR(DATEVALUE(L996),"")))</f>
        <v>46053</v>
      </c>
      <c r="N996" s="1" t="str">
        <f aca="false">IF(M996="","Check",IF(AND(M996&gt;=INPUTS!$C$6,M996&lt;=INPUTS!$C$7),"Yes","No"))</f>
        <v>Yes</v>
      </c>
      <c r="O996" s="48" t="str">
        <f aca="false">STACK!H996</f>
        <v>Reg Nurse</v>
      </c>
      <c r="P996" s="1" t="str">
        <f aca="false">IF(G996&gt;0,IF(INDEX(CONFIRM!$H$5:$H$53,G996)&lt;&gt;"",INDEX(CONFIRM!$H$5:$H$53,G996),IFERROR(INDEX(MAP!$B$7:$B$156,MATCH(TRIM(O996),MAP!$A$7:$A$156,0)),"UNMAPPED")),IFERROR(INDEX(MAP!$B$7:$B$156,MATCH(TRIM(O996),MAP!$A$7:$A$156,0)),"UNMAPPED"))</f>
        <v>Registered Nurse</v>
      </c>
      <c r="Q996" s="48" t="n">
        <f aca="false">STACK!I996</f>
        <v>243</v>
      </c>
      <c r="R996" s="60" t="n">
        <f aca="false">IF(G996&gt;0,IF(INDEX(CONFIRM!$F$5:$F$53,G996)&lt;&gt;"",INDEX(CONFIRM!$F$5:$F$53,G996),IF(ISNUMBER(Q996),Q996,IF(Q996="","",IFERROR(VALUE(TRIM(SUBSTITUTE(SUBSTITUTE(LOWER(Q996),"hrs",""),"hr",""))),"")))),IF(ISNUMBER(Q996),Q996,IF(Q996="","",IFERROR(VALUE(TRIM(SUBSTITUTE(SUBSTITUTE(LOWER(Q996),"hrs",""),"hr",""))),""))))</f>
        <v>243</v>
      </c>
      <c r="S996" s="57" t="n">
        <f aca="false">IFERROR(INDEX(RATES!$E$6:$E$28,MATCH(P996,RATES!$A$6:$A$28,0)),0)</f>
        <v>55.8975</v>
      </c>
      <c r="T996" s="61" t="n">
        <f aca="false">IF(ISNUMBER(R996),R996,0)*S996</f>
        <v>13583.0925</v>
      </c>
      <c r="U996" s="61" t="n">
        <f aca="false">T996*INDEX(INPUTS!$H$10:$H$14,MATCH(B996,INPUTS!$A$10:$A$14,0))</f>
        <v>2146.128615</v>
      </c>
      <c r="V996" s="61" t="n">
        <f aca="false">N(STACK!K996)</f>
        <v>0</v>
      </c>
      <c r="W996" s="61" t="n">
        <f aca="false">T996+U996+V996</f>
        <v>15729.221115</v>
      </c>
      <c r="X996" s="61" t="n">
        <f aca="false">N(STACK!L996)</f>
        <v>0</v>
      </c>
      <c r="Y996" s="61" t="n">
        <f aca="false">W996-X996</f>
        <v>15729.221115</v>
      </c>
      <c r="Z996" s="1" t="n">
        <f aca="false">N(STACK!J996)</f>
        <v>0</v>
      </c>
      <c r="AA996" s="1" t="str">
        <f aca="false">TRIM(IF(D996="UNMAPPED","Program not mapped. ","")&amp;IF(OR(K996="UNMAPPED",K996="UNASSIGNED"),"Category needs review. ","")&amp;IF(P996="UNMAPPED","Title not mapped. ","")&amp;IF(AND(P996&lt;&gt;"No staff time",R996=""),"Missing hours. ","")&amp;IF(M996="","Date not readable. ","")&amp;IF(N996="No","Outside fiscal year. ","")&amp;IF(AND(F996="Event",ISNUMBER(R996)),IF(R996&gt;12,"Event hours look high. ",""),"")&amp;IF(G996&gt;0,"See CONFIRM sheet.",""))</f>
        <v/>
      </c>
      <c r="AB996" s="1" t="n">
        <f aca="false">IF(N996="No",0,IF(REVIEW!O996=0,0,IF(G996&gt;0,IF(INDEX(CONFIRM!$J$5:$J$53,G996)&lt;&gt;"",INDEX(CONFIRM!$J$5:$J$53,G996),1),1)))</f>
        <v>1</v>
      </c>
      <c r="AC996" s="1" t="n">
        <f aca="false">IF(AB996=1,IF(COUNTIFS($B$5:B996,B996,$D$5:D996,D996,$AB$5:AB996,1)=1,1,0),0)</f>
        <v>0</v>
      </c>
    </row>
    <row r="997" customFormat="false" ht="15" hidden="false" customHeight="false" outlineLevel="0" collapsed="false">
      <c r="A997" s="48" t="str">
        <f aca="false">STACK!A997</f>
        <v>CBH-0169</v>
      </c>
      <c r="B997" s="48" t="str">
        <f aca="false">STACK!B997</f>
        <v>CBH</v>
      </c>
      <c r="C997" s="48" t="str">
        <f aca="false">STACK!E997</f>
        <v>Pharmacy Students</v>
      </c>
      <c r="D997" s="1" t="str">
        <f aca="false">IFERROR(INDEX(MAP!$J$7:$J$101,MATCH(TRIM(C997),MAP!$I$7:$I$101,0)),"UNMAPPED")</f>
        <v>Pharmacy Student Rotations</v>
      </c>
      <c r="E997" s="1" t="str">
        <f aca="false">IFERROR(INDEX(MAP!$K$7:$K$101,MATCH(TRIM(C997),MAP!$I$7:$I$101,0)),"")</f>
        <v>Health workforce</v>
      </c>
      <c r="F997" s="1" t="str">
        <f aca="false">IFERROR(INDEX(MAP!$L$7:$L$101,MATCH(TRIM(C997),MAP!$I$7:$I$101,0)),"")</f>
        <v>Monthly</v>
      </c>
      <c r="G997" s="1" t="n">
        <f aca="false">IFERROR(MATCH(A997,CONFIRM!$A$5:$A$53,0),0)</f>
        <v>0</v>
      </c>
      <c r="H997" s="48" t="str">
        <f aca="false">STACK!F997</f>
        <v>Education - Health Professions</v>
      </c>
      <c r="I997" s="1" t="str">
        <f aca="false">IF(G997&gt;0,IF(INDEX(CONFIRM!$I$5:$I$53,G997)&lt;&gt;"",INDEX(CONFIRM!$I$5:$I$53,G997),H997),H997)</f>
        <v>Education - Health Professions</v>
      </c>
      <c r="J997" s="1" t="str">
        <f aca="false">IFERROR(INDEX(MAP!$F$7:$F$74,MATCH(TRIM(I997),MAP!$E$7:$E$74,0)),"UNMAPPED")</f>
        <v>Health professions education</v>
      </c>
      <c r="K997" s="1" t="str">
        <f aca="false">IFERROR(INDEX(MAP!$G$7:$G$74,MATCH(TRIM(I997),MAP!$E$7:$E$74,0)),"UNMAPPED")</f>
        <v>7f</v>
      </c>
      <c r="L997" s="49" t="str">
        <f aca="false">STACK!G997</f>
        <v>2026-01-31</v>
      </c>
      <c r="M997" s="59" t="n">
        <f aca="false">IF(G997&gt;0,IF(INDEX(CONFIRM!$G$5:$G$53,G997)&lt;&gt;"",INDEX(CONFIRM!$G$5:$G$53,G997),IF(ISNUMBER(L997),L997,IFERROR(DATEVALUE(L997),""))),IF(ISNUMBER(L997),L997,IFERROR(DATEVALUE(L997),"")))</f>
        <v>46053</v>
      </c>
      <c r="N997" s="1" t="str">
        <f aca="false">IF(M997="","Check",IF(AND(M997&gt;=INPUTS!$C$6,M997&lt;=INPUTS!$C$7),"Yes","No"))</f>
        <v>Yes</v>
      </c>
      <c r="O997" s="48" t="str">
        <f aca="false">STACK!H997</f>
        <v>Pharmacist</v>
      </c>
      <c r="P997" s="1" t="str">
        <f aca="false">IF(G997&gt;0,IF(INDEX(CONFIRM!$H$5:$H$53,G997)&lt;&gt;"",INDEX(CONFIRM!$H$5:$H$53,G997),IFERROR(INDEX(MAP!$B$7:$B$156,MATCH(TRIM(O997),MAP!$A$7:$A$156,0)),"UNMAPPED")),IFERROR(INDEX(MAP!$B$7:$B$156,MATCH(TRIM(O997),MAP!$A$7:$A$156,0)),"UNMAPPED"))</f>
        <v>Pharmacist</v>
      </c>
      <c r="Q997" s="48" t="n">
        <f aca="false">STACK!I997</f>
        <v>41.5</v>
      </c>
      <c r="R997" s="60" t="n">
        <f aca="false">IF(G997&gt;0,IF(INDEX(CONFIRM!$F$5:$F$53,G997)&lt;&gt;"",INDEX(CONFIRM!$F$5:$F$53,G997),IF(ISNUMBER(Q997),Q997,IF(Q997="","",IFERROR(VALUE(TRIM(SUBSTITUTE(SUBSTITUTE(LOWER(Q997),"hrs",""),"hr",""))),"")))),IF(ISNUMBER(Q997),Q997,IF(Q997="","",IFERROR(VALUE(TRIM(SUBSTITUTE(SUBSTITUTE(LOWER(Q997),"hrs",""),"hr",""))),""))))</f>
        <v>41.5</v>
      </c>
      <c r="S997" s="57" t="n">
        <f aca="false">IFERROR(INDEX(RATES!$E$6:$E$28,MATCH(P997,RATES!$A$6:$A$28,0)),0)</f>
        <v>84.81</v>
      </c>
      <c r="T997" s="61" t="n">
        <f aca="false">IF(ISNUMBER(R997),R997,0)*S997</f>
        <v>3519.615</v>
      </c>
      <c r="U997" s="61" t="n">
        <f aca="false">T997*INDEX(INPUTS!$H$10:$H$14,MATCH(B997,INPUTS!$A$10:$A$14,0))</f>
        <v>556.09917</v>
      </c>
      <c r="V997" s="61" t="n">
        <f aca="false">N(STACK!K997)</f>
        <v>100</v>
      </c>
      <c r="W997" s="61" t="n">
        <f aca="false">T997+U997+V997</f>
        <v>4175.71417</v>
      </c>
      <c r="X997" s="61" t="n">
        <f aca="false">N(STACK!L997)</f>
        <v>0</v>
      </c>
      <c r="Y997" s="61" t="n">
        <f aca="false">W997-X997</f>
        <v>4175.71417</v>
      </c>
      <c r="Z997" s="1" t="n">
        <f aca="false">N(STACK!J997)</f>
        <v>4</v>
      </c>
      <c r="AA997" s="1" t="str">
        <f aca="false">TRIM(IF(D997="UNMAPPED","Program not mapped. ","")&amp;IF(OR(K997="UNMAPPED",K997="UNASSIGNED"),"Category needs review. ","")&amp;IF(P997="UNMAPPED","Title not mapped. ","")&amp;IF(AND(P997&lt;&gt;"No staff time",R997=""),"Missing hours. ","")&amp;IF(M997="","Date not readable. ","")&amp;IF(N997="No","Outside fiscal year. ","")&amp;IF(AND(F997="Event",ISNUMBER(R997)),IF(R997&gt;12,"Event hours look high. ",""),"")&amp;IF(G997&gt;0,"See CONFIRM sheet.",""))</f>
        <v/>
      </c>
      <c r="AB997" s="1" t="n">
        <f aca="false">IF(N997="No",0,IF(REVIEW!O997=0,0,IF(G997&gt;0,IF(INDEX(CONFIRM!$J$5:$J$53,G997)&lt;&gt;"",INDEX(CONFIRM!$J$5:$J$53,G997),1),1)))</f>
        <v>1</v>
      </c>
      <c r="AC997" s="1" t="n">
        <f aca="false">IF(AB997=1,IF(COUNTIFS($B$5:B997,B997,$D$5:D997,D997,$AB$5:AB997,1)=1,1,0),0)</f>
        <v>0</v>
      </c>
    </row>
    <row r="998" customFormat="false" ht="15" hidden="false" customHeight="false" outlineLevel="0" collapsed="false">
      <c r="A998" s="48" t="str">
        <f aca="false">STACK!A998</f>
        <v>CBH-0170</v>
      </c>
      <c r="B998" s="48" t="str">
        <f aca="false">STACK!B998</f>
        <v>CBH</v>
      </c>
      <c r="C998" s="48" t="str">
        <f aca="false">STACK!E998</f>
        <v>Smoke-Free Parks</v>
      </c>
      <c r="D998" s="1" t="str">
        <f aca="false">IFERROR(INDEX(MAP!$J$7:$J$101,MATCH(TRIM(C998),MAP!$I$7:$I$101,0)),"UNMAPPED")</f>
        <v>Smoke-Free Parks Advocacy</v>
      </c>
      <c r="E998" s="1" t="str">
        <f aca="false">IFERROR(INDEX(MAP!$K$7:$K$101,MATCH(TRIM(C998),MAP!$I$7:$I$101,0)),"")</f>
        <v>Chronic disease prevention</v>
      </c>
      <c r="F998" s="1" t="str">
        <f aca="false">IFERROR(INDEX(MAP!$L$7:$L$101,MATCH(TRIM(C998),MAP!$I$7:$I$101,0)),"")</f>
        <v>Event</v>
      </c>
      <c r="G998" s="1" t="n">
        <f aca="false">IFERROR(MATCH(A998,CONFIRM!$A$5:$A$53,0),0)</f>
        <v>0</v>
      </c>
      <c r="H998" s="48" t="str">
        <f aca="false">STACK!F998</f>
        <v>Advocacy</v>
      </c>
      <c r="I998" s="1" t="str">
        <f aca="false">IF(G998&gt;0,IF(INDEX(CONFIRM!$I$5:$I$53,G998)&lt;&gt;"",INDEX(CONFIRM!$I$5:$I$53,G998),H998),H998)</f>
        <v>Advocacy</v>
      </c>
      <c r="J998" s="1" t="str">
        <f aca="false">IFERROR(INDEX(MAP!$F$7:$F$74,MATCH(TRIM(I998),MAP!$E$7:$E$74,0)),"UNMAPPED")</f>
        <v>Community building: health improvement advocacy</v>
      </c>
      <c r="K998" s="1" t="str">
        <f aca="false">IFERROR(INDEX(MAP!$G$7:$G$74,MATCH(TRIM(I998),MAP!$E$7:$E$74,0)),"UNMAPPED")</f>
        <v>II-7</v>
      </c>
      <c r="L998" s="49" t="str">
        <f aca="false">STACK!G998</f>
        <v>2026-02-04</v>
      </c>
      <c r="M998" s="59" t="n">
        <f aca="false">IF(G998&gt;0,IF(INDEX(CONFIRM!$G$5:$G$53,G998)&lt;&gt;"",INDEX(CONFIRM!$G$5:$G$53,G998),IF(ISNUMBER(L998),L998,IFERROR(DATEVALUE(L998),""))),IF(ISNUMBER(L998),L998,IFERROR(DATEVALUE(L998),"")))</f>
        <v>46057</v>
      </c>
      <c r="N998" s="1" t="str">
        <f aca="false">IF(M998="","Check",IF(AND(M998&gt;=INPUTS!$C$6,M998&lt;=INPUTS!$C$7),"Yes","No"))</f>
        <v>Yes</v>
      </c>
      <c r="O998" s="48" t="str">
        <f aca="false">STACK!H998</f>
        <v> Sr Director</v>
      </c>
      <c r="P998" s="1" t="str">
        <f aca="false">IF(G998&gt;0,IF(INDEX(CONFIRM!$H$5:$H$53,G998)&lt;&gt;"",INDEX(CONFIRM!$H$5:$H$53,G998),IFERROR(INDEX(MAP!$B$7:$B$156,MATCH(TRIM(O998),MAP!$A$7:$A$156,0)),"UNMAPPED")),IFERROR(INDEX(MAP!$B$7:$B$156,MATCH(TRIM(O998),MAP!$A$7:$A$156,0)),"UNMAPPED"))</f>
        <v>Director</v>
      </c>
      <c r="Q998" s="48" t="n">
        <f aca="false">STACK!I998</f>
        <v>1.25</v>
      </c>
      <c r="R998" s="60" t="n">
        <f aca="false">IF(G998&gt;0,IF(INDEX(CONFIRM!$F$5:$F$53,G998)&lt;&gt;"",INDEX(CONFIRM!$F$5:$F$53,G998),IF(ISNUMBER(Q998),Q998,IF(Q998="","",IFERROR(VALUE(TRIM(SUBSTITUTE(SUBSTITUTE(LOWER(Q998),"hrs",""),"hr",""))),"")))),IF(ISNUMBER(Q998),Q998,IF(Q998="","",IFERROR(VALUE(TRIM(SUBSTITUTE(SUBSTITUTE(LOWER(Q998),"hrs",""),"hr",""))),""))))</f>
        <v>1.25</v>
      </c>
      <c r="S998" s="57" t="n">
        <f aca="false">IFERROR(INDEX(RATES!$E$6:$E$28,MATCH(P998,RATES!$A$6:$A$28,0)),0)</f>
        <v>92.52</v>
      </c>
      <c r="T998" s="61" t="n">
        <f aca="false">IF(ISNUMBER(R998),R998,0)*S998</f>
        <v>115.65</v>
      </c>
      <c r="U998" s="61" t="n">
        <f aca="false">T998*INDEX(INPUTS!$H$10:$H$14,MATCH(B998,INPUTS!$A$10:$A$14,0))</f>
        <v>18.2727</v>
      </c>
      <c r="V998" s="61" t="n">
        <f aca="false">N(STACK!K998)</f>
        <v>0</v>
      </c>
      <c r="W998" s="61" t="n">
        <f aca="false">T998+U998+V998</f>
        <v>133.9227</v>
      </c>
      <c r="X998" s="61" t="n">
        <f aca="false">N(STACK!L998)</f>
        <v>0</v>
      </c>
      <c r="Y998" s="61" t="n">
        <f aca="false">W998-X998</f>
        <v>133.9227</v>
      </c>
      <c r="Z998" s="1" t="n">
        <f aca="false">N(STACK!J998)</f>
        <v>0</v>
      </c>
      <c r="AA998" s="1" t="str">
        <f aca="false">TRIM(IF(D998="UNMAPPED","Program not mapped. ","")&amp;IF(OR(K998="UNMAPPED",K998="UNASSIGNED"),"Category needs review. ","")&amp;IF(P998="UNMAPPED","Title not mapped. ","")&amp;IF(AND(P998&lt;&gt;"No staff time",R998=""),"Missing hours. ","")&amp;IF(M998="","Date not readable. ","")&amp;IF(N998="No","Outside fiscal year. ","")&amp;IF(AND(F998="Event",ISNUMBER(R998)),IF(R998&gt;12,"Event hours look high. ",""),"")&amp;IF(G998&gt;0,"See CONFIRM sheet.",""))</f>
        <v/>
      </c>
      <c r="AB998" s="1" t="n">
        <f aca="false">IF(N998="No",0,IF(REVIEW!O998=0,0,IF(G998&gt;0,IF(INDEX(CONFIRM!$J$5:$J$53,G998)&lt;&gt;"",INDEX(CONFIRM!$J$5:$J$53,G998),1),1)))</f>
        <v>1</v>
      </c>
      <c r="AC998" s="1" t="n">
        <f aca="false">IF(AB998=1,IF(COUNTIFS($B$5:B998,B998,$D$5:D998,D998,$AB$5:AB998,1)=1,1,0),0)</f>
        <v>0</v>
      </c>
    </row>
    <row r="999" customFormat="false" ht="15" hidden="false" customHeight="false" outlineLevel="0" collapsed="false">
      <c r="A999" s="48" t="str">
        <f aca="false">STACK!A999</f>
        <v>CBH-0171</v>
      </c>
      <c r="B999" s="48" t="str">
        <f aca="false">STACK!B999</f>
        <v>CBH</v>
      </c>
      <c r="C999" s="48" t="str">
        <f aca="false">STACK!E999</f>
        <v>Smoke-Free Parks</v>
      </c>
      <c r="D999" s="1" t="str">
        <f aca="false">IFERROR(INDEX(MAP!$J$7:$J$101,MATCH(TRIM(C999),MAP!$I$7:$I$101,0)),"UNMAPPED")</f>
        <v>Smoke-Free Parks Advocacy</v>
      </c>
      <c r="E999" s="1" t="str">
        <f aca="false">IFERROR(INDEX(MAP!$K$7:$K$101,MATCH(TRIM(C999),MAP!$I$7:$I$101,0)),"")</f>
        <v>Chronic disease prevention</v>
      </c>
      <c r="F999" s="1" t="str">
        <f aca="false">IFERROR(INDEX(MAP!$L$7:$L$101,MATCH(TRIM(C999),MAP!$I$7:$I$101,0)),"")</f>
        <v>Event</v>
      </c>
      <c r="G999" s="1" t="n">
        <f aca="false">IFERROR(MATCH(A999,CONFIRM!$A$5:$A$53,0),0)</f>
        <v>0</v>
      </c>
      <c r="H999" s="48" t="str">
        <f aca="false">STACK!F999</f>
        <v>Advocacy</v>
      </c>
      <c r="I999" s="1" t="str">
        <f aca="false">IF(G999&gt;0,IF(INDEX(CONFIRM!$I$5:$I$53,G999)&lt;&gt;"",INDEX(CONFIRM!$I$5:$I$53,G999),H999),H999)</f>
        <v>Advocacy</v>
      </c>
      <c r="J999" s="1" t="str">
        <f aca="false">IFERROR(INDEX(MAP!$F$7:$F$74,MATCH(TRIM(I999),MAP!$E$7:$E$74,0)),"UNMAPPED")</f>
        <v>Community building: health improvement advocacy</v>
      </c>
      <c r="K999" s="1" t="str">
        <f aca="false">IFERROR(INDEX(MAP!$G$7:$G$74,MATCH(TRIM(I999),MAP!$E$7:$E$74,0)),"UNMAPPED")</f>
        <v>II-7</v>
      </c>
      <c r="L999" s="49" t="str">
        <f aca="false">STACK!G999</f>
        <v>2026-02-04</v>
      </c>
      <c r="M999" s="59" t="n">
        <f aca="false">IF(G999&gt;0,IF(INDEX(CONFIRM!$G$5:$G$53,G999)&lt;&gt;"",INDEX(CONFIRM!$G$5:$G$53,G999),IF(ISNUMBER(L999),L999,IFERROR(DATEVALUE(L999),""))),IF(ISNUMBER(L999),L999,IFERROR(DATEVALUE(L999),"")))</f>
        <v>46057</v>
      </c>
      <c r="N999" s="1" t="str">
        <f aca="false">IF(M999="","Check",IF(AND(M999&gt;=INPUTS!$C$6,M999&lt;=INPUTS!$C$7),"Yes","No"))</f>
        <v>Yes</v>
      </c>
      <c r="O999" s="48" t="str">
        <f aca="false">STACK!H999</f>
        <v>Wellness Educator</v>
      </c>
      <c r="P999" s="1" t="str">
        <f aca="false">IF(G999&gt;0,IF(INDEX(CONFIRM!$H$5:$H$53,G999)&lt;&gt;"",INDEX(CONFIRM!$H$5:$H$53,G999),IFERROR(INDEX(MAP!$B$7:$B$156,MATCH(TRIM(O999),MAP!$A$7:$A$156,0)),"UNMAPPED")),IFERROR(INDEX(MAP!$B$7:$B$156,MATCH(TRIM(O999),MAP!$A$7:$A$156,0)),"UNMAPPED"))</f>
        <v>Health Educator</v>
      </c>
      <c r="Q999" s="48" t="n">
        <f aca="false">STACK!I999</f>
        <v>4.75</v>
      </c>
      <c r="R999" s="60" t="n">
        <f aca="false">IF(G999&gt;0,IF(INDEX(CONFIRM!$F$5:$F$53,G999)&lt;&gt;"",INDEX(CONFIRM!$F$5:$F$53,G999),IF(ISNUMBER(Q999),Q999,IF(Q999="","",IFERROR(VALUE(TRIM(SUBSTITUTE(SUBSTITUTE(LOWER(Q999),"hrs",""),"hr",""))),"")))),IF(ISNUMBER(Q999),Q999,IF(Q999="","",IFERROR(VALUE(TRIM(SUBSTITUTE(SUBSTITUTE(LOWER(Q999),"hrs",""),"hr",""))),""))))</f>
        <v>4.75</v>
      </c>
      <c r="S999" s="57" t="n">
        <f aca="false">IFERROR(INDEX(RATES!$E$6:$E$28,MATCH(P999,RATES!$A$6:$A$28,0)),0)</f>
        <v>37.265</v>
      </c>
      <c r="T999" s="61" t="n">
        <f aca="false">IF(ISNUMBER(R999),R999,0)*S999</f>
        <v>177.00875</v>
      </c>
      <c r="U999" s="61" t="n">
        <f aca="false">T999*INDEX(INPUTS!$H$10:$H$14,MATCH(B999,INPUTS!$A$10:$A$14,0))</f>
        <v>27.9673825</v>
      </c>
      <c r="V999" s="61" t="n">
        <f aca="false">N(STACK!K999)</f>
        <v>575</v>
      </c>
      <c r="W999" s="61" t="n">
        <f aca="false">T999+U999+V999</f>
        <v>779.9761325</v>
      </c>
      <c r="X999" s="61" t="n">
        <f aca="false">N(STACK!L999)</f>
        <v>0</v>
      </c>
      <c r="Y999" s="61" t="n">
        <f aca="false">W999-X999</f>
        <v>779.9761325</v>
      </c>
      <c r="Z999" s="1" t="n">
        <f aca="false">N(STACK!J999)</f>
        <v>0</v>
      </c>
      <c r="AA999" s="1" t="str">
        <f aca="false">TRIM(IF(D999="UNMAPPED","Program not mapped. ","")&amp;IF(OR(K999="UNMAPPED",K999="UNASSIGNED"),"Category needs review. ","")&amp;IF(P999="UNMAPPED","Title not mapped. ","")&amp;IF(AND(P999&lt;&gt;"No staff time",R999=""),"Missing hours. ","")&amp;IF(M999="","Date not readable. ","")&amp;IF(N999="No","Outside fiscal year. ","")&amp;IF(AND(F999="Event",ISNUMBER(R999)),IF(R999&gt;12,"Event hours look high. ",""),"")&amp;IF(G999&gt;0,"See CONFIRM sheet.",""))</f>
        <v/>
      </c>
      <c r="AB999" s="1" t="n">
        <f aca="false">IF(N999="No",0,IF(REVIEW!O999=0,0,IF(G999&gt;0,IF(INDEX(CONFIRM!$J$5:$J$53,G999)&lt;&gt;"",INDEX(CONFIRM!$J$5:$J$53,G999),1),1)))</f>
        <v>1</v>
      </c>
      <c r="AC999" s="1" t="n">
        <f aca="false">IF(AB999=1,IF(COUNTIFS($B$5:B999,B999,$D$5:D999,D999,$AB$5:AB999,1)=1,1,0),0)</f>
        <v>0</v>
      </c>
    </row>
    <row r="1000" customFormat="false" ht="15" hidden="false" customHeight="false" outlineLevel="0" collapsed="false">
      <c r="A1000" s="48" t="str">
        <f aca="false">STACK!A1000</f>
        <v>CBH-0172</v>
      </c>
      <c r="B1000" s="48" t="str">
        <f aca="false">STACK!B1000</f>
        <v>CBH</v>
      </c>
      <c r="C1000" s="48" t="str">
        <f aca="false">STACK!E1000</f>
        <v>Matter of Balance Classes</v>
      </c>
      <c r="D1000" s="1" t="str">
        <f aca="false">IFERROR(INDEX(MAP!$J$7:$J$101,MATCH(TRIM(C1000),MAP!$I$7:$I$101,0)),"UNMAPPED")</f>
        <v>Fall Prevention Classes for Older Adults</v>
      </c>
      <c r="E1000" s="1" t="str">
        <f aca="false">IFERROR(INDEX(MAP!$K$7:$K$101,MATCH(TRIM(C1000),MAP!$I$7:$I$101,0)),"")</f>
        <v>Chronic disease prevention</v>
      </c>
      <c r="F1000" s="1" t="str">
        <f aca="false">IFERROR(INDEX(MAP!$L$7:$L$101,MATCH(TRIM(C1000),MAP!$I$7:$I$101,0)),"")</f>
        <v>Event</v>
      </c>
      <c r="G1000" s="1" t="n">
        <f aca="false">IFERROR(MATCH(A1000,CONFIRM!$A$5:$A$53,0),0)</f>
        <v>0</v>
      </c>
      <c r="H1000" s="48" t="str">
        <f aca="false">STACK!F1000</f>
        <v>Health Education</v>
      </c>
      <c r="I1000" s="1" t="str">
        <f aca="false">IF(G1000&gt;0,IF(INDEX(CONFIRM!$I$5:$I$53,G1000)&lt;&gt;"",INDEX(CONFIRM!$I$5:$I$53,G1000),H1000),H1000)</f>
        <v>Health Education</v>
      </c>
      <c r="J1000" s="1" t="str">
        <f aca="false">IFERROR(INDEX(MAP!$F$7:$F$74,MATCH(TRIM(I1000),MAP!$E$7:$E$74,0)),"UNMAPPED")</f>
        <v>Community health education</v>
      </c>
      <c r="K1000" s="1" t="str">
        <f aca="false">IFERROR(INDEX(MAP!$G$7:$G$74,MATCH(TRIM(I1000),MAP!$E$7:$E$74,0)),"UNMAPPED")</f>
        <v>7e</v>
      </c>
      <c r="L1000" s="49" t="str">
        <f aca="false">STACK!G1000</f>
        <v>2026-02-05</v>
      </c>
      <c r="M1000" s="59" t="n">
        <f aca="false">IF(G1000&gt;0,IF(INDEX(CONFIRM!$G$5:$G$53,G1000)&lt;&gt;"",INDEX(CONFIRM!$G$5:$G$53,G1000),IF(ISNUMBER(L1000),L1000,IFERROR(DATEVALUE(L1000),""))),IF(ISNUMBER(L1000),L1000,IFERROR(DATEVALUE(L1000),"")))</f>
        <v>46058</v>
      </c>
      <c r="N1000" s="1" t="str">
        <f aca="false">IF(M1000="","Check",IF(AND(M1000&gt;=INPUTS!$C$6,M1000&lt;=INPUTS!$C$7),"Yes","No"))</f>
        <v>Yes</v>
      </c>
      <c r="O1000" s="48" t="str">
        <f aca="false">STACK!H1000</f>
        <v>PHYSICAL THERAPY </v>
      </c>
      <c r="P1000" s="1" t="str">
        <f aca="false">IF(G1000&gt;0,IF(INDEX(CONFIRM!$H$5:$H$53,G1000)&lt;&gt;"",INDEX(CONFIRM!$H$5:$H$53,G1000),IFERROR(INDEX(MAP!$B$7:$B$156,MATCH(TRIM(O1000),MAP!$A$7:$A$156,0)),"UNMAPPED")),IFERROR(INDEX(MAP!$B$7:$B$156,MATCH(TRIM(O1000),MAP!$A$7:$A$156,0)),"UNMAPPED"))</f>
        <v>Licensed Therapist</v>
      </c>
      <c r="Q1000" s="48" t="n">
        <f aca="false">STACK!I1000</f>
        <v>2</v>
      </c>
      <c r="R1000" s="60" t="n">
        <f aca="false">IF(G1000&gt;0,IF(INDEX(CONFIRM!$F$5:$F$53,G1000)&lt;&gt;"",INDEX(CONFIRM!$F$5:$F$53,G1000),IF(ISNUMBER(Q1000),Q1000,IF(Q1000="","",IFERROR(VALUE(TRIM(SUBSTITUTE(SUBSTITUTE(LOWER(Q1000),"hrs",""),"hr",""))),"")))),IF(ISNUMBER(Q1000),Q1000,IF(Q1000="","",IFERROR(VALUE(TRIM(SUBSTITUTE(SUBSTITUTE(LOWER(Q1000),"hrs",""),"hr",""))),""))))</f>
        <v>2</v>
      </c>
      <c r="S1000" s="57" t="n">
        <f aca="false">IFERROR(INDEX(RATES!$E$6:$E$28,MATCH(P1000,RATES!$A$6:$A$28,0)),0)</f>
        <v>53.97</v>
      </c>
      <c r="T1000" s="61" t="n">
        <f aca="false">IF(ISNUMBER(R1000),R1000,0)*S1000</f>
        <v>107.94</v>
      </c>
      <c r="U1000" s="61" t="n">
        <f aca="false">T1000*INDEX(INPUTS!$H$10:$H$14,MATCH(B1000,INPUTS!$A$10:$A$14,0))</f>
        <v>17.05452</v>
      </c>
      <c r="V1000" s="61" t="n">
        <f aca="false">N(STACK!K1000)</f>
        <v>110</v>
      </c>
      <c r="W1000" s="61" t="n">
        <f aca="false">T1000+U1000+V1000</f>
        <v>234.99452</v>
      </c>
      <c r="X1000" s="61" t="n">
        <f aca="false">N(STACK!L1000)</f>
        <v>0</v>
      </c>
      <c r="Y1000" s="61" t="n">
        <f aca="false">W1000-X1000</f>
        <v>234.99452</v>
      </c>
      <c r="Z1000" s="1" t="n">
        <f aca="false">N(STACK!J1000)</f>
        <v>15</v>
      </c>
      <c r="AA1000" s="1" t="str">
        <f aca="false">TRIM(IF(D1000="UNMAPPED","Program not mapped. ","")&amp;IF(OR(K1000="UNMAPPED",K1000="UNASSIGNED"),"Category needs review. ","")&amp;IF(P1000="UNMAPPED","Title not mapped. ","")&amp;IF(AND(P1000&lt;&gt;"No staff time",R1000=""),"Missing hours. ","")&amp;IF(M1000="","Date not readable. ","")&amp;IF(N1000="No","Outside fiscal year. ","")&amp;IF(AND(F1000="Event",ISNUMBER(R1000)),IF(R1000&gt;12,"Event hours look high. ",""),"")&amp;IF(G1000&gt;0,"See CONFIRM sheet.",""))</f>
        <v/>
      </c>
      <c r="AB1000" s="1" t="n">
        <f aca="false">IF(N1000="No",0,IF(REVIEW!O1000=0,0,IF(G1000&gt;0,IF(INDEX(CONFIRM!$J$5:$J$53,G1000)&lt;&gt;"",INDEX(CONFIRM!$J$5:$J$53,G1000),1),1)))</f>
        <v>1</v>
      </c>
      <c r="AC1000" s="1" t="n">
        <f aca="false">IF(AB1000=1,IF(COUNTIFS($B$5:B1000,B1000,$D$5:D1000,D1000,$AB$5:AB1000,1)=1,1,0),0)</f>
        <v>0</v>
      </c>
    </row>
    <row r="1001" customFormat="false" ht="15" hidden="false" customHeight="false" outlineLevel="0" collapsed="false">
      <c r="A1001" s="48" t="str">
        <f aca="false">STACK!A1001</f>
        <v>CBH-0173</v>
      </c>
      <c r="B1001" s="48" t="str">
        <f aca="false">STACK!B1001</f>
        <v>CBH</v>
      </c>
      <c r="C1001" s="48" t="str">
        <f aca="false">STACK!E1001</f>
        <v>Community Garden</v>
      </c>
      <c r="D1001" s="1" t="str">
        <f aca="false">IFERROR(INDEX(MAP!$J$7:$J$101,MATCH(TRIM(C1001),MAP!$I$7:$I$101,0)),"UNMAPPED")</f>
        <v>Community Garden and Green Space Project</v>
      </c>
      <c r="E1001" s="1" t="str">
        <f aca="false">IFERROR(INDEX(MAP!$K$7:$K$101,MATCH(TRIM(C1001),MAP!$I$7:$I$101,0)),"")</f>
        <v>Food and housing security</v>
      </c>
      <c r="F1001" s="1" t="str">
        <f aca="false">IFERROR(INDEX(MAP!$L$7:$L$101,MATCH(TRIM(C1001),MAP!$I$7:$I$101,0)),"")</f>
        <v>Event</v>
      </c>
      <c r="G1001" s="1" t="n">
        <f aca="false">IFERROR(MATCH(A1001,CONFIRM!$A$5:$A$53,0),0)</f>
        <v>0</v>
      </c>
      <c r="H1001" s="48" t="str">
        <f aca="false">STACK!F1001</f>
        <v>Environmental</v>
      </c>
      <c r="I1001" s="1" t="str">
        <f aca="false">IF(G1001&gt;0,IF(INDEX(CONFIRM!$I$5:$I$53,G1001)&lt;&gt;"",INDEX(CONFIRM!$I$5:$I$53,G1001),H1001),H1001)</f>
        <v>Environmental</v>
      </c>
      <c r="J1001" s="1" t="str">
        <f aca="false">IFERROR(INDEX(MAP!$F$7:$F$74,MATCH(TRIM(I1001),MAP!$E$7:$E$74,0)),"UNMAPPED")</f>
        <v>Community building: environmental improvements</v>
      </c>
      <c r="K1001" s="1" t="str">
        <f aca="false">IFERROR(INDEX(MAP!$G$7:$G$74,MATCH(TRIM(I1001),MAP!$E$7:$E$74,0)),"UNMAPPED")</f>
        <v>II-4</v>
      </c>
      <c r="L1001" s="49" t="str">
        <f aca="false">STACK!G1001</f>
        <v>2026-02-10</v>
      </c>
      <c r="M1001" s="59" t="n">
        <f aca="false">IF(G1001&gt;0,IF(INDEX(CONFIRM!$G$5:$G$53,G1001)&lt;&gt;"",INDEX(CONFIRM!$G$5:$G$53,G1001),IF(ISNUMBER(L1001),L1001,IFERROR(DATEVALUE(L1001),""))),IF(ISNUMBER(L1001),L1001,IFERROR(DATEVALUE(L1001),"")))</f>
        <v>46063</v>
      </c>
      <c r="N1001" s="1" t="str">
        <f aca="false">IF(M1001="","Check",IF(AND(M1001&gt;=INPUTS!$C$6,M1001&lt;=INPUTS!$C$7),"Yes","No"))</f>
        <v>Yes</v>
      </c>
      <c r="O1001" s="48" t="str">
        <f aca="false">STACK!H1001</f>
        <v>Coordinator</v>
      </c>
      <c r="P1001" s="1" t="str">
        <f aca="false">IF(G1001&gt;0,IF(INDEX(CONFIRM!$H$5:$H$53,G1001)&lt;&gt;"",INDEX(CONFIRM!$H$5:$H$53,G1001),IFERROR(INDEX(MAP!$B$7:$B$156,MATCH(TRIM(O1001),MAP!$A$7:$A$156,0)),"UNMAPPED")),IFERROR(INDEX(MAP!$B$7:$B$156,MATCH(TRIM(O1001),MAP!$A$7:$A$156,0)),"UNMAPPED"))</f>
        <v>Program Coordinator</v>
      </c>
      <c r="Q1001" s="48" t="n">
        <f aca="false">STACK!I1001</f>
        <v>5.75</v>
      </c>
      <c r="R1001" s="60" t="n">
        <f aca="false">IF(G1001&gt;0,IF(INDEX(CONFIRM!$F$5:$F$53,G1001)&lt;&gt;"",INDEX(CONFIRM!$F$5:$F$53,G1001),IF(ISNUMBER(Q1001),Q1001,IF(Q1001="","",IFERROR(VALUE(TRIM(SUBSTITUTE(SUBSTITUTE(LOWER(Q1001),"hrs",""),"hr",""))),"")))),IF(ISNUMBER(Q1001),Q1001,IF(Q1001="","",IFERROR(VALUE(TRIM(SUBSTITUTE(SUBSTITUTE(LOWER(Q1001),"hrs",""),"hr",""))),""))))</f>
        <v>5.75</v>
      </c>
      <c r="S1001" s="57" t="n">
        <f aca="false">IFERROR(INDEX(RATES!$E$6:$E$28,MATCH(P1001,RATES!$A$6:$A$28,0)),0)</f>
        <v>35.3375</v>
      </c>
      <c r="T1001" s="61" t="n">
        <f aca="false">IF(ISNUMBER(R1001),R1001,0)*S1001</f>
        <v>203.190625</v>
      </c>
      <c r="U1001" s="61" t="n">
        <f aca="false">T1001*INDEX(INPUTS!$H$10:$H$14,MATCH(B1001,INPUTS!$A$10:$A$14,0))</f>
        <v>32.10411875</v>
      </c>
      <c r="V1001" s="61" t="n">
        <f aca="false">N(STACK!K1001)</f>
        <v>2395</v>
      </c>
      <c r="W1001" s="61" t="n">
        <f aca="false">T1001+U1001+V1001</f>
        <v>2630.29474375</v>
      </c>
      <c r="X1001" s="61" t="n">
        <f aca="false">N(STACK!L1001)</f>
        <v>0</v>
      </c>
      <c r="Y1001" s="61" t="n">
        <f aca="false">W1001-X1001</f>
        <v>2630.29474375</v>
      </c>
      <c r="Z1001" s="1" t="n">
        <f aca="false">N(STACK!J1001)</f>
        <v>39</v>
      </c>
      <c r="AA1001" s="1" t="str">
        <f aca="false">TRIM(IF(D1001="UNMAPPED","Program not mapped. ","")&amp;IF(OR(K1001="UNMAPPED",K1001="UNASSIGNED"),"Category needs review. ","")&amp;IF(P1001="UNMAPPED","Title not mapped. ","")&amp;IF(AND(P1001&lt;&gt;"No staff time",R1001=""),"Missing hours. ","")&amp;IF(M1001="","Date not readable. ","")&amp;IF(N1001="No","Outside fiscal year. ","")&amp;IF(AND(F1001="Event",ISNUMBER(R1001)),IF(R1001&gt;12,"Event hours look high. ",""),"")&amp;IF(G1001&gt;0,"See CONFIRM sheet.",""))</f>
        <v/>
      </c>
      <c r="AB1001" s="1" t="n">
        <f aca="false">IF(N1001="No",0,IF(REVIEW!O1001=0,0,IF(G1001&gt;0,IF(INDEX(CONFIRM!$J$5:$J$53,G1001)&lt;&gt;"",INDEX(CONFIRM!$J$5:$J$53,G1001),1),1)))</f>
        <v>1</v>
      </c>
      <c r="AC1001" s="1" t="n">
        <f aca="false">IF(AB1001=1,IF(COUNTIFS($B$5:B1001,B1001,$D$5:D1001,D1001,$AB$5:AB1001,1)=1,1,0),0)</f>
        <v>0</v>
      </c>
    </row>
    <row r="1002" customFormat="false" ht="15" hidden="false" customHeight="false" outlineLevel="0" collapsed="false">
      <c r="A1002" s="48" t="str">
        <f aca="false">STACK!A1002</f>
        <v>CBH-0174</v>
      </c>
      <c r="B1002" s="48" t="str">
        <f aca="false">STACK!B1002</f>
        <v>CBH</v>
      </c>
      <c r="C1002" s="48" t="str">
        <f aca="false">STACK!E1002</f>
        <v>Matter of Balance Classes</v>
      </c>
      <c r="D1002" s="1" t="str">
        <f aca="false">IFERROR(INDEX(MAP!$J$7:$J$101,MATCH(TRIM(C1002),MAP!$I$7:$I$101,0)),"UNMAPPED")</f>
        <v>Fall Prevention Classes for Older Adults</v>
      </c>
      <c r="E1002" s="1" t="str">
        <f aca="false">IFERROR(INDEX(MAP!$K$7:$K$101,MATCH(TRIM(C1002),MAP!$I$7:$I$101,0)),"")</f>
        <v>Chronic disease prevention</v>
      </c>
      <c r="F1002" s="1" t="str">
        <f aca="false">IFERROR(INDEX(MAP!$L$7:$L$101,MATCH(TRIM(C1002),MAP!$I$7:$I$101,0)),"")</f>
        <v>Event</v>
      </c>
      <c r="G1002" s="1" t="n">
        <f aca="false">IFERROR(MATCH(A1002,CONFIRM!$A$5:$A$53,0),0)</f>
        <v>0</v>
      </c>
      <c r="H1002" s="48" t="str">
        <f aca="false">STACK!F1002</f>
        <v>Health Education</v>
      </c>
      <c r="I1002" s="1" t="str">
        <f aca="false">IF(G1002&gt;0,IF(INDEX(CONFIRM!$I$5:$I$53,G1002)&lt;&gt;"",INDEX(CONFIRM!$I$5:$I$53,G1002),H1002),H1002)</f>
        <v>Health Education</v>
      </c>
      <c r="J1002" s="1" t="str">
        <f aca="false">IFERROR(INDEX(MAP!$F$7:$F$74,MATCH(TRIM(I1002),MAP!$E$7:$E$74,0)),"UNMAPPED")</f>
        <v>Community health education</v>
      </c>
      <c r="K1002" s="1" t="str">
        <f aca="false">IFERROR(INDEX(MAP!$G$7:$G$74,MATCH(TRIM(I1002),MAP!$E$7:$E$74,0)),"UNMAPPED")</f>
        <v>7e</v>
      </c>
      <c r="L1002" s="49" t="str">
        <f aca="false">STACK!G1002</f>
        <v>2026-02-14</v>
      </c>
      <c r="M1002" s="59" t="n">
        <f aca="false">IF(G1002&gt;0,IF(INDEX(CONFIRM!$G$5:$G$53,G1002)&lt;&gt;"",INDEX(CONFIRM!$G$5:$G$53,G1002),IF(ISNUMBER(L1002),L1002,IFERROR(DATEVALUE(L1002),""))),IF(ISNUMBER(L1002),L1002,IFERROR(DATEVALUE(L1002),"")))</f>
        <v>46067</v>
      </c>
      <c r="N1002" s="1" t="str">
        <f aca="false">IF(M1002="","Check",IF(AND(M1002&gt;=INPUTS!$C$6,M1002&lt;=INPUTS!$C$7),"Yes","No"))</f>
        <v>Yes</v>
      </c>
      <c r="O1002" s="48" t="str">
        <f aca="false">STACK!H1002</f>
        <v>DPT</v>
      </c>
      <c r="P1002" s="1" t="str">
        <f aca="false">IF(G1002&gt;0,IF(INDEX(CONFIRM!$H$5:$H$53,G1002)&lt;&gt;"",INDEX(CONFIRM!$H$5:$H$53,G1002),IFERROR(INDEX(MAP!$B$7:$B$156,MATCH(TRIM(O1002),MAP!$A$7:$A$156,0)),"UNMAPPED")),IFERROR(INDEX(MAP!$B$7:$B$156,MATCH(TRIM(O1002),MAP!$A$7:$A$156,0)),"UNMAPPED"))</f>
        <v>Licensed Therapist</v>
      </c>
      <c r="Q1002" s="48" t="n">
        <f aca="false">STACK!I1002</f>
        <v>2</v>
      </c>
      <c r="R1002" s="60" t="n">
        <f aca="false">IF(G1002&gt;0,IF(INDEX(CONFIRM!$F$5:$F$53,G1002)&lt;&gt;"",INDEX(CONFIRM!$F$5:$F$53,G1002),IF(ISNUMBER(Q1002),Q1002,IF(Q1002="","",IFERROR(VALUE(TRIM(SUBSTITUTE(SUBSTITUTE(LOWER(Q1002),"hrs",""),"hr",""))),"")))),IF(ISNUMBER(Q1002),Q1002,IF(Q1002="","",IFERROR(VALUE(TRIM(SUBSTITUTE(SUBSTITUTE(LOWER(Q1002),"hrs",""),"hr",""))),""))))</f>
        <v>2</v>
      </c>
      <c r="S1002" s="57" t="n">
        <f aca="false">IFERROR(INDEX(RATES!$E$6:$E$28,MATCH(P1002,RATES!$A$6:$A$28,0)),0)</f>
        <v>53.97</v>
      </c>
      <c r="T1002" s="61" t="n">
        <f aca="false">IF(ISNUMBER(R1002),R1002,0)*S1002</f>
        <v>107.94</v>
      </c>
      <c r="U1002" s="61" t="n">
        <f aca="false">T1002*INDEX(INPUTS!$H$10:$H$14,MATCH(B1002,INPUTS!$A$10:$A$14,0))</f>
        <v>17.05452</v>
      </c>
      <c r="V1002" s="61" t="n">
        <f aca="false">N(STACK!K1002)</f>
        <v>70</v>
      </c>
      <c r="W1002" s="61" t="n">
        <f aca="false">T1002+U1002+V1002</f>
        <v>194.99452</v>
      </c>
      <c r="X1002" s="61" t="n">
        <f aca="false">N(STACK!L1002)</f>
        <v>0</v>
      </c>
      <c r="Y1002" s="61" t="n">
        <f aca="false">W1002-X1002</f>
        <v>194.99452</v>
      </c>
      <c r="Z1002" s="1" t="n">
        <f aca="false">N(STACK!J1002)</f>
        <v>10</v>
      </c>
      <c r="AA1002" s="1" t="str">
        <f aca="false">TRIM(IF(D1002="UNMAPPED","Program not mapped. ","")&amp;IF(OR(K1002="UNMAPPED",K1002="UNASSIGNED"),"Category needs review. ","")&amp;IF(P1002="UNMAPPED","Title not mapped. ","")&amp;IF(AND(P1002&lt;&gt;"No staff time",R1002=""),"Missing hours. ","")&amp;IF(M1002="","Date not readable. ","")&amp;IF(N1002="No","Outside fiscal year. ","")&amp;IF(AND(F1002="Event",ISNUMBER(R1002)),IF(R1002&gt;12,"Event hours look high. ",""),"")&amp;IF(G1002&gt;0,"See CONFIRM sheet.",""))</f>
        <v/>
      </c>
      <c r="AB1002" s="1" t="n">
        <f aca="false">IF(N1002="No",0,IF(REVIEW!O1002=0,0,IF(G1002&gt;0,IF(INDEX(CONFIRM!$J$5:$J$53,G1002)&lt;&gt;"",INDEX(CONFIRM!$J$5:$J$53,G1002),1),1)))</f>
        <v>1</v>
      </c>
      <c r="AC1002" s="1" t="n">
        <f aca="false">IF(AB1002=1,IF(COUNTIFS($B$5:B1002,B1002,$D$5:D1002,D1002,$AB$5:AB1002,1)=1,1,0),0)</f>
        <v>0</v>
      </c>
    </row>
    <row r="1003" customFormat="false" ht="15" hidden="false" customHeight="false" outlineLevel="0" collapsed="false">
      <c r="A1003" s="48" t="str">
        <f aca="false">STACK!A1003</f>
        <v>CBH-0175</v>
      </c>
      <c r="B1003" s="48" t="str">
        <f aca="false">STACK!B1003</f>
        <v>CBH</v>
      </c>
      <c r="C1003" s="48" t="str">
        <f aca="false">STACK!E1003</f>
        <v>Matter of Balance Classes</v>
      </c>
      <c r="D1003" s="1" t="str">
        <f aca="false">IFERROR(INDEX(MAP!$J$7:$J$101,MATCH(TRIM(C1003),MAP!$I$7:$I$101,0)),"UNMAPPED")</f>
        <v>Fall Prevention Classes for Older Adults</v>
      </c>
      <c r="E1003" s="1" t="str">
        <f aca="false">IFERROR(INDEX(MAP!$K$7:$K$101,MATCH(TRIM(C1003),MAP!$I$7:$I$101,0)),"")</f>
        <v>Chronic disease prevention</v>
      </c>
      <c r="F1003" s="1" t="str">
        <f aca="false">IFERROR(INDEX(MAP!$L$7:$L$101,MATCH(TRIM(C1003),MAP!$I$7:$I$101,0)),"")</f>
        <v>Event</v>
      </c>
      <c r="G1003" s="1" t="n">
        <f aca="false">IFERROR(MATCH(A1003,CONFIRM!$A$5:$A$53,0),0)</f>
        <v>0</v>
      </c>
      <c r="H1003" s="48" t="str">
        <f aca="false">STACK!F1003</f>
        <v>Health Education</v>
      </c>
      <c r="I1003" s="1" t="str">
        <f aca="false">IF(G1003&gt;0,IF(INDEX(CONFIRM!$I$5:$I$53,G1003)&lt;&gt;"",INDEX(CONFIRM!$I$5:$I$53,G1003),H1003),H1003)</f>
        <v>Health Education</v>
      </c>
      <c r="J1003" s="1" t="str">
        <f aca="false">IFERROR(INDEX(MAP!$F$7:$F$74,MATCH(TRIM(I1003),MAP!$E$7:$E$74,0)),"UNMAPPED")</f>
        <v>Community health education</v>
      </c>
      <c r="K1003" s="1" t="str">
        <f aca="false">IFERROR(INDEX(MAP!$G$7:$G$74,MATCH(TRIM(I1003),MAP!$E$7:$E$74,0)),"UNMAPPED")</f>
        <v>7e</v>
      </c>
      <c r="L1003" s="49" t="str">
        <f aca="false">STACK!G1003</f>
        <v>2026-02-19</v>
      </c>
      <c r="M1003" s="59" t="n">
        <f aca="false">IF(G1003&gt;0,IF(INDEX(CONFIRM!$G$5:$G$53,G1003)&lt;&gt;"",INDEX(CONFIRM!$G$5:$G$53,G1003),IF(ISNUMBER(L1003),L1003,IFERROR(DATEVALUE(L1003),""))),IF(ISNUMBER(L1003),L1003,IFERROR(DATEVALUE(L1003),"")))</f>
        <v>46072</v>
      </c>
      <c r="N1003" s="1" t="str">
        <f aca="false">IF(M1003="","Check",IF(AND(M1003&gt;=INPUTS!$C$6,M1003&lt;=INPUTS!$C$7),"Yes","No"))</f>
        <v>Yes</v>
      </c>
      <c r="O1003" s="48" t="str">
        <f aca="false">STACK!H1003</f>
        <v>Licensed Therapist</v>
      </c>
      <c r="P1003" s="1" t="str">
        <f aca="false">IF(G1003&gt;0,IF(INDEX(CONFIRM!$H$5:$H$53,G1003)&lt;&gt;"",INDEX(CONFIRM!$H$5:$H$53,G1003),IFERROR(INDEX(MAP!$B$7:$B$156,MATCH(TRIM(O1003),MAP!$A$7:$A$156,0)),"UNMAPPED")),IFERROR(INDEX(MAP!$B$7:$B$156,MATCH(TRIM(O1003),MAP!$A$7:$A$156,0)),"UNMAPPED"))</f>
        <v>Licensed Therapist</v>
      </c>
      <c r="Q1003" s="48" t="n">
        <f aca="false">STACK!I1003</f>
        <v>2</v>
      </c>
      <c r="R1003" s="60" t="n">
        <f aca="false">IF(G1003&gt;0,IF(INDEX(CONFIRM!$F$5:$F$53,G1003)&lt;&gt;"",INDEX(CONFIRM!$F$5:$F$53,G1003),IF(ISNUMBER(Q1003),Q1003,IF(Q1003="","",IFERROR(VALUE(TRIM(SUBSTITUTE(SUBSTITUTE(LOWER(Q1003),"hrs",""),"hr",""))),"")))),IF(ISNUMBER(Q1003),Q1003,IF(Q1003="","",IFERROR(VALUE(TRIM(SUBSTITUTE(SUBSTITUTE(LOWER(Q1003),"hrs",""),"hr",""))),""))))</f>
        <v>2</v>
      </c>
      <c r="S1003" s="57" t="n">
        <f aca="false">IFERROR(INDEX(RATES!$E$6:$E$28,MATCH(P1003,RATES!$A$6:$A$28,0)),0)</f>
        <v>53.97</v>
      </c>
      <c r="T1003" s="61" t="n">
        <f aca="false">IF(ISNUMBER(R1003),R1003,0)*S1003</f>
        <v>107.94</v>
      </c>
      <c r="U1003" s="61" t="n">
        <f aca="false">T1003*INDEX(INPUTS!$H$10:$H$14,MATCH(B1003,INPUTS!$A$10:$A$14,0))</f>
        <v>17.05452</v>
      </c>
      <c r="V1003" s="61" t="n">
        <f aca="false">N(STACK!K1003)</f>
        <v>40</v>
      </c>
      <c r="W1003" s="61" t="n">
        <f aca="false">T1003+U1003+V1003</f>
        <v>164.99452</v>
      </c>
      <c r="X1003" s="61" t="n">
        <f aca="false">N(STACK!L1003)</f>
        <v>0</v>
      </c>
      <c r="Y1003" s="61" t="n">
        <f aca="false">W1003-X1003</f>
        <v>164.99452</v>
      </c>
      <c r="Z1003" s="1" t="n">
        <f aca="false">N(STACK!J1003)</f>
        <v>10</v>
      </c>
      <c r="AA1003" s="1" t="str">
        <f aca="false">TRIM(IF(D1003="UNMAPPED","Program not mapped. ","")&amp;IF(OR(K1003="UNMAPPED",K1003="UNASSIGNED"),"Category needs review. ","")&amp;IF(P1003="UNMAPPED","Title not mapped. ","")&amp;IF(AND(P1003&lt;&gt;"No staff time",R1003=""),"Missing hours. ","")&amp;IF(M1003="","Date not readable. ","")&amp;IF(N1003="No","Outside fiscal year. ","")&amp;IF(AND(F1003="Event",ISNUMBER(R1003)),IF(R1003&gt;12,"Event hours look high. ",""),"")&amp;IF(G1003&gt;0,"See CONFIRM sheet.",""))</f>
        <v/>
      </c>
      <c r="AB1003" s="1" t="n">
        <f aca="false">IF(N1003="No",0,IF(REVIEW!O1003=0,0,IF(G1003&gt;0,IF(INDEX(CONFIRM!$J$5:$J$53,G1003)&lt;&gt;"",INDEX(CONFIRM!$J$5:$J$53,G1003),1),1)))</f>
        <v>1</v>
      </c>
      <c r="AC1003" s="1" t="n">
        <f aca="false">IF(AB1003=1,IF(COUNTIFS($B$5:B1003,B1003,$D$5:D1003,D1003,$AB$5:AB1003,1)=1,1,0),0)</f>
        <v>0</v>
      </c>
    </row>
    <row r="1004" customFormat="false" ht="15" hidden="false" customHeight="false" outlineLevel="0" collapsed="false">
      <c r="A1004" s="48" t="str">
        <f aca="false">STACK!A1004</f>
        <v>CBH-0176</v>
      </c>
      <c r="B1004" s="48" t="str">
        <f aca="false">STACK!B1004</f>
        <v>CBH</v>
      </c>
      <c r="C1004" s="48" t="str">
        <f aca="false">STACK!E1004</f>
        <v>Prenatal &amp; Newborn Classes</v>
      </c>
      <c r="D1004" s="1" t="str">
        <f aca="false">IFERROR(INDEX(MAP!$J$7:$J$101,MATCH(TRIM(C1004),MAP!$I$7:$I$101,0)),"UNMAPPED")</f>
        <v>Childbirth and Newborn Care Classes</v>
      </c>
      <c r="E1004" s="1" t="str">
        <f aca="false">IFERROR(INDEX(MAP!$K$7:$K$101,MATCH(TRIM(C1004),MAP!$I$7:$I$101,0)),"")</f>
        <v>Maternal and child health</v>
      </c>
      <c r="F1004" s="1" t="str">
        <f aca="false">IFERROR(INDEX(MAP!$L$7:$L$101,MATCH(TRIM(C1004),MAP!$I$7:$I$101,0)),"")</f>
        <v>Event</v>
      </c>
      <c r="G1004" s="1" t="n">
        <f aca="false">IFERROR(MATCH(A1004,CONFIRM!$A$5:$A$53,0),0)</f>
        <v>0</v>
      </c>
      <c r="H1004" s="48" t="str">
        <f aca="false">STACK!F1004</f>
        <v>Health Education</v>
      </c>
      <c r="I1004" s="1" t="str">
        <f aca="false">IF(G1004&gt;0,IF(INDEX(CONFIRM!$I$5:$I$53,G1004)&lt;&gt;"",INDEX(CONFIRM!$I$5:$I$53,G1004),H1004),H1004)</f>
        <v>Health Education</v>
      </c>
      <c r="J1004" s="1" t="str">
        <f aca="false">IFERROR(INDEX(MAP!$F$7:$F$74,MATCH(TRIM(I1004),MAP!$E$7:$E$74,0)),"UNMAPPED")</f>
        <v>Community health education</v>
      </c>
      <c r="K1004" s="1" t="str">
        <f aca="false">IFERROR(INDEX(MAP!$G$7:$G$74,MATCH(TRIM(I1004),MAP!$E$7:$E$74,0)),"UNMAPPED")</f>
        <v>7e</v>
      </c>
      <c r="L1004" s="49" t="str">
        <f aca="false">STACK!G1004</f>
        <v>2026-02-21</v>
      </c>
      <c r="M1004" s="59" t="n">
        <f aca="false">IF(G1004&gt;0,IF(INDEX(CONFIRM!$G$5:$G$53,G1004)&lt;&gt;"",INDEX(CONFIRM!$G$5:$G$53,G1004),IF(ISNUMBER(L1004),L1004,IFERROR(DATEVALUE(L1004),""))),IF(ISNUMBER(L1004),L1004,IFERROR(DATEVALUE(L1004),"")))</f>
        <v>46074</v>
      </c>
      <c r="N1004" s="1" t="str">
        <f aca="false">IF(M1004="","Check",IF(AND(M1004&gt;=INPUTS!$C$6,M1004&lt;=INPUTS!$C$7),"Yes","No"))</f>
        <v>Yes</v>
      </c>
      <c r="O1004" s="48" t="str">
        <f aca="false">STACK!H1004</f>
        <v>RN Educator</v>
      </c>
      <c r="P1004" s="1" t="str">
        <f aca="false">IF(G1004&gt;0,IF(INDEX(CONFIRM!$H$5:$H$53,G1004)&lt;&gt;"",INDEX(CONFIRM!$H$5:$H$53,G1004),IFERROR(INDEX(MAP!$B$7:$B$156,MATCH(TRIM(O1004),MAP!$A$7:$A$156,0)),"UNMAPPED")),IFERROR(INDEX(MAP!$B$7:$B$156,MATCH(TRIM(O1004),MAP!$A$7:$A$156,0)),"UNMAPPED"))</f>
        <v>Clinical Nurse Educator</v>
      </c>
      <c r="Q1004" s="48" t="n">
        <f aca="false">STACK!I1004</f>
        <v>3.5</v>
      </c>
      <c r="R1004" s="60" t="n">
        <f aca="false">IF(G1004&gt;0,IF(INDEX(CONFIRM!$F$5:$F$53,G1004)&lt;&gt;"",INDEX(CONFIRM!$F$5:$F$53,G1004),IF(ISNUMBER(Q1004),Q1004,IF(Q1004="","",IFERROR(VALUE(TRIM(SUBSTITUTE(SUBSTITUTE(LOWER(Q1004),"hrs",""),"hr",""))),"")))),IF(ISNUMBER(Q1004),Q1004,IF(Q1004="","",IFERROR(VALUE(TRIM(SUBSTITUTE(SUBSTITUTE(LOWER(Q1004),"hrs",""),"hr",""))),""))))</f>
        <v>3.5</v>
      </c>
      <c r="S1004" s="57" t="n">
        <f aca="false">IFERROR(INDEX(RATES!$E$6:$E$28,MATCH(P1004,RATES!$A$6:$A$28,0)),0)</f>
        <v>62.965</v>
      </c>
      <c r="T1004" s="61" t="n">
        <f aca="false">IF(ISNUMBER(R1004),R1004,0)*S1004</f>
        <v>220.3775</v>
      </c>
      <c r="U1004" s="61" t="n">
        <f aca="false">T1004*INDEX(INPUTS!$H$10:$H$14,MATCH(B1004,INPUTS!$A$10:$A$14,0))</f>
        <v>34.819645</v>
      </c>
      <c r="V1004" s="61" t="n">
        <f aca="false">N(STACK!K1004)</f>
        <v>190</v>
      </c>
      <c r="W1004" s="61" t="n">
        <f aca="false">T1004+U1004+V1004</f>
        <v>445.197145</v>
      </c>
      <c r="X1004" s="61" t="n">
        <f aca="false">N(STACK!L1004)</f>
        <v>0</v>
      </c>
      <c r="Y1004" s="61" t="n">
        <f aca="false">W1004-X1004</f>
        <v>445.197145</v>
      </c>
      <c r="Z1004" s="1" t="n">
        <f aca="false">N(STACK!J1004)</f>
        <v>13</v>
      </c>
      <c r="AA1004" s="1" t="str">
        <f aca="false">TRIM(IF(D1004="UNMAPPED","Program not mapped. ","")&amp;IF(OR(K1004="UNMAPPED",K1004="UNASSIGNED"),"Category needs review. ","")&amp;IF(P1004="UNMAPPED","Title not mapped. ","")&amp;IF(AND(P1004&lt;&gt;"No staff time",R1004=""),"Missing hours. ","")&amp;IF(M1004="","Date not readable. ","")&amp;IF(N1004="No","Outside fiscal year. ","")&amp;IF(AND(F1004="Event",ISNUMBER(R1004)),IF(R1004&gt;12,"Event hours look high. ",""),"")&amp;IF(G1004&gt;0,"See CONFIRM sheet.",""))</f>
        <v/>
      </c>
      <c r="AB1004" s="1" t="n">
        <f aca="false">IF(N1004="No",0,IF(REVIEW!O1004=0,0,IF(G1004&gt;0,IF(INDEX(CONFIRM!$J$5:$J$53,G1004)&lt;&gt;"",INDEX(CONFIRM!$J$5:$J$53,G1004),1),1)))</f>
        <v>1</v>
      </c>
      <c r="AC1004" s="1" t="n">
        <f aca="false">IF(AB1004=1,IF(COUNTIFS($B$5:B1004,B1004,$D$5:D1004,D1004,$AB$5:AB1004,1)=1,1,0),0)</f>
        <v>0</v>
      </c>
    </row>
    <row r="1005" customFormat="false" ht="15" hidden="false" customHeight="false" outlineLevel="0" collapsed="false">
      <c r="A1005" s="48" t="str">
        <f aca="false">STACK!A1005</f>
        <v>CBH-0177</v>
      </c>
      <c r="B1005" s="48" t="str">
        <f aca="false">STACK!B1005</f>
        <v>CBH</v>
      </c>
      <c r="C1005" s="48" t="str">
        <f aca="false">STACK!E1005</f>
        <v>Free Clinic Staffing</v>
      </c>
      <c r="D1005" s="1" t="str">
        <f aca="false">IFERROR(INDEX(MAP!$J$7:$J$101,MATCH(TRIM(C1005),MAP!$I$7:$I$101,0)),"UNMAPPED")</f>
        <v>Free Clinic Provider Staffing</v>
      </c>
      <c r="E1005" s="1" t="str">
        <f aca="false">IFERROR(INDEX(MAP!$K$7:$K$101,MATCH(TRIM(C1005),MAP!$I$7:$I$101,0)),"")</f>
        <v>Access to care</v>
      </c>
      <c r="F1005" s="1" t="str">
        <f aca="false">IFERROR(INDEX(MAP!$L$7:$L$101,MATCH(TRIM(C1005),MAP!$I$7:$I$101,0)),"")</f>
        <v>Monthly</v>
      </c>
      <c r="G1005" s="1" t="n">
        <f aca="false">IFERROR(MATCH(A1005,CONFIRM!$A$5:$A$53,0),0)</f>
        <v>0</v>
      </c>
      <c r="H1005" s="48" t="str">
        <f aca="false">STACK!F1005</f>
        <v>Screenings</v>
      </c>
      <c r="I1005" s="1" t="str">
        <f aca="false">IF(G1005&gt;0,IF(INDEX(CONFIRM!$I$5:$I$53,G1005)&lt;&gt;"",INDEX(CONFIRM!$I$5:$I$53,G1005),H1005),H1005)</f>
        <v>Screenings</v>
      </c>
      <c r="J1005" s="1" t="str">
        <f aca="false">IFERROR(INDEX(MAP!$F$7:$F$74,MATCH(TRIM(I1005),MAP!$E$7:$E$74,0)),"UNMAPPED")</f>
        <v>Community-based clinical services</v>
      </c>
      <c r="K1005" s="1" t="str">
        <f aca="false">IFERROR(INDEX(MAP!$G$7:$G$74,MATCH(TRIM(I1005),MAP!$E$7:$E$74,0)),"UNMAPPED")</f>
        <v>7e</v>
      </c>
      <c r="L1005" s="49" t="str">
        <f aca="false">STACK!G1005</f>
        <v>2026-02-28</v>
      </c>
      <c r="M1005" s="59" t="n">
        <f aca="false">IF(G1005&gt;0,IF(INDEX(CONFIRM!$G$5:$G$53,G1005)&lt;&gt;"",INDEX(CONFIRM!$G$5:$G$53,G1005),IF(ISNUMBER(L1005),L1005,IFERROR(DATEVALUE(L1005),""))),IF(ISNUMBER(L1005),L1005,IFERROR(DATEVALUE(L1005),"")))</f>
        <v>46081</v>
      </c>
      <c r="N1005" s="1" t="str">
        <f aca="false">IF(M1005="","Check",IF(AND(M1005&gt;=INPUTS!$C$6,M1005&lt;=INPUTS!$C$7),"Yes","No"))</f>
        <v>Yes</v>
      </c>
      <c r="O1005" s="48" t="str">
        <f aca="false">STACK!H1005</f>
        <v>FNP</v>
      </c>
      <c r="P1005" s="1" t="str">
        <f aca="false">IF(G1005&gt;0,IF(INDEX(CONFIRM!$H$5:$H$53,G1005)&lt;&gt;"",INDEX(CONFIRM!$H$5:$H$53,G1005),IFERROR(INDEX(MAP!$B$7:$B$156,MATCH(TRIM(O1005),MAP!$A$7:$A$156,0)),"UNMAPPED")),IFERROR(INDEX(MAP!$B$7:$B$156,MATCH(TRIM(O1005),MAP!$A$7:$A$156,0)),"UNMAPPED"))</f>
        <v>Nurse Practitioner</v>
      </c>
      <c r="Q1005" s="48" t="n">
        <f aca="false">STACK!I1005</f>
        <v>38.5</v>
      </c>
      <c r="R1005" s="60" t="n">
        <f aca="false">IF(G1005&gt;0,IF(INDEX(CONFIRM!$F$5:$F$53,G1005)&lt;&gt;"",INDEX(CONFIRM!$F$5:$F$53,G1005),IF(ISNUMBER(Q1005),Q1005,IF(Q1005="","",IFERROR(VALUE(TRIM(SUBSTITUTE(SUBSTITUTE(LOWER(Q1005),"hrs",""),"hr",""))),"")))),IF(ISNUMBER(Q1005),Q1005,IF(Q1005="","",IFERROR(VALUE(TRIM(SUBSTITUTE(SUBSTITUTE(LOWER(Q1005),"hrs",""),"hr",""))),""))))</f>
        <v>38.5</v>
      </c>
      <c r="S1005" s="57" t="n">
        <f aca="false">IFERROR(INDEX(RATES!$E$6:$E$28,MATCH(P1005,RATES!$A$6:$A$28,0)),0)</f>
        <v>79.67</v>
      </c>
      <c r="T1005" s="61" t="n">
        <f aca="false">IF(ISNUMBER(R1005),R1005,0)*S1005</f>
        <v>3067.295</v>
      </c>
      <c r="U1005" s="61" t="n">
        <f aca="false">T1005*INDEX(INPUTS!$H$10:$H$14,MATCH(B1005,INPUTS!$A$10:$A$14,0))</f>
        <v>484.63261</v>
      </c>
      <c r="V1005" s="61" t="n">
        <f aca="false">N(STACK!K1005)</f>
        <v>4930</v>
      </c>
      <c r="W1005" s="61" t="n">
        <f aca="false">T1005+U1005+V1005</f>
        <v>8481.92761</v>
      </c>
      <c r="X1005" s="61" t="n">
        <f aca="false">N(STACK!L1005)</f>
        <v>0</v>
      </c>
      <c r="Y1005" s="61" t="n">
        <f aca="false">W1005-X1005</f>
        <v>8481.92761</v>
      </c>
      <c r="Z1005" s="1" t="n">
        <f aca="false">N(STACK!J1005)</f>
        <v>224</v>
      </c>
      <c r="AA1005" s="1" t="str">
        <f aca="false">TRIM(IF(D1005="UNMAPPED","Program not mapped. ","")&amp;IF(OR(K1005="UNMAPPED",K1005="UNASSIGNED"),"Category needs review. ","")&amp;IF(P1005="UNMAPPED","Title not mapped. ","")&amp;IF(AND(P1005&lt;&gt;"No staff time",R1005=""),"Missing hours. ","")&amp;IF(M1005="","Date not readable. ","")&amp;IF(N1005="No","Outside fiscal year. ","")&amp;IF(AND(F1005="Event",ISNUMBER(R1005)),IF(R1005&gt;12,"Event hours look high. ",""),"")&amp;IF(G1005&gt;0,"See CONFIRM sheet.",""))</f>
        <v/>
      </c>
      <c r="AB1005" s="1" t="n">
        <f aca="false">IF(N1005="No",0,IF(REVIEW!O1005=0,0,IF(G1005&gt;0,IF(INDEX(CONFIRM!$J$5:$J$53,G1005)&lt;&gt;"",INDEX(CONFIRM!$J$5:$J$53,G1005),1),1)))</f>
        <v>1</v>
      </c>
      <c r="AC1005" s="1" t="n">
        <f aca="false">IF(AB1005=1,IF(COUNTIFS($B$5:B1005,B1005,$D$5:D1005,D1005,$AB$5:AB1005,1)=1,1,0),0)</f>
        <v>0</v>
      </c>
    </row>
    <row r="1006" customFormat="false" ht="15" hidden="false" customHeight="false" outlineLevel="0" collapsed="false">
      <c r="A1006" s="48" t="str">
        <f aca="false">STACK!A1006</f>
        <v>CBH-0178</v>
      </c>
      <c r="B1006" s="48" t="str">
        <f aca="false">STACK!B1006</f>
        <v>CBH</v>
      </c>
      <c r="C1006" s="48" t="str">
        <f aca="false">STACK!E1006</f>
        <v>Free Clinic Staffing</v>
      </c>
      <c r="D1006" s="1" t="str">
        <f aca="false">IFERROR(INDEX(MAP!$J$7:$J$101,MATCH(TRIM(C1006),MAP!$I$7:$I$101,0)),"UNMAPPED")</f>
        <v>Free Clinic Provider Staffing</v>
      </c>
      <c r="E1006" s="1" t="str">
        <f aca="false">IFERROR(INDEX(MAP!$K$7:$K$101,MATCH(TRIM(C1006),MAP!$I$7:$I$101,0)),"")</f>
        <v>Access to care</v>
      </c>
      <c r="F1006" s="1" t="str">
        <f aca="false">IFERROR(INDEX(MAP!$L$7:$L$101,MATCH(TRIM(C1006),MAP!$I$7:$I$101,0)),"")</f>
        <v>Monthly</v>
      </c>
      <c r="G1006" s="1" t="n">
        <f aca="false">IFERROR(MATCH(A1006,CONFIRM!$A$5:$A$53,0),0)</f>
        <v>0</v>
      </c>
      <c r="H1006" s="48" t="str">
        <f aca="false">STACK!F1006</f>
        <v>Screenings</v>
      </c>
      <c r="I1006" s="1" t="str">
        <f aca="false">IF(G1006&gt;0,IF(INDEX(CONFIRM!$I$5:$I$53,G1006)&lt;&gt;"",INDEX(CONFIRM!$I$5:$I$53,G1006),H1006),H1006)</f>
        <v>Screenings</v>
      </c>
      <c r="J1006" s="1" t="str">
        <f aca="false">IFERROR(INDEX(MAP!$F$7:$F$74,MATCH(TRIM(I1006),MAP!$E$7:$E$74,0)),"UNMAPPED")</f>
        <v>Community-based clinical services</v>
      </c>
      <c r="K1006" s="1" t="str">
        <f aca="false">IFERROR(INDEX(MAP!$G$7:$G$74,MATCH(TRIM(I1006),MAP!$E$7:$E$74,0)),"UNMAPPED")</f>
        <v>7e</v>
      </c>
      <c r="L1006" s="49" t="str">
        <f aca="false">STACK!G1006</f>
        <v>2026-02-28</v>
      </c>
      <c r="M1006" s="59" t="n">
        <f aca="false">IF(G1006&gt;0,IF(INDEX(CONFIRM!$G$5:$G$53,G1006)&lt;&gt;"",INDEX(CONFIRM!$G$5:$G$53,G1006),IF(ISNUMBER(L1006),L1006,IFERROR(DATEVALUE(L1006),""))),IF(ISNUMBER(L1006),L1006,IFERROR(DATEVALUE(L1006),"")))</f>
        <v>46081</v>
      </c>
      <c r="N1006" s="1" t="str">
        <f aca="false">IF(M1006="","Check",IF(AND(M1006&gt;=INPUTS!$C$6,M1006&lt;=INPUTS!$C$7),"Yes","No"))</f>
        <v>Yes</v>
      </c>
      <c r="O1006" s="48" t="str">
        <f aca="false">STACK!H1006</f>
        <v>RPh</v>
      </c>
      <c r="P1006" s="1" t="str">
        <f aca="false">IF(G1006&gt;0,IF(INDEX(CONFIRM!$H$5:$H$53,G1006)&lt;&gt;"",INDEX(CONFIRM!$H$5:$H$53,G1006),IFERROR(INDEX(MAP!$B$7:$B$156,MATCH(TRIM(O1006),MAP!$A$7:$A$156,0)),"UNMAPPED")),IFERROR(INDEX(MAP!$B$7:$B$156,MATCH(TRIM(O1006),MAP!$A$7:$A$156,0)),"UNMAPPED"))</f>
        <v>Pharmacist</v>
      </c>
      <c r="Q1006" s="48" t="n">
        <f aca="false">STACK!I1006</f>
        <v>10</v>
      </c>
      <c r="R1006" s="60" t="n">
        <f aca="false">IF(G1006&gt;0,IF(INDEX(CONFIRM!$F$5:$F$53,G1006)&lt;&gt;"",INDEX(CONFIRM!$F$5:$F$53,G1006),IF(ISNUMBER(Q1006),Q1006,IF(Q1006="","",IFERROR(VALUE(TRIM(SUBSTITUTE(SUBSTITUTE(LOWER(Q1006),"hrs",""),"hr",""))),"")))),IF(ISNUMBER(Q1006),Q1006,IF(Q1006="","",IFERROR(VALUE(TRIM(SUBSTITUTE(SUBSTITUTE(LOWER(Q1006),"hrs",""),"hr",""))),""))))</f>
        <v>10</v>
      </c>
      <c r="S1006" s="57" t="n">
        <f aca="false">IFERROR(INDEX(RATES!$E$6:$E$28,MATCH(P1006,RATES!$A$6:$A$28,0)),0)</f>
        <v>84.81</v>
      </c>
      <c r="T1006" s="61" t="n">
        <f aca="false">IF(ISNUMBER(R1006),R1006,0)*S1006</f>
        <v>848.1</v>
      </c>
      <c r="U1006" s="61" t="n">
        <f aca="false">T1006*INDEX(INPUTS!$H$10:$H$14,MATCH(B1006,INPUTS!$A$10:$A$14,0))</f>
        <v>133.9998</v>
      </c>
      <c r="V1006" s="61" t="n">
        <f aca="false">N(STACK!K1006)</f>
        <v>0</v>
      </c>
      <c r="W1006" s="61" t="n">
        <f aca="false">T1006+U1006+V1006</f>
        <v>982.0998</v>
      </c>
      <c r="X1006" s="61" t="n">
        <f aca="false">N(STACK!L1006)</f>
        <v>0</v>
      </c>
      <c r="Y1006" s="61" t="n">
        <f aca="false">W1006-X1006</f>
        <v>982.0998</v>
      </c>
      <c r="Z1006" s="1" t="n">
        <f aca="false">N(STACK!J1006)</f>
        <v>0</v>
      </c>
      <c r="AA1006" s="1" t="str">
        <f aca="false">TRIM(IF(D1006="UNMAPPED","Program not mapped. ","")&amp;IF(OR(K1006="UNMAPPED",K1006="UNASSIGNED"),"Category needs review. ","")&amp;IF(P1006="UNMAPPED","Title not mapped. ","")&amp;IF(AND(P1006&lt;&gt;"No staff time",R1006=""),"Missing hours. ","")&amp;IF(M1006="","Date not readable. ","")&amp;IF(N1006="No","Outside fiscal year. ","")&amp;IF(AND(F1006="Event",ISNUMBER(R1006)),IF(R1006&gt;12,"Event hours look high. ",""),"")&amp;IF(G1006&gt;0,"See CONFIRM sheet.",""))</f>
        <v/>
      </c>
      <c r="AB1006" s="1" t="n">
        <f aca="false">IF(N1006="No",0,IF(REVIEW!O1006=0,0,IF(G1006&gt;0,IF(INDEX(CONFIRM!$J$5:$J$53,G1006)&lt;&gt;"",INDEX(CONFIRM!$J$5:$J$53,G1006),1),1)))</f>
        <v>1</v>
      </c>
      <c r="AC1006" s="1" t="n">
        <f aca="false">IF(AB1006=1,IF(COUNTIFS($B$5:B1006,B1006,$D$5:D1006,D1006,$AB$5:AB1006,1)=1,1,0),0)</f>
        <v>0</v>
      </c>
    </row>
    <row r="1007" customFormat="false" ht="15" hidden="false" customHeight="false" outlineLevel="0" collapsed="false">
      <c r="A1007" s="48" t="str">
        <f aca="false">STACK!A1007</f>
        <v>CBH-0179</v>
      </c>
      <c r="B1007" s="48" t="str">
        <f aca="false">STACK!B1007</f>
        <v>CBH</v>
      </c>
      <c r="C1007" s="48" t="str">
        <f aca="false">STACK!E1007</f>
        <v>Free Clinic Staffing</v>
      </c>
      <c r="D1007" s="1" t="str">
        <f aca="false">IFERROR(INDEX(MAP!$J$7:$J$101,MATCH(TRIM(C1007),MAP!$I$7:$I$101,0)),"UNMAPPED")</f>
        <v>Free Clinic Provider Staffing</v>
      </c>
      <c r="E1007" s="1" t="str">
        <f aca="false">IFERROR(INDEX(MAP!$K$7:$K$101,MATCH(TRIM(C1007),MAP!$I$7:$I$101,0)),"")</f>
        <v>Access to care</v>
      </c>
      <c r="F1007" s="1" t="str">
        <f aca="false">IFERROR(INDEX(MAP!$L$7:$L$101,MATCH(TRIM(C1007),MAP!$I$7:$I$101,0)),"")</f>
        <v>Monthly</v>
      </c>
      <c r="G1007" s="1" t="n">
        <f aca="false">IFERROR(MATCH(A1007,CONFIRM!$A$5:$A$53,0),0)</f>
        <v>0</v>
      </c>
      <c r="H1007" s="48" t="str">
        <f aca="false">STACK!F1007</f>
        <v>Screenings</v>
      </c>
      <c r="I1007" s="1" t="str">
        <f aca="false">IF(G1007&gt;0,IF(INDEX(CONFIRM!$I$5:$I$53,G1007)&lt;&gt;"",INDEX(CONFIRM!$I$5:$I$53,G1007),H1007),H1007)</f>
        <v>Screenings</v>
      </c>
      <c r="J1007" s="1" t="str">
        <f aca="false">IFERROR(INDEX(MAP!$F$7:$F$74,MATCH(TRIM(I1007),MAP!$E$7:$E$74,0)),"UNMAPPED")</f>
        <v>Community-based clinical services</v>
      </c>
      <c r="K1007" s="1" t="str">
        <f aca="false">IFERROR(INDEX(MAP!$G$7:$G$74,MATCH(TRIM(I1007),MAP!$E$7:$E$74,0)),"UNMAPPED")</f>
        <v>7e</v>
      </c>
      <c r="L1007" s="49" t="str">
        <f aca="false">STACK!G1007</f>
        <v>2026-02-28</v>
      </c>
      <c r="M1007" s="59" t="n">
        <f aca="false">IF(G1007&gt;0,IF(INDEX(CONFIRM!$G$5:$G$53,G1007)&lt;&gt;"",INDEX(CONFIRM!$G$5:$G$53,G1007),IF(ISNUMBER(L1007),L1007,IFERROR(DATEVALUE(L1007),""))),IF(ISNUMBER(L1007),L1007,IFERROR(DATEVALUE(L1007),"")))</f>
        <v>46081</v>
      </c>
      <c r="N1007" s="1" t="str">
        <f aca="false">IF(M1007="","Check",IF(AND(M1007&gt;=INPUTS!$C$6,M1007&lt;=INPUTS!$C$7),"Yes","No"))</f>
        <v>Yes</v>
      </c>
      <c r="O1007" s="48" t="str">
        <f aca="false">STACK!H1007</f>
        <v>RN - Outreach</v>
      </c>
      <c r="P1007" s="1" t="str">
        <f aca="false">IF(G1007&gt;0,IF(INDEX(CONFIRM!$H$5:$H$53,G1007)&lt;&gt;"",INDEX(CONFIRM!$H$5:$H$53,G1007),IFERROR(INDEX(MAP!$B$7:$B$156,MATCH(TRIM(O1007),MAP!$A$7:$A$156,0)),"UNMAPPED")),IFERROR(INDEX(MAP!$B$7:$B$156,MATCH(TRIM(O1007),MAP!$A$7:$A$156,0)),"UNMAPPED"))</f>
        <v>Registered Nurse</v>
      </c>
      <c r="Q1007" s="48" t="n">
        <f aca="false">STACK!I1007</f>
        <v>28.5</v>
      </c>
      <c r="R1007" s="60" t="n">
        <f aca="false">IF(G1007&gt;0,IF(INDEX(CONFIRM!$F$5:$F$53,G1007)&lt;&gt;"",INDEX(CONFIRM!$F$5:$F$53,G1007),IF(ISNUMBER(Q1007),Q1007,IF(Q1007="","",IFERROR(VALUE(TRIM(SUBSTITUTE(SUBSTITUTE(LOWER(Q1007),"hrs",""),"hr",""))),"")))),IF(ISNUMBER(Q1007),Q1007,IF(Q1007="","",IFERROR(VALUE(TRIM(SUBSTITUTE(SUBSTITUTE(LOWER(Q1007),"hrs",""),"hr",""))),""))))</f>
        <v>28.5</v>
      </c>
      <c r="S1007" s="57" t="n">
        <f aca="false">IFERROR(INDEX(RATES!$E$6:$E$28,MATCH(P1007,RATES!$A$6:$A$28,0)),0)</f>
        <v>55.8975</v>
      </c>
      <c r="T1007" s="61" t="n">
        <f aca="false">IF(ISNUMBER(R1007),R1007,0)*S1007</f>
        <v>1593.07875</v>
      </c>
      <c r="U1007" s="61" t="n">
        <f aca="false">T1007*INDEX(INPUTS!$H$10:$H$14,MATCH(B1007,INPUTS!$A$10:$A$14,0))</f>
        <v>251.7064425</v>
      </c>
      <c r="V1007" s="61" t="n">
        <f aca="false">N(STACK!K1007)</f>
        <v>0</v>
      </c>
      <c r="W1007" s="61" t="n">
        <f aca="false">T1007+U1007+V1007</f>
        <v>1844.7851925</v>
      </c>
      <c r="X1007" s="61" t="n">
        <f aca="false">N(STACK!L1007)</f>
        <v>0</v>
      </c>
      <c r="Y1007" s="61" t="n">
        <f aca="false">W1007-X1007</f>
        <v>1844.7851925</v>
      </c>
      <c r="Z1007" s="1" t="n">
        <f aca="false">N(STACK!J1007)</f>
        <v>0</v>
      </c>
      <c r="AA1007" s="1" t="str">
        <f aca="false">TRIM(IF(D1007="UNMAPPED","Program not mapped. ","")&amp;IF(OR(K1007="UNMAPPED",K1007="UNASSIGNED"),"Category needs review. ","")&amp;IF(P1007="UNMAPPED","Title not mapped. ","")&amp;IF(AND(P1007&lt;&gt;"No staff time",R1007=""),"Missing hours. ","")&amp;IF(M1007="","Date not readable. ","")&amp;IF(N1007="No","Outside fiscal year. ","")&amp;IF(AND(F1007="Event",ISNUMBER(R1007)),IF(R1007&gt;12,"Event hours look high. ",""),"")&amp;IF(G1007&gt;0,"See CONFIRM sheet.",""))</f>
        <v/>
      </c>
      <c r="AB1007" s="1" t="n">
        <f aca="false">IF(N1007="No",0,IF(REVIEW!O1007=0,0,IF(G1007&gt;0,IF(INDEX(CONFIRM!$J$5:$J$53,G1007)&lt;&gt;"",INDEX(CONFIRM!$J$5:$J$53,G1007),1),1)))</f>
        <v>1</v>
      </c>
      <c r="AC1007" s="1" t="n">
        <f aca="false">IF(AB1007=1,IF(COUNTIFS($B$5:B1007,B1007,$D$5:D1007,D1007,$AB$5:AB1007,1)=1,1,0),0)</f>
        <v>0</v>
      </c>
    </row>
    <row r="1008" customFormat="false" ht="15" hidden="false" customHeight="false" outlineLevel="0" collapsed="false">
      <c r="A1008" s="48" t="str">
        <f aca="false">STACK!A1008</f>
        <v>CBH-0180</v>
      </c>
      <c r="B1008" s="48" t="str">
        <f aca="false">STACK!B1008</f>
        <v>CBH</v>
      </c>
      <c r="C1008" s="48" t="str">
        <f aca="false">STACK!E1008</f>
        <v>Med Assistance</v>
      </c>
      <c r="D1008" s="1" t="str">
        <f aca="false">IFERROR(INDEX(MAP!$J$7:$J$101,MATCH(TRIM(C1008),MAP!$I$7:$I$101,0)),"UNMAPPED")</f>
        <v>Medication Assistance Program</v>
      </c>
      <c r="E1008" s="1" t="str">
        <f aca="false">IFERROR(INDEX(MAP!$K$7:$K$101,MATCH(TRIM(C1008),MAP!$I$7:$I$101,0)),"")</f>
        <v>Access to care</v>
      </c>
      <c r="F1008" s="1" t="str">
        <f aca="false">IFERROR(INDEX(MAP!$L$7:$L$101,MATCH(TRIM(C1008),MAP!$I$7:$I$101,0)),"")</f>
        <v>Monthly</v>
      </c>
      <c r="G1008" s="1" t="n">
        <f aca="false">IFERROR(MATCH(A1008,CONFIRM!$A$5:$A$53,0),0)</f>
        <v>0</v>
      </c>
      <c r="H1008" s="48" t="str">
        <f aca="false">STACK!F1008</f>
        <v>Patient Support</v>
      </c>
      <c r="I1008" s="1" t="str">
        <f aca="false">IF(G1008&gt;0,IF(INDEX(CONFIRM!$I$5:$I$53,G1008)&lt;&gt;"",INDEX(CONFIRM!$I$5:$I$53,G1008),H1008),H1008)</f>
        <v>Patient Support</v>
      </c>
      <c r="J1008" s="1" t="str">
        <f aca="false">IFERROR(INDEX(MAP!$F$7:$F$74,MATCH(TRIM(I1008),MAP!$E$7:$E$74,0)),"UNMAPPED")</f>
        <v>Health care support services</v>
      </c>
      <c r="K1008" s="1" t="str">
        <f aca="false">IFERROR(INDEX(MAP!$G$7:$G$74,MATCH(TRIM(I1008),MAP!$E$7:$E$74,0)),"UNMAPPED")</f>
        <v>7e</v>
      </c>
      <c r="L1008" s="49" t="str">
        <f aca="false">STACK!G1008</f>
        <v>2026-02-28</v>
      </c>
      <c r="M1008" s="59" t="n">
        <f aca="false">IF(G1008&gt;0,IF(INDEX(CONFIRM!$G$5:$G$53,G1008)&lt;&gt;"",INDEX(CONFIRM!$G$5:$G$53,G1008),IF(ISNUMBER(L1008),L1008,IFERROR(DATEVALUE(L1008),""))),IF(ISNUMBER(L1008),L1008,IFERROR(DATEVALUE(L1008),"")))</f>
        <v>46081</v>
      </c>
      <c r="N1008" s="1" t="str">
        <f aca="false">IF(M1008="","Check",IF(AND(M1008&gt;=INPUTS!$C$6,M1008&lt;=INPUTS!$C$7),"Yes","No"))</f>
        <v>Yes</v>
      </c>
      <c r="O1008" s="48" t="str">
        <f aca="false">STACK!H1008</f>
        <v>Navigator</v>
      </c>
      <c r="P1008" s="1" t="str">
        <f aca="false">IF(G1008&gt;0,IF(INDEX(CONFIRM!$H$5:$H$53,G1008)&lt;&gt;"",INDEX(CONFIRM!$H$5:$H$53,G1008),IFERROR(INDEX(MAP!$B$7:$B$156,MATCH(TRIM(O1008),MAP!$A$7:$A$156,0)),"UNMAPPED")),IFERROR(INDEX(MAP!$B$7:$B$156,MATCH(TRIM(O1008),MAP!$A$7:$A$156,0)),"UNMAPPED"))</f>
        <v>Patient Navigator</v>
      </c>
      <c r="Q1008" s="48" t="n">
        <f aca="false">STACK!I1008</f>
        <v>80</v>
      </c>
      <c r="R1008" s="60" t="n">
        <f aca="false">IF(G1008&gt;0,IF(INDEX(CONFIRM!$F$5:$F$53,G1008)&lt;&gt;"",INDEX(CONFIRM!$F$5:$F$53,G1008),IF(ISNUMBER(Q1008),Q1008,IF(Q1008="","",IFERROR(VALUE(TRIM(SUBSTITUTE(SUBSTITUTE(LOWER(Q1008),"hrs",""),"hr",""))),"")))),IF(ISNUMBER(Q1008),Q1008,IF(Q1008="","",IFERROR(VALUE(TRIM(SUBSTITUTE(SUBSTITUTE(LOWER(Q1008),"hrs",""),"hr",""))),""))))</f>
        <v>80</v>
      </c>
      <c r="S1008" s="57" t="n">
        <f aca="false">IFERROR(INDEX(RATES!$E$6:$E$28,MATCH(P1008,RATES!$A$6:$A$28,0)),0)</f>
        <v>30.84</v>
      </c>
      <c r="T1008" s="61" t="n">
        <f aca="false">IF(ISNUMBER(R1008),R1008,0)*S1008</f>
        <v>2467.2</v>
      </c>
      <c r="U1008" s="61" t="n">
        <f aca="false">T1008*INDEX(INPUTS!$H$10:$H$14,MATCH(B1008,INPUTS!$A$10:$A$14,0))</f>
        <v>389.8176</v>
      </c>
      <c r="V1008" s="61" t="n">
        <f aca="false">N(STACK!K1008)</f>
        <v>0</v>
      </c>
      <c r="W1008" s="61" t="n">
        <f aca="false">T1008+U1008+V1008</f>
        <v>2857.0176</v>
      </c>
      <c r="X1008" s="61" t="n">
        <f aca="false">N(STACK!L1008)</f>
        <v>0</v>
      </c>
      <c r="Y1008" s="61" t="n">
        <f aca="false">W1008-X1008</f>
        <v>2857.0176</v>
      </c>
      <c r="Z1008" s="1" t="n">
        <f aca="false">N(STACK!J1008)</f>
        <v>0</v>
      </c>
      <c r="AA1008" s="1" t="str">
        <f aca="false">TRIM(IF(D1008="UNMAPPED","Program not mapped. ","")&amp;IF(OR(K1008="UNMAPPED",K1008="UNASSIGNED"),"Category needs review. ","")&amp;IF(P1008="UNMAPPED","Title not mapped. ","")&amp;IF(AND(P1008&lt;&gt;"No staff time",R1008=""),"Missing hours. ","")&amp;IF(M1008="","Date not readable. ","")&amp;IF(N1008="No","Outside fiscal year. ","")&amp;IF(AND(F1008="Event",ISNUMBER(R1008)),IF(R1008&gt;12,"Event hours look high. ",""),"")&amp;IF(G1008&gt;0,"See CONFIRM sheet.",""))</f>
        <v/>
      </c>
      <c r="AB1008" s="1" t="n">
        <f aca="false">IF(N1008="No",0,IF(REVIEW!O1008=0,0,IF(G1008&gt;0,IF(INDEX(CONFIRM!$J$5:$J$53,G1008)&lt;&gt;"",INDEX(CONFIRM!$J$5:$J$53,G1008),1),1)))</f>
        <v>1</v>
      </c>
      <c r="AC1008" s="1" t="n">
        <f aca="false">IF(AB1008=1,IF(COUNTIFS($B$5:B1008,B1008,$D$5:D1008,D1008,$AB$5:AB1008,1)=1,1,0),0)</f>
        <v>0</v>
      </c>
    </row>
    <row r="1009" customFormat="false" ht="15" hidden="false" customHeight="false" outlineLevel="0" collapsed="false">
      <c r="A1009" s="48" t="str">
        <f aca="false">STACK!A1009</f>
        <v>CBH-0181</v>
      </c>
      <c r="B1009" s="48" t="str">
        <f aca="false">STACK!B1009</f>
        <v>CBH</v>
      </c>
      <c r="C1009" s="48" t="str">
        <f aca="false">STACK!E1009</f>
        <v>Med Assistance</v>
      </c>
      <c r="D1009" s="1" t="str">
        <f aca="false">IFERROR(INDEX(MAP!$J$7:$J$101,MATCH(TRIM(C1009),MAP!$I$7:$I$101,0)),"UNMAPPED")</f>
        <v>Medication Assistance Program</v>
      </c>
      <c r="E1009" s="1" t="str">
        <f aca="false">IFERROR(INDEX(MAP!$K$7:$K$101,MATCH(TRIM(C1009),MAP!$I$7:$I$101,0)),"")</f>
        <v>Access to care</v>
      </c>
      <c r="F1009" s="1" t="str">
        <f aca="false">IFERROR(INDEX(MAP!$L$7:$L$101,MATCH(TRIM(C1009),MAP!$I$7:$I$101,0)),"")</f>
        <v>Monthly</v>
      </c>
      <c r="G1009" s="1" t="n">
        <f aca="false">IFERROR(MATCH(A1009,CONFIRM!$A$5:$A$53,0),0)</f>
        <v>0</v>
      </c>
      <c r="H1009" s="48" t="str">
        <f aca="false">STACK!F1009</f>
        <v>Patient Support</v>
      </c>
      <c r="I1009" s="1" t="str">
        <f aca="false">IF(G1009&gt;0,IF(INDEX(CONFIRM!$I$5:$I$53,G1009)&lt;&gt;"",INDEX(CONFIRM!$I$5:$I$53,G1009),H1009),H1009)</f>
        <v>Patient Support</v>
      </c>
      <c r="J1009" s="1" t="str">
        <f aca="false">IFERROR(INDEX(MAP!$F$7:$F$74,MATCH(TRIM(I1009),MAP!$E$7:$E$74,0)),"UNMAPPED")</f>
        <v>Health care support services</v>
      </c>
      <c r="K1009" s="1" t="str">
        <f aca="false">IFERROR(INDEX(MAP!$G$7:$G$74,MATCH(TRIM(I1009),MAP!$E$7:$E$74,0)),"UNMAPPED")</f>
        <v>7e</v>
      </c>
      <c r="L1009" s="49" t="str">
        <f aca="false">STACK!G1009</f>
        <v>2026-02-28</v>
      </c>
      <c r="M1009" s="59" t="n">
        <f aca="false">IF(G1009&gt;0,IF(INDEX(CONFIRM!$G$5:$G$53,G1009)&lt;&gt;"",INDEX(CONFIRM!$G$5:$G$53,G1009),IF(ISNUMBER(L1009),L1009,IFERROR(DATEVALUE(L1009),""))),IF(ISNUMBER(L1009),L1009,IFERROR(DATEVALUE(L1009),"")))</f>
        <v>46081</v>
      </c>
      <c r="N1009" s="1" t="str">
        <f aca="false">IF(M1009="","Check",IF(AND(M1009&gt;=INPUTS!$C$6,M1009&lt;=INPUTS!$C$7),"Yes","No"))</f>
        <v>Yes</v>
      </c>
      <c r="O1009" s="48" t="str">
        <f aca="false">STACK!H1009</f>
        <v>RPH</v>
      </c>
      <c r="P1009" s="1" t="str">
        <f aca="false">IF(G1009&gt;0,IF(INDEX(CONFIRM!$H$5:$H$53,G1009)&lt;&gt;"",INDEX(CONFIRM!$H$5:$H$53,G1009),IFERROR(INDEX(MAP!$B$7:$B$156,MATCH(TRIM(O1009),MAP!$A$7:$A$156,0)),"UNMAPPED")),IFERROR(INDEX(MAP!$B$7:$B$156,MATCH(TRIM(O1009),MAP!$A$7:$A$156,0)),"UNMAPPED"))</f>
        <v>Pharmacist</v>
      </c>
      <c r="Q1009" s="48" t="n">
        <f aca="false">STACK!I1009</f>
        <v>23.75</v>
      </c>
      <c r="R1009" s="60" t="n">
        <f aca="false">IF(G1009&gt;0,IF(INDEX(CONFIRM!$F$5:$F$53,G1009)&lt;&gt;"",INDEX(CONFIRM!$F$5:$F$53,G1009),IF(ISNUMBER(Q1009),Q1009,IF(Q1009="","",IFERROR(VALUE(TRIM(SUBSTITUTE(SUBSTITUTE(LOWER(Q1009),"hrs",""),"hr",""))),"")))),IF(ISNUMBER(Q1009),Q1009,IF(Q1009="","",IFERROR(VALUE(TRIM(SUBSTITUTE(SUBSTITUTE(LOWER(Q1009),"hrs",""),"hr",""))),""))))</f>
        <v>23.75</v>
      </c>
      <c r="S1009" s="57" t="n">
        <f aca="false">IFERROR(INDEX(RATES!$E$6:$E$28,MATCH(P1009,RATES!$A$6:$A$28,0)),0)</f>
        <v>84.81</v>
      </c>
      <c r="T1009" s="61" t="n">
        <f aca="false">IF(ISNUMBER(R1009),R1009,0)*S1009</f>
        <v>2014.2375</v>
      </c>
      <c r="U1009" s="61" t="n">
        <f aca="false">T1009*INDEX(INPUTS!$H$10:$H$14,MATCH(B1009,INPUTS!$A$10:$A$14,0))</f>
        <v>318.249525</v>
      </c>
      <c r="V1009" s="61" t="n">
        <f aca="false">N(STACK!K1009)</f>
        <v>16955</v>
      </c>
      <c r="W1009" s="61" t="n">
        <f aca="false">T1009+U1009+V1009</f>
        <v>19287.487025</v>
      </c>
      <c r="X1009" s="61" t="n">
        <f aca="false">N(STACK!L1009)</f>
        <v>0</v>
      </c>
      <c r="Y1009" s="61" t="n">
        <f aca="false">W1009-X1009</f>
        <v>19287.487025</v>
      </c>
      <c r="Z1009" s="1" t="n">
        <f aca="false">N(STACK!J1009)</f>
        <v>93</v>
      </c>
      <c r="AA1009" s="1" t="str">
        <f aca="false">TRIM(IF(D1009="UNMAPPED","Program not mapped. ","")&amp;IF(OR(K1009="UNMAPPED",K1009="UNASSIGNED"),"Category needs review. ","")&amp;IF(P1009="UNMAPPED","Title not mapped. ","")&amp;IF(AND(P1009&lt;&gt;"No staff time",R1009=""),"Missing hours. ","")&amp;IF(M1009="","Date not readable. ","")&amp;IF(N1009="No","Outside fiscal year. ","")&amp;IF(AND(F1009="Event",ISNUMBER(R1009)),IF(R1009&gt;12,"Event hours look high. ",""),"")&amp;IF(G1009&gt;0,"See CONFIRM sheet.",""))</f>
        <v/>
      </c>
      <c r="AB1009" s="1" t="n">
        <f aca="false">IF(N1009="No",0,IF(REVIEW!O1009=0,0,IF(G1009&gt;0,IF(INDEX(CONFIRM!$J$5:$J$53,G1009)&lt;&gt;"",INDEX(CONFIRM!$J$5:$J$53,G1009),1),1)))</f>
        <v>1</v>
      </c>
      <c r="AC1009" s="1" t="n">
        <f aca="false">IF(AB1009=1,IF(COUNTIFS($B$5:B1009,B1009,$D$5:D1009,D1009,$AB$5:AB1009,1)=1,1,0),0)</f>
        <v>0</v>
      </c>
    </row>
    <row r="1010" customFormat="false" ht="15" hidden="false" customHeight="false" outlineLevel="0" collapsed="false">
      <c r="A1010" s="48" t="str">
        <f aca="false">STACK!A1010</f>
        <v>CBH-0182</v>
      </c>
      <c r="B1010" s="48" t="str">
        <f aca="false">STACK!B1010</f>
        <v>CBH</v>
      </c>
      <c r="C1010" s="48" t="str">
        <f aca="false">STACK!E1010</f>
        <v>Community Benefit Admin</v>
      </c>
      <c r="D1010" s="1" t="str">
        <f aca="false">IFERROR(INDEX(MAP!$J$7:$J$101,MATCH(TRIM(C1010),MAP!$I$7:$I$101,0)),"UNMAPPED")</f>
        <v>Community Benefit Program Administration</v>
      </c>
      <c r="E1010" s="1" t="str">
        <f aca="false">IFERROR(INDEX(MAP!$K$7:$K$101,MATCH(TRIM(C1010),MAP!$I$7:$I$101,0)),"")</f>
        <v>Community benefit infrastructure</v>
      </c>
      <c r="F1010" s="1" t="str">
        <f aca="false">IFERROR(INDEX(MAP!$L$7:$L$101,MATCH(TRIM(C1010),MAP!$I$7:$I$101,0)),"")</f>
        <v>Monthly</v>
      </c>
      <c r="G1010" s="1" t="n">
        <f aca="false">IFERROR(MATCH(A1010,CONFIRM!$A$5:$A$53,0),0)</f>
        <v>0</v>
      </c>
      <c r="H1010" s="48" t="str">
        <f aca="false">STACK!F1010</f>
        <v>Ops</v>
      </c>
      <c r="I1010" s="1" t="str">
        <f aca="false">IF(G1010&gt;0,IF(INDEX(CONFIRM!$I$5:$I$53,G1010)&lt;&gt;"",INDEX(CONFIRM!$I$5:$I$53,G1010),H1010),H1010)</f>
        <v>Ops</v>
      </c>
      <c r="J1010" s="1" t="str">
        <f aca="false">IFERROR(INDEX(MAP!$F$7:$F$74,MATCH(TRIM(I1010),MAP!$E$7:$E$74,0)),"UNMAPPED")</f>
        <v>Community benefit operations</v>
      </c>
      <c r="K1010" s="1" t="str">
        <f aca="false">IFERROR(INDEX(MAP!$G$7:$G$74,MATCH(TRIM(I1010),MAP!$E$7:$E$74,0)),"UNMAPPED")</f>
        <v>7e</v>
      </c>
      <c r="L1010" s="49" t="str">
        <f aca="false">STACK!G1010</f>
        <v>2026-02-28</v>
      </c>
      <c r="M1010" s="59" t="n">
        <f aca="false">IF(G1010&gt;0,IF(INDEX(CONFIRM!$G$5:$G$53,G1010)&lt;&gt;"",INDEX(CONFIRM!$G$5:$G$53,G1010),IF(ISNUMBER(L1010),L1010,IFERROR(DATEVALUE(L1010),""))),IF(ISNUMBER(L1010),L1010,IFERROR(DATEVALUE(L1010),"")))</f>
        <v>46081</v>
      </c>
      <c r="N1010" s="1" t="str">
        <f aca="false">IF(M1010="","Check",IF(AND(M1010&gt;=INPUTS!$C$6,M1010&lt;=INPUTS!$C$7),"Yes","No"))</f>
        <v>Yes</v>
      </c>
      <c r="O1010" s="48" t="str">
        <f aca="false">STACK!H1010</f>
        <v> Admin. Assistant</v>
      </c>
      <c r="P1010" s="1" t="str">
        <f aca="false">IF(G1010&gt;0,IF(INDEX(CONFIRM!$H$5:$H$53,G1010)&lt;&gt;"",INDEX(CONFIRM!$H$5:$H$53,G1010),IFERROR(INDEX(MAP!$B$7:$B$156,MATCH(TRIM(O1010),MAP!$A$7:$A$156,0)),"UNMAPPED")),IFERROR(INDEX(MAP!$B$7:$B$156,MATCH(TRIM(O1010),MAP!$A$7:$A$156,0)),"UNMAPPED"))</f>
        <v>Administrative Assistant</v>
      </c>
      <c r="Q1010" s="48" t="n">
        <f aca="false">STACK!I1010</f>
        <v>47.5</v>
      </c>
      <c r="R1010" s="60" t="n">
        <f aca="false">IF(G1010&gt;0,IF(INDEX(CONFIRM!$F$5:$F$53,G1010)&lt;&gt;"",INDEX(CONFIRM!$F$5:$F$53,G1010),IF(ISNUMBER(Q1010),Q1010,IF(Q1010="","",IFERROR(VALUE(TRIM(SUBSTITUTE(SUBSTITUTE(LOWER(Q1010),"hrs",""),"hr",""))),"")))),IF(ISNUMBER(Q1010),Q1010,IF(Q1010="","",IFERROR(VALUE(TRIM(SUBSTITUTE(SUBSTITUTE(LOWER(Q1010),"hrs",""),"hr",""))),""))))</f>
        <v>47.5</v>
      </c>
      <c r="S1010" s="57" t="n">
        <f aca="false">IFERROR(INDEX(RATES!$E$6:$E$28,MATCH(P1010,RATES!$A$6:$A$28,0)),0)</f>
        <v>26.985</v>
      </c>
      <c r="T1010" s="61" t="n">
        <f aca="false">IF(ISNUMBER(R1010),R1010,0)*S1010</f>
        <v>1281.7875</v>
      </c>
      <c r="U1010" s="61" t="n">
        <f aca="false">T1010*INDEX(INPUTS!$H$10:$H$14,MATCH(B1010,INPUTS!$A$10:$A$14,0))</f>
        <v>202.522425</v>
      </c>
      <c r="V1010" s="61" t="n">
        <f aca="false">N(STACK!K1010)</f>
        <v>0</v>
      </c>
      <c r="W1010" s="61" t="n">
        <f aca="false">T1010+U1010+V1010</f>
        <v>1484.309925</v>
      </c>
      <c r="X1010" s="61" t="n">
        <f aca="false">N(STACK!L1010)</f>
        <v>0</v>
      </c>
      <c r="Y1010" s="61" t="n">
        <f aca="false">W1010-X1010</f>
        <v>1484.309925</v>
      </c>
      <c r="Z1010" s="1" t="n">
        <f aca="false">N(STACK!J1010)</f>
        <v>0</v>
      </c>
      <c r="AA1010" s="1" t="str">
        <f aca="false">TRIM(IF(D1010="UNMAPPED","Program not mapped. ","")&amp;IF(OR(K1010="UNMAPPED",K1010="UNASSIGNED"),"Category needs review. ","")&amp;IF(P1010="UNMAPPED","Title not mapped. ","")&amp;IF(AND(P1010&lt;&gt;"No staff time",R1010=""),"Missing hours. ","")&amp;IF(M1010="","Date not readable. ","")&amp;IF(N1010="No","Outside fiscal year. ","")&amp;IF(AND(F1010="Event",ISNUMBER(R1010)),IF(R1010&gt;12,"Event hours look high. ",""),"")&amp;IF(G1010&gt;0,"See CONFIRM sheet.",""))</f>
        <v/>
      </c>
      <c r="AB1010" s="1" t="n">
        <f aca="false">IF(N1010="No",0,IF(REVIEW!O1010=0,0,IF(G1010&gt;0,IF(INDEX(CONFIRM!$J$5:$J$53,G1010)&lt;&gt;"",INDEX(CONFIRM!$J$5:$J$53,G1010),1),1)))</f>
        <v>1</v>
      </c>
      <c r="AC1010" s="1" t="n">
        <f aca="false">IF(AB1010=1,IF(COUNTIFS($B$5:B1010,B1010,$D$5:D1010,D1010,$AB$5:AB1010,1)=1,1,0),0)</f>
        <v>0</v>
      </c>
    </row>
    <row r="1011" customFormat="false" ht="15" hidden="false" customHeight="false" outlineLevel="0" collapsed="false">
      <c r="A1011" s="48" t="str">
        <f aca="false">STACK!A1011</f>
        <v>CBH-0183</v>
      </c>
      <c r="B1011" s="48" t="str">
        <f aca="false">STACK!B1011</f>
        <v>CBH</v>
      </c>
      <c r="C1011" s="48" t="str">
        <f aca="false">STACK!E1011</f>
        <v>Community Benefit Admin</v>
      </c>
      <c r="D1011" s="1" t="str">
        <f aca="false">IFERROR(INDEX(MAP!$J$7:$J$101,MATCH(TRIM(C1011),MAP!$I$7:$I$101,0)),"UNMAPPED")</f>
        <v>Community Benefit Program Administration</v>
      </c>
      <c r="E1011" s="1" t="str">
        <f aca="false">IFERROR(INDEX(MAP!$K$7:$K$101,MATCH(TRIM(C1011),MAP!$I$7:$I$101,0)),"")</f>
        <v>Community benefit infrastructure</v>
      </c>
      <c r="F1011" s="1" t="str">
        <f aca="false">IFERROR(INDEX(MAP!$L$7:$L$101,MATCH(TRIM(C1011),MAP!$I$7:$I$101,0)),"")</f>
        <v>Monthly</v>
      </c>
      <c r="G1011" s="1" t="n">
        <f aca="false">IFERROR(MATCH(A1011,CONFIRM!$A$5:$A$53,0),0)</f>
        <v>0</v>
      </c>
      <c r="H1011" s="48" t="str">
        <f aca="false">STACK!F1011</f>
        <v>Ops</v>
      </c>
      <c r="I1011" s="1" t="str">
        <f aca="false">IF(G1011&gt;0,IF(INDEX(CONFIRM!$I$5:$I$53,G1011)&lt;&gt;"",INDEX(CONFIRM!$I$5:$I$53,G1011),H1011),H1011)</f>
        <v>Ops</v>
      </c>
      <c r="J1011" s="1" t="str">
        <f aca="false">IFERROR(INDEX(MAP!$F$7:$F$74,MATCH(TRIM(I1011),MAP!$E$7:$E$74,0)),"UNMAPPED")</f>
        <v>Community benefit operations</v>
      </c>
      <c r="K1011" s="1" t="str">
        <f aca="false">IFERROR(INDEX(MAP!$G$7:$G$74,MATCH(TRIM(I1011),MAP!$E$7:$E$74,0)),"UNMAPPED")</f>
        <v>7e</v>
      </c>
      <c r="L1011" s="49" t="str">
        <f aca="false">STACK!G1011</f>
        <v>2026-02-28</v>
      </c>
      <c r="M1011" s="59" t="n">
        <f aca="false">IF(G1011&gt;0,IF(INDEX(CONFIRM!$G$5:$G$53,G1011)&lt;&gt;"",INDEX(CONFIRM!$G$5:$G$53,G1011),IF(ISNUMBER(L1011),L1011,IFERROR(DATEVALUE(L1011),""))),IF(ISNUMBER(L1011),L1011,IFERROR(DATEVALUE(L1011),"")))</f>
        <v>46081</v>
      </c>
      <c r="N1011" s="1" t="str">
        <f aca="false">IF(M1011="","Check",IF(AND(M1011&gt;=INPUTS!$C$6,M1011&lt;=INPUTS!$C$7),"Yes","No"))</f>
        <v>Yes</v>
      </c>
      <c r="O1011" s="48" t="str">
        <f aca="false">STACK!H1011</f>
        <v>Manager Community Benefit</v>
      </c>
      <c r="P1011" s="1" t="str">
        <f aca="false">IF(G1011&gt;0,IF(INDEX(CONFIRM!$H$5:$H$53,G1011)&lt;&gt;"",INDEX(CONFIRM!$H$5:$H$53,G1011),IFERROR(INDEX(MAP!$B$7:$B$156,MATCH(TRIM(O1011),MAP!$A$7:$A$156,0)),"UNMAPPED")),IFERROR(INDEX(MAP!$B$7:$B$156,MATCH(TRIM(O1011),MAP!$A$7:$A$156,0)),"UNMAPPED"))</f>
        <v>Community Benefit Manager</v>
      </c>
      <c r="Q1011" s="48" t="n">
        <f aca="false">STACK!I1011</f>
        <v>53</v>
      </c>
      <c r="R1011" s="60" t="n">
        <f aca="false">IF(G1011&gt;0,IF(INDEX(CONFIRM!$F$5:$F$53,G1011)&lt;&gt;"",INDEX(CONFIRM!$F$5:$F$53,G1011),IF(ISNUMBER(Q1011),Q1011,IF(Q1011="","",IFERROR(VALUE(TRIM(SUBSTITUTE(SUBSTITUTE(LOWER(Q1011),"hrs",""),"hr",""))),"")))),IF(ISNUMBER(Q1011),Q1011,IF(Q1011="","",IFERROR(VALUE(TRIM(SUBSTITUTE(SUBSTITUTE(LOWER(Q1011),"hrs",""),"hr",""))),""))))</f>
        <v>53</v>
      </c>
      <c r="S1011" s="57" t="n">
        <f aca="false">IFERROR(INDEX(RATES!$E$6:$E$28,MATCH(P1011,RATES!$A$6:$A$28,0)),0)</f>
        <v>59.11</v>
      </c>
      <c r="T1011" s="61" t="n">
        <f aca="false">IF(ISNUMBER(R1011),R1011,0)*S1011</f>
        <v>3132.83</v>
      </c>
      <c r="U1011" s="61" t="n">
        <f aca="false">T1011*INDEX(INPUTS!$H$10:$H$14,MATCH(B1011,INPUTS!$A$10:$A$14,0))</f>
        <v>494.98714</v>
      </c>
      <c r="V1011" s="61" t="n">
        <f aca="false">N(STACK!K1011)</f>
        <v>405</v>
      </c>
      <c r="W1011" s="61" t="n">
        <f aca="false">T1011+U1011+V1011</f>
        <v>4032.81714</v>
      </c>
      <c r="X1011" s="61" t="n">
        <f aca="false">N(STACK!L1011)</f>
        <v>0</v>
      </c>
      <c r="Y1011" s="61" t="n">
        <f aca="false">W1011-X1011</f>
        <v>4032.81714</v>
      </c>
      <c r="Z1011" s="1" t="n">
        <f aca="false">N(STACK!J1011)</f>
        <v>0</v>
      </c>
      <c r="AA1011" s="1" t="str">
        <f aca="false">TRIM(IF(D1011="UNMAPPED","Program not mapped. ","")&amp;IF(OR(K1011="UNMAPPED",K1011="UNASSIGNED"),"Category needs review. ","")&amp;IF(P1011="UNMAPPED","Title not mapped. ","")&amp;IF(AND(P1011&lt;&gt;"No staff time",R1011=""),"Missing hours. ","")&amp;IF(M1011="","Date not readable. ","")&amp;IF(N1011="No","Outside fiscal year. ","")&amp;IF(AND(F1011="Event",ISNUMBER(R1011)),IF(R1011&gt;12,"Event hours look high. ",""),"")&amp;IF(G1011&gt;0,"See CONFIRM sheet.",""))</f>
        <v/>
      </c>
      <c r="AB1011" s="1" t="n">
        <f aca="false">IF(N1011="No",0,IF(REVIEW!O1011=0,0,IF(G1011&gt;0,IF(INDEX(CONFIRM!$J$5:$J$53,G1011)&lt;&gt;"",INDEX(CONFIRM!$J$5:$J$53,G1011),1),1)))</f>
        <v>1</v>
      </c>
      <c r="AC1011" s="1" t="n">
        <f aca="false">IF(AB1011=1,IF(COUNTIFS($B$5:B1011,B1011,$D$5:D1011,D1011,$AB$5:AB1011,1)=1,1,0),0)</f>
        <v>0</v>
      </c>
    </row>
    <row r="1012" customFormat="false" ht="15" hidden="false" customHeight="false" outlineLevel="0" collapsed="false">
      <c r="A1012" s="48" t="str">
        <f aca="false">STACK!A1012</f>
        <v>CBH-0184</v>
      </c>
      <c r="B1012" s="48" t="str">
        <f aca="false">STACK!B1012</f>
        <v>CBH</v>
      </c>
      <c r="C1012" s="48" t="str">
        <f aca="false">STACK!E1012</f>
        <v>Interpreter Services</v>
      </c>
      <c r="D1012" s="1" t="str">
        <f aca="false">IFERROR(INDEX(MAP!$J$7:$J$101,MATCH(TRIM(C1012),MAP!$I$7:$I$101,0)),"UNMAPPED")</f>
        <v>Interpreter Services for Community Clinics</v>
      </c>
      <c r="E1012" s="1" t="str">
        <f aca="false">IFERROR(INDEX(MAP!$K$7:$K$101,MATCH(TRIM(C1012),MAP!$I$7:$I$101,0)),"")</f>
        <v>Access to care</v>
      </c>
      <c r="F1012" s="1" t="str">
        <f aca="false">IFERROR(INDEX(MAP!$L$7:$L$101,MATCH(TRIM(C1012),MAP!$I$7:$I$101,0)),"")</f>
        <v>Monthly</v>
      </c>
      <c r="G1012" s="1" t="n">
        <f aca="false">IFERROR(MATCH(A1012,CONFIRM!$A$5:$A$53,0),0)</f>
        <v>0</v>
      </c>
      <c r="H1012" s="48" t="str">
        <f aca="false">STACK!F1012</f>
        <v>Patient Support</v>
      </c>
      <c r="I1012" s="1" t="str">
        <f aca="false">IF(G1012&gt;0,IF(INDEX(CONFIRM!$I$5:$I$53,G1012)&lt;&gt;"",INDEX(CONFIRM!$I$5:$I$53,G1012),H1012),H1012)</f>
        <v>Patient Support</v>
      </c>
      <c r="J1012" s="1" t="str">
        <f aca="false">IFERROR(INDEX(MAP!$F$7:$F$74,MATCH(TRIM(I1012),MAP!$E$7:$E$74,0)),"UNMAPPED")</f>
        <v>Health care support services</v>
      </c>
      <c r="K1012" s="1" t="str">
        <f aca="false">IFERROR(INDEX(MAP!$G$7:$G$74,MATCH(TRIM(I1012),MAP!$E$7:$E$74,0)),"UNMAPPED")</f>
        <v>7e</v>
      </c>
      <c r="L1012" s="49" t="str">
        <f aca="false">STACK!G1012</f>
        <v>2026-02-28</v>
      </c>
      <c r="M1012" s="59" t="n">
        <f aca="false">IF(G1012&gt;0,IF(INDEX(CONFIRM!$G$5:$G$53,G1012)&lt;&gt;"",INDEX(CONFIRM!$G$5:$G$53,G1012),IF(ISNUMBER(L1012),L1012,IFERROR(DATEVALUE(L1012),""))),IF(ISNUMBER(L1012),L1012,IFERROR(DATEVALUE(L1012),"")))</f>
        <v>46081</v>
      </c>
      <c r="N1012" s="1" t="str">
        <f aca="false">IF(M1012="","Check",IF(AND(M1012&gt;=INPUTS!$C$6,M1012&lt;=INPUTS!$C$7),"Yes","No"))</f>
        <v>Yes</v>
      </c>
      <c r="O1012" s="48" t="str">
        <f aca="false">STACK!H1012</f>
        <v>Interpreter</v>
      </c>
      <c r="P1012" s="1" t="str">
        <f aca="false">IF(G1012&gt;0,IF(INDEX(CONFIRM!$H$5:$H$53,G1012)&lt;&gt;"",INDEX(CONFIRM!$H$5:$H$53,G1012),IFERROR(INDEX(MAP!$B$7:$B$156,MATCH(TRIM(O1012),MAP!$A$7:$A$156,0)),"UNMAPPED")),IFERROR(INDEX(MAP!$B$7:$B$156,MATCH(TRIM(O1012),MAP!$A$7:$A$156,0)),"UNMAPPED"))</f>
        <v>Interpreter</v>
      </c>
      <c r="Q1012" s="48" t="n">
        <f aca="false">STACK!I1012</f>
        <v>60.25</v>
      </c>
      <c r="R1012" s="60" t="n">
        <f aca="false">IF(G1012&gt;0,IF(INDEX(CONFIRM!$F$5:$F$53,G1012)&lt;&gt;"",INDEX(CONFIRM!$F$5:$F$53,G1012),IF(ISNUMBER(Q1012),Q1012,IF(Q1012="","",IFERROR(VALUE(TRIM(SUBSTITUTE(SUBSTITUTE(LOWER(Q1012),"hrs",""),"hr",""))),"")))),IF(ISNUMBER(Q1012),Q1012,IF(Q1012="","",IFERROR(VALUE(TRIM(SUBSTITUTE(SUBSTITUTE(LOWER(Q1012),"hrs",""),"hr",""))),""))))</f>
        <v>60.25</v>
      </c>
      <c r="S1012" s="57" t="n">
        <f aca="false">IFERROR(INDEX(RATES!$E$6:$E$28,MATCH(P1012,RATES!$A$6:$A$28,0)),0)</f>
        <v>32.7675</v>
      </c>
      <c r="T1012" s="61" t="n">
        <f aca="false">IF(ISNUMBER(R1012),R1012,0)*S1012</f>
        <v>1974.241875</v>
      </c>
      <c r="U1012" s="61" t="n">
        <f aca="false">T1012*INDEX(INPUTS!$H$10:$H$14,MATCH(B1012,INPUTS!$A$10:$A$14,0))</f>
        <v>311.93021625</v>
      </c>
      <c r="V1012" s="61" t="n">
        <f aca="false">N(STACK!K1012)</f>
        <v>0</v>
      </c>
      <c r="W1012" s="61" t="n">
        <f aca="false">T1012+U1012+V1012</f>
        <v>2286.17209125</v>
      </c>
      <c r="X1012" s="61" t="n">
        <f aca="false">N(STACK!L1012)</f>
        <v>0</v>
      </c>
      <c r="Y1012" s="61" t="n">
        <f aca="false">W1012-X1012</f>
        <v>2286.17209125</v>
      </c>
      <c r="Z1012" s="1" t="n">
        <f aca="false">N(STACK!J1012)</f>
        <v>91</v>
      </c>
      <c r="AA1012" s="1" t="str">
        <f aca="false">TRIM(IF(D1012="UNMAPPED","Program not mapped. ","")&amp;IF(OR(K1012="UNMAPPED",K1012="UNASSIGNED"),"Category needs review. ","")&amp;IF(P1012="UNMAPPED","Title not mapped. ","")&amp;IF(AND(P1012&lt;&gt;"No staff time",R1012=""),"Missing hours. ","")&amp;IF(M1012="","Date not readable. ","")&amp;IF(N1012="No","Outside fiscal year. ","")&amp;IF(AND(F1012="Event",ISNUMBER(R1012)),IF(R1012&gt;12,"Event hours look high. ",""),"")&amp;IF(G1012&gt;0,"See CONFIRM sheet.",""))</f>
        <v/>
      </c>
      <c r="AB1012" s="1" t="n">
        <f aca="false">IF(N1012="No",0,IF(REVIEW!O1012=0,0,IF(G1012&gt;0,IF(INDEX(CONFIRM!$J$5:$J$53,G1012)&lt;&gt;"",INDEX(CONFIRM!$J$5:$J$53,G1012),1),1)))</f>
        <v>1</v>
      </c>
      <c r="AC1012" s="1" t="n">
        <f aca="false">IF(AB1012=1,IF(COUNTIFS($B$5:B1012,B1012,$D$5:D1012,D1012,$AB$5:AB1012,1)=1,1,0),0)</f>
        <v>0</v>
      </c>
    </row>
    <row r="1013" customFormat="false" ht="15" hidden="false" customHeight="false" outlineLevel="0" collapsed="false">
      <c r="A1013" s="48" t="str">
        <f aca="false">STACK!A1013</f>
        <v>CBH-0185</v>
      </c>
      <c r="B1013" s="48" t="str">
        <f aca="false">STACK!B1013</f>
        <v>CBH</v>
      </c>
      <c r="C1013" s="48" t="str">
        <f aca="false">STACK!E1013</f>
        <v>Nursing Student Rotations</v>
      </c>
      <c r="D1013" s="1" t="str">
        <f aca="false">IFERROR(INDEX(MAP!$J$7:$J$101,MATCH(TRIM(C1013),MAP!$I$7:$I$101,0)),"UNMAPPED")</f>
        <v>Nursing Student Clinical Rotations</v>
      </c>
      <c r="E1013" s="1" t="str">
        <f aca="false">IFERROR(INDEX(MAP!$K$7:$K$101,MATCH(TRIM(C1013),MAP!$I$7:$I$101,0)),"")</f>
        <v>Health workforce</v>
      </c>
      <c r="F1013" s="1" t="str">
        <f aca="false">IFERROR(INDEX(MAP!$L$7:$L$101,MATCH(TRIM(C1013),MAP!$I$7:$I$101,0)),"")</f>
        <v>Monthly</v>
      </c>
      <c r="G1013" s="1" t="n">
        <f aca="false">IFERROR(MATCH(A1013,CONFIRM!$A$5:$A$53,0),0)</f>
        <v>0</v>
      </c>
      <c r="H1013" s="48" t="str">
        <f aca="false">STACK!F1013</f>
        <v>Education - Health Professions</v>
      </c>
      <c r="I1013" s="1" t="str">
        <f aca="false">IF(G1013&gt;0,IF(INDEX(CONFIRM!$I$5:$I$53,G1013)&lt;&gt;"",INDEX(CONFIRM!$I$5:$I$53,G1013),H1013),H1013)</f>
        <v>Education - Health Professions</v>
      </c>
      <c r="J1013" s="1" t="str">
        <f aca="false">IFERROR(INDEX(MAP!$F$7:$F$74,MATCH(TRIM(I1013),MAP!$E$7:$E$74,0)),"UNMAPPED")</f>
        <v>Health professions education</v>
      </c>
      <c r="K1013" s="1" t="str">
        <f aca="false">IFERROR(INDEX(MAP!$G$7:$G$74,MATCH(TRIM(I1013),MAP!$E$7:$E$74,0)),"UNMAPPED")</f>
        <v>7f</v>
      </c>
      <c r="L1013" s="49" t="str">
        <f aca="false">STACK!G1013</f>
        <v>2026-02-28</v>
      </c>
      <c r="M1013" s="59" t="n">
        <f aca="false">IF(G1013&gt;0,IF(INDEX(CONFIRM!$G$5:$G$53,G1013)&lt;&gt;"",INDEX(CONFIRM!$G$5:$G$53,G1013),IF(ISNUMBER(L1013),L1013,IFERROR(DATEVALUE(L1013),""))),IF(ISNUMBER(L1013),L1013,IFERROR(DATEVALUE(L1013),"")))</f>
        <v>46081</v>
      </c>
      <c r="N1013" s="1" t="str">
        <f aca="false">IF(M1013="","Check",IF(AND(M1013&gt;=INPUTS!$C$6,M1013&lt;=INPUTS!$C$7),"Yes","No"))</f>
        <v>Yes</v>
      </c>
      <c r="O1013" s="48" t="str">
        <f aca="false">STACK!H1013</f>
        <v>Preceptor RN</v>
      </c>
      <c r="P1013" s="1" t="str">
        <f aca="false">IF(G1013&gt;0,IF(INDEX(CONFIRM!$H$5:$H$53,G1013)&lt;&gt;"",INDEX(CONFIRM!$H$5:$H$53,G1013),IFERROR(INDEX(MAP!$B$7:$B$156,MATCH(TRIM(O1013),MAP!$A$7:$A$156,0)),"UNMAPPED")),IFERROR(INDEX(MAP!$B$7:$B$156,MATCH(TRIM(O1013),MAP!$A$7:$A$156,0)),"UNMAPPED"))</f>
        <v>Clinical Nurse Educator</v>
      </c>
      <c r="Q1013" s="48" t="n">
        <f aca="false">STACK!I1013</f>
        <v>134.75</v>
      </c>
      <c r="R1013" s="60" t="n">
        <f aca="false">IF(G1013&gt;0,IF(INDEX(CONFIRM!$F$5:$F$53,G1013)&lt;&gt;"",INDEX(CONFIRM!$F$5:$F$53,G1013),IF(ISNUMBER(Q1013),Q1013,IF(Q1013="","",IFERROR(VALUE(TRIM(SUBSTITUTE(SUBSTITUTE(LOWER(Q1013),"hrs",""),"hr",""))),"")))),IF(ISNUMBER(Q1013),Q1013,IF(Q1013="","",IFERROR(VALUE(TRIM(SUBSTITUTE(SUBSTITUTE(LOWER(Q1013),"hrs",""),"hr",""))),""))))</f>
        <v>134.75</v>
      </c>
      <c r="S1013" s="57" t="n">
        <f aca="false">IFERROR(INDEX(RATES!$E$6:$E$28,MATCH(P1013,RATES!$A$6:$A$28,0)),0)</f>
        <v>62.965</v>
      </c>
      <c r="T1013" s="61" t="n">
        <f aca="false">IF(ISNUMBER(R1013),R1013,0)*S1013</f>
        <v>8484.53375</v>
      </c>
      <c r="U1013" s="61" t="n">
        <f aca="false">T1013*INDEX(INPUTS!$H$10:$H$14,MATCH(B1013,INPUTS!$A$10:$A$14,0))</f>
        <v>1340.5563325</v>
      </c>
      <c r="V1013" s="61" t="n">
        <f aca="false">N(STACK!K1013)</f>
        <v>995</v>
      </c>
      <c r="W1013" s="61" t="n">
        <f aca="false">T1013+U1013+V1013</f>
        <v>10820.0900825</v>
      </c>
      <c r="X1013" s="61" t="n">
        <f aca="false">N(STACK!L1013)</f>
        <v>0</v>
      </c>
      <c r="Y1013" s="61" t="n">
        <f aca="false">W1013-X1013</f>
        <v>10820.0900825</v>
      </c>
      <c r="Z1013" s="1" t="n">
        <f aca="false">N(STACK!J1013)</f>
        <v>29</v>
      </c>
      <c r="AA1013" s="1" t="str">
        <f aca="false">TRIM(IF(D1013="UNMAPPED","Program not mapped. ","")&amp;IF(OR(K1013="UNMAPPED",K1013="UNASSIGNED"),"Category needs review. ","")&amp;IF(P1013="UNMAPPED","Title not mapped. ","")&amp;IF(AND(P1013&lt;&gt;"No staff time",R1013=""),"Missing hours. ","")&amp;IF(M1013="","Date not readable. ","")&amp;IF(N1013="No","Outside fiscal year. ","")&amp;IF(AND(F1013="Event",ISNUMBER(R1013)),IF(R1013&gt;12,"Event hours look high. ",""),"")&amp;IF(G1013&gt;0,"See CONFIRM sheet.",""))</f>
        <v/>
      </c>
      <c r="AB1013" s="1" t="n">
        <f aca="false">IF(N1013="No",0,IF(REVIEW!O1013=0,0,IF(G1013&gt;0,IF(INDEX(CONFIRM!$J$5:$J$53,G1013)&lt;&gt;"",INDEX(CONFIRM!$J$5:$J$53,G1013),1),1)))</f>
        <v>1</v>
      </c>
      <c r="AC1013" s="1" t="n">
        <f aca="false">IF(AB1013=1,IF(COUNTIFS($B$5:B1013,B1013,$D$5:D1013,D1013,$AB$5:AB1013,1)=1,1,0),0)</f>
        <v>0</v>
      </c>
    </row>
    <row r="1014" customFormat="false" ht="15" hidden="false" customHeight="false" outlineLevel="0" collapsed="false">
      <c r="A1014" s="48" t="str">
        <f aca="false">STACK!A1014</f>
        <v>CBH-0186</v>
      </c>
      <c r="B1014" s="48" t="str">
        <f aca="false">STACK!B1014</f>
        <v>CBH</v>
      </c>
      <c r="C1014" s="48" t="str">
        <f aca="false">STACK!E1014</f>
        <v>Nursing Student Rotations</v>
      </c>
      <c r="D1014" s="1" t="str">
        <f aca="false">IFERROR(INDEX(MAP!$J$7:$J$101,MATCH(TRIM(C1014),MAP!$I$7:$I$101,0)),"UNMAPPED")</f>
        <v>Nursing Student Clinical Rotations</v>
      </c>
      <c r="E1014" s="1" t="str">
        <f aca="false">IFERROR(INDEX(MAP!$K$7:$K$101,MATCH(TRIM(C1014),MAP!$I$7:$I$101,0)),"")</f>
        <v>Health workforce</v>
      </c>
      <c r="F1014" s="1" t="str">
        <f aca="false">IFERROR(INDEX(MAP!$L$7:$L$101,MATCH(TRIM(C1014),MAP!$I$7:$I$101,0)),"")</f>
        <v>Monthly</v>
      </c>
      <c r="G1014" s="1" t="n">
        <f aca="false">IFERROR(MATCH(A1014,CONFIRM!$A$5:$A$53,0),0)</f>
        <v>0</v>
      </c>
      <c r="H1014" s="48" t="str">
        <f aca="false">STACK!F1014</f>
        <v>Education - Health Professions</v>
      </c>
      <c r="I1014" s="1" t="str">
        <f aca="false">IF(G1014&gt;0,IF(INDEX(CONFIRM!$I$5:$I$53,G1014)&lt;&gt;"",INDEX(CONFIRM!$I$5:$I$53,G1014),H1014),H1014)</f>
        <v>Education - Health Professions</v>
      </c>
      <c r="J1014" s="1" t="str">
        <f aca="false">IFERROR(INDEX(MAP!$F$7:$F$74,MATCH(TRIM(I1014),MAP!$E$7:$E$74,0)),"UNMAPPED")</f>
        <v>Health professions education</v>
      </c>
      <c r="K1014" s="1" t="str">
        <f aca="false">IFERROR(INDEX(MAP!$G$7:$G$74,MATCH(TRIM(I1014),MAP!$E$7:$E$74,0)),"UNMAPPED")</f>
        <v>7f</v>
      </c>
      <c r="L1014" s="49" t="str">
        <f aca="false">STACK!G1014</f>
        <v>2026-02-28</v>
      </c>
      <c r="M1014" s="59" t="n">
        <f aca="false">IF(G1014&gt;0,IF(INDEX(CONFIRM!$G$5:$G$53,G1014)&lt;&gt;"",INDEX(CONFIRM!$G$5:$G$53,G1014),IF(ISNUMBER(L1014),L1014,IFERROR(DATEVALUE(L1014),""))),IF(ISNUMBER(L1014),L1014,IFERROR(DATEVALUE(L1014),"")))</f>
        <v>46081</v>
      </c>
      <c r="N1014" s="1" t="str">
        <f aca="false">IF(M1014="","Check",IF(AND(M1014&gt;=INPUTS!$C$6,M1014&lt;=INPUTS!$C$7),"Yes","No"))</f>
        <v>Yes</v>
      </c>
      <c r="O1014" s="48" t="str">
        <f aca="false">STACK!H1014</f>
        <v>RN</v>
      </c>
      <c r="P1014" s="1" t="str">
        <f aca="false">IF(G1014&gt;0,IF(INDEX(CONFIRM!$H$5:$H$53,G1014)&lt;&gt;"",INDEX(CONFIRM!$H$5:$H$53,G1014),IFERROR(INDEX(MAP!$B$7:$B$156,MATCH(TRIM(O1014),MAP!$A$7:$A$156,0)),"UNMAPPED")),IFERROR(INDEX(MAP!$B$7:$B$156,MATCH(TRIM(O1014),MAP!$A$7:$A$156,0)),"UNMAPPED"))</f>
        <v>Registered Nurse</v>
      </c>
      <c r="Q1014" s="48" t="n">
        <f aca="false">STACK!I1014</f>
        <v>240.25</v>
      </c>
      <c r="R1014" s="60" t="n">
        <f aca="false">IF(G1014&gt;0,IF(INDEX(CONFIRM!$F$5:$F$53,G1014)&lt;&gt;"",INDEX(CONFIRM!$F$5:$F$53,G1014),IF(ISNUMBER(Q1014),Q1014,IF(Q1014="","",IFERROR(VALUE(TRIM(SUBSTITUTE(SUBSTITUTE(LOWER(Q1014),"hrs",""),"hr",""))),"")))),IF(ISNUMBER(Q1014),Q1014,IF(Q1014="","",IFERROR(VALUE(TRIM(SUBSTITUTE(SUBSTITUTE(LOWER(Q1014),"hrs",""),"hr",""))),""))))</f>
        <v>240.25</v>
      </c>
      <c r="S1014" s="57" t="n">
        <f aca="false">IFERROR(INDEX(RATES!$E$6:$E$28,MATCH(P1014,RATES!$A$6:$A$28,0)),0)</f>
        <v>55.8975</v>
      </c>
      <c r="T1014" s="61" t="n">
        <f aca="false">IF(ISNUMBER(R1014),R1014,0)*S1014</f>
        <v>13429.374375</v>
      </c>
      <c r="U1014" s="61" t="n">
        <f aca="false">T1014*INDEX(INPUTS!$H$10:$H$14,MATCH(B1014,INPUTS!$A$10:$A$14,0))</f>
        <v>2121.84115125</v>
      </c>
      <c r="V1014" s="61" t="n">
        <f aca="false">N(STACK!K1014)</f>
        <v>0</v>
      </c>
      <c r="W1014" s="61" t="n">
        <f aca="false">T1014+U1014+V1014</f>
        <v>15551.21552625</v>
      </c>
      <c r="X1014" s="61" t="n">
        <f aca="false">N(STACK!L1014)</f>
        <v>0</v>
      </c>
      <c r="Y1014" s="61" t="n">
        <f aca="false">W1014-X1014</f>
        <v>15551.21552625</v>
      </c>
      <c r="Z1014" s="1" t="n">
        <f aca="false">N(STACK!J1014)</f>
        <v>0</v>
      </c>
      <c r="AA1014" s="1" t="str">
        <f aca="false">TRIM(IF(D1014="UNMAPPED","Program not mapped. ","")&amp;IF(OR(K1014="UNMAPPED",K1014="UNASSIGNED"),"Category needs review. ","")&amp;IF(P1014="UNMAPPED","Title not mapped. ","")&amp;IF(AND(P1014&lt;&gt;"No staff time",R1014=""),"Missing hours. ","")&amp;IF(M1014="","Date not readable. ","")&amp;IF(N1014="No","Outside fiscal year. ","")&amp;IF(AND(F1014="Event",ISNUMBER(R1014)),IF(R1014&gt;12,"Event hours look high. ",""),"")&amp;IF(G1014&gt;0,"See CONFIRM sheet.",""))</f>
        <v/>
      </c>
      <c r="AB1014" s="1" t="n">
        <f aca="false">IF(N1014="No",0,IF(REVIEW!O1014=0,0,IF(G1014&gt;0,IF(INDEX(CONFIRM!$J$5:$J$53,G1014)&lt;&gt;"",INDEX(CONFIRM!$J$5:$J$53,G1014),1),1)))</f>
        <v>1</v>
      </c>
      <c r="AC1014" s="1" t="n">
        <f aca="false">IF(AB1014=1,IF(COUNTIFS($B$5:B1014,B1014,$D$5:D1014,D1014,$AB$5:AB1014,1)=1,1,0),0)</f>
        <v>0</v>
      </c>
    </row>
    <row r="1015" customFormat="false" ht="15" hidden="false" customHeight="false" outlineLevel="0" collapsed="false">
      <c r="A1015" s="48" t="str">
        <f aca="false">STACK!A1015</f>
        <v>CBH-0187</v>
      </c>
      <c r="B1015" s="48" t="str">
        <f aca="false">STACK!B1015</f>
        <v>CBH</v>
      </c>
      <c r="C1015" s="48" t="str">
        <f aca="false">STACK!E1015</f>
        <v>Pharmacy Students</v>
      </c>
      <c r="D1015" s="1" t="str">
        <f aca="false">IFERROR(INDEX(MAP!$J$7:$J$101,MATCH(TRIM(C1015),MAP!$I$7:$I$101,0)),"UNMAPPED")</f>
        <v>Pharmacy Student Rotations</v>
      </c>
      <c r="E1015" s="1" t="str">
        <f aca="false">IFERROR(INDEX(MAP!$K$7:$K$101,MATCH(TRIM(C1015),MAP!$I$7:$I$101,0)),"")</f>
        <v>Health workforce</v>
      </c>
      <c r="F1015" s="1" t="str">
        <f aca="false">IFERROR(INDEX(MAP!$L$7:$L$101,MATCH(TRIM(C1015),MAP!$I$7:$I$101,0)),"")</f>
        <v>Monthly</v>
      </c>
      <c r="G1015" s="1" t="n">
        <f aca="false">IFERROR(MATCH(A1015,CONFIRM!$A$5:$A$53,0),0)</f>
        <v>0</v>
      </c>
      <c r="H1015" s="48" t="str">
        <f aca="false">STACK!F1015</f>
        <v>Education - Health Professions</v>
      </c>
      <c r="I1015" s="1" t="str">
        <f aca="false">IF(G1015&gt;0,IF(INDEX(CONFIRM!$I$5:$I$53,G1015)&lt;&gt;"",INDEX(CONFIRM!$I$5:$I$53,G1015),H1015),H1015)</f>
        <v>Education - Health Professions</v>
      </c>
      <c r="J1015" s="1" t="str">
        <f aca="false">IFERROR(INDEX(MAP!$F$7:$F$74,MATCH(TRIM(I1015),MAP!$E$7:$E$74,0)),"UNMAPPED")</f>
        <v>Health professions education</v>
      </c>
      <c r="K1015" s="1" t="str">
        <f aca="false">IFERROR(INDEX(MAP!$G$7:$G$74,MATCH(TRIM(I1015),MAP!$E$7:$E$74,0)),"UNMAPPED")</f>
        <v>7f</v>
      </c>
      <c r="L1015" s="49" t="str">
        <f aca="false">STACK!G1015</f>
        <v>2026-02-28</v>
      </c>
      <c r="M1015" s="59" t="n">
        <f aca="false">IF(G1015&gt;0,IF(INDEX(CONFIRM!$G$5:$G$53,G1015)&lt;&gt;"",INDEX(CONFIRM!$G$5:$G$53,G1015),IF(ISNUMBER(L1015),L1015,IFERROR(DATEVALUE(L1015),""))),IF(ISNUMBER(L1015),L1015,IFERROR(DATEVALUE(L1015),"")))</f>
        <v>46081</v>
      </c>
      <c r="N1015" s="1" t="str">
        <f aca="false">IF(M1015="","Check",IF(AND(M1015&gt;=INPUTS!$C$6,M1015&lt;=INPUTS!$C$7),"Yes","No"))</f>
        <v>Yes</v>
      </c>
      <c r="O1015" s="48" t="str">
        <f aca="false">STACK!H1015</f>
        <v>RPh</v>
      </c>
      <c r="P1015" s="1" t="str">
        <f aca="false">IF(G1015&gt;0,IF(INDEX(CONFIRM!$H$5:$H$53,G1015)&lt;&gt;"",INDEX(CONFIRM!$H$5:$H$53,G1015),IFERROR(INDEX(MAP!$B$7:$B$156,MATCH(TRIM(O1015),MAP!$A$7:$A$156,0)),"UNMAPPED")),IFERROR(INDEX(MAP!$B$7:$B$156,MATCH(TRIM(O1015),MAP!$A$7:$A$156,0)),"UNMAPPED"))</f>
        <v>Pharmacist</v>
      </c>
      <c r="Q1015" s="48" t="n">
        <f aca="false">STACK!I1015</f>
        <v>52</v>
      </c>
      <c r="R1015" s="60" t="n">
        <f aca="false">IF(G1015&gt;0,IF(INDEX(CONFIRM!$F$5:$F$53,G1015)&lt;&gt;"",INDEX(CONFIRM!$F$5:$F$53,G1015),IF(ISNUMBER(Q1015),Q1015,IF(Q1015="","",IFERROR(VALUE(TRIM(SUBSTITUTE(SUBSTITUTE(LOWER(Q1015),"hrs",""),"hr",""))),"")))),IF(ISNUMBER(Q1015),Q1015,IF(Q1015="","",IFERROR(VALUE(TRIM(SUBSTITUTE(SUBSTITUTE(LOWER(Q1015),"hrs",""),"hr",""))),""))))</f>
        <v>52</v>
      </c>
      <c r="S1015" s="57" t="n">
        <f aca="false">IFERROR(INDEX(RATES!$E$6:$E$28,MATCH(P1015,RATES!$A$6:$A$28,0)),0)</f>
        <v>84.81</v>
      </c>
      <c r="T1015" s="61" t="n">
        <f aca="false">IF(ISNUMBER(R1015),R1015,0)*S1015</f>
        <v>4410.12</v>
      </c>
      <c r="U1015" s="61" t="n">
        <f aca="false">T1015*INDEX(INPUTS!$H$10:$H$14,MATCH(B1015,INPUTS!$A$10:$A$14,0))</f>
        <v>696.79896</v>
      </c>
      <c r="V1015" s="61" t="n">
        <f aca="false">N(STACK!K1015)</f>
        <v>90</v>
      </c>
      <c r="W1015" s="61" t="n">
        <f aca="false">T1015+U1015+V1015</f>
        <v>5196.91896</v>
      </c>
      <c r="X1015" s="61" t="n">
        <f aca="false">N(STACK!L1015)</f>
        <v>0</v>
      </c>
      <c r="Y1015" s="61" t="n">
        <f aca="false">W1015-X1015</f>
        <v>5196.91896</v>
      </c>
      <c r="Z1015" s="1" t="n">
        <f aca="false">N(STACK!J1015)</f>
        <v>2</v>
      </c>
      <c r="AA1015" s="1" t="str">
        <f aca="false">TRIM(IF(D1015="UNMAPPED","Program not mapped. ","")&amp;IF(OR(K1015="UNMAPPED",K1015="UNASSIGNED"),"Category needs review. ","")&amp;IF(P1015="UNMAPPED","Title not mapped. ","")&amp;IF(AND(P1015&lt;&gt;"No staff time",R1015=""),"Missing hours. ","")&amp;IF(M1015="","Date not readable. ","")&amp;IF(N1015="No","Outside fiscal year. ","")&amp;IF(AND(F1015="Event",ISNUMBER(R1015)),IF(R1015&gt;12,"Event hours look high. ",""),"")&amp;IF(G1015&gt;0,"See CONFIRM sheet.",""))</f>
        <v/>
      </c>
      <c r="AB1015" s="1" t="n">
        <f aca="false">IF(N1015="No",0,IF(REVIEW!O1015=0,0,IF(G1015&gt;0,IF(INDEX(CONFIRM!$J$5:$J$53,G1015)&lt;&gt;"",INDEX(CONFIRM!$J$5:$J$53,G1015),1),1)))</f>
        <v>1</v>
      </c>
      <c r="AC1015" s="1" t="n">
        <f aca="false">IF(AB1015=1,IF(COUNTIFS($B$5:B1015,B1015,$D$5:D1015,D1015,$AB$5:AB1015,1)=1,1,0),0)</f>
        <v>0</v>
      </c>
    </row>
    <row r="1016" customFormat="false" ht="15" hidden="false" customHeight="false" outlineLevel="0" collapsed="false">
      <c r="A1016" s="48" t="str">
        <f aca="false">STACK!A1016</f>
        <v>CBH-0188</v>
      </c>
      <c r="B1016" s="48" t="str">
        <f aca="false">STACK!B1016</f>
        <v>CBH</v>
      </c>
      <c r="C1016" s="48" t="str">
        <f aca="false">STACK!E1016</f>
        <v>Bereavement Group</v>
      </c>
      <c r="D1016" s="1" t="str">
        <f aca="false">IFERROR(INDEX(MAP!$J$7:$J$101,MATCH(TRIM(C1016),MAP!$I$7:$I$101,0)),"UNMAPPED")</f>
        <v>Grief Support Group</v>
      </c>
      <c r="E1016" s="1" t="str">
        <f aca="false">IFERROR(INDEX(MAP!$K$7:$K$101,MATCH(TRIM(C1016),MAP!$I$7:$I$101,0)),"")</f>
        <v>Behavioral health</v>
      </c>
      <c r="F1016" s="1" t="str">
        <f aca="false">IFERROR(INDEX(MAP!$L$7:$L$101,MATCH(TRIM(C1016),MAP!$I$7:$I$101,0)),"")</f>
        <v>Event</v>
      </c>
      <c r="G1016" s="1" t="n">
        <f aca="false">IFERROR(MATCH(A1016,CONFIRM!$A$5:$A$53,0),0)</f>
        <v>0</v>
      </c>
      <c r="H1016" s="48" t="str">
        <f aca="false">STACK!F1016</f>
        <v>Patient Support</v>
      </c>
      <c r="I1016" s="1" t="str">
        <f aca="false">IF(G1016&gt;0,IF(INDEX(CONFIRM!$I$5:$I$53,G1016)&lt;&gt;"",INDEX(CONFIRM!$I$5:$I$53,G1016),H1016),H1016)</f>
        <v>Patient Support</v>
      </c>
      <c r="J1016" s="1" t="str">
        <f aca="false">IFERROR(INDEX(MAP!$F$7:$F$74,MATCH(TRIM(I1016),MAP!$E$7:$E$74,0)),"UNMAPPED")</f>
        <v>Health care support services</v>
      </c>
      <c r="K1016" s="1" t="str">
        <f aca="false">IFERROR(INDEX(MAP!$G$7:$G$74,MATCH(TRIM(I1016),MAP!$E$7:$E$74,0)),"UNMAPPED")</f>
        <v>7e</v>
      </c>
      <c r="L1016" s="49" t="str">
        <f aca="false">STACK!G1016</f>
        <v>2026-03-10</v>
      </c>
      <c r="M1016" s="59" t="n">
        <f aca="false">IF(G1016&gt;0,IF(INDEX(CONFIRM!$G$5:$G$53,G1016)&lt;&gt;"",INDEX(CONFIRM!$G$5:$G$53,G1016),IF(ISNUMBER(L1016),L1016,IFERROR(DATEVALUE(L1016),""))),IF(ISNUMBER(L1016),L1016,IFERROR(DATEVALUE(L1016),"")))</f>
        <v>46091</v>
      </c>
      <c r="N1016" s="1" t="str">
        <f aca="false">IF(M1016="","Check",IF(AND(M1016&gt;=INPUTS!$C$6,M1016&lt;=INPUTS!$C$7),"Yes","No"))</f>
        <v>Yes</v>
      </c>
      <c r="O1016" s="48" t="str">
        <f aca="false">STACK!H1016</f>
        <v>Pastoral Care</v>
      </c>
      <c r="P1016" s="1" t="str">
        <f aca="false">IF(G1016&gt;0,IF(INDEX(CONFIRM!$H$5:$H$53,G1016)&lt;&gt;"",INDEX(CONFIRM!$H$5:$H$53,G1016),IFERROR(INDEX(MAP!$B$7:$B$156,MATCH(TRIM(O1016),MAP!$A$7:$A$156,0)),"UNMAPPED")),IFERROR(INDEX(MAP!$B$7:$B$156,MATCH(TRIM(O1016),MAP!$A$7:$A$156,0)),"UNMAPPED"))</f>
        <v>Chaplain</v>
      </c>
      <c r="Q1016" s="48" t="n">
        <f aca="false">STACK!I1016</f>
        <v>2.25</v>
      </c>
      <c r="R1016" s="60" t="n">
        <f aca="false">IF(G1016&gt;0,IF(INDEX(CONFIRM!$F$5:$F$53,G1016)&lt;&gt;"",INDEX(CONFIRM!$F$5:$F$53,G1016),IF(ISNUMBER(Q1016),Q1016,IF(Q1016="","",IFERROR(VALUE(TRIM(SUBSTITUTE(SUBSTITUTE(LOWER(Q1016),"hrs",""),"hr",""))),"")))),IF(ISNUMBER(Q1016),Q1016,IF(Q1016="","",IFERROR(VALUE(TRIM(SUBSTITUTE(SUBSTITUTE(LOWER(Q1016),"hrs",""),"hr",""))),""))))</f>
        <v>2.25</v>
      </c>
      <c r="S1016" s="57" t="n">
        <f aca="false">IFERROR(INDEX(RATES!$E$6:$E$28,MATCH(P1016,RATES!$A$6:$A$28,0)),0)</f>
        <v>39.835</v>
      </c>
      <c r="T1016" s="61" t="n">
        <f aca="false">IF(ISNUMBER(R1016),R1016,0)*S1016</f>
        <v>89.62875</v>
      </c>
      <c r="U1016" s="61" t="n">
        <f aca="false">T1016*INDEX(INPUTS!$H$10:$H$14,MATCH(B1016,INPUTS!$A$10:$A$14,0))</f>
        <v>14.1613425</v>
      </c>
      <c r="V1016" s="61" t="n">
        <f aca="false">N(STACK!K1016)</f>
        <v>55</v>
      </c>
      <c r="W1016" s="61" t="n">
        <f aca="false">T1016+U1016+V1016</f>
        <v>158.7900925</v>
      </c>
      <c r="X1016" s="61" t="n">
        <f aca="false">N(STACK!L1016)</f>
        <v>0</v>
      </c>
      <c r="Y1016" s="61" t="n">
        <f aca="false">W1016-X1016</f>
        <v>158.7900925</v>
      </c>
      <c r="Z1016" s="1" t="n">
        <f aca="false">N(STACK!J1016)</f>
        <v>11</v>
      </c>
      <c r="AA1016" s="1" t="str">
        <f aca="false">TRIM(IF(D1016="UNMAPPED","Program not mapped. ","")&amp;IF(OR(K1016="UNMAPPED",K1016="UNASSIGNED"),"Category needs review. ","")&amp;IF(P1016="UNMAPPED","Title not mapped. ","")&amp;IF(AND(P1016&lt;&gt;"No staff time",R1016=""),"Missing hours. ","")&amp;IF(M1016="","Date not readable. ","")&amp;IF(N1016="No","Outside fiscal year. ","")&amp;IF(AND(F1016="Event",ISNUMBER(R1016)),IF(R1016&gt;12,"Event hours look high. ",""),"")&amp;IF(G1016&gt;0,"See CONFIRM sheet.",""))</f>
        <v/>
      </c>
      <c r="AB1016" s="1" t="n">
        <f aca="false">IF(N1016="No",0,IF(REVIEW!O1016=0,0,IF(G1016&gt;0,IF(INDEX(CONFIRM!$J$5:$J$53,G1016)&lt;&gt;"",INDEX(CONFIRM!$J$5:$J$53,G1016),1),1)))</f>
        <v>1</v>
      </c>
      <c r="AC1016" s="1" t="n">
        <f aca="false">IF(AB1016=1,IF(COUNTIFS($B$5:B1016,B1016,$D$5:D1016,D1016,$AB$5:AB1016,1)=1,1,0),0)</f>
        <v>0</v>
      </c>
    </row>
    <row r="1017" customFormat="false" ht="15" hidden="false" customHeight="false" outlineLevel="0" collapsed="false">
      <c r="A1017" s="48" t="str">
        <f aca="false">STACK!A1017</f>
        <v>CBH-0189</v>
      </c>
      <c r="B1017" s="48" t="str">
        <f aca="false">STACK!B1017</f>
        <v>CBH</v>
      </c>
      <c r="C1017" s="48" t="str">
        <f aca="false">STACK!E1017</f>
        <v>Bereavement Group</v>
      </c>
      <c r="D1017" s="1" t="str">
        <f aca="false">IFERROR(INDEX(MAP!$J$7:$J$101,MATCH(TRIM(C1017),MAP!$I$7:$I$101,0)),"UNMAPPED")</f>
        <v>Grief Support Group</v>
      </c>
      <c r="E1017" s="1" t="str">
        <f aca="false">IFERROR(INDEX(MAP!$K$7:$K$101,MATCH(TRIM(C1017),MAP!$I$7:$I$101,0)),"")</f>
        <v>Behavioral health</v>
      </c>
      <c r="F1017" s="1" t="str">
        <f aca="false">IFERROR(INDEX(MAP!$L$7:$L$101,MATCH(TRIM(C1017),MAP!$I$7:$I$101,0)),"")</f>
        <v>Event</v>
      </c>
      <c r="G1017" s="1" t="n">
        <f aca="false">IFERROR(MATCH(A1017,CONFIRM!$A$5:$A$53,0),0)</f>
        <v>0</v>
      </c>
      <c r="H1017" s="48" t="str">
        <f aca="false">STACK!F1017</f>
        <v>Patient Support</v>
      </c>
      <c r="I1017" s="1" t="str">
        <f aca="false">IF(G1017&gt;0,IF(INDEX(CONFIRM!$I$5:$I$53,G1017)&lt;&gt;"",INDEX(CONFIRM!$I$5:$I$53,G1017),H1017),H1017)</f>
        <v>Patient Support</v>
      </c>
      <c r="J1017" s="1" t="str">
        <f aca="false">IFERROR(INDEX(MAP!$F$7:$F$74,MATCH(TRIM(I1017),MAP!$E$7:$E$74,0)),"UNMAPPED")</f>
        <v>Health care support services</v>
      </c>
      <c r="K1017" s="1" t="str">
        <f aca="false">IFERROR(INDEX(MAP!$G$7:$G$74,MATCH(TRIM(I1017),MAP!$E$7:$E$74,0)),"UNMAPPED")</f>
        <v>7e</v>
      </c>
      <c r="L1017" s="49" t="str">
        <f aca="false">STACK!G1017</f>
        <v>2026-03-10</v>
      </c>
      <c r="M1017" s="59" t="n">
        <f aca="false">IF(G1017&gt;0,IF(INDEX(CONFIRM!$G$5:$G$53,G1017)&lt;&gt;"",INDEX(CONFIRM!$G$5:$G$53,G1017),IF(ISNUMBER(L1017),L1017,IFERROR(DATEVALUE(L1017),""))),IF(ISNUMBER(L1017),L1017,IFERROR(DATEVALUE(L1017),"")))</f>
        <v>46091</v>
      </c>
      <c r="N1017" s="1" t="str">
        <f aca="false">IF(M1017="","Check",IF(AND(M1017&gt;=INPUTS!$C$6,M1017&lt;=INPUTS!$C$7),"Yes","No"))</f>
        <v>Yes</v>
      </c>
      <c r="O1017" s="48" t="str">
        <f aca="false">STACK!H1017</f>
        <v>Social Work</v>
      </c>
      <c r="P1017" s="1" t="str">
        <f aca="false">IF(G1017&gt;0,IF(INDEX(CONFIRM!$H$5:$H$53,G1017)&lt;&gt;"",INDEX(CONFIRM!$H$5:$H$53,G1017),IFERROR(INDEX(MAP!$B$7:$B$156,MATCH(TRIM(O1017),MAP!$A$7:$A$156,0)),"UNMAPPED")),IFERROR(INDEX(MAP!$B$7:$B$156,MATCH(TRIM(O1017),MAP!$A$7:$A$156,0)),"UNMAPPED"))</f>
        <v>Social Worker</v>
      </c>
      <c r="Q1017" s="48" t="n">
        <f aca="false">STACK!I1017</f>
        <v>1.75</v>
      </c>
      <c r="R1017" s="60" t="n">
        <f aca="false">IF(G1017&gt;0,IF(INDEX(CONFIRM!$F$5:$F$53,G1017)&lt;&gt;"",INDEX(CONFIRM!$F$5:$F$53,G1017),IF(ISNUMBER(Q1017),Q1017,IF(Q1017="","",IFERROR(VALUE(TRIM(SUBSTITUTE(SUBSTITUTE(LOWER(Q1017),"hrs",""),"hr",""))),"")))),IF(ISNUMBER(Q1017),Q1017,IF(Q1017="","",IFERROR(VALUE(TRIM(SUBSTITUTE(SUBSTITUTE(LOWER(Q1017),"hrs",""),"hr",""))),""))))</f>
        <v>1.75</v>
      </c>
      <c r="S1017" s="57" t="n">
        <f aca="false">IFERROR(INDEX(RATES!$E$6:$E$28,MATCH(P1017,RATES!$A$6:$A$28,0)),0)</f>
        <v>45.6175</v>
      </c>
      <c r="T1017" s="61" t="n">
        <f aca="false">IF(ISNUMBER(R1017),R1017,0)*S1017</f>
        <v>79.830625</v>
      </c>
      <c r="U1017" s="61" t="n">
        <f aca="false">T1017*INDEX(INPUTS!$H$10:$H$14,MATCH(B1017,INPUTS!$A$10:$A$14,0))</f>
        <v>12.61323875</v>
      </c>
      <c r="V1017" s="61" t="n">
        <f aca="false">N(STACK!K1017)</f>
        <v>0</v>
      </c>
      <c r="W1017" s="61" t="n">
        <f aca="false">T1017+U1017+V1017</f>
        <v>92.44386375</v>
      </c>
      <c r="X1017" s="61" t="n">
        <f aca="false">N(STACK!L1017)</f>
        <v>0</v>
      </c>
      <c r="Y1017" s="61" t="n">
        <f aca="false">W1017-X1017</f>
        <v>92.44386375</v>
      </c>
      <c r="Z1017" s="1" t="n">
        <f aca="false">N(STACK!J1017)</f>
        <v>0</v>
      </c>
      <c r="AA1017" s="1" t="str">
        <f aca="false">TRIM(IF(D1017="UNMAPPED","Program not mapped. ","")&amp;IF(OR(K1017="UNMAPPED",K1017="UNASSIGNED"),"Category needs review. ","")&amp;IF(P1017="UNMAPPED","Title not mapped. ","")&amp;IF(AND(P1017&lt;&gt;"No staff time",R1017=""),"Missing hours. ","")&amp;IF(M1017="","Date not readable. ","")&amp;IF(N1017="No","Outside fiscal year. ","")&amp;IF(AND(F1017="Event",ISNUMBER(R1017)),IF(R1017&gt;12,"Event hours look high. ",""),"")&amp;IF(G1017&gt;0,"See CONFIRM sheet.",""))</f>
        <v/>
      </c>
      <c r="AB1017" s="1" t="n">
        <f aca="false">IF(N1017="No",0,IF(REVIEW!O1017=0,0,IF(G1017&gt;0,IF(INDEX(CONFIRM!$J$5:$J$53,G1017)&lt;&gt;"",INDEX(CONFIRM!$J$5:$J$53,G1017),1),1)))</f>
        <v>1</v>
      </c>
      <c r="AC1017" s="1" t="n">
        <f aca="false">IF(AB1017=1,IF(COUNTIFS($B$5:B1017,B1017,$D$5:D1017,D1017,$AB$5:AB1017,1)=1,1,0),0)</f>
        <v>0</v>
      </c>
    </row>
    <row r="1018" customFormat="false" ht="15" hidden="false" customHeight="false" outlineLevel="0" collapsed="false">
      <c r="A1018" s="48" t="str">
        <f aca="false">STACK!A1018</f>
        <v>CBH-0190</v>
      </c>
      <c r="B1018" s="48" t="str">
        <f aca="false">STACK!B1018</f>
        <v>CBH</v>
      </c>
      <c r="C1018" s="48" t="str">
        <f aca="false">STACK!E1018</f>
        <v>Blood Pressure Screening</v>
      </c>
      <c r="D1018" s="1" t="str">
        <f aca="false">IFERROR(INDEX(MAP!$J$7:$J$101,MATCH(TRIM(C1018),MAP!$I$7:$I$101,0)),"UNMAPPED")</f>
        <v>Community Blood Pressure Checks</v>
      </c>
      <c r="E1018" s="1" t="str">
        <f aca="false">IFERROR(INDEX(MAP!$K$7:$K$101,MATCH(TRIM(C1018),MAP!$I$7:$I$101,0)),"")</f>
        <v>Chronic disease prevention</v>
      </c>
      <c r="F1018" s="1" t="str">
        <f aca="false">IFERROR(INDEX(MAP!$L$7:$L$101,MATCH(TRIM(C1018),MAP!$I$7:$I$101,0)),"")</f>
        <v>Event</v>
      </c>
      <c r="G1018" s="1" t="n">
        <f aca="false">IFERROR(MATCH(A1018,CONFIRM!$A$5:$A$53,0),0)</f>
        <v>0</v>
      </c>
      <c r="H1018" s="48" t="str">
        <f aca="false">STACK!F1018</f>
        <v>Screenings</v>
      </c>
      <c r="I1018" s="1" t="str">
        <f aca="false">IF(G1018&gt;0,IF(INDEX(CONFIRM!$I$5:$I$53,G1018)&lt;&gt;"",INDEX(CONFIRM!$I$5:$I$53,G1018),H1018),H1018)</f>
        <v>Screenings</v>
      </c>
      <c r="J1018" s="1" t="str">
        <f aca="false">IFERROR(INDEX(MAP!$F$7:$F$74,MATCH(TRIM(I1018),MAP!$E$7:$E$74,0)),"UNMAPPED")</f>
        <v>Community-based clinical services</v>
      </c>
      <c r="K1018" s="1" t="str">
        <f aca="false">IFERROR(INDEX(MAP!$G$7:$G$74,MATCH(TRIM(I1018),MAP!$E$7:$E$74,0)),"UNMAPPED")</f>
        <v>7e</v>
      </c>
      <c r="L1018" s="49" t="str">
        <f aca="false">STACK!G1018</f>
        <v>2026-03-13</v>
      </c>
      <c r="M1018" s="59" t="n">
        <f aca="false">IF(G1018&gt;0,IF(INDEX(CONFIRM!$G$5:$G$53,G1018)&lt;&gt;"",INDEX(CONFIRM!$G$5:$G$53,G1018),IF(ISNUMBER(L1018),L1018,IFERROR(DATEVALUE(L1018),""))),IF(ISNUMBER(L1018),L1018,IFERROR(DATEVALUE(L1018),"")))</f>
        <v>46094</v>
      </c>
      <c r="N1018" s="1" t="str">
        <f aca="false">IF(M1018="","Check",IF(AND(M1018&gt;=INPUTS!$C$6,M1018&lt;=INPUTS!$C$7),"Yes","No"))</f>
        <v>Yes</v>
      </c>
      <c r="O1018" s="48" t="str">
        <f aca="false">STACK!H1018</f>
        <v>R.N.</v>
      </c>
      <c r="P1018" s="1" t="str">
        <f aca="false">IF(G1018&gt;0,IF(INDEX(CONFIRM!$H$5:$H$53,G1018)&lt;&gt;"",INDEX(CONFIRM!$H$5:$H$53,G1018),IFERROR(INDEX(MAP!$B$7:$B$156,MATCH(TRIM(O1018),MAP!$A$7:$A$156,0)),"UNMAPPED")),IFERROR(INDEX(MAP!$B$7:$B$156,MATCH(TRIM(O1018),MAP!$A$7:$A$156,0)),"UNMAPPED"))</f>
        <v>Registered Nurse</v>
      </c>
      <c r="Q1018" s="48" t="n">
        <f aca="false">STACK!I1018</f>
        <v>3.25</v>
      </c>
      <c r="R1018" s="60" t="n">
        <f aca="false">IF(G1018&gt;0,IF(INDEX(CONFIRM!$F$5:$F$53,G1018)&lt;&gt;"",INDEX(CONFIRM!$F$5:$F$53,G1018),IF(ISNUMBER(Q1018),Q1018,IF(Q1018="","",IFERROR(VALUE(TRIM(SUBSTITUTE(SUBSTITUTE(LOWER(Q1018),"hrs",""),"hr",""))),"")))),IF(ISNUMBER(Q1018),Q1018,IF(Q1018="","",IFERROR(VALUE(TRIM(SUBSTITUTE(SUBSTITUTE(LOWER(Q1018),"hrs",""),"hr",""))),""))))</f>
        <v>3.25</v>
      </c>
      <c r="S1018" s="57" t="n">
        <f aca="false">IFERROR(INDEX(RATES!$E$6:$E$28,MATCH(P1018,RATES!$A$6:$A$28,0)),0)</f>
        <v>55.8975</v>
      </c>
      <c r="T1018" s="61" t="n">
        <f aca="false">IF(ISNUMBER(R1018),R1018,0)*S1018</f>
        <v>181.666875</v>
      </c>
      <c r="U1018" s="61" t="n">
        <f aca="false">T1018*INDEX(INPUTS!$H$10:$H$14,MATCH(B1018,INPUTS!$A$10:$A$14,0))</f>
        <v>28.70336625</v>
      </c>
      <c r="V1018" s="61" t="n">
        <f aca="false">N(STACK!K1018)</f>
        <v>75</v>
      </c>
      <c r="W1018" s="61" t="n">
        <f aca="false">T1018+U1018+V1018</f>
        <v>285.37024125</v>
      </c>
      <c r="X1018" s="61" t="n">
        <f aca="false">N(STACK!L1018)</f>
        <v>0</v>
      </c>
      <c r="Y1018" s="61" t="n">
        <f aca="false">W1018-X1018</f>
        <v>285.37024125</v>
      </c>
      <c r="Z1018" s="1" t="n">
        <f aca="false">N(STACK!J1018)</f>
        <v>27</v>
      </c>
      <c r="AA1018" s="1" t="str">
        <f aca="false">TRIM(IF(D1018="UNMAPPED","Program not mapped. ","")&amp;IF(OR(K1018="UNMAPPED",K1018="UNASSIGNED"),"Category needs review. ","")&amp;IF(P1018="UNMAPPED","Title not mapped. ","")&amp;IF(AND(P1018&lt;&gt;"No staff time",R1018=""),"Missing hours. ","")&amp;IF(M1018="","Date not readable. ","")&amp;IF(N1018="No","Outside fiscal year. ","")&amp;IF(AND(F1018="Event",ISNUMBER(R1018)),IF(R1018&gt;12,"Event hours look high. ",""),"")&amp;IF(G1018&gt;0,"See CONFIRM sheet.",""))</f>
        <v/>
      </c>
      <c r="AB1018" s="1" t="n">
        <f aca="false">IF(N1018="No",0,IF(REVIEW!O1018=0,0,IF(G1018&gt;0,IF(INDEX(CONFIRM!$J$5:$J$53,G1018)&lt;&gt;"",INDEX(CONFIRM!$J$5:$J$53,G1018),1),1)))</f>
        <v>1</v>
      </c>
      <c r="AC1018" s="1" t="n">
        <f aca="false">IF(AB1018=1,IF(COUNTIFS($B$5:B1018,B1018,$D$5:D1018,D1018,$AB$5:AB1018,1)=1,1,0),0)</f>
        <v>0</v>
      </c>
    </row>
    <row r="1019" customFormat="false" ht="15" hidden="false" customHeight="false" outlineLevel="0" collapsed="false">
      <c r="A1019" s="48" t="str">
        <f aca="false">STACK!A1019</f>
        <v>CBH-0191</v>
      </c>
      <c r="B1019" s="48" t="str">
        <f aca="false">STACK!B1019</f>
        <v>CBH</v>
      </c>
      <c r="C1019" s="48" t="str">
        <f aca="false">STACK!E1019</f>
        <v>Prenatal &amp; Newborn Classes</v>
      </c>
      <c r="D1019" s="1" t="str">
        <f aca="false">IFERROR(INDEX(MAP!$J$7:$J$101,MATCH(TRIM(C1019),MAP!$I$7:$I$101,0)),"UNMAPPED")</f>
        <v>Childbirth and Newborn Care Classes</v>
      </c>
      <c r="E1019" s="1" t="str">
        <f aca="false">IFERROR(INDEX(MAP!$K$7:$K$101,MATCH(TRIM(C1019),MAP!$I$7:$I$101,0)),"")</f>
        <v>Maternal and child health</v>
      </c>
      <c r="F1019" s="1" t="str">
        <f aca="false">IFERROR(INDEX(MAP!$L$7:$L$101,MATCH(TRIM(C1019),MAP!$I$7:$I$101,0)),"")</f>
        <v>Event</v>
      </c>
      <c r="G1019" s="1" t="n">
        <f aca="false">IFERROR(MATCH(A1019,CONFIRM!$A$5:$A$53,0),0)</f>
        <v>20</v>
      </c>
      <c r="H1019" s="48" t="str">
        <f aca="false">STACK!F1019</f>
        <v>Health Education</v>
      </c>
      <c r="I1019" s="1" t="str">
        <f aca="false">IF(G1019&gt;0,IF(INDEX(CONFIRM!$I$5:$I$53,G1019)&lt;&gt;"",INDEX(CONFIRM!$I$5:$I$53,G1019),H1019),H1019)</f>
        <v>Health Education</v>
      </c>
      <c r="J1019" s="1" t="str">
        <f aca="false">IFERROR(INDEX(MAP!$F$7:$F$74,MATCH(TRIM(I1019),MAP!$E$7:$E$74,0)),"UNMAPPED")</f>
        <v>Community health education</v>
      </c>
      <c r="K1019" s="1" t="str">
        <f aca="false">IFERROR(INDEX(MAP!$G$7:$G$74,MATCH(TRIM(I1019),MAP!$E$7:$E$74,0)),"UNMAPPED")</f>
        <v>7e</v>
      </c>
      <c r="L1019" s="49" t="str">
        <f aca="false">STACK!G1019</f>
        <v>2026-03-13</v>
      </c>
      <c r="M1019" s="59" t="n">
        <f aca="false">IF(G1019&gt;0,IF(INDEX(CONFIRM!$G$5:$G$53,G1019)&lt;&gt;"",INDEX(CONFIRM!$G$5:$G$53,G1019),IF(ISNUMBER(L1019),L1019,IFERROR(DATEVALUE(L1019),""))),IF(ISNUMBER(L1019),L1019,IFERROR(DATEVALUE(L1019),"")))</f>
        <v>46094</v>
      </c>
      <c r="N1019" s="1" t="str">
        <f aca="false">IF(M1019="","Check",IF(AND(M1019&gt;=INPUTS!$C$6,M1019&lt;=INPUTS!$C$7),"Yes","No"))</f>
        <v>Yes</v>
      </c>
      <c r="O1019" s="48" t="str">
        <f aca="false">STACK!H1019</f>
        <v>Clin Educator</v>
      </c>
      <c r="P1019" s="1" t="str">
        <f aca="false">IF(G1019&gt;0,IF(INDEX(CONFIRM!$H$5:$H$53,G1019)&lt;&gt;"",INDEX(CONFIRM!$H$5:$H$53,G1019),IFERROR(INDEX(MAP!$B$7:$B$156,MATCH(TRIM(O1019),MAP!$A$7:$A$156,0)),"UNMAPPED")),IFERROR(INDEX(MAP!$B$7:$B$156,MATCH(TRIM(O1019),MAP!$A$7:$A$156,0)),"UNMAPPED"))</f>
        <v>Clinical Nurse Educator</v>
      </c>
      <c r="Q1019" s="48" t="str">
        <f aca="false">STACK!I1019</f>
        <v/>
      </c>
      <c r="R1019" s="60" t="str">
        <f aca="false">IF(G1019&gt;0,IF(INDEX(CONFIRM!$F$5:$F$53,G1019)&lt;&gt;"",INDEX(CONFIRM!$F$5:$F$53,G1019),IF(ISNUMBER(Q1019),Q1019,IF(Q1019="","",IFERROR(VALUE(TRIM(SUBSTITUTE(SUBSTITUTE(LOWER(Q1019),"hrs",""),"hr",""))),"")))),IF(ISNUMBER(Q1019),Q1019,IF(Q1019="","",IFERROR(VALUE(TRIM(SUBSTITUTE(SUBSTITUTE(LOWER(Q1019),"hrs",""),"hr",""))),""))))</f>
        <v/>
      </c>
      <c r="S1019" s="57" t="n">
        <f aca="false">IFERROR(INDEX(RATES!$E$6:$E$28,MATCH(P1019,RATES!$A$6:$A$28,0)),0)</f>
        <v>62.965</v>
      </c>
      <c r="T1019" s="61" t="n">
        <f aca="false">IF(ISNUMBER(R1019),R1019,0)*S1019</f>
        <v>0</v>
      </c>
      <c r="U1019" s="61" t="n">
        <f aca="false">T1019*INDEX(INPUTS!$H$10:$H$14,MATCH(B1019,INPUTS!$A$10:$A$14,0))</f>
        <v>0</v>
      </c>
      <c r="V1019" s="61" t="n">
        <f aca="false">N(STACK!K1019)</f>
        <v>135</v>
      </c>
      <c r="W1019" s="61" t="n">
        <f aca="false">T1019+U1019+V1019</f>
        <v>135</v>
      </c>
      <c r="X1019" s="61" t="n">
        <f aca="false">N(STACK!L1019)</f>
        <v>440</v>
      </c>
      <c r="Y1019" s="61" t="n">
        <f aca="false">W1019-X1019</f>
        <v>-305</v>
      </c>
      <c r="Z1019" s="1" t="n">
        <f aca="false">N(STACK!J1019)</f>
        <v>22</v>
      </c>
      <c r="AA1019" s="1" t="str">
        <f aca="false">TRIM(IF(D1019="UNMAPPED","Program not mapped. ","")&amp;IF(OR(K1019="UNMAPPED",K1019="UNASSIGNED"),"Category needs review. ","")&amp;IF(P1019="UNMAPPED","Title not mapped. ","")&amp;IF(AND(P1019&lt;&gt;"No staff time",R1019=""),"Missing hours. ","")&amp;IF(M1019="","Date not readable. ","")&amp;IF(N1019="No","Outside fiscal year. ","")&amp;IF(AND(F1019="Event",ISNUMBER(R1019)),IF(R1019&gt;12,"Event hours look high. ",""),"")&amp;IF(G1019&gt;0,"See CONFIRM sheet.",""))</f>
        <v>Missing hours. See CONFIRM sheet.</v>
      </c>
      <c r="AB1019" s="1" t="n">
        <f aca="false">IF(N1019="No",0,IF(REVIEW!O1019=0,0,IF(G1019&gt;0,IF(INDEX(CONFIRM!$J$5:$J$53,G1019)&lt;&gt;"",INDEX(CONFIRM!$J$5:$J$53,G1019),1),1)))</f>
        <v>0</v>
      </c>
      <c r="AC1019" s="1" t="n">
        <f aca="false">IF(AB1019=1,IF(COUNTIFS($B$5:B1019,B1019,$D$5:D1019,D1019,$AB$5:AB1019,1)=1,1,0),0)</f>
        <v>0</v>
      </c>
    </row>
    <row r="1020" customFormat="false" ht="15" hidden="false" customHeight="false" outlineLevel="0" collapsed="false">
      <c r="A1020" s="48" t="str">
        <f aca="false">STACK!A1020</f>
        <v>CBH-0192</v>
      </c>
      <c r="B1020" s="48" t="str">
        <f aca="false">STACK!B1020</f>
        <v>CBH</v>
      </c>
      <c r="C1020" s="48" t="str">
        <f aca="false">STACK!E1020</f>
        <v>Bereavement Group</v>
      </c>
      <c r="D1020" s="1" t="str">
        <f aca="false">IFERROR(INDEX(MAP!$J$7:$J$101,MATCH(TRIM(C1020),MAP!$I$7:$I$101,0)),"UNMAPPED")</f>
        <v>Grief Support Group</v>
      </c>
      <c r="E1020" s="1" t="str">
        <f aca="false">IFERROR(INDEX(MAP!$K$7:$K$101,MATCH(TRIM(C1020),MAP!$I$7:$I$101,0)),"")</f>
        <v>Behavioral health</v>
      </c>
      <c r="F1020" s="1" t="str">
        <f aca="false">IFERROR(INDEX(MAP!$L$7:$L$101,MATCH(TRIM(C1020),MAP!$I$7:$I$101,0)),"")</f>
        <v>Event</v>
      </c>
      <c r="G1020" s="1" t="n">
        <f aca="false">IFERROR(MATCH(A1020,CONFIRM!$A$5:$A$53,0),0)</f>
        <v>0</v>
      </c>
      <c r="H1020" s="48" t="str">
        <f aca="false">STACK!F1020</f>
        <v>Patient Support</v>
      </c>
      <c r="I1020" s="1" t="str">
        <f aca="false">IF(G1020&gt;0,IF(INDEX(CONFIRM!$I$5:$I$53,G1020)&lt;&gt;"",INDEX(CONFIRM!$I$5:$I$53,G1020),H1020),H1020)</f>
        <v>Patient Support</v>
      </c>
      <c r="J1020" s="1" t="str">
        <f aca="false">IFERROR(INDEX(MAP!$F$7:$F$74,MATCH(TRIM(I1020),MAP!$E$7:$E$74,0)),"UNMAPPED")</f>
        <v>Health care support services</v>
      </c>
      <c r="K1020" s="1" t="str">
        <f aca="false">IFERROR(INDEX(MAP!$G$7:$G$74,MATCH(TRIM(I1020),MAP!$E$7:$E$74,0)),"UNMAPPED")</f>
        <v>7e</v>
      </c>
      <c r="L1020" s="49" t="str">
        <f aca="false">STACK!G1020</f>
        <v>2026-03-18</v>
      </c>
      <c r="M1020" s="59" t="n">
        <f aca="false">IF(G1020&gt;0,IF(INDEX(CONFIRM!$G$5:$G$53,G1020)&lt;&gt;"",INDEX(CONFIRM!$G$5:$G$53,G1020),IF(ISNUMBER(L1020),L1020,IFERROR(DATEVALUE(L1020),""))),IF(ISNUMBER(L1020),L1020,IFERROR(DATEVALUE(L1020),"")))</f>
        <v>46099</v>
      </c>
      <c r="N1020" s="1" t="str">
        <f aca="false">IF(M1020="","Check",IF(AND(M1020&gt;=INPUTS!$C$6,M1020&lt;=INPUTS!$C$7),"Yes","No"))</f>
        <v>Yes</v>
      </c>
      <c r="O1020" s="48" t="str">
        <f aca="false">STACK!H1020</f>
        <v>Chaplain Resident</v>
      </c>
      <c r="P1020" s="1" t="str">
        <f aca="false">IF(G1020&gt;0,IF(INDEX(CONFIRM!$H$5:$H$53,G1020)&lt;&gt;"",INDEX(CONFIRM!$H$5:$H$53,G1020),IFERROR(INDEX(MAP!$B$7:$B$156,MATCH(TRIM(O1020),MAP!$A$7:$A$156,0)),"UNMAPPED")),IFERROR(INDEX(MAP!$B$7:$B$156,MATCH(TRIM(O1020),MAP!$A$7:$A$156,0)),"UNMAPPED"))</f>
        <v>Chaplain</v>
      </c>
      <c r="Q1020" s="48" t="n">
        <f aca="false">STACK!I1020</f>
        <v>2.25</v>
      </c>
      <c r="R1020" s="60" t="n">
        <f aca="false">IF(G1020&gt;0,IF(INDEX(CONFIRM!$F$5:$F$53,G1020)&lt;&gt;"",INDEX(CONFIRM!$F$5:$F$53,G1020),IF(ISNUMBER(Q1020),Q1020,IF(Q1020="","",IFERROR(VALUE(TRIM(SUBSTITUTE(SUBSTITUTE(LOWER(Q1020),"hrs",""),"hr",""))),"")))),IF(ISNUMBER(Q1020),Q1020,IF(Q1020="","",IFERROR(VALUE(TRIM(SUBSTITUTE(SUBSTITUTE(LOWER(Q1020),"hrs",""),"hr",""))),""))))</f>
        <v>2.25</v>
      </c>
      <c r="S1020" s="57" t="n">
        <f aca="false">IFERROR(INDEX(RATES!$E$6:$E$28,MATCH(P1020,RATES!$A$6:$A$28,0)),0)</f>
        <v>39.835</v>
      </c>
      <c r="T1020" s="61" t="n">
        <f aca="false">IF(ISNUMBER(R1020),R1020,0)*S1020</f>
        <v>89.62875</v>
      </c>
      <c r="U1020" s="61" t="n">
        <f aca="false">T1020*INDEX(INPUTS!$H$10:$H$14,MATCH(B1020,INPUTS!$A$10:$A$14,0))</f>
        <v>14.1613425</v>
      </c>
      <c r="V1020" s="61" t="n">
        <f aca="false">N(STACK!K1020)</f>
        <v>60</v>
      </c>
      <c r="W1020" s="61" t="n">
        <f aca="false">T1020+U1020+V1020</f>
        <v>163.7900925</v>
      </c>
      <c r="X1020" s="61" t="n">
        <f aca="false">N(STACK!L1020)</f>
        <v>0</v>
      </c>
      <c r="Y1020" s="61" t="n">
        <f aca="false">W1020-X1020</f>
        <v>163.7900925</v>
      </c>
      <c r="Z1020" s="1" t="n">
        <f aca="false">N(STACK!J1020)</f>
        <v>9</v>
      </c>
      <c r="AA1020" s="1" t="str">
        <f aca="false">TRIM(IF(D1020="UNMAPPED","Program not mapped. ","")&amp;IF(OR(K1020="UNMAPPED",K1020="UNASSIGNED"),"Category needs review. ","")&amp;IF(P1020="UNMAPPED","Title not mapped. ","")&amp;IF(AND(P1020&lt;&gt;"No staff time",R1020=""),"Missing hours. ","")&amp;IF(M1020="","Date not readable. ","")&amp;IF(N1020="No","Outside fiscal year. ","")&amp;IF(AND(F1020="Event",ISNUMBER(R1020)),IF(R1020&gt;12,"Event hours look high. ",""),"")&amp;IF(G1020&gt;0,"See CONFIRM sheet.",""))</f>
        <v/>
      </c>
      <c r="AB1020" s="1" t="n">
        <f aca="false">IF(N1020="No",0,IF(REVIEW!O1020=0,0,IF(G1020&gt;0,IF(INDEX(CONFIRM!$J$5:$J$53,G1020)&lt;&gt;"",INDEX(CONFIRM!$J$5:$J$53,G1020),1),1)))</f>
        <v>1</v>
      </c>
      <c r="AC1020" s="1" t="n">
        <f aca="false">IF(AB1020=1,IF(COUNTIFS($B$5:B1020,B1020,$D$5:D1020,D1020,$AB$5:AB1020,1)=1,1,0),0)</f>
        <v>0</v>
      </c>
    </row>
    <row r="1021" customFormat="false" ht="15" hidden="false" customHeight="false" outlineLevel="0" collapsed="false">
      <c r="A1021" s="48" t="str">
        <f aca="false">STACK!A1021</f>
        <v>CBH-0193</v>
      </c>
      <c r="B1021" s="48" t="str">
        <f aca="false">STACK!B1021</f>
        <v>CBH</v>
      </c>
      <c r="C1021" s="48" t="str">
        <f aca="false">STACK!E1021</f>
        <v>Bereavement Group</v>
      </c>
      <c r="D1021" s="1" t="str">
        <f aca="false">IFERROR(INDEX(MAP!$J$7:$J$101,MATCH(TRIM(C1021),MAP!$I$7:$I$101,0)),"UNMAPPED")</f>
        <v>Grief Support Group</v>
      </c>
      <c r="E1021" s="1" t="str">
        <f aca="false">IFERROR(INDEX(MAP!$K$7:$K$101,MATCH(TRIM(C1021),MAP!$I$7:$I$101,0)),"")</f>
        <v>Behavioral health</v>
      </c>
      <c r="F1021" s="1" t="str">
        <f aca="false">IFERROR(INDEX(MAP!$L$7:$L$101,MATCH(TRIM(C1021),MAP!$I$7:$I$101,0)),"")</f>
        <v>Event</v>
      </c>
      <c r="G1021" s="1" t="n">
        <f aca="false">IFERROR(MATCH(A1021,CONFIRM!$A$5:$A$53,0),0)</f>
        <v>0</v>
      </c>
      <c r="H1021" s="48" t="str">
        <f aca="false">STACK!F1021</f>
        <v>Patient Support</v>
      </c>
      <c r="I1021" s="1" t="str">
        <f aca="false">IF(G1021&gt;0,IF(INDEX(CONFIRM!$I$5:$I$53,G1021)&lt;&gt;"",INDEX(CONFIRM!$I$5:$I$53,G1021),H1021),H1021)</f>
        <v>Patient Support</v>
      </c>
      <c r="J1021" s="1" t="str">
        <f aca="false">IFERROR(INDEX(MAP!$F$7:$F$74,MATCH(TRIM(I1021),MAP!$E$7:$E$74,0)),"UNMAPPED")</f>
        <v>Health care support services</v>
      </c>
      <c r="K1021" s="1" t="str">
        <f aca="false">IFERROR(INDEX(MAP!$G$7:$G$74,MATCH(TRIM(I1021),MAP!$E$7:$E$74,0)),"UNMAPPED")</f>
        <v>7e</v>
      </c>
      <c r="L1021" s="49" t="str">
        <f aca="false">STACK!G1021</f>
        <v>2026-03-18</v>
      </c>
      <c r="M1021" s="59" t="n">
        <f aca="false">IF(G1021&gt;0,IF(INDEX(CONFIRM!$G$5:$G$53,G1021)&lt;&gt;"",INDEX(CONFIRM!$G$5:$G$53,G1021),IF(ISNUMBER(L1021),L1021,IFERROR(DATEVALUE(L1021),""))),IF(ISNUMBER(L1021),L1021,IFERROR(DATEVALUE(L1021),"")))</f>
        <v>46099</v>
      </c>
      <c r="N1021" s="1" t="str">
        <f aca="false">IF(M1021="","Check",IF(AND(M1021&gt;=INPUTS!$C$6,M1021&lt;=INPUTS!$C$7),"Yes","No"))</f>
        <v>Yes</v>
      </c>
      <c r="O1021" s="48" t="str">
        <f aca="false">STACK!H1021</f>
        <v>Social Work</v>
      </c>
      <c r="P1021" s="1" t="str">
        <f aca="false">IF(G1021&gt;0,IF(INDEX(CONFIRM!$H$5:$H$53,G1021)&lt;&gt;"",INDEX(CONFIRM!$H$5:$H$53,G1021),IFERROR(INDEX(MAP!$B$7:$B$156,MATCH(TRIM(O1021),MAP!$A$7:$A$156,0)),"UNMAPPED")),IFERROR(INDEX(MAP!$B$7:$B$156,MATCH(TRIM(O1021),MAP!$A$7:$A$156,0)),"UNMAPPED"))</f>
        <v>Social Worker</v>
      </c>
      <c r="Q1021" s="48" t="n">
        <f aca="false">STACK!I1021</f>
        <v>1.75</v>
      </c>
      <c r="R1021" s="60" t="n">
        <f aca="false">IF(G1021&gt;0,IF(INDEX(CONFIRM!$F$5:$F$53,G1021)&lt;&gt;"",INDEX(CONFIRM!$F$5:$F$53,G1021),IF(ISNUMBER(Q1021),Q1021,IF(Q1021="","",IFERROR(VALUE(TRIM(SUBSTITUTE(SUBSTITUTE(LOWER(Q1021),"hrs",""),"hr",""))),"")))),IF(ISNUMBER(Q1021),Q1021,IF(Q1021="","",IFERROR(VALUE(TRIM(SUBSTITUTE(SUBSTITUTE(LOWER(Q1021),"hrs",""),"hr",""))),""))))</f>
        <v>1.75</v>
      </c>
      <c r="S1021" s="57" t="n">
        <f aca="false">IFERROR(INDEX(RATES!$E$6:$E$28,MATCH(P1021,RATES!$A$6:$A$28,0)),0)</f>
        <v>45.6175</v>
      </c>
      <c r="T1021" s="61" t="n">
        <f aca="false">IF(ISNUMBER(R1021),R1021,0)*S1021</f>
        <v>79.830625</v>
      </c>
      <c r="U1021" s="61" t="n">
        <f aca="false">T1021*INDEX(INPUTS!$H$10:$H$14,MATCH(B1021,INPUTS!$A$10:$A$14,0))</f>
        <v>12.61323875</v>
      </c>
      <c r="V1021" s="61" t="n">
        <f aca="false">N(STACK!K1021)</f>
        <v>0</v>
      </c>
      <c r="W1021" s="61" t="n">
        <f aca="false">T1021+U1021+V1021</f>
        <v>92.44386375</v>
      </c>
      <c r="X1021" s="61" t="n">
        <f aca="false">N(STACK!L1021)</f>
        <v>0</v>
      </c>
      <c r="Y1021" s="61" t="n">
        <f aca="false">W1021-X1021</f>
        <v>92.44386375</v>
      </c>
      <c r="Z1021" s="1" t="n">
        <f aca="false">N(STACK!J1021)</f>
        <v>0</v>
      </c>
      <c r="AA1021" s="1" t="str">
        <f aca="false">TRIM(IF(D1021="UNMAPPED","Program not mapped. ","")&amp;IF(OR(K1021="UNMAPPED",K1021="UNASSIGNED"),"Category needs review. ","")&amp;IF(P1021="UNMAPPED","Title not mapped. ","")&amp;IF(AND(P1021&lt;&gt;"No staff time",R1021=""),"Missing hours. ","")&amp;IF(M1021="","Date not readable. ","")&amp;IF(N1021="No","Outside fiscal year. ","")&amp;IF(AND(F1021="Event",ISNUMBER(R1021)),IF(R1021&gt;12,"Event hours look high. ",""),"")&amp;IF(G1021&gt;0,"See CONFIRM sheet.",""))</f>
        <v/>
      </c>
      <c r="AB1021" s="1" t="n">
        <f aca="false">IF(N1021="No",0,IF(REVIEW!O1021=0,0,IF(G1021&gt;0,IF(INDEX(CONFIRM!$J$5:$J$53,G1021)&lt;&gt;"",INDEX(CONFIRM!$J$5:$J$53,G1021),1),1)))</f>
        <v>1</v>
      </c>
      <c r="AC1021" s="1" t="n">
        <f aca="false">IF(AB1021=1,IF(COUNTIFS($B$5:B1021,B1021,$D$5:D1021,D1021,$AB$5:AB1021,1)=1,1,0),0)</f>
        <v>0</v>
      </c>
    </row>
    <row r="1022" customFormat="false" ht="15" hidden="false" customHeight="false" outlineLevel="0" collapsed="false">
      <c r="A1022" s="48" t="str">
        <f aca="false">STACK!A1022</f>
        <v>CBH-0194</v>
      </c>
      <c r="B1022" s="48" t="str">
        <f aca="false">STACK!B1022</f>
        <v>CBH</v>
      </c>
      <c r="C1022" s="48" t="str">
        <f aca="false">STACK!E1022</f>
        <v>Naloxone Training</v>
      </c>
      <c r="D1022" s="1" t="str">
        <f aca="false">IFERROR(INDEX(MAP!$J$7:$J$101,MATCH(TRIM(C1022),MAP!$I$7:$I$101,0)),"UNMAPPED")</f>
        <v>Naloxone Training and Distribution</v>
      </c>
      <c r="E1022" s="1" t="str">
        <f aca="false">IFERROR(INDEX(MAP!$K$7:$K$101,MATCH(TRIM(C1022),MAP!$I$7:$I$101,0)),"")</f>
        <v>Behavioral health</v>
      </c>
      <c r="F1022" s="1" t="str">
        <f aca="false">IFERROR(INDEX(MAP!$L$7:$L$101,MATCH(TRIM(C1022),MAP!$I$7:$I$101,0)),"")</f>
        <v>Event</v>
      </c>
      <c r="G1022" s="1" t="n">
        <f aca="false">IFERROR(MATCH(A1022,CONFIRM!$A$5:$A$53,0),0)</f>
        <v>0</v>
      </c>
      <c r="H1022" s="48" t="str">
        <f aca="false">STACK!F1022</f>
        <v>Health Education</v>
      </c>
      <c r="I1022" s="1" t="str">
        <f aca="false">IF(G1022&gt;0,IF(INDEX(CONFIRM!$I$5:$I$53,G1022)&lt;&gt;"",INDEX(CONFIRM!$I$5:$I$53,G1022),H1022),H1022)</f>
        <v>Health Education</v>
      </c>
      <c r="J1022" s="1" t="str">
        <f aca="false">IFERROR(INDEX(MAP!$F$7:$F$74,MATCH(TRIM(I1022),MAP!$E$7:$E$74,0)),"UNMAPPED")</f>
        <v>Community health education</v>
      </c>
      <c r="K1022" s="1" t="str">
        <f aca="false">IFERROR(INDEX(MAP!$G$7:$G$74,MATCH(TRIM(I1022),MAP!$E$7:$E$74,0)),"UNMAPPED")</f>
        <v>7e</v>
      </c>
      <c r="L1022" s="49" t="str">
        <f aca="false">STACK!G1022</f>
        <v>2026-03-18</v>
      </c>
      <c r="M1022" s="59" t="n">
        <f aca="false">IF(G1022&gt;0,IF(INDEX(CONFIRM!$G$5:$G$53,G1022)&lt;&gt;"",INDEX(CONFIRM!$G$5:$G$53,G1022),IF(ISNUMBER(L1022),L1022,IFERROR(DATEVALUE(L1022),""))),IF(ISNUMBER(L1022),L1022,IFERROR(DATEVALUE(L1022),"")))</f>
        <v>46099</v>
      </c>
      <c r="N1022" s="1" t="str">
        <f aca="false">IF(M1022="","Check",IF(AND(M1022&gt;=INPUTS!$C$6,M1022&lt;=INPUTS!$C$7),"Yes","No"))</f>
        <v>Yes</v>
      </c>
      <c r="O1022" s="48" t="str">
        <f aca="false">STACK!H1022</f>
        <v>CHES</v>
      </c>
      <c r="P1022" s="1" t="str">
        <f aca="false">IF(G1022&gt;0,IF(INDEX(CONFIRM!$H$5:$H$53,G1022)&lt;&gt;"",INDEX(CONFIRM!$H$5:$H$53,G1022),IFERROR(INDEX(MAP!$B$7:$B$156,MATCH(TRIM(O1022),MAP!$A$7:$A$156,0)),"UNMAPPED")),IFERROR(INDEX(MAP!$B$7:$B$156,MATCH(TRIM(O1022),MAP!$A$7:$A$156,0)),"UNMAPPED"))</f>
        <v>Health Educator</v>
      </c>
      <c r="Q1022" s="48" t="n">
        <f aca="false">STACK!I1022</f>
        <v>2.75</v>
      </c>
      <c r="R1022" s="60" t="n">
        <f aca="false">IF(G1022&gt;0,IF(INDEX(CONFIRM!$F$5:$F$53,G1022)&lt;&gt;"",INDEX(CONFIRM!$F$5:$F$53,G1022),IF(ISNUMBER(Q1022),Q1022,IF(Q1022="","",IFERROR(VALUE(TRIM(SUBSTITUTE(SUBSTITUTE(LOWER(Q1022),"hrs",""),"hr",""))),"")))),IF(ISNUMBER(Q1022),Q1022,IF(Q1022="","",IFERROR(VALUE(TRIM(SUBSTITUTE(SUBSTITUTE(LOWER(Q1022),"hrs",""),"hr",""))),""))))</f>
        <v>2.75</v>
      </c>
      <c r="S1022" s="57" t="n">
        <f aca="false">IFERROR(INDEX(RATES!$E$6:$E$28,MATCH(P1022,RATES!$A$6:$A$28,0)),0)</f>
        <v>37.265</v>
      </c>
      <c r="T1022" s="61" t="n">
        <f aca="false">IF(ISNUMBER(R1022),R1022,0)*S1022</f>
        <v>102.47875</v>
      </c>
      <c r="U1022" s="61" t="n">
        <f aca="false">T1022*INDEX(INPUTS!$H$10:$H$14,MATCH(B1022,INPUTS!$A$10:$A$14,0))</f>
        <v>16.1916425</v>
      </c>
      <c r="V1022" s="61" t="n">
        <f aca="false">N(STACK!K1022)</f>
        <v>0</v>
      </c>
      <c r="W1022" s="61" t="n">
        <f aca="false">T1022+U1022+V1022</f>
        <v>118.6703925</v>
      </c>
      <c r="X1022" s="61" t="n">
        <f aca="false">N(STACK!L1022)</f>
        <v>0</v>
      </c>
      <c r="Y1022" s="61" t="n">
        <f aca="false">W1022-X1022</f>
        <v>118.6703925</v>
      </c>
      <c r="Z1022" s="1" t="n">
        <f aca="false">N(STACK!J1022)</f>
        <v>0</v>
      </c>
      <c r="AA1022" s="1" t="str">
        <f aca="false">TRIM(IF(D1022="UNMAPPED","Program not mapped. ","")&amp;IF(OR(K1022="UNMAPPED",K1022="UNASSIGNED"),"Category needs review. ","")&amp;IF(P1022="UNMAPPED","Title not mapped. ","")&amp;IF(AND(P1022&lt;&gt;"No staff time",R1022=""),"Missing hours. ","")&amp;IF(M1022="","Date not readable. ","")&amp;IF(N1022="No","Outside fiscal year. ","")&amp;IF(AND(F1022="Event",ISNUMBER(R1022)),IF(R1022&gt;12,"Event hours look high. ",""),"")&amp;IF(G1022&gt;0,"See CONFIRM sheet.",""))</f>
        <v/>
      </c>
      <c r="AB1022" s="1" t="n">
        <f aca="false">IF(N1022="No",0,IF(REVIEW!O1022=0,0,IF(G1022&gt;0,IF(INDEX(CONFIRM!$J$5:$J$53,G1022)&lt;&gt;"",INDEX(CONFIRM!$J$5:$J$53,G1022),1),1)))</f>
        <v>1</v>
      </c>
      <c r="AC1022" s="1" t="n">
        <f aca="false">IF(AB1022=1,IF(COUNTIFS($B$5:B1022,B1022,$D$5:D1022,D1022,$AB$5:AB1022,1)=1,1,0),0)</f>
        <v>0</v>
      </c>
    </row>
    <row r="1023" customFormat="false" ht="15" hidden="false" customHeight="false" outlineLevel="0" collapsed="false">
      <c r="A1023" s="48" t="str">
        <f aca="false">STACK!A1023</f>
        <v>CBH-0195</v>
      </c>
      <c r="B1023" s="48" t="str">
        <f aca="false">STACK!B1023</f>
        <v>CBH</v>
      </c>
      <c r="C1023" s="48" t="str">
        <f aca="false">STACK!E1023</f>
        <v>Naloxone Training</v>
      </c>
      <c r="D1023" s="1" t="str">
        <f aca="false">IFERROR(INDEX(MAP!$J$7:$J$101,MATCH(TRIM(C1023),MAP!$I$7:$I$101,0)),"UNMAPPED")</f>
        <v>Naloxone Training and Distribution</v>
      </c>
      <c r="E1023" s="1" t="str">
        <f aca="false">IFERROR(INDEX(MAP!$K$7:$K$101,MATCH(TRIM(C1023),MAP!$I$7:$I$101,0)),"")</f>
        <v>Behavioral health</v>
      </c>
      <c r="F1023" s="1" t="str">
        <f aca="false">IFERROR(INDEX(MAP!$L$7:$L$101,MATCH(TRIM(C1023),MAP!$I$7:$I$101,0)),"")</f>
        <v>Event</v>
      </c>
      <c r="G1023" s="1" t="n">
        <f aca="false">IFERROR(MATCH(A1023,CONFIRM!$A$5:$A$53,0),0)</f>
        <v>0</v>
      </c>
      <c r="H1023" s="48" t="str">
        <f aca="false">STACK!F1023</f>
        <v>Health Education</v>
      </c>
      <c r="I1023" s="1" t="str">
        <f aca="false">IF(G1023&gt;0,IF(INDEX(CONFIRM!$I$5:$I$53,G1023)&lt;&gt;"",INDEX(CONFIRM!$I$5:$I$53,G1023),H1023),H1023)</f>
        <v>Health Education</v>
      </c>
      <c r="J1023" s="1" t="str">
        <f aca="false">IFERROR(INDEX(MAP!$F$7:$F$74,MATCH(TRIM(I1023),MAP!$E$7:$E$74,0)),"UNMAPPED")</f>
        <v>Community health education</v>
      </c>
      <c r="K1023" s="1" t="str">
        <f aca="false">IFERROR(INDEX(MAP!$G$7:$G$74,MATCH(TRIM(I1023),MAP!$E$7:$E$74,0)),"UNMAPPED")</f>
        <v>7e</v>
      </c>
      <c r="L1023" s="49" t="str">
        <f aca="false">STACK!G1023</f>
        <v>2026-03-18</v>
      </c>
      <c r="M1023" s="59" t="n">
        <f aca="false">IF(G1023&gt;0,IF(INDEX(CONFIRM!$G$5:$G$53,G1023)&lt;&gt;"",INDEX(CONFIRM!$G$5:$G$53,G1023),IF(ISNUMBER(L1023),L1023,IFERROR(DATEVALUE(L1023),""))),IF(ISNUMBER(L1023),L1023,IFERROR(DATEVALUE(L1023),"")))</f>
        <v>46099</v>
      </c>
      <c r="N1023" s="1" t="str">
        <f aca="false">IF(M1023="","Check",IF(AND(M1023&gt;=INPUTS!$C$6,M1023&lt;=INPUTS!$C$7),"Yes","No"))</f>
        <v>Yes</v>
      </c>
      <c r="O1023" s="48" t="str">
        <f aca="false">STACK!H1023</f>
        <v>Pharmacist</v>
      </c>
      <c r="P1023" s="1" t="str">
        <f aca="false">IF(G1023&gt;0,IF(INDEX(CONFIRM!$H$5:$H$53,G1023)&lt;&gt;"",INDEX(CONFIRM!$H$5:$H$53,G1023),IFERROR(INDEX(MAP!$B$7:$B$156,MATCH(TRIM(O1023),MAP!$A$7:$A$156,0)),"UNMAPPED")),IFERROR(INDEX(MAP!$B$7:$B$156,MATCH(TRIM(O1023),MAP!$A$7:$A$156,0)),"UNMAPPED"))</f>
        <v>Pharmacist</v>
      </c>
      <c r="Q1023" s="48" t="n">
        <f aca="false">STACK!I1023</f>
        <v>2.5</v>
      </c>
      <c r="R1023" s="60" t="n">
        <f aca="false">IF(G1023&gt;0,IF(INDEX(CONFIRM!$F$5:$F$53,G1023)&lt;&gt;"",INDEX(CONFIRM!$F$5:$F$53,G1023),IF(ISNUMBER(Q1023),Q1023,IF(Q1023="","",IFERROR(VALUE(TRIM(SUBSTITUTE(SUBSTITUTE(LOWER(Q1023),"hrs",""),"hr",""))),"")))),IF(ISNUMBER(Q1023),Q1023,IF(Q1023="","",IFERROR(VALUE(TRIM(SUBSTITUTE(SUBSTITUTE(LOWER(Q1023),"hrs",""),"hr",""))),""))))</f>
        <v>2.5</v>
      </c>
      <c r="S1023" s="57" t="n">
        <f aca="false">IFERROR(INDEX(RATES!$E$6:$E$28,MATCH(P1023,RATES!$A$6:$A$28,0)),0)</f>
        <v>84.81</v>
      </c>
      <c r="T1023" s="61" t="n">
        <f aca="false">IF(ISNUMBER(R1023),R1023,0)*S1023</f>
        <v>212.025</v>
      </c>
      <c r="U1023" s="61" t="n">
        <f aca="false">T1023*INDEX(INPUTS!$H$10:$H$14,MATCH(B1023,INPUTS!$A$10:$A$14,0))</f>
        <v>33.49995</v>
      </c>
      <c r="V1023" s="61" t="n">
        <f aca="false">N(STACK!K1023)</f>
        <v>2220</v>
      </c>
      <c r="W1023" s="61" t="n">
        <f aca="false">T1023+U1023+V1023</f>
        <v>2465.52495</v>
      </c>
      <c r="X1023" s="61" t="n">
        <f aca="false">N(STACK!L1023)</f>
        <v>1635</v>
      </c>
      <c r="Y1023" s="61" t="n">
        <f aca="false">W1023-X1023</f>
        <v>830.52495</v>
      </c>
      <c r="Z1023" s="1" t="n">
        <f aca="false">N(STACK!J1023)</f>
        <v>29</v>
      </c>
      <c r="AA1023" s="1" t="str">
        <f aca="false">TRIM(IF(D1023="UNMAPPED","Program not mapped. ","")&amp;IF(OR(K1023="UNMAPPED",K1023="UNASSIGNED"),"Category needs review. ","")&amp;IF(P1023="UNMAPPED","Title not mapped. ","")&amp;IF(AND(P1023&lt;&gt;"No staff time",R1023=""),"Missing hours. ","")&amp;IF(M1023="","Date not readable. ","")&amp;IF(N1023="No","Outside fiscal year. ","")&amp;IF(AND(F1023="Event",ISNUMBER(R1023)),IF(R1023&gt;12,"Event hours look high. ",""),"")&amp;IF(G1023&gt;0,"See CONFIRM sheet.",""))</f>
        <v/>
      </c>
      <c r="AB1023" s="1" t="n">
        <f aca="false">IF(N1023="No",0,IF(REVIEW!O1023=0,0,IF(G1023&gt;0,IF(INDEX(CONFIRM!$J$5:$J$53,G1023)&lt;&gt;"",INDEX(CONFIRM!$J$5:$J$53,G1023),1),1)))</f>
        <v>1</v>
      </c>
      <c r="AC1023" s="1" t="n">
        <f aca="false">IF(AB1023=1,IF(COUNTIFS($B$5:B1023,B1023,$D$5:D1023,D1023,$AB$5:AB1023,1)=1,1,0),0)</f>
        <v>0</v>
      </c>
    </row>
    <row r="1024" customFormat="false" ht="15" hidden="false" customHeight="false" outlineLevel="0" collapsed="false">
      <c r="A1024" s="48" t="str">
        <f aca="false">STACK!A1024</f>
        <v>CBH-0196</v>
      </c>
      <c r="B1024" s="48" t="str">
        <f aca="false">STACK!B1024</f>
        <v>CBH</v>
      </c>
      <c r="C1024" s="48" t="str">
        <f aca="false">STACK!E1024</f>
        <v>Free Clinic Grant</v>
      </c>
      <c r="D1024" s="1" t="str">
        <f aca="false">IFERROR(INDEX(MAP!$J$7:$J$101,MATCH(TRIM(C1024),MAP!$I$7:$I$101,0)),"UNMAPPED")</f>
        <v>Free Clinic Operating Grant</v>
      </c>
      <c r="E1024" s="1" t="str">
        <f aca="false">IFERROR(INDEX(MAP!$K$7:$K$101,MATCH(TRIM(C1024),MAP!$I$7:$I$101,0)),"")</f>
        <v>Access to care</v>
      </c>
      <c r="F1024" s="1" t="str">
        <f aca="false">IFERROR(INDEX(MAP!$L$7:$L$101,MATCH(TRIM(C1024),MAP!$I$7:$I$101,0)),"")</f>
        <v>Contribution</v>
      </c>
      <c r="G1024" s="1" t="n">
        <f aca="false">IFERROR(MATCH(A1024,CONFIRM!$A$5:$A$53,0),0)</f>
        <v>0</v>
      </c>
      <c r="H1024" s="48" t="str">
        <f aca="false">STACK!F1024</f>
        <v>Donation</v>
      </c>
      <c r="I1024" s="1" t="str">
        <f aca="false">IF(G1024&gt;0,IF(INDEX(CONFIRM!$I$5:$I$53,G1024)&lt;&gt;"",INDEX(CONFIRM!$I$5:$I$53,G1024),H1024),H1024)</f>
        <v>Donation</v>
      </c>
      <c r="J1024" s="1" t="str">
        <f aca="false">IFERROR(INDEX(MAP!$F$7:$F$74,MATCH(TRIM(I1024),MAP!$E$7:$E$74,0)),"UNMAPPED")</f>
        <v>Cash and in-kind contributions</v>
      </c>
      <c r="K1024" s="1" t="str">
        <f aca="false">IFERROR(INDEX(MAP!$G$7:$G$74,MATCH(TRIM(I1024),MAP!$E$7:$E$74,0)),"UNMAPPED")</f>
        <v>7i</v>
      </c>
      <c r="L1024" s="49" t="str">
        <f aca="false">STACK!G1024</f>
        <v>2026-03-29</v>
      </c>
      <c r="M1024" s="59" t="n">
        <f aca="false">IF(G1024&gt;0,IF(INDEX(CONFIRM!$G$5:$G$53,G1024)&lt;&gt;"",INDEX(CONFIRM!$G$5:$G$53,G1024),IF(ISNUMBER(L1024),L1024,IFERROR(DATEVALUE(L1024),""))),IF(ISNUMBER(L1024),L1024,IFERROR(DATEVALUE(L1024),"")))</f>
        <v>46110</v>
      </c>
      <c r="N1024" s="1" t="str">
        <f aca="false">IF(M1024="","Check",IF(AND(M1024&gt;=INPUTS!$C$6,M1024&lt;=INPUTS!$C$7),"Yes","No"))</f>
        <v>Yes</v>
      </c>
      <c r="O1024" s="48" t="str">
        <f aca="false">STACK!H1024</f>
        <v>none</v>
      </c>
      <c r="P1024" s="1" t="str">
        <f aca="false">IF(G1024&gt;0,IF(INDEX(CONFIRM!$H$5:$H$53,G1024)&lt;&gt;"",INDEX(CONFIRM!$H$5:$H$53,G1024),IFERROR(INDEX(MAP!$B$7:$B$156,MATCH(TRIM(O1024),MAP!$A$7:$A$156,0)),"UNMAPPED")),IFERROR(INDEX(MAP!$B$7:$B$156,MATCH(TRIM(O1024),MAP!$A$7:$A$156,0)),"UNMAPPED"))</f>
        <v>No staff time</v>
      </c>
      <c r="Q1024" s="48" t="n">
        <f aca="false">STACK!I1024</f>
        <v>0</v>
      </c>
      <c r="R1024" s="60" t="n">
        <f aca="false">IF(G1024&gt;0,IF(INDEX(CONFIRM!$F$5:$F$53,G1024)&lt;&gt;"",INDEX(CONFIRM!$F$5:$F$53,G1024),IF(ISNUMBER(Q1024),Q1024,IF(Q1024="","",IFERROR(VALUE(TRIM(SUBSTITUTE(SUBSTITUTE(LOWER(Q1024),"hrs",""),"hr",""))),"")))),IF(ISNUMBER(Q1024),Q1024,IF(Q1024="","",IFERROR(VALUE(TRIM(SUBSTITUTE(SUBSTITUTE(LOWER(Q1024),"hrs",""),"hr",""))),""))))</f>
        <v>0</v>
      </c>
      <c r="S1024" s="57" t="n">
        <f aca="false">IFERROR(INDEX(RATES!$E$6:$E$28,MATCH(P1024,RATES!$A$6:$A$28,0)),0)</f>
        <v>0</v>
      </c>
      <c r="T1024" s="61" t="n">
        <f aca="false">IF(ISNUMBER(R1024),R1024,0)*S1024</f>
        <v>0</v>
      </c>
      <c r="U1024" s="61" t="n">
        <f aca="false">T1024*INDEX(INPUTS!$H$10:$H$14,MATCH(B1024,INPUTS!$A$10:$A$14,0))</f>
        <v>0</v>
      </c>
      <c r="V1024" s="61" t="n">
        <f aca="false">N(STACK!K1024)</f>
        <v>43475</v>
      </c>
      <c r="W1024" s="61" t="n">
        <f aca="false">T1024+U1024+V1024</f>
        <v>43475</v>
      </c>
      <c r="X1024" s="61" t="n">
        <f aca="false">N(STACK!L1024)</f>
        <v>0</v>
      </c>
      <c r="Y1024" s="61" t="n">
        <f aca="false">W1024-X1024</f>
        <v>43475</v>
      </c>
      <c r="Z1024" s="1" t="n">
        <f aca="false">N(STACK!J1024)</f>
        <v>0</v>
      </c>
      <c r="AA1024" s="1" t="str">
        <f aca="false">TRIM(IF(D1024="UNMAPPED","Program not mapped. ","")&amp;IF(OR(K1024="UNMAPPED",K1024="UNASSIGNED"),"Category needs review. ","")&amp;IF(P1024="UNMAPPED","Title not mapped. ","")&amp;IF(AND(P1024&lt;&gt;"No staff time",R1024=""),"Missing hours. ","")&amp;IF(M1024="","Date not readable. ","")&amp;IF(N1024="No","Outside fiscal year. ","")&amp;IF(AND(F1024="Event",ISNUMBER(R1024)),IF(R1024&gt;12,"Event hours look high. ",""),"")&amp;IF(G1024&gt;0,"See CONFIRM sheet.",""))</f>
        <v/>
      </c>
      <c r="AB1024" s="1" t="n">
        <f aca="false">IF(N1024="No",0,IF(REVIEW!O1024=0,0,IF(G1024&gt;0,IF(INDEX(CONFIRM!$J$5:$J$53,G1024)&lt;&gt;"",INDEX(CONFIRM!$J$5:$J$53,G1024),1),1)))</f>
        <v>1</v>
      </c>
      <c r="AC1024" s="1" t="n">
        <f aca="false">IF(AB1024=1,IF(COUNTIFS($B$5:B1024,B1024,$D$5:D1024,D1024,$AB$5:AB1024,1)=1,1,0),0)</f>
        <v>0</v>
      </c>
    </row>
    <row r="1025" customFormat="false" ht="15" hidden="false" customHeight="false" outlineLevel="0" collapsed="false">
      <c r="A1025" s="48" t="str">
        <f aca="false">STACK!A1025</f>
        <v>CBH-0197</v>
      </c>
      <c r="B1025" s="48" t="str">
        <f aca="false">STACK!B1025</f>
        <v>CBH</v>
      </c>
      <c r="C1025" s="48" t="str">
        <f aca="false">STACK!E1025</f>
        <v>Community Garden</v>
      </c>
      <c r="D1025" s="1" t="str">
        <f aca="false">IFERROR(INDEX(MAP!$J$7:$J$101,MATCH(TRIM(C1025),MAP!$I$7:$I$101,0)),"UNMAPPED")</f>
        <v>Community Garden and Green Space Project</v>
      </c>
      <c r="E1025" s="1" t="str">
        <f aca="false">IFERROR(INDEX(MAP!$K$7:$K$101,MATCH(TRIM(C1025),MAP!$I$7:$I$101,0)),"")</f>
        <v>Food and housing security</v>
      </c>
      <c r="F1025" s="1" t="str">
        <f aca="false">IFERROR(INDEX(MAP!$L$7:$L$101,MATCH(TRIM(C1025),MAP!$I$7:$I$101,0)),"")</f>
        <v>Event</v>
      </c>
      <c r="G1025" s="1" t="n">
        <f aca="false">IFERROR(MATCH(A1025,CONFIRM!$A$5:$A$53,0),0)</f>
        <v>0</v>
      </c>
      <c r="H1025" s="48" t="str">
        <f aca="false">STACK!F1025</f>
        <v>Environmental</v>
      </c>
      <c r="I1025" s="1" t="str">
        <f aca="false">IF(G1025&gt;0,IF(INDEX(CONFIRM!$I$5:$I$53,G1025)&lt;&gt;"",INDEX(CONFIRM!$I$5:$I$53,G1025),H1025),H1025)</f>
        <v>Environmental</v>
      </c>
      <c r="J1025" s="1" t="str">
        <f aca="false">IFERROR(INDEX(MAP!$F$7:$F$74,MATCH(TRIM(I1025),MAP!$E$7:$E$74,0)),"UNMAPPED")</f>
        <v>Community building: environmental improvements</v>
      </c>
      <c r="K1025" s="1" t="str">
        <f aca="false">IFERROR(INDEX(MAP!$G$7:$G$74,MATCH(TRIM(I1025),MAP!$E$7:$E$74,0)),"UNMAPPED")</f>
        <v>II-4</v>
      </c>
      <c r="L1025" s="49" t="str">
        <f aca="false">STACK!G1025</f>
        <v>2026-03-30</v>
      </c>
      <c r="M1025" s="59" t="n">
        <f aca="false">IF(G1025&gt;0,IF(INDEX(CONFIRM!$G$5:$G$53,G1025)&lt;&gt;"",INDEX(CONFIRM!$G$5:$G$53,G1025),IF(ISNUMBER(L1025),L1025,IFERROR(DATEVALUE(L1025),""))),IF(ISNUMBER(L1025),L1025,IFERROR(DATEVALUE(L1025),"")))</f>
        <v>46111</v>
      </c>
      <c r="N1025" s="1" t="str">
        <f aca="false">IF(M1025="","Check",IF(AND(M1025&gt;=INPUTS!$C$6,M1025&lt;=INPUTS!$C$7),"Yes","No"))</f>
        <v>Yes</v>
      </c>
      <c r="O1025" s="48" t="str">
        <f aca="false">STACK!H1025</f>
        <v>Coordinator</v>
      </c>
      <c r="P1025" s="1" t="str">
        <f aca="false">IF(G1025&gt;0,IF(INDEX(CONFIRM!$H$5:$H$53,G1025)&lt;&gt;"",INDEX(CONFIRM!$H$5:$H$53,G1025),IFERROR(INDEX(MAP!$B$7:$B$156,MATCH(TRIM(O1025),MAP!$A$7:$A$156,0)),"UNMAPPED")),IFERROR(INDEX(MAP!$B$7:$B$156,MATCH(TRIM(O1025),MAP!$A$7:$A$156,0)),"UNMAPPED"))</f>
        <v>Program Coordinator</v>
      </c>
      <c r="Q1025" s="48" t="n">
        <f aca="false">STACK!I1025</f>
        <v>7</v>
      </c>
      <c r="R1025" s="60" t="n">
        <f aca="false">IF(G1025&gt;0,IF(INDEX(CONFIRM!$F$5:$F$53,G1025)&lt;&gt;"",INDEX(CONFIRM!$F$5:$F$53,G1025),IF(ISNUMBER(Q1025),Q1025,IF(Q1025="","",IFERROR(VALUE(TRIM(SUBSTITUTE(SUBSTITUTE(LOWER(Q1025),"hrs",""),"hr",""))),"")))),IF(ISNUMBER(Q1025),Q1025,IF(Q1025="","",IFERROR(VALUE(TRIM(SUBSTITUTE(SUBSTITUTE(LOWER(Q1025),"hrs",""),"hr",""))),""))))</f>
        <v>7</v>
      </c>
      <c r="S1025" s="57" t="n">
        <f aca="false">IFERROR(INDEX(RATES!$E$6:$E$28,MATCH(P1025,RATES!$A$6:$A$28,0)),0)</f>
        <v>35.3375</v>
      </c>
      <c r="T1025" s="61" t="n">
        <f aca="false">IF(ISNUMBER(R1025),R1025,0)*S1025</f>
        <v>247.3625</v>
      </c>
      <c r="U1025" s="61" t="n">
        <f aca="false">T1025*INDEX(INPUTS!$H$10:$H$14,MATCH(B1025,INPUTS!$A$10:$A$14,0))</f>
        <v>39.083275</v>
      </c>
      <c r="V1025" s="61" t="n">
        <f aca="false">N(STACK!K1025)</f>
        <v>4040</v>
      </c>
      <c r="W1025" s="61" t="n">
        <f aca="false">T1025+U1025+V1025</f>
        <v>4326.445775</v>
      </c>
      <c r="X1025" s="61" t="n">
        <f aca="false">N(STACK!L1025)</f>
        <v>0</v>
      </c>
      <c r="Y1025" s="61" t="n">
        <f aca="false">W1025-X1025</f>
        <v>4326.445775</v>
      </c>
      <c r="Z1025" s="1" t="n">
        <f aca="false">N(STACK!J1025)</f>
        <v>52</v>
      </c>
      <c r="AA1025" s="1" t="str">
        <f aca="false">TRIM(IF(D1025="UNMAPPED","Program not mapped. ","")&amp;IF(OR(K1025="UNMAPPED",K1025="UNASSIGNED"),"Category needs review. ","")&amp;IF(P1025="UNMAPPED","Title not mapped. ","")&amp;IF(AND(P1025&lt;&gt;"No staff time",R1025=""),"Missing hours. ","")&amp;IF(M1025="","Date not readable. ","")&amp;IF(N1025="No","Outside fiscal year. ","")&amp;IF(AND(F1025="Event",ISNUMBER(R1025)),IF(R1025&gt;12,"Event hours look high. ",""),"")&amp;IF(G1025&gt;0,"See CONFIRM sheet.",""))</f>
        <v/>
      </c>
      <c r="AB1025" s="1" t="n">
        <f aca="false">IF(N1025="No",0,IF(REVIEW!O1025=0,0,IF(G1025&gt;0,IF(INDEX(CONFIRM!$J$5:$J$53,G1025)&lt;&gt;"",INDEX(CONFIRM!$J$5:$J$53,G1025),1),1)))</f>
        <v>1</v>
      </c>
      <c r="AC1025" s="1" t="n">
        <f aca="false">IF(AB1025=1,IF(COUNTIFS($B$5:B1025,B1025,$D$5:D1025,D1025,$AB$5:AB1025,1)=1,1,0),0)</f>
        <v>0</v>
      </c>
    </row>
    <row r="1026" customFormat="false" ht="15" hidden="false" customHeight="false" outlineLevel="0" collapsed="false">
      <c r="A1026" s="48" t="str">
        <f aca="false">STACK!A1026</f>
        <v>CBH-0198</v>
      </c>
      <c r="B1026" s="48" t="str">
        <f aca="false">STACK!B1026</f>
        <v>CBH</v>
      </c>
      <c r="C1026" s="48" t="str">
        <f aca="false">STACK!E1026</f>
        <v>Mental Health First Aid</v>
      </c>
      <c r="D1026" s="1" t="str">
        <f aca="false">IFERROR(INDEX(MAP!$J$7:$J$101,MATCH(TRIM(C1026),MAP!$I$7:$I$101,0)),"UNMAPPED")</f>
        <v>Mental Health First Aid Training</v>
      </c>
      <c r="E1026" s="1" t="str">
        <f aca="false">IFERROR(INDEX(MAP!$K$7:$K$101,MATCH(TRIM(C1026),MAP!$I$7:$I$101,0)),"")</f>
        <v>Behavioral health</v>
      </c>
      <c r="F1026" s="1" t="str">
        <f aca="false">IFERROR(INDEX(MAP!$L$7:$L$101,MATCH(TRIM(C1026),MAP!$I$7:$I$101,0)),"")</f>
        <v>Event</v>
      </c>
      <c r="G1026" s="1" t="n">
        <f aca="false">IFERROR(MATCH(A1026,CONFIRM!$A$5:$A$53,0),0)</f>
        <v>0</v>
      </c>
      <c r="H1026" s="48" t="str">
        <f aca="false">STACK!F1026</f>
        <v>Health Education</v>
      </c>
      <c r="I1026" s="1" t="str">
        <f aca="false">IF(G1026&gt;0,IF(INDEX(CONFIRM!$I$5:$I$53,G1026)&lt;&gt;"",INDEX(CONFIRM!$I$5:$I$53,G1026),H1026),H1026)</f>
        <v>Health Education</v>
      </c>
      <c r="J1026" s="1" t="str">
        <f aca="false">IFERROR(INDEX(MAP!$F$7:$F$74,MATCH(TRIM(I1026),MAP!$E$7:$E$74,0)),"UNMAPPED")</f>
        <v>Community health education</v>
      </c>
      <c r="K1026" s="1" t="str">
        <f aca="false">IFERROR(INDEX(MAP!$G$7:$G$74,MATCH(TRIM(I1026),MAP!$E$7:$E$74,0)),"UNMAPPED")</f>
        <v>7e</v>
      </c>
      <c r="L1026" s="49" t="str">
        <f aca="false">STACK!G1026</f>
        <v>2026-03-31</v>
      </c>
      <c r="M1026" s="59" t="n">
        <f aca="false">IF(G1026&gt;0,IF(INDEX(CONFIRM!$G$5:$G$53,G1026)&lt;&gt;"",INDEX(CONFIRM!$G$5:$G$53,G1026),IF(ISNUMBER(L1026),L1026,IFERROR(DATEVALUE(L1026),""))),IF(ISNUMBER(L1026),L1026,IFERROR(DATEVALUE(L1026),"")))</f>
        <v>46112</v>
      </c>
      <c r="N1026" s="1" t="str">
        <f aca="false">IF(M1026="","Check",IF(AND(M1026&gt;=INPUTS!$C$6,M1026&lt;=INPUTS!$C$7),"Yes","No"))</f>
        <v>Yes</v>
      </c>
      <c r="O1026" s="48" t="str">
        <f aca="false">STACK!H1026</f>
        <v> Health Ed</v>
      </c>
      <c r="P1026" s="1" t="str">
        <f aca="false">IF(G1026&gt;0,IF(INDEX(CONFIRM!$H$5:$H$53,G1026)&lt;&gt;"",INDEX(CONFIRM!$H$5:$H$53,G1026),IFERROR(INDEX(MAP!$B$7:$B$156,MATCH(TRIM(O1026),MAP!$A$7:$A$156,0)),"UNMAPPED")),IFERROR(INDEX(MAP!$B$7:$B$156,MATCH(TRIM(O1026),MAP!$A$7:$A$156,0)),"UNMAPPED"))</f>
        <v>Health Educator</v>
      </c>
      <c r="Q1026" s="48" t="n">
        <f aca="false">STACK!I1026</f>
        <v>8</v>
      </c>
      <c r="R1026" s="60" t="n">
        <f aca="false">IF(G1026&gt;0,IF(INDEX(CONFIRM!$F$5:$F$53,G1026)&lt;&gt;"",INDEX(CONFIRM!$F$5:$F$53,G1026),IF(ISNUMBER(Q1026),Q1026,IF(Q1026="","",IFERROR(VALUE(TRIM(SUBSTITUTE(SUBSTITUTE(LOWER(Q1026),"hrs",""),"hr",""))),"")))),IF(ISNUMBER(Q1026),Q1026,IF(Q1026="","",IFERROR(VALUE(TRIM(SUBSTITUTE(SUBSTITUTE(LOWER(Q1026),"hrs",""),"hr",""))),""))))</f>
        <v>8</v>
      </c>
      <c r="S1026" s="57" t="n">
        <f aca="false">IFERROR(INDEX(RATES!$E$6:$E$28,MATCH(P1026,RATES!$A$6:$A$28,0)),0)</f>
        <v>37.265</v>
      </c>
      <c r="T1026" s="61" t="n">
        <f aca="false">IF(ISNUMBER(R1026),R1026,0)*S1026</f>
        <v>298.12</v>
      </c>
      <c r="U1026" s="61" t="n">
        <f aca="false">T1026*INDEX(INPUTS!$H$10:$H$14,MATCH(B1026,INPUTS!$A$10:$A$14,0))</f>
        <v>47.10296</v>
      </c>
      <c r="V1026" s="61" t="n">
        <f aca="false">N(STACK!K1026)</f>
        <v>0</v>
      </c>
      <c r="W1026" s="61" t="n">
        <f aca="false">T1026+U1026+V1026</f>
        <v>345.22296</v>
      </c>
      <c r="X1026" s="61" t="n">
        <f aca="false">N(STACK!L1026)</f>
        <v>0</v>
      </c>
      <c r="Y1026" s="61" t="n">
        <f aca="false">W1026-X1026</f>
        <v>345.22296</v>
      </c>
      <c r="Z1026" s="1" t="n">
        <f aca="false">N(STACK!J1026)</f>
        <v>0</v>
      </c>
      <c r="AA1026" s="1" t="str">
        <f aca="false">TRIM(IF(D1026="UNMAPPED","Program not mapped. ","")&amp;IF(OR(K1026="UNMAPPED",K1026="UNASSIGNED"),"Category needs review. ","")&amp;IF(P1026="UNMAPPED","Title not mapped. ","")&amp;IF(AND(P1026&lt;&gt;"No staff time",R1026=""),"Missing hours. ","")&amp;IF(M1026="","Date not readable. ","")&amp;IF(N1026="No","Outside fiscal year. ","")&amp;IF(AND(F1026="Event",ISNUMBER(R1026)),IF(R1026&gt;12,"Event hours look high. ",""),"")&amp;IF(G1026&gt;0,"See CONFIRM sheet.",""))</f>
        <v/>
      </c>
      <c r="AB1026" s="1" t="n">
        <f aca="false">IF(N1026="No",0,IF(REVIEW!O1026=0,0,IF(G1026&gt;0,IF(INDEX(CONFIRM!$J$5:$J$53,G1026)&lt;&gt;"",INDEX(CONFIRM!$J$5:$J$53,G1026),1),1)))</f>
        <v>1</v>
      </c>
      <c r="AC1026" s="1" t="n">
        <f aca="false">IF(AB1026=1,IF(COUNTIFS($B$5:B1026,B1026,$D$5:D1026,D1026,$AB$5:AB1026,1)=1,1,0),0)</f>
        <v>0</v>
      </c>
    </row>
    <row r="1027" customFormat="false" ht="15" hidden="false" customHeight="false" outlineLevel="0" collapsed="false">
      <c r="A1027" s="48" t="str">
        <f aca="false">STACK!A1027</f>
        <v>CBH-0199</v>
      </c>
      <c r="B1027" s="48" t="str">
        <f aca="false">STACK!B1027</f>
        <v>CBH</v>
      </c>
      <c r="C1027" s="48" t="str">
        <f aca="false">STACK!E1027</f>
        <v>Mental Health First Aid</v>
      </c>
      <c r="D1027" s="1" t="str">
        <f aca="false">IFERROR(INDEX(MAP!$J$7:$J$101,MATCH(TRIM(C1027),MAP!$I$7:$I$101,0)),"UNMAPPED")</f>
        <v>Mental Health First Aid Training</v>
      </c>
      <c r="E1027" s="1" t="str">
        <f aca="false">IFERROR(INDEX(MAP!$K$7:$K$101,MATCH(TRIM(C1027),MAP!$I$7:$I$101,0)),"")</f>
        <v>Behavioral health</v>
      </c>
      <c r="F1027" s="1" t="str">
        <f aca="false">IFERROR(INDEX(MAP!$L$7:$L$101,MATCH(TRIM(C1027),MAP!$I$7:$I$101,0)),"")</f>
        <v>Event</v>
      </c>
      <c r="G1027" s="1" t="n">
        <f aca="false">IFERROR(MATCH(A1027,CONFIRM!$A$5:$A$53,0),0)</f>
        <v>0</v>
      </c>
      <c r="H1027" s="48" t="str">
        <f aca="false">STACK!F1027</f>
        <v>Health Education</v>
      </c>
      <c r="I1027" s="1" t="str">
        <f aca="false">IF(G1027&gt;0,IF(INDEX(CONFIRM!$I$5:$I$53,G1027)&lt;&gt;"",INDEX(CONFIRM!$I$5:$I$53,G1027),H1027),H1027)</f>
        <v>Health Education</v>
      </c>
      <c r="J1027" s="1" t="str">
        <f aca="false">IFERROR(INDEX(MAP!$F$7:$F$74,MATCH(TRIM(I1027),MAP!$E$7:$E$74,0)),"UNMAPPED")</f>
        <v>Community health education</v>
      </c>
      <c r="K1027" s="1" t="str">
        <f aca="false">IFERROR(INDEX(MAP!$G$7:$G$74,MATCH(TRIM(I1027),MAP!$E$7:$E$74,0)),"UNMAPPED")</f>
        <v>7e</v>
      </c>
      <c r="L1027" s="49" t="str">
        <f aca="false">STACK!G1027</f>
        <v>2026-03-31</v>
      </c>
      <c r="M1027" s="59" t="n">
        <f aca="false">IF(G1027&gt;0,IF(INDEX(CONFIRM!$G$5:$G$53,G1027)&lt;&gt;"",INDEX(CONFIRM!$G$5:$G$53,G1027),IF(ISNUMBER(L1027),L1027,IFERROR(DATEVALUE(L1027),""))),IF(ISNUMBER(L1027),L1027,IFERROR(DATEVALUE(L1027),"")))</f>
        <v>46112</v>
      </c>
      <c r="N1027" s="1" t="str">
        <f aca="false">IF(M1027="","Check",IF(AND(M1027&gt;=INPUTS!$C$6,M1027&lt;=INPUTS!$C$7),"Yes","No"))</f>
        <v>Yes</v>
      </c>
      <c r="O1027" s="48" t="str">
        <f aca="false">STACK!H1027</f>
        <v>Clinical Social Worker</v>
      </c>
      <c r="P1027" s="1" t="str">
        <f aca="false">IF(G1027&gt;0,IF(INDEX(CONFIRM!$H$5:$H$53,G1027)&lt;&gt;"",INDEX(CONFIRM!$H$5:$H$53,G1027),IFERROR(INDEX(MAP!$B$7:$B$156,MATCH(TRIM(O1027),MAP!$A$7:$A$156,0)),"UNMAPPED")),IFERROR(INDEX(MAP!$B$7:$B$156,MATCH(TRIM(O1027),MAP!$A$7:$A$156,0)),"UNMAPPED"))</f>
        <v>Social Worker</v>
      </c>
      <c r="Q1027" s="48" t="n">
        <f aca="false">STACK!I1027</f>
        <v>8</v>
      </c>
      <c r="R1027" s="60" t="n">
        <f aca="false">IF(G1027&gt;0,IF(INDEX(CONFIRM!$F$5:$F$53,G1027)&lt;&gt;"",INDEX(CONFIRM!$F$5:$F$53,G1027),IF(ISNUMBER(Q1027),Q1027,IF(Q1027="","",IFERROR(VALUE(TRIM(SUBSTITUTE(SUBSTITUTE(LOWER(Q1027),"hrs",""),"hr",""))),"")))),IF(ISNUMBER(Q1027),Q1027,IF(Q1027="","",IFERROR(VALUE(TRIM(SUBSTITUTE(SUBSTITUTE(LOWER(Q1027),"hrs",""),"hr",""))),""))))</f>
        <v>8</v>
      </c>
      <c r="S1027" s="57" t="n">
        <f aca="false">IFERROR(INDEX(RATES!$E$6:$E$28,MATCH(P1027,RATES!$A$6:$A$28,0)),0)</f>
        <v>45.6175</v>
      </c>
      <c r="T1027" s="61" t="n">
        <f aca="false">IF(ISNUMBER(R1027),R1027,0)*S1027</f>
        <v>364.94</v>
      </c>
      <c r="U1027" s="61" t="n">
        <f aca="false">T1027*INDEX(INPUTS!$H$10:$H$14,MATCH(B1027,INPUTS!$A$10:$A$14,0))</f>
        <v>57.66052</v>
      </c>
      <c r="V1027" s="61" t="n">
        <f aca="false">N(STACK!K1027)</f>
        <v>590</v>
      </c>
      <c r="W1027" s="61" t="n">
        <f aca="false">T1027+U1027+V1027</f>
        <v>1012.60052</v>
      </c>
      <c r="X1027" s="61" t="n">
        <f aca="false">N(STACK!L1027)</f>
        <v>0</v>
      </c>
      <c r="Y1027" s="61" t="n">
        <f aca="false">W1027-X1027</f>
        <v>1012.60052</v>
      </c>
      <c r="Z1027" s="1" t="n">
        <f aca="false">N(STACK!J1027)</f>
        <v>29</v>
      </c>
      <c r="AA1027" s="1" t="str">
        <f aca="false">TRIM(IF(D1027="UNMAPPED","Program not mapped. ","")&amp;IF(OR(K1027="UNMAPPED",K1027="UNASSIGNED"),"Category needs review. ","")&amp;IF(P1027="UNMAPPED","Title not mapped. ","")&amp;IF(AND(P1027&lt;&gt;"No staff time",R1027=""),"Missing hours. ","")&amp;IF(M1027="","Date not readable. ","")&amp;IF(N1027="No","Outside fiscal year. ","")&amp;IF(AND(F1027="Event",ISNUMBER(R1027)),IF(R1027&gt;12,"Event hours look high. ",""),"")&amp;IF(G1027&gt;0,"See CONFIRM sheet.",""))</f>
        <v/>
      </c>
      <c r="AB1027" s="1" t="n">
        <f aca="false">IF(N1027="No",0,IF(REVIEW!O1027=0,0,IF(G1027&gt;0,IF(INDEX(CONFIRM!$J$5:$J$53,G1027)&lt;&gt;"",INDEX(CONFIRM!$J$5:$J$53,G1027),1),1)))</f>
        <v>1</v>
      </c>
      <c r="AC1027" s="1" t="n">
        <f aca="false">IF(AB1027=1,IF(COUNTIFS($B$5:B1027,B1027,$D$5:D1027,D1027,$AB$5:AB1027,1)=1,1,0),0)</f>
        <v>0</v>
      </c>
    </row>
    <row r="1028" customFormat="false" ht="15" hidden="false" customHeight="false" outlineLevel="0" collapsed="false">
      <c r="A1028" s="48" t="str">
        <f aca="false">STACK!A1028</f>
        <v>CBH-0200</v>
      </c>
      <c r="B1028" s="48" t="str">
        <f aca="false">STACK!B1028</f>
        <v>CBH</v>
      </c>
      <c r="C1028" s="48" t="str">
        <f aca="false">STACK!E1028</f>
        <v>Free Clinic Staffing</v>
      </c>
      <c r="D1028" s="1" t="str">
        <f aca="false">IFERROR(INDEX(MAP!$J$7:$J$101,MATCH(TRIM(C1028),MAP!$I$7:$I$101,0)),"UNMAPPED")</f>
        <v>Free Clinic Provider Staffing</v>
      </c>
      <c r="E1028" s="1" t="str">
        <f aca="false">IFERROR(INDEX(MAP!$K$7:$K$101,MATCH(TRIM(C1028),MAP!$I$7:$I$101,0)),"")</f>
        <v>Access to care</v>
      </c>
      <c r="F1028" s="1" t="str">
        <f aca="false">IFERROR(INDEX(MAP!$L$7:$L$101,MATCH(TRIM(C1028),MAP!$I$7:$I$101,0)),"")</f>
        <v>Monthly</v>
      </c>
      <c r="G1028" s="1" t="n">
        <f aca="false">IFERROR(MATCH(A1028,CONFIRM!$A$5:$A$53,0),0)</f>
        <v>0</v>
      </c>
      <c r="H1028" s="48" t="str">
        <f aca="false">STACK!F1028</f>
        <v>Screenings</v>
      </c>
      <c r="I1028" s="1" t="str">
        <f aca="false">IF(G1028&gt;0,IF(INDEX(CONFIRM!$I$5:$I$53,G1028)&lt;&gt;"",INDEX(CONFIRM!$I$5:$I$53,G1028),H1028),H1028)</f>
        <v>Screenings</v>
      </c>
      <c r="J1028" s="1" t="str">
        <f aca="false">IFERROR(INDEX(MAP!$F$7:$F$74,MATCH(TRIM(I1028),MAP!$E$7:$E$74,0)),"UNMAPPED")</f>
        <v>Community-based clinical services</v>
      </c>
      <c r="K1028" s="1" t="str">
        <f aca="false">IFERROR(INDEX(MAP!$G$7:$G$74,MATCH(TRIM(I1028),MAP!$E$7:$E$74,0)),"UNMAPPED")</f>
        <v>7e</v>
      </c>
      <c r="L1028" s="49" t="str">
        <f aca="false">STACK!G1028</f>
        <v>2026-03-31</v>
      </c>
      <c r="M1028" s="59" t="n">
        <f aca="false">IF(G1028&gt;0,IF(INDEX(CONFIRM!$G$5:$G$53,G1028)&lt;&gt;"",INDEX(CONFIRM!$G$5:$G$53,G1028),IF(ISNUMBER(L1028),L1028,IFERROR(DATEVALUE(L1028),""))),IF(ISNUMBER(L1028),L1028,IFERROR(DATEVALUE(L1028),"")))</f>
        <v>46112</v>
      </c>
      <c r="N1028" s="1" t="str">
        <f aca="false">IF(M1028="","Check",IF(AND(M1028&gt;=INPUTS!$C$6,M1028&lt;=INPUTS!$C$7),"Yes","No"))</f>
        <v>Yes</v>
      </c>
      <c r="O1028" s="48" t="str">
        <f aca="false">STACK!H1028</f>
        <v>FNP</v>
      </c>
      <c r="P1028" s="1" t="str">
        <f aca="false">IF(G1028&gt;0,IF(INDEX(CONFIRM!$H$5:$H$53,G1028)&lt;&gt;"",INDEX(CONFIRM!$H$5:$H$53,G1028),IFERROR(INDEX(MAP!$B$7:$B$156,MATCH(TRIM(O1028),MAP!$A$7:$A$156,0)),"UNMAPPED")),IFERROR(INDEX(MAP!$B$7:$B$156,MATCH(TRIM(O1028),MAP!$A$7:$A$156,0)),"UNMAPPED"))</f>
        <v>Nurse Practitioner</v>
      </c>
      <c r="Q1028" s="48" t="n">
        <f aca="false">STACK!I1028</f>
        <v>40.25</v>
      </c>
      <c r="R1028" s="60" t="n">
        <f aca="false">IF(G1028&gt;0,IF(INDEX(CONFIRM!$F$5:$F$53,G1028)&lt;&gt;"",INDEX(CONFIRM!$F$5:$F$53,G1028),IF(ISNUMBER(Q1028),Q1028,IF(Q1028="","",IFERROR(VALUE(TRIM(SUBSTITUTE(SUBSTITUTE(LOWER(Q1028),"hrs",""),"hr",""))),"")))),IF(ISNUMBER(Q1028),Q1028,IF(Q1028="","",IFERROR(VALUE(TRIM(SUBSTITUTE(SUBSTITUTE(LOWER(Q1028),"hrs",""),"hr",""))),""))))</f>
        <v>40.25</v>
      </c>
      <c r="S1028" s="57" t="n">
        <f aca="false">IFERROR(INDEX(RATES!$E$6:$E$28,MATCH(P1028,RATES!$A$6:$A$28,0)),0)</f>
        <v>79.67</v>
      </c>
      <c r="T1028" s="61" t="n">
        <f aca="false">IF(ISNUMBER(R1028),R1028,0)*S1028</f>
        <v>3206.7175</v>
      </c>
      <c r="U1028" s="61" t="n">
        <f aca="false">T1028*INDEX(INPUTS!$H$10:$H$14,MATCH(B1028,INPUTS!$A$10:$A$14,0))</f>
        <v>506.661365</v>
      </c>
      <c r="V1028" s="61" t="n">
        <f aca="false">N(STACK!K1028)</f>
        <v>3775</v>
      </c>
      <c r="W1028" s="61" t="n">
        <f aca="false">T1028+U1028+V1028</f>
        <v>7488.378865</v>
      </c>
      <c r="X1028" s="61" t="n">
        <f aca="false">N(STACK!L1028)</f>
        <v>0</v>
      </c>
      <c r="Y1028" s="61" t="n">
        <f aca="false">W1028-X1028</f>
        <v>7488.378865</v>
      </c>
      <c r="Z1028" s="1" t="n">
        <f aca="false">N(STACK!J1028)</f>
        <v>231</v>
      </c>
      <c r="AA1028" s="1" t="str">
        <f aca="false">TRIM(IF(D1028="UNMAPPED","Program not mapped. ","")&amp;IF(OR(K1028="UNMAPPED",K1028="UNASSIGNED"),"Category needs review. ","")&amp;IF(P1028="UNMAPPED","Title not mapped. ","")&amp;IF(AND(P1028&lt;&gt;"No staff time",R1028=""),"Missing hours. ","")&amp;IF(M1028="","Date not readable. ","")&amp;IF(N1028="No","Outside fiscal year. ","")&amp;IF(AND(F1028="Event",ISNUMBER(R1028)),IF(R1028&gt;12,"Event hours look high. ",""),"")&amp;IF(G1028&gt;0,"See CONFIRM sheet.",""))</f>
        <v/>
      </c>
      <c r="AB1028" s="1" t="n">
        <f aca="false">IF(N1028="No",0,IF(REVIEW!O1028=0,0,IF(G1028&gt;0,IF(INDEX(CONFIRM!$J$5:$J$53,G1028)&lt;&gt;"",INDEX(CONFIRM!$J$5:$J$53,G1028),1),1)))</f>
        <v>1</v>
      </c>
      <c r="AC1028" s="1" t="n">
        <f aca="false">IF(AB1028=1,IF(COUNTIFS($B$5:B1028,B1028,$D$5:D1028,D1028,$AB$5:AB1028,1)=1,1,0),0)</f>
        <v>0</v>
      </c>
    </row>
    <row r="1029" customFormat="false" ht="15" hidden="false" customHeight="false" outlineLevel="0" collapsed="false">
      <c r="A1029" s="48" t="str">
        <f aca="false">STACK!A1029</f>
        <v>CBH-0201</v>
      </c>
      <c r="B1029" s="48" t="str">
        <f aca="false">STACK!B1029</f>
        <v>CBH</v>
      </c>
      <c r="C1029" s="48" t="str">
        <f aca="false">STACK!E1029</f>
        <v>Free Clinic Staffing</v>
      </c>
      <c r="D1029" s="1" t="str">
        <f aca="false">IFERROR(INDEX(MAP!$J$7:$J$101,MATCH(TRIM(C1029),MAP!$I$7:$I$101,0)),"UNMAPPED")</f>
        <v>Free Clinic Provider Staffing</v>
      </c>
      <c r="E1029" s="1" t="str">
        <f aca="false">IFERROR(INDEX(MAP!$K$7:$K$101,MATCH(TRIM(C1029),MAP!$I$7:$I$101,0)),"")</f>
        <v>Access to care</v>
      </c>
      <c r="F1029" s="1" t="str">
        <f aca="false">IFERROR(INDEX(MAP!$L$7:$L$101,MATCH(TRIM(C1029),MAP!$I$7:$I$101,0)),"")</f>
        <v>Monthly</v>
      </c>
      <c r="G1029" s="1" t="n">
        <f aca="false">IFERROR(MATCH(A1029,CONFIRM!$A$5:$A$53,0),0)</f>
        <v>0</v>
      </c>
      <c r="H1029" s="48" t="str">
        <f aca="false">STACK!F1029</f>
        <v>Screenings</v>
      </c>
      <c r="I1029" s="1" t="str">
        <f aca="false">IF(G1029&gt;0,IF(INDEX(CONFIRM!$I$5:$I$53,G1029)&lt;&gt;"",INDEX(CONFIRM!$I$5:$I$53,G1029),H1029),H1029)</f>
        <v>Screenings</v>
      </c>
      <c r="J1029" s="1" t="str">
        <f aca="false">IFERROR(INDEX(MAP!$F$7:$F$74,MATCH(TRIM(I1029),MAP!$E$7:$E$74,0)),"UNMAPPED")</f>
        <v>Community-based clinical services</v>
      </c>
      <c r="K1029" s="1" t="str">
        <f aca="false">IFERROR(INDEX(MAP!$G$7:$G$74,MATCH(TRIM(I1029),MAP!$E$7:$E$74,0)),"UNMAPPED")</f>
        <v>7e</v>
      </c>
      <c r="L1029" s="49" t="str">
        <f aca="false">STACK!G1029</f>
        <v>2026-03-31</v>
      </c>
      <c r="M1029" s="59" t="n">
        <f aca="false">IF(G1029&gt;0,IF(INDEX(CONFIRM!$G$5:$G$53,G1029)&lt;&gt;"",INDEX(CONFIRM!$G$5:$G$53,G1029),IF(ISNUMBER(L1029),L1029,IFERROR(DATEVALUE(L1029),""))),IF(ISNUMBER(L1029),L1029,IFERROR(DATEVALUE(L1029),"")))</f>
        <v>46112</v>
      </c>
      <c r="N1029" s="1" t="str">
        <f aca="false">IF(M1029="","Check",IF(AND(M1029&gt;=INPUTS!$C$6,M1029&lt;=INPUTS!$C$7),"Yes","No"))</f>
        <v>Yes</v>
      </c>
      <c r="O1029" s="48" t="str">
        <f aca="false">STACK!H1029</f>
        <v>RPh</v>
      </c>
      <c r="P1029" s="1" t="str">
        <f aca="false">IF(G1029&gt;0,IF(INDEX(CONFIRM!$H$5:$H$53,G1029)&lt;&gt;"",INDEX(CONFIRM!$H$5:$H$53,G1029),IFERROR(INDEX(MAP!$B$7:$B$156,MATCH(TRIM(O1029),MAP!$A$7:$A$156,0)),"UNMAPPED")),IFERROR(INDEX(MAP!$B$7:$B$156,MATCH(TRIM(O1029),MAP!$A$7:$A$156,0)),"UNMAPPED"))</f>
        <v>Pharmacist</v>
      </c>
      <c r="Q1029" s="48" t="n">
        <f aca="false">STACK!I1029</f>
        <v>12</v>
      </c>
      <c r="R1029" s="60" t="n">
        <f aca="false">IF(G1029&gt;0,IF(INDEX(CONFIRM!$F$5:$F$53,G1029)&lt;&gt;"",INDEX(CONFIRM!$F$5:$F$53,G1029),IF(ISNUMBER(Q1029),Q1029,IF(Q1029="","",IFERROR(VALUE(TRIM(SUBSTITUTE(SUBSTITUTE(LOWER(Q1029),"hrs",""),"hr",""))),"")))),IF(ISNUMBER(Q1029),Q1029,IF(Q1029="","",IFERROR(VALUE(TRIM(SUBSTITUTE(SUBSTITUTE(LOWER(Q1029),"hrs",""),"hr",""))),""))))</f>
        <v>12</v>
      </c>
      <c r="S1029" s="57" t="n">
        <f aca="false">IFERROR(INDEX(RATES!$E$6:$E$28,MATCH(P1029,RATES!$A$6:$A$28,0)),0)</f>
        <v>84.81</v>
      </c>
      <c r="T1029" s="61" t="n">
        <f aca="false">IF(ISNUMBER(R1029),R1029,0)*S1029</f>
        <v>1017.72</v>
      </c>
      <c r="U1029" s="61" t="n">
        <f aca="false">T1029*INDEX(INPUTS!$H$10:$H$14,MATCH(B1029,INPUTS!$A$10:$A$14,0))</f>
        <v>160.79976</v>
      </c>
      <c r="V1029" s="61" t="n">
        <f aca="false">N(STACK!K1029)</f>
        <v>0</v>
      </c>
      <c r="W1029" s="61" t="n">
        <f aca="false">T1029+U1029+V1029</f>
        <v>1178.51976</v>
      </c>
      <c r="X1029" s="61" t="n">
        <f aca="false">N(STACK!L1029)</f>
        <v>0</v>
      </c>
      <c r="Y1029" s="61" t="n">
        <f aca="false">W1029-X1029</f>
        <v>1178.51976</v>
      </c>
      <c r="Z1029" s="1" t="n">
        <f aca="false">N(STACK!J1029)</f>
        <v>0</v>
      </c>
      <c r="AA1029" s="1" t="str">
        <f aca="false">TRIM(IF(D1029="UNMAPPED","Program not mapped. ","")&amp;IF(OR(K1029="UNMAPPED",K1029="UNASSIGNED"),"Category needs review. ","")&amp;IF(P1029="UNMAPPED","Title not mapped. ","")&amp;IF(AND(P1029&lt;&gt;"No staff time",R1029=""),"Missing hours. ","")&amp;IF(M1029="","Date not readable. ","")&amp;IF(N1029="No","Outside fiscal year. ","")&amp;IF(AND(F1029="Event",ISNUMBER(R1029)),IF(R1029&gt;12,"Event hours look high. ",""),"")&amp;IF(G1029&gt;0,"See CONFIRM sheet.",""))</f>
        <v/>
      </c>
      <c r="AB1029" s="1" t="n">
        <f aca="false">IF(N1029="No",0,IF(REVIEW!O1029=0,0,IF(G1029&gt;0,IF(INDEX(CONFIRM!$J$5:$J$53,G1029)&lt;&gt;"",INDEX(CONFIRM!$J$5:$J$53,G1029),1),1)))</f>
        <v>1</v>
      </c>
      <c r="AC1029" s="1" t="n">
        <f aca="false">IF(AB1029=1,IF(COUNTIFS($B$5:B1029,B1029,$D$5:D1029,D1029,$AB$5:AB1029,1)=1,1,0),0)</f>
        <v>0</v>
      </c>
    </row>
    <row r="1030" customFormat="false" ht="15" hidden="false" customHeight="false" outlineLevel="0" collapsed="false">
      <c r="A1030" s="48" t="str">
        <f aca="false">STACK!A1030</f>
        <v>CBH-0202</v>
      </c>
      <c r="B1030" s="48" t="str">
        <f aca="false">STACK!B1030</f>
        <v>CBH</v>
      </c>
      <c r="C1030" s="48" t="str">
        <f aca="false">STACK!E1030</f>
        <v>Free Clinic Staffing</v>
      </c>
      <c r="D1030" s="1" t="str">
        <f aca="false">IFERROR(INDEX(MAP!$J$7:$J$101,MATCH(TRIM(C1030),MAP!$I$7:$I$101,0)),"UNMAPPED")</f>
        <v>Free Clinic Provider Staffing</v>
      </c>
      <c r="E1030" s="1" t="str">
        <f aca="false">IFERROR(INDEX(MAP!$K$7:$K$101,MATCH(TRIM(C1030),MAP!$I$7:$I$101,0)),"")</f>
        <v>Access to care</v>
      </c>
      <c r="F1030" s="1" t="str">
        <f aca="false">IFERROR(INDEX(MAP!$L$7:$L$101,MATCH(TRIM(C1030),MAP!$I$7:$I$101,0)),"")</f>
        <v>Monthly</v>
      </c>
      <c r="G1030" s="1" t="n">
        <f aca="false">IFERROR(MATCH(A1030,CONFIRM!$A$5:$A$53,0),0)</f>
        <v>0</v>
      </c>
      <c r="H1030" s="48" t="str">
        <f aca="false">STACK!F1030</f>
        <v>Screenings</v>
      </c>
      <c r="I1030" s="1" t="str">
        <f aca="false">IF(G1030&gt;0,IF(INDEX(CONFIRM!$I$5:$I$53,G1030)&lt;&gt;"",INDEX(CONFIRM!$I$5:$I$53,G1030),H1030),H1030)</f>
        <v>Screenings</v>
      </c>
      <c r="J1030" s="1" t="str">
        <f aca="false">IFERROR(INDEX(MAP!$F$7:$F$74,MATCH(TRIM(I1030),MAP!$E$7:$E$74,0)),"UNMAPPED")</f>
        <v>Community-based clinical services</v>
      </c>
      <c r="K1030" s="1" t="str">
        <f aca="false">IFERROR(INDEX(MAP!$G$7:$G$74,MATCH(TRIM(I1030),MAP!$E$7:$E$74,0)),"UNMAPPED")</f>
        <v>7e</v>
      </c>
      <c r="L1030" s="49" t="str">
        <f aca="false">STACK!G1030</f>
        <v>2026-03-31</v>
      </c>
      <c r="M1030" s="59" t="n">
        <f aca="false">IF(G1030&gt;0,IF(INDEX(CONFIRM!$G$5:$G$53,G1030)&lt;&gt;"",INDEX(CONFIRM!$G$5:$G$53,G1030),IF(ISNUMBER(L1030),L1030,IFERROR(DATEVALUE(L1030),""))),IF(ISNUMBER(L1030),L1030,IFERROR(DATEVALUE(L1030),"")))</f>
        <v>46112</v>
      </c>
      <c r="N1030" s="1" t="str">
        <f aca="false">IF(M1030="","Check",IF(AND(M1030&gt;=INPUTS!$C$6,M1030&lt;=INPUTS!$C$7),"Yes","No"))</f>
        <v>Yes</v>
      </c>
      <c r="O1030" s="48" t="str">
        <f aca="false">STACK!H1030</f>
        <v>Charge RN</v>
      </c>
      <c r="P1030" s="1" t="str">
        <f aca="false">IF(G1030&gt;0,IF(INDEX(CONFIRM!$H$5:$H$53,G1030)&lt;&gt;"",INDEX(CONFIRM!$H$5:$H$53,G1030),IFERROR(INDEX(MAP!$B$7:$B$156,MATCH(TRIM(O1030),MAP!$A$7:$A$156,0)),"UNMAPPED")),IFERROR(INDEX(MAP!$B$7:$B$156,MATCH(TRIM(O1030),MAP!$A$7:$A$156,0)),"UNMAPPED"))</f>
        <v>Registered Nurse</v>
      </c>
      <c r="Q1030" s="48" t="n">
        <f aca="false">STACK!I1030</f>
        <v>38.75</v>
      </c>
      <c r="R1030" s="60" t="n">
        <f aca="false">IF(G1030&gt;0,IF(INDEX(CONFIRM!$F$5:$F$53,G1030)&lt;&gt;"",INDEX(CONFIRM!$F$5:$F$53,G1030),IF(ISNUMBER(Q1030),Q1030,IF(Q1030="","",IFERROR(VALUE(TRIM(SUBSTITUTE(SUBSTITUTE(LOWER(Q1030),"hrs",""),"hr",""))),"")))),IF(ISNUMBER(Q1030),Q1030,IF(Q1030="","",IFERROR(VALUE(TRIM(SUBSTITUTE(SUBSTITUTE(LOWER(Q1030),"hrs",""),"hr",""))),""))))</f>
        <v>38.75</v>
      </c>
      <c r="S1030" s="57" t="n">
        <f aca="false">IFERROR(INDEX(RATES!$E$6:$E$28,MATCH(P1030,RATES!$A$6:$A$28,0)),0)</f>
        <v>55.8975</v>
      </c>
      <c r="T1030" s="61" t="n">
        <f aca="false">IF(ISNUMBER(R1030),R1030,0)*S1030</f>
        <v>2166.028125</v>
      </c>
      <c r="U1030" s="61" t="n">
        <f aca="false">T1030*INDEX(INPUTS!$H$10:$H$14,MATCH(B1030,INPUTS!$A$10:$A$14,0))</f>
        <v>342.23244375</v>
      </c>
      <c r="V1030" s="61" t="n">
        <f aca="false">N(STACK!K1030)</f>
        <v>0</v>
      </c>
      <c r="W1030" s="61" t="n">
        <f aca="false">T1030+U1030+V1030</f>
        <v>2508.26056875</v>
      </c>
      <c r="X1030" s="61" t="n">
        <f aca="false">N(STACK!L1030)</f>
        <v>0</v>
      </c>
      <c r="Y1030" s="61" t="n">
        <f aca="false">W1030-X1030</f>
        <v>2508.26056875</v>
      </c>
      <c r="Z1030" s="1" t="n">
        <f aca="false">N(STACK!J1030)</f>
        <v>0</v>
      </c>
      <c r="AA1030" s="1" t="str">
        <f aca="false">TRIM(IF(D1030="UNMAPPED","Program not mapped. ","")&amp;IF(OR(K1030="UNMAPPED",K1030="UNASSIGNED"),"Category needs review. ","")&amp;IF(P1030="UNMAPPED","Title not mapped. ","")&amp;IF(AND(P1030&lt;&gt;"No staff time",R1030=""),"Missing hours. ","")&amp;IF(M1030="","Date not readable. ","")&amp;IF(N1030="No","Outside fiscal year. ","")&amp;IF(AND(F1030="Event",ISNUMBER(R1030)),IF(R1030&gt;12,"Event hours look high. ",""),"")&amp;IF(G1030&gt;0,"See CONFIRM sheet.",""))</f>
        <v/>
      </c>
      <c r="AB1030" s="1" t="n">
        <f aca="false">IF(N1030="No",0,IF(REVIEW!O1030=0,0,IF(G1030&gt;0,IF(INDEX(CONFIRM!$J$5:$J$53,G1030)&lt;&gt;"",INDEX(CONFIRM!$J$5:$J$53,G1030),1),1)))</f>
        <v>1</v>
      </c>
      <c r="AC1030" s="1" t="n">
        <f aca="false">IF(AB1030=1,IF(COUNTIFS($B$5:B1030,B1030,$D$5:D1030,D1030,$AB$5:AB1030,1)=1,1,0),0)</f>
        <v>0</v>
      </c>
    </row>
    <row r="1031" customFormat="false" ht="15" hidden="false" customHeight="false" outlineLevel="0" collapsed="false">
      <c r="A1031" s="48" t="str">
        <f aca="false">STACK!A1031</f>
        <v>CBH-0203</v>
      </c>
      <c r="B1031" s="48" t="str">
        <f aca="false">STACK!B1031</f>
        <v>CBH</v>
      </c>
      <c r="C1031" s="48" t="str">
        <f aca="false">STACK!E1031</f>
        <v>Med Assistance</v>
      </c>
      <c r="D1031" s="1" t="str">
        <f aca="false">IFERROR(INDEX(MAP!$J$7:$J$101,MATCH(TRIM(C1031),MAP!$I$7:$I$101,0)),"UNMAPPED")</f>
        <v>Medication Assistance Program</v>
      </c>
      <c r="E1031" s="1" t="str">
        <f aca="false">IFERROR(INDEX(MAP!$K$7:$K$101,MATCH(TRIM(C1031),MAP!$I$7:$I$101,0)),"")</f>
        <v>Access to care</v>
      </c>
      <c r="F1031" s="1" t="str">
        <f aca="false">IFERROR(INDEX(MAP!$L$7:$L$101,MATCH(TRIM(C1031),MAP!$I$7:$I$101,0)),"")</f>
        <v>Monthly</v>
      </c>
      <c r="G1031" s="1" t="n">
        <f aca="false">IFERROR(MATCH(A1031,CONFIRM!$A$5:$A$53,0),0)</f>
        <v>0</v>
      </c>
      <c r="H1031" s="48" t="str">
        <f aca="false">STACK!F1031</f>
        <v>Patient Support</v>
      </c>
      <c r="I1031" s="1" t="str">
        <f aca="false">IF(G1031&gt;0,IF(INDEX(CONFIRM!$I$5:$I$53,G1031)&lt;&gt;"",INDEX(CONFIRM!$I$5:$I$53,G1031),H1031),H1031)</f>
        <v>Patient Support</v>
      </c>
      <c r="J1031" s="1" t="str">
        <f aca="false">IFERROR(INDEX(MAP!$F$7:$F$74,MATCH(TRIM(I1031),MAP!$E$7:$E$74,0)),"UNMAPPED")</f>
        <v>Health care support services</v>
      </c>
      <c r="K1031" s="1" t="str">
        <f aca="false">IFERROR(INDEX(MAP!$G$7:$G$74,MATCH(TRIM(I1031),MAP!$E$7:$E$74,0)),"UNMAPPED")</f>
        <v>7e</v>
      </c>
      <c r="L1031" s="49" t="str">
        <f aca="false">STACK!G1031</f>
        <v>2026-03-31</v>
      </c>
      <c r="M1031" s="59" t="n">
        <f aca="false">IF(G1031&gt;0,IF(INDEX(CONFIRM!$G$5:$G$53,G1031)&lt;&gt;"",INDEX(CONFIRM!$G$5:$G$53,G1031),IF(ISNUMBER(L1031),L1031,IFERROR(DATEVALUE(L1031),""))),IF(ISNUMBER(L1031),L1031,IFERROR(DATEVALUE(L1031),"")))</f>
        <v>46112</v>
      </c>
      <c r="N1031" s="1" t="str">
        <f aca="false">IF(M1031="","Check",IF(AND(M1031&gt;=INPUTS!$C$6,M1031&lt;=INPUTS!$C$7),"Yes","No"))</f>
        <v>Yes</v>
      </c>
      <c r="O1031" s="48" t="str">
        <f aca="false">STACK!H1031</f>
        <v>Navigator</v>
      </c>
      <c r="P1031" s="1" t="str">
        <f aca="false">IF(G1031&gt;0,IF(INDEX(CONFIRM!$H$5:$H$53,G1031)&lt;&gt;"",INDEX(CONFIRM!$H$5:$H$53,G1031),IFERROR(INDEX(MAP!$B$7:$B$156,MATCH(TRIM(O1031),MAP!$A$7:$A$156,0)),"UNMAPPED")),IFERROR(INDEX(MAP!$B$7:$B$156,MATCH(TRIM(O1031),MAP!$A$7:$A$156,0)),"UNMAPPED"))</f>
        <v>Patient Navigator</v>
      </c>
      <c r="Q1031" s="48" t="n">
        <f aca="false">STACK!I1031</f>
        <v>81.25</v>
      </c>
      <c r="R1031" s="60" t="n">
        <f aca="false">IF(G1031&gt;0,IF(INDEX(CONFIRM!$F$5:$F$53,G1031)&lt;&gt;"",INDEX(CONFIRM!$F$5:$F$53,G1031),IF(ISNUMBER(Q1031),Q1031,IF(Q1031="","",IFERROR(VALUE(TRIM(SUBSTITUTE(SUBSTITUTE(LOWER(Q1031),"hrs",""),"hr",""))),"")))),IF(ISNUMBER(Q1031),Q1031,IF(Q1031="","",IFERROR(VALUE(TRIM(SUBSTITUTE(SUBSTITUTE(LOWER(Q1031),"hrs",""),"hr",""))),""))))</f>
        <v>81.25</v>
      </c>
      <c r="S1031" s="57" t="n">
        <f aca="false">IFERROR(INDEX(RATES!$E$6:$E$28,MATCH(P1031,RATES!$A$6:$A$28,0)),0)</f>
        <v>30.84</v>
      </c>
      <c r="T1031" s="61" t="n">
        <f aca="false">IF(ISNUMBER(R1031),R1031,0)*S1031</f>
        <v>2505.75</v>
      </c>
      <c r="U1031" s="61" t="n">
        <f aca="false">T1031*INDEX(INPUTS!$H$10:$H$14,MATCH(B1031,INPUTS!$A$10:$A$14,0))</f>
        <v>395.9085</v>
      </c>
      <c r="V1031" s="61" t="n">
        <f aca="false">N(STACK!K1031)</f>
        <v>0</v>
      </c>
      <c r="W1031" s="61" t="n">
        <f aca="false">T1031+U1031+V1031</f>
        <v>2901.6585</v>
      </c>
      <c r="X1031" s="61" t="n">
        <f aca="false">N(STACK!L1031)</f>
        <v>0</v>
      </c>
      <c r="Y1031" s="61" t="n">
        <f aca="false">W1031-X1031</f>
        <v>2901.6585</v>
      </c>
      <c r="Z1031" s="1" t="n">
        <f aca="false">N(STACK!J1031)</f>
        <v>0</v>
      </c>
      <c r="AA1031" s="1" t="str">
        <f aca="false">TRIM(IF(D1031="UNMAPPED","Program not mapped. ","")&amp;IF(OR(K1031="UNMAPPED",K1031="UNASSIGNED"),"Category needs review. ","")&amp;IF(P1031="UNMAPPED","Title not mapped. ","")&amp;IF(AND(P1031&lt;&gt;"No staff time",R1031=""),"Missing hours. ","")&amp;IF(M1031="","Date not readable. ","")&amp;IF(N1031="No","Outside fiscal year. ","")&amp;IF(AND(F1031="Event",ISNUMBER(R1031)),IF(R1031&gt;12,"Event hours look high. ",""),"")&amp;IF(G1031&gt;0,"See CONFIRM sheet.",""))</f>
        <v/>
      </c>
      <c r="AB1031" s="1" t="n">
        <f aca="false">IF(N1031="No",0,IF(REVIEW!O1031=0,0,IF(G1031&gt;0,IF(INDEX(CONFIRM!$J$5:$J$53,G1031)&lt;&gt;"",INDEX(CONFIRM!$J$5:$J$53,G1031),1),1)))</f>
        <v>1</v>
      </c>
      <c r="AC1031" s="1" t="n">
        <f aca="false">IF(AB1031=1,IF(COUNTIFS($B$5:B1031,B1031,$D$5:D1031,D1031,$AB$5:AB1031,1)=1,1,0),0)</f>
        <v>0</v>
      </c>
    </row>
    <row r="1032" customFormat="false" ht="15" hidden="false" customHeight="false" outlineLevel="0" collapsed="false">
      <c r="A1032" s="48" t="str">
        <f aca="false">STACK!A1032</f>
        <v>CBH-0204</v>
      </c>
      <c r="B1032" s="48" t="str">
        <f aca="false">STACK!B1032</f>
        <v>CBH</v>
      </c>
      <c r="C1032" s="48" t="str">
        <f aca="false">STACK!E1032</f>
        <v>Med Assistance</v>
      </c>
      <c r="D1032" s="1" t="str">
        <f aca="false">IFERROR(INDEX(MAP!$J$7:$J$101,MATCH(TRIM(C1032),MAP!$I$7:$I$101,0)),"UNMAPPED")</f>
        <v>Medication Assistance Program</v>
      </c>
      <c r="E1032" s="1" t="str">
        <f aca="false">IFERROR(INDEX(MAP!$K$7:$K$101,MATCH(TRIM(C1032),MAP!$I$7:$I$101,0)),"")</f>
        <v>Access to care</v>
      </c>
      <c r="F1032" s="1" t="str">
        <f aca="false">IFERROR(INDEX(MAP!$L$7:$L$101,MATCH(TRIM(C1032),MAP!$I$7:$I$101,0)),"")</f>
        <v>Monthly</v>
      </c>
      <c r="G1032" s="1" t="n">
        <f aca="false">IFERROR(MATCH(A1032,CONFIRM!$A$5:$A$53,0),0)</f>
        <v>0</v>
      </c>
      <c r="H1032" s="48" t="str">
        <f aca="false">STACK!F1032</f>
        <v>Patient Support</v>
      </c>
      <c r="I1032" s="1" t="str">
        <f aca="false">IF(G1032&gt;0,IF(INDEX(CONFIRM!$I$5:$I$53,G1032)&lt;&gt;"",INDEX(CONFIRM!$I$5:$I$53,G1032),H1032),H1032)</f>
        <v>Patient Support</v>
      </c>
      <c r="J1032" s="1" t="str">
        <f aca="false">IFERROR(INDEX(MAP!$F$7:$F$74,MATCH(TRIM(I1032),MAP!$E$7:$E$74,0)),"UNMAPPED")</f>
        <v>Health care support services</v>
      </c>
      <c r="K1032" s="1" t="str">
        <f aca="false">IFERROR(INDEX(MAP!$G$7:$G$74,MATCH(TRIM(I1032),MAP!$E$7:$E$74,0)),"UNMAPPED")</f>
        <v>7e</v>
      </c>
      <c r="L1032" s="49" t="str">
        <f aca="false">STACK!G1032</f>
        <v>2026-03-31</v>
      </c>
      <c r="M1032" s="59" t="n">
        <f aca="false">IF(G1032&gt;0,IF(INDEX(CONFIRM!$G$5:$G$53,G1032)&lt;&gt;"",INDEX(CONFIRM!$G$5:$G$53,G1032),IF(ISNUMBER(L1032),L1032,IFERROR(DATEVALUE(L1032),""))),IF(ISNUMBER(L1032),L1032,IFERROR(DATEVALUE(L1032),"")))</f>
        <v>46112</v>
      </c>
      <c r="N1032" s="1" t="str">
        <f aca="false">IF(M1032="","Check",IF(AND(M1032&gt;=INPUTS!$C$6,M1032&lt;=INPUTS!$C$7),"Yes","No"))</f>
        <v>Yes</v>
      </c>
      <c r="O1032" s="48" t="str">
        <f aca="false">STACK!H1032</f>
        <v>RPh</v>
      </c>
      <c r="P1032" s="1" t="str">
        <f aca="false">IF(G1032&gt;0,IF(INDEX(CONFIRM!$H$5:$H$53,G1032)&lt;&gt;"",INDEX(CONFIRM!$H$5:$H$53,G1032),IFERROR(INDEX(MAP!$B$7:$B$156,MATCH(TRIM(O1032),MAP!$A$7:$A$156,0)),"UNMAPPED")),IFERROR(INDEX(MAP!$B$7:$B$156,MATCH(TRIM(O1032),MAP!$A$7:$A$156,0)),"UNMAPPED"))</f>
        <v>Pharmacist</v>
      </c>
      <c r="Q1032" s="48" t="n">
        <f aca="false">STACK!I1032</f>
        <v>19</v>
      </c>
      <c r="R1032" s="60" t="n">
        <f aca="false">IF(G1032&gt;0,IF(INDEX(CONFIRM!$F$5:$F$53,G1032)&lt;&gt;"",INDEX(CONFIRM!$F$5:$F$53,G1032),IF(ISNUMBER(Q1032),Q1032,IF(Q1032="","",IFERROR(VALUE(TRIM(SUBSTITUTE(SUBSTITUTE(LOWER(Q1032),"hrs",""),"hr",""))),"")))),IF(ISNUMBER(Q1032),Q1032,IF(Q1032="","",IFERROR(VALUE(TRIM(SUBSTITUTE(SUBSTITUTE(LOWER(Q1032),"hrs",""),"hr",""))),""))))</f>
        <v>19</v>
      </c>
      <c r="S1032" s="57" t="n">
        <f aca="false">IFERROR(INDEX(RATES!$E$6:$E$28,MATCH(P1032,RATES!$A$6:$A$28,0)),0)</f>
        <v>84.81</v>
      </c>
      <c r="T1032" s="61" t="n">
        <f aca="false">IF(ISNUMBER(R1032),R1032,0)*S1032</f>
        <v>1611.39</v>
      </c>
      <c r="U1032" s="61" t="n">
        <f aca="false">T1032*INDEX(INPUTS!$H$10:$H$14,MATCH(B1032,INPUTS!$A$10:$A$14,0))</f>
        <v>254.59962</v>
      </c>
      <c r="V1032" s="61" t="n">
        <f aca="false">N(STACK!K1032)</f>
        <v>15265</v>
      </c>
      <c r="W1032" s="61" t="n">
        <f aca="false">T1032+U1032+V1032</f>
        <v>17130.98962</v>
      </c>
      <c r="X1032" s="61" t="n">
        <f aca="false">N(STACK!L1032)</f>
        <v>0</v>
      </c>
      <c r="Y1032" s="61" t="n">
        <f aca="false">W1032-X1032</f>
        <v>17130.98962</v>
      </c>
      <c r="Z1032" s="1" t="n">
        <f aca="false">N(STACK!J1032)</f>
        <v>93</v>
      </c>
      <c r="AA1032" s="1" t="str">
        <f aca="false">TRIM(IF(D1032="UNMAPPED","Program not mapped. ","")&amp;IF(OR(K1032="UNMAPPED",K1032="UNASSIGNED"),"Category needs review. ","")&amp;IF(P1032="UNMAPPED","Title not mapped. ","")&amp;IF(AND(P1032&lt;&gt;"No staff time",R1032=""),"Missing hours. ","")&amp;IF(M1032="","Date not readable. ","")&amp;IF(N1032="No","Outside fiscal year. ","")&amp;IF(AND(F1032="Event",ISNUMBER(R1032)),IF(R1032&gt;12,"Event hours look high. ",""),"")&amp;IF(G1032&gt;0,"See CONFIRM sheet.",""))</f>
        <v/>
      </c>
      <c r="AB1032" s="1" t="n">
        <f aca="false">IF(N1032="No",0,IF(REVIEW!O1032=0,0,IF(G1032&gt;0,IF(INDEX(CONFIRM!$J$5:$J$53,G1032)&lt;&gt;"",INDEX(CONFIRM!$J$5:$J$53,G1032),1),1)))</f>
        <v>1</v>
      </c>
      <c r="AC1032" s="1" t="n">
        <f aca="false">IF(AB1032=1,IF(COUNTIFS($B$5:B1032,B1032,$D$5:D1032,D1032,$AB$5:AB1032,1)=1,1,0),0)</f>
        <v>0</v>
      </c>
    </row>
    <row r="1033" customFormat="false" ht="15" hidden="false" customHeight="false" outlineLevel="0" collapsed="false">
      <c r="A1033" s="48" t="str">
        <f aca="false">STACK!A1033</f>
        <v>CBH-0205</v>
      </c>
      <c r="B1033" s="48" t="str">
        <f aca="false">STACK!B1033</f>
        <v>CBH</v>
      </c>
      <c r="C1033" s="48" t="str">
        <f aca="false">STACK!E1033</f>
        <v>Community Benefit Admin</v>
      </c>
      <c r="D1033" s="1" t="str">
        <f aca="false">IFERROR(INDEX(MAP!$J$7:$J$101,MATCH(TRIM(C1033),MAP!$I$7:$I$101,0)),"UNMAPPED")</f>
        <v>Community Benefit Program Administration</v>
      </c>
      <c r="E1033" s="1" t="str">
        <f aca="false">IFERROR(INDEX(MAP!$K$7:$K$101,MATCH(TRIM(C1033),MAP!$I$7:$I$101,0)),"")</f>
        <v>Community benefit infrastructure</v>
      </c>
      <c r="F1033" s="1" t="str">
        <f aca="false">IFERROR(INDEX(MAP!$L$7:$L$101,MATCH(TRIM(C1033),MAP!$I$7:$I$101,0)),"")</f>
        <v>Monthly</v>
      </c>
      <c r="G1033" s="1" t="n">
        <f aca="false">IFERROR(MATCH(A1033,CONFIRM!$A$5:$A$53,0),0)</f>
        <v>0</v>
      </c>
      <c r="H1033" s="48" t="str">
        <f aca="false">STACK!F1033</f>
        <v>Ops</v>
      </c>
      <c r="I1033" s="1" t="str">
        <f aca="false">IF(G1033&gt;0,IF(INDEX(CONFIRM!$I$5:$I$53,G1033)&lt;&gt;"",INDEX(CONFIRM!$I$5:$I$53,G1033),H1033),H1033)</f>
        <v>Ops</v>
      </c>
      <c r="J1033" s="1" t="str">
        <f aca="false">IFERROR(INDEX(MAP!$F$7:$F$74,MATCH(TRIM(I1033),MAP!$E$7:$E$74,0)),"UNMAPPED")</f>
        <v>Community benefit operations</v>
      </c>
      <c r="K1033" s="1" t="str">
        <f aca="false">IFERROR(INDEX(MAP!$G$7:$G$74,MATCH(TRIM(I1033),MAP!$E$7:$E$74,0)),"UNMAPPED")</f>
        <v>7e</v>
      </c>
      <c r="L1033" s="49" t="str">
        <f aca="false">STACK!G1033</f>
        <v>2026-03-31</v>
      </c>
      <c r="M1033" s="59" t="n">
        <f aca="false">IF(G1033&gt;0,IF(INDEX(CONFIRM!$G$5:$G$53,G1033)&lt;&gt;"",INDEX(CONFIRM!$G$5:$G$53,G1033),IF(ISNUMBER(L1033),L1033,IFERROR(DATEVALUE(L1033),""))),IF(ISNUMBER(L1033),L1033,IFERROR(DATEVALUE(L1033),"")))</f>
        <v>46112</v>
      </c>
      <c r="N1033" s="1" t="str">
        <f aca="false">IF(M1033="","Check",IF(AND(M1033&gt;=INPUTS!$C$6,M1033&lt;=INPUTS!$C$7),"Yes","No"))</f>
        <v>Yes</v>
      </c>
      <c r="O1033" s="48" t="str">
        <f aca="false">STACK!H1033</f>
        <v> ADMINISTRATIVE ASSISTANT</v>
      </c>
      <c r="P1033" s="1" t="str">
        <f aca="false">IF(G1033&gt;0,IF(INDEX(CONFIRM!$H$5:$H$53,G1033)&lt;&gt;"",INDEX(CONFIRM!$H$5:$H$53,G1033),IFERROR(INDEX(MAP!$B$7:$B$156,MATCH(TRIM(O1033),MAP!$A$7:$A$156,0)),"UNMAPPED")),IFERROR(INDEX(MAP!$B$7:$B$156,MATCH(TRIM(O1033),MAP!$A$7:$A$156,0)),"UNMAPPED"))</f>
        <v>Administrative Assistant</v>
      </c>
      <c r="Q1033" s="48" t="n">
        <f aca="false">STACK!I1033</f>
        <v>44.25</v>
      </c>
      <c r="R1033" s="60" t="n">
        <f aca="false">IF(G1033&gt;0,IF(INDEX(CONFIRM!$F$5:$F$53,G1033)&lt;&gt;"",INDEX(CONFIRM!$F$5:$F$53,G1033),IF(ISNUMBER(Q1033),Q1033,IF(Q1033="","",IFERROR(VALUE(TRIM(SUBSTITUTE(SUBSTITUTE(LOWER(Q1033),"hrs",""),"hr",""))),"")))),IF(ISNUMBER(Q1033),Q1033,IF(Q1033="","",IFERROR(VALUE(TRIM(SUBSTITUTE(SUBSTITUTE(LOWER(Q1033),"hrs",""),"hr",""))),""))))</f>
        <v>44.25</v>
      </c>
      <c r="S1033" s="57" t="n">
        <f aca="false">IFERROR(INDEX(RATES!$E$6:$E$28,MATCH(P1033,RATES!$A$6:$A$28,0)),0)</f>
        <v>26.985</v>
      </c>
      <c r="T1033" s="61" t="n">
        <f aca="false">IF(ISNUMBER(R1033),R1033,0)*S1033</f>
        <v>1194.08625</v>
      </c>
      <c r="U1033" s="61" t="n">
        <f aca="false">T1033*INDEX(INPUTS!$H$10:$H$14,MATCH(B1033,INPUTS!$A$10:$A$14,0))</f>
        <v>188.6656275</v>
      </c>
      <c r="V1033" s="61" t="n">
        <f aca="false">N(STACK!K1033)</f>
        <v>0</v>
      </c>
      <c r="W1033" s="61" t="n">
        <f aca="false">T1033+U1033+V1033</f>
        <v>1382.7518775</v>
      </c>
      <c r="X1033" s="61" t="n">
        <f aca="false">N(STACK!L1033)</f>
        <v>0</v>
      </c>
      <c r="Y1033" s="61" t="n">
        <f aca="false">W1033-X1033</f>
        <v>1382.7518775</v>
      </c>
      <c r="Z1033" s="1" t="n">
        <f aca="false">N(STACK!J1033)</f>
        <v>0</v>
      </c>
      <c r="AA1033" s="1" t="str">
        <f aca="false">TRIM(IF(D1033="UNMAPPED","Program not mapped. ","")&amp;IF(OR(K1033="UNMAPPED",K1033="UNASSIGNED"),"Category needs review. ","")&amp;IF(P1033="UNMAPPED","Title not mapped. ","")&amp;IF(AND(P1033&lt;&gt;"No staff time",R1033=""),"Missing hours. ","")&amp;IF(M1033="","Date not readable. ","")&amp;IF(N1033="No","Outside fiscal year. ","")&amp;IF(AND(F1033="Event",ISNUMBER(R1033)),IF(R1033&gt;12,"Event hours look high. ",""),"")&amp;IF(G1033&gt;0,"See CONFIRM sheet.",""))</f>
        <v/>
      </c>
      <c r="AB1033" s="1" t="n">
        <f aca="false">IF(N1033="No",0,IF(REVIEW!O1033=0,0,IF(G1033&gt;0,IF(INDEX(CONFIRM!$J$5:$J$53,G1033)&lt;&gt;"",INDEX(CONFIRM!$J$5:$J$53,G1033),1),1)))</f>
        <v>1</v>
      </c>
      <c r="AC1033" s="1" t="n">
        <f aca="false">IF(AB1033=1,IF(COUNTIFS($B$5:B1033,B1033,$D$5:D1033,D1033,$AB$5:AB1033,1)=1,1,0),0)</f>
        <v>0</v>
      </c>
    </row>
    <row r="1034" customFormat="false" ht="15" hidden="false" customHeight="false" outlineLevel="0" collapsed="false">
      <c r="A1034" s="48" t="str">
        <f aca="false">STACK!A1034</f>
        <v>CBH-0206</v>
      </c>
      <c r="B1034" s="48" t="str">
        <f aca="false">STACK!B1034</f>
        <v>CBH</v>
      </c>
      <c r="C1034" s="48" t="str">
        <f aca="false">STACK!E1034</f>
        <v>Community Benefit Admin</v>
      </c>
      <c r="D1034" s="1" t="str">
        <f aca="false">IFERROR(INDEX(MAP!$J$7:$J$101,MATCH(TRIM(C1034),MAP!$I$7:$I$101,0)),"UNMAPPED")</f>
        <v>Community Benefit Program Administration</v>
      </c>
      <c r="E1034" s="1" t="str">
        <f aca="false">IFERROR(INDEX(MAP!$K$7:$K$101,MATCH(TRIM(C1034),MAP!$I$7:$I$101,0)),"")</f>
        <v>Community benefit infrastructure</v>
      </c>
      <c r="F1034" s="1" t="str">
        <f aca="false">IFERROR(INDEX(MAP!$L$7:$L$101,MATCH(TRIM(C1034),MAP!$I$7:$I$101,0)),"")</f>
        <v>Monthly</v>
      </c>
      <c r="G1034" s="1" t="n">
        <f aca="false">IFERROR(MATCH(A1034,CONFIRM!$A$5:$A$53,0),0)</f>
        <v>0</v>
      </c>
      <c r="H1034" s="48" t="str">
        <f aca="false">STACK!F1034</f>
        <v>Ops</v>
      </c>
      <c r="I1034" s="1" t="str">
        <f aca="false">IF(G1034&gt;0,IF(INDEX(CONFIRM!$I$5:$I$53,G1034)&lt;&gt;"",INDEX(CONFIRM!$I$5:$I$53,G1034),H1034),H1034)</f>
        <v>Ops</v>
      </c>
      <c r="J1034" s="1" t="str">
        <f aca="false">IFERROR(INDEX(MAP!$F$7:$F$74,MATCH(TRIM(I1034),MAP!$E$7:$E$74,0)),"UNMAPPED")</f>
        <v>Community benefit operations</v>
      </c>
      <c r="K1034" s="1" t="str">
        <f aca="false">IFERROR(INDEX(MAP!$G$7:$G$74,MATCH(TRIM(I1034),MAP!$E$7:$E$74,0)),"UNMAPPED")</f>
        <v>7e</v>
      </c>
      <c r="L1034" s="49" t="str">
        <f aca="false">STACK!G1034</f>
        <v>2026-03-31</v>
      </c>
      <c r="M1034" s="59" t="n">
        <f aca="false">IF(G1034&gt;0,IF(INDEX(CONFIRM!$G$5:$G$53,G1034)&lt;&gt;"",INDEX(CONFIRM!$G$5:$G$53,G1034),IF(ISNUMBER(L1034),L1034,IFERROR(DATEVALUE(L1034),""))),IF(ISNUMBER(L1034),L1034,IFERROR(DATEVALUE(L1034),"")))</f>
        <v>46112</v>
      </c>
      <c r="N1034" s="1" t="str">
        <f aca="false">IF(M1034="","Check",IF(AND(M1034&gt;=INPUTS!$C$6,M1034&lt;=INPUTS!$C$7),"Yes","No"))</f>
        <v>Yes</v>
      </c>
      <c r="O1034" s="48" t="str">
        <f aca="false">STACK!H1034</f>
        <v>Community Health Manager</v>
      </c>
      <c r="P1034" s="1" t="str">
        <f aca="false">IF(G1034&gt;0,IF(INDEX(CONFIRM!$H$5:$H$53,G1034)&lt;&gt;"",INDEX(CONFIRM!$H$5:$H$53,G1034),IFERROR(INDEX(MAP!$B$7:$B$156,MATCH(TRIM(O1034),MAP!$A$7:$A$156,0)),"UNMAPPED")),IFERROR(INDEX(MAP!$B$7:$B$156,MATCH(TRIM(O1034),MAP!$A$7:$A$156,0)),"UNMAPPED"))</f>
        <v>Community Benefit Manager</v>
      </c>
      <c r="Q1034" s="48" t="n">
        <f aca="false">STACK!I1034</f>
        <v>53.5</v>
      </c>
      <c r="R1034" s="60" t="n">
        <f aca="false">IF(G1034&gt;0,IF(INDEX(CONFIRM!$F$5:$F$53,G1034)&lt;&gt;"",INDEX(CONFIRM!$F$5:$F$53,G1034),IF(ISNUMBER(Q1034),Q1034,IF(Q1034="","",IFERROR(VALUE(TRIM(SUBSTITUTE(SUBSTITUTE(LOWER(Q1034),"hrs",""),"hr",""))),"")))),IF(ISNUMBER(Q1034),Q1034,IF(Q1034="","",IFERROR(VALUE(TRIM(SUBSTITUTE(SUBSTITUTE(LOWER(Q1034),"hrs",""),"hr",""))),""))))</f>
        <v>53.5</v>
      </c>
      <c r="S1034" s="57" t="n">
        <f aca="false">IFERROR(INDEX(RATES!$E$6:$E$28,MATCH(P1034,RATES!$A$6:$A$28,0)),0)</f>
        <v>59.11</v>
      </c>
      <c r="T1034" s="61" t="n">
        <f aca="false">IF(ISNUMBER(R1034),R1034,0)*S1034</f>
        <v>3162.385</v>
      </c>
      <c r="U1034" s="61" t="n">
        <f aca="false">T1034*INDEX(INPUTS!$H$10:$H$14,MATCH(B1034,INPUTS!$A$10:$A$14,0))</f>
        <v>499.65683</v>
      </c>
      <c r="V1034" s="61" t="n">
        <f aca="false">N(STACK!K1034)</f>
        <v>785</v>
      </c>
      <c r="W1034" s="61" t="n">
        <f aca="false">T1034+U1034+V1034</f>
        <v>4447.04183</v>
      </c>
      <c r="X1034" s="61" t="n">
        <f aca="false">N(STACK!L1034)</f>
        <v>0</v>
      </c>
      <c r="Y1034" s="61" t="n">
        <f aca="false">W1034-X1034</f>
        <v>4447.04183</v>
      </c>
      <c r="Z1034" s="1" t="n">
        <f aca="false">N(STACK!J1034)</f>
        <v>0</v>
      </c>
      <c r="AA1034" s="1" t="str">
        <f aca="false">TRIM(IF(D1034="UNMAPPED","Program not mapped. ","")&amp;IF(OR(K1034="UNMAPPED",K1034="UNASSIGNED"),"Category needs review. ","")&amp;IF(P1034="UNMAPPED","Title not mapped. ","")&amp;IF(AND(P1034&lt;&gt;"No staff time",R1034=""),"Missing hours. ","")&amp;IF(M1034="","Date not readable. ","")&amp;IF(N1034="No","Outside fiscal year. ","")&amp;IF(AND(F1034="Event",ISNUMBER(R1034)),IF(R1034&gt;12,"Event hours look high. ",""),"")&amp;IF(G1034&gt;0,"See CONFIRM sheet.",""))</f>
        <v/>
      </c>
      <c r="AB1034" s="1" t="n">
        <f aca="false">IF(N1034="No",0,IF(REVIEW!O1034=0,0,IF(G1034&gt;0,IF(INDEX(CONFIRM!$J$5:$J$53,G1034)&lt;&gt;"",INDEX(CONFIRM!$J$5:$J$53,G1034),1),1)))</f>
        <v>1</v>
      </c>
      <c r="AC1034" s="1" t="n">
        <f aca="false">IF(AB1034=1,IF(COUNTIFS($B$5:B1034,B1034,$D$5:D1034,D1034,$AB$5:AB1034,1)=1,1,0),0)</f>
        <v>0</v>
      </c>
    </row>
    <row r="1035" customFormat="false" ht="15" hidden="false" customHeight="false" outlineLevel="0" collapsed="false">
      <c r="A1035" s="48" t="str">
        <f aca="false">STACK!A1035</f>
        <v>CBH-0207</v>
      </c>
      <c r="B1035" s="48" t="str">
        <f aca="false">STACK!B1035</f>
        <v>CBH</v>
      </c>
      <c r="C1035" s="48" t="str">
        <f aca="false">STACK!E1035</f>
        <v>Interpreter Services</v>
      </c>
      <c r="D1035" s="1" t="str">
        <f aca="false">IFERROR(INDEX(MAP!$J$7:$J$101,MATCH(TRIM(C1035),MAP!$I$7:$I$101,0)),"UNMAPPED")</f>
        <v>Interpreter Services for Community Clinics</v>
      </c>
      <c r="E1035" s="1" t="str">
        <f aca="false">IFERROR(INDEX(MAP!$K$7:$K$101,MATCH(TRIM(C1035),MAP!$I$7:$I$101,0)),"")</f>
        <v>Access to care</v>
      </c>
      <c r="F1035" s="1" t="str">
        <f aca="false">IFERROR(INDEX(MAP!$L$7:$L$101,MATCH(TRIM(C1035),MAP!$I$7:$I$101,0)),"")</f>
        <v>Monthly</v>
      </c>
      <c r="G1035" s="1" t="n">
        <f aca="false">IFERROR(MATCH(A1035,CONFIRM!$A$5:$A$53,0),0)</f>
        <v>0</v>
      </c>
      <c r="H1035" s="48" t="str">
        <f aca="false">STACK!F1035</f>
        <v>Patient Support</v>
      </c>
      <c r="I1035" s="1" t="str">
        <f aca="false">IF(G1035&gt;0,IF(INDEX(CONFIRM!$I$5:$I$53,G1035)&lt;&gt;"",INDEX(CONFIRM!$I$5:$I$53,G1035),H1035),H1035)</f>
        <v>Patient Support</v>
      </c>
      <c r="J1035" s="1" t="str">
        <f aca="false">IFERROR(INDEX(MAP!$F$7:$F$74,MATCH(TRIM(I1035),MAP!$E$7:$E$74,0)),"UNMAPPED")</f>
        <v>Health care support services</v>
      </c>
      <c r="K1035" s="1" t="str">
        <f aca="false">IFERROR(INDEX(MAP!$G$7:$G$74,MATCH(TRIM(I1035),MAP!$E$7:$E$74,0)),"UNMAPPED")</f>
        <v>7e</v>
      </c>
      <c r="L1035" s="49" t="str">
        <f aca="false">STACK!G1035</f>
        <v>2026-03-31</v>
      </c>
      <c r="M1035" s="59" t="n">
        <f aca="false">IF(G1035&gt;0,IF(INDEX(CONFIRM!$G$5:$G$53,G1035)&lt;&gt;"",INDEX(CONFIRM!$G$5:$G$53,G1035),IF(ISNUMBER(L1035),L1035,IFERROR(DATEVALUE(L1035),""))),IF(ISNUMBER(L1035),L1035,IFERROR(DATEVALUE(L1035),"")))</f>
        <v>46112</v>
      </c>
      <c r="N1035" s="1" t="str">
        <f aca="false">IF(M1035="","Check",IF(AND(M1035&gt;=INPUTS!$C$6,M1035&lt;=INPUTS!$C$7),"Yes","No"))</f>
        <v>Yes</v>
      </c>
      <c r="O1035" s="48" t="str">
        <f aca="false">STACK!H1035</f>
        <v>Spanish Interpreter</v>
      </c>
      <c r="P1035" s="1" t="str">
        <f aca="false">IF(G1035&gt;0,IF(INDEX(CONFIRM!$H$5:$H$53,G1035)&lt;&gt;"",INDEX(CONFIRM!$H$5:$H$53,G1035),IFERROR(INDEX(MAP!$B$7:$B$156,MATCH(TRIM(O1035),MAP!$A$7:$A$156,0)),"UNMAPPED")),IFERROR(INDEX(MAP!$B$7:$B$156,MATCH(TRIM(O1035),MAP!$A$7:$A$156,0)),"UNMAPPED"))</f>
        <v>Interpreter</v>
      </c>
      <c r="Q1035" s="48" t="n">
        <f aca="false">STACK!I1035</f>
        <v>55.75</v>
      </c>
      <c r="R1035" s="60" t="n">
        <f aca="false">IF(G1035&gt;0,IF(INDEX(CONFIRM!$F$5:$F$53,G1035)&lt;&gt;"",INDEX(CONFIRM!$F$5:$F$53,G1035),IF(ISNUMBER(Q1035),Q1035,IF(Q1035="","",IFERROR(VALUE(TRIM(SUBSTITUTE(SUBSTITUTE(LOWER(Q1035),"hrs",""),"hr",""))),"")))),IF(ISNUMBER(Q1035),Q1035,IF(Q1035="","",IFERROR(VALUE(TRIM(SUBSTITUTE(SUBSTITUTE(LOWER(Q1035),"hrs",""),"hr",""))),""))))</f>
        <v>55.75</v>
      </c>
      <c r="S1035" s="57" t="n">
        <f aca="false">IFERROR(INDEX(RATES!$E$6:$E$28,MATCH(P1035,RATES!$A$6:$A$28,0)),0)</f>
        <v>32.7675</v>
      </c>
      <c r="T1035" s="61" t="n">
        <f aca="false">IF(ISNUMBER(R1035),R1035,0)*S1035</f>
        <v>1826.788125</v>
      </c>
      <c r="U1035" s="61" t="n">
        <f aca="false">T1035*INDEX(INPUTS!$H$10:$H$14,MATCH(B1035,INPUTS!$A$10:$A$14,0))</f>
        <v>288.63252375</v>
      </c>
      <c r="V1035" s="61" t="n">
        <f aca="false">N(STACK!K1035)</f>
        <v>0</v>
      </c>
      <c r="W1035" s="61" t="n">
        <f aca="false">T1035+U1035+V1035</f>
        <v>2115.42064875</v>
      </c>
      <c r="X1035" s="61" t="n">
        <f aca="false">N(STACK!L1035)</f>
        <v>0</v>
      </c>
      <c r="Y1035" s="61" t="n">
        <f aca="false">W1035-X1035</f>
        <v>2115.42064875</v>
      </c>
      <c r="Z1035" s="1" t="n">
        <f aca="false">N(STACK!J1035)</f>
        <v>90</v>
      </c>
      <c r="AA1035" s="1" t="str">
        <f aca="false">TRIM(IF(D1035="UNMAPPED","Program not mapped. ","")&amp;IF(OR(K1035="UNMAPPED",K1035="UNASSIGNED"),"Category needs review. ","")&amp;IF(P1035="UNMAPPED","Title not mapped. ","")&amp;IF(AND(P1035&lt;&gt;"No staff time",R1035=""),"Missing hours. ","")&amp;IF(M1035="","Date not readable. ","")&amp;IF(N1035="No","Outside fiscal year. ","")&amp;IF(AND(F1035="Event",ISNUMBER(R1035)),IF(R1035&gt;12,"Event hours look high. ",""),"")&amp;IF(G1035&gt;0,"See CONFIRM sheet.",""))</f>
        <v/>
      </c>
      <c r="AB1035" s="1" t="n">
        <f aca="false">IF(N1035="No",0,IF(REVIEW!O1035=0,0,IF(G1035&gt;0,IF(INDEX(CONFIRM!$J$5:$J$53,G1035)&lt;&gt;"",INDEX(CONFIRM!$J$5:$J$53,G1035),1),1)))</f>
        <v>1</v>
      </c>
      <c r="AC1035" s="1" t="n">
        <f aca="false">IF(AB1035=1,IF(COUNTIFS($B$5:B1035,B1035,$D$5:D1035,D1035,$AB$5:AB1035,1)=1,1,0),0)</f>
        <v>0</v>
      </c>
    </row>
    <row r="1036" customFormat="false" ht="15" hidden="false" customHeight="false" outlineLevel="0" collapsed="false">
      <c r="A1036" s="48" t="str">
        <f aca="false">STACK!A1036</f>
        <v>CBH-0208</v>
      </c>
      <c r="B1036" s="48" t="str">
        <f aca="false">STACK!B1036</f>
        <v>CBH</v>
      </c>
      <c r="C1036" s="48" t="str">
        <f aca="false">STACK!E1036</f>
        <v>Nursing Student Rotations</v>
      </c>
      <c r="D1036" s="1" t="str">
        <f aca="false">IFERROR(INDEX(MAP!$J$7:$J$101,MATCH(TRIM(C1036),MAP!$I$7:$I$101,0)),"UNMAPPED")</f>
        <v>Nursing Student Clinical Rotations</v>
      </c>
      <c r="E1036" s="1" t="str">
        <f aca="false">IFERROR(INDEX(MAP!$K$7:$K$101,MATCH(TRIM(C1036),MAP!$I$7:$I$101,0)),"")</f>
        <v>Health workforce</v>
      </c>
      <c r="F1036" s="1" t="str">
        <f aca="false">IFERROR(INDEX(MAP!$L$7:$L$101,MATCH(TRIM(C1036),MAP!$I$7:$I$101,0)),"")</f>
        <v>Monthly</v>
      </c>
      <c r="G1036" s="1" t="n">
        <f aca="false">IFERROR(MATCH(A1036,CONFIRM!$A$5:$A$53,0),0)</f>
        <v>21</v>
      </c>
      <c r="H1036" s="48" t="str">
        <f aca="false">STACK!F1036</f>
        <v>Education - Health Professions</v>
      </c>
      <c r="I1036" s="1" t="str">
        <f aca="false">IF(G1036&gt;0,IF(INDEX(CONFIRM!$I$5:$I$53,G1036)&lt;&gt;"",INDEX(CONFIRM!$I$5:$I$53,G1036),H1036),H1036)</f>
        <v>Education - Health Professions</v>
      </c>
      <c r="J1036" s="1" t="str">
        <f aca="false">IFERROR(INDEX(MAP!$F$7:$F$74,MATCH(TRIM(I1036),MAP!$E$7:$E$74,0)),"UNMAPPED")</f>
        <v>Health professions education</v>
      </c>
      <c r="K1036" s="1" t="str">
        <f aca="false">IFERROR(INDEX(MAP!$G$7:$G$74,MATCH(TRIM(I1036),MAP!$E$7:$E$74,0)),"UNMAPPED")</f>
        <v>7f</v>
      </c>
      <c r="L1036" s="49" t="str">
        <f aca="false">STACK!G1036</f>
        <v>2026-03-31</v>
      </c>
      <c r="M1036" s="59" t="n">
        <f aca="false">IF(G1036&gt;0,IF(INDEX(CONFIRM!$G$5:$G$53,G1036)&lt;&gt;"",INDEX(CONFIRM!$G$5:$G$53,G1036),IF(ISNUMBER(L1036),L1036,IFERROR(DATEVALUE(L1036),""))),IF(ISNUMBER(L1036),L1036,IFERROR(DATEVALUE(L1036),"")))</f>
        <v>46112</v>
      </c>
      <c r="N1036" s="1" t="str">
        <f aca="false">IF(M1036="","Check",IF(AND(M1036&gt;=INPUTS!$C$6,M1036&lt;=INPUTS!$C$7),"Yes","No"))</f>
        <v>Yes</v>
      </c>
      <c r="O1036" s="48" t="str">
        <f aca="false">STACK!H1036</f>
        <v>Educator, Nursing</v>
      </c>
      <c r="P1036" s="1" t="str">
        <f aca="false">IF(G1036&gt;0,IF(INDEX(CONFIRM!$H$5:$H$53,G1036)&lt;&gt;"",INDEX(CONFIRM!$H$5:$H$53,G1036),IFERROR(INDEX(MAP!$B$7:$B$156,MATCH(TRIM(O1036),MAP!$A$7:$A$156,0)),"UNMAPPED")),IFERROR(INDEX(MAP!$B$7:$B$156,MATCH(TRIM(O1036),MAP!$A$7:$A$156,0)),"UNMAPPED"))</f>
        <v>Clinical Nurse Educator</v>
      </c>
      <c r="Q1036" s="48" t="str">
        <f aca="false">STACK!I1036</f>
        <v/>
      </c>
      <c r="R1036" s="60" t="n">
        <f aca="false">IF(G1036&gt;0,IF(INDEX(CONFIRM!$F$5:$F$53,G1036)&lt;&gt;"",INDEX(CONFIRM!$F$5:$F$53,G1036),IF(ISNUMBER(Q1036),Q1036,IF(Q1036="","",IFERROR(VALUE(TRIM(SUBSTITUTE(SUBSTITUTE(LOWER(Q1036),"hrs",""),"hr",""))),"")))),IF(ISNUMBER(Q1036),Q1036,IF(Q1036="","",IFERROR(VALUE(TRIM(SUBSTITUTE(SUBSTITUTE(LOWER(Q1036),"hrs",""),"hr",""))),""))))</f>
        <v>89.25</v>
      </c>
      <c r="S1036" s="57" t="n">
        <f aca="false">IFERROR(INDEX(RATES!$E$6:$E$28,MATCH(P1036,RATES!$A$6:$A$28,0)),0)</f>
        <v>62.965</v>
      </c>
      <c r="T1036" s="61" t="n">
        <f aca="false">IF(ISNUMBER(R1036),R1036,0)*S1036</f>
        <v>5619.62625</v>
      </c>
      <c r="U1036" s="61" t="n">
        <f aca="false">T1036*INDEX(INPUTS!$H$10:$H$14,MATCH(B1036,INPUTS!$A$10:$A$14,0))</f>
        <v>887.9009475</v>
      </c>
      <c r="V1036" s="61" t="n">
        <f aca="false">N(STACK!K1036)</f>
        <v>1085</v>
      </c>
      <c r="W1036" s="61" t="n">
        <f aca="false">T1036+U1036+V1036</f>
        <v>7592.5271975</v>
      </c>
      <c r="X1036" s="61" t="n">
        <f aca="false">N(STACK!L1036)</f>
        <v>0</v>
      </c>
      <c r="Y1036" s="61" t="n">
        <f aca="false">W1036-X1036</f>
        <v>7592.5271975</v>
      </c>
      <c r="Z1036" s="1" t="n">
        <f aca="false">N(STACK!J1036)</f>
        <v>29</v>
      </c>
      <c r="AA1036" s="1" t="str">
        <f aca="false">TRIM(IF(D1036="UNMAPPED","Program not mapped. ","")&amp;IF(OR(K1036="UNMAPPED",K1036="UNASSIGNED"),"Category needs review. ","")&amp;IF(P1036="UNMAPPED","Title not mapped. ","")&amp;IF(AND(P1036&lt;&gt;"No staff time",R1036=""),"Missing hours. ","")&amp;IF(M1036="","Date not readable. ","")&amp;IF(N1036="No","Outside fiscal year. ","")&amp;IF(AND(F1036="Event",ISNUMBER(R1036)),IF(R1036&gt;12,"Event hours look high. ",""),"")&amp;IF(G1036&gt;0,"See CONFIRM sheet.",""))</f>
        <v>See CONFIRM sheet.</v>
      </c>
      <c r="AB1036" s="1" t="n">
        <f aca="false">IF(N1036="No",0,IF(REVIEW!O1036=0,0,IF(G1036&gt;0,IF(INDEX(CONFIRM!$J$5:$J$53,G1036)&lt;&gt;"",INDEX(CONFIRM!$J$5:$J$53,G1036),1),1)))</f>
        <v>1</v>
      </c>
      <c r="AC1036" s="1" t="n">
        <f aca="false">IF(AB1036=1,IF(COUNTIFS($B$5:B1036,B1036,$D$5:D1036,D1036,$AB$5:AB1036,1)=1,1,0),0)</f>
        <v>0</v>
      </c>
    </row>
    <row r="1037" customFormat="false" ht="15" hidden="false" customHeight="false" outlineLevel="0" collapsed="false">
      <c r="A1037" s="48" t="str">
        <f aca="false">STACK!A1037</f>
        <v>CBH-0209</v>
      </c>
      <c r="B1037" s="48" t="str">
        <f aca="false">STACK!B1037</f>
        <v>CBH</v>
      </c>
      <c r="C1037" s="48" t="str">
        <f aca="false">STACK!E1037</f>
        <v>Nursing Student Rotations</v>
      </c>
      <c r="D1037" s="1" t="str">
        <f aca="false">IFERROR(INDEX(MAP!$J$7:$J$101,MATCH(TRIM(C1037),MAP!$I$7:$I$101,0)),"UNMAPPED")</f>
        <v>Nursing Student Clinical Rotations</v>
      </c>
      <c r="E1037" s="1" t="str">
        <f aca="false">IFERROR(INDEX(MAP!$K$7:$K$101,MATCH(TRIM(C1037),MAP!$I$7:$I$101,0)),"")</f>
        <v>Health workforce</v>
      </c>
      <c r="F1037" s="1" t="str">
        <f aca="false">IFERROR(INDEX(MAP!$L$7:$L$101,MATCH(TRIM(C1037),MAP!$I$7:$I$101,0)),"")</f>
        <v>Monthly</v>
      </c>
      <c r="G1037" s="1" t="n">
        <f aca="false">IFERROR(MATCH(A1037,CONFIRM!$A$5:$A$53,0),0)</f>
        <v>0</v>
      </c>
      <c r="H1037" s="48" t="str">
        <f aca="false">STACK!F1037</f>
        <v>Education - Health Professions</v>
      </c>
      <c r="I1037" s="1" t="str">
        <f aca="false">IF(G1037&gt;0,IF(INDEX(CONFIRM!$I$5:$I$53,G1037)&lt;&gt;"",INDEX(CONFIRM!$I$5:$I$53,G1037),H1037),H1037)</f>
        <v>Education - Health Professions</v>
      </c>
      <c r="J1037" s="1" t="str">
        <f aca="false">IFERROR(INDEX(MAP!$F$7:$F$74,MATCH(TRIM(I1037),MAP!$E$7:$E$74,0)),"UNMAPPED")</f>
        <v>Health professions education</v>
      </c>
      <c r="K1037" s="1" t="str">
        <f aca="false">IFERROR(INDEX(MAP!$G$7:$G$74,MATCH(TRIM(I1037),MAP!$E$7:$E$74,0)),"UNMAPPED")</f>
        <v>7f</v>
      </c>
      <c r="L1037" s="49" t="str">
        <f aca="false">STACK!G1037</f>
        <v>2026-03-31</v>
      </c>
      <c r="M1037" s="59" t="n">
        <f aca="false">IF(G1037&gt;0,IF(INDEX(CONFIRM!$G$5:$G$53,G1037)&lt;&gt;"",INDEX(CONFIRM!$G$5:$G$53,G1037),IF(ISNUMBER(L1037),L1037,IFERROR(DATEVALUE(L1037),""))),IF(ISNUMBER(L1037),L1037,IFERROR(DATEVALUE(L1037),"")))</f>
        <v>46112</v>
      </c>
      <c r="N1037" s="1" t="str">
        <f aca="false">IF(M1037="","Check",IF(AND(M1037&gt;=INPUTS!$C$6,M1037&lt;=INPUTS!$C$7),"Yes","No"))</f>
        <v>Yes</v>
      </c>
      <c r="O1037" s="48" t="str">
        <f aca="false">STACK!H1037</f>
        <v>RN</v>
      </c>
      <c r="P1037" s="1" t="str">
        <f aca="false">IF(G1037&gt;0,IF(INDEX(CONFIRM!$H$5:$H$53,G1037)&lt;&gt;"",INDEX(CONFIRM!$H$5:$H$53,G1037),IFERROR(INDEX(MAP!$B$7:$B$156,MATCH(TRIM(O1037),MAP!$A$7:$A$156,0)),"UNMAPPED")),IFERROR(INDEX(MAP!$B$7:$B$156,MATCH(TRIM(O1037),MAP!$A$7:$A$156,0)),"UNMAPPED"))</f>
        <v>Registered Nurse</v>
      </c>
      <c r="Q1037" s="48" t="n">
        <f aca="false">STACK!I1037</f>
        <v>217.75</v>
      </c>
      <c r="R1037" s="60" t="n">
        <f aca="false">IF(G1037&gt;0,IF(INDEX(CONFIRM!$F$5:$F$53,G1037)&lt;&gt;"",INDEX(CONFIRM!$F$5:$F$53,G1037),IF(ISNUMBER(Q1037),Q1037,IF(Q1037="","",IFERROR(VALUE(TRIM(SUBSTITUTE(SUBSTITUTE(LOWER(Q1037),"hrs",""),"hr",""))),"")))),IF(ISNUMBER(Q1037),Q1037,IF(Q1037="","",IFERROR(VALUE(TRIM(SUBSTITUTE(SUBSTITUTE(LOWER(Q1037),"hrs",""),"hr",""))),""))))</f>
        <v>217.75</v>
      </c>
      <c r="S1037" s="57" t="n">
        <f aca="false">IFERROR(INDEX(RATES!$E$6:$E$28,MATCH(P1037,RATES!$A$6:$A$28,0)),0)</f>
        <v>55.8975</v>
      </c>
      <c r="T1037" s="61" t="n">
        <f aca="false">IF(ISNUMBER(R1037),R1037,0)*S1037</f>
        <v>12171.680625</v>
      </c>
      <c r="U1037" s="61" t="n">
        <f aca="false">T1037*INDEX(INPUTS!$H$10:$H$14,MATCH(B1037,INPUTS!$A$10:$A$14,0))</f>
        <v>1923.12553875</v>
      </c>
      <c r="V1037" s="61" t="n">
        <f aca="false">N(STACK!K1037)</f>
        <v>0</v>
      </c>
      <c r="W1037" s="61" t="n">
        <f aca="false">T1037+U1037+V1037</f>
        <v>14094.80616375</v>
      </c>
      <c r="X1037" s="61" t="n">
        <f aca="false">N(STACK!L1037)</f>
        <v>0</v>
      </c>
      <c r="Y1037" s="61" t="n">
        <f aca="false">W1037-X1037</f>
        <v>14094.80616375</v>
      </c>
      <c r="Z1037" s="1" t="n">
        <f aca="false">N(STACK!J1037)</f>
        <v>0</v>
      </c>
      <c r="AA1037" s="1" t="str">
        <f aca="false">TRIM(IF(D1037="UNMAPPED","Program not mapped. ","")&amp;IF(OR(K1037="UNMAPPED",K1037="UNASSIGNED"),"Category needs review. ","")&amp;IF(P1037="UNMAPPED","Title not mapped. ","")&amp;IF(AND(P1037&lt;&gt;"No staff time",R1037=""),"Missing hours. ","")&amp;IF(M1037="","Date not readable. ","")&amp;IF(N1037="No","Outside fiscal year. ","")&amp;IF(AND(F1037="Event",ISNUMBER(R1037)),IF(R1037&gt;12,"Event hours look high. ",""),"")&amp;IF(G1037&gt;0,"See CONFIRM sheet.",""))</f>
        <v/>
      </c>
      <c r="AB1037" s="1" t="n">
        <f aca="false">IF(N1037="No",0,IF(REVIEW!O1037=0,0,IF(G1037&gt;0,IF(INDEX(CONFIRM!$J$5:$J$53,G1037)&lt;&gt;"",INDEX(CONFIRM!$J$5:$J$53,G1037),1),1)))</f>
        <v>1</v>
      </c>
      <c r="AC1037" s="1" t="n">
        <f aca="false">IF(AB1037=1,IF(COUNTIFS($B$5:B1037,B1037,$D$5:D1037,D1037,$AB$5:AB1037,1)=1,1,0),0)</f>
        <v>0</v>
      </c>
    </row>
    <row r="1038" customFormat="false" ht="15" hidden="false" customHeight="false" outlineLevel="0" collapsed="false">
      <c r="A1038" s="48" t="str">
        <f aca="false">STACK!A1038</f>
        <v>CBH-0210</v>
      </c>
      <c r="B1038" s="48" t="str">
        <f aca="false">STACK!B1038</f>
        <v>CBH</v>
      </c>
      <c r="C1038" s="48" t="str">
        <f aca="false">STACK!E1038</f>
        <v>Pharmacy Students</v>
      </c>
      <c r="D1038" s="1" t="str">
        <f aca="false">IFERROR(INDEX(MAP!$J$7:$J$101,MATCH(TRIM(C1038),MAP!$I$7:$I$101,0)),"UNMAPPED")</f>
        <v>Pharmacy Student Rotations</v>
      </c>
      <c r="E1038" s="1" t="str">
        <f aca="false">IFERROR(INDEX(MAP!$K$7:$K$101,MATCH(TRIM(C1038),MAP!$I$7:$I$101,0)),"")</f>
        <v>Health workforce</v>
      </c>
      <c r="F1038" s="1" t="str">
        <f aca="false">IFERROR(INDEX(MAP!$L$7:$L$101,MATCH(TRIM(C1038),MAP!$I$7:$I$101,0)),"")</f>
        <v>Monthly</v>
      </c>
      <c r="G1038" s="1" t="n">
        <f aca="false">IFERROR(MATCH(A1038,CONFIRM!$A$5:$A$53,0),0)</f>
        <v>0</v>
      </c>
      <c r="H1038" s="48" t="str">
        <f aca="false">STACK!F1038</f>
        <v>Education - Health Professions</v>
      </c>
      <c r="I1038" s="1" t="str">
        <f aca="false">IF(G1038&gt;0,IF(INDEX(CONFIRM!$I$5:$I$53,G1038)&lt;&gt;"",INDEX(CONFIRM!$I$5:$I$53,G1038),H1038),H1038)</f>
        <v>Education - Health Professions</v>
      </c>
      <c r="J1038" s="1" t="str">
        <f aca="false">IFERROR(INDEX(MAP!$F$7:$F$74,MATCH(TRIM(I1038),MAP!$E$7:$E$74,0)),"UNMAPPED")</f>
        <v>Health professions education</v>
      </c>
      <c r="K1038" s="1" t="str">
        <f aca="false">IFERROR(INDEX(MAP!$G$7:$G$74,MATCH(TRIM(I1038),MAP!$E$7:$E$74,0)),"UNMAPPED")</f>
        <v>7f</v>
      </c>
      <c r="L1038" s="49" t="str">
        <f aca="false">STACK!G1038</f>
        <v>2026-03-31</v>
      </c>
      <c r="M1038" s="59" t="n">
        <f aca="false">IF(G1038&gt;0,IF(INDEX(CONFIRM!$G$5:$G$53,G1038)&lt;&gt;"",INDEX(CONFIRM!$G$5:$G$53,G1038),IF(ISNUMBER(L1038),L1038,IFERROR(DATEVALUE(L1038),""))),IF(ISNUMBER(L1038),L1038,IFERROR(DATEVALUE(L1038),"")))</f>
        <v>46112</v>
      </c>
      <c r="N1038" s="1" t="str">
        <f aca="false">IF(M1038="","Check",IF(AND(M1038&gt;=INPUTS!$C$6,M1038&lt;=INPUTS!$C$7),"Yes","No"))</f>
        <v>Yes</v>
      </c>
      <c r="O1038" s="48" t="str">
        <f aca="false">STACK!H1038</f>
        <v>RPh</v>
      </c>
      <c r="P1038" s="1" t="str">
        <f aca="false">IF(G1038&gt;0,IF(INDEX(CONFIRM!$H$5:$H$53,G1038)&lt;&gt;"",INDEX(CONFIRM!$H$5:$H$53,G1038),IFERROR(INDEX(MAP!$B$7:$B$156,MATCH(TRIM(O1038),MAP!$A$7:$A$156,0)),"UNMAPPED")),IFERROR(INDEX(MAP!$B$7:$B$156,MATCH(TRIM(O1038),MAP!$A$7:$A$156,0)),"UNMAPPED"))</f>
        <v>Pharmacist</v>
      </c>
      <c r="Q1038" s="48" t="n">
        <f aca="false">STACK!I1038</f>
        <v>62.25</v>
      </c>
      <c r="R1038" s="60" t="n">
        <f aca="false">IF(G1038&gt;0,IF(INDEX(CONFIRM!$F$5:$F$53,G1038)&lt;&gt;"",INDEX(CONFIRM!$F$5:$F$53,G1038),IF(ISNUMBER(Q1038),Q1038,IF(Q1038="","",IFERROR(VALUE(TRIM(SUBSTITUTE(SUBSTITUTE(LOWER(Q1038),"hrs",""),"hr",""))),"")))),IF(ISNUMBER(Q1038),Q1038,IF(Q1038="","",IFERROR(VALUE(TRIM(SUBSTITUTE(SUBSTITUTE(LOWER(Q1038),"hrs",""),"hr",""))),""))))</f>
        <v>62.25</v>
      </c>
      <c r="S1038" s="57" t="n">
        <f aca="false">IFERROR(INDEX(RATES!$E$6:$E$28,MATCH(P1038,RATES!$A$6:$A$28,0)),0)</f>
        <v>84.81</v>
      </c>
      <c r="T1038" s="61" t="n">
        <f aca="false">IF(ISNUMBER(R1038),R1038,0)*S1038</f>
        <v>5279.4225</v>
      </c>
      <c r="U1038" s="61" t="n">
        <f aca="false">T1038*INDEX(INPUTS!$H$10:$H$14,MATCH(B1038,INPUTS!$A$10:$A$14,0))</f>
        <v>834.148755</v>
      </c>
      <c r="V1038" s="61" t="n">
        <f aca="false">N(STACK!K1038)</f>
        <v>130</v>
      </c>
      <c r="W1038" s="61" t="n">
        <f aca="false">T1038+U1038+V1038</f>
        <v>6243.571255</v>
      </c>
      <c r="X1038" s="61" t="n">
        <f aca="false">N(STACK!L1038)</f>
        <v>0</v>
      </c>
      <c r="Y1038" s="61" t="n">
        <f aca="false">W1038-X1038</f>
        <v>6243.571255</v>
      </c>
      <c r="Z1038" s="1" t="n">
        <f aca="false">N(STACK!J1038)</f>
        <v>5</v>
      </c>
      <c r="AA1038" s="1" t="str">
        <f aca="false">TRIM(IF(D1038="UNMAPPED","Program not mapped. ","")&amp;IF(OR(K1038="UNMAPPED",K1038="UNASSIGNED"),"Category needs review. ","")&amp;IF(P1038="UNMAPPED","Title not mapped. ","")&amp;IF(AND(P1038&lt;&gt;"No staff time",R1038=""),"Missing hours. ","")&amp;IF(M1038="","Date not readable. ","")&amp;IF(N1038="No","Outside fiscal year. ","")&amp;IF(AND(F1038="Event",ISNUMBER(R1038)),IF(R1038&gt;12,"Event hours look high. ",""),"")&amp;IF(G1038&gt;0,"See CONFIRM sheet.",""))</f>
        <v/>
      </c>
      <c r="AB1038" s="1" t="n">
        <f aca="false">IF(N1038="No",0,IF(REVIEW!O1038=0,0,IF(G1038&gt;0,IF(INDEX(CONFIRM!$J$5:$J$53,G1038)&lt;&gt;"",INDEX(CONFIRM!$J$5:$J$53,G1038),1),1)))</f>
        <v>1</v>
      </c>
      <c r="AC1038" s="1" t="n">
        <f aca="false">IF(AB1038=1,IF(COUNTIFS($B$5:B1038,B1038,$D$5:D1038,D1038,$AB$5:AB1038,1)=1,1,0),0)</f>
        <v>0</v>
      </c>
    </row>
    <row r="1039" customFormat="false" ht="15" hidden="false" customHeight="false" outlineLevel="0" collapsed="false">
      <c r="A1039" s="48" t="str">
        <f aca="false">STACK!A1039</f>
        <v>CBH-0211</v>
      </c>
      <c r="B1039" s="48" t="str">
        <f aca="false">STACK!B1039</f>
        <v>CBH</v>
      </c>
      <c r="C1039" s="48" t="str">
        <f aca="false">STACK!E1039</f>
        <v>Blood Pressure Screening</v>
      </c>
      <c r="D1039" s="1" t="str">
        <f aca="false">IFERROR(INDEX(MAP!$J$7:$J$101,MATCH(TRIM(C1039),MAP!$I$7:$I$101,0)),"UNMAPPED")</f>
        <v>Community Blood Pressure Checks</v>
      </c>
      <c r="E1039" s="1" t="str">
        <f aca="false">IFERROR(INDEX(MAP!$K$7:$K$101,MATCH(TRIM(C1039),MAP!$I$7:$I$101,0)),"")</f>
        <v>Chronic disease prevention</v>
      </c>
      <c r="F1039" s="1" t="str">
        <f aca="false">IFERROR(INDEX(MAP!$L$7:$L$101,MATCH(TRIM(C1039),MAP!$I$7:$I$101,0)),"")</f>
        <v>Event</v>
      </c>
      <c r="G1039" s="1" t="n">
        <f aca="false">IFERROR(MATCH(A1039,CONFIRM!$A$5:$A$53,0),0)</f>
        <v>0</v>
      </c>
      <c r="H1039" s="48" t="str">
        <f aca="false">STACK!F1039</f>
        <v>Screenings</v>
      </c>
      <c r="I1039" s="1" t="str">
        <f aca="false">IF(G1039&gt;0,IF(INDEX(CONFIRM!$I$5:$I$53,G1039)&lt;&gt;"",INDEX(CONFIRM!$I$5:$I$53,G1039),H1039),H1039)</f>
        <v>Screenings</v>
      </c>
      <c r="J1039" s="1" t="str">
        <f aca="false">IFERROR(INDEX(MAP!$F$7:$F$74,MATCH(TRIM(I1039),MAP!$E$7:$E$74,0)),"UNMAPPED")</f>
        <v>Community-based clinical services</v>
      </c>
      <c r="K1039" s="1" t="str">
        <f aca="false">IFERROR(INDEX(MAP!$G$7:$G$74,MATCH(TRIM(I1039),MAP!$E$7:$E$74,0)),"UNMAPPED")</f>
        <v>7e</v>
      </c>
      <c r="L1039" s="49" t="str">
        <f aca="false">STACK!G1039</f>
        <v>2026-04-01</v>
      </c>
      <c r="M1039" s="59" t="n">
        <f aca="false">IF(G1039&gt;0,IF(INDEX(CONFIRM!$G$5:$G$53,G1039)&lt;&gt;"",INDEX(CONFIRM!$G$5:$G$53,G1039),IF(ISNUMBER(L1039),L1039,IFERROR(DATEVALUE(L1039),""))),IF(ISNUMBER(L1039),L1039,IFERROR(DATEVALUE(L1039),"")))</f>
        <v>46113</v>
      </c>
      <c r="N1039" s="1" t="str">
        <f aca="false">IF(M1039="","Check",IF(AND(M1039&gt;=INPUTS!$C$6,M1039&lt;=INPUTS!$C$7),"Yes","No"))</f>
        <v>Yes</v>
      </c>
      <c r="O1039" s="48" t="str">
        <f aca="false">STACK!H1039</f>
        <v>R.N.</v>
      </c>
      <c r="P1039" s="1" t="str">
        <f aca="false">IF(G1039&gt;0,IF(INDEX(CONFIRM!$H$5:$H$53,G1039)&lt;&gt;"",INDEX(CONFIRM!$H$5:$H$53,G1039),IFERROR(INDEX(MAP!$B$7:$B$156,MATCH(TRIM(O1039),MAP!$A$7:$A$156,0)),"UNMAPPED")),IFERROR(INDEX(MAP!$B$7:$B$156,MATCH(TRIM(O1039),MAP!$A$7:$A$156,0)),"UNMAPPED"))</f>
        <v>Registered Nurse</v>
      </c>
      <c r="Q1039" s="48" t="n">
        <f aca="false">STACK!I1039</f>
        <v>4.25</v>
      </c>
      <c r="R1039" s="60" t="n">
        <f aca="false">IF(G1039&gt;0,IF(INDEX(CONFIRM!$F$5:$F$53,G1039)&lt;&gt;"",INDEX(CONFIRM!$F$5:$F$53,G1039),IF(ISNUMBER(Q1039),Q1039,IF(Q1039="","",IFERROR(VALUE(TRIM(SUBSTITUTE(SUBSTITUTE(LOWER(Q1039),"hrs",""),"hr",""))),"")))),IF(ISNUMBER(Q1039),Q1039,IF(Q1039="","",IFERROR(VALUE(TRIM(SUBSTITUTE(SUBSTITUTE(LOWER(Q1039),"hrs",""),"hr",""))),""))))</f>
        <v>4.25</v>
      </c>
      <c r="S1039" s="57" t="n">
        <f aca="false">IFERROR(INDEX(RATES!$E$6:$E$28,MATCH(P1039,RATES!$A$6:$A$28,0)),0)</f>
        <v>55.8975</v>
      </c>
      <c r="T1039" s="61" t="n">
        <f aca="false">IF(ISNUMBER(R1039),R1039,0)*S1039</f>
        <v>237.564375</v>
      </c>
      <c r="U1039" s="61" t="n">
        <f aca="false">T1039*INDEX(INPUTS!$H$10:$H$14,MATCH(B1039,INPUTS!$A$10:$A$14,0))</f>
        <v>37.53517125</v>
      </c>
      <c r="V1039" s="61" t="n">
        <f aca="false">N(STACK!K1039)</f>
        <v>40</v>
      </c>
      <c r="W1039" s="61" t="n">
        <f aca="false">T1039+U1039+V1039</f>
        <v>315.09954625</v>
      </c>
      <c r="X1039" s="61" t="n">
        <f aca="false">N(STACK!L1039)</f>
        <v>0</v>
      </c>
      <c r="Y1039" s="61" t="n">
        <f aca="false">W1039-X1039</f>
        <v>315.09954625</v>
      </c>
      <c r="Z1039" s="1" t="n">
        <f aca="false">N(STACK!J1039)</f>
        <v>29</v>
      </c>
      <c r="AA1039" s="1" t="str">
        <f aca="false">TRIM(IF(D1039="UNMAPPED","Program not mapped. ","")&amp;IF(OR(K1039="UNMAPPED",K1039="UNASSIGNED"),"Category needs review. ","")&amp;IF(P1039="UNMAPPED","Title not mapped. ","")&amp;IF(AND(P1039&lt;&gt;"No staff time",R1039=""),"Missing hours. ","")&amp;IF(M1039="","Date not readable. ","")&amp;IF(N1039="No","Outside fiscal year. ","")&amp;IF(AND(F1039="Event",ISNUMBER(R1039)),IF(R1039&gt;12,"Event hours look high. ",""),"")&amp;IF(G1039&gt;0,"See CONFIRM sheet.",""))</f>
        <v/>
      </c>
      <c r="AB1039" s="1" t="n">
        <f aca="false">IF(N1039="No",0,IF(REVIEW!O1039=0,0,IF(G1039&gt;0,IF(INDEX(CONFIRM!$J$5:$J$53,G1039)&lt;&gt;"",INDEX(CONFIRM!$J$5:$J$53,G1039),1),1)))</f>
        <v>1</v>
      </c>
      <c r="AC1039" s="1" t="n">
        <f aca="false">IF(AB1039=1,IF(COUNTIFS($B$5:B1039,B1039,$D$5:D1039,D1039,$AB$5:AB1039,1)=1,1,0),0)</f>
        <v>0</v>
      </c>
    </row>
    <row r="1040" customFormat="false" ht="15" hidden="false" customHeight="false" outlineLevel="0" collapsed="false">
      <c r="A1040" s="48" t="str">
        <f aca="false">STACK!A1040</f>
        <v>CBH-0212</v>
      </c>
      <c r="B1040" s="48" t="str">
        <f aca="false">STACK!B1040</f>
        <v>CBH</v>
      </c>
      <c r="C1040" s="48" t="str">
        <f aca="false">STACK!E1040</f>
        <v>Bereavement Group</v>
      </c>
      <c r="D1040" s="1" t="str">
        <f aca="false">IFERROR(INDEX(MAP!$J$7:$J$101,MATCH(TRIM(C1040),MAP!$I$7:$I$101,0)),"UNMAPPED")</f>
        <v>Grief Support Group</v>
      </c>
      <c r="E1040" s="1" t="str">
        <f aca="false">IFERROR(INDEX(MAP!$K$7:$K$101,MATCH(TRIM(C1040),MAP!$I$7:$I$101,0)),"")</f>
        <v>Behavioral health</v>
      </c>
      <c r="F1040" s="1" t="str">
        <f aca="false">IFERROR(INDEX(MAP!$L$7:$L$101,MATCH(TRIM(C1040),MAP!$I$7:$I$101,0)),"")</f>
        <v>Event</v>
      </c>
      <c r="G1040" s="1" t="n">
        <f aca="false">IFERROR(MATCH(A1040,CONFIRM!$A$5:$A$53,0),0)</f>
        <v>0</v>
      </c>
      <c r="H1040" s="48" t="str">
        <f aca="false">STACK!F1040</f>
        <v>Patient Support</v>
      </c>
      <c r="I1040" s="1" t="str">
        <f aca="false">IF(G1040&gt;0,IF(INDEX(CONFIRM!$I$5:$I$53,G1040)&lt;&gt;"",INDEX(CONFIRM!$I$5:$I$53,G1040),H1040),H1040)</f>
        <v>Patient Support</v>
      </c>
      <c r="J1040" s="1" t="str">
        <f aca="false">IFERROR(INDEX(MAP!$F$7:$F$74,MATCH(TRIM(I1040),MAP!$E$7:$E$74,0)),"UNMAPPED")</f>
        <v>Health care support services</v>
      </c>
      <c r="K1040" s="1" t="str">
        <f aca="false">IFERROR(INDEX(MAP!$G$7:$G$74,MATCH(TRIM(I1040),MAP!$E$7:$E$74,0)),"UNMAPPED")</f>
        <v>7e</v>
      </c>
      <c r="L1040" s="49" t="str">
        <f aca="false">STACK!G1040</f>
        <v>2026-04-02</v>
      </c>
      <c r="M1040" s="59" t="n">
        <f aca="false">IF(G1040&gt;0,IF(INDEX(CONFIRM!$G$5:$G$53,G1040)&lt;&gt;"",INDEX(CONFIRM!$G$5:$G$53,G1040),IF(ISNUMBER(L1040),L1040,IFERROR(DATEVALUE(L1040),""))),IF(ISNUMBER(L1040),L1040,IFERROR(DATEVALUE(L1040),"")))</f>
        <v>46114</v>
      </c>
      <c r="N1040" s="1" t="str">
        <f aca="false">IF(M1040="","Check",IF(AND(M1040&gt;=INPUTS!$C$6,M1040&lt;=INPUTS!$C$7),"Yes","No"))</f>
        <v>Yes</v>
      </c>
      <c r="O1040" s="48" t="str">
        <f aca="false">STACK!H1040</f>
        <v>Chaplain</v>
      </c>
      <c r="P1040" s="1" t="str">
        <f aca="false">IF(G1040&gt;0,IF(INDEX(CONFIRM!$H$5:$H$53,G1040)&lt;&gt;"",INDEX(CONFIRM!$H$5:$H$53,G1040),IFERROR(INDEX(MAP!$B$7:$B$156,MATCH(TRIM(O1040),MAP!$A$7:$A$156,0)),"UNMAPPED")),IFERROR(INDEX(MAP!$B$7:$B$156,MATCH(TRIM(O1040),MAP!$A$7:$A$156,0)),"UNMAPPED"))</f>
        <v>Chaplain</v>
      </c>
      <c r="Q1040" s="48" t="n">
        <f aca="false">STACK!I1040</f>
        <v>2.25</v>
      </c>
      <c r="R1040" s="60" t="n">
        <f aca="false">IF(G1040&gt;0,IF(INDEX(CONFIRM!$F$5:$F$53,G1040)&lt;&gt;"",INDEX(CONFIRM!$F$5:$F$53,G1040),IF(ISNUMBER(Q1040),Q1040,IF(Q1040="","",IFERROR(VALUE(TRIM(SUBSTITUTE(SUBSTITUTE(LOWER(Q1040),"hrs",""),"hr",""))),"")))),IF(ISNUMBER(Q1040),Q1040,IF(Q1040="","",IFERROR(VALUE(TRIM(SUBSTITUTE(SUBSTITUTE(LOWER(Q1040),"hrs",""),"hr",""))),""))))</f>
        <v>2.25</v>
      </c>
      <c r="S1040" s="57" t="n">
        <f aca="false">IFERROR(INDEX(RATES!$E$6:$E$28,MATCH(P1040,RATES!$A$6:$A$28,0)),0)</f>
        <v>39.835</v>
      </c>
      <c r="T1040" s="61" t="n">
        <f aca="false">IF(ISNUMBER(R1040),R1040,0)*S1040</f>
        <v>89.62875</v>
      </c>
      <c r="U1040" s="61" t="n">
        <f aca="false">T1040*INDEX(INPUTS!$H$10:$H$14,MATCH(B1040,INPUTS!$A$10:$A$14,0))</f>
        <v>14.1613425</v>
      </c>
      <c r="V1040" s="61" t="n">
        <f aca="false">N(STACK!K1040)</f>
        <v>50</v>
      </c>
      <c r="W1040" s="61" t="n">
        <f aca="false">T1040+U1040+V1040</f>
        <v>153.7900925</v>
      </c>
      <c r="X1040" s="61" t="n">
        <f aca="false">N(STACK!L1040)</f>
        <v>0</v>
      </c>
      <c r="Y1040" s="61" t="n">
        <f aca="false">W1040-X1040</f>
        <v>153.7900925</v>
      </c>
      <c r="Z1040" s="1" t="n">
        <f aca="false">N(STACK!J1040)</f>
        <v>7</v>
      </c>
      <c r="AA1040" s="1" t="str">
        <f aca="false">TRIM(IF(D1040="UNMAPPED","Program not mapped. ","")&amp;IF(OR(K1040="UNMAPPED",K1040="UNASSIGNED"),"Category needs review. ","")&amp;IF(P1040="UNMAPPED","Title not mapped. ","")&amp;IF(AND(P1040&lt;&gt;"No staff time",R1040=""),"Missing hours. ","")&amp;IF(M1040="","Date not readable. ","")&amp;IF(N1040="No","Outside fiscal year. ","")&amp;IF(AND(F1040="Event",ISNUMBER(R1040)),IF(R1040&gt;12,"Event hours look high. ",""),"")&amp;IF(G1040&gt;0,"See CONFIRM sheet.",""))</f>
        <v/>
      </c>
      <c r="AB1040" s="1" t="n">
        <f aca="false">IF(N1040="No",0,IF(REVIEW!O1040=0,0,IF(G1040&gt;0,IF(INDEX(CONFIRM!$J$5:$J$53,G1040)&lt;&gt;"",INDEX(CONFIRM!$J$5:$J$53,G1040),1),1)))</f>
        <v>1</v>
      </c>
      <c r="AC1040" s="1" t="n">
        <f aca="false">IF(AB1040=1,IF(COUNTIFS($B$5:B1040,B1040,$D$5:D1040,D1040,$AB$5:AB1040,1)=1,1,0),0)</f>
        <v>0</v>
      </c>
    </row>
    <row r="1041" customFormat="false" ht="15" hidden="false" customHeight="false" outlineLevel="0" collapsed="false">
      <c r="A1041" s="48" t="str">
        <f aca="false">STACK!A1041</f>
        <v>CBH-0213</v>
      </c>
      <c r="B1041" s="48" t="str">
        <f aca="false">STACK!B1041</f>
        <v>CBH</v>
      </c>
      <c r="C1041" s="48" t="str">
        <f aca="false">STACK!E1041</f>
        <v>Bereavement Group</v>
      </c>
      <c r="D1041" s="1" t="str">
        <f aca="false">IFERROR(INDEX(MAP!$J$7:$J$101,MATCH(TRIM(C1041),MAP!$I$7:$I$101,0)),"UNMAPPED")</f>
        <v>Grief Support Group</v>
      </c>
      <c r="E1041" s="1" t="str">
        <f aca="false">IFERROR(INDEX(MAP!$K$7:$K$101,MATCH(TRIM(C1041),MAP!$I$7:$I$101,0)),"")</f>
        <v>Behavioral health</v>
      </c>
      <c r="F1041" s="1" t="str">
        <f aca="false">IFERROR(INDEX(MAP!$L$7:$L$101,MATCH(TRIM(C1041),MAP!$I$7:$I$101,0)),"")</f>
        <v>Event</v>
      </c>
      <c r="G1041" s="1" t="n">
        <f aca="false">IFERROR(MATCH(A1041,CONFIRM!$A$5:$A$53,0),0)</f>
        <v>0</v>
      </c>
      <c r="H1041" s="48" t="str">
        <f aca="false">STACK!F1041</f>
        <v>Patient Support</v>
      </c>
      <c r="I1041" s="1" t="str">
        <f aca="false">IF(G1041&gt;0,IF(INDEX(CONFIRM!$I$5:$I$53,G1041)&lt;&gt;"",INDEX(CONFIRM!$I$5:$I$53,G1041),H1041),H1041)</f>
        <v>Patient Support</v>
      </c>
      <c r="J1041" s="1" t="str">
        <f aca="false">IFERROR(INDEX(MAP!$F$7:$F$74,MATCH(TRIM(I1041),MAP!$E$7:$E$74,0)),"UNMAPPED")</f>
        <v>Health care support services</v>
      </c>
      <c r="K1041" s="1" t="str">
        <f aca="false">IFERROR(INDEX(MAP!$G$7:$G$74,MATCH(TRIM(I1041),MAP!$E$7:$E$74,0)),"UNMAPPED")</f>
        <v>7e</v>
      </c>
      <c r="L1041" s="49" t="str">
        <f aca="false">STACK!G1041</f>
        <v>2026-04-02</v>
      </c>
      <c r="M1041" s="59" t="n">
        <f aca="false">IF(G1041&gt;0,IF(INDEX(CONFIRM!$G$5:$G$53,G1041)&lt;&gt;"",INDEX(CONFIRM!$G$5:$G$53,G1041),IF(ISNUMBER(L1041),L1041,IFERROR(DATEVALUE(L1041),""))),IF(ISNUMBER(L1041),L1041,IFERROR(DATEVALUE(L1041),"")))</f>
        <v>46114</v>
      </c>
      <c r="N1041" s="1" t="str">
        <f aca="false">IF(M1041="","Check",IF(AND(M1041&gt;=INPUTS!$C$6,M1041&lt;=INPUTS!$C$7),"Yes","No"))</f>
        <v>Yes</v>
      </c>
      <c r="O1041" s="48" t="str">
        <f aca="false">STACK!H1041</f>
        <v>MSW</v>
      </c>
      <c r="P1041" s="1" t="str">
        <f aca="false">IF(G1041&gt;0,IF(INDEX(CONFIRM!$H$5:$H$53,G1041)&lt;&gt;"",INDEX(CONFIRM!$H$5:$H$53,G1041),IFERROR(INDEX(MAP!$B$7:$B$156,MATCH(TRIM(O1041),MAP!$A$7:$A$156,0)),"UNMAPPED")),IFERROR(INDEX(MAP!$B$7:$B$156,MATCH(TRIM(O1041),MAP!$A$7:$A$156,0)),"UNMAPPED"))</f>
        <v>Social Worker</v>
      </c>
      <c r="Q1041" s="48" t="n">
        <f aca="false">STACK!I1041</f>
        <v>1.5</v>
      </c>
      <c r="R1041" s="60" t="n">
        <f aca="false">IF(G1041&gt;0,IF(INDEX(CONFIRM!$F$5:$F$53,G1041)&lt;&gt;"",INDEX(CONFIRM!$F$5:$F$53,G1041),IF(ISNUMBER(Q1041),Q1041,IF(Q1041="","",IFERROR(VALUE(TRIM(SUBSTITUTE(SUBSTITUTE(LOWER(Q1041),"hrs",""),"hr",""))),"")))),IF(ISNUMBER(Q1041),Q1041,IF(Q1041="","",IFERROR(VALUE(TRIM(SUBSTITUTE(SUBSTITUTE(LOWER(Q1041),"hrs",""),"hr",""))),""))))</f>
        <v>1.5</v>
      </c>
      <c r="S1041" s="57" t="n">
        <f aca="false">IFERROR(INDEX(RATES!$E$6:$E$28,MATCH(P1041,RATES!$A$6:$A$28,0)),0)</f>
        <v>45.6175</v>
      </c>
      <c r="T1041" s="61" t="n">
        <f aca="false">IF(ISNUMBER(R1041),R1041,0)*S1041</f>
        <v>68.42625</v>
      </c>
      <c r="U1041" s="61" t="n">
        <f aca="false">T1041*INDEX(INPUTS!$H$10:$H$14,MATCH(B1041,INPUTS!$A$10:$A$14,0))</f>
        <v>10.8113475</v>
      </c>
      <c r="V1041" s="61" t="n">
        <f aca="false">N(STACK!K1041)</f>
        <v>0</v>
      </c>
      <c r="W1041" s="61" t="n">
        <f aca="false">T1041+U1041+V1041</f>
        <v>79.2375975</v>
      </c>
      <c r="X1041" s="61" t="n">
        <f aca="false">N(STACK!L1041)</f>
        <v>0</v>
      </c>
      <c r="Y1041" s="61" t="n">
        <f aca="false">W1041-X1041</f>
        <v>79.2375975</v>
      </c>
      <c r="Z1041" s="1" t="n">
        <f aca="false">N(STACK!J1041)</f>
        <v>0</v>
      </c>
      <c r="AA1041" s="1" t="str">
        <f aca="false">TRIM(IF(D1041="UNMAPPED","Program not mapped. ","")&amp;IF(OR(K1041="UNMAPPED",K1041="UNASSIGNED"),"Category needs review. ","")&amp;IF(P1041="UNMAPPED","Title not mapped. ","")&amp;IF(AND(P1041&lt;&gt;"No staff time",R1041=""),"Missing hours. ","")&amp;IF(M1041="","Date not readable. ","")&amp;IF(N1041="No","Outside fiscal year. ","")&amp;IF(AND(F1041="Event",ISNUMBER(R1041)),IF(R1041&gt;12,"Event hours look high. ",""),"")&amp;IF(G1041&gt;0,"See CONFIRM sheet.",""))</f>
        <v/>
      </c>
      <c r="AB1041" s="1" t="n">
        <f aca="false">IF(N1041="No",0,IF(REVIEW!O1041=0,0,IF(G1041&gt;0,IF(INDEX(CONFIRM!$J$5:$J$53,G1041)&lt;&gt;"",INDEX(CONFIRM!$J$5:$J$53,G1041),1),1)))</f>
        <v>1</v>
      </c>
      <c r="AC1041" s="1" t="n">
        <f aca="false">IF(AB1041=1,IF(COUNTIFS($B$5:B1041,B1041,$D$5:D1041,D1041,$AB$5:AB1041,1)=1,1,0),0)</f>
        <v>0</v>
      </c>
    </row>
    <row r="1042" customFormat="false" ht="15" hidden="false" customHeight="false" outlineLevel="0" collapsed="false">
      <c r="A1042" s="48" t="str">
        <f aca="false">STACK!A1042</f>
        <v>CBH-0214</v>
      </c>
      <c r="B1042" s="48" t="str">
        <f aca="false">STACK!B1042</f>
        <v>CBH</v>
      </c>
      <c r="C1042" s="48" t="str">
        <f aca="false">STACK!E1042</f>
        <v>Bereavement Group</v>
      </c>
      <c r="D1042" s="1" t="str">
        <f aca="false">IFERROR(INDEX(MAP!$J$7:$J$101,MATCH(TRIM(C1042),MAP!$I$7:$I$101,0)),"UNMAPPED")</f>
        <v>Grief Support Group</v>
      </c>
      <c r="E1042" s="1" t="str">
        <f aca="false">IFERROR(INDEX(MAP!$K$7:$K$101,MATCH(TRIM(C1042),MAP!$I$7:$I$101,0)),"")</f>
        <v>Behavioral health</v>
      </c>
      <c r="F1042" s="1" t="str">
        <f aca="false">IFERROR(INDEX(MAP!$L$7:$L$101,MATCH(TRIM(C1042),MAP!$I$7:$I$101,0)),"")</f>
        <v>Event</v>
      </c>
      <c r="G1042" s="1" t="n">
        <f aca="false">IFERROR(MATCH(A1042,CONFIRM!$A$5:$A$53,0),0)</f>
        <v>0</v>
      </c>
      <c r="H1042" s="48" t="str">
        <f aca="false">STACK!F1042</f>
        <v>Patient Support</v>
      </c>
      <c r="I1042" s="1" t="str">
        <f aca="false">IF(G1042&gt;0,IF(INDEX(CONFIRM!$I$5:$I$53,G1042)&lt;&gt;"",INDEX(CONFIRM!$I$5:$I$53,G1042),H1042),H1042)</f>
        <v>Patient Support</v>
      </c>
      <c r="J1042" s="1" t="str">
        <f aca="false">IFERROR(INDEX(MAP!$F$7:$F$74,MATCH(TRIM(I1042),MAP!$E$7:$E$74,0)),"UNMAPPED")</f>
        <v>Health care support services</v>
      </c>
      <c r="K1042" s="1" t="str">
        <f aca="false">IFERROR(INDEX(MAP!$G$7:$G$74,MATCH(TRIM(I1042),MAP!$E$7:$E$74,0)),"UNMAPPED")</f>
        <v>7e</v>
      </c>
      <c r="L1042" s="49" t="str">
        <f aca="false">STACK!G1042</f>
        <v>2026-04-15</v>
      </c>
      <c r="M1042" s="59" t="n">
        <f aca="false">IF(G1042&gt;0,IF(INDEX(CONFIRM!$G$5:$G$53,G1042)&lt;&gt;"",INDEX(CONFIRM!$G$5:$G$53,G1042),IF(ISNUMBER(L1042),L1042,IFERROR(DATEVALUE(L1042),""))),IF(ISNUMBER(L1042),L1042,IFERROR(DATEVALUE(L1042),"")))</f>
        <v>46127</v>
      </c>
      <c r="N1042" s="1" t="str">
        <f aca="false">IF(M1042="","Check",IF(AND(M1042&gt;=INPUTS!$C$6,M1042&lt;=INPUTS!$C$7),"Yes","No"))</f>
        <v>Yes</v>
      </c>
      <c r="O1042" s="48" t="str">
        <f aca="false">STACK!H1042</f>
        <v>staff chaplain</v>
      </c>
      <c r="P1042" s="1" t="str">
        <f aca="false">IF(G1042&gt;0,IF(INDEX(CONFIRM!$H$5:$H$53,G1042)&lt;&gt;"",INDEX(CONFIRM!$H$5:$H$53,G1042),IFERROR(INDEX(MAP!$B$7:$B$156,MATCH(TRIM(O1042),MAP!$A$7:$A$156,0)),"UNMAPPED")),IFERROR(INDEX(MAP!$B$7:$B$156,MATCH(TRIM(O1042),MAP!$A$7:$A$156,0)),"UNMAPPED"))</f>
        <v>Chaplain</v>
      </c>
      <c r="Q1042" s="48" t="n">
        <f aca="false">STACK!I1042</f>
        <v>2.5</v>
      </c>
      <c r="R1042" s="60" t="n">
        <f aca="false">IF(G1042&gt;0,IF(INDEX(CONFIRM!$F$5:$F$53,G1042)&lt;&gt;"",INDEX(CONFIRM!$F$5:$F$53,G1042),IF(ISNUMBER(Q1042),Q1042,IF(Q1042="","",IFERROR(VALUE(TRIM(SUBSTITUTE(SUBSTITUTE(LOWER(Q1042),"hrs",""),"hr",""))),"")))),IF(ISNUMBER(Q1042),Q1042,IF(Q1042="","",IFERROR(VALUE(TRIM(SUBSTITUTE(SUBSTITUTE(LOWER(Q1042),"hrs",""),"hr",""))),""))))</f>
        <v>2.5</v>
      </c>
      <c r="S1042" s="57" t="n">
        <f aca="false">IFERROR(INDEX(RATES!$E$6:$E$28,MATCH(P1042,RATES!$A$6:$A$28,0)),0)</f>
        <v>39.835</v>
      </c>
      <c r="T1042" s="61" t="n">
        <f aca="false">IF(ISNUMBER(R1042),R1042,0)*S1042</f>
        <v>99.5875</v>
      </c>
      <c r="U1042" s="61" t="n">
        <f aca="false">T1042*INDEX(INPUTS!$H$10:$H$14,MATCH(B1042,INPUTS!$A$10:$A$14,0))</f>
        <v>15.734825</v>
      </c>
      <c r="V1042" s="61" t="n">
        <f aca="false">N(STACK!K1042)</f>
        <v>30</v>
      </c>
      <c r="W1042" s="61" t="n">
        <f aca="false">T1042+U1042+V1042</f>
        <v>145.322325</v>
      </c>
      <c r="X1042" s="61" t="n">
        <f aca="false">N(STACK!L1042)</f>
        <v>0</v>
      </c>
      <c r="Y1042" s="61" t="n">
        <f aca="false">W1042-X1042</f>
        <v>145.322325</v>
      </c>
      <c r="Z1042" s="1" t="n">
        <f aca="false">N(STACK!J1042)</f>
        <v>15</v>
      </c>
      <c r="AA1042" s="1" t="str">
        <f aca="false">TRIM(IF(D1042="UNMAPPED","Program not mapped. ","")&amp;IF(OR(K1042="UNMAPPED",K1042="UNASSIGNED"),"Category needs review. ","")&amp;IF(P1042="UNMAPPED","Title not mapped. ","")&amp;IF(AND(P1042&lt;&gt;"No staff time",R1042=""),"Missing hours. ","")&amp;IF(M1042="","Date not readable. ","")&amp;IF(N1042="No","Outside fiscal year. ","")&amp;IF(AND(F1042="Event",ISNUMBER(R1042)),IF(R1042&gt;12,"Event hours look high. ",""),"")&amp;IF(G1042&gt;0,"See CONFIRM sheet.",""))</f>
        <v/>
      </c>
      <c r="AB1042" s="1" t="n">
        <f aca="false">IF(N1042="No",0,IF(REVIEW!O1042=0,0,IF(G1042&gt;0,IF(INDEX(CONFIRM!$J$5:$J$53,G1042)&lt;&gt;"",INDEX(CONFIRM!$J$5:$J$53,G1042),1),1)))</f>
        <v>1</v>
      </c>
      <c r="AC1042" s="1" t="n">
        <f aca="false">IF(AB1042=1,IF(COUNTIFS($B$5:B1042,B1042,$D$5:D1042,D1042,$AB$5:AB1042,1)=1,1,0),0)</f>
        <v>0</v>
      </c>
    </row>
    <row r="1043" customFormat="false" ht="15" hidden="false" customHeight="false" outlineLevel="0" collapsed="false">
      <c r="A1043" s="48" t="str">
        <f aca="false">STACK!A1043</f>
        <v>CBH-0215</v>
      </c>
      <c r="B1043" s="48" t="str">
        <f aca="false">STACK!B1043</f>
        <v>CBH</v>
      </c>
      <c r="C1043" s="48" t="str">
        <f aca="false">STACK!E1043</f>
        <v>Bereavement Group</v>
      </c>
      <c r="D1043" s="1" t="str">
        <f aca="false">IFERROR(INDEX(MAP!$J$7:$J$101,MATCH(TRIM(C1043),MAP!$I$7:$I$101,0)),"UNMAPPED")</f>
        <v>Grief Support Group</v>
      </c>
      <c r="E1043" s="1" t="str">
        <f aca="false">IFERROR(INDEX(MAP!$K$7:$K$101,MATCH(TRIM(C1043),MAP!$I$7:$I$101,0)),"")</f>
        <v>Behavioral health</v>
      </c>
      <c r="F1043" s="1" t="str">
        <f aca="false">IFERROR(INDEX(MAP!$L$7:$L$101,MATCH(TRIM(C1043),MAP!$I$7:$I$101,0)),"")</f>
        <v>Event</v>
      </c>
      <c r="G1043" s="1" t="n">
        <f aca="false">IFERROR(MATCH(A1043,CONFIRM!$A$5:$A$53,0),0)</f>
        <v>0</v>
      </c>
      <c r="H1043" s="48" t="str">
        <f aca="false">STACK!F1043</f>
        <v>Patient Support</v>
      </c>
      <c r="I1043" s="1" t="str">
        <f aca="false">IF(G1043&gt;0,IF(INDEX(CONFIRM!$I$5:$I$53,G1043)&lt;&gt;"",INDEX(CONFIRM!$I$5:$I$53,G1043),H1043),H1043)</f>
        <v>Patient Support</v>
      </c>
      <c r="J1043" s="1" t="str">
        <f aca="false">IFERROR(INDEX(MAP!$F$7:$F$74,MATCH(TRIM(I1043),MAP!$E$7:$E$74,0)),"UNMAPPED")</f>
        <v>Health care support services</v>
      </c>
      <c r="K1043" s="1" t="str">
        <f aca="false">IFERROR(INDEX(MAP!$G$7:$G$74,MATCH(TRIM(I1043),MAP!$E$7:$E$74,0)),"UNMAPPED")</f>
        <v>7e</v>
      </c>
      <c r="L1043" s="49" t="str">
        <f aca="false">STACK!G1043</f>
        <v>2026-04-15</v>
      </c>
      <c r="M1043" s="59" t="n">
        <f aca="false">IF(G1043&gt;0,IF(INDEX(CONFIRM!$G$5:$G$53,G1043)&lt;&gt;"",INDEX(CONFIRM!$G$5:$G$53,G1043),IF(ISNUMBER(L1043),L1043,IFERROR(DATEVALUE(L1043),""))),IF(ISNUMBER(L1043),L1043,IFERROR(DATEVALUE(L1043),"")))</f>
        <v>46127</v>
      </c>
      <c r="N1043" s="1" t="str">
        <f aca="false">IF(M1043="","Check",IF(AND(M1043&gt;=INPUTS!$C$6,M1043&lt;=INPUTS!$C$7),"Yes","No"))</f>
        <v>Yes</v>
      </c>
      <c r="O1043" s="48" t="str">
        <f aca="false">STACK!H1043</f>
        <v>Clinical Social Worker </v>
      </c>
      <c r="P1043" s="1" t="str">
        <f aca="false">IF(G1043&gt;0,IF(INDEX(CONFIRM!$H$5:$H$53,G1043)&lt;&gt;"",INDEX(CONFIRM!$H$5:$H$53,G1043),IFERROR(INDEX(MAP!$B$7:$B$156,MATCH(TRIM(O1043),MAP!$A$7:$A$156,0)),"UNMAPPED")),IFERROR(INDEX(MAP!$B$7:$B$156,MATCH(TRIM(O1043),MAP!$A$7:$A$156,0)),"UNMAPPED"))</f>
        <v>Social Worker</v>
      </c>
      <c r="Q1043" s="48" t="n">
        <f aca="false">STACK!I1043</f>
        <v>1.5</v>
      </c>
      <c r="R1043" s="60" t="n">
        <f aca="false">IF(G1043&gt;0,IF(INDEX(CONFIRM!$F$5:$F$53,G1043)&lt;&gt;"",INDEX(CONFIRM!$F$5:$F$53,G1043),IF(ISNUMBER(Q1043),Q1043,IF(Q1043="","",IFERROR(VALUE(TRIM(SUBSTITUTE(SUBSTITUTE(LOWER(Q1043),"hrs",""),"hr",""))),"")))),IF(ISNUMBER(Q1043),Q1043,IF(Q1043="","",IFERROR(VALUE(TRIM(SUBSTITUTE(SUBSTITUTE(LOWER(Q1043),"hrs",""),"hr",""))),""))))</f>
        <v>1.5</v>
      </c>
      <c r="S1043" s="57" t="n">
        <f aca="false">IFERROR(INDEX(RATES!$E$6:$E$28,MATCH(P1043,RATES!$A$6:$A$28,0)),0)</f>
        <v>45.6175</v>
      </c>
      <c r="T1043" s="61" t="n">
        <f aca="false">IF(ISNUMBER(R1043),R1043,0)*S1043</f>
        <v>68.42625</v>
      </c>
      <c r="U1043" s="61" t="n">
        <f aca="false">T1043*INDEX(INPUTS!$H$10:$H$14,MATCH(B1043,INPUTS!$A$10:$A$14,0))</f>
        <v>10.8113475</v>
      </c>
      <c r="V1043" s="61" t="n">
        <f aca="false">N(STACK!K1043)</f>
        <v>0</v>
      </c>
      <c r="W1043" s="61" t="n">
        <f aca="false">T1043+U1043+V1043</f>
        <v>79.2375975</v>
      </c>
      <c r="X1043" s="61" t="n">
        <f aca="false">N(STACK!L1043)</f>
        <v>0</v>
      </c>
      <c r="Y1043" s="61" t="n">
        <f aca="false">W1043-X1043</f>
        <v>79.2375975</v>
      </c>
      <c r="Z1043" s="1" t="n">
        <f aca="false">N(STACK!J1043)</f>
        <v>0</v>
      </c>
      <c r="AA1043" s="1" t="str">
        <f aca="false">TRIM(IF(D1043="UNMAPPED","Program not mapped. ","")&amp;IF(OR(K1043="UNMAPPED",K1043="UNASSIGNED"),"Category needs review. ","")&amp;IF(P1043="UNMAPPED","Title not mapped. ","")&amp;IF(AND(P1043&lt;&gt;"No staff time",R1043=""),"Missing hours. ","")&amp;IF(M1043="","Date not readable. ","")&amp;IF(N1043="No","Outside fiscal year. ","")&amp;IF(AND(F1043="Event",ISNUMBER(R1043)),IF(R1043&gt;12,"Event hours look high. ",""),"")&amp;IF(G1043&gt;0,"See CONFIRM sheet.",""))</f>
        <v/>
      </c>
      <c r="AB1043" s="1" t="n">
        <f aca="false">IF(N1043="No",0,IF(REVIEW!O1043=0,0,IF(G1043&gt;0,IF(INDEX(CONFIRM!$J$5:$J$53,G1043)&lt;&gt;"",INDEX(CONFIRM!$J$5:$J$53,G1043),1),1)))</f>
        <v>1</v>
      </c>
      <c r="AC1043" s="1" t="n">
        <f aca="false">IF(AB1043=1,IF(COUNTIFS($B$5:B1043,B1043,$D$5:D1043,D1043,$AB$5:AB1043,1)=1,1,0),0)</f>
        <v>0</v>
      </c>
    </row>
    <row r="1044" customFormat="false" ht="15" hidden="false" customHeight="false" outlineLevel="0" collapsed="false">
      <c r="A1044" s="48" t="str">
        <f aca="false">STACK!A1044</f>
        <v>CBH-0216</v>
      </c>
      <c r="B1044" s="48" t="str">
        <f aca="false">STACK!B1044</f>
        <v>CBH</v>
      </c>
      <c r="C1044" s="48" t="str">
        <f aca="false">STACK!E1044</f>
        <v>Community Garden</v>
      </c>
      <c r="D1044" s="1" t="str">
        <f aca="false">IFERROR(INDEX(MAP!$J$7:$J$101,MATCH(TRIM(C1044),MAP!$I$7:$I$101,0)),"UNMAPPED")</f>
        <v>Community Garden and Green Space Project</v>
      </c>
      <c r="E1044" s="1" t="str">
        <f aca="false">IFERROR(INDEX(MAP!$K$7:$K$101,MATCH(TRIM(C1044),MAP!$I$7:$I$101,0)),"")</f>
        <v>Food and housing security</v>
      </c>
      <c r="F1044" s="1" t="str">
        <f aca="false">IFERROR(INDEX(MAP!$L$7:$L$101,MATCH(TRIM(C1044),MAP!$I$7:$I$101,0)),"")</f>
        <v>Event</v>
      </c>
      <c r="G1044" s="1" t="n">
        <f aca="false">IFERROR(MATCH(A1044,CONFIRM!$A$5:$A$53,0),0)</f>
        <v>0</v>
      </c>
      <c r="H1044" s="48" t="str">
        <f aca="false">STACK!F1044</f>
        <v>Environmental</v>
      </c>
      <c r="I1044" s="1" t="str">
        <f aca="false">IF(G1044&gt;0,IF(INDEX(CONFIRM!$I$5:$I$53,G1044)&lt;&gt;"",INDEX(CONFIRM!$I$5:$I$53,G1044),H1044),H1044)</f>
        <v>Environmental</v>
      </c>
      <c r="J1044" s="1" t="str">
        <f aca="false">IFERROR(INDEX(MAP!$F$7:$F$74,MATCH(TRIM(I1044),MAP!$E$7:$E$74,0)),"UNMAPPED")</f>
        <v>Community building: environmental improvements</v>
      </c>
      <c r="K1044" s="1" t="str">
        <f aca="false">IFERROR(INDEX(MAP!$G$7:$G$74,MATCH(TRIM(I1044),MAP!$E$7:$E$74,0)),"UNMAPPED")</f>
        <v>II-4</v>
      </c>
      <c r="L1044" s="49" t="str">
        <f aca="false">STACK!G1044</f>
        <v>2026-04-16</v>
      </c>
      <c r="M1044" s="59" t="n">
        <f aca="false">IF(G1044&gt;0,IF(INDEX(CONFIRM!$G$5:$G$53,G1044)&lt;&gt;"",INDEX(CONFIRM!$G$5:$G$53,G1044),IF(ISNUMBER(L1044),L1044,IFERROR(DATEVALUE(L1044),""))),IF(ISNUMBER(L1044),L1044,IFERROR(DATEVALUE(L1044),"")))</f>
        <v>46128</v>
      </c>
      <c r="N1044" s="1" t="str">
        <f aca="false">IF(M1044="","Check",IF(AND(M1044&gt;=INPUTS!$C$6,M1044&lt;=INPUTS!$C$7),"Yes","No"))</f>
        <v>Yes</v>
      </c>
      <c r="O1044" s="48" t="str">
        <f aca="false">STACK!H1044</f>
        <v>Prog Coord</v>
      </c>
      <c r="P1044" s="1" t="str">
        <f aca="false">IF(G1044&gt;0,IF(INDEX(CONFIRM!$H$5:$H$53,G1044)&lt;&gt;"",INDEX(CONFIRM!$H$5:$H$53,G1044),IFERROR(INDEX(MAP!$B$7:$B$156,MATCH(TRIM(O1044),MAP!$A$7:$A$156,0)),"UNMAPPED")),IFERROR(INDEX(MAP!$B$7:$B$156,MATCH(TRIM(O1044),MAP!$A$7:$A$156,0)),"UNMAPPED"))</f>
        <v>Program Coordinator</v>
      </c>
      <c r="Q1044" s="48" t="n">
        <f aca="false">STACK!I1044</f>
        <v>7.25</v>
      </c>
      <c r="R1044" s="60" t="n">
        <f aca="false">IF(G1044&gt;0,IF(INDEX(CONFIRM!$F$5:$F$53,G1044)&lt;&gt;"",INDEX(CONFIRM!$F$5:$F$53,G1044),IF(ISNUMBER(Q1044),Q1044,IF(Q1044="","",IFERROR(VALUE(TRIM(SUBSTITUTE(SUBSTITUTE(LOWER(Q1044),"hrs",""),"hr",""))),"")))),IF(ISNUMBER(Q1044),Q1044,IF(Q1044="","",IFERROR(VALUE(TRIM(SUBSTITUTE(SUBSTITUTE(LOWER(Q1044),"hrs",""),"hr",""))),""))))</f>
        <v>7.25</v>
      </c>
      <c r="S1044" s="57" t="n">
        <f aca="false">IFERROR(INDEX(RATES!$E$6:$E$28,MATCH(P1044,RATES!$A$6:$A$28,0)),0)</f>
        <v>35.3375</v>
      </c>
      <c r="T1044" s="61" t="n">
        <f aca="false">IF(ISNUMBER(R1044),R1044,0)*S1044</f>
        <v>256.196875</v>
      </c>
      <c r="U1044" s="61" t="n">
        <f aca="false">T1044*INDEX(INPUTS!$H$10:$H$14,MATCH(B1044,INPUTS!$A$10:$A$14,0))</f>
        <v>40.47910625</v>
      </c>
      <c r="V1044" s="61" t="n">
        <f aca="false">N(STACK!K1044)</f>
        <v>3390</v>
      </c>
      <c r="W1044" s="61" t="n">
        <f aca="false">T1044+U1044+V1044</f>
        <v>3686.67598125</v>
      </c>
      <c r="X1044" s="61" t="n">
        <f aca="false">N(STACK!L1044)</f>
        <v>0</v>
      </c>
      <c r="Y1044" s="61" t="n">
        <f aca="false">W1044-X1044</f>
        <v>3686.67598125</v>
      </c>
      <c r="Z1044" s="1" t="n">
        <f aca="false">N(STACK!J1044)</f>
        <v>38</v>
      </c>
      <c r="AA1044" s="1" t="str">
        <f aca="false">TRIM(IF(D1044="UNMAPPED","Program not mapped. ","")&amp;IF(OR(K1044="UNMAPPED",K1044="UNASSIGNED"),"Category needs review. ","")&amp;IF(P1044="UNMAPPED","Title not mapped. ","")&amp;IF(AND(P1044&lt;&gt;"No staff time",R1044=""),"Missing hours. ","")&amp;IF(M1044="","Date not readable. ","")&amp;IF(N1044="No","Outside fiscal year. ","")&amp;IF(AND(F1044="Event",ISNUMBER(R1044)),IF(R1044&gt;12,"Event hours look high. ",""),"")&amp;IF(G1044&gt;0,"See CONFIRM sheet.",""))</f>
        <v/>
      </c>
      <c r="AB1044" s="1" t="n">
        <f aca="false">IF(N1044="No",0,IF(REVIEW!O1044=0,0,IF(G1044&gt;0,IF(INDEX(CONFIRM!$J$5:$J$53,G1044)&lt;&gt;"",INDEX(CONFIRM!$J$5:$J$53,G1044),1),1)))</f>
        <v>1</v>
      </c>
      <c r="AC1044" s="1" t="n">
        <f aca="false">IF(AB1044=1,IF(COUNTIFS($B$5:B1044,B1044,$D$5:D1044,D1044,$AB$5:AB1044,1)=1,1,0),0)</f>
        <v>0</v>
      </c>
    </row>
    <row r="1045" customFormat="false" ht="15" hidden="false" customHeight="false" outlineLevel="0" collapsed="false">
      <c r="A1045" s="48" t="str">
        <f aca="false">STACK!A1045</f>
        <v>CBH-0217</v>
      </c>
      <c r="B1045" s="48" t="str">
        <f aca="false">STACK!B1045</f>
        <v>CBH</v>
      </c>
      <c r="C1045" s="48" t="str">
        <f aca="false">STACK!E1045</f>
        <v>Diabetes Prevention</v>
      </c>
      <c r="D1045" s="1" t="str">
        <f aca="false">IFERROR(INDEX(MAP!$J$7:$J$101,MATCH(TRIM(C1045),MAP!$I$7:$I$101,0)),"UNMAPPED")</f>
        <v>Diabetes Prevention Classes</v>
      </c>
      <c r="E1045" s="1" t="str">
        <f aca="false">IFERROR(INDEX(MAP!$K$7:$K$101,MATCH(TRIM(C1045),MAP!$I$7:$I$101,0)),"")</f>
        <v>Chronic disease prevention</v>
      </c>
      <c r="F1045" s="1" t="str">
        <f aca="false">IFERROR(INDEX(MAP!$L$7:$L$101,MATCH(TRIM(C1045),MAP!$I$7:$I$101,0)),"")</f>
        <v>Event</v>
      </c>
      <c r="G1045" s="1" t="n">
        <f aca="false">IFERROR(MATCH(A1045,CONFIRM!$A$5:$A$53,0),0)</f>
        <v>0</v>
      </c>
      <c r="H1045" s="48" t="str">
        <f aca="false">STACK!F1045</f>
        <v>Health Education</v>
      </c>
      <c r="I1045" s="1" t="str">
        <f aca="false">IF(G1045&gt;0,IF(INDEX(CONFIRM!$I$5:$I$53,G1045)&lt;&gt;"",INDEX(CONFIRM!$I$5:$I$53,G1045),H1045),H1045)</f>
        <v>Health Education</v>
      </c>
      <c r="J1045" s="1" t="str">
        <f aca="false">IFERROR(INDEX(MAP!$F$7:$F$74,MATCH(TRIM(I1045),MAP!$E$7:$E$74,0)),"UNMAPPED")</f>
        <v>Community health education</v>
      </c>
      <c r="K1045" s="1" t="str">
        <f aca="false">IFERROR(INDEX(MAP!$G$7:$G$74,MATCH(TRIM(I1045),MAP!$E$7:$E$74,0)),"UNMAPPED")</f>
        <v>7e</v>
      </c>
      <c r="L1045" s="49" t="str">
        <f aca="false">STACK!G1045</f>
        <v>2026-04-28</v>
      </c>
      <c r="M1045" s="59" t="n">
        <f aca="false">IF(G1045&gt;0,IF(INDEX(CONFIRM!$G$5:$G$53,G1045)&lt;&gt;"",INDEX(CONFIRM!$G$5:$G$53,G1045),IF(ISNUMBER(L1045),L1045,IFERROR(DATEVALUE(L1045),""))),IF(ISNUMBER(L1045),L1045,IFERROR(DATEVALUE(L1045),"")))</f>
        <v>46140</v>
      </c>
      <c r="N1045" s="1" t="str">
        <f aca="false">IF(M1045="","Check",IF(AND(M1045&gt;=INPUTS!$C$6,M1045&lt;=INPUTS!$C$7),"Yes","No"))</f>
        <v>Yes</v>
      </c>
      <c r="O1045" s="48" t="str">
        <f aca="false">STACK!H1045</f>
        <v>health ed</v>
      </c>
      <c r="P1045" s="1" t="str">
        <f aca="false">IF(G1045&gt;0,IF(INDEX(CONFIRM!$H$5:$H$53,G1045)&lt;&gt;"",INDEX(CONFIRM!$H$5:$H$53,G1045),IFERROR(INDEX(MAP!$B$7:$B$156,MATCH(TRIM(O1045),MAP!$A$7:$A$156,0)),"UNMAPPED")),IFERROR(INDEX(MAP!$B$7:$B$156,MATCH(TRIM(O1045),MAP!$A$7:$A$156,0)),"UNMAPPED"))</f>
        <v>Health Educator</v>
      </c>
      <c r="Q1045" s="48" t="n">
        <f aca="false">STACK!I1045</f>
        <v>2.75</v>
      </c>
      <c r="R1045" s="60" t="n">
        <f aca="false">IF(G1045&gt;0,IF(INDEX(CONFIRM!$F$5:$F$53,G1045)&lt;&gt;"",INDEX(CONFIRM!$F$5:$F$53,G1045),IF(ISNUMBER(Q1045),Q1045,IF(Q1045="","",IFERROR(VALUE(TRIM(SUBSTITUTE(SUBSTITUTE(LOWER(Q1045),"hrs",""),"hr",""))),"")))),IF(ISNUMBER(Q1045),Q1045,IF(Q1045="","",IFERROR(VALUE(TRIM(SUBSTITUTE(SUBSTITUTE(LOWER(Q1045),"hrs",""),"hr",""))),""))))</f>
        <v>2.75</v>
      </c>
      <c r="S1045" s="57" t="n">
        <f aca="false">IFERROR(INDEX(RATES!$E$6:$E$28,MATCH(P1045,RATES!$A$6:$A$28,0)),0)</f>
        <v>37.265</v>
      </c>
      <c r="T1045" s="61" t="n">
        <f aca="false">IF(ISNUMBER(R1045),R1045,0)*S1045</f>
        <v>102.47875</v>
      </c>
      <c r="U1045" s="61" t="n">
        <f aca="false">T1045*INDEX(INPUTS!$H$10:$H$14,MATCH(B1045,INPUTS!$A$10:$A$14,0))</f>
        <v>16.1916425</v>
      </c>
      <c r="V1045" s="61" t="n">
        <f aca="false">N(STACK!K1045)</f>
        <v>70</v>
      </c>
      <c r="W1045" s="61" t="n">
        <f aca="false">T1045+U1045+V1045</f>
        <v>188.6703925</v>
      </c>
      <c r="X1045" s="61" t="n">
        <f aca="false">N(STACK!L1045)</f>
        <v>0</v>
      </c>
      <c r="Y1045" s="61" t="n">
        <f aca="false">W1045-X1045</f>
        <v>188.6703925</v>
      </c>
      <c r="Z1045" s="1" t="n">
        <f aca="false">N(STACK!J1045)</f>
        <v>17</v>
      </c>
      <c r="AA1045" s="1" t="str">
        <f aca="false">TRIM(IF(D1045="UNMAPPED","Program not mapped. ","")&amp;IF(OR(K1045="UNMAPPED",K1045="UNASSIGNED"),"Category needs review. ","")&amp;IF(P1045="UNMAPPED","Title not mapped. ","")&amp;IF(AND(P1045&lt;&gt;"No staff time",R1045=""),"Missing hours. ","")&amp;IF(M1045="","Date not readable. ","")&amp;IF(N1045="No","Outside fiscal year. ","")&amp;IF(AND(F1045="Event",ISNUMBER(R1045)),IF(R1045&gt;12,"Event hours look high. ",""),"")&amp;IF(G1045&gt;0,"See CONFIRM sheet.",""))</f>
        <v/>
      </c>
      <c r="AB1045" s="1" t="n">
        <f aca="false">IF(N1045="No",0,IF(REVIEW!O1045=0,0,IF(G1045&gt;0,IF(INDEX(CONFIRM!$J$5:$J$53,G1045)&lt;&gt;"",INDEX(CONFIRM!$J$5:$J$53,G1045),1),1)))</f>
        <v>1</v>
      </c>
      <c r="AC1045" s="1" t="n">
        <f aca="false">IF(AB1045=1,IF(COUNTIFS($B$5:B1045,B1045,$D$5:D1045,D1045,$AB$5:AB1045,1)=1,1,0),0)</f>
        <v>0</v>
      </c>
    </row>
    <row r="1046" customFormat="false" ht="15" hidden="false" customHeight="false" outlineLevel="0" collapsed="false">
      <c r="A1046" s="48" t="str">
        <f aca="false">STACK!A1046</f>
        <v>CBH-0218</v>
      </c>
      <c r="B1046" s="48" t="str">
        <f aca="false">STACK!B1046</f>
        <v>CBH</v>
      </c>
      <c r="C1046" s="48" t="str">
        <f aca="false">STACK!E1046</f>
        <v>Diabetes Prevention</v>
      </c>
      <c r="D1046" s="1" t="str">
        <f aca="false">IFERROR(INDEX(MAP!$J$7:$J$101,MATCH(TRIM(C1046),MAP!$I$7:$I$101,0)),"UNMAPPED")</f>
        <v>Diabetes Prevention Classes</v>
      </c>
      <c r="E1046" s="1" t="str">
        <f aca="false">IFERROR(INDEX(MAP!$K$7:$K$101,MATCH(TRIM(C1046),MAP!$I$7:$I$101,0)),"")</f>
        <v>Chronic disease prevention</v>
      </c>
      <c r="F1046" s="1" t="str">
        <f aca="false">IFERROR(INDEX(MAP!$L$7:$L$101,MATCH(TRIM(C1046),MAP!$I$7:$I$101,0)),"")</f>
        <v>Event</v>
      </c>
      <c r="G1046" s="1" t="n">
        <f aca="false">IFERROR(MATCH(A1046,CONFIRM!$A$5:$A$53,0),0)</f>
        <v>0</v>
      </c>
      <c r="H1046" s="48" t="str">
        <f aca="false">STACK!F1046</f>
        <v>Health Education</v>
      </c>
      <c r="I1046" s="1" t="str">
        <f aca="false">IF(G1046&gt;0,IF(INDEX(CONFIRM!$I$5:$I$53,G1046)&lt;&gt;"",INDEX(CONFIRM!$I$5:$I$53,G1046),H1046),H1046)</f>
        <v>Health Education</v>
      </c>
      <c r="J1046" s="1" t="str">
        <f aca="false">IFERROR(INDEX(MAP!$F$7:$F$74,MATCH(TRIM(I1046),MAP!$E$7:$E$74,0)),"UNMAPPED")</f>
        <v>Community health education</v>
      </c>
      <c r="K1046" s="1" t="str">
        <f aca="false">IFERROR(INDEX(MAP!$G$7:$G$74,MATCH(TRIM(I1046),MAP!$E$7:$E$74,0)),"UNMAPPED")</f>
        <v>7e</v>
      </c>
      <c r="L1046" s="49" t="str">
        <f aca="false">STACK!G1046</f>
        <v>2026-04-28</v>
      </c>
      <c r="M1046" s="59" t="n">
        <f aca="false">IF(G1046&gt;0,IF(INDEX(CONFIRM!$G$5:$G$53,G1046)&lt;&gt;"",INDEX(CONFIRM!$G$5:$G$53,G1046),IF(ISNUMBER(L1046),L1046,IFERROR(DATEVALUE(L1046),""))),IF(ISNUMBER(L1046),L1046,IFERROR(DATEVALUE(L1046),"")))</f>
        <v>46140</v>
      </c>
      <c r="N1046" s="1" t="str">
        <f aca="false">IF(M1046="","Check",IF(AND(M1046&gt;=INPUTS!$C$6,M1046&lt;=INPUTS!$C$7),"Yes","No"))</f>
        <v>Yes</v>
      </c>
      <c r="O1046" s="48" t="str">
        <f aca="false">STACK!H1046</f>
        <v>Clinical Dietitian</v>
      </c>
      <c r="P1046" s="1" t="str">
        <f aca="false">IF(G1046&gt;0,IF(INDEX(CONFIRM!$H$5:$H$53,G1046)&lt;&gt;"",INDEX(CONFIRM!$H$5:$H$53,G1046),IFERROR(INDEX(MAP!$B$7:$B$156,MATCH(TRIM(O1046),MAP!$A$7:$A$156,0)),"UNMAPPED")),IFERROR(INDEX(MAP!$B$7:$B$156,MATCH(TRIM(O1046),MAP!$A$7:$A$156,0)),"UNMAPPED"))</f>
        <v>Registered Dietitian</v>
      </c>
      <c r="Q1046" s="48" t="n">
        <f aca="false">STACK!I1046</f>
        <v>1.75</v>
      </c>
      <c r="R1046" s="60" t="n">
        <f aca="false">IF(G1046&gt;0,IF(INDEX(CONFIRM!$F$5:$F$53,G1046)&lt;&gt;"",INDEX(CONFIRM!$F$5:$F$53,G1046),IF(ISNUMBER(Q1046),Q1046,IF(Q1046="","",IFERROR(VALUE(TRIM(SUBSTITUTE(SUBSTITUTE(LOWER(Q1046),"hrs",""),"hr",""))),"")))),IF(ISNUMBER(Q1046),Q1046,IF(Q1046="","",IFERROR(VALUE(TRIM(SUBSTITUTE(SUBSTITUTE(LOWER(Q1046),"hrs",""),"hr",""))),""))))</f>
        <v>1.75</v>
      </c>
      <c r="S1046" s="57" t="n">
        <f aca="false">IFERROR(INDEX(RATES!$E$6:$E$28,MATCH(P1046,RATES!$A$6:$A$28,0)),0)</f>
        <v>46.9025</v>
      </c>
      <c r="T1046" s="61" t="n">
        <f aca="false">IF(ISNUMBER(R1046),R1046,0)*S1046</f>
        <v>82.079375</v>
      </c>
      <c r="U1046" s="61" t="n">
        <f aca="false">T1046*INDEX(INPUTS!$H$10:$H$14,MATCH(B1046,INPUTS!$A$10:$A$14,0))</f>
        <v>12.96854125</v>
      </c>
      <c r="V1046" s="61" t="n">
        <f aca="false">N(STACK!K1046)</f>
        <v>0</v>
      </c>
      <c r="W1046" s="61" t="n">
        <f aca="false">T1046+U1046+V1046</f>
        <v>95.04791625</v>
      </c>
      <c r="X1046" s="61" t="n">
        <f aca="false">N(STACK!L1046)</f>
        <v>0</v>
      </c>
      <c r="Y1046" s="61" t="n">
        <f aca="false">W1046-X1046</f>
        <v>95.04791625</v>
      </c>
      <c r="Z1046" s="1" t="n">
        <f aca="false">N(STACK!J1046)</f>
        <v>0</v>
      </c>
      <c r="AA1046" s="1" t="str">
        <f aca="false">TRIM(IF(D1046="UNMAPPED","Program not mapped. ","")&amp;IF(OR(K1046="UNMAPPED",K1046="UNASSIGNED"),"Category needs review. ","")&amp;IF(P1046="UNMAPPED","Title not mapped. ","")&amp;IF(AND(P1046&lt;&gt;"No staff time",R1046=""),"Missing hours. ","")&amp;IF(M1046="","Date not readable. ","")&amp;IF(N1046="No","Outside fiscal year. ","")&amp;IF(AND(F1046="Event",ISNUMBER(R1046)),IF(R1046&gt;12,"Event hours look high. ",""),"")&amp;IF(G1046&gt;0,"See CONFIRM sheet.",""))</f>
        <v/>
      </c>
      <c r="AB1046" s="1" t="n">
        <f aca="false">IF(N1046="No",0,IF(REVIEW!O1046=0,0,IF(G1046&gt;0,IF(INDEX(CONFIRM!$J$5:$J$53,G1046)&lt;&gt;"",INDEX(CONFIRM!$J$5:$J$53,G1046),1),1)))</f>
        <v>1</v>
      </c>
      <c r="AC1046" s="1" t="n">
        <f aca="false">IF(AB1046=1,IF(COUNTIFS($B$5:B1046,B1046,$D$5:D1046,D1046,$AB$5:AB1046,1)=1,1,0),0)</f>
        <v>0</v>
      </c>
    </row>
    <row r="1047" customFormat="false" ht="15" hidden="false" customHeight="false" outlineLevel="0" collapsed="false">
      <c r="A1047" s="48" t="str">
        <f aca="false">STACK!A1047</f>
        <v>CBH-0219</v>
      </c>
      <c r="B1047" s="48" t="str">
        <f aca="false">STACK!B1047</f>
        <v>CBH</v>
      </c>
      <c r="C1047" s="48" t="str">
        <f aca="false">STACK!E1047</f>
        <v>Naloxone Training</v>
      </c>
      <c r="D1047" s="1" t="str">
        <f aca="false">IFERROR(INDEX(MAP!$J$7:$J$101,MATCH(TRIM(C1047),MAP!$I$7:$I$101,0)),"UNMAPPED")</f>
        <v>Naloxone Training and Distribution</v>
      </c>
      <c r="E1047" s="1" t="str">
        <f aca="false">IFERROR(INDEX(MAP!$K$7:$K$101,MATCH(TRIM(C1047),MAP!$I$7:$I$101,0)),"")</f>
        <v>Behavioral health</v>
      </c>
      <c r="F1047" s="1" t="str">
        <f aca="false">IFERROR(INDEX(MAP!$L$7:$L$101,MATCH(TRIM(C1047),MAP!$I$7:$I$101,0)),"")</f>
        <v>Event</v>
      </c>
      <c r="G1047" s="1" t="n">
        <f aca="false">IFERROR(MATCH(A1047,CONFIRM!$A$5:$A$53,0),0)</f>
        <v>0</v>
      </c>
      <c r="H1047" s="48" t="str">
        <f aca="false">STACK!F1047</f>
        <v>Health Education</v>
      </c>
      <c r="I1047" s="1" t="str">
        <f aca="false">IF(G1047&gt;0,IF(INDEX(CONFIRM!$I$5:$I$53,G1047)&lt;&gt;"",INDEX(CONFIRM!$I$5:$I$53,G1047),H1047),H1047)</f>
        <v>Health Education</v>
      </c>
      <c r="J1047" s="1" t="str">
        <f aca="false">IFERROR(INDEX(MAP!$F$7:$F$74,MATCH(TRIM(I1047),MAP!$E$7:$E$74,0)),"UNMAPPED")</f>
        <v>Community health education</v>
      </c>
      <c r="K1047" s="1" t="str">
        <f aca="false">IFERROR(INDEX(MAP!$G$7:$G$74,MATCH(TRIM(I1047),MAP!$E$7:$E$74,0)),"UNMAPPED")</f>
        <v>7e</v>
      </c>
      <c r="L1047" s="49" t="str">
        <f aca="false">STACK!G1047</f>
        <v>2026-04-28</v>
      </c>
      <c r="M1047" s="59" t="n">
        <f aca="false">IF(G1047&gt;0,IF(INDEX(CONFIRM!$G$5:$G$53,G1047)&lt;&gt;"",INDEX(CONFIRM!$G$5:$G$53,G1047),IF(ISNUMBER(L1047),L1047,IFERROR(DATEVALUE(L1047),""))),IF(ISNUMBER(L1047),L1047,IFERROR(DATEVALUE(L1047),"")))</f>
        <v>46140</v>
      </c>
      <c r="N1047" s="1" t="str">
        <f aca="false">IF(M1047="","Check",IF(AND(M1047&gt;=INPUTS!$C$6,M1047&lt;=INPUTS!$C$7),"Yes","No"))</f>
        <v>Yes</v>
      </c>
      <c r="O1047" s="48" t="str">
        <f aca="false">STACK!H1047</f>
        <v>Health Educator</v>
      </c>
      <c r="P1047" s="1" t="str">
        <f aca="false">IF(G1047&gt;0,IF(INDEX(CONFIRM!$H$5:$H$53,G1047)&lt;&gt;"",INDEX(CONFIRM!$H$5:$H$53,G1047),IFERROR(INDEX(MAP!$B$7:$B$156,MATCH(TRIM(O1047),MAP!$A$7:$A$156,0)),"UNMAPPED")),IFERROR(INDEX(MAP!$B$7:$B$156,MATCH(TRIM(O1047),MAP!$A$7:$A$156,0)),"UNMAPPED"))</f>
        <v>Health Educator</v>
      </c>
      <c r="Q1047" s="48" t="n">
        <f aca="false">STACK!I1047</f>
        <v>2.75</v>
      </c>
      <c r="R1047" s="60" t="n">
        <f aca="false">IF(G1047&gt;0,IF(INDEX(CONFIRM!$F$5:$F$53,G1047)&lt;&gt;"",INDEX(CONFIRM!$F$5:$F$53,G1047),IF(ISNUMBER(Q1047),Q1047,IF(Q1047="","",IFERROR(VALUE(TRIM(SUBSTITUTE(SUBSTITUTE(LOWER(Q1047),"hrs",""),"hr",""))),"")))),IF(ISNUMBER(Q1047),Q1047,IF(Q1047="","",IFERROR(VALUE(TRIM(SUBSTITUTE(SUBSTITUTE(LOWER(Q1047),"hrs",""),"hr",""))),""))))</f>
        <v>2.75</v>
      </c>
      <c r="S1047" s="57" t="n">
        <f aca="false">IFERROR(INDEX(RATES!$E$6:$E$28,MATCH(P1047,RATES!$A$6:$A$28,0)),0)</f>
        <v>37.265</v>
      </c>
      <c r="T1047" s="61" t="n">
        <f aca="false">IF(ISNUMBER(R1047),R1047,0)*S1047</f>
        <v>102.47875</v>
      </c>
      <c r="U1047" s="61" t="n">
        <f aca="false">T1047*INDEX(INPUTS!$H$10:$H$14,MATCH(B1047,INPUTS!$A$10:$A$14,0))</f>
        <v>16.1916425</v>
      </c>
      <c r="V1047" s="61" t="n">
        <f aca="false">N(STACK!K1047)</f>
        <v>0</v>
      </c>
      <c r="W1047" s="61" t="n">
        <f aca="false">T1047+U1047+V1047</f>
        <v>118.6703925</v>
      </c>
      <c r="X1047" s="61" t="n">
        <f aca="false">N(STACK!L1047)</f>
        <v>0</v>
      </c>
      <c r="Y1047" s="61" t="n">
        <f aca="false">W1047-X1047</f>
        <v>118.6703925</v>
      </c>
      <c r="Z1047" s="1" t="n">
        <f aca="false">N(STACK!J1047)</f>
        <v>0</v>
      </c>
      <c r="AA1047" s="1" t="str">
        <f aca="false">TRIM(IF(D1047="UNMAPPED","Program not mapped. ","")&amp;IF(OR(K1047="UNMAPPED",K1047="UNASSIGNED"),"Category needs review. ","")&amp;IF(P1047="UNMAPPED","Title not mapped. ","")&amp;IF(AND(P1047&lt;&gt;"No staff time",R1047=""),"Missing hours. ","")&amp;IF(M1047="","Date not readable. ","")&amp;IF(N1047="No","Outside fiscal year. ","")&amp;IF(AND(F1047="Event",ISNUMBER(R1047)),IF(R1047&gt;12,"Event hours look high. ",""),"")&amp;IF(G1047&gt;0,"See CONFIRM sheet.",""))</f>
        <v/>
      </c>
      <c r="AB1047" s="1" t="n">
        <f aca="false">IF(N1047="No",0,IF(REVIEW!O1047=0,0,IF(G1047&gt;0,IF(INDEX(CONFIRM!$J$5:$J$53,G1047)&lt;&gt;"",INDEX(CONFIRM!$J$5:$J$53,G1047),1),1)))</f>
        <v>1</v>
      </c>
      <c r="AC1047" s="1" t="n">
        <f aca="false">IF(AB1047=1,IF(COUNTIFS($B$5:B1047,B1047,$D$5:D1047,D1047,$AB$5:AB1047,1)=1,1,0),0)</f>
        <v>0</v>
      </c>
    </row>
    <row r="1048" customFormat="false" ht="15" hidden="false" customHeight="false" outlineLevel="0" collapsed="false">
      <c r="A1048" s="48" t="str">
        <f aca="false">STACK!A1048</f>
        <v>CBH-0220</v>
      </c>
      <c r="B1048" s="48" t="str">
        <f aca="false">STACK!B1048</f>
        <v>CBH</v>
      </c>
      <c r="C1048" s="48" t="str">
        <f aca="false">STACK!E1048</f>
        <v>Naloxone Training</v>
      </c>
      <c r="D1048" s="1" t="str">
        <f aca="false">IFERROR(INDEX(MAP!$J$7:$J$101,MATCH(TRIM(C1048),MAP!$I$7:$I$101,0)),"UNMAPPED")</f>
        <v>Naloxone Training and Distribution</v>
      </c>
      <c r="E1048" s="1" t="str">
        <f aca="false">IFERROR(INDEX(MAP!$K$7:$K$101,MATCH(TRIM(C1048),MAP!$I$7:$I$101,0)),"")</f>
        <v>Behavioral health</v>
      </c>
      <c r="F1048" s="1" t="str">
        <f aca="false">IFERROR(INDEX(MAP!$L$7:$L$101,MATCH(TRIM(C1048),MAP!$I$7:$I$101,0)),"")</f>
        <v>Event</v>
      </c>
      <c r="G1048" s="1" t="n">
        <f aca="false">IFERROR(MATCH(A1048,CONFIRM!$A$5:$A$53,0),0)</f>
        <v>0</v>
      </c>
      <c r="H1048" s="48" t="str">
        <f aca="false">STACK!F1048</f>
        <v>Health Education</v>
      </c>
      <c r="I1048" s="1" t="str">
        <f aca="false">IF(G1048&gt;0,IF(INDEX(CONFIRM!$I$5:$I$53,G1048)&lt;&gt;"",INDEX(CONFIRM!$I$5:$I$53,G1048),H1048),H1048)</f>
        <v>Health Education</v>
      </c>
      <c r="J1048" s="1" t="str">
        <f aca="false">IFERROR(INDEX(MAP!$F$7:$F$74,MATCH(TRIM(I1048),MAP!$E$7:$E$74,0)),"UNMAPPED")</f>
        <v>Community health education</v>
      </c>
      <c r="K1048" s="1" t="str">
        <f aca="false">IFERROR(INDEX(MAP!$G$7:$G$74,MATCH(TRIM(I1048),MAP!$E$7:$E$74,0)),"UNMAPPED")</f>
        <v>7e</v>
      </c>
      <c r="L1048" s="49" t="str">
        <f aca="false">STACK!G1048</f>
        <v>2026-04-28</v>
      </c>
      <c r="M1048" s="59" t="n">
        <f aca="false">IF(G1048&gt;0,IF(INDEX(CONFIRM!$G$5:$G$53,G1048)&lt;&gt;"",INDEX(CONFIRM!$G$5:$G$53,G1048),IF(ISNUMBER(L1048),L1048,IFERROR(DATEVALUE(L1048),""))),IF(ISNUMBER(L1048),L1048,IFERROR(DATEVALUE(L1048),"")))</f>
        <v>46140</v>
      </c>
      <c r="N1048" s="1" t="str">
        <f aca="false">IF(M1048="","Check",IF(AND(M1048&gt;=INPUTS!$C$6,M1048&lt;=INPUTS!$C$7),"Yes","No"))</f>
        <v>Yes</v>
      </c>
      <c r="O1048" s="48" t="str">
        <f aca="false">STACK!H1048</f>
        <v>Staff Pharmacist</v>
      </c>
      <c r="P1048" s="1" t="str">
        <f aca="false">IF(G1048&gt;0,IF(INDEX(CONFIRM!$H$5:$H$53,G1048)&lt;&gt;"",INDEX(CONFIRM!$H$5:$H$53,G1048),IFERROR(INDEX(MAP!$B$7:$B$156,MATCH(TRIM(O1048),MAP!$A$7:$A$156,0)),"UNMAPPED")),IFERROR(INDEX(MAP!$B$7:$B$156,MATCH(TRIM(O1048),MAP!$A$7:$A$156,0)),"UNMAPPED"))</f>
        <v>Pharmacist</v>
      </c>
      <c r="Q1048" s="48" t="n">
        <f aca="false">STACK!I1048</f>
        <v>2.75</v>
      </c>
      <c r="R1048" s="60" t="n">
        <f aca="false">IF(G1048&gt;0,IF(INDEX(CONFIRM!$F$5:$F$53,G1048)&lt;&gt;"",INDEX(CONFIRM!$F$5:$F$53,G1048),IF(ISNUMBER(Q1048),Q1048,IF(Q1048="","",IFERROR(VALUE(TRIM(SUBSTITUTE(SUBSTITUTE(LOWER(Q1048),"hrs",""),"hr",""))),"")))),IF(ISNUMBER(Q1048),Q1048,IF(Q1048="","",IFERROR(VALUE(TRIM(SUBSTITUTE(SUBSTITUTE(LOWER(Q1048),"hrs",""),"hr",""))),""))))</f>
        <v>2.75</v>
      </c>
      <c r="S1048" s="57" t="n">
        <f aca="false">IFERROR(INDEX(RATES!$E$6:$E$28,MATCH(P1048,RATES!$A$6:$A$28,0)),0)</f>
        <v>84.81</v>
      </c>
      <c r="T1048" s="61" t="n">
        <f aca="false">IF(ISNUMBER(R1048),R1048,0)*S1048</f>
        <v>233.2275</v>
      </c>
      <c r="U1048" s="61" t="n">
        <f aca="false">T1048*INDEX(INPUTS!$H$10:$H$14,MATCH(B1048,INPUTS!$A$10:$A$14,0))</f>
        <v>36.849945</v>
      </c>
      <c r="V1048" s="61" t="n">
        <f aca="false">N(STACK!K1048)</f>
        <v>2315</v>
      </c>
      <c r="W1048" s="61" t="n">
        <f aca="false">T1048+U1048+V1048</f>
        <v>2585.077445</v>
      </c>
      <c r="X1048" s="61" t="n">
        <f aca="false">N(STACK!L1048)</f>
        <v>810</v>
      </c>
      <c r="Y1048" s="61" t="n">
        <f aca="false">W1048-X1048</f>
        <v>1775.077445</v>
      </c>
      <c r="Z1048" s="1" t="n">
        <f aca="false">N(STACK!J1048)</f>
        <v>22</v>
      </c>
      <c r="AA1048" s="1" t="str">
        <f aca="false">TRIM(IF(D1048="UNMAPPED","Program not mapped. ","")&amp;IF(OR(K1048="UNMAPPED",K1048="UNASSIGNED"),"Category needs review. ","")&amp;IF(P1048="UNMAPPED","Title not mapped. ","")&amp;IF(AND(P1048&lt;&gt;"No staff time",R1048=""),"Missing hours. ","")&amp;IF(M1048="","Date not readable. ","")&amp;IF(N1048="No","Outside fiscal year. ","")&amp;IF(AND(F1048="Event",ISNUMBER(R1048)),IF(R1048&gt;12,"Event hours look high. ",""),"")&amp;IF(G1048&gt;0,"See CONFIRM sheet.",""))</f>
        <v/>
      </c>
      <c r="AB1048" s="1" t="n">
        <f aca="false">IF(N1048="No",0,IF(REVIEW!O1048=0,0,IF(G1048&gt;0,IF(INDEX(CONFIRM!$J$5:$J$53,G1048)&lt;&gt;"",INDEX(CONFIRM!$J$5:$J$53,G1048),1),1)))</f>
        <v>1</v>
      </c>
      <c r="AC1048" s="1" t="n">
        <f aca="false">IF(AB1048=1,IF(COUNTIFS($B$5:B1048,B1048,$D$5:D1048,D1048,$AB$5:AB1048,1)=1,1,0),0)</f>
        <v>0</v>
      </c>
    </row>
    <row r="1049" customFormat="false" ht="15" hidden="false" customHeight="false" outlineLevel="0" collapsed="false">
      <c r="A1049" s="48" t="str">
        <f aca="false">STACK!A1049</f>
        <v>CBH-0221</v>
      </c>
      <c r="B1049" s="48" t="str">
        <f aca="false">STACK!B1049</f>
        <v>CBH</v>
      </c>
      <c r="C1049" s="48" t="str">
        <f aca="false">STACK!E1049</f>
        <v>Free Clinic Staffing</v>
      </c>
      <c r="D1049" s="1" t="str">
        <f aca="false">IFERROR(INDEX(MAP!$J$7:$J$101,MATCH(TRIM(C1049),MAP!$I$7:$I$101,0)),"UNMAPPED")</f>
        <v>Free Clinic Provider Staffing</v>
      </c>
      <c r="E1049" s="1" t="str">
        <f aca="false">IFERROR(INDEX(MAP!$K$7:$K$101,MATCH(TRIM(C1049),MAP!$I$7:$I$101,0)),"")</f>
        <v>Access to care</v>
      </c>
      <c r="F1049" s="1" t="str">
        <f aca="false">IFERROR(INDEX(MAP!$L$7:$L$101,MATCH(TRIM(C1049),MAP!$I$7:$I$101,0)),"")</f>
        <v>Monthly</v>
      </c>
      <c r="G1049" s="1" t="n">
        <f aca="false">IFERROR(MATCH(A1049,CONFIRM!$A$5:$A$53,0),0)</f>
        <v>0</v>
      </c>
      <c r="H1049" s="48" t="str">
        <f aca="false">STACK!F1049</f>
        <v>Screenings</v>
      </c>
      <c r="I1049" s="1" t="str">
        <f aca="false">IF(G1049&gt;0,IF(INDEX(CONFIRM!$I$5:$I$53,G1049)&lt;&gt;"",INDEX(CONFIRM!$I$5:$I$53,G1049),H1049),H1049)</f>
        <v>Screenings</v>
      </c>
      <c r="J1049" s="1" t="str">
        <f aca="false">IFERROR(INDEX(MAP!$F$7:$F$74,MATCH(TRIM(I1049),MAP!$E$7:$E$74,0)),"UNMAPPED")</f>
        <v>Community-based clinical services</v>
      </c>
      <c r="K1049" s="1" t="str">
        <f aca="false">IFERROR(INDEX(MAP!$G$7:$G$74,MATCH(TRIM(I1049),MAP!$E$7:$E$74,0)),"UNMAPPED")</f>
        <v>7e</v>
      </c>
      <c r="L1049" s="49" t="str">
        <f aca="false">STACK!G1049</f>
        <v>2026-04-30</v>
      </c>
      <c r="M1049" s="59" t="n">
        <f aca="false">IF(G1049&gt;0,IF(INDEX(CONFIRM!$G$5:$G$53,G1049)&lt;&gt;"",INDEX(CONFIRM!$G$5:$G$53,G1049),IF(ISNUMBER(L1049),L1049,IFERROR(DATEVALUE(L1049),""))),IF(ISNUMBER(L1049),L1049,IFERROR(DATEVALUE(L1049),"")))</f>
        <v>46142</v>
      </c>
      <c r="N1049" s="1" t="str">
        <f aca="false">IF(M1049="","Check",IF(AND(M1049&gt;=INPUTS!$C$6,M1049&lt;=INPUTS!$C$7),"Yes","No"))</f>
        <v>Yes</v>
      </c>
      <c r="O1049" s="48" t="str">
        <f aca="false">STACK!H1049</f>
        <v>Family NP </v>
      </c>
      <c r="P1049" s="1" t="str">
        <f aca="false">IF(G1049&gt;0,IF(INDEX(CONFIRM!$H$5:$H$53,G1049)&lt;&gt;"",INDEX(CONFIRM!$H$5:$H$53,G1049),IFERROR(INDEX(MAP!$B$7:$B$156,MATCH(TRIM(O1049),MAP!$A$7:$A$156,0)),"UNMAPPED")),IFERROR(INDEX(MAP!$B$7:$B$156,MATCH(TRIM(O1049),MAP!$A$7:$A$156,0)),"UNMAPPED"))</f>
        <v>Nurse Practitioner</v>
      </c>
      <c r="Q1049" s="48" t="n">
        <f aca="false">STACK!I1049</f>
        <v>35.75</v>
      </c>
      <c r="R1049" s="60" t="n">
        <f aca="false">IF(G1049&gt;0,IF(INDEX(CONFIRM!$F$5:$F$53,G1049)&lt;&gt;"",INDEX(CONFIRM!$F$5:$F$53,G1049),IF(ISNUMBER(Q1049),Q1049,IF(Q1049="","",IFERROR(VALUE(TRIM(SUBSTITUTE(SUBSTITUTE(LOWER(Q1049),"hrs",""),"hr",""))),"")))),IF(ISNUMBER(Q1049),Q1049,IF(Q1049="","",IFERROR(VALUE(TRIM(SUBSTITUTE(SUBSTITUTE(LOWER(Q1049),"hrs",""),"hr",""))),""))))</f>
        <v>35.75</v>
      </c>
      <c r="S1049" s="57" t="n">
        <f aca="false">IFERROR(INDEX(RATES!$E$6:$E$28,MATCH(P1049,RATES!$A$6:$A$28,0)),0)</f>
        <v>79.67</v>
      </c>
      <c r="T1049" s="61" t="n">
        <f aca="false">IF(ISNUMBER(R1049),R1049,0)*S1049</f>
        <v>2848.2025</v>
      </c>
      <c r="U1049" s="61" t="n">
        <f aca="false">T1049*INDEX(INPUTS!$H$10:$H$14,MATCH(B1049,INPUTS!$A$10:$A$14,0))</f>
        <v>450.015995</v>
      </c>
      <c r="V1049" s="61" t="n">
        <f aca="false">N(STACK!K1049)</f>
        <v>4685</v>
      </c>
      <c r="W1049" s="61" t="n">
        <f aca="false">T1049+U1049+V1049</f>
        <v>7983.218495</v>
      </c>
      <c r="X1049" s="61" t="n">
        <f aca="false">N(STACK!L1049)</f>
        <v>0</v>
      </c>
      <c r="Y1049" s="61" t="n">
        <f aca="false">W1049-X1049</f>
        <v>7983.218495</v>
      </c>
      <c r="Z1049" s="1" t="n">
        <f aca="false">N(STACK!J1049)</f>
        <v>192</v>
      </c>
      <c r="AA1049" s="1" t="str">
        <f aca="false">TRIM(IF(D1049="UNMAPPED","Program not mapped. ","")&amp;IF(OR(K1049="UNMAPPED",K1049="UNASSIGNED"),"Category needs review. ","")&amp;IF(P1049="UNMAPPED","Title not mapped. ","")&amp;IF(AND(P1049&lt;&gt;"No staff time",R1049=""),"Missing hours. ","")&amp;IF(M1049="","Date not readable. ","")&amp;IF(N1049="No","Outside fiscal year. ","")&amp;IF(AND(F1049="Event",ISNUMBER(R1049)),IF(R1049&gt;12,"Event hours look high. ",""),"")&amp;IF(G1049&gt;0,"See CONFIRM sheet.",""))</f>
        <v/>
      </c>
      <c r="AB1049" s="1" t="n">
        <f aca="false">IF(N1049="No",0,IF(REVIEW!O1049=0,0,IF(G1049&gt;0,IF(INDEX(CONFIRM!$J$5:$J$53,G1049)&lt;&gt;"",INDEX(CONFIRM!$J$5:$J$53,G1049),1),1)))</f>
        <v>1</v>
      </c>
      <c r="AC1049" s="1" t="n">
        <f aca="false">IF(AB1049=1,IF(COUNTIFS($B$5:B1049,B1049,$D$5:D1049,D1049,$AB$5:AB1049,1)=1,1,0),0)</f>
        <v>0</v>
      </c>
    </row>
    <row r="1050" customFormat="false" ht="15" hidden="false" customHeight="false" outlineLevel="0" collapsed="false">
      <c r="A1050" s="48" t="str">
        <f aca="false">STACK!A1050</f>
        <v>CBH-0222</v>
      </c>
      <c r="B1050" s="48" t="str">
        <f aca="false">STACK!B1050</f>
        <v>CBH</v>
      </c>
      <c r="C1050" s="48" t="str">
        <f aca="false">STACK!E1050</f>
        <v>Free Clinic Staffing</v>
      </c>
      <c r="D1050" s="1" t="str">
        <f aca="false">IFERROR(INDEX(MAP!$J$7:$J$101,MATCH(TRIM(C1050),MAP!$I$7:$I$101,0)),"UNMAPPED")</f>
        <v>Free Clinic Provider Staffing</v>
      </c>
      <c r="E1050" s="1" t="str">
        <f aca="false">IFERROR(INDEX(MAP!$K$7:$K$101,MATCH(TRIM(C1050),MAP!$I$7:$I$101,0)),"")</f>
        <v>Access to care</v>
      </c>
      <c r="F1050" s="1" t="str">
        <f aca="false">IFERROR(INDEX(MAP!$L$7:$L$101,MATCH(TRIM(C1050),MAP!$I$7:$I$101,0)),"")</f>
        <v>Monthly</v>
      </c>
      <c r="G1050" s="1" t="n">
        <f aca="false">IFERROR(MATCH(A1050,CONFIRM!$A$5:$A$53,0),0)</f>
        <v>0</v>
      </c>
      <c r="H1050" s="48" t="str">
        <f aca="false">STACK!F1050</f>
        <v>Screenings</v>
      </c>
      <c r="I1050" s="1" t="str">
        <f aca="false">IF(G1050&gt;0,IF(INDEX(CONFIRM!$I$5:$I$53,G1050)&lt;&gt;"",INDEX(CONFIRM!$I$5:$I$53,G1050),H1050),H1050)</f>
        <v>Screenings</v>
      </c>
      <c r="J1050" s="1" t="str">
        <f aca="false">IFERROR(INDEX(MAP!$F$7:$F$74,MATCH(TRIM(I1050),MAP!$E$7:$E$74,0)),"UNMAPPED")</f>
        <v>Community-based clinical services</v>
      </c>
      <c r="K1050" s="1" t="str">
        <f aca="false">IFERROR(INDEX(MAP!$G$7:$G$74,MATCH(TRIM(I1050),MAP!$E$7:$E$74,0)),"UNMAPPED")</f>
        <v>7e</v>
      </c>
      <c r="L1050" s="49" t="str">
        <f aca="false">STACK!G1050</f>
        <v>2026-04-30</v>
      </c>
      <c r="M1050" s="59" t="n">
        <f aca="false">IF(G1050&gt;0,IF(INDEX(CONFIRM!$G$5:$G$53,G1050)&lt;&gt;"",INDEX(CONFIRM!$G$5:$G$53,G1050),IF(ISNUMBER(L1050),L1050,IFERROR(DATEVALUE(L1050),""))),IF(ISNUMBER(L1050),L1050,IFERROR(DATEVALUE(L1050),"")))</f>
        <v>46142</v>
      </c>
      <c r="N1050" s="1" t="str">
        <f aca="false">IF(M1050="","Check",IF(AND(M1050&gt;=INPUTS!$C$6,M1050&lt;=INPUTS!$C$7),"Yes","No"))</f>
        <v>Yes</v>
      </c>
      <c r="O1050" s="48" t="str">
        <f aca="false">STACK!H1050</f>
        <v>STAFF PHARMACIST </v>
      </c>
      <c r="P1050" s="1" t="str">
        <f aca="false">IF(G1050&gt;0,IF(INDEX(CONFIRM!$H$5:$H$53,G1050)&lt;&gt;"",INDEX(CONFIRM!$H$5:$H$53,G1050),IFERROR(INDEX(MAP!$B$7:$B$156,MATCH(TRIM(O1050),MAP!$A$7:$A$156,0)),"UNMAPPED")),IFERROR(INDEX(MAP!$B$7:$B$156,MATCH(TRIM(O1050),MAP!$A$7:$A$156,0)),"UNMAPPED"))</f>
        <v>Pharmacist</v>
      </c>
      <c r="Q1050" s="48" t="n">
        <f aca="false">STACK!I1050</f>
        <v>14</v>
      </c>
      <c r="R1050" s="60" t="n">
        <f aca="false">IF(G1050&gt;0,IF(INDEX(CONFIRM!$F$5:$F$53,G1050)&lt;&gt;"",INDEX(CONFIRM!$F$5:$F$53,G1050),IF(ISNUMBER(Q1050),Q1050,IF(Q1050="","",IFERROR(VALUE(TRIM(SUBSTITUTE(SUBSTITUTE(LOWER(Q1050),"hrs",""),"hr",""))),"")))),IF(ISNUMBER(Q1050),Q1050,IF(Q1050="","",IFERROR(VALUE(TRIM(SUBSTITUTE(SUBSTITUTE(LOWER(Q1050),"hrs",""),"hr",""))),""))))</f>
        <v>14</v>
      </c>
      <c r="S1050" s="57" t="n">
        <f aca="false">IFERROR(INDEX(RATES!$E$6:$E$28,MATCH(P1050,RATES!$A$6:$A$28,0)),0)</f>
        <v>84.81</v>
      </c>
      <c r="T1050" s="61" t="n">
        <f aca="false">IF(ISNUMBER(R1050),R1050,0)*S1050</f>
        <v>1187.34</v>
      </c>
      <c r="U1050" s="61" t="n">
        <f aca="false">T1050*INDEX(INPUTS!$H$10:$H$14,MATCH(B1050,INPUTS!$A$10:$A$14,0))</f>
        <v>187.59972</v>
      </c>
      <c r="V1050" s="61" t="n">
        <f aca="false">N(STACK!K1050)</f>
        <v>0</v>
      </c>
      <c r="W1050" s="61" t="n">
        <f aca="false">T1050+U1050+V1050</f>
        <v>1374.93972</v>
      </c>
      <c r="X1050" s="61" t="n">
        <f aca="false">N(STACK!L1050)</f>
        <v>0</v>
      </c>
      <c r="Y1050" s="61" t="n">
        <f aca="false">W1050-X1050</f>
        <v>1374.93972</v>
      </c>
      <c r="Z1050" s="1" t="n">
        <f aca="false">N(STACK!J1050)</f>
        <v>0</v>
      </c>
      <c r="AA1050" s="1" t="str">
        <f aca="false">TRIM(IF(D1050="UNMAPPED","Program not mapped. ","")&amp;IF(OR(K1050="UNMAPPED",K1050="UNASSIGNED"),"Category needs review. ","")&amp;IF(P1050="UNMAPPED","Title not mapped. ","")&amp;IF(AND(P1050&lt;&gt;"No staff time",R1050=""),"Missing hours. ","")&amp;IF(M1050="","Date not readable. ","")&amp;IF(N1050="No","Outside fiscal year. ","")&amp;IF(AND(F1050="Event",ISNUMBER(R1050)),IF(R1050&gt;12,"Event hours look high. ",""),"")&amp;IF(G1050&gt;0,"See CONFIRM sheet.",""))</f>
        <v/>
      </c>
      <c r="AB1050" s="1" t="n">
        <f aca="false">IF(N1050="No",0,IF(REVIEW!O1050=0,0,IF(G1050&gt;0,IF(INDEX(CONFIRM!$J$5:$J$53,G1050)&lt;&gt;"",INDEX(CONFIRM!$J$5:$J$53,G1050),1),1)))</f>
        <v>1</v>
      </c>
      <c r="AC1050" s="1" t="n">
        <f aca="false">IF(AB1050=1,IF(COUNTIFS($B$5:B1050,B1050,$D$5:D1050,D1050,$AB$5:AB1050,1)=1,1,0),0)</f>
        <v>0</v>
      </c>
    </row>
    <row r="1051" customFormat="false" ht="15" hidden="false" customHeight="false" outlineLevel="0" collapsed="false">
      <c r="A1051" s="48" t="str">
        <f aca="false">STACK!A1051</f>
        <v>CBH-0223</v>
      </c>
      <c r="B1051" s="48" t="str">
        <f aca="false">STACK!B1051</f>
        <v>CBH</v>
      </c>
      <c r="C1051" s="48" t="str">
        <f aca="false">STACK!E1051</f>
        <v>Free Clinic Staffing</v>
      </c>
      <c r="D1051" s="1" t="str">
        <f aca="false">IFERROR(INDEX(MAP!$J$7:$J$101,MATCH(TRIM(C1051),MAP!$I$7:$I$101,0)),"UNMAPPED")</f>
        <v>Free Clinic Provider Staffing</v>
      </c>
      <c r="E1051" s="1" t="str">
        <f aca="false">IFERROR(INDEX(MAP!$K$7:$K$101,MATCH(TRIM(C1051),MAP!$I$7:$I$101,0)),"")</f>
        <v>Access to care</v>
      </c>
      <c r="F1051" s="1" t="str">
        <f aca="false">IFERROR(INDEX(MAP!$L$7:$L$101,MATCH(TRIM(C1051),MAP!$I$7:$I$101,0)),"")</f>
        <v>Monthly</v>
      </c>
      <c r="G1051" s="1" t="n">
        <f aca="false">IFERROR(MATCH(A1051,CONFIRM!$A$5:$A$53,0),0)</f>
        <v>0</v>
      </c>
      <c r="H1051" s="48" t="str">
        <f aca="false">STACK!F1051</f>
        <v>Screenings</v>
      </c>
      <c r="I1051" s="1" t="str">
        <f aca="false">IF(G1051&gt;0,IF(INDEX(CONFIRM!$I$5:$I$53,G1051)&lt;&gt;"",INDEX(CONFIRM!$I$5:$I$53,G1051),H1051),H1051)</f>
        <v>Screenings</v>
      </c>
      <c r="J1051" s="1" t="str">
        <f aca="false">IFERROR(INDEX(MAP!$F$7:$F$74,MATCH(TRIM(I1051),MAP!$E$7:$E$74,0)),"UNMAPPED")</f>
        <v>Community-based clinical services</v>
      </c>
      <c r="K1051" s="1" t="str">
        <f aca="false">IFERROR(INDEX(MAP!$G$7:$G$74,MATCH(TRIM(I1051),MAP!$E$7:$E$74,0)),"UNMAPPED")</f>
        <v>7e</v>
      </c>
      <c r="L1051" s="49" t="str">
        <f aca="false">STACK!G1051</f>
        <v>2026-04-30</v>
      </c>
      <c r="M1051" s="59" t="n">
        <f aca="false">IF(G1051&gt;0,IF(INDEX(CONFIRM!$G$5:$G$53,G1051)&lt;&gt;"",INDEX(CONFIRM!$G$5:$G$53,G1051),IF(ISNUMBER(L1051),L1051,IFERROR(DATEVALUE(L1051),""))),IF(ISNUMBER(L1051),L1051,IFERROR(DATEVALUE(L1051),"")))</f>
        <v>46142</v>
      </c>
      <c r="N1051" s="1" t="str">
        <f aca="false">IF(M1051="","Check",IF(AND(M1051&gt;=INPUTS!$C$6,M1051&lt;=INPUTS!$C$7),"Yes","No"))</f>
        <v>Yes</v>
      </c>
      <c r="O1051" s="48" t="str">
        <f aca="false">STACK!H1051</f>
        <v>RN - Outreach</v>
      </c>
      <c r="P1051" s="1" t="str">
        <f aca="false">IF(G1051&gt;0,IF(INDEX(CONFIRM!$H$5:$H$53,G1051)&lt;&gt;"",INDEX(CONFIRM!$H$5:$H$53,G1051),IFERROR(INDEX(MAP!$B$7:$B$156,MATCH(TRIM(O1051),MAP!$A$7:$A$156,0)),"UNMAPPED")),IFERROR(INDEX(MAP!$B$7:$B$156,MATCH(TRIM(O1051),MAP!$A$7:$A$156,0)),"UNMAPPED"))</f>
        <v>Registered Nurse</v>
      </c>
      <c r="Q1051" s="48" t="n">
        <f aca="false">STACK!I1051</f>
        <v>37.75</v>
      </c>
      <c r="R1051" s="60" t="n">
        <f aca="false">IF(G1051&gt;0,IF(INDEX(CONFIRM!$F$5:$F$53,G1051)&lt;&gt;"",INDEX(CONFIRM!$F$5:$F$53,G1051),IF(ISNUMBER(Q1051),Q1051,IF(Q1051="","",IFERROR(VALUE(TRIM(SUBSTITUTE(SUBSTITUTE(LOWER(Q1051),"hrs",""),"hr",""))),"")))),IF(ISNUMBER(Q1051),Q1051,IF(Q1051="","",IFERROR(VALUE(TRIM(SUBSTITUTE(SUBSTITUTE(LOWER(Q1051),"hrs",""),"hr",""))),""))))</f>
        <v>37.75</v>
      </c>
      <c r="S1051" s="57" t="n">
        <f aca="false">IFERROR(INDEX(RATES!$E$6:$E$28,MATCH(P1051,RATES!$A$6:$A$28,0)),0)</f>
        <v>55.8975</v>
      </c>
      <c r="T1051" s="61" t="n">
        <f aca="false">IF(ISNUMBER(R1051),R1051,0)*S1051</f>
        <v>2110.130625</v>
      </c>
      <c r="U1051" s="61" t="n">
        <f aca="false">T1051*INDEX(INPUTS!$H$10:$H$14,MATCH(B1051,INPUTS!$A$10:$A$14,0))</f>
        <v>333.40063875</v>
      </c>
      <c r="V1051" s="61" t="n">
        <f aca="false">N(STACK!K1051)</f>
        <v>0</v>
      </c>
      <c r="W1051" s="61" t="n">
        <f aca="false">T1051+U1051+V1051</f>
        <v>2443.53126375</v>
      </c>
      <c r="X1051" s="61" t="n">
        <f aca="false">N(STACK!L1051)</f>
        <v>0</v>
      </c>
      <c r="Y1051" s="61" t="n">
        <f aca="false">W1051-X1051</f>
        <v>2443.53126375</v>
      </c>
      <c r="Z1051" s="1" t="n">
        <f aca="false">N(STACK!J1051)</f>
        <v>0</v>
      </c>
      <c r="AA1051" s="1" t="str">
        <f aca="false">TRIM(IF(D1051="UNMAPPED","Program not mapped. ","")&amp;IF(OR(K1051="UNMAPPED",K1051="UNASSIGNED"),"Category needs review. ","")&amp;IF(P1051="UNMAPPED","Title not mapped. ","")&amp;IF(AND(P1051&lt;&gt;"No staff time",R1051=""),"Missing hours. ","")&amp;IF(M1051="","Date not readable. ","")&amp;IF(N1051="No","Outside fiscal year. ","")&amp;IF(AND(F1051="Event",ISNUMBER(R1051)),IF(R1051&gt;12,"Event hours look high. ",""),"")&amp;IF(G1051&gt;0,"See CONFIRM sheet.",""))</f>
        <v/>
      </c>
      <c r="AB1051" s="1" t="n">
        <f aca="false">IF(N1051="No",0,IF(REVIEW!O1051=0,0,IF(G1051&gt;0,IF(INDEX(CONFIRM!$J$5:$J$53,G1051)&lt;&gt;"",INDEX(CONFIRM!$J$5:$J$53,G1051),1),1)))</f>
        <v>1</v>
      </c>
      <c r="AC1051" s="1" t="n">
        <f aca="false">IF(AB1051=1,IF(COUNTIFS($B$5:B1051,B1051,$D$5:D1051,D1051,$AB$5:AB1051,1)=1,1,0),0)</f>
        <v>0</v>
      </c>
    </row>
    <row r="1052" customFormat="false" ht="15" hidden="false" customHeight="false" outlineLevel="0" collapsed="false">
      <c r="A1052" s="48" t="str">
        <f aca="false">STACK!A1052</f>
        <v>CBH-0224</v>
      </c>
      <c r="B1052" s="48" t="str">
        <f aca="false">STACK!B1052</f>
        <v>CBH</v>
      </c>
      <c r="C1052" s="48" t="str">
        <f aca="false">STACK!E1052</f>
        <v>Med Assistance</v>
      </c>
      <c r="D1052" s="1" t="str">
        <f aca="false">IFERROR(INDEX(MAP!$J$7:$J$101,MATCH(TRIM(C1052),MAP!$I$7:$I$101,0)),"UNMAPPED")</f>
        <v>Medication Assistance Program</v>
      </c>
      <c r="E1052" s="1" t="str">
        <f aca="false">IFERROR(INDEX(MAP!$K$7:$K$101,MATCH(TRIM(C1052),MAP!$I$7:$I$101,0)),"")</f>
        <v>Access to care</v>
      </c>
      <c r="F1052" s="1" t="str">
        <f aca="false">IFERROR(INDEX(MAP!$L$7:$L$101,MATCH(TRIM(C1052),MAP!$I$7:$I$101,0)),"")</f>
        <v>Monthly</v>
      </c>
      <c r="G1052" s="1" t="n">
        <f aca="false">IFERROR(MATCH(A1052,CONFIRM!$A$5:$A$53,0),0)</f>
        <v>0</v>
      </c>
      <c r="H1052" s="48" t="str">
        <f aca="false">STACK!F1052</f>
        <v>Patient Support</v>
      </c>
      <c r="I1052" s="1" t="str">
        <f aca="false">IF(G1052&gt;0,IF(INDEX(CONFIRM!$I$5:$I$53,G1052)&lt;&gt;"",INDEX(CONFIRM!$I$5:$I$53,G1052),H1052),H1052)</f>
        <v>Patient Support</v>
      </c>
      <c r="J1052" s="1" t="str">
        <f aca="false">IFERROR(INDEX(MAP!$F$7:$F$74,MATCH(TRIM(I1052),MAP!$E$7:$E$74,0)),"UNMAPPED")</f>
        <v>Health care support services</v>
      </c>
      <c r="K1052" s="1" t="str">
        <f aca="false">IFERROR(INDEX(MAP!$G$7:$G$74,MATCH(TRIM(I1052),MAP!$E$7:$E$74,0)),"UNMAPPED")</f>
        <v>7e</v>
      </c>
      <c r="L1052" s="49" t="str">
        <f aca="false">STACK!G1052</f>
        <v>2026-04-30</v>
      </c>
      <c r="M1052" s="59" t="n">
        <f aca="false">IF(G1052&gt;0,IF(INDEX(CONFIRM!$G$5:$G$53,G1052)&lt;&gt;"",INDEX(CONFIRM!$G$5:$G$53,G1052),IF(ISNUMBER(L1052),L1052,IFERROR(DATEVALUE(L1052),""))),IF(ISNUMBER(L1052),L1052,IFERROR(DATEVALUE(L1052),"")))</f>
        <v>46142</v>
      </c>
      <c r="N1052" s="1" t="str">
        <f aca="false">IF(M1052="","Check",IF(AND(M1052&gt;=INPUTS!$C$6,M1052&lt;=INPUTS!$C$7),"Yes","No"))</f>
        <v>Yes</v>
      </c>
      <c r="O1052" s="48" t="str">
        <f aca="false">STACK!H1052</f>
        <v>Financial Navigator</v>
      </c>
      <c r="P1052" s="1" t="str">
        <f aca="false">IF(G1052&gt;0,IF(INDEX(CONFIRM!$H$5:$H$53,G1052)&lt;&gt;"",INDEX(CONFIRM!$H$5:$H$53,G1052),IFERROR(INDEX(MAP!$B$7:$B$156,MATCH(TRIM(O1052),MAP!$A$7:$A$156,0)),"UNMAPPED")),IFERROR(INDEX(MAP!$B$7:$B$156,MATCH(TRIM(O1052),MAP!$A$7:$A$156,0)),"UNMAPPED"))</f>
        <v>Patient Navigator</v>
      </c>
      <c r="Q1052" s="48" t="n">
        <f aca="false">STACK!I1052</f>
        <v>64.75</v>
      </c>
      <c r="R1052" s="60" t="n">
        <f aca="false">IF(G1052&gt;0,IF(INDEX(CONFIRM!$F$5:$F$53,G1052)&lt;&gt;"",INDEX(CONFIRM!$F$5:$F$53,G1052),IF(ISNUMBER(Q1052),Q1052,IF(Q1052="","",IFERROR(VALUE(TRIM(SUBSTITUTE(SUBSTITUTE(LOWER(Q1052),"hrs",""),"hr",""))),"")))),IF(ISNUMBER(Q1052),Q1052,IF(Q1052="","",IFERROR(VALUE(TRIM(SUBSTITUTE(SUBSTITUTE(LOWER(Q1052),"hrs",""),"hr",""))),""))))</f>
        <v>64.75</v>
      </c>
      <c r="S1052" s="57" t="n">
        <f aca="false">IFERROR(INDEX(RATES!$E$6:$E$28,MATCH(P1052,RATES!$A$6:$A$28,0)),0)</f>
        <v>30.84</v>
      </c>
      <c r="T1052" s="61" t="n">
        <f aca="false">IF(ISNUMBER(R1052),R1052,0)*S1052</f>
        <v>1996.89</v>
      </c>
      <c r="U1052" s="61" t="n">
        <f aca="false">T1052*INDEX(INPUTS!$H$10:$H$14,MATCH(B1052,INPUTS!$A$10:$A$14,0))</f>
        <v>315.50862</v>
      </c>
      <c r="V1052" s="61" t="n">
        <f aca="false">N(STACK!K1052)</f>
        <v>0</v>
      </c>
      <c r="W1052" s="61" t="n">
        <f aca="false">T1052+U1052+V1052</f>
        <v>2312.39862</v>
      </c>
      <c r="X1052" s="61" t="n">
        <f aca="false">N(STACK!L1052)</f>
        <v>0</v>
      </c>
      <c r="Y1052" s="61" t="n">
        <f aca="false">W1052-X1052</f>
        <v>2312.39862</v>
      </c>
      <c r="Z1052" s="1" t="n">
        <f aca="false">N(STACK!J1052)</f>
        <v>0</v>
      </c>
      <c r="AA1052" s="1" t="str">
        <f aca="false">TRIM(IF(D1052="UNMAPPED","Program not mapped. ","")&amp;IF(OR(K1052="UNMAPPED",K1052="UNASSIGNED"),"Category needs review. ","")&amp;IF(P1052="UNMAPPED","Title not mapped. ","")&amp;IF(AND(P1052&lt;&gt;"No staff time",R1052=""),"Missing hours. ","")&amp;IF(M1052="","Date not readable. ","")&amp;IF(N1052="No","Outside fiscal year. ","")&amp;IF(AND(F1052="Event",ISNUMBER(R1052)),IF(R1052&gt;12,"Event hours look high. ",""),"")&amp;IF(G1052&gt;0,"See CONFIRM sheet.",""))</f>
        <v/>
      </c>
      <c r="AB1052" s="1" t="n">
        <f aca="false">IF(N1052="No",0,IF(REVIEW!O1052=0,0,IF(G1052&gt;0,IF(INDEX(CONFIRM!$J$5:$J$53,G1052)&lt;&gt;"",INDEX(CONFIRM!$J$5:$J$53,G1052),1),1)))</f>
        <v>1</v>
      </c>
      <c r="AC1052" s="1" t="n">
        <f aca="false">IF(AB1052=1,IF(COUNTIFS($B$5:B1052,B1052,$D$5:D1052,D1052,$AB$5:AB1052,1)=1,1,0),0)</f>
        <v>0</v>
      </c>
    </row>
    <row r="1053" customFormat="false" ht="15" hidden="false" customHeight="false" outlineLevel="0" collapsed="false">
      <c r="A1053" s="48" t="str">
        <f aca="false">STACK!A1053</f>
        <v>CBH-0225</v>
      </c>
      <c r="B1053" s="48" t="str">
        <f aca="false">STACK!B1053</f>
        <v>CBH</v>
      </c>
      <c r="C1053" s="48" t="str">
        <f aca="false">STACK!E1053</f>
        <v>Med Assistance</v>
      </c>
      <c r="D1053" s="1" t="str">
        <f aca="false">IFERROR(INDEX(MAP!$J$7:$J$101,MATCH(TRIM(C1053),MAP!$I$7:$I$101,0)),"UNMAPPED")</f>
        <v>Medication Assistance Program</v>
      </c>
      <c r="E1053" s="1" t="str">
        <f aca="false">IFERROR(INDEX(MAP!$K$7:$K$101,MATCH(TRIM(C1053),MAP!$I$7:$I$101,0)),"")</f>
        <v>Access to care</v>
      </c>
      <c r="F1053" s="1" t="str">
        <f aca="false">IFERROR(INDEX(MAP!$L$7:$L$101,MATCH(TRIM(C1053),MAP!$I$7:$I$101,0)),"")</f>
        <v>Monthly</v>
      </c>
      <c r="G1053" s="1" t="n">
        <f aca="false">IFERROR(MATCH(A1053,CONFIRM!$A$5:$A$53,0),0)</f>
        <v>0</v>
      </c>
      <c r="H1053" s="48" t="str">
        <f aca="false">STACK!F1053</f>
        <v>Patient Support</v>
      </c>
      <c r="I1053" s="1" t="str">
        <f aca="false">IF(G1053&gt;0,IF(INDEX(CONFIRM!$I$5:$I$53,G1053)&lt;&gt;"",INDEX(CONFIRM!$I$5:$I$53,G1053),H1053),H1053)</f>
        <v>Patient Support</v>
      </c>
      <c r="J1053" s="1" t="str">
        <f aca="false">IFERROR(INDEX(MAP!$F$7:$F$74,MATCH(TRIM(I1053),MAP!$E$7:$E$74,0)),"UNMAPPED")</f>
        <v>Health care support services</v>
      </c>
      <c r="K1053" s="1" t="str">
        <f aca="false">IFERROR(INDEX(MAP!$G$7:$G$74,MATCH(TRIM(I1053),MAP!$E$7:$E$74,0)),"UNMAPPED")</f>
        <v>7e</v>
      </c>
      <c r="L1053" s="49" t="str">
        <f aca="false">STACK!G1053</f>
        <v>2026-04-30</v>
      </c>
      <c r="M1053" s="59" t="n">
        <f aca="false">IF(G1053&gt;0,IF(INDEX(CONFIRM!$G$5:$G$53,G1053)&lt;&gt;"",INDEX(CONFIRM!$G$5:$G$53,G1053),IF(ISNUMBER(L1053),L1053,IFERROR(DATEVALUE(L1053),""))),IF(ISNUMBER(L1053),L1053,IFERROR(DATEVALUE(L1053),"")))</f>
        <v>46142</v>
      </c>
      <c r="N1053" s="1" t="str">
        <f aca="false">IF(M1053="","Check",IF(AND(M1053&gt;=INPUTS!$C$6,M1053&lt;=INPUTS!$C$7),"Yes","No"))</f>
        <v>Yes</v>
      </c>
      <c r="O1053" s="48" t="str">
        <f aca="false">STACK!H1053</f>
        <v>RPh </v>
      </c>
      <c r="P1053" s="1" t="str">
        <f aca="false">IF(G1053&gt;0,IF(INDEX(CONFIRM!$H$5:$H$53,G1053)&lt;&gt;"",INDEX(CONFIRM!$H$5:$H$53,G1053),IFERROR(INDEX(MAP!$B$7:$B$156,MATCH(TRIM(O1053),MAP!$A$7:$A$156,0)),"UNMAPPED")),IFERROR(INDEX(MAP!$B$7:$B$156,MATCH(TRIM(O1053),MAP!$A$7:$A$156,0)),"UNMAPPED"))</f>
        <v>Pharmacist</v>
      </c>
      <c r="Q1053" s="48" t="n">
        <f aca="false">STACK!I1053</f>
        <v>19.5</v>
      </c>
      <c r="R1053" s="60" t="n">
        <f aca="false">IF(G1053&gt;0,IF(INDEX(CONFIRM!$F$5:$F$53,G1053)&lt;&gt;"",INDEX(CONFIRM!$F$5:$F$53,G1053),IF(ISNUMBER(Q1053),Q1053,IF(Q1053="","",IFERROR(VALUE(TRIM(SUBSTITUTE(SUBSTITUTE(LOWER(Q1053),"hrs",""),"hr",""))),"")))),IF(ISNUMBER(Q1053),Q1053,IF(Q1053="","",IFERROR(VALUE(TRIM(SUBSTITUTE(SUBSTITUTE(LOWER(Q1053),"hrs",""),"hr",""))),""))))</f>
        <v>19.5</v>
      </c>
      <c r="S1053" s="57" t="n">
        <f aca="false">IFERROR(INDEX(RATES!$E$6:$E$28,MATCH(P1053,RATES!$A$6:$A$28,0)),0)</f>
        <v>84.81</v>
      </c>
      <c r="T1053" s="61" t="n">
        <f aca="false">IF(ISNUMBER(R1053),R1053,0)*S1053</f>
        <v>1653.795</v>
      </c>
      <c r="U1053" s="61" t="n">
        <f aca="false">T1053*INDEX(INPUTS!$H$10:$H$14,MATCH(B1053,INPUTS!$A$10:$A$14,0))</f>
        <v>261.29961</v>
      </c>
      <c r="V1053" s="61" t="n">
        <f aca="false">N(STACK!K1053)</f>
        <v>14325</v>
      </c>
      <c r="W1053" s="61" t="n">
        <f aca="false">T1053+U1053+V1053</f>
        <v>16240.09461</v>
      </c>
      <c r="X1053" s="61" t="n">
        <f aca="false">N(STACK!L1053)</f>
        <v>0</v>
      </c>
      <c r="Y1053" s="61" t="n">
        <f aca="false">W1053-X1053</f>
        <v>16240.09461</v>
      </c>
      <c r="Z1053" s="1" t="n">
        <f aca="false">N(STACK!J1053)</f>
        <v>98</v>
      </c>
      <c r="AA1053" s="1" t="str">
        <f aca="false">TRIM(IF(D1053="UNMAPPED","Program not mapped. ","")&amp;IF(OR(K1053="UNMAPPED",K1053="UNASSIGNED"),"Category needs review. ","")&amp;IF(P1053="UNMAPPED","Title not mapped. ","")&amp;IF(AND(P1053&lt;&gt;"No staff time",R1053=""),"Missing hours. ","")&amp;IF(M1053="","Date not readable. ","")&amp;IF(N1053="No","Outside fiscal year. ","")&amp;IF(AND(F1053="Event",ISNUMBER(R1053)),IF(R1053&gt;12,"Event hours look high. ",""),"")&amp;IF(G1053&gt;0,"See CONFIRM sheet.",""))</f>
        <v/>
      </c>
      <c r="AB1053" s="1" t="n">
        <f aca="false">IF(N1053="No",0,IF(REVIEW!O1053=0,0,IF(G1053&gt;0,IF(INDEX(CONFIRM!$J$5:$J$53,G1053)&lt;&gt;"",INDEX(CONFIRM!$J$5:$J$53,G1053),1),1)))</f>
        <v>1</v>
      </c>
      <c r="AC1053" s="1" t="n">
        <f aca="false">IF(AB1053=1,IF(COUNTIFS($B$5:B1053,B1053,$D$5:D1053,D1053,$AB$5:AB1053,1)=1,1,0),0)</f>
        <v>0</v>
      </c>
    </row>
    <row r="1054" customFormat="false" ht="15" hidden="false" customHeight="false" outlineLevel="0" collapsed="false">
      <c r="A1054" s="48" t="str">
        <f aca="false">STACK!A1054</f>
        <v>CBH-0226</v>
      </c>
      <c r="B1054" s="48" t="str">
        <f aca="false">STACK!B1054</f>
        <v>CBH</v>
      </c>
      <c r="C1054" s="48" t="str">
        <f aca="false">STACK!E1054</f>
        <v>Community Benefit Admin</v>
      </c>
      <c r="D1054" s="1" t="str">
        <f aca="false">IFERROR(INDEX(MAP!$J$7:$J$101,MATCH(TRIM(C1054),MAP!$I$7:$I$101,0)),"UNMAPPED")</f>
        <v>Community Benefit Program Administration</v>
      </c>
      <c r="E1054" s="1" t="str">
        <f aca="false">IFERROR(INDEX(MAP!$K$7:$K$101,MATCH(TRIM(C1054),MAP!$I$7:$I$101,0)),"")</f>
        <v>Community benefit infrastructure</v>
      </c>
      <c r="F1054" s="1" t="str">
        <f aca="false">IFERROR(INDEX(MAP!$L$7:$L$101,MATCH(TRIM(C1054),MAP!$I$7:$I$101,0)),"")</f>
        <v>Monthly</v>
      </c>
      <c r="G1054" s="1" t="n">
        <f aca="false">IFERROR(MATCH(A1054,CONFIRM!$A$5:$A$53,0),0)</f>
        <v>0</v>
      </c>
      <c r="H1054" s="48" t="str">
        <f aca="false">STACK!F1054</f>
        <v>Ops</v>
      </c>
      <c r="I1054" s="1" t="str">
        <f aca="false">IF(G1054&gt;0,IF(INDEX(CONFIRM!$I$5:$I$53,G1054)&lt;&gt;"",INDEX(CONFIRM!$I$5:$I$53,G1054),H1054),H1054)</f>
        <v>Ops</v>
      </c>
      <c r="J1054" s="1" t="str">
        <f aca="false">IFERROR(INDEX(MAP!$F$7:$F$74,MATCH(TRIM(I1054),MAP!$E$7:$E$74,0)),"UNMAPPED")</f>
        <v>Community benefit operations</v>
      </c>
      <c r="K1054" s="1" t="str">
        <f aca="false">IFERROR(INDEX(MAP!$G$7:$G$74,MATCH(TRIM(I1054),MAP!$E$7:$E$74,0)),"UNMAPPED")</f>
        <v>7e</v>
      </c>
      <c r="L1054" s="49" t="str">
        <f aca="false">STACK!G1054</f>
        <v>2026-04-30</v>
      </c>
      <c r="M1054" s="59" t="n">
        <f aca="false">IF(G1054&gt;0,IF(INDEX(CONFIRM!$G$5:$G$53,G1054)&lt;&gt;"",INDEX(CONFIRM!$G$5:$G$53,G1054),IF(ISNUMBER(L1054),L1054,IFERROR(DATEVALUE(L1054),""))),IF(ISNUMBER(L1054),L1054,IFERROR(DATEVALUE(L1054),"")))</f>
        <v>46142</v>
      </c>
      <c r="N1054" s="1" t="str">
        <f aca="false">IF(M1054="","Check",IF(AND(M1054&gt;=INPUTS!$C$6,M1054&lt;=INPUTS!$C$7),"Yes","No"))</f>
        <v>Yes</v>
      </c>
      <c r="O1054" s="48" t="str">
        <f aca="false">STACK!H1054</f>
        <v>Admin. Assistant</v>
      </c>
      <c r="P1054" s="1" t="str">
        <f aca="false">IF(G1054&gt;0,IF(INDEX(CONFIRM!$H$5:$H$53,G1054)&lt;&gt;"",INDEX(CONFIRM!$H$5:$H$53,G1054),IFERROR(INDEX(MAP!$B$7:$B$156,MATCH(TRIM(O1054),MAP!$A$7:$A$156,0)),"UNMAPPED")),IFERROR(INDEX(MAP!$B$7:$B$156,MATCH(TRIM(O1054),MAP!$A$7:$A$156,0)),"UNMAPPED"))</f>
        <v>Administrative Assistant</v>
      </c>
      <c r="Q1054" s="48" t="n">
        <f aca="false">STACK!I1054</f>
        <v>33</v>
      </c>
      <c r="R1054" s="60" t="n">
        <f aca="false">IF(G1054&gt;0,IF(INDEX(CONFIRM!$F$5:$F$53,G1054)&lt;&gt;"",INDEX(CONFIRM!$F$5:$F$53,G1054),IF(ISNUMBER(Q1054),Q1054,IF(Q1054="","",IFERROR(VALUE(TRIM(SUBSTITUTE(SUBSTITUTE(LOWER(Q1054),"hrs",""),"hr",""))),"")))),IF(ISNUMBER(Q1054),Q1054,IF(Q1054="","",IFERROR(VALUE(TRIM(SUBSTITUTE(SUBSTITUTE(LOWER(Q1054),"hrs",""),"hr",""))),""))))</f>
        <v>33</v>
      </c>
      <c r="S1054" s="57" t="n">
        <f aca="false">IFERROR(INDEX(RATES!$E$6:$E$28,MATCH(P1054,RATES!$A$6:$A$28,0)),0)</f>
        <v>26.985</v>
      </c>
      <c r="T1054" s="61" t="n">
        <f aca="false">IF(ISNUMBER(R1054),R1054,0)*S1054</f>
        <v>890.505</v>
      </c>
      <c r="U1054" s="61" t="n">
        <f aca="false">T1054*INDEX(INPUTS!$H$10:$H$14,MATCH(B1054,INPUTS!$A$10:$A$14,0))</f>
        <v>140.69979</v>
      </c>
      <c r="V1054" s="61" t="n">
        <f aca="false">N(STACK!K1054)</f>
        <v>0</v>
      </c>
      <c r="W1054" s="61" t="n">
        <f aca="false">T1054+U1054+V1054</f>
        <v>1031.20479</v>
      </c>
      <c r="X1054" s="61" t="n">
        <f aca="false">N(STACK!L1054)</f>
        <v>0</v>
      </c>
      <c r="Y1054" s="61" t="n">
        <f aca="false">W1054-X1054</f>
        <v>1031.20479</v>
      </c>
      <c r="Z1054" s="1" t="n">
        <f aca="false">N(STACK!J1054)</f>
        <v>0</v>
      </c>
      <c r="AA1054" s="1" t="str">
        <f aca="false">TRIM(IF(D1054="UNMAPPED","Program not mapped. ","")&amp;IF(OR(K1054="UNMAPPED",K1054="UNASSIGNED"),"Category needs review. ","")&amp;IF(P1054="UNMAPPED","Title not mapped. ","")&amp;IF(AND(P1054&lt;&gt;"No staff time",R1054=""),"Missing hours. ","")&amp;IF(M1054="","Date not readable. ","")&amp;IF(N1054="No","Outside fiscal year. ","")&amp;IF(AND(F1054="Event",ISNUMBER(R1054)),IF(R1054&gt;12,"Event hours look high. ",""),"")&amp;IF(G1054&gt;0,"See CONFIRM sheet.",""))</f>
        <v/>
      </c>
      <c r="AB1054" s="1" t="n">
        <f aca="false">IF(N1054="No",0,IF(REVIEW!O1054=0,0,IF(G1054&gt;0,IF(INDEX(CONFIRM!$J$5:$J$53,G1054)&lt;&gt;"",INDEX(CONFIRM!$J$5:$J$53,G1054),1),1)))</f>
        <v>1</v>
      </c>
      <c r="AC1054" s="1" t="n">
        <f aca="false">IF(AB1054=1,IF(COUNTIFS($B$5:B1054,B1054,$D$5:D1054,D1054,$AB$5:AB1054,1)=1,1,0),0)</f>
        <v>0</v>
      </c>
    </row>
    <row r="1055" customFormat="false" ht="15" hidden="false" customHeight="false" outlineLevel="0" collapsed="false">
      <c r="A1055" s="48" t="str">
        <f aca="false">STACK!A1055</f>
        <v>CBH-0227</v>
      </c>
      <c r="B1055" s="48" t="str">
        <f aca="false">STACK!B1055</f>
        <v>CBH</v>
      </c>
      <c r="C1055" s="48" t="str">
        <f aca="false">STACK!E1055</f>
        <v>Community Benefit Admin</v>
      </c>
      <c r="D1055" s="1" t="str">
        <f aca="false">IFERROR(INDEX(MAP!$J$7:$J$101,MATCH(TRIM(C1055),MAP!$I$7:$I$101,0)),"UNMAPPED")</f>
        <v>Community Benefit Program Administration</v>
      </c>
      <c r="E1055" s="1" t="str">
        <f aca="false">IFERROR(INDEX(MAP!$K$7:$K$101,MATCH(TRIM(C1055),MAP!$I$7:$I$101,0)),"")</f>
        <v>Community benefit infrastructure</v>
      </c>
      <c r="F1055" s="1" t="str">
        <f aca="false">IFERROR(INDEX(MAP!$L$7:$L$101,MATCH(TRIM(C1055),MAP!$I$7:$I$101,0)),"")</f>
        <v>Monthly</v>
      </c>
      <c r="G1055" s="1" t="n">
        <f aca="false">IFERROR(MATCH(A1055,CONFIRM!$A$5:$A$53,0),0)</f>
        <v>0</v>
      </c>
      <c r="H1055" s="48" t="str">
        <f aca="false">STACK!F1055</f>
        <v>Ops</v>
      </c>
      <c r="I1055" s="1" t="str">
        <f aca="false">IF(G1055&gt;0,IF(INDEX(CONFIRM!$I$5:$I$53,G1055)&lt;&gt;"",INDEX(CONFIRM!$I$5:$I$53,G1055),H1055),H1055)</f>
        <v>Ops</v>
      </c>
      <c r="J1055" s="1" t="str">
        <f aca="false">IFERROR(INDEX(MAP!$F$7:$F$74,MATCH(TRIM(I1055),MAP!$E$7:$E$74,0)),"UNMAPPED")</f>
        <v>Community benefit operations</v>
      </c>
      <c r="K1055" s="1" t="str">
        <f aca="false">IFERROR(INDEX(MAP!$G$7:$G$74,MATCH(TRIM(I1055),MAP!$E$7:$E$74,0)),"UNMAPPED")</f>
        <v>7e</v>
      </c>
      <c r="L1055" s="49" t="str">
        <f aca="false">STACK!G1055</f>
        <v>2026-04-30</v>
      </c>
      <c r="M1055" s="59" t="n">
        <f aca="false">IF(G1055&gt;0,IF(INDEX(CONFIRM!$G$5:$G$53,G1055)&lt;&gt;"",INDEX(CONFIRM!$G$5:$G$53,G1055),IF(ISNUMBER(L1055),L1055,IFERROR(DATEVALUE(L1055),""))),IF(ISNUMBER(L1055),L1055,IFERROR(DATEVALUE(L1055),"")))</f>
        <v>46142</v>
      </c>
      <c r="N1055" s="1" t="str">
        <f aca="false">IF(M1055="","Check",IF(AND(M1055&gt;=INPUTS!$C$6,M1055&lt;=INPUTS!$C$7),"Yes","No"))</f>
        <v>Yes</v>
      </c>
      <c r="O1055" s="48" t="str">
        <f aca="false">STACK!H1055</f>
        <v>Community Health Manager</v>
      </c>
      <c r="P1055" s="1" t="str">
        <f aca="false">IF(G1055&gt;0,IF(INDEX(CONFIRM!$H$5:$H$53,G1055)&lt;&gt;"",INDEX(CONFIRM!$H$5:$H$53,G1055),IFERROR(INDEX(MAP!$B$7:$B$156,MATCH(TRIM(O1055),MAP!$A$7:$A$156,0)),"UNMAPPED")),IFERROR(INDEX(MAP!$B$7:$B$156,MATCH(TRIM(O1055),MAP!$A$7:$A$156,0)),"UNMAPPED"))</f>
        <v>Community Benefit Manager</v>
      </c>
      <c r="Q1055" s="48" t="n">
        <f aca="false">STACK!I1055</f>
        <v>72.5</v>
      </c>
      <c r="R1055" s="60" t="n">
        <f aca="false">IF(G1055&gt;0,IF(INDEX(CONFIRM!$F$5:$F$53,G1055)&lt;&gt;"",INDEX(CONFIRM!$F$5:$F$53,G1055),IF(ISNUMBER(Q1055),Q1055,IF(Q1055="","",IFERROR(VALUE(TRIM(SUBSTITUTE(SUBSTITUTE(LOWER(Q1055),"hrs",""),"hr",""))),"")))),IF(ISNUMBER(Q1055),Q1055,IF(Q1055="","",IFERROR(VALUE(TRIM(SUBSTITUTE(SUBSTITUTE(LOWER(Q1055),"hrs",""),"hr",""))),""))))</f>
        <v>72.5</v>
      </c>
      <c r="S1055" s="57" t="n">
        <f aca="false">IFERROR(INDEX(RATES!$E$6:$E$28,MATCH(P1055,RATES!$A$6:$A$28,0)),0)</f>
        <v>59.11</v>
      </c>
      <c r="T1055" s="61" t="n">
        <f aca="false">IF(ISNUMBER(R1055),R1055,0)*S1055</f>
        <v>4285.475</v>
      </c>
      <c r="U1055" s="61" t="n">
        <f aca="false">T1055*INDEX(INPUTS!$H$10:$H$14,MATCH(B1055,INPUTS!$A$10:$A$14,0))</f>
        <v>677.10505</v>
      </c>
      <c r="V1055" s="61" t="n">
        <f aca="false">N(STACK!K1055)</f>
        <v>775</v>
      </c>
      <c r="W1055" s="61" t="n">
        <f aca="false">T1055+U1055+V1055</f>
        <v>5737.58005</v>
      </c>
      <c r="X1055" s="61" t="n">
        <f aca="false">N(STACK!L1055)</f>
        <v>0</v>
      </c>
      <c r="Y1055" s="61" t="n">
        <f aca="false">W1055-X1055</f>
        <v>5737.58005</v>
      </c>
      <c r="Z1055" s="1" t="n">
        <f aca="false">N(STACK!J1055)</f>
        <v>0</v>
      </c>
      <c r="AA1055" s="1" t="str">
        <f aca="false">TRIM(IF(D1055="UNMAPPED","Program not mapped. ","")&amp;IF(OR(K1055="UNMAPPED",K1055="UNASSIGNED"),"Category needs review. ","")&amp;IF(P1055="UNMAPPED","Title not mapped. ","")&amp;IF(AND(P1055&lt;&gt;"No staff time",R1055=""),"Missing hours. ","")&amp;IF(M1055="","Date not readable. ","")&amp;IF(N1055="No","Outside fiscal year. ","")&amp;IF(AND(F1055="Event",ISNUMBER(R1055)),IF(R1055&gt;12,"Event hours look high. ",""),"")&amp;IF(G1055&gt;0,"See CONFIRM sheet.",""))</f>
        <v/>
      </c>
      <c r="AB1055" s="1" t="n">
        <f aca="false">IF(N1055="No",0,IF(REVIEW!O1055=0,0,IF(G1055&gt;0,IF(INDEX(CONFIRM!$J$5:$J$53,G1055)&lt;&gt;"",INDEX(CONFIRM!$J$5:$J$53,G1055),1),1)))</f>
        <v>1</v>
      </c>
      <c r="AC1055" s="1" t="n">
        <f aca="false">IF(AB1055=1,IF(COUNTIFS($B$5:B1055,B1055,$D$5:D1055,D1055,$AB$5:AB1055,1)=1,1,0),0)</f>
        <v>0</v>
      </c>
    </row>
    <row r="1056" customFormat="false" ht="15" hidden="false" customHeight="false" outlineLevel="0" collapsed="false">
      <c r="A1056" s="48" t="str">
        <f aca="false">STACK!A1056</f>
        <v>CBH-0228</v>
      </c>
      <c r="B1056" s="48" t="str">
        <f aca="false">STACK!B1056</f>
        <v>CBH</v>
      </c>
      <c r="C1056" s="48" t="str">
        <f aca="false">STACK!E1056</f>
        <v>Interpreter Services</v>
      </c>
      <c r="D1056" s="1" t="str">
        <f aca="false">IFERROR(INDEX(MAP!$J$7:$J$101,MATCH(TRIM(C1056),MAP!$I$7:$I$101,0)),"UNMAPPED")</f>
        <v>Interpreter Services for Community Clinics</v>
      </c>
      <c r="E1056" s="1" t="str">
        <f aca="false">IFERROR(INDEX(MAP!$K$7:$K$101,MATCH(TRIM(C1056),MAP!$I$7:$I$101,0)),"")</f>
        <v>Access to care</v>
      </c>
      <c r="F1056" s="1" t="str">
        <f aca="false">IFERROR(INDEX(MAP!$L$7:$L$101,MATCH(TRIM(C1056),MAP!$I$7:$I$101,0)),"")</f>
        <v>Monthly</v>
      </c>
      <c r="G1056" s="1" t="n">
        <f aca="false">IFERROR(MATCH(A1056,CONFIRM!$A$5:$A$53,0),0)</f>
        <v>0</v>
      </c>
      <c r="H1056" s="48" t="str">
        <f aca="false">STACK!F1056</f>
        <v>Patient Support</v>
      </c>
      <c r="I1056" s="1" t="str">
        <f aca="false">IF(G1056&gt;0,IF(INDEX(CONFIRM!$I$5:$I$53,G1056)&lt;&gt;"",INDEX(CONFIRM!$I$5:$I$53,G1056),H1056),H1056)</f>
        <v>Patient Support</v>
      </c>
      <c r="J1056" s="1" t="str">
        <f aca="false">IFERROR(INDEX(MAP!$F$7:$F$74,MATCH(TRIM(I1056),MAP!$E$7:$E$74,0)),"UNMAPPED")</f>
        <v>Health care support services</v>
      </c>
      <c r="K1056" s="1" t="str">
        <f aca="false">IFERROR(INDEX(MAP!$G$7:$G$74,MATCH(TRIM(I1056),MAP!$E$7:$E$74,0)),"UNMAPPED")</f>
        <v>7e</v>
      </c>
      <c r="L1056" s="49" t="str">
        <f aca="false">STACK!G1056</f>
        <v>2026-04-30</v>
      </c>
      <c r="M1056" s="59" t="n">
        <f aca="false">IF(G1056&gt;0,IF(INDEX(CONFIRM!$G$5:$G$53,G1056)&lt;&gt;"",INDEX(CONFIRM!$G$5:$G$53,G1056),IF(ISNUMBER(L1056),L1056,IFERROR(DATEVALUE(L1056),""))),IF(ISNUMBER(L1056),L1056,IFERROR(DATEVALUE(L1056),"")))</f>
        <v>46142</v>
      </c>
      <c r="N1056" s="1" t="str">
        <f aca="false">IF(M1056="","Check",IF(AND(M1056&gt;=INPUTS!$C$6,M1056&lt;=INPUTS!$C$7),"Yes","No"))</f>
        <v>Yes</v>
      </c>
      <c r="O1056" s="48" t="str">
        <f aca="false">STACK!H1056</f>
        <v>Spanish Interpreter</v>
      </c>
      <c r="P1056" s="1" t="str">
        <f aca="false">IF(G1056&gt;0,IF(INDEX(CONFIRM!$H$5:$H$53,G1056)&lt;&gt;"",INDEX(CONFIRM!$H$5:$H$53,G1056),IFERROR(INDEX(MAP!$B$7:$B$156,MATCH(TRIM(O1056),MAP!$A$7:$A$156,0)),"UNMAPPED")),IFERROR(INDEX(MAP!$B$7:$B$156,MATCH(TRIM(O1056),MAP!$A$7:$A$156,0)),"UNMAPPED"))</f>
        <v>Interpreter</v>
      </c>
      <c r="Q1056" s="48" t="n">
        <f aca="false">STACK!I1056</f>
        <v>65</v>
      </c>
      <c r="R1056" s="60" t="n">
        <f aca="false">IF(G1056&gt;0,IF(INDEX(CONFIRM!$F$5:$F$53,G1056)&lt;&gt;"",INDEX(CONFIRM!$F$5:$F$53,G1056),IF(ISNUMBER(Q1056),Q1056,IF(Q1056="","",IFERROR(VALUE(TRIM(SUBSTITUTE(SUBSTITUTE(LOWER(Q1056),"hrs",""),"hr",""))),"")))),IF(ISNUMBER(Q1056),Q1056,IF(Q1056="","",IFERROR(VALUE(TRIM(SUBSTITUTE(SUBSTITUTE(LOWER(Q1056),"hrs",""),"hr",""))),""))))</f>
        <v>65</v>
      </c>
      <c r="S1056" s="57" t="n">
        <f aca="false">IFERROR(INDEX(RATES!$E$6:$E$28,MATCH(P1056,RATES!$A$6:$A$28,0)),0)</f>
        <v>32.7675</v>
      </c>
      <c r="T1056" s="61" t="n">
        <f aca="false">IF(ISNUMBER(R1056),R1056,0)*S1056</f>
        <v>2129.8875</v>
      </c>
      <c r="U1056" s="61" t="n">
        <f aca="false">T1056*INDEX(INPUTS!$H$10:$H$14,MATCH(B1056,INPUTS!$A$10:$A$14,0))</f>
        <v>336.522225</v>
      </c>
      <c r="V1056" s="61" t="n">
        <f aca="false">N(STACK!K1056)</f>
        <v>0</v>
      </c>
      <c r="W1056" s="61" t="n">
        <f aca="false">T1056+U1056+V1056</f>
        <v>2466.409725</v>
      </c>
      <c r="X1056" s="61" t="n">
        <f aca="false">N(STACK!L1056)</f>
        <v>0</v>
      </c>
      <c r="Y1056" s="61" t="n">
        <f aca="false">W1056-X1056</f>
        <v>2466.409725</v>
      </c>
      <c r="Z1056" s="1" t="n">
        <f aca="false">N(STACK!J1056)</f>
        <v>124</v>
      </c>
      <c r="AA1056" s="1" t="str">
        <f aca="false">TRIM(IF(D1056="UNMAPPED","Program not mapped. ","")&amp;IF(OR(K1056="UNMAPPED",K1056="UNASSIGNED"),"Category needs review. ","")&amp;IF(P1056="UNMAPPED","Title not mapped. ","")&amp;IF(AND(P1056&lt;&gt;"No staff time",R1056=""),"Missing hours. ","")&amp;IF(M1056="","Date not readable. ","")&amp;IF(N1056="No","Outside fiscal year. ","")&amp;IF(AND(F1056="Event",ISNUMBER(R1056)),IF(R1056&gt;12,"Event hours look high. ",""),"")&amp;IF(G1056&gt;0,"See CONFIRM sheet.",""))</f>
        <v/>
      </c>
      <c r="AB1056" s="1" t="n">
        <f aca="false">IF(N1056="No",0,IF(REVIEW!O1056=0,0,IF(G1056&gt;0,IF(INDEX(CONFIRM!$J$5:$J$53,G1056)&lt;&gt;"",INDEX(CONFIRM!$J$5:$J$53,G1056),1),1)))</f>
        <v>1</v>
      </c>
      <c r="AC1056" s="1" t="n">
        <f aca="false">IF(AB1056=1,IF(COUNTIFS($B$5:B1056,B1056,$D$5:D1056,D1056,$AB$5:AB1056,1)=1,1,0),0)</f>
        <v>0</v>
      </c>
    </row>
    <row r="1057" customFormat="false" ht="15" hidden="false" customHeight="false" outlineLevel="0" collapsed="false">
      <c r="A1057" s="48" t="str">
        <f aca="false">STACK!A1057</f>
        <v>CBH-0229</v>
      </c>
      <c r="B1057" s="48" t="str">
        <f aca="false">STACK!B1057</f>
        <v>CBH</v>
      </c>
      <c r="C1057" s="48" t="str">
        <f aca="false">STACK!E1057</f>
        <v>Nursing Student Rotations</v>
      </c>
      <c r="D1057" s="1" t="str">
        <f aca="false">IFERROR(INDEX(MAP!$J$7:$J$101,MATCH(TRIM(C1057),MAP!$I$7:$I$101,0)),"UNMAPPED")</f>
        <v>Nursing Student Clinical Rotations</v>
      </c>
      <c r="E1057" s="1" t="str">
        <f aca="false">IFERROR(INDEX(MAP!$K$7:$K$101,MATCH(TRIM(C1057),MAP!$I$7:$I$101,0)),"")</f>
        <v>Health workforce</v>
      </c>
      <c r="F1057" s="1" t="str">
        <f aca="false">IFERROR(INDEX(MAP!$L$7:$L$101,MATCH(TRIM(C1057),MAP!$I$7:$I$101,0)),"")</f>
        <v>Monthly</v>
      </c>
      <c r="G1057" s="1" t="n">
        <f aca="false">IFERROR(MATCH(A1057,CONFIRM!$A$5:$A$53,0),0)</f>
        <v>0</v>
      </c>
      <c r="H1057" s="48" t="str">
        <f aca="false">STACK!F1057</f>
        <v>Education - Health Professions</v>
      </c>
      <c r="I1057" s="1" t="str">
        <f aca="false">IF(G1057&gt;0,IF(INDEX(CONFIRM!$I$5:$I$53,G1057)&lt;&gt;"",INDEX(CONFIRM!$I$5:$I$53,G1057),H1057),H1057)</f>
        <v>Education - Health Professions</v>
      </c>
      <c r="J1057" s="1" t="str">
        <f aca="false">IFERROR(INDEX(MAP!$F$7:$F$74,MATCH(TRIM(I1057),MAP!$E$7:$E$74,0)),"UNMAPPED")</f>
        <v>Health professions education</v>
      </c>
      <c r="K1057" s="1" t="str">
        <f aca="false">IFERROR(INDEX(MAP!$G$7:$G$74,MATCH(TRIM(I1057),MAP!$E$7:$E$74,0)),"UNMAPPED")</f>
        <v>7f</v>
      </c>
      <c r="L1057" s="49" t="str">
        <f aca="false">STACK!G1057</f>
        <v>2026-04-30</v>
      </c>
      <c r="M1057" s="59" t="n">
        <f aca="false">IF(G1057&gt;0,IF(INDEX(CONFIRM!$G$5:$G$53,G1057)&lt;&gt;"",INDEX(CONFIRM!$G$5:$G$53,G1057),IF(ISNUMBER(L1057),L1057,IFERROR(DATEVALUE(L1057),""))),IF(ISNUMBER(L1057),L1057,IFERROR(DATEVALUE(L1057),"")))</f>
        <v>46142</v>
      </c>
      <c r="N1057" s="1" t="str">
        <f aca="false">IF(M1057="","Check",IF(AND(M1057&gt;=INPUTS!$C$6,M1057&lt;=INPUTS!$C$7),"Yes","No"))</f>
        <v>Yes</v>
      </c>
      <c r="O1057" s="48" t="str">
        <f aca="false">STACK!H1057</f>
        <v>Educator, Nursing</v>
      </c>
      <c r="P1057" s="1" t="str">
        <f aca="false">IF(G1057&gt;0,IF(INDEX(CONFIRM!$H$5:$H$53,G1057)&lt;&gt;"",INDEX(CONFIRM!$H$5:$H$53,G1057),IFERROR(INDEX(MAP!$B$7:$B$156,MATCH(TRIM(O1057),MAP!$A$7:$A$156,0)),"UNMAPPED")),IFERROR(INDEX(MAP!$B$7:$B$156,MATCH(TRIM(O1057),MAP!$A$7:$A$156,0)),"UNMAPPED"))</f>
        <v>Clinical Nurse Educator</v>
      </c>
      <c r="Q1057" s="48" t="n">
        <f aca="false">STACK!I1057</f>
        <v>97.75</v>
      </c>
      <c r="R1057" s="60" t="n">
        <f aca="false">IF(G1057&gt;0,IF(INDEX(CONFIRM!$F$5:$F$53,G1057)&lt;&gt;"",INDEX(CONFIRM!$F$5:$F$53,G1057),IF(ISNUMBER(Q1057),Q1057,IF(Q1057="","",IFERROR(VALUE(TRIM(SUBSTITUTE(SUBSTITUTE(LOWER(Q1057),"hrs",""),"hr",""))),"")))),IF(ISNUMBER(Q1057),Q1057,IF(Q1057="","",IFERROR(VALUE(TRIM(SUBSTITUTE(SUBSTITUTE(LOWER(Q1057),"hrs",""),"hr",""))),""))))</f>
        <v>97.75</v>
      </c>
      <c r="S1057" s="57" t="n">
        <f aca="false">IFERROR(INDEX(RATES!$E$6:$E$28,MATCH(P1057,RATES!$A$6:$A$28,0)),0)</f>
        <v>62.965</v>
      </c>
      <c r="T1057" s="61" t="n">
        <f aca="false">IF(ISNUMBER(R1057),R1057,0)*S1057</f>
        <v>6154.82875</v>
      </c>
      <c r="U1057" s="61" t="n">
        <f aca="false">T1057*INDEX(INPUTS!$H$10:$H$14,MATCH(B1057,INPUTS!$A$10:$A$14,0))</f>
        <v>972.4629425</v>
      </c>
      <c r="V1057" s="61" t="n">
        <f aca="false">N(STACK!K1057)</f>
        <v>990</v>
      </c>
      <c r="W1057" s="61" t="n">
        <f aca="false">T1057+U1057+V1057</f>
        <v>8117.2916925</v>
      </c>
      <c r="X1057" s="61" t="n">
        <f aca="false">N(STACK!L1057)</f>
        <v>0</v>
      </c>
      <c r="Y1057" s="61" t="n">
        <f aca="false">W1057-X1057</f>
        <v>8117.2916925</v>
      </c>
      <c r="Z1057" s="1" t="n">
        <f aca="false">N(STACK!J1057)</f>
        <v>37</v>
      </c>
      <c r="AA1057" s="1" t="str">
        <f aca="false">TRIM(IF(D1057="UNMAPPED","Program not mapped. ","")&amp;IF(OR(K1057="UNMAPPED",K1057="UNASSIGNED"),"Category needs review. ","")&amp;IF(P1057="UNMAPPED","Title not mapped. ","")&amp;IF(AND(P1057&lt;&gt;"No staff time",R1057=""),"Missing hours. ","")&amp;IF(M1057="","Date not readable. ","")&amp;IF(N1057="No","Outside fiscal year. ","")&amp;IF(AND(F1057="Event",ISNUMBER(R1057)),IF(R1057&gt;12,"Event hours look high. ",""),"")&amp;IF(G1057&gt;0,"See CONFIRM sheet.",""))</f>
        <v/>
      </c>
      <c r="AB1057" s="1" t="n">
        <f aca="false">IF(N1057="No",0,IF(REVIEW!O1057=0,0,IF(G1057&gt;0,IF(INDEX(CONFIRM!$J$5:$J$53,G1057)&lt;&gt;"",INDEX(CONFIRM!$J$5:$J$53,G1057),1),1)))</f>
        <v>1</v>
      </c>
      <c r="AC1057" s="1" t="n">
        <f aca="false">IF(AB1057=1,IF(COUNTIFS($B$5:B1057,B1057,$D$5:D1057,D1057,$AB$5:AB1057,1)=1,1,0),0)</f>
        <v>0</v>
      </c>
    </row>
    <row r="1058" customFormat="false" ht="15" hidden="false" customHeight="false" outlineLevel="0" collapsed="false">
      <c r="A1058" s="48" t="str">
        <f aca="false">STACK!A1058</f>
        <v>CBH-0230</v>
      </c>
      <c r="B1058" s="48" t="str">
        <f aca="false">STACK!B1058</f>
        <v>CBH</v>
      </c>
      <c r="C1058" s="48" t="str">
        <f aca="false">STACK!E1058</f>
        <v>Nursing Student Rotations</v>
      </c>
      <c r="D1058" s="1" t="str">
        <f aca="false">IFERROR(INDEX(MAP!$J$7:$J$101,MATCH(TRIM(C1058),MAP!$I$7:$I$101,0)),"UNMAPPED")</f>
        <v>Nursing Student Clinical Rotations</v>
      </c>
      <c r="E1058" s="1" t="str">
        <f aca="false">IFERROR(INDEX(MAP!$K$7:$K$101,MATCH(TRIM(C1058),MAP!$I$7:$I$101,0)),"")</f>
        <v>Health workforce</v>
      </c>
      <c r="F1058" s="1" t="str">
        <f aca="false">IFERROR(INDEX(MAP!$L$7:$L$101,MATCH(TRIM(C1058),MAP!$I$7:$I$101,0)),"")</f>
        <v>Monthly</v>
      </c>
      <c r="G1058" s="1" t="n">
        <f aca="false">IFERROR(MATCH(A1058,CONFIRM!$A$5:$A$53,0),0)</f>
        <v>0</v>
      </c>
      <c r="H1058" s="48" t="str">
        <f aca="false">STACK!F1058</f>
        <v>Education - Health Professions</v>
      </c>
      <c r="I1058" s="1" t="str">
        <f aca="false">IF(G1058&gt;0,IF(INDEX(CONFIRM!$I$5:$I$53,G1058)&lt;&gt;"",INDEX(CONFIRM!$I$5:$I$53,G1058),H1058),H1058)</f>
        <v>Education - Health Professions</v>
      </c>
      <c r="J1058" s="1" t="str">
        <f aca="false">IFERROR(INDEX(MAP!$F$7:$F$74,MATCH(TRIM(I1058),MAP!$E$7:$E$74,0)),"UNMAPPED")</f>
        <v>Health professions education</v>
      </c>
      <c r="K1058" s="1" t="str">
        <f aca="false">IFERROR(INDEX(MAP!$G$7:$G$74,MATCH(TRIM(I1058),MAP!$E$7:$E$74,0)),"UNMAPPED")</f>
        <v>7f</v>
      </c>
      <c r="L1058" s="49" t="str">
        <f aca="false">STACK!G1058</f>
        <v>2026-04-30</v>
      </c>
      <c r="M1058" s="59" t="n">
        <f aca="false">IF(G1058&gt;0,IF(INDEX(CONFIRM!$G$5:$G$53,G1058)&lt;&gt;"",INDEX(CONFIRM!$G$5:$G$53,G1058),IF(ISNUMBER(L1058),L1058,IFERROR(DATEVALUE(L1058),""))),IF(ISNUMBER(L1058),L1058,IFERROR(DATEVALUE(L1058),"")))</f>
        <v>46142</v>
      </c>
      <c r="N1058" s="1" t="str">
        <f aca="false">IF(M1058="","Check",IF(AND(M1058&gt;=INPUTS!$C$6,M1058&lt;=INPUTS!$C$7),"Yes","No"))</f>
        <v>Yes</v>
      </c>
      <c r="O1058" s="48" t="str">
        <f aca="false">STACK!H1058</f>
        <v>R.N.</v>
      </c>
      <c r="P1058" s="1" t="str">
        <f aca="false">IF(G1058&gt;0,IF(INDEX(CONFIRM!$H$5:$H$53,G1058)&lt;&gt;"",INDEX(CONFIRM!$H$5:$H$53,G1058),IFERROR(INDEX(MAP!$B$7:$B$156,MATCH(TRIM(O1058),MAP!$A$7:$A$156,0)),"UNMAPPED")),IFERROR(INDEX(MAP!$B$7:$B$156,MATCH(TRIM(O1058),MAP!$A$7:$A$156,0)),"UNMAPPED"))</f>
        <v>Registered Nurse</v>
      </c>
      <c r="Q1058" s="48" t="n">
        <f aca="false">STACK!I1058</f>
        <v>194.5</v>
      </c>
      <c r="R1058" s="60" t="n">
        <f aca="false">IF(G1058&gt;0,IF(INDEX(CONFIRM!$F$5:$F$53,G1058)&lt;&gt;"",INDEX(CONFIRM!$F$5:$F$53,G1058),IF(ISNUMBER(Q1058),Q1058,IF(Q1058="","",IFERROR(VALUE(TRIM(SUBSTITUTE(SUBSTITUTE(LOWER(Q1058),"hrs",""),"hr",""))),"")))),IF(ISNUMBER(Q1058),Q1058,IF(Q1058="","",IFERROR(VALUE(TRIM(SUBSTITUTE(SUBSTITUTE(LOWER(Q1058),"hrs",""),"hr",""))),""))))</f>
        <v>194.5</v>
      </c>
      <c r="S1058" s="57" t="n">
        <f aca="false">IFERROR(INDEX(RATES!$E$6:$E$28,MATCH(P1058,RATES!$A$6:$A$28,0)),0)</f>
        <v>55.8975</v>
      </c>
      <c r="T1058" s="61" t="n">
        <f aca="false">IF(ISNUMBER(R1058),R1058,0)*S1058</f>
        <v>10872.06375</v>
      </c>
      <c r="U1058" s="61" t="n">
        <f aca="false">T1058*INDEX(INPUTS!$H$10:$H$14,MATCH(B1058,INPUTS!$A$10:$A$14,0))</f>
        <v>1717.7860725</v>
      </c>
      <c r="V1058" s="61" t="n">
        <f aca="false">N(STACK!K1058)</f>
        <v>0</v>
      </c>
      <c r="W1058" s="61" t="n">
        <f aca="false">T1058+U1058+V1058</f>
        <v>12589.8498225</v>
      </c>
      <c r="X1058" s="61" t="n">
        <f aca="false">N(STACK!L1058)</f>
        <v>0</v>
      </c>
      <c r="Y1058" s="61" t="n">
        <f aca="false">W1058-X1058</f>
        <v>12589.8498225</v>
      </c>
      <c r="Z1058" s="1" t="n">
        <f aca="false">N(STACK!J1058)</f>
        <v>0</v>
      </c>
      <c r="AA1058" s="1" t="str">
        <f aca="false">TRIM(IF(D1058="UNMAPPED","Program not mapped. ","")&amp;IF(OR(K1058="UNMAPPED",K1058="UNASSIGNED"),"Category needs review. ","")&amp;IF(P1058="UNMAPPED","Title not mapped. ","")&amp;IF(AND(P1058&lt;&gt;"No staff time",R1058=""),"Missing hours. ","")&amp;IF(M1058="","Date not readable. ","")&amp;IF(N1058="No","Outside fiscal year. ","")&amp;IF(AND(F1058="Event",ISNUMBER(R1058)),IF(R1058&gt;12,"Event hours look high. ",""),"")&amp;IF(G1058&gt;0,"See CONFIRM sheet.",""))</f>
        <v/>
      </c>
      <c r="AB1058" s="1" t="n">
        <f aca="false">IF(N1058="No",0,IF(REVIEW!O1058=0,0,IF(G1058&gt;0,IF(INDEX(CONFIRM!$J$5:$J$53,G1058)&lt;&gt;"",INDEX(CONFIRM!$J$5:$J$53,G1058),1),1)))</f>
        <v>1</v>
      </c>
      <c r="AC1058" s="1" t="n">
        <f aca="false">IF(AB1058=1,IF(COUNTIFS($B$5:B1058,B1058,$D$5:D1058,D1058,$AB$5:AB1058,1)=1,1,0),0)</f>
        <v>0</v>
      </c>
    </row>
    <row r="1059" customFormat="false" ht="15" hidden="false" customHeight="false" outlineLevel="0" collapsed="false">
      <c r="A1059" s="48" t="str">
        <f aca="false">STACK!A1059</f>
        <v>CBH-0231</v>
      </c>
      <c r="B1059" s="48" t="str">
        <f aca="false">STACK!B1059</f>
        <v>CBH</v>
      </c>
      <c r="C1059" s="48" t="str">
        <f aca="false">STACK!E1059</f>
        <v>Pharmacy Students</v>
      </c>
      <c r="D1059" s="1" t="str">
        <f aca="false">IFERROR(INDEX(MAP!$J$7:$J$101,MATCH(TRIM(C1059),MAP!$I$7:$I$101,0)),"UNMAPPED")</f>
        <v>Pharmacy Student Rotations</v>
      </c>
      <c r="E1059" s="1" t="str">
        <f aca="false">IFERROR(INDEX(MAP!$K$7:$K$101,MATCH(TRIM(C1059),MAP!$I$7:$I$101,0)),"")</f>
        <v>Health workforce</v>
      </c>
      <c r="F1059" s="1" t="str">
        <f aca="false">IFERROR(INDEX(MAP!$L$7:$L$101,MATCH(TRIM(C1059),MAP!$I$7:$I$101,0)),"")</f>
        <v>Monthly</v>
      </c>
      <c r="G1059" s="1" t="n">
        <f aca="false">IFERROR(MATCH(A1059,CONFIRM!$A$5:$A$53,0),0)</f>
        <v>0</v>
      </c>
      <c r="H1059" s="48" t="str">
        <f aca="false">STACK!F1059</f>
        <v>Education - Health Professions</v>
      </c>
      <c r="I1059" s="1" t="str">
        <f aca="false">IF(G1059&gt;0,IF(INDEX(CONFIRM!$I$5:$I$53,G1059)&lt;&gt;"",INDEX(CONFIRM!$I$5:$I$53,G1059),H1059),H1059)</f>
        <v>Education - Health Professions</v>
      </c>
      <c r="J1059" s="1" t="str">
        <f aca="false">IFERROR(INDEX(MAP!$F$7:$F$74,MATCH(TRIM(I1059),MAP!$E$7:$E$74,0)),"UNMAPPED")</f>
        <v>Health professions education</v>
      </c>
      <c r="K1059" s="1" t="str">
        <f aca="false">IFERROR(INDEX(MAP!$G$7:$G$74,MATCH(TRIM(I1059),MAP!$E$7:$E$74,0)),"UNMAPPED")</f>
        <v>7f</v>
      </c>
      <c r="L1059" s="49" t="str">
        <f aca="false">STACK!G1059</f>
        <v>2026-04-30</v>
      </c>
      <c r="M1059" s="59" t="n">
        <f aca="false">IF(G1059&gt;0,IF(INDEX(CONFIRM!$G$5:$G$53,G1059)&lt;&gt;"",INDEX(CONFIRM!$G$5:$G$53,G1059),IF(ISNUMBER(L1059),L1059,IFERROR(DATEVALUE(L1059),""))),IF(ISNUMBER(L1059),L1059,IFERROR(DATEVALUE(L1059),"")))</f>
        <v>46142</v>
      </c>
      <c r="N1059" s="1" t="str">
        <f aca="false">IF(M1059="","Check",IF(AND(M1059&gt;=INPUTS!$C$6,M1059&lt;=INPUTS!$C$7),"Yes","No"))</f>
        <v>Yes</v>
      </c>
      <c r="O1059" s="48" t="str">
        <f aca="false">STACK!H1059</f>
        <v>Pharmacist</v>
      </c>
      <c r="P1059" s="1" t="str">
        <f aca="false">IF(G1059&gt;0,IF(INDEX(CONFIRM!$H$5:$H$53,G1059)&lt;&gt;"",INDEX(CONFIRM!$H$5:$H$53,G1059),IFERROR(INDEX(MAP!$B$7:$B$156,MATCH(TRIM(O1059),MAP!$A$7:$A$156,0)),"UNMAPPED")),IFERROR(INDEX(MAP!$B$7:$B$156,MATCH(TRIM(O1059),MAP!$A$7:$A$156,0)),"UNMAPPED"))</f>
        <v>Pharmacist</v>
      </c>
      <c r="Q1059" s="48" t="n">
        <f aca="false">STACK!I1059</f>
        <v>45.5</v>
      </c>
      <c r="R1059" s="60" t="n">
        <f aca="false">IF(G1059&gt;0,IF(INDEX(CONFIRM!$F$5:$F$53,G1059)&lt;&gt;"",INDEX(CONFIRM!$F$5:$F$53,G1059),IF(ISNUMBER(Q1059),Q1059,IF(Q1059="","",IFERROR(VALUE(TRIM(SUBSTITUTE(SUBSTITUTE(LOWER(Q1059),"hrs",""),"hr",""))),"")))),IF(ISNUMBER(Q1059),Q1059,IF(Q1059="","",IFERROR(VALUE(TRIM(SUBSTITUTE(SUBSTITUTE(LOWER(Q1059),"hrs",""),"hr",""))),""))))</f>
        <v>45.5</v>
      </c>
      <c r="S1059" s="57" t="n">
        <f aca="false">IFERROR(INDEX(RATES!$E$6:$E$28,MATCH(P1059,RATES!$A$6:$A$28,0)),0)</f>
        <v>84.81</v>
      </c>
      <c r="T1059" s="61" t="n">
        <f aca="false">IF(ISNUMBER(R1059),R1059,0)*S1059</f>
        <v>3858.855</v>
      </c>
      <c r="U1059" s="61" t="n">
        <f aca="false">T1059*INDEX(INPUTS!$H$10:$H$14,MATCH(B1059,INPUTS!$A$10:$A$14,0))</f>
        <v>609.69909</v>
      </c>
      <c r="V1059" s="61" t="n">
        <f aca="false">N(STACK!K1059)</f>
        <v>120</v>
      </c>
      <c r="W1059" s="61" t="n">
        <f aca="false">T1059+U1059+V1059</f>
        <v>4588.55409</v>
      </c>
      <c r="X1059" s="61" t="n">
        <f aca="false">N(STACK!L1059)</f>
        <v>0</v>
      </c>
      <c r="Y1059" s="61" t="n">
        <f aca="false">W1059-X1059</f>
        <v>4588.55409</v>
      </c>
      <c r="Z1059" s="1" t="n">
        <f aca="false">N(STACK!J1059)</f>
        <v>4</v>
      </c>
      <c r="AA1059" s="1" t="str">
        <f aca="false">TRIM(IF(D1059="UNMAPPED","Program not mapped. ","")&amp;IF(OR(K1059="UNMAPPED",K1059="UNASSIGNED"),"Category needs review. ","")&amp;IF(P1059="UNMAPPED","Title not mapped. ","")&amp;IF(AND(P1059&lt;&gt;"No staff time",R1059=""),"Missing hours. ","")&amp;IF(M1059="","Date not readable. ","")&amp;IF(N1059="No","Outside fiscal year. ","")&amp;IF(AND(F1059="Event",ISNUMBER(R1059)),IF(R1059&gt;12,"Event hours look high. ",""),"")&amp;IF(G1059&gt;0,"See CONFIRM sheet.",""))</f>
        <v/>
      </c>
      <c r="AB1059" s="1" t="n">
        <f aca="false">IF(N1059="No",0,IF(REVIEW!O1059=0,0,IF(G1059&gt;0,IF(INDEX(CONFIRM!$J$5:$J$53,G1059)&lt;&gt;"",INDEX(CONFIRM!$J$5:$J$53,G1059),1),1)))</f>
        <v>1</v>
      </c>
      <c r="AC1059" s="1" t="n">
        <f aca="false">IF(AB1059=1,IF(COUNTIFS($B$5:B1059,B1059,$D$5:D1059,D1059,$AB$5:AB1059,1)=1,1,0),0)</f>
        <v>0</v>
      </c>
    </row>
    <row r="1060" customFormat="false" ht="15" hidden="false" customHeight="false" outlineLevel="0" collapsed="false">
      <c r="A1060" s="48" t="str">
        <f aca="false">STACK!A1060</f>
        <v>CBH-0232</v>
      </c>
      <c r="B1060" s="48" t="str">
        <f aca="false">STACK!B1060</f>
        <v>CBH</v>
      </c>
      <c r="C1060" s="48" t="str">
        <f aca="false">STACK!E1060</f>
        <v>Prenatal &amp; Newborn Classes</v>
      </c>
      <c r="D1060" s="1" t="str">
        <f aca="false">IFERROR(INDEX(MAP!$J$7:$J$101,MATCH(TRIM(C1060),MAP!$I$7:$I$101,0)),"UNMAPPED")</f>
        <v>Childbirth and Newborn Care Classes</v>
      </c>
      <c r="E1060" s="1" t="str">
        <f aca="false">IFERROR(INDEX(MAP!$K$7:$K$101,MATCH(TRIM(C1060),MAP!$I$7:$I$101,0)),"")</f>
        <v>Maternal and child health</v>
      </c>
      <c r="F1060" s="1" t="str">
        <f aca="false">IFERROR(INDEX(MAP!$L$7:$L$101,MATCH(TRIM(C1060),MAP!$I$7:$I$101,0)),"")</f>
        <v>Event</v>
      </c>
      <c r="G1060" s="1" t="n">
        <f aca="false">IFERROR(MATCH(A1060,CONFIRM!$A$5:$A$53,0),0)</f>
        <v>0</v>
      </c>
      <c r="H1060" s="48" t="str">
        <f aca="false">STACK!F1060</f>
        <v>Health Education</v>
      </c>
      <c r="I1060" s="1" t="str">
        <f aca="false">IF(G1060&gt;0,IF(INDEX(CONFIRM!$I$5:$I$53,G1060)&lt;&gt;"",INDEX(CONFIRM!$I$5:$I$53,G1060),H1060),H1060)</f>
        <v>Health Education</v>
      </c>
      <c r="J1060" s="1" t="str">
        <f aca="false">IFERROR(INDEX(MAP!$F$7:$F$74,MATCH(TRIM(I1060),MAP!$E$7:$E$74,0)),"UNMAPPED")</f>
        <v>Community health education</v>
      </c>
      <c r="K1060" s="1" t="str">
        <f aca="false">IFERROR(INDEX(MAP!$G$7:$G$74,MATCH(TRIM(I1060),MAP!$E$7:$E$74,0)),"UNMAPPED")</f>
        <v>7e</v>
      </c>
      <c r="L1060" s="49" t="str">
        <f aca="false">STACK!G1060</f>
        <v>2026-05-08</v>
      </c>
      <c r="M1060" s="59" t="n">
        <f aca="false">IF(G1060&gt;0,IF(INDEX(CONFIRM!$G$5:$G$53,G1060)&lt;&gt;"",INDEX(CONFIRM!$G$5:$G$53,G1060),IF(ISNUMBER(L1060),L1060,IFERROR(DATEVALUE(L1060),""))),IF(ISNUMBER(L1060),L1060,IFERROR(DATEVALUE(L1060),"")))</f>
        <v>46150</v>
      </c>
      <c r="N1060" s="1" t="str">
        <f aca="false">IF(M1060="","Check",IF(AND(M1060&gt;=INPUTS!$C$6,M1060&lt;=INPUTS!$C$7),"Yes","No"))</f>
        <v>Yes</v>
      </c>
      <c r="O1060" s="48" t="str">
        <f aca="false">STACK!H1060</f>
        <v>Educator, Nursing</v>
      </c>
      <c r="P1060" s="1" t="str">
        <f aca="false">IF(G1060&gt;0,IF(INDEX(CONFIRM!$H$5:$H$53,G1060)&lt;&gt;"",INDEX(CONFIRM!$H$5:$H$53,G1060),IFERROR(INDEX(MAP!$B$7:$B$156,MATCH(TRIM(O1060),MAP!$A$7:$A$156,0)),"UNMAPPED")),IFERROR(INDEX(MAP!$B$7:$B$156,MATCH(TRIM(O1060),MAP!$A$7:$A$156,0)),"UNMAPPED"))</f>
        <v>Clinical Nurse Educator</v>
      </c>
      <c r="Q1060" s="48" t="n">
        <f aca="false">STACK!I1060</f>
        <v>3.25</v>
      </c>
      <c r="R1060" s="60" t="n">
        <f aca="false">IF(G1060&gt;0,IF(INDEX(CONFIRM!$F$5:$F$53,G1060)&lt;&gt;"",INDEX(CONFIRM!$F$5:$F$53,G1060),IF(ISNUMBER(Q1060),Q1060,IF(Q1060="","",IFERROR(VALUE(TRIM(SUBSTITUTE(SUBSTITUTE(LOWER(Q1060),"hrs",""),"hr",""))),"")))),IF(ISNUMBER(Q1060),Q1060,IF(Q1060="","",IFERROR(VALUE(TRIM(SUBSTITUTE(SUBSTITUTE(LOWER(Q1060),"hrs",""),"hr",""))),""))))</f>
        <v>3.25</v>
      </c>
      <c r="S1060" s="57" t="n">
        <f aca="false">IFERROR(INDEX(RATES!$E$6:$E$28,MATCH(P1060,RATES!$A$6:$A$28,0)),0)</f>
        <v>62.965</v>
      </c>
      <c r="T1060" s="61" t="n">
        <f aca="false">IF(ISNUMBER(R1060),R1060,0)*S1060</f>
        <v>204.63625</v>
      </c>
      <c r="U1060" s="61" t="n">
        <f aca="false">T1060*INDEX(INPUTS!$H$10:$H$14,MATCH(B1060,INPUTS!$A$10:$A$14,0))</f>
        <v>32.3325275</v>
      </c>
      <c r="V1060" s="61" t="n">
        <f aca="false">N(STACK!K1060)</f>
        <v>150</v>
      </c>
      <c r="W1060" s="61" t="n">
        <f aca="false">T1060+U1060+V1060</f>
        <v>386.9687775</v>
      </c>
      <c r="X1060" s="61" t="n">
        <f aca="false">N(STACK!L1060)</f>
        <v>340</v>
      </c>
      <c r="Y1060" s="61" t="n">
        <f aca="false">W1060-X1060</f>
        <v>46.9687775</v>
      </c>
      <c r="Z1060" s="1" t="n">
        <f aca="false">N(STACK!J1060)</f>
        <v>17</v>
      </c>
      <c r="AA1060" s="1" t="str">
        <f aca="false">TRIM(IF(D1060="UNMAPPED","Program not mapped. ","")&amp;IF(OR(K1060="UNMAPPED",K1060="UNASSIGNED"),"Category needs review. ","")&amp;IF(P1060="UNMAPPED","Title not mapped. ","")&amp;IF(AND(P1060&lt;&gt;"No staff time",R1060=""),"Missing hours. ","")&amp;IF(M1060="","Date not readable. ","")&amp;IF(N1060="No","Outside fiscal year. ","")&amp;IF(AND(F1060="Event",ISNUMBER(R1060)),IF(R1060&gt;12,"Event hours look high. ",""),"")&amp;IF(G1060&gt;0,"See CONFIRM sheet.",""))</f>
        <v/>
      </c>
      <c r="AB1060" s="1" t="n">
        <f aca="false">IF(N1060="No",0,IF(REVIEW!O1060=0,0,IF(G1060&gt;0,IF(INDEX(CONFIRM!$J$5:$J$53,G1060)&lt;&gt;"",INDEX(CONFIRM!$J$5:$J$53,G1060),1),1)))</f>
        <v>1</v>
      </c>
      <c r="AC1060" s="1" t="n">
        <f aca="false">IF(AB1060=1,IF(COUNTIFS($B$5:B1060,B1060,$D$5:D1060,D1060,$AB$5:AB1060,1)=1,1,0),0)</f>
        <v>0</v>
      </c>
    </row>
    <row r="1061" customFormat="false" ht="15" hidden="false" customHeight="false" outlineLevel="0" collapsed="false">
      <c r="A1061" s="48" t="str">
        <f aca="false">STACK!A1061</f>
        <v>CBH-0233</v>
      </c>
      <c r="B1061" s="48" t="str">
        <f aca="false">STACK!B1061</f>
        <v>CBH</v>
      </c>
      <c r="C1061" s="48" t="str">
        <f aca="false">STACK!E1061</f>
        <v>Matter of Balance Classes</v>
      </c>
      <c r="D1061" s="1" t="str">
        <f aca="false">IFERROR(INDEX(MAP!$J$7:$J$101,MATCH(TRIM(C1061),MAP!$I$7:$I$101,0)),"UNMAPPED")</f>
        <v>Fall Prevention Classes for Older Adults</v>
      </c>
      <c r="E1061" s="1" t="str">
        <f aca="false">IFERROR(INDEX(MAP!$K$7:$K$101,MATCH(TRIM(C1061),MAP!$I$7:$I$101,0)),"")</f>
        <v>Chronic disease prevention</v>
      </c>
      <c r="F1061" s="1" t="str">
        <f aca="false">IFERROR(INDEX(MAP!$L$7:$L$101,MATCH(TRIM(C1061),MAP!$I$7:$I$101,0)),"")</f>
        <v>Event</v>
      </c>
      <c r="G1061" s="1" t="n">
        <f aca="false">IFERROR(MATCH(A1061,CONFIRM!$A$5:$A$53,0),0)</f>
        <v>0</v>
      </c>
      <c r="H1061" s="48" t="str">
        <f aca="false">STACK!F1061</f>
        <v>Health Education</v>
      </c>
      <c r="I1061" s="1" t="str">
        <f aca="false">IF(G1061&gt;0,IF(INDEX(CONFIRM!$I$5:$I$53,G1061)&lt;&gt;"",INDEX(CONFIRM!$I$5:$I$53,G1061),H1061),H1061)</f>
        <v>Health Education</v>
      </c>
      <c r="J1061" s="1" t="str">
        <f aca="false">IFERROR(INDEX(MAP!$F$7:$F$74,MATCH(TRIM(I1061),MAP!$E$7:$E$74,0)),"UNMAPPED")</f>
        <v>Community health education</v>
      </c>
      <c r="K1061" s="1" t="str">
        <f aca="false">IFERROR(INDEX(MAP!$G$7:$G$74,MATCH(TRIM(I1061),MAP!$E$7:$E$74,0)),"UNMAPPED")</f>
        <v>7e</v>
      </c>
      <c r="L1061" s="49" t="str">
        <f aca="false">STACK!G1061</f>
        <v>2026-05-09</v>
      </c>
      <c r="M1061" s="59" t="n">
        <f aca="false">IF(G1061&gt;0,IF(INDEX(CONFIRM!$G$5:$G$53,G1061)&lt;&gt;"",INDEX(CONFIRM!$G$5:$G$53,G1061),IF(ISNUMBER(L1061),L1061,IFERROR(DATEVALUE(L1061),""))),IF(ISNUMBER(L1061),L1061,IFERROR(DATEVALUE(L1061),"")))</f>
        <v>46151</v>
      </c>
      <c r="N1061" s="1" t="str">
        <f aca="false">IF(M1061="","Check",IF(AND(M1061&gt;=INPUTS!$C$6,M1061&lt;=INPUTS!$C$7),"Yes","No"))</f>
        <v>Yes</v>
      </c>
      <c r="O1061" s="48" t="str">
        <f aca="false">STACK!H1061</f>
        <v>Phys Therapist</v>
      </c>
      <c r="P1061" s="1" t="str">
        <f aca="false">IF(G1061&gt;0,IF(INDEX(CONFIRM!$H$5:$H$53,G1061)&lt;&gt;"",INDEX(CONFIRM!$H$5:$H$53,G1061),IFERROR(INDEX(MAP!$B$7:$B$156,MATCH(TRIM(O1061),MAP!$A$7:$A$156,0)),"UNMAPPED")),IFERROR(INDEX(MAP!$B$7:$B$156,MATCH(TRIM(O1061),MAP!$A$7:$A$156,0)),"UNMAPPED"))</f>
        <v>Licensed Therapist</v>
      </c>
      <c r="Q1061" s="48" t="n">
        <f aca="false">STACK!I1061</f>
        <v>2</v>
      </c>
      <c r="R1061" s="60" t="n">
        <f aca="false">IF(G1061&gt;0,IF(INDEX(CONFIRM!$F$5:$F$53,G1061)&lt;&gt;"",INDEX(CONFIRM!$F$5:$F$53,G1061),IF(ISNUMBER(Q1061),Q1061,IF(Q1061="","",IFERROR(VALUE(TRIM(SUBSTITUTE(SUBSTITUTE(LOWER(Q1061),"hrs",""),"hr",""))),"")))),IF(ISNUMBER(Q1061),Q1061,IF(Q1061="","",IFERROR(VALUE(TRIM(SUBSTITUTE(SUBSTITUTE(LOWER(Q1061),"hrs",""),"hr",""))),""))))</f>
        <v>2</v>
      </c>
      <c r="S1061" s="57" t="n">
        <f aca="false">IFERROR(INDEX(RATES!$E$6:$E$28,MATCH(P1061,RATES!$A$6:$A$28,0)),0)</f>
        <v>53.97</v>
      </c>
      <c r="T1061" s="61" t="n">
        <f aca="false">IF(ISNUMBER(R1061),R1061,0)*S1061</f>
        <v>107.94</v>
      </c>
      <c r="U1061" s="61" t="n">
        <f aca="false">T1061*INDEX(INPUTS!$H$10:$H$14,MATCH(B1061,INPUTS!$A$10:$A$14,0))</f>
        <v>17.05452</v>
      </c>
      <c r="V1061" s="61" t="n">
        <f aca="false">N(STACK!K1061)</f>
        <v>85</v>
      </c>
      <c r="W1061" s="61" t="n">
        <f aca="false">T1061+U1061+V1061</f>
        <v>209.99452</v>
      </c>
      <c r="X1061" s="61" t="n">
        <f aca="false">N(STACK!L1061)</f>
        <v>0</v>
      </c>
      <c r="Y1061" s="61" t="n">
        <f aca="false">W1061-X1061</f>
        <v>209.99452</v>
      </c>
      <c r="Z1061" s="1" t="n">
        <f aca="false">N(STACK!J1061)</f>
        <v>10</v>
      </c>
      <c r="AA1061" s="1" t="str">
        <f aca="false">TRIM(IF(D1061="UNMAPPED","Program not mapped. ","")&amp;IF(OR(K1061="UNMAPPED",K1061="UNASSIGNED"),"Category needs review. ","")&amp;IF(P1061="UNMAPPED","Title not mapped. ","")&amp;IF(AND(P1061&lt;&gt;"No staff time",R1061=""),"Missing hours. ","")&amp;IF(M1061="","Date not readable. ","")&amp;IF(N1061="No","Outside fiscal year. ","")&amp;IF(AND(F1061="Event",ISNUMBER(R1061)),IF(R1061&gt;12,"Event hours look high. ",""),"")&amp;IF(G1061&gt;0,"See CONFIRM sheet.",""))</f>
        <v/>
      </c>
      <c r="AB1061" s="1" t="n">
        <f aca="false">IF(N1061="No",0,IF(REVIEW!O1061=0,0,IF(G1061&gt;0,IF(INDEX(CONFIRM!$J$5:$J$53,G1061)&lt;&gt;"",INDEX(CONFIRM!$J$5:$J$53,G1061),1),1)))</f>
        <v>1</v>
      </c>
      <c r="AC1061" s="1" t="n">
        <f aca="false">IF(AB1061=1,IF(COUNTIFS($B$5:B1061,B1061,$D$5:D1061,D1061,$AB$5:AB1061,1)=1,1,0),0)</f>
        <v>0</v>
      </c>
    </row>
    <row r="1062" customFormat="false" ht="15" hidden="false" customHeight="false" outlineLevel="0" collapsed="false">
      <c r="A1062" s="48" t="str">
        <f aca="false">STACK!A1062</f>
        <v>CBH-0234</v>
      </c>
      <c r="B1062" s="48" t="str">
        <f aca="false">STACK!B1062</f>
        <v>CBH</v>
      </c>
      <c r="C1062" s="48" t="str">
        <f aca="false">STACK!E1062</f>
        <v>Smoke-Free Parks</v>
      </c>
      <c r="D1062" s="1" t="str">
        <f aca="false">IFERROR(INDEX(MAP!$J$7:$J$101,MATCH(TRIM(C1062),MAP!$I$7:$I$101,0)),"UNMAPPED")</f>
        <v>Smoke-Free Parks Advocacy</v>
      </c>
      <c r="E1062" s="1" t="str">
        <f aca="false">IFERROR(INDEX(MAP!$K$7:$K$101,MATCH(TRIM(C1062),MAP!$I$7:$I$101,0)),"")</f>
        <v>Chronic disease prevention</v>
      </c>
      <c r="F1062" s="1" t="str">
        <f aca="false">IFERROR(INDEX(MAP!$L$7:$L$101,MATCH(TRIM(C1062),MAP!$I$7:$I$101,0)),"")</f>
        <v>Event</v>
      </c>
      <c r="G1062" s="1" t="n">
        <f aca="false">IFERROR(MATCH(A1062,CONFIRM!$A$5:$A$53,0),0)</f>
        <v>0</v>
      </c>
      <c r="H1062" s="48" t="str">
        <f aca="false">STACK!F1062</f>
        <v>Advocacy</v>
      </c>
      <c r="I1062" s="1" t="str">
        <f aca="false">IF(G1062&gt;0,IF(INDEX(CONFIRM!$I$5:$I$53,G1062)&lt;&gt;"",INDEX(CONFIRM!$I$5:$I$53,G1062),H1062),H1062)</f>
        <v>Advocacy</v>
      </c>
      <c r="J1062" s="1" t="str">
        <f aca="false">IFERROR(INDEX(MAP!$F$7:$F$74,MATCH(TRIM(I1062),MAP!$E$7:$E$74,0)),"UNMAPPED")</f>
        <v>Community building: health improvement advocacy</v>
      </c>
      <c r="K1062" s="1" t="str">
        <f aca="false">IFERROR(INDEX(MAP!$G$7:$G$74,MATCH(TRIM(I1062),MAP!$E$7:$E$74,0)),"UNMAPPED")</f>
        <v>II-7</v>
      </c>
      <c r="L1062" s="49" t="str">
        <f aca="false">STACK!G1062</f>
        <v>2026-05-16</v>
      </c>
      <c r="M1062" s="59" t="n">
        <f aca="false">IF(G1062&gt;0,IF(INDEX(CONFIRM!$G$5:$G$53,G1062)&lt;&gt;"",INDEX(CONFIRM!$G$5:$G$53,G1062),IF(ISNUMBER(L1062),L1062,IFERROR(DATEVALUE(L1062),""))),IF(ISNUMBER(L1062),L1062,IFERROR(DATEVALUE(L1062),"")))</f>
        <v>46158</v>
      </c>
      <c r="N1062" s="1" t="str">
        <f aca="false">IF(M1062="","Check",IF(AND(M1062&gt;=INPUTS!$C$6,M1062&lt;=INPUTS!$C$7),"Yes","No"))</f>
        <v>Yes</v>
      </c>
      <c r="O1062" s="48" t="str">
        <f aca="false">STACK!H1062</f>
        <v>Sr Director</v>
      </c>
      <c r="P1062" s="1" t="str">
        <f aca="false">IF(G1062&gt;0,IF(INDEX(CONFIRM!$H$5:$H$53,G1062)&lt;&gt;"",INDEX(CONFIRM!$H$5:$H$53,G1062),IFERROR(INDEX(MAP!$B$7:$B$156,MATCH(TRIM(O1062),MAP!$A$7:$A$156,0)),"UNMAPPED")),IFERROR(INDEX(MAP!$B$7:$B$156,MATCH(TRIM(O1062),MAP!$A$7:$A$156,0)),"UNMAPPED"))</f>
        <v>Director</v>
      </c>
      <c r="Q1062" s="48" t="n">
        <f aca="false">STACK!I1062</f>
        <v>1.5</v>
      </c>
      <c r="R1062" s="60" t="n">
        <f aca="false">IF(G1062&gt;0,IF(INDEX(CONFIRM!$F$5:$F$53,G1062)&lt;&gt;"",INDEX(CONFIRM!$F$5:$F$53,G1062),IF(ISNUMBER(Q1062),Q1062,IF(Q1062="","",IFERROR(VALUE(TRIM(SUBSTITUTE(SUBSTITUTE(LOWER(Q1062),"hrs",""),"hr",""))),"")))),IF(ISNUMBER(Q1062),Q1062,IF(Q1062="","",IFERROR(VALUE(TRIM(SUBSTITUTE(SUBSTITUTE(LOWER(Q1062),"hrs",""),"hr",""))),""))))</f>
        <v>1.5</v>
      </c>
      <c r="S1062" s="57" t="n">
        <f aca="false">IFERROR(INDEX(RATES!$E$6:$E$28,MATCH(P1062,RATES!$A$6:$A$28,0)),0)</f>
        <v>92.52</v>
      </c>
      <c r="T1062" s="61" t="n">
        <f aca="false">IF(ISNUMBER(R1062),R1062,0)*S1062</f>
        <v>138.78</v>
      </c>
      <c r="U1062" s="61" t="n">
        <f aca="false">T1062*INDEX(INPUTS!$H$10:$H$14,MATCH(B1062,INPUTS!$A$10:$A$14,0))</f>
        <v>21.92724</v>
      </c>
      <c r="V1062" s="61" t="n">
        <f aca="false">N(STACK!K1062)</f>
        <v>0</v>
      </c>
      <c r="W1062" s="61" t="n">
        <f aca="false">T1062+U1062+V1062</f>
        <v>160.70724</v>
      </c>
      <c r="X1062" s="61" t="n">
        <f aca="false">N(STACK!L1062)</f>
        <v>0</v>
      </c>
      <c r="Y1062" s="61" t="n">
        <f aca="false">W1062-X1062</f>
        <v>160.70724</v>
      </c>
      <c r="Z1062" s="1" t="n">
        <f aca="false">N(STACK!J1062)</f>
        <v>0</v>
      </c>
      <c r="AA1062" s="1" t="str">
        <f aca="false">TRIM(IF(D1062="UNMAPPED","Program not mapped. ","")&amp;IF(OR(K1062="UNMAPPED",K1062="UNASSIGNED"),"Category needs review. ","")&amp;IF(P1062="UNMAPPED","Title not mapped. ","")&amp;IF(AND(P1062&lt;&gt;"No staff time",R1062=""),"Missing hours. ","")&amp;IF(M1062="","Date not readable. ","")&amp;IF(N1062="No","Outside fiscal year. ","")&amp;IF(AND(F1062="Event",ISNUMBER(R1062)),IF(R1062&gt;12,"Event hours look high. ",""),"")&amp;IF(G1062&gt;0,"See CONFIRM sheet.",""))</f>
        <v/>
      </c>
      <c r="AB1062" s="1" t="n">
        <f aca="false">IF(N1062="No",0,IF(REVIEW!O1062=0,0,IF(G1062&gt;0,IF(INDEX(CONFIRM!$J$5:$J$53,G1062)&lt;&gt;"",INDEX(CONFIRM!$J$5:$J$53,G1062),1),1)))</f>
        <v>1</v>
      </c>
      <c r="AC1062" s="1" t="n">
        <f aca="false">IF(AB1062=1,IF(COUNTIFS($B$5:B1062,B1062,$D$5:D1062,D1062,$AB$5:AB1062,1)=1,1,0),0)</f>
        <v>0</v>
      </c>
    </row>
    <row r="1063" customFormat="false" ht="15" hidden="false" customHeight="false" outlineLevel="0" collapsed="false">
      <c r="A1063" s="48" t="str">
        <f aca="false">STACK!A1063</f>
        <v>CBH-0235</v>
      </c>
      <c r="B1063" s="48" t="str">
        <f aca="false">STACK!B1063</f>
        <v>CBH</v>
      </c>
      <c r="C1063" s="48" t="str">
        <f aca="false">STACK!E1063</f>
        <v>Smoke-Free Parks</v>
      </c>
      <c r="D1063" s="1" t="str">
        <f aca="false">IFERROR(INDEX(MAP!$J$7:$J$101,MATCH(TRIM(C1063),MAP!$I$7:$I$101,0)),"UNMAPPED")</f>
        <v>Smoke-Free Parks Advocacy</v>
      </c>
      <c r="E1063" s="1" t="str">
        <f aca="false">IFERROR(INDEX(MAP!$K$7:$K$101,MATCH(TRIM(C1063),MAP!$I$7:$I$101,0)),"")</f>
        <v>Chronic disease prevention</v>
      </c>
      <c r="F1063" s="1" t="str">
        <f aca="false">IFERROR(INDEX(MAP!$L$7:$L$101,MATCH(TRIM(C1063),MAP!$I$7:$I$101,0)),"")</f>
        <v>Event</v>
      </c>
      <c r="G1063" s="1" t="n">
        <f aca="false">IFERROR(MATCH(A1063,CONFIRM!$A$5:$A$53,0),0)</f>
        <v>0</v>
      </c>
      <c r="H1063" s="48" t="str">
        <f aca="false">STACK!F1063</f>
        <v>Advocacy</v>
      </c>
      <c r="I1063" s="1" t="str">
        <f aca="false">IF(G1063&gt;0,IF(INDEX(CONFIRM!$I$5:$I$53,G1063)&lt;&gt;"",INDEX(CONFIRM!$I$5:$I$53,G1063),H1063),H1063)</f>
        <v>Advocacy</v>
      </c>
      <c r="J1063" s="1" t="str">
        <f aca="false">IFERROR(INDEX(MAP!$F$7:$F$74,MATCH(TRIM(I1063),MAP!$E$7:$E$74,0)),"UNMAPPED")</f>
        <v>Community building: health improvement advocacy</v>
      </c>
      <c r="K1063" s="1" t="str">
        <f aca="false">IFERROR(INDEX(MAP!$G$7:$G$74,MATCH(TRIM(I1063),MAP!$E$7:$E$74,0)),"UNMAPPED")</f>
        <v>II-7</v>
      </c>
      <c r="L1063" s="49" t="str">
        <f aca="false">STACK!G1063</f>
        <v>2026-05-16</v>
      </c>
      <c r="M1063" s="59" t="n">
        <f aca="false">IF(G1063&gt;0,IF(INDEX(CONFIRM!$G$5:$G$53,G1063)&lt;&gt;"",INDEX(CONFIRM!$G$5:$G$53,G1063),IF(ISNUMBER(L1063),L1063,IFERROR(DATEVALUE(L1063),""))),IF(ISNUMBER(L1063),L1063,IFERROR(DATEVALUE(L1063),"")))</f>
        <v>46158</v>
      </c>
      <c r="N1063" s="1" t="str">
        <f aca="false">IF(M1063="","Check",IF(AND(M1063&gt;=INPUTS!$C$6,M1063&lt;=INPUTS!$C$7),"Yes","No"))</f>
        <v>Yes</v>
      </c>
      <c r="O1063" s="48" t="str">
        <f aca="false">STACK!H1063</f>
        <v>Health Ed</v>
      </c>
      <c r="P1063" s="1" t="str">
        <f aca="false">IF(G1063&gt;0,IF(INDEX(CONFIRM!$H$5:$H$53,G1063)&lt;&gt;"",INDEX(CONFIRM!$H$5:$H$53,G1063),IFERROR(INDEX(MAP!$B$7:$B$156,MATCH(TRIM(O1063),MAP!$A$7:$A$156,0)),"UNMAPPED")),IFERROR(INDEX(MAP!$B$7:$B$156,MATCH(TRIM(O1063),MAP!$A$7:$A$156,0)),"UNMAPPED"))</f>
        <v>Health Educator</v>
      </c>
      <c r="Q1063" s="48" t="n">
        <f aca="false">STACK!I1063</f>
        <v>4.5</v>
      </c>
      <c r="R1063" s="60" t="n">
        <f aca="false">IF(G1063&gt;0,IF(INDEX(CONFIRM!$F$5:$F$53,G1063)&lt;&gt;"",INDEX(CONFIRM!$F$5:$F$53,G1063),IF(ISNUMBER(Q1063),Q1063,IF(Q1063="","",IFERROR(VALUE(TRIM(SUBSTITUTE(SUBSTITUTE(LOWER(Q1063),"hrs",""),"hr",""))),"")))),IF(ISNUMBER(Q1063),Q1063,IF(Q1063="","",IFERROR(VALUE(TRIM(SUBSTITUTE(SUBSTITUTE(LOWER(Q1063),"hrs",""),"hr",""))),""))))</f>
        <v>4.5</v>
      </c>
      <c r="S1063" s="57" t="n">
        <f aca="false">IFERROR(INDEX(RATES!$E$6:$E$28,MATCH(P1063,RATES!$A$6:$A$28,0)),0)</f>
        <v>37.265</v>
      </c>
      <c r="T1063" s="61" t="n">
        <f aca="false">IF(ISNUMBER(R1063),R1063,0)*S1063</f>
        <v>167.6925</v>
      </c>
      <c r="U1063" s="61" t="n">
        <f aca="false">T1063*INDEX(INPUTS!$H$10:$H$14,MATCH(B1063,INPUTS!$A$10:$A$14,0))</f>
        <v>26.495415</v>
      </c>
      <c r="V1063" s="61" t="n">
        <f aca="false">N(STACK!K1063)</f>
        <v>485</v>
      </c>
      <c r="W1063" s="61" t="n">
        <f aca="false">T1063+U1063+V1063</f>
        <v>679.187915</v>
      </c>
      <c r="X1063" s="61" t="n">
        <f aca="false">N(STACK!L1063)</f>
        <v>0</v>
      </c>
      <c r="Y1063" s="61" t="n">
        <f aca="false">W1063-X1063</f>
        <v>679.187915</v>
      </c>
      <c r="Z1063" s="1" t="n">
        <f aca="false">N(STACK!J1063)</f>
        <v>0</v>
      </c>
      <c r="AA1063" s="1" t="str">
        <f aca="false">TRIM(IF(D1063="UNMAPPED","Program not mapped. ","")&amp;IF(OR(K1063="UNMAPPED",K1063="UNASSIGNED"),"Category needs review. ","")&amp;IF(P1063="UNMAPPED","Title not mapped. ","")&amp;IF(AND(P1063&lt;&gt;"No staff time",R1063=""),"Missing hours. ","")&amp;IF(M1063="","Date not readable. ","")&amp;IF(N1063="No","Outside fiscal year. ","")&amp;IF(AND(F1063="Event",ISNUMBER(R1063)),IF(R1063&gt;12,"Event hours look high. ",""),"")&amp;IF(G1063&gt;0,"See CONFIRM sheet.",""))</f>
        <v/>
      </c>
      <c r="AB1063" s="1" t="n">
        <f aca="false">IF(N1063="No",0,IF(REVIEW!O1063=0,0,IF(G1063&gt;0,IF(INDEX(CONFIRM!$J$5:$J$53,G1063)&lt;&gt;"",INDEX(CONFIRM!$J$5:$J$53,G1063),1),1)))</f>
        <v>1</v>
      </c>
      <c r="AC1063" s="1" t="n">
        <f aca="false">IF(AB1063=1,IF(COUNTIFS($B$5:B1063,B1063,$D$5:D1063,D1063,$AB$5:AB1063,1)=1,1,0),0)</f>
        <v>0</v>
      </c>
    </row>
    <row r="1064" customFormat="false" ht="15" hidden="false" customHeight="false" outlineLevel="0" collapsed="false">
      <c r="A1064" s="48" t="str">
        <f aca="false">STACK!A1064</f>
        <v>CBH-0236</v>
      </c>
      <c r="B1064" s="48" t="str">
        <f aca="false">STACK!B1064</f>
        <v>CBH</v>
      </c>
      <c r="C1064" s="48" t="str">
        <f aca="false">STACK!E1064</f>
        <v>Prenatal &amp; Newborn Classes</v>
      </c>
      <c r="D1064" s="1" t="str">
        <f aca="false">IFERROR(INDEX(MAP!$J$7:$J$101,MATCH(TRIM(C1064),MAP!$I$7:$I$101,0)),"UNMAPPED")</f>
        <v>Childbirth and Newborn Care Classes</v>
      </c>
      <c r="E1064" s="1" t="str">
        <f aca="false">IFERROR(INDEX(MAP!$K$7:$K$101,MATCH(TRIM(C1064),MAP!$I$7:$I$101,0)),"")</f>
        <v>Maternal and child health</v>
      </c>
      <c r="F1064" s="1" t="str">
        <f aca="false">IFERROR(INDEX(MAP!$L$7:$L$101,MATCH(TRIM(C1064),MAP!$I$7:$I$101,0)),"")</f>
        <v>Event</v>
      </c>
      <c r="G1064" s="1" t="n">
        <f aca="false">IFERROR(MATCH(A1064,CONFIRM!$A$5:$A$53,0),0)</f>
        <v>0</v>
      </c>
      <c r="H1064" s="48" t="str">
        <f aca="false">STACK!F1064</f>
        <v>Health Education</v>
      </c>
      <c r="I1064" s="1" t="str">
        <f aca="false">IF(G1064&gt;0,IF(INDEX(CONFIRM!$I$5:$I$53,G1064)&lt;&gt;"",INDEX(CONFIRM!$I$5:$I$53,G1064),H1064),H1064)</f>
        <v>Health Education</v>
      </c>
      <c r="J1064" s="1" t="str">
        <f aca="false">IFERROR(INDEX(MAP!$F$7:$F$74,MATCH(TRIM(I1064),MAP!$E$7:$E$74,0)),"UNMAPPED")</f>
        <v>Community health education</v>
      </c>
      <c r="K1064" s="1" t="str">
        <f aca="false">IFERROR(INDEX(MAP!$G$7:$G$74,MATCH(TRIM(I1064),MAP!$E$7:$E$74,0)),"UNMAPPED")</f>
        <v>7e</v>
      </c>
      <c r="L1064" s="49" t="str">
        <f aca="false">STACK!G1064</f>
        <v>2026-05-18</v>
      </c>
      <c r="M1064" s="59" t="n">
        <f aca="false">IF(G1064&gt;0,IF(INDEX(CONFIRM!$G$5:$G$53,G1064)&lt;&gt;"",INDEX(CONFIRM!$G$5:$G$53,G1064),IF(ISNUMBER(L1064),L1064,IFERROR(DATEVALUE(L1064),""))),IF(ISNUMBER(L1064),L1064,IFERROR(DATEVALUE(L1064),"")))</f>
        <v>46160</v>
      </c>
      <c r="N1064" s="1" t="str">
        <f aca="false">IF(M1064="","Check",IF(AND(M1064&gt;=INPUTS!$C$6,M1064&lt;=INPUTS!$C$7),"Yes","No"))</f>
        <v>Yes</v>
      </c>
      <c r="O1064" s="48" t="str">
        <f aca="false">STACK!H1064</f>
        <v>Educator, Nursing</v>
      </c>
      <c r="P1064" s="1" t="str">
        <f aca="false">IF(G1064&gt;0,IF(INDEX(CONFIRM!$H$5:$H$53,G1064)&lt;&gt;"",INDEX(CONFIRM!$H$5:$H$53,G1064),IFERROR(INDEX(MAP!$B$7:$B$156,MATCH(TRIM(O1064),MAP!$A$7:$A$156,0)),"UNMAPPED")),IFERROR(INDEX(MAP!$B$7:$B$156,MATCH(TRIM(O1064),MAP!$A$7:$A$156,0)),"UNMAPPED"))</f>
        <v>Clinical Nurse Educator</v>
      </c>
      <c r="Q1064" s="48" t="n">
        <f aca="false">STACK!I1064</f>
        <v>3.5</v>
      </c>
      <c r="R1064" s="60" t="n">
        <f aca="false">IF(G1064&gt;0,IF(INDEX(CONFIRM!$F$5:$F$53,G1064)&lt;&gt;"",INDEX(CONFIRM!$F$5:$F$53,G1064),IF(ISNUMBER(Q1064),Q1064,IF(Q1064="","",IFERROR(VALUE(TRIM(SUBSTITUTE(SUBSTITUTE(LOWER(Q1064),"hrs",""),"hr",""))),"")))),IF(ISNUMBER(Q1064),Q1064,IF(Q1064="","",IFERROR(VALUE(TRIM(SUBSTITUTE(SUBSTITUTE(LOWER(Q1064),"hrs",""),"hr",""))),""))))</f>
        <v>3.5</v>
      </c>
      <c r="S1064" s="57" t="n">
        <f aca="false">IFERROR(INDEX(RATES!$E$6:$E$28,MATCH(P1064,RATES!$A$6:$A$28,0)),0)</f>
        <v>62.965</v>
      </c>
      <c r="T1064" s="61" t="n">
        <f aca="false">IF(ISNUMBER(R1064),R1064,0)*S1064</f>
        <v>220.3775</v>
      </c>
      <c r="U1064" s="61" t="n">
        <f aca="false">T1064*INDEX(INPUTS!$H$10:$H$14,MATCH(B1064,INPUTS!$A$10:$A$14,0))</f>
        <v>34.819645</v>
      </c>
      <c r="V1064" s="61" t="n">
        <f aca="false">N(STACK!K1064)</f>
        <v>165</v>
      </c>
      <c r="W1064" s="61" t="n">
        <f aca="false">T1064+U1064+V1064</f>
        <v>420.197145</v>
      </c>
      <c r="X1064" s="61" t="n">
        <f aca="false">N(STACK!L1064)</f>
        <v>360</v>
      </c>
      <c r="Y1064" s="61" t="n">
        <f aca="false">W1064-X1064</f>
        <v>60.197145</v>
      </c>
      <c r="Z1064" s="1" t="n">
        <f aca="false">N(STACK!J1064)</f>
        <v>18</v>
      </c>
      <c r="AA1064" s="1" t="str">
        <f aca="false">TRIM(IF(D1064="UNMAPPED","Program not mapped. ","")&amp;IF(OR(K1064="UNMAPPED",K1064="UNASSIGNED"),"Category needs review. ","")&amp;IF(P1064="UNMAPPED","Title not mapped. ","")&amp;IF(AND(P1064&lt;&gt;"No staff time",R1064=""),"Missing hours. ","")&amp;IF(M1064="","Date not readable. ","")&amp;IF(N1064="No","Outside fiscal year. ","")&amp;IF(AND(F1064="Event",ISNUMBER(R1064)),IF(R1064&gt;12,"Event hours look high. ",""),"")&amp;IF(G1064&gt;0,"See CONFIRM sheet.",""))</f>
        <v/>
      </c>
      <c r="AB1064" s="1" t="n">
        <f aca="false">IF(N1064="No",0,IF(REVIEW!O1064=0,0,IF(G1064&gt;0,IF(INDEX(CONFIRM!$J$5:$J$53,G1064)&lt;&gt;"",INDEX(CONFIRM!$J$5:$J$53,G1064),1),1)))</f>
        <v>1</v>
      </c>
      <c r="AC1064" s="1" t="n">
        <f aca="false">IF(AB1064=1,IF(COUNTIFS($B$5:B1064,B1064,$D$5:D1064,D1064,$AB$5:AB1064,1)=1,1,0),0)</f>
        <v>0</v>
      </c>
    </row>
    <row r="1065" customFormat="false" ht="15" hidden="false" customHeight="false" outlineLevel="0" collapsed="false">
      <c r="A1065" s="48" t="str">
        <f aca="false">STACK!A1065</f>
        <v>CBH-0237</v>
      </c>
      <c r="B1065" s="48" t="str">
        <f aca="false">STACK!B1065</f>
        <v>CBH</v>
      </c>
      <c r="C1065" s="48" t="str">
        <f aca="false">STACK!E1065</f>
        <v>Bereavement Group</v>
      </c>
      <c r="D1065" s="1" t="str">
        <f aca="false">IFERROR(INDEX(MAP!$J$7:$J$101,MATCH(TRIM(C1065),MAP!$I$7:$I$101,0)),"UNMAPPED")</f>
        <v>Grief Support Group</v>
      </c>
      <c r="E1065" s="1" t="str">
        <f aca="false">IFERROR(INDEX(MAP!$K$7:$K$101,MATCH(TRIM(C1065),MAP!$I$7:$I$101,0)),"")</f>
        <v>Behavioral health</v>
      </c>
      <c r="F1065" s="1" t="str">
        <f aca="false">IFERROR(INDEX(MAP!$L$7:$L$101,MATCH(TRIM(C1065),MAP!$I$7:$I$101,0)),"")</f>
        <v>Event</v>
      </c>
      <c r="G1065" s="1" t="n">
        <f aca="false">IFERROR(MATCH(A1065,CONFIRM!$A$5:$A$53,0),0)</f>
        <v>0</v>
      </c>
      <c r="H1065" s="48" t="str">
        <f aca="false">STACK!F1065</f>
        <v>Patient Support</v>
      </c>
      <c r="I1065" s="1" t="str">
        <f aca="false">IF(G1065&gt;0,IF(INDEX(CONFIRM!$I$5:$I$53,G1065)&lt;&gt;"",INDEX(CONFIRM!$I$5:$I$53,G1065),H1065),H1065)</f>
        <v>Patient Support</v>
      </c>
      <c r="J1065" s="1" t="str">
        <f aca="false">IFERROR(INDEX(MAP!$F$7:$F$74,MATCH(TRIM(I1065),MAP!$E$7:$E$74,0)),"UNMAPPED")</f>
        <v>Health care support services</v>
      </c>
      <c r="K1065" s="1" t="str">
        <f aca="false">IFERROR(INDEX(MAP!$G$7:$G$74,MATCH(TRIM(I1065),MAP!$E$7:$E$74,0)),"UNMAPPED")</f>
        <v>7e</v>
      </c>
      <c r="L1065" s="49" t="str">
        <f aca="false">STACK!G1065</f>
        <v>2026-05-19</v>
      </c>
      <c r="M1065" s="59" t="n">
        <f aca="false">IF(G1065&gt;0,IF(INDEX(CONFIRM!$G$5:$G$53,G1065)&lt;&gt;"",INDEX(CONFIRM!$G$5:$G$53,G1065),IF(ISNUMBER(L1065),L1065,IFERROR(DATEVALUE(L1065),""))),IF(ISNUMBER(L1065),L1065,IFERROR(DATEVALUE(L1065),"")))</f>
        <v>46161</v>
      </c>
      <c r="N1065" s="1" t="str">
        <f aca="false">IF(M1065="","Check",IF(AND(M1065&gt;=INPUTS!$C$6,M1065&lt;=INPUTS!$C$7),"Yes","No"))</f>
        <v>Yes</v>
      </c>
      <c r="O1065" s="48" t="str">
        <f aca="false">STACK!H1065</f>
        <v>Chaplain</v>
      </c>
      <c r="P1065" s="1" t="str">
        <f aca="false">IF(G1065&gt;0,IF(INDEX(CONFIRM!$H$5:$H$53,G1065)&lt;&gt;"",INDEX(CONFIRM!$H$5:$H$53,G1065),IFERROR(INDEX(MAP!$B$7:$B$156,MATCH(TRIM(O1065),MAP!$A$7:$A$156,0)),"UNMAPPED")),IFERROR(INDEX(MAP!$B$7:$B$156,MATCH(TRIM(O1065),MAP!$A$7:$A$156,0)),"UNMAPPED"))</f>
        <v>Chaplain</v>
      </c>
      <c r="Q1065" s="48" t="n">
        <f aca="false">STACK!I1065</f>
        <v>2</v>
      </c>
      <c r="R1065" s="60" t="n">
        <f aca="false">IF(G1065&gt;0,IF(INDEX(CONFIRM!$F$5:$F$53,G1065)&lt;&gt;"",INDEX(CONFIRM!$F$5:$F$53,G1065),IF(ISNUMBER(Q1065),Q1065,IF(Q1065="","",IFERROR(VALUE(TRIM(SUBSTITUTE(SUBSTITUTE(LOWER(Q1065),"hrs",""),"hr",""))),"")))),IF(ISNUMBER(Q1065),Q1065,IF(Q1065="","",IFERROR(VALUE(TRIM(SUBSTITUTE(SUBSTITUTE(LOWER(Q1065),"hrs",""),"hr",""))),""))))</f>
        <v>2</v>
      </c>
      <c r="S1065" s="57" t="n">
        <f aca="false">IFERROR(INDEX(RATES!$E$6:$E$28,MATCH(P1065,RATES!$A$6:$A$28,0)),0)</f>
        <v>39.835</v>
      </c>
      <c r="T1065" s="61" t="n">
        <f aca="false">IF(ISNUMBER(R1065),R1065,0)*S1065</f>
        <v>79.67</v>
      </c>
      <c r="U1065" s="61" t="n">
        <f aca="false">T1065*INDEX(INPUTS!$H$10:$H$14,MATCH(B1065,INPUTS!$A$10:$A$14,0))</f>
        <v>12.58786</v>
      </c>
      <c r="V1065" s="61" t="n">
        <f aca="false">N(STACK!K1065)</f>
        <v>60</v>
      </c>
      <c r="W1065" s="61" t="n">
        <f aca="false">T1065+U1065+V1065</f>
        <v>152.25786</v>
      </c>
      <c r="X1065" s="61" t="n">
        <f aca="false">N(STACK!L1065)</f>
        <v>0</v>
      </c>
      <c r="Y1065" s="61" t="n">
        <f aca="false">W1065-X1065</f>
        <v>152.25786</v>
      </c>
      <c r="Z1065" s="1" t="n">
        <f aca="false">N(STACK!J1065)</f>
        <v>15</v>
      </c>
      <c r="AA1065" s="1" t="str">
        <f aca="false">TRIM(IF(D1065="UNMAPPED","Program not mapped. ","")&amp;IF(OR(K1065="UNMAPPED",K1065="UNASSIGNED"),"Category needs review. ","")&amp;IF(P1065="UNMAPPED","Title not mapped. ","")&amp;IF(AND(P1065&lt;&gt;"No staff time",R1065=""),"Missing hours. ","")&amp;IF(M1065="","Date not readable. ","")&amp;IF(N1065="No","Outside fiscal year. ","")&amp;IF(AND(F1065="Event",ISNUMBER(R1065)),IF(R1065&gt;12,"Event hours look high. ",""),"")&amp;IF(G1065&gt;0,"See CONFIRM sheet.",""))</f>
        <v/>
      </c>
      <c r="AB1065" s="1" t="n">
        <f aca="false">IF(N1065="No",0,IF(REVIEW!O1065=0,0,IF(G1065&gt;0,IF(INDEX(CONFIRM!$J$5:$J$53,G1065)&lt;&gt;"",INDEX(CONFIRM!$J$5:$J$53,G1065),1),1)))</f>
        <v>1</v>
      </c>
      <c r="AC1065" s="1" t="n">
        <f aca="false">IF(AB1065=1,IF(COUNTIFS($B$5:B1065,B1065,$D$5:D1065,D1065,$AB$5:AB1065,1)=1,1,0),0)</f>
        <v>0</v>
      </c>
    </row>
    <row r="1066" customFormat="false" ht="15" hidden="false" customHeight="false" outlineLevel="0" collapsed="false">
      <c r="A1066" s="48" t="str">
        <f aca="false">STACK!A1066</f>
        <v>CBH-0238</v>
      </c>
      <c r="B1066" s="48" t="str">
        <f aca="false">STACK!B1066</f>
        <v>CBH</v>
      </c>
      <c r="C1066" s="48" t="str">
        <f aca="false">STACK!E1066</f>
        <v>Bereavement Group</v>
      </c>
      <c r="D1066" s="1" t="str">
        <f aca="false">IFERROR(INDEX(MAP!$J$7:$J$101,MATCH(TRIM(C1066),MAP!$I$7:$I$101,0)),"UNMAPPED")</f>
        <v>Grief Support Group</v>
      </c>
      <c r="E1066" s="1" t="str">
        <f aca="false">IFERROR(INDEX(MAP!$K$7:$K$101,MATCH(TRIM(C1066),MAP!$I$7:$I$101,0)),"")</f>
        <v>Behavioral health</v>
      </c>
      <c r="F1066" s="1" t="str">
        <f aca="false">IFERROR(INDEX(MAP!$L$7:$L$101,MATCH(TRIM(C1066),MAP!$I$7:$I$101,0)),"")</f>
        <v>Event</v>
      </c>
      <c r="G1066" s="1" t="n">
        <f aca="false">IFERROR(MATCH(A1066,CONFIRM!$A$5:$A$53,0),0)</f>
        <v>0</v>
      </c>
      <c r="H1066" s="48" t="str">
        <f aca="false">STACK!F1066</f>
        <v>Patient Support</v>
      </c>
      <c r="I1066" s="1" t="str">
        <f aca="false">IF(G1066&gt;0,IF(INDEX(CONFIRM!$I$5:$I$53,G1066)&lt;&gt;"",INDEX(CONFIRM!$I$5:$I$53,G1066),H1066),H1066)</f>
        <v>Patient Support</v>
      </c>
      <c r="J1066" s="1" t="str">
        <f aca="false">IFERROR(INDEX(MAP!$F$7:$F$74,MATCH(TRIM(I1066),MAP!$E$7:$E$74,0)),"UNMAPPED")</f>
        <v>Health care support services</v>
      </c>
      <c r="K1066" s="1" t="str">
        <f aca="false">IFERROR(INDEX(MAP!$G$7:$G$74,MATCH(TRIM(I1066),MAP!$E$7:$E$74,0)),"UNMAPPED")</f>
        <v>7e</v>
      </c>
      <c r="L1066" s="49" t="str">
        <f aca="false">STACK!G1066</f>
        <v>2026-05-19</v>
      </c>
      <c r="M1066" s="59" t="n">
        <f aca="false">IF(G1066&gt;0,IF(INDEX(CONFIRM!$G$5:$G$53,G1066)&lt;&gt;"",INDEX(CONFIRM!$G$5:$G$53,G1066),IF(ISNUMBER(L1066),L1066,IFERROR(DATEVALUE(L1066),""))),IF(ISNUMBER(L1066),L1066,IFERROR(DATEVALUE(L1066),"")))</f>
        <v>46161</v>
      </c>
      <c r="N1066" s="1" t="str">
        <f aca="false">IF(M1066="","Check",IF(AND(M1066&gt;=INPUTS!$C$6,M1066&lt;=INPUTS!$C$7),"Yes","No"))</f>
        <v>Yes</v>
      </c>
      <c r="O1066" s="48" t="str">
        <f aca="false">STACK!H1066</f>
        <v>Social Work </v>
      </c>
      <c r="P1066" s="1" t="str">
        <f aca="false">IF(G1066&gt;0,IF(INDEX(CONFIRM!$H$5:$H$53,G1066)&lt;&gt;"",INDEX(CONFIRM!$H$5:$H$53,G1066),IFERROR(INDEX(MAP!$B$7:$B$156,MATCH(TRIM(O1066),MAP!$A$7:$A$156,0)),"UNMAPPED")),IFERROR(INDEX(MAP!$B$7:$B$156,MATCH(TRIM(O1066),MAP!$A$7:$A$156,0)),"UNMAPPED"))</f>
        <v>Social Worker</v>
      </c>
      <c r="Q1066" s="48" t="n">
        <f aca="false">STACK!I1066</f>
        <v>1.75</v>
      </c>
      <c r="R1066" s="60" t="n">
        <f aca="false">IF(G1066&gt;0,IF(INDEX(CONFIRM!$F$5:$F$53,G1066)&lt;&gt;"",INDEX(CONFIRM!$F$5:$F$53,G1066),IF(ISNUMBER(Q1066),Q1066,IF(Q1066="","",IFERROR(VALUE(TRIM(SUBSTITUTE(SUBSTITUTE(LOWER(Q1066),"hrs",""),"hr",""))),"")))),IF(ISNUMBER(Q1066),Q1066,IF(Q1066="","",IFERROR(VALUE(TRIM(SUBSTITUTE(SUBSTITUTE(LOWER(Q1066),"hrs",""),"hr",""))),""))))</f>
        <v>1.75</v>
      </c>
      <c r="S1066" s="57" t="n">
        <f aca="false">IFERROR(INDEX(RATES!$E$6:$E$28,MATCH(P1066,RATES!$A$6:$A$28,0)),0)</f>
        <v>45.6175</v>
      </c>
      <c r="T1066" s="61" t="n">
        <f aca="false">IF(ISNUMBER(R1066),R1066,0)*S1066</f>
        <v>79.830625</v>
      </c>
      <c r="U1066" s="61" t="n">
        <f aca="false">T1066*INDEX(INPUTS!$H$10:$H$14,MATCH(B1066,INPUTS!$A$10:$A$14,0))</f>
        <v>12.61323875</v>
      </c>
      <c r="V1066" s="61" t="n">
        <f aca="false">N(STACK!K1066)</f>
        <v>0</v>
      </c>
      <c r="W1066" s="61" t="n">
        <f aca="false">T1066+U1066+V1066</f>
        <v>92.44386375</v>
      </c>
      <c r="X1066" s="61" t="n">
        <f aca="false">N(STACK!L1066)</f>
        <v>0</v>
      </c>
      <c r="Y1066" s="61" t="n">
        <f aca="false">W1066-X1066</f>
        <v>92.44386375</v>
      </c>
      <c r="Z1066" s="1" t="n">
        <f aca="false">N(STACK!J1066)</f>
        <v>0</v>
      </c>
      <c r="AA1066" s="1" t="str">
        <f aca="false">TRIM(IF(D1066="UNMAPPED","Program not mapped. ","")&amp;IF(OR(K1066="UNMAPPED",K1066="UNASSIGNED"),"Category needs review. ","")&amp;IF(P1066="UNMAPPED","Title not mapped. ","")&amp;IF(AND(P1066&lt;&gt;"No staff time",R1066=""),"Missing hours. ","")&amp;IF(M1066="","Date not readable. ","")&amp;IF(N1066="No","Outside fiscal year. ","")&amp;IF(AND(F1066="Event",ISNUMBER(R1066)),IF(R1066&gt;12,"Event hours look high. ",""),"")&amp;IF(G1066&gt;0,"See CONFIRM sheet.",""))</f>
        <v/>
      </c>
      <c r="AB1066" s="1" t="n">
        <f aca="false">IF(N1066="No",0,IF(REVIEW!O1066=0,0,IF(G1066&gt;0,IF(INDEX(CONFIRM!$J$5:$J$53,G1066)&lt;&gt;"",INDEX(CONFIRM!$J$5:$J$53,G1066),1),1)))</f>
        <v>1</v>
      </c>
      <c r="AC1066" s="1" t="n">
        <f aca="false">IF(AB1066=1,IF(COUNTIFS($B$5:B1066,B1066,$D$5:D1066,D1066,$AB$5:AB1066,1)=1,1,0),0)</f>
        <v>0</v>
      </c>
    </row>
    <row r="1067" customFormat="false" ht="15" hidden="false" customHeight="false" outlineLevel="0" collapsed="false">
      <c r="A1067" s="48" t="str">
        <f aca="false">STACK!A1067</f>
        <v>CBH-0239</v>
      </c>
      <c r="B1067" s="48" t="str">
        <f aca="false">STACK!B1067</f>
        <v>CBH</v>
      </c>
      <c r="C1067" s="48" t="str">
        <f aca="false">STACK!E1067</f>
        <v>Blood Pressure Screening</v>
      </c>
      <c r="D1067" s="1" t="str">
        <f aca="false">IFERROR(INDEX(MAP!$J$7:$J$101,MATCH(TRIM(C1067),MAP!$I$7:$I$101,0)),"UNMAPPED")</f>
        <v>Community Blood Pressure Checks</v>
      </c>
      <c r="E1067" s="1" t="str">
        <f aca="false">IFERROR(INDEX(MAP!$K$7:$K$101,MATCH(TRIM(C1067),MAP!$I$7:$I$101,0)),"")</f>
        <v>Chronic disease prevention</v>
      </c>
      <c r="F1067" s="1" t="str">
        <f aca="false">IFERROR(INDEX(MAP!$L$7:$L$101,MATCH(TRIM(C1067),MAP!$I$7:$I$101,0)),"")</f>
        <v>Event</v>
      </c>
      <c r="G1067" s="1" t="n">
        <f aca="false">IFERROR(MATCH(A1067,CONFIRM!$A$5:$A$53,0),0)</f>
        <v>0</v>
      </c>
      <c r="H1067" s="48" t="str">
        <f aca="false">STACK!F1067</f>
        <v>Screenings</v>
      </c>
      <c r="I1067" s="1" t="str">
        <f aca="false">IF(G1067&gt;0,IF(INDEX(CONFIRM!$I$5:$I$53,G1067)&lt;&gt;"",INDEX(CONFIRM!$I$5:$I$53,G1067),H1067),H1067)</f>
        <v>Screenings</v>
      </c>
      <c r="J1067" s="1" t="str">
        <f aca="false">IFERROR(INDEX(MAP!$F$7:$F$74,MATCH(TRIM(I1067),MAP!$E$7:$E$74,0)),"UNMAPPED")</f>
        <v>Community-based clinical services</v>
      </c>
      <c r="K1067" s="1" t="str">
        <f aca="false">IFERROR(INDEX(MAP!$G$7:$G$74,MATCH(TRIM(I1067),MAP!$E$7:$E$74,0)),"UNMAPPED")</f>
        <v>7e</v>
      </c>
      <c r="L1067" s="49" t="str">
        <f aca="false">STACK!G1067</f>
        <v>2026-05-20</v>
      </c>
      <c r="M1067" s="59" t="n">
        <f aca="false">IF(G1067&gt;0,IF(INDEX(CONFIRM!$G$5:$G$53,G1067)&lt;&gt;"",INDEX(CONFIRM!$G$5:$G$53,G1067),IF(ISNUMBER(L1067),L1067,IFERROR(DATEVALUE(L1067),""))),IF(ISNUMBER(L1067),L1067,IFERROR(DATEVALUE(L1067),"")))</f>
        <v>46162</v>
      </c>
      <c r="N1067" s="1" t="str">
        <f aca="false">IF(M1067="","Check",IF(AND(M1067&gt;=INPUTS!$C$6,M1067&lt;=INPUTS!$C$7),"Yes","No"))</f>
        <v>Yes</v>
      </c>
      <c r="O1067" s="48" t="str">
        <f aca="false">STACK!H1067</f>
        <v>R.N. </v>
      </c>
      <c r="P1067" s="1" t="str">
        <f aca="false">IF(G1067&gt;0,IF(INDEX(CONFIRM!$H$5:$H$53,G1067)&lt;&gt;"",INDEX(CONFIRM!$H$5:$H$53,G1067),IFERROR(INDEX(MAP!$B$7:$B$156,MATCH(TRIM(O1067),MAP!$A$7:$A$156,0)),"UNMAPPED")),IFERROR(INDEX(MAP!$B$7:$B$156,MATCH(TRIM(O1067),MAP!$A$7:$A$156,0)),"UNMAPPED"))</f>
        <v>Registered Nurse</v>
      </c>
      <c r="Q1067" s="48" t="n">
        <f aca="false">STACK!I1067</f>
        <v>3.75</v>
      </c>
      <c r="R1067" s="60" t="n">
        <f aca="false">IF(G1067&gt;0,IF(INDEX(CONFIRM!$F$5:$F$53,G1067)&lt;&gt;"",INDEX(CONFIRM!$F$5:$F$53,G1067),IF(ISNUMBER(Q1067),Q1067,IF(Q1067="","",IFERROR(VALUE(TRIM(SUBSTITUTE(SUBSTITUTE(LOWER(Q1067),"hrs",""),"hr",""))),"")))),IF(ISNUMBER(Q1067),Q1067,IF(Q1067="","",IFERROR(VALUE(TRIM(SUBSTITUTE(SUBSTITUTE(LOWER(Q1067),"hrs",""),"hr",""))),""))))</f>
        <v>3.75</v>
      </c>
      <c r="S1067" s="57" t="n">
        <f aca="false">IFERROR(INDEX(RATES!$E$6:$E$28,MATCH(P1067,RATES!$A$6:$A$28,0)),0)</f>
        <v>55.8975</v>
      </c>
      <c r="T1067" s="61" t="n">
        <f aca="false">IF(ISNUMBER(R1067),R1067,0)*S1067</f>
        <v>209.615625</v>
      </c>
      <c r="U1067" s="61" t="n">
        <f aca="false">T1067*INDEX(INPUTS!$H$10:$H$14,MATCH(B1067,INPUTS!$A$10:$A$14,0))</f>
        <v>33.11926875</v>
      </c>
      <c r="V1067" s="61" t="n">
        <f aca="false">N(STACK!K1067)</f>
        <v>70</v>
      </c>
      <c r="W1067" s="61" t="n">
        <f aca="false">T1067+U1067+V1067</f>
        <v>312.73489375</v>
      </c>
      <c r="X1067" s="61" t="n">
        <f aca="false">N(STACK!L1067)</f>
        <v>0</v>
      </c>
      <c r="Y1067" s="61" t="n">
        <f aca="false">W1067-X1067</f>
        <v>312.73489375</v>
      </c>
      <c r="Z1067" s="1" t="n">
        <f aca="false">N(STACK!J1067)</f>
        <v>67</v>
      </c>
      <c r="AA1067" s="1" t="str">
        <f aca="false">TRIM(IF(D1067="UNMAPPED","Program not mapped. ","")&amp;IF(OR(K1067="UNMAPPED",K1067="UNASSIGNED"),"Category needs review. ","")&amp;IF(P1067="UNMAPPED","Title not mapped. ","")&amp;IF(AND(P1067&lt;&gt;"No staff time",R1067=""),"Missing hours. ","")&amp;IF(M1067="","Date not readable. ","")&amp;IF(N1067="No","Outside fiscal year. ","")&amp;IF(AND(F1067="Event",ISNUMBER(R1067)),IF(R1067&gt;12,"Event hours look high. ",""),"")&amp;IF(G1067&gt;0,"See CONFIRM sheet.",""))</f>
        <v/>
      </c>
      <c r="AB1067" s="1" t="n">
        <f aca="false">IF(N1067="No",0,IF(REVIEW!O1067=0,0,IF(G1067&gt;0,IF(INDEX(CONFIRM!$J$5:$J$53,G1067)&lt;&gt;"",INDEX(CONFIRM!$J$5:$J$53,G1067),1),1)))</f>
        <v>1</v>
      </c>
      <c r="AC1067" s="1" t="n">
        <f aca="false">IF(AB1067=1,IF(COUNTIFS($B$5:B1067,B1067,$D$5:D1067,D1067,$AB$5:AB1067,1)=1,1,0),0)</f>
        <v>0</v>
      </c>
    </row>
    <row r="1068" customFormat="false" ht="15" hidden="false" customHeight="false" outlineLevel="0" collapsed="false">
      <c r="A1068" s="48" t="str">
        <f aca="false">STACK!A1068</f>
        <v>CBH-0240</v>
      </c>
      <c r="B1068" s="48" t="str">
        <f aca="false">STACK!B1068</f>
        <v>CBH</v>
      </c>
      <c r="C1068" s="48" t="str">
        <f aca="false">STACK!E1068</f>
        <v>Health Coalition</v>
      </c>
      <c r="D1068" s="1" t="str">
        <f aca="false">IFERROR(INDEX(MAP!$J$7:$J$101,MATCH(TRIM(C1068),MAP!$I$7:$I$101,0)),"UNMAPPED")</f>
        <v>Regional Health Coalition</v>
      </c>
      <c r="E1068" s="1" t="str">
        <f aca="false">IFERROR(INDEX(MAP!$K$7:$K$101,MATCH(TRIM(C1068),MAP!$I$7:$I$101,0)),"")</f>
        <v>Community benefit infrastructure</v>
      </c>
      <c r="F1068" s="1" t="str">
        <f aca="false">IFERROR(INDEX(MAP!$L$7:$L$101,MATCH(TRIM(C1068),MAP!$I$7:$I$101,0)),"")</f>
        <v>Event</v>
      </c>
      <c r="G1068" s="1" t="n">
        <f aca="false">IFERROR(MATCH(A1068,CONFIRM!$A$5:$A$53,0),0)</f>
        <v>22</v>
      </c>
      <c r="H1068" s="48" t="str">
        <f aca="false">STACK!F1068</f>
        <v>Community Health Improvement</v>
      </c>
      <c r="I1068" s="1" t="str">
        <f aca="false">IF(G1068&gt;0,IF(INDEX(CONFIRM!$I$5:$I$53,G1068)&lt;&gt;"",INDEX(CONFIRM!$I$5:$I$53,G1068),H1068),H1068)</f>
        <v>Community building: coalition building</v>
      </c>
      <c r="J1068" s="1" t="str">
        <f aca="false">IFERROR(INDEX(MAP!$F$7:$F$74,MATCH(TRIM(I1068),MAP!$E$7:$E$74,0)),"UNMAPPED")</f>
        <v>Community building: coalition building</v>
      </c>
      <c r="K1068" s="1" t="str">
        <f aca="false">IFERROR(INDEX(MAP!$G$7:$G$74,MATCH(TRIM(I1068),MAP!$E$7:$E$74,0)),"UNMAPPED")</f>
        <v>II-6</v>
      </c>
      <c r="L1068" s="49" t="str">
        <f aca="false">STACK!G1068</f>
        <v>2026-05-20</v>
      </c>
      <c r="M1068" s="59" t="n">
        <f aca="false">IF(G1068&gt;0,IF(INDEX(CONFIRM!$G$5:$G$53,G1068)&lt;&gt;"",INDEX(CONFIRM!$G$5:$G$53,G1068),IF(ISNUMBER(L1068),L1068,IFERROR(DATEVALUE(L1068),""))),IF(ISNUMBER(L1068),L1068,IFERROR(DATEVALUE(L1068),"")))</f>
        <v>46162</v>
      </c>
      <c r="N1068" s="1" t="str">
        <f aca="false">IF(M1068="","Check",IF(AND(M1068&gt;=INPUTS!$C$6,M1068&lt;=INPUTS!$C$7),"Yes","No"))</f>
        <v>Yes</v>
      </c>
      <c r="O1068" s="48" t="str">
        <f aca="false">STACK!H1068</f>
        <v>Community Benefit Mgr</v>
      </c>
      <c r="P1068" s="1" t="str">
        <f aca="false">IF(G1068&gt;0,IF(INDEX(CONFIRM!$H$5:$H$53,G1068)&lt;&gt;"",INDEX(CONFIRM!$H$5:$H$53,G1068),IFERROR(INDEX(MAP!$B$7:$B$156,MATCH(TRIM(O1068),MAP!$A$7:$A$156,0)),"UNMAPPED")),IFERROR(INDEX(MAP!$B$7:$B$156,MATCH(TRIM(O1068),MAP!$A$7:$A$156,0)),"UNMAPPED"))</f>
        <v>Community Benefit Manager</v>
      </c>
      <c r="Q1068" s="48" t="n">
        <f aca="false">STACK!I1068</f>
        <v>2.5</v>
      </c>
      <c r="R1068" s="60" t="n">
        <f aca="false">IF(G1068&gt;0,IF(INDEX(CONFIRM!$F$5:$F$53,G1068)&lt;&gt;"",INDEX(CONFIRM!$F$5:$F$53,G1068),IF(ISNUMBER(Q1068),Q1068,IF(Q1068="","",IFERROR(VALUE(TRIM(SUBSTITUTE(SUBSTITUTE(LOWER(Q1068),"hrs",""),"hr",""))),"")))),IF(ISNUMBER(Q1068),Q1068,IF(Q1068="","",IFERROR(VALUE(TRIM(SUBSTITUTE(SUBSTITUTE(LOWER(Q1068),"hrs",""),"hr",""))),""))))</f>
        <v>2.5</v>
      </c>
      <c r="S1068" s="57" t="n">
        <f aca="false">IFERROR(INDEX(RATES!$E$6:$E$28,MATCH(P1068,RATES!$A$6:$A$28,0)),0)</f>
        <v>59.11</v>
      </c>
      <c r="T1068" s="61" t="n">
        <f aca="false">IF(ISNUMBER(R1068),R1068,0)*S1068</f>
        <v>147.775</v>
      </c>
      <c r="U1068" s="61" t="n">
        <f aca="false">T1068*INDEX(INPUTS!$H$10:$H$14,MATCH(B1068,INPUTS!$A$10:$A$14,0))</f>
        <v>23.34845</v>
      </c>
      <c r="V1068" s="61" t="n">
        <f aca="false">N(STACK!K1068)</f>
        <v>0</v>
      </c>
      <c r="W1068" s="61" t="n">
        <f aca="false">T1068+U1068+V1068</f>
        <v>171.12345</v>
      </c>
      <c r="X1068" s="61" t="n">
        <f aca="false">N(STACK!L1068)</f>
        <v>0</v>
      </c>
      <c r="Y1068" s="61" t="n">
        <f aca="false">W1068-X1068</f>
        <v>171.12345</v>
      </c>
      <c r="Z1068" s="1" t="n">
        <f aca="false">N(STACK!J1068)</f>
        <v>0</v>
      </c>
      <c r="AA1068" s="1" t="str">
        <f aca="false">TRIM(IF(D1068="UNMAPPED","Program not mapped. ","")&amp;IF(OR(K1068="UNMAPPED",K1068="UNASSIGNED"),"Category needs review. ","")&amp;IF(P1068="UNMAPPED","Title not mapped. ","")&amp;IF(AND(P1068&lt;&gt;"No staff time",R1068=""),"Missing hours. ","")&amp;IF(M1068="","Date not readable. ","")&amp;IF(N1068="No","Outside fiscal year. ","")&amp;IF(AND(F1068="Event",ISNUMBER(R1068)),IF(R1068&gt;12,"Event hours look high. ",""),"")&amp;IF(G1068&gt;0,"See CONFIRM sheet.",""))</f>
        <v>See CONFIRM sheet.</v>
      </c>
      <c r="AB1068" s="1" t="n">
        <f aca="false">IF(N1068="No",0,IF(REVIEW!O1068=0,0,IF(G1068&gt;0,IF(INDEX(CONFIRM!$J$5:$J$53,G1068)&lt;&gt;"",INDEX(CONFIRM!$J$5:$J$53,G1068),1),1)))</f>
        <v>1</v>
      </c>
      <c r="AC1068" s="1" t="n">
        <f aca="false">IF(AB1068=1,IF(COUNTIFS($B$5:B1068,B1068,$D$5:D1068,D1068,$AB$5:AB1068,1)=1,1,0),0)</f>
        <v>0</v>
      </c>
    </row>
    <row r="1069" customFormat="false" ht="15" hidden="false" customHeight="false" outlineLevel="0" collapsed="false">
      <c r="A1069" s="48" t="str">
        <f aca="false">STACK!A1069</f>
        <v>CBH-0241</v>
      </c>
      <c r="B1069" s="48" t="str">
        <f aca="false">STACK!B1069</f>
        <v>CBH</v>
      </c>
      <c r="C1069" s="48" t="str">
        <f aca="false">STACK!E1069</f>
        <v>Health Coalition</v>
      </c>
      <c r="D1069" s="1" t="str">
        <f aca="false">IFERROR(INDEX(MAP!$J$7:$J$101,MATCH(TRIM(C1069),MAP!$I$7:$I$101,0)),"UNMAPPED")</f>
        <v>Regional Health Coalition</v>
      </c>
      <c r="E1069" s="1" t="str">
        <f aca="false">IFERROR(INDEX(MAP!$K$7:$K$101,MATCH(TRIM(C1069),MAP!$I$7:$I$101,0)),"")</f>
        <v>Community benefit infrastructure</v>
      </c>
      <c r="F1069" s="1" t="str">
        <f aca="false">IFERROR(INDEX(MAP!$L$7:$L$101,MATCH(TRIM(C1069),MAP!$I$7:$I$101,0)),"")</f>
        <v>Event</v>
      </c>
      <c r="G1069" s="1" t="n">
        <f aca="false">IFERROR(MATCH(A1069,CONFIRM!$A$5:$A$53,0),0)</f>
        <v>23</v>
      </c>
      <c r="H1069" s="48" t="str">
        <f aca="false">STACK!F1069</f>
        <v>Community Health Improvement</v>
      </c>
      <c r="I1069" s="1" t="str">
        <f aca="false">IF(G1069&gt;0,IF(INDEX(CONFIRM!$I$5:$I$53,G1069)&lt;&gt;"",INDEX(CONFIRM!$I$5:$I$53,G1069),H1069),H1069)</f>
        <v>Community building: coalition building</v>
      </c>
      <c r="J1069" s="1" t="str">
        <f aca="false">IFERROR(INDEX(MAP!$F$7:$F$74,MATCH(TRIM(I1069),MAP!$E$7:$E$74,0)),"UNMAPPED")</f>
        <v>Community building: coalition building</v>
      </c>
      <c r="K1069" s="1" t="str">
        <f aca="false">IFERROR(INDEX(MAP!$G$7:$G$74,MATCH(TRIM(I1069),MAP!$E$7:$E$74,0)),"UNMAPPED")</f>
        <v>II-6</v>
      </c>
      <c r="L1069" s="49" t="str">
        <f aca="false">STACK!G1069</f>
        <v>2026-05-20</v>
      </c>
      <c r="M1069" s="59" t="n">
        <f aca="false">IF(G1069&gt;0,IF(INDEX(CONFIRM!$G$5:$G$53,G1069)&lt;&gt;"",INDEX(CONFIRM!$G$5:$G$53,G1069),IF(ISNUMBER(L1069),L1069,IFERROR(DATEVALUE(L1069),""))),IF(ISNUMBER(L1069),L1069,IFERROR(DATEVALUE(L1069),"")))</f>
        <v>46162</v>
      </c>
      <c r="N1069" s="1" t="str">
        <f aca="false">IF(M1069="","Check",IF(AND(M1069&gt;=INPUTS!$C$6,M1069&lt;=INPUTS!$C$7),"Yes","No"))</f>
        <v>Yes</v>
      </c>
      <c r="O1069" s="48" t="str">
        <f aca="false">STACK!H1069</f>
        <v>Assoc. Director</v>
      </c>
      <c r="P1069" s="1" t="str">
        <f aca="false">IF(G1069&gt;0,IF(INDEX(CONFIRM!$H$5:$H$53,G1069)&lt;&gt;"",INDEX(CONFIRM!$H$5:$H$53,G1069),IFERROR(INDEX(MAP!$B$7:$B$156,MATCH(TRIM(O1069),MAP!$A$7:$A$156,0)),"UNMAPPED")),IFERROR(INDEX(MAP!$B$7:$B$156,MATCH(TRIM(O1069),MAP!$A$7:$A$156,0)),"UNMAPPED"))</f>
        <v>Director</v>
      </c>
      <c r="Q1069" s="48" t="n">
        <f aca="false">STACK!I1069</f>
        <v>2.5</v>
      </c>
      <c r="R1069" s="60" t="n">
        <f aca="false">IF(G1069&gt;0,IF(INDEX(CONFIRM!$F$5:$F$53,G1069)&lt;&gt;"",INDEX(CONFIRM!$F$5:$F$53,G1069),IF(ISNUMBER(Q1069),Q1069,IF(Q1069="","",IFERROR(VALUE(TRIM(SUBSTITUTE(SUBSTITUTE(LOWER(Q1069),"hrs",""),"hr",""))),"")))),IF(ISNUMBER(Q1069),Q1069,IF(Q1069="","",IFERROR(VALUE(TRIM(SUBSTITUTE(SUBSTITUTE(LOWER(Q1069),"hrs",""),"hr",""))),""))))</f>
        <v>2.5</v>
      </c>
      <c r="S1069" s="57" t="n">
        <f aca="false">IFERROR(INDEX(RATES!$E$6:$E$28,MATCH(P1069,RATES!$A$6:$A$28,0)),0)</f>
        <v>92.52</v>
      </c>
      <c r="T1069" s="61" t="n">
        <f aca="false">IF(ISNUMBER(R1069),R1069,0)*S1069</f>
        <v>231.3</v>
      </c>
      <c r="U1069" s="61" t="n">
        <f aca="false">T1069*INDEX(INPUTS!$H$10:$H$14,MATCH(B1069,INPUTS!$A$10:$A$14,0))</f>
        <v>36.5454</v>
      </c>
      <c r="V1069" s="61" t="n">
        <f aca="false">N(STACK!K1069)</f>
        <v>45</v>
      </c>
      <c r="W1069" s="61" t="n">
        <f aca="false">T1069+U1069+V1069</f>
        <v>312.8454</v>
      </c>
      <c r="X1069" s="61" t="n">
        <f aca="false">N(STACK!L1069)</f>
        <v>0</v>
      </c>
      <c r="Y1069" s="61" t="n">
        <f aca="false">W1069-X1069</f>
        <v>312.8454</v>
      </c>
      <c r="Z1069" s="1" t="n">
        <f aca="false">N(STACK!J1069)</f>
        <v>0</v>
      </c>
      <c r="AA1069" s="1" t="str">
        <f aca="false">TRIM(IF(D1069="UNMAPPED","Program not mapped. ","")&amp;IF(OR(K1069="UNMAPPED",K1069="UNASSIGNED"),"Category needs review. ","")&amp;IF(P1069="UNMAPPED","Title not mapped. ","")&amp;IF(AND(P1069&lt;&gt;"No staff time",R1069=""),"Missing hours. ","")&amp;IF(M1069="","Date not readable. ","")&amp;IF(N1069="No","Outside fiscal year. ","")&amp;IF(AND(F1069="Event",ISNUMBER(R1069)),IF(R1069&gt;12,"Event hours look high. ",""),"")&amp;IF(G1069&gt;0,"See CONFIRM sheet.",""))</f>
        <v>See CONFIRM sheet.</v>
      </c>
      <c r="AB1069" s="1" t="n">
        <f aca="false">IF(N1069="No",0,IF(REVIEW!O1069=0,0,IF(G1069&gt;0,IF(INDEX(CONFIRM!$J$5:$J$53,G1069)&lt;&gt;"",INDEX(CONFIRM!$J$5:$J$53,G1069),1),1)))</f>
        <v>1</v>
      </c>
      <c r="AC1069" s="1" t="n">
        <f aca="false">IF(AB1069=1,IF(COUNTIFS($B$5:B1069,B1069,$D$5:D1069,D1069,$AB$5:AB1069,1)=1,1,0),0)</f>
        <v>0</v>
      </c>
    </row>
    <row r="1070" customFormat="false" ht="15" hidden="false" customHeight="false" outlineLevel="0" collapsed="false">
      <c r="A1070" s="48" t="str">
        <f aca="false">STACK!A1070</f>
        <v>CBH-0242</v>
      </c>
      <c r="B1070" s="48" t="str">
        <f aca="false">STACK!B1070</f>
        <v>CBH</v>
      </c>
      <c r="C1070" s="48" t="str">
        <f aca="false">STACK!E1070</f>
        <v>Naloxone Training</v>
      </c>
      <c r="D1070" s="1" t="str">
        <f aca="false">IFERROR(INDEX(MAP!$J$7:$J$101,MATCH(TRIM(C1070),MAP!$I$7:$I$101,0)),"UNMAPPED")</f>
        <v>Naloxone Training and Distribution</v>
      </c>
      <c r="E1070" s="1" t="str">
        <f aca="false">IFERROR(INDEX(MAP!$K$7:$K$101,MATCH(TRIM(C1070),MAP!$I$7:$I$101,0)),"")</f>
        <v>Behavioral health</v>
      </c>
      <c r="F1070" s="1" t="str">
        <f aca="false">IFERROR(INDEX(MAP!$L$7:$L$101,MATCH(TRIM(C1070),MAP!$I$7:$I$101,0)),"")</f>
        <v>Event</v>
      </c>
      <c r="G1070" s="1" t="n">
        <f aca="false">IFERROR(MATCH(A1070,CONFIRM!$A$5:$A$53,0),0)</f>
        <v>0</v>
      </c>
      <c r="H1070" s="48" t="str">
        <f aca="false">STACK!F1070</f>
        <v>Health Education</v>
      </c>
      <c r="I1070" s="1" t="str">
        <f aca="false">IF(G1070&gt;0,IF(INDEX(CONFIRM!$I$5:$I$53,G1070)&lt;&gt;"",INDEX(CONFIRM!$I$5:$I$53,G1070),H1070),H1070)</f>
        <v>Health Education</v>
      </c>
      <c r="J1070" s="1" t="str">
        <f aca="false">IFERROR(INDEX(MAP!$F$7:$F$74,MATCH(TRIM(I1070),MAP!$E$7:$E$74,0)),"UNMAPPED")</f>
        <v>Community health education</v>
      </c>
      <c r="K1070" s="1" t="str">
        <f aca="false">IFERROR(INDEX(MAP!$G$7:$G$74,MATCH(TRIM(I1070),MAP!$E$7:$E$74,0)),"UNMAPPED")</f>
        <v>7e</v>
      </c>
      <c r="L1070" s="49" t="str">
        <f aca="false">STACK!G1070</f>
        <v>2026-05-22</v>
      </c>
      <c r="M1070" s="59" t="n">
        <f aca="false">IF(G1070&gt;0,IF(INDEX(CONFIRM!$G$5:$G$53,G1070)&lt;&gt;"",INDEX(CONFIRM!$G$5:$G$53,G1070),IF(ISNUMBER(L1070),L1070,IFERROR(DATEVALUE(L1070),""))),IF(ISNUMBER(L1070),L1070,IFERROR(DATEVALUE(L1070),"")))</f>
        <v>46164</v>
      </c>
      <c r="N1070" s="1" t="str">
        <f aca="false">IF(M1070="","Check",IF(AND(M1070&gt;=INPUTS!$C$6,M1070&lt;=INPUTS!$C$7),"Yes","No"))</f>
        <v>Yes</v>
      </c>
      <c r="O1070" s="48" t="str">
        <f aca="false">STACK!H1070</f>
        <v>Wellness Educator</v>
      </c>
      <c r="P1070" s="1" t="str">
        <f aca="false">IF(G1070&gt;0,IF(INDEX(CONFIRM!$H$5:$H$53,G1070)&lt;&gt;"",INDEX(CONFIRM!$H$5:$H$53,G1070),IFERROR(INDEX(MAP!$B$7:$B$156,MATCH(TRIM(O1070),MAP!$A$7:$A$156,0)),"UNMAPPED")),IFERROR(INDEX(MAP!$B$7:$B$156,MATCH(TRIM(O1070),MAP!$A$7:$A$156,0)),"UNMAPPED"))</f>
        <v>Health Educator</v>
      </c>
      <c r="Q1070" s="48" t="n">
        <f aca="false">STACK!I1070</f>
        <v>2.25</v>
      </c>
      <c r="R1070" s="60" t="n">
        <f aca="false">IF(G1070&gt;0,IF(INDEX(CONFIRM!$F$5:$F$53,G1070)&lt;&gt;"",INDEX(CONFIRM!$F$5:$F$53,G1070),IF(ISNUMBER(Q1070),Q1070,IF(Q1070="","",IFERROR(VALUE(TRIM(SUBSTITUTE(SUBSTITUTE(LOWER(Q1070),"hrs",""),"hr",""))),"")))),IF(ISNUMBER(Q1070),Q1070,IF(Q1070="","",IFERROR(VALUE(TRIM(SUBSTITUTE(SUBSTITUTE(LOWER(Q1070),"hrs",""),"hr",""))),""))))</f>
        <v>2.25</v>
      </c>
      <c r="S1070" s="57" t="n">
        <f aca="false">IFERROR(INDEX(RATES!$E$6:$E$28,MATCH(P1070,RATES!$A$6:$A$28,0)),0)</f>
        <v>37.265</v>
      </c>
      <c r="T1070" s="61" t="n">
        <f aca="false">IF(ISNUMBER(R1070),R1070,0)*S1070</f>
        <v>83.84625</v>
      </c>
      <c r="U1070" s="61" t="n">
        <f aca="false">T1070*INDEX(INPUTS!$H$10:$H$14,MATCH(B1070,INPUTS!$A$10:$A$14,0))</f>
        <v>13.2477075</v>
      </c>
      <c r="V1070" s="61" t="n">
        <f aca="false">N(STACK!K1070)</f>
        <v>0</v>
      </c>
      <c r="W1070" s="61" t="n">
        <f aca="false">T1070+U1070+V1070</f>
        <v>97.0939575</v>
      </c>
      <c r="X1070" s="61" t="n">
        <f aca="false">N(STACK!L1070)</f>
        <v>0</v>
      </c>
      <c r="Y1070" s="61" t="n">
        <f aca="false">W1070-X1070</f>
        <v>97.0939575</v>
      </c>
      <c r="Z1070" s="1" t="n">
        <f aca="false">N(STACK!J1070)</f>
        <v>0</v>
      </c>
      <c r="AA1070" s="1" t="str">
        <f aca="false">TRIM(IF(D1070="UNMAPPED","Program not mapped. ","")&amp;IF(OR(K1070="UNMAPPED",K1070="UNASSIGNED"),"Category needs review. ","")&amp;IF(P1070="UNMAPPED","Title not mapped. ","")&amp;IF(AND(P1070&lt;&gt;"No staff time",R1070=""),"Missing hours. ","")&amp;IF(M1070="","Date not readable. ","")&amp;IF(N1070="No","Outside fiscal year. ","")&amp;IF(AND(F1070="Event",ISNUMBER(R1070)),IF(R1070&gt;12,"Event hours look high. ",""),"")&amp;IF(G1070&gt;0,"See CONFIRM sheet.",""))</f>
        <v/>
      </c>
      <c r="AB1070" s="1" t="n">
        <f aca="false">IF(N1070="No",0,IF(REVIEW!O1070=0,0,IF(G1070&gt;0,IF(INDEX(CONFIRM!$J$5:$J$53,G1070)&lt;&gt;"",INDEX(CONFIRM!$J$5:$J$53,G1070),1),1)))</f>
        <v>1</v>
      </c>
      <c r="AC1070" s="1" t="n">
        <f aca="false">IF(AB1070=1,IF(COUNTIFS($B$5:B1070,B1070,$D$5:D1070,D1070,$AB$5:AB1070,1)=1,1,0),0)</f>
        <v>0</v>
      </c>
    </row>
    <row r="1071" customFormat="false" ht="15" hidden="false" customHeight="false" outlineLevel="0" collapsed="false">
      <c r="A1071" s="48" t="str">
        <f aca="false">STACK!A1071</f>
        <v>CBH-0243</v>
      </c>
      <c r="B1071" s="48" t="str">
        <f aca="false">STACK!B1071</f>
        <v>CBH</v>
      </c>
      <c r="C1071" s="48" t="str">
        <f aca="false">STACK!E1071</f>
        <v>Naloxone Training</v>
      </c>
      <c r="D1071" s="1" t="str">
        <f aca="false">IFERROR(INDEX(MAP!$J$7:$J$101,MATCH(TRIM(C1071),MAP!$I$7:$I$101,0)),"UNMAPPED")</f>
        <v>Naloxone Training and Distribution</v>
      </c>
      <c r="E1071" s="1" t="str">
        <f aca="false">IFERROR(INDEX(MAP!$K$7:$K$101,MATCH(TRIM(C1071),MAP!$I$7:$I$101,0)),"")</f>
        <v>Behavioral health</v>
      </c>
      <c r="F1071" s="1" t="str">
        <f aca="false">IFERROR(INDEX(MAP!$L$7:$L$101,MATCH(TRIM(C1071),MAP!$I$7:$I$101,0)),"")</f>
        <v>Event</v>
      </c>
      <c r="G1071" s="1" t="n">
        <f aca="false">IFERROR(MATCH(A1071,CONFIRM!$A$5:$A$53,0),0)</f>
        <v>0</v>
      </c>
      <c r="H1071" s="48" t="str">
        <f aca="false">STACK!F1071</f>
        <v>Health Education</v>
      </c>
      <c r="I1071" s="1" t="str">
        <f aca="false">IF(G1071&gt;0,IF(INDEX(CONFIRM!$I$5:$I$53,G1071)&lt;&gt;"",INDEX(CONFIRM!$I$5:$I$53,G1071),H1071),H1071)</f>
        <v>Health Education</v>
      </c>
      <c r="J1071" s="1" t="str">
        <f aca="false">IFERROR(INDEX(MAP!$F$7:$F$74,MATCH(TRIM(I1071),MAP!$E$7:$E$74,0)),"UNMAPPED")</f>
        <v>Community health education</v>
      </c>
      <c r="K1071" s="1" t="str">
        <f aca="false">IFERROR(INDEX(MAP!$G$7:$G$74,MATCH(TRIM(I1071),MAP!$E$7:$E$74,0)),"UNMAPPED")</f>
        <v>7e</v>
      </c>
      <c r="L1071" s="49" t="str">
        <f aca="false">STACK!G1071</f>
        <v>2026-05-22</v>
      </c>
      <c r="M1071" s="59" t="n">
        <f aca="false">IF(G1071&gt;0,IF(INDEX(CONFIRM!$G$5:$G$53,G1071)&lt;&gt;"",INDEX(CONFIRM!$G$5:$G$53,G1071),IF(ISNUMBER(L1071),L1071,IFERROR(DATEVALUE(L1071),""))),IF(ISNUMBER(L1071),L1071,IFERROR(DATEVALUE(L1071),"")))</f>
        <v>46164</v>
      </c>
      <c r="N1071" s="1" t="str">
        <f aca="false">IF(M1071="","Check",IF(AND(M1071&gt;=INPUTS!$C$6,M1071&lt;=INPUTS!$C$7),"Yes","No"))</f>
        <v>Yes</v>
      </c>
      <c r="O1071" s="48" t="str">
        <f aca="false">STACK!H1071</f>
        <v>RPh </v>
      </c>
      <c r="P1071" s="1" t="str">
        <f aca="false">IF(G1071&gt;0,IF(INDEX(CONFIRM!$H$5:$H$53,G1071)&lt;&gt;"",INDEX(CONFIRM!$H$5:$H$53,G1071),IFERROR(INDEX(MAP!$B$7:$B$156,MATCH(TRIM(O1071),MAP!$A$7:$A$156,0)),"UNMAPPED")),IFERROR(INDEX(MAP!$B$7:$B$156,MATCH(TRIM(O1071),MAP!$A$7:$A$156,0)),"UNMAPPED"))</f>
        <v>Pharmacist</v>
      </c>
      <c r="Q1071" s="48" t="n">
        <f aca="false">STACK!I1071</f>
        <v>2</v>
      </c>
      <c r="R1071" s="60" t="n">
        <f aca="false">IF(G1071&gt;0,IF(INDEX(CONFIRM!$F$5:$F$53,G1071)&lt;&gt;"",INDEX(CONFIRM!$F$5:$F$53,G1071),IF(ISNUMBER(Q1071),Q1071,IF(Q1071="","",IFERROR(VALUE(TRIM(SUBSTITUTE(SUBSTITUTE(LOWER(Q1071),"hrs",""),"hr",""))),"")))),IF(ISNUMBER(Q1071),Q1071,IF(Q1071="","",IFERROR(VALUE(TRIM(SUBSTITUTE(SUBSTITUTE(LOWER(Q1071),"hrs",""),"hr",""))),""))))</f>
        <v>2</v>
      </c>
      <c r="S1071" s="57" t="n">
        <f aca="false">IFERROR(INDEX(RATES!$E$6:$E$28,MATCH(P1071,RATES!$A$6:$A$28,0)),0)</f>
        <v>84.81</v>
      </c>
      <c r="T1071" s="61" t="n">
        <f aca="false">IF(ISNUMBER(R1071),R1071,0)*S1071</f>
        <v>169.62</v>
      </c>
      <c r="U1071" s="61" t="n">
        <f aca="false">T1071*INDEX(INPUTS!$H$10:$H$14,MATCH(B1071,INPUTS!$A$10:$A$14,0))</f>
        <v>26.79996</v>
      </c>
      <c r="V1071" s="61" t="n">
        <f aca="false">N(STACK!K1071)</f>
        <v>1915</v>
      </c>
      <c r="W1071" s="61" t="n">
        <f aca="false">T1071+U1071+V1071</f>
        <v>2111.41996</v>
      </c>
      <c r="X1071" s="61" t="n">
        <f aca="false">N(STACK!L1071)</f>
        <v>1370</v>
      </c>
      <c r="Y1071" s="61" t="n">
        <f aca="false">W1071-X1071</f>
        <v>741.41996</v>
      </c>
      <c r="Z1071" s="1" t="n">
        <f aca="false">N(STACK!J1071)</f>
        <v>25</v>
      </c>
      <c r="AA1071" s="1" t="str">
        <f aca="false">TRIM(IF(D1071="UNMAPPED","Program not mapped. ","")&amp;IF(OR(K1071="UNMAPPED",K1071="UNASSIGNED"),"Category needs review. ","")&amp;IF(P1071="UNMAPPED","Title not mapped. ","")&amp;IF(AND(P1071&lt;&gt;"No staff time",R1071=""),"Missing hours. ","")&amp;IF(M1071="","Date not readable. ","")&amp;IF(N1071="No","Outside fiscal year. ","")&amp;IF(AND(F1071="Event",ISNUMBER(R1071)),IF(R1071&gt;12,"Event hours look high. ",""),"")&amp;IF(G1071&gt;0,"See CONFIRM sheet.",""))</f>
        <v/>
      </c>
      <c r="AB1071" s="1" t="n">
        <f aca="false">IF(N1071="No",0,IF(REVIEW!O1071=0,0,IF(G1071&gt;0,IF(INDEX(CONFIRM!$J$5:$J$53,G1071)&lt;&gt;"",INDEX(CONFIRM!$J$5:$J$53,G1071),1),1)))</f>
        <v>1</v>
      </c>
      <c r="AC1071" s="1" t="n">
        <f aca="false">IF(AB1071=1,IF(COUNTIFS($B$5:B1071,B1071,$D$5:D1071,D1071,$AB$5:AB1071,1)=1,1,0),0)</f>
        <v>0</v>
      </c>
    </row>
    <row r="1072" customFormat="false" ht="15" hidden="false" customHeight="false" outlineLevel="0" collapsed="false">
      <c r="A1072" s="48" t="str">
        <f aca="false">STACK!A1072</f>
        <v>CBH-0244</v>
      </c>
      <c r="B1072" s="48" t="str">
        <f aca="false">STACK!B1072</f>
        <v>CBH</v>
      </c>
      <c r="C1072" s="48" t="str">
        <f aca="false">STACK!E1072</f>
        <v>Diabetes Prevention</v>
      </c>
      <c r="D1072" s="1" t="str">
        <f aca="false">IFERROR(INDEX(MAP!$J$7:$J$101,MATCH(TRIM(C1072),MAP!$I$7:$I$101,0)),"UNMAPPED")</f>
        <v>Diabetes Prevention Classes</v>
      </c>
      <c r="E1072" s="1" t="str">
        <f aca="false">IFERROR(INDEX(MAP!$K$7:$K$101,MATCH(TRIM(C1072),MAP!$I$7:$I$101,0)),"")</f>
        <v>Chronic disease prevention</v>
      </c>
      <c r="F1072" s="1" t="str">
        <f aca="false">IFERROR(INDEX(MAP!$L$7:$L$101,MATCH(TRIM(C1072),MAP!$I$7:$I$101,0)),"")</f>
        <v>Event</v>
      </c>
      <c r="G1072" s="1" t="n">
        <f aca="false">IFERROR(MATCH(A1072,CONFIRM!$A$5:$A$53,0),0)</f>
        <v>0</v>
      </c>
      <c r="H1072" s="48" t="str">
        <f aca="false">STACK!F1072</f>
        <v>Health Education</v>
      </c>
      <c r="I1072" s="1" t="str">
        <f aca="false">IF(G1072&gt;0,IF(INDEX(CONFIRM!$I$5:$I$53,G1072)&lt;&gt;"",INDEX(CONFIRM!$I$5:$I$53,G1072),H1072),H1072)</f>
        <v>Health Education</v>
      </c>
      <c r="J1072" s="1" t="str">
        <f aca="false">IFERROR(INDEX(MAP!$F$7:$F$74,MATCH(TRIM(I1072),MAP!$E$7:$E$74,0)),"UNMAPPED")</f>
        <v>Community health education</v>
      </c>
      <c r="K1072" s="1" t="str">
        <f aca="false">IFERROR(INDEX(MAP!$G$7:$G$74,MATCH(TRIM(I1072),MAP!$E$7:$E$74,0)),"UNMAPPED")</f>
        <v>7e</v>
      </c>
      <c r="L1072" s="49" t="str">
        <f aca="false">STACK!G1072</f>
        <v>2026-05-28</v>
      </c>
      <c r="M1072" s="59" t="n">
        <f aca="false">IF(G1072&gt;0,IF(INDEX(CONFIRM!$G$5:$G$53,G1072)&lt;&gt;"",INDEX(CONFIRM!$G$5:$G$53,G1072),IF(ISNUMBER(L1072),L1072,IFERROR(DATEVALUE(L1072),""))),IF(ISNUMBER(L1072),L1072,IFERROR(DATEVALUE(L1072),"")))</f>
        <v>46170</v>
      </c>
      <c r="N1072" s="1" t="str">
        <f aca="false">IF(M1072="","Check",IF(AND(M1072&gt;=INPUTS!$C$6,M1072&lt;=INPUTS!$C$7),"Yes","No"))</f>
        <v>Yes</v>
      </c>
      <c r="O1072" s="48" t="str">
        <f aca="false">STACK!H1072</f>
        <v>Community Educator</v>
      </c>
      <c r="P1072" s="1" t="str">
        <f aca="false">IF(G1072&gt;0,IF(INDEX(CONFIRM!$H$5:$H$53,G1072)&lt;&gt;"",INDEX(CONFIRM!$H$5:$H$53,G1072),IFERROR(INDEX(MAP!$B$7:$B$156,MATCH(TRIM(O1072),MAP!$A$7:$A$156,0)),"UNMAPPED")),IFERROR(INDEX(MAP!$B$7:$B$156,MATCH(TRIM(O1072),MAP!$A$7:$A$156,0)),"UNMAPPED"))</f>
        <v>Health Educator</v>
      </c>
      <c r="Q1072" s="48" t="n">
        <f aca="false">STACK!I1072</f>
        <v>2</v>
      </c>
      <c r="R1072" s="60" t="n">
        <f aca="false">IF(G1072&gt;0,IF(INDEX(CONFIRM!$F$5:$F$53,G1072)&lt;&gt;"",INDEX(CONFIRM!$F$5:$F$53,G1072),IF(ISNUMBER(Q1072),Q1072,IF(Q1072="","",IFERROR(VALUE(TRIM(SUBSTITUTE(SUBSTITUTE(LOWER(Q1072),"hrs",""),"hr",""))),"")))),IF(ISNUMBER(Q1072),Q1072,IF(Q1072="","",IFERROR(VALUE(TRIM(SUBSTITUTE(SUBSTITUTE(LOWER(Q1072),"hrs",""),"hr",""))),""))))</f>
        <v>2</v>
      </c>
      <c r="S1072" s="57" t="n">
        <f aca="false">IFERROR(INDEX(RATES!$E$6:$E$28,MATCH(P1072,RATES!$A$6:$A$28,0)),0)</f>
        <v>37.265</v>
      </c>
      <c r="T1072" s="61" t="n">
        <f aca="false">IF(ISNUMBER(R1072),R1072,0)*S1072</f>
        <v>74.53</v>
      </c>
      <c r="U1072" s="61" t="n">
        <f aca="false">T1072*INDEX(INPUTS!$H$10:$H$14,MATCH(B1072,INPUTS!$A$10:$A$14,0))</f>
        <v>11.77574</v>
      </c>
      <c r="V1072" s="61" t="n">
        <f aca="false">N(STACK!K1072)</f>
        <v>170</v>
      </c>
      <c r="W1072" s="61" t="n">
        <f aca="false">T1072+U1072+V1072</f>
        <v>256.30574</v>
      </c>
      <c r="X1072" s="61" t="n">
        <f aca="false">N(STACK!L1072)</f>
        <v>0</v>
      </c>
      <c r="Y1072" s="61" t="n">
        <f aca="false">W1072-X1072</f>
        <v>256.30574</v>
      </c>
      <c r="Z1072" s="1" t="n">
        <f aca="false">N(STACK!J1072)</f>
        <v>13</v>
      </c>
      <c r="AA1072" s="1" t="str">
        <f aca="false">TRIM(IF(D1072="UNMAPPED","Program not mapped. ","")&amp;IF(OR(K1072="UNMAPPED",K1072="UNASSIGNED"),"Category needs review. ","")&amp;IF(P1072="UNMAPPED","Title not mapped. ","")&amp;IF(AND(P1072&lt;&gt;"No staff time",R1072=""),"Missing hours. ","")&amp;IF(M1072="","Date not readable. ","")&amp;IF(N1072="No","Outside fiscal year. ","")&amp;IF(AND(F1072="Event",ISNUMBER(R1072)),IF(R1072&gt;12,"Event hours look high. ",""),"")&amp;IF(G1072&gt;0,"See CONFIRM sheet.",""))</f>
        <v/>
      </c>
      <c r="AB1072" s="1" t="n">
        <f aca="false">IF(N1072="No",0,IF(REVIEW!O1072=0,0,IF(G1072&gt;0,IF(INDEX(CONFIRM!$J$5:$J$53,G1072)&lt;&gt;"",INDEX(CONFIRM!$J$5:$J$53,G1072),1),1)))</f>
        <v>1</v>
      </c>
      <c r="AC1072" s="1" t="n">
        <f aca="false">IF(AB1072=1,IF(COUNTIFS($B$5:B1072,B1072,$D$5:D1072,D1072,$AB$5:AB1072,1)=1,1,0),0)</f>
        <v>0</v>
      </c>
    </row>
    <row r="1073" customFormat="false" ht="15" hidden="false" customHeight="false" outlineLevel="0" collapsed="false">
      <c r="A1073" s="48" t="str">
        <f aca="false">STACK!A1073</f>
        <v>CBH-0245</v>
      </c>
      <c r="B1073" s="48" t="str">
        <f aca="false">STACK!B1073</f>
        <v>CBH</v>
      </c>
      <c r="C1073" s="48" t="str">
        <f aca="false">STACK!E1073</f>
        <v>Diabetes Prevention</v>
      </c>
      <c r="D1073" s="1" t="str">
        <f aca="false">IFERROR(INDEX(MAP!$J$7:$J$101,MATCH(TRIM(C1073),MAP!$I$7:$I$101,0)),"UNMAPPED")</f>
        <v>Diabetes Prevention Classes</v>
      </c>
      <c r="E1073" s="1" t="str">
        <f aca="false">IFERROR(INDEX(MAP!$K$7:$K$101,MATCH(TRIM(C1073),MAP!$I$7:$I$101,0)),"")</f>
        <v>Chronic disease prevention</v>
      </c>
      <c r="F1073" s="1" t="str">
        <f aca="false">IFERROR(INDEX(MAP!$L$7:$L$101,MATCH(TRIM(C1073),MAP!$I$7:$I$101,0)),"")</f>
        <v>Event</v>
      </c>
      <c r="G1073" s="1" t="n">
        <f aca="false">IFERROR(MATCH(A1073,CONFIRM!$A$5:$A$53,0),0)</f>
        <v>0</v>
      </c>
      <c r="H1073" s="48" t="str">
        <f aca="false">STACK!F1073</f>
        <v>Health Education</v>
      </c>
      <c r="I1073" s="1" t="str">
        <f aca="false">IF(G1073&gt;0,IF(INDEX(CONFIRM!$I$5:$I$53,G1073)&lt;&gt;"",INDEX(CONFIRM!$I$5:$I$53,G1073),H1073),H1073)</f>
        <v>Health Education</v>
      </c>
      <c r="J1073" s="1" t="str">
        <f aca="false">IFERROR(INDEX(MAP!$F$7:$F$74,MATCH(TRIM(I1073),MAP!$E$7:$E$74,0)),"UNMAPPED")</f>
        <v>Community health education</v>
      </c>
      <c r="K1073" s="1" t="str">
        <f aca="false">IFERROR(INDEX(MAP!$G$7:$G$74,MATCH(TRIM(I1073),MAP!$E$7:$E$74,0)),"UNMAPPED")</f>
        <v>7e</v>
      </c>
      <c r="L1073" s="49" t="str">
        <f aca="false">STACK!G1073</f>
        <v>2026-05-28</v>
      </c>
      <c r="M1073" s="59" t="n">
        <f aca="false">IF(G1073&gt;0,IF(INDEX(CONFIRM!$G$5:$G$53,G1073)&lt;&gt;"",INDEX(CONFIRM!$G$5:$G$53,G1073),IF(ISNUMBER(L1073),L1073,IFERROR(DATEVALUE(L1073),""))),IF(ISNUMBER(L1073),L1073,IFERROR(DATEVALUE(L1073),"")))</f>
        <v>46170</v>
      </c>
      <c r="N1073" s="1" t="str">
        <f aca="false">IF(M1073="","Check",IF(AND(M1073&gt;=INPUTS!$C$6,M1073&lt;=INPUTS!$C$7),"Yes","No"))</f>
        <v>Yes</v>
      </c>
      <c r="O1073" s="48" t="str">
        <f aca="false">STACK!H1073</f>
        <v>Dietitian</v>
      </c>
      <c r="P1073" s="1" t="str">
        <f aca="false">IF(G1073&gt;0,IF(INDEX(CONFIRM!$H$5:$H$53,G1073)&lt;&gt;"",INDEX(CONFIRM!$H$5:$H$53,G1073),IFERROR(INDEX(MAP!$B$7:$B$156,MATCH(TRIM(O1073),MAP!$A$7:$A$156,0)),"UNMAPPED")),IFERROR(INDEX(MAP!$B$7:$B$156,MATCH(TRIM(O1073),MAP!$A$7:$A$156,0)),"UNMAPPED"))</f>
        <v>Registered Dietitian</v>
      </c>
      <c r="Q1073" s="48" t="n">
        <f aca="false">STACK!I1073</f>
        <v>1.75</v>
      </c>
      <c r="R1073" s="60" t="n">
        <f aca="false">IF(G1073&gt;0,IF(INDEX(CONFIRM!$F$5:$F$53,G1073)&lt;&gt;"",INDEX(CONFIRM!$F$5:$F$53,G1073),IF(ISNUMBER(Q1073),Q1073,IF(Q1073="","",IFERROR(VALUE(TRIM(SUBSTITUTE(SUBSTITUTE(LOWER(Q1073),"hrs",""),"hr",""))),"")))),IF(ISNUMBER(Q1073),Q1073,IF(Q1073="","",IFERROR(VALUE(TRIM(SUBSTITUTE(SUBSTITUTE(LOWER(Q1073),"hrs",""),"hr",""))),""))))</f>
        <v>1.75</v>
      </c>
      <c r="S1073" s="57" t="n">
        <f aca="false">IFERROR(INDEX(RATES!$E$6:$E$28,MATCH(P1073,RATES!$A$6:$A$28,0)),0)</f>
        <v>46.9025</v>
      </c>
      <c r="T1073" s="61" t="n">
        <f aca="false">IF(ISNUMBER(R1073),R1073,0)*S1073</f>
        <v>82.079375</v>
      </c>
      <c r="U1073" s="61" t="n">
        <f aca="false">T1073*INDEX(INPUTS!$H$10:$H$14,MATCH(B1073,INPUTS!$A$10:$A$14,0))</f>
        <v>12.96854125</v>
      </c>
      <c r="V1073" s="61" t="n">
        <f aca="false">N(STACK!K1073)</f>
        <v>0</v>
      </c>
      <c r="W1073" s="61" t="n">
        <f aca="false">T1073+U1073+V1073</f>
        <v>95.04791625</v>
      </c>
      <c r="X1073" s="61" t="n">
        <f aca="false">N(STACK!L1073)</f>
        <v>0</v>
      </c>
      <c r="Y1073" s="61" t="n">
        <f aca="false">W1073-X1073</f>
        <v>95.04791625</v>
      </c>
      <c r="Z1073" s="1" t="n">
        <f aca="false">N(STACK!J1073)</f>
        <v>0</v>
      </c>
      <c r="AA1073" s="1" t="str">
        <f aca="false">TRIM(IF(D1073="UNMAPPED","Program not mapped. ","")&amp;IF(OR(K1073="UNMAPPED",K1073="UNASSIGNED"),"Category needs review. ","")&amp;IF(P1073="UNMAPPED","Title not mapped. ","")&amp;IF(AND(P1073&lt;&gt;"No staff time",R1073=""),"Missing hours. ","")&amp;IF(M1073="","Date not readable. ","")&amp;IF(N1073="No","Outside fiscal year. ","")&amp;IF(AND(F1073="Event",ISNUMBER(R1073)),IF(R1073&gt;12,"Event hours look high. ",""),"")&amp;IF(G1073&gt;0,"See CONFIRM sheet.",""))</f>
        <v/>
      </c>
      <c r="AB1073" s="1" t="n">
        <f aca="false">IF(N1073="No",0,IF(REVIEW!O1073=0,0,IF(G1073&gt;0,IF(INDEX(CONFIRM!$J$5:$J$53,G1073)&lt;&gt;"",INDEX(CONFIRM!$J$5:$J$53,G1073),1),1)))</f>
        <v>1</v>
      </c>
      <c r="AC1073" s="1" t="n">
        <f aca="false">IF(AB1073=1,IF(COUNTIFS($B$5:B1073,B1073,$D$5:D1073,D1073,$AB$5:AB1073,1)=1,1,0),0)</f>
        <v>0</v>
      </c>
    </row>
    <row r="1074" customFormat="false" ht="15" hidden="false" customHeight="false" outlineLevel="0" collapsed="false">
      <c r="A1074" s="48" t="str">
        <f aca="false">STACK!A1074</f>
        <v>CBH-0246</v>
      </c>
      <c r="B1074" s="48" t="str">
        <f aca="false">STACK!B1074</f>
        <v>CBH</v>
      </c>
      <c r="C1074" s="48" t="str">
        <f aca="false">STACK!E1074</f>
        <v>Matter of Balance Classes</v>
      </c>
      <c r="D1074" s="1" t="str">
        <f aca="false">IFERROR(INDEX(MAP!$J$7:$J$101,MATCH(TRIM(C1074),MAP!$I$7:$I$101,0)),"UNMAPPED")</f>
        <v>Fall Prevention Classes for Older Adults</v>
      </c>
      <c r="E1074" s="1" t="str">
        <f aca="false">IFERROR(INDEX(MAP!$K$7:$K$101,MATCH(TRIM(C1074),MAP!$I$7:$I$101,0)),"")</f>
        <v>Chronic disease prevention</v>
      </c>
      <c r="F1074" s="1" t="str">
        <f aca="false">IFERROR(INDEX(MAP!$L$7:$L$101,MATCH(TRIM(C1074),MAP!$I$7:$I$101,0)),"")</f>
        <v>Event</v>
      </c>
      <c r="G1074" s="1" t="n">
        <f aca="false">IFERROR(MATCH(A1074,CONFIRM!$A$5:$A$53,0),0)</f>
        <v>0</v>
      </c>
      <c r="H1074" s="48" t="str">
        <f aca="false">STACK!F1074</f>
        <v>Health Education</v>
      </c>
      <c r="I1074" s="1" t="str">
        <f aca="false">IF(G1074&gt;0,IF(INDEX(CONFIRM!$I$5:$I$53,G1074)&lt;&gt;"",INDEX(CONFIRM!$I$5:$I$53,G1074),H1074),H1074)</f>
        <v>Health Education</v>
      </c>
      <c r="J1074" s="1" t="str">
        <f aca="false">IFERROR(INDEX(MAP!$F$7:$F$74,MATCH(TRIM(I1074),MAP!$E$7:$E$74,0)),"UNMAPPED")</f>
        <v>Community health education</v>
      </c>
      <c r="K1074" s="1" t="str">
        <f aca="false">IFERROR(INDEX(MAP!$G$7:$G$74,MATCH(TRIM(I1074),MAP!$E$7:$E$74,0)),"UNMAPPED")</f>
        <v>7e</v>
      </c>
      <c r="L1074" s="49" t="str">
        <f aca="false">STACK!G1074</f>
        <v>2026-05-29</v>
      </c>
      <c r="M1074" s="59" t="n">
        <f aca="false">IF(G1074&gt;0,IF(INDEX(CONFIRM!$G$5:$G$53,G1074)&lt;&gt;"",INDEX(CONFIRM!$G$5:$G$53,G1074),IF(ISNUMBER(L1074),L1074,IFERROR(DATEVALUE(L1074),""))),IF(ISNUMBER(L1074),L1074,IFERROR(DATEVALUE(L1074),"")))</f>
        <v>46171</v>
      </c>
      <c r="N1074" s="1" t="str">
        <f aca="false">IF(M1074="","Check",IF(AND(M1074&gt;=INPUTS!$C$6,M1074&lt;=INPUTS!$C$7),"Yes","No"))</f>
        <v>Yes</v>
      </c>
      <c r="O1074" s="48" t="str">
        <f aca="false">STACK!H1074</f>
        <v>Resp. Therapy</v>
      </c>
      <c r="P1074" s="1" t="str">
        <f aca="false">IF(G1074&gt;0,IF(INDEX(CONFIRM!$H$5:$H$53,G1074)&lt;&gt;"",INDEX(CONFIRM!$H$5:$H$53,G1074),IFERROR(INDEX(MAP!$B$7:$B$156,MATCH(TRIM(O1074),MAP!$A$7:$A$156,0)),"UNMAPPED")),IFERROR(INDEX(MAP!$B$7:$B$156,MATCH(TRIM(O1074),MAP!$A$7:$A$156,0)),"UNMAPPED"))</f>
        <v>Licensed Therapist</v>
      </c>
      <c r="Q1074" s="48" t="n">
        <f aca="false">STACK!I1074</f>
        <v>2</v>
      </c>
      <c r="R1074" s="60" t="n">
        <f aca="false">IF(G1074&gt;0,IF(INDEX(CONFIRM!$F$5:$F$53,G1074)&lt;&gt;"",INDEX(CONFIRM!$F$5:$F$53,G1074),IF(ISNUMBER(Q1074),Q1074,IF(Q1074="","",IFERROR(VALUE(TRIM(SUBSTITUTE(SUBSTITUTE(LOWER(Q1074),"hrs",""),"hr",""))),"")))),IF(ISNUMBER(Q1074),Q1074,IF(Q1074="","",IFERROR(VALUE(TRIM(SUBSTITUTE(SUBSTITUTE(LOWER(Q1074),"hrs",""),"hr",""))),""))))</f>
        <v>2</v>
      </c>
      <c r="S1074" s="57" t="n">
        <f aca="false">IFERROR(INDEX(RATES!$E$6:$E$28,MATCH(P1074,RATES!$A$6:$A$28,0)),0)</f>
        <v>53.97</v>
      </c>
      <c r="T1074" s="61" t="n">
        <f aca="false">IF(ISNUMBER(R1074),R1074,0)*S1074</f>
        <v>107.94</v>
      </c>
      <c r="U1074" s="61" t="n">
        <f aca="false">T1074*INDEX(INPUTS!$H$10:$H$14,MATCH(B1074,INPUTS!$A$10:$A$14,0))</f>
        <v>17.05452</v>
      </c>
      <c r="V1074" s="61" t="n">
        <f aca="false">N(STACK!K1074)</f>
        <v>50</v>
      </c>
      <c r="W1074" s="61" t="n">
        <f aca="false">T1074+U1074+V1074</f>
        <v>174.99452</v>
      </c>
      <c r="X1074" s="61" t="n">
        <f aca="false">N(STACK!L1074)</f>
        <v>0</v>
      </c>
      <c r="Y1074" s="61" t="n">
        <f aca="false">W1074-X1074</f>
        <v>174.99452</v>
      </c>
      <c r="Z1074" s="1" t="n">
        <f aca="false">N(STACK!J1074)</f>
        <v>10</v>
      </c>
      <c r="AA1074" s="1" t="str">
        <f aca="false">TRIM(IF(D1074="UNMAPPED","Program not mapped. ","")&amp;IF(OR(K1074="UNMAPPED",K1074="UNASSIGNED"),"Category needs review. ","")&amp;IF(P1074="UNMAPPED","Title not mapped. ","")&amp;IF(AND(P1074&lt;&gt;"No staff time",R1074=""),"Missing hours. ","")&amp;IF(M1074="","Date not readable. ","")&amp;IF(N1074="No","Outside fiscal year. ","")&amp;IF(AND(F1074="Event",ISNUMBER(R1074)),IF(R1074&gt;12,"Event hours look high. ",""),"")&amp;IF(G1074&gt;0,"See CONFIRM sheet.",""))</f>
        <v/>
      </c>
      <c r="AB1074" s="1" t="n">
        <f aca="false">IF(N1074="No",0,IF(REVIEW!O1074=0,0,IF(G1074&gt;0,IF(INDEX(CONFIRM!$J$5:$J$53,G1074)&lt;&gt;"",INDEX(CONFIRM!$J$5:$J$53,G1074),1),1)))</f>
        <v>1</v>
      </c>
      <c r="AC1074" s="1" t="n">
        <f aca="false">IF(AB1074=1,IF(COUNTIFS($B$5:B1074,B1074,$D$5:D1074,D1074,$AB$5:AB1074,1)=1,1,0),0)</f>
        <v>0</v>
      </c>
    </row>
    <row r="1075" customFormat="false" ht="15" hidden="false" customHeight="false" outlineLevel="0" collapsed="false">
      <c r="A1075" s="48" t="str">
        <f aca="false">STACK!A1075</f>
        <v>CBH-0247</v>
      </c>
      <c r="B1075" s="48" t="str">
        <f aca="false">STACK!B1075</f>
        <v>CBH</v>
      </c>
      <c r="C1075" s="48" t="str">
        <f aca="false">STACK!E1075</f>
        <v>Free Clinic Staffing</v>
      </c>
      <c r="D1075" s="1" t="str">
        <f aca="false">IFERROR(INDEX(MAP!$J$7:$J$101,MATCH(TRIM(C1075),MAP!$I$7:$I$101,0)),"UNMAPPED")</f>
        <v>Free Clinic Provider Staffing</v>
      </c>
      <c r="E1075" s="1" t="str">
        <f aca="false">IFERROR(INDEX(MAP!$K$7:$K$101,MATCH(TRIM(C1075),MAP!$I$7:$I$101,0)),"")</f>
        <v>Access to care</v>
      </c>
      <c r="F1075" s="1" t="str">
        <f aca="false">IFERROR(INDEX(MAP!$L$7:$L$101,MATCH(TRIM(C1075),MAP!$I$7:$I$101,0)),"")</f>
        <v>Monthly</v>
      </c>
      <c r="G1075" s="1" t="n">
        <f aca="false">IFERROR(MATCH(A1075,CONFIRM!$A$5:$A$53,0),0)</f>
        <v>0</v>
      </c>
      <c r="H1075" s="48" t="str">
        <f aca="false">STACK!F1075</f>
        <v>Screenings</v>
      </c>
      <c r="I1075" s="1" t="str">
        <f aca="false">IF(G1075&gt;0,IF(INDEX(CONFIRM!$I$5:$I$53,G1075)&lt;&gt;"",INDEX(CONFIRM!$I$5:$I$53,G1075),H1075),H1075)</f>
        <v>Screenings</v>
      </c>
      <c r="J1075" s="1" t="str">
        <f aca="false">IFERROR(INDEX(MAP!$F$7:$F$74,MATCH(TRIM(I1075),MAP!$E$7:$E$74,0)),"UNMAPPED")</f>
        <v>Community-based clinical services</v>
      </c>
      <c r="K1075" s="1" t="str">
        <f aca="false">IFERROR(INDEX(MAP!$G$7:$G$74,MATCH(TRIM(I1075),MAP!$E$7:$E$74,0)),"UNMAPPED")</f>
        <v>7e</v>
      </c>
      <c r="L1075" s="49" t="str">
        <f aca="false">STACK!G1075</f>
        <v>2026-05-31</v>
      </c>
      <c r="M1075" s="59" t="n">
        <f aca="false">IF(G1075&gt;0,IF(INDEX(CONFIRM!$G$5:$G$53,G1075)&lt;&gt;"",INDEX(CONFIRM!$G$5:$G$53,G1075),IF(ISNUMBER(L1075),L1075,IFERROR(DATEVALUE(L1075),""))),IF(ISNUMBER(L1075),L1075,IFERROR(DATEVALUE(L1075),"")))</f>
        <v>46173</v>
      </c>
      <c r="N1075" s="1" t="str">
        <f aca="false">IF(M1075="","Check",IF(AND(M1075&gt;=INPUTS!$C$6,M1075&lt;=INPUTS!$C$7),"Yes","No"))</f>
        <v>Yes</v>
      </c>
      <c r="O1075" s="48" t="str">
        <f aca="false">STACK!H1075</f>
        <v>APRN</v>
      </c>
      <c r="P1075" s="1" t="str">
        <f aca="false">IF(G1075&gt;0,IF(INDEX(CONFIRM!$H$5:$H$53,G1075)&lt;&gt;"",INDEX(CONFIRM!$H$5:$H$53,G1075),IFERROR(INDEX(MAP!$B$7:$B$156,MATCH(TRIM(O1075),MAP!$A$7:$A$156,0)),"UNMAPPED")),IFERROR(INDEX(MAP!$B$7:$B$156,MATCH(TRIM(O1075),MAP!$A$7:$A$156,0)),"UNMAPPED"))</f>
        <v>Nurse Practitioner</v>
      </c>
      <c r="Q1075" s="48" t="n">
        <f aca="false">STACK!I1075</f>
        <v>44.25</v>
      </c>
      <c r="R1075" s="60" t="n">
        <f aca="false">IF(G1075&gt;0,IF(INDEX(CONFIRM!$F$5:$F$53,G1075)&lt;&gt;"",INDEX(CONFIRM!$F$5:$F$53,G1075),IF(ISNUMBER(Q1075),Q1075,IF(Q1075="","",IFERROR(VALUE(TRIM(SUBSTITUTE(SUBSTITUTE(LOWER(Q1075),"hrs",""),"hr",""))),"")))),IF(ISNUMBER(Q1075),Q1075,IF(Q1075="","",IFERROR(VALUE(TRIM(SUBSTITUTE(SUBSTITUTE(LOWER(Q1075),"hrs",""),"hr",""))),""))))</f>
        <v>44.25</v>
      </c>
      <c r="S1075" s="57" t="n">
        <f aca="false">IFERROR(INDEX(RATES!$E$6:$E$28,MATCH(P1075,RATES!$A$6:$A$28,0)),0)</f>
        <v>79.67</v>
      </c>
      <c r="T1075" s="61" t="n">
        <f aca="false">IF(ISNUMBER(R1075),R1075,0)*S1075</f>
        <v>3525.3975</v>
      </c>
      <c r="U1075" s="61" t="n">
        <f aca="false">T1075*INDEX(INPUTS!$H$10:$H$14,MATCH(B1075,INPUTS!$A$10:$A$14,0))</f>
        <v>557.012805</v>
      </c>
      <c r="V1075" s="61" t="n">
        <f aca="false">N(STACK!K1075)</f>
        <v>4840</v>
      </c>
      <c r="W1075" s="61" t="n">
        <f aca="false">T1075+U1075+V1075</f>
        <v>8922.410305</v>
      </c>
      <c r="X1075" s="61" t="n">
        <f aca="false">N(STACK!L1075)</f>
        <v>0</v>
      </c>
      <c r="Y1075" s="61" t="n">
        <f aca="false">W1075-X1075</f>
        <v>8922.410305</v>
      </c>
      <c r="Z1075" s="1" t="n">
        <f aca="false">N(STACK!J1075)</f>
        <v>257</v>
      </c>
      <c r="AA1075" s="1" t="str">
        <f aca="false">TRIM(IF(D1075="UNMAPPED","Program not mapped. ","")&amp;IF(OR(K1075="UNMAPPED",K1075="UNASSIGNED"),"Category needs review. ","")&amp;IF(P1075="UNMAPPED","Title not mapped. ","")&amp;IF(AND(P1075&lt;&gt;"No staff time",R1075=""),"Missing hours. ","")&amp;IF(M1075="","Date not readable. ","")&amp;IF(N1075="No","Outside fiscal year. ","")&amp;IF(AND(F1075="Event",ISNUMBER(R1075)),IF(R1075&gt;12,"Event hours look high. ",""),"")&amp;IF(G1075&gt;0,"See CONFIRM sheet.",""))</f>
        <v/>
      </c>
      <c r="AB1075" s="1" t="n">
        <f aca="false">IF(N1075="No",0,IF(REVIEW!O1075=0,0,IF(G1075&gt;0,IF(INDEX(CONFIRM!$J$5:$J$53,G1075)&lt;&gt;"",INDEX(CONFIRM!$J$5:$J$53,G1075),1),1)))</f>
        <v>1</v>
      </c>
      <c r="AC1075" s="1" t="n">
        <f aca="false">IF(AB1075=1,IF(COUNTIFS($B$5:B1075,B1075,$D$5:D1075,D1075,$AB$5:AB1075,1)=1,1,0),0)</f>
        <v>0</v>
      </c>
    </row>
    <row r="1076" customFormat="false" ht="15" hidden="false" customHeight="false" outlineLevel="0" collapsed="false">
      <c r="A1076" s="48" t="str">
        <f aca="false">STACK!A1076</f>
        <v>CBH-0248</v>
      </c>
      <c r="B1076" s="48" t="str">
        <f aca="false">STACK!B1076</f>
        <v>CBH</v>
      </c>
      <c r="C1076" s="48" t="str">
        <f aca="false">STACK!E1076</f>
        <v>Free Clinic Staffing</v>
      </c>
      <c r="D1076" s="1" t="str">
        <f aca="false">IFERROR(INDEX(MAP!$J$7:$J$101,MATCH(TRIM(C1076),MAP!$I$7:$I$101,0)),"UNMAPPED")</f>
        <v>Free Clinic Provider Staffing</v>
      </c>
      <c r="E1076" s="1" t="str">
        <f aca="false">IFERROR(INDEX(MAP!$K$7:$K$101,MATCH(TRIM(C1076),MAP!$I$7:$I$101,0)),"")</f>
        <v>Access to care</v>
      </c>
      <c r="F1076" s="1" t="str">
        <f aca="false">IFERROR(INDEX(MAP!$L$7:$L$101,MATCH(TRIM(C1076),MAP!$I$7:$I$101,0)),"")</f>
        <v>Monthly</v>
      </c>
      <c r="G1076" s="1" t="n">
        <f aca="false">IFERROR(MATCH(A1076,CONFIRM!$A$5:$A$53,0),0)</f>
        <v>0</v>
      </c>
      <c r="H1076" s="48" t="str">
        <f aca="false">STACK!F1076</f>
        <v>Screenings</v>
      </c>
      <c r="I1076" s="1" t="str">
        <f aca="false">IF(G1076&gt;0,IF(INDEX(CONFIRM!$I$5:$I$53,G1076)&lt;&gt;"",INDEX(CONFIRM!$I$5:$I$53,G1076),H1076),H1076)</f>
        <v>Screenings</v>
      </c>
      <c r="J1076" s="1" t="str">
        <f aca="false">IFERROR(INDEX(MAP!$F$7:$F$74,MATCH(TRIM(I1076),MAP!$E$7:$E$74,0)),"UNMAPPED")</f>
        <v>Community-based clinical services</v>
      </c>
      <c r="K1076" s="1" t="str">
        <f aca="false">IFERROR(INDEX(MAP!$G$7:$G$74,MATCH(TRIM(I1076),MAP!$E$7:$E$74,0)),"UNMAPPED")</f>
        <v>7e</v>
      </c>
      <c r="L1076" s="49" t="str">
        <f aca="false">STACK!G1076</f>
        <v>2026-05-31</v>
      </c>
      <c r="M1076" s="59" t="n">
        <f aca="false">IF(G1076&gt;0,IF(INDEX(CONFIRM!$G$5:$G$53,G1076)&lt;&gt;"",INDEX(CONFIRM!$G$5:$G$53,G1076),IF(ISNUMBER(L1076),L1076,IFERROR(DATEVALUE(L1076),""))),IF(ISNUMBER(L1076),L1076,IFERROR(DATEVALUE(L1076),"")))</f>
        <v>46173</v>
      </c>
      <c r="N1076" s="1" t="str">
        <f aca="false">IF(M1076="","Check",IF(AND(M1076&gt;=INPUTS!$C$6,M1076&lt;=INPUTS!$C$7),"Yes","No"))</f>
        <v>Yes</v>
      </c>
      <c r="O1076" s="48" t="str">
        <f aca="false">STACK!H1076</f>
        <v>RPh</v>
      </c>
      <c r="P1076" s="1" t="str">
        <f aca="false">IF(G1076&gt;0,IF(INDEX(CONFIRM!$H$5:$H$53,G1076)&lt;&gt;"",INDEX(CONFIRM!$H$5:$H$53,G1076),IFERROR(INDEX(MAP!$B$7:$B$156,MATCH(TRIM(O1076),MAP!$A$7:$A$156,0)),"UNMAPPED")),IFERROR(INDEX(MAP!$B$7:$B$156,MATCH(TRIM(O1076),MAP!$A$7:$A$156,0)),"UNMAPPED"))</f>
        <v>Pharmacist</v>
      </c>
      <c r="Q1076" s="48" t="n">
        <f aca="false">STACK!I1076</f>
        <v>16.25</v>
      </c>
      <c r="R1076" s="60" t="n">
        <f aca="false">IF(G1076&gt;0,IF(INDEX(CONFIRM!$F$5:$F$53,G1076)&lt;&gt;"",INDEX(CONFIRM!$F$5:$F$53,G1076),IF(ISNUMBER(Q1076),Q1076,IF(Q1076="","",IFERROR(VALUE(TRIM(SUBSTITUTE(SUBSTITUTE(LOWER(Q1076),"hrs",""),"hr",""))),"")))),IF(ISNUMBER(Q1076),Q1076,IF(Q1076="","",IFERROR(VALUE(TRIM(SUBSTITUTE(SUBSTITUTE(LOWER(Q1076),"hrs",""),"hr",""))),""))))</f>
        <v>16.25</v>
      </c>
      <c r="S1076" s="57" t="n">
        <f aca="false">IFERROR(INDEX(RATES!$E$6:$E$28,MATCH(P1076,RATES!$A$6:$A$28,0)),0)</f>
        <v>84.81</v>
      </c>
      <c r="T1076" s="61" t="n">
        <f aca="false">IF(ISNUMBER(R1076),R1076,0)*S1076</f>
        <v>1378.1625</v>
      </c>
      <c r="U1076" s="61" t="n">
        <f aca="false">T1076*INDEX(INPUTS!$H$10:$H$14,MATCH(B1076,INPUTS!$A$10:$A$14,0))</f>
        <v>217.749675</v>
      </c>
      <c r="V1076" s="61" t="n">
        <f aca="false">N(STACK!K1076)</f>
        <v>0</v>
      </c>
      <c r="W1076" s="61" t="n">
        <f aca="false">T1076+U1076+V1076</f>
        <v>1595.912175</v>
      </c>
      <c r="X1076" s="61" t="n">
        <f aca="false">N(STACK!L1076)</f>
        <v>0</v>
      </c>
      <c r="Y1076" s="61" t="n">
        <f aca="false">W1076-X1076</f>
        <v>1595.912175</v>
      </c>
      <c r="Z1076" s="1" t="n">
        <f aca="false">N(STACK!J1076)</f>
        <v>0</v>
      </c>
      <c r="AA1076" s="1" t="str">
        <f aca="false">TRIM(IF(D1076="UNMAPPED","Program not mapped. ","")&amp;IF(OR(K1076="UNMAPPED",K1076="UNASSIGNED"),"Category needs review. ","")&amp;IF(P1076="UNMAPPED","Title not mapped. ","")&amp;IF(AND(P1076&lt;&gt;"No staff time",R1076=""),"Missing hours. ","")&amp;IF(M1076="","Date not readable. ","")&amp;IF(N1076="No","Outside fiscal year. ","")&amp;IF(AND(F1076="Event",ISNUMBER(R1076)),IF(R1076&gt;12,"Event hours look high. ",""),"")&amp;IF(G1076&gt;0,"See CONFIRM sheet.",""))</f>
        <v/>
      </c>
      <c r="AB1076" s="1" t="n">
        <f aca="false">IF(N1076="No",0,IF(REVIEW!O1076=0,0,IF(G1076&gt;0,IF(INDEX(CONFIRM!$J$5:$J$53,G1076)&lt;&gt;"",INDEX(CONFIRM!$J$5:$J$53,G1076),1),1)))</f>
        <v>1</v>
      </c>
      <c r="AC1076" s="1" t="n">
        <f aca="false">IF(AB1076=1,IF(COUNTIFS($B$5:B1076,B1076,$D$5:D1076,D1076,$AB$5:AB1076,1)=1,1,0),0)</f>
        <v>0</v>
      </c>
    </row>
    <row r="1077" customFormat="false" ht="15" hidden="false" customHeight="false" outlineLevel="0" collapsed="false">
      <c r="A1077" s="48" t="str">
        <f aca="false">STACK!A1077</f>
        <v>CBH-0249</v>
      </c>
      <c r="B1077" s="48" t="str">
        <f aca="false">STACK!B1077</f>
        <v>CBH</v>
      </c>
      <c r="C1077" s="48" t="str">
        <f aca="false">STACK!E1077</f>
        <v>Free Clinic Staffing</v>
      </c>
      <c r="D1077" s="1" t="str">
        <f aca="false">IFERROR(INDEX(MAP!$J$7:$J$101,MATCH(TRIM(C1077),MAP!$I$7:$I$101,0)),"UNMAPPED")</f>
        <v>Free Clinic Provider Staffing</v>
      </c>
      <c r="E1077" s="1" t="str">
        <f aca="false">IFERROR(INDEX(MAP!$K$7:$K$101,MATCH(TRIM(C1077),MAP!$I$7:$I$101,0)),"")</f>
        <v>Access to care</v>
      </c>
      <c r="F1077" s="1" t="str">
        <f aca="false">IFERROR(INDEX(MAP!$L$7:$L$101,MATCH(TRIM(C1077),MAP!$I$7:$I$101,0)),"")</f>
        <v>Monthly</v>
      </c>
      <c r="G1077" s="1" t="n">
        <f aca="false">IFERROR(MATCH(A1077,CONFIRM!$A$5:$A$53,0),0)</f>
        <v>0</v>
      </c>
      <c r="H1077" s="48" t="str">
        <f aca="false">STACK!F1077</f>
        <v>Screenings</v>
      </c>
      <c r="I1077" s="1" t="str">
        <f aca="false">IF(G1077&gt;0,IF(INDEX(CONFIRM!$I$5:$I$53,G1077)&lt;&gt;"",INDEX(CONFIRM!$I$5:$I$53,G1077),H1077),H1077)</f>
        <v>Screenings</v>
      </c>
      <c r="J1077" s="1" t="str">
        <f aca="false">IFERROR(INDEX(MAP!$F$7:$F$74,MATCH(TRIM(I1077),MAP!$E$7:$E$74,0)),"UNMAPPED")</f>
        <v>Community-based clinical services</v>
      </c>
      <c r="K1077" s="1" t="str">
        <f aca="false">IFERROR(INDEX(MAP!$G$7:$G$74,MATCH(TRIM(I1077),MAP!$E$7:$E$74,0)),"UNMAPPED")</f>
        <v>7e</v>
      </c>
      <c r="L1077" s="49" t="str">
        <f aca="false">STACK!G1077</f>
        <v>2026-05-31</v>
      </c>
      <c r="M1077" s="59" t="n">
        <f aca="false">IF(G1077&gt;0,IF(INDEX(CONFIRM!$G$5:$G$53,G1077)&lt;&gt;"",INDEX(CONFIRM!$G$5:$G$53,G1077),IF(ISNUMBER(L1077),L1077,IFERROR(DATEVALUE(L1077),""))),IF(ISNUMBER(L1077),L1077,IFERROR(DATEVALUE(L1077),"")))</f>
        <v>46173</v>
      </c>
      <c r="N1077" s="1" t="str">
        <f aca="false">IF(M1077="","Check",IF(AND(M1077&gt;=INPUTS!$C$6,M1077&lt;=INPUTS!$C$7),"Yes","No"))</f>
        <v>Yes</v>
      </c>
      <c r="O1077" s="48" t="str">
        <f aca="false">STACK!H1077</f>
        <v>RN - Outreach</v>
      </c>
      <c r="P1077" s="1" t="str">
        <f aca="false">IF(G1077&gt;0,IF(INDEX(CONFIRM!$H$5:$H$53,G1077)&lt;&gt;"",INDEX(CONFIRM!$H$5:$H$53,G1077),IFERROR(INDEX(MAP!$B$7:$B$156,MATCH(TRIM(O1077),MAP!$A$7:$A$156,0)),"UNMAPPED")),IFERROR(INDEX(MAP!$B$7:$B$156,MATCH(TRIM(O1077),MAP!$A$7:$A$156,0)),"UNMAPPED"))</f>
        <v>Registered Nurse</v>
      </c>
      <c r="Q1077" s="48" t="n">
        <f aca="false">STACK!I1077</f>
        <v>40.75</v>
      </c>
      <c r="R1077" s="60" t="n">
        <f aca="false">IF(G1077&gt;0,IF(INDEX(CONFIRM!$F$5:$F$53,G1077)&lt;&gt;"",INDEX(CONFIRM!$F$5:$F$53,G1077),IF(ISNUMBER(Q1077),Q1077,IF(Q1077="","",IFERROR(VALUE(TRIM(SUBSTITUTE(SUBSTITUTE(LOWER(Q1077),"hrs",""),"hr",""))),"")))),IF(ISNUMBER(Q1077),Q1077,IF(Q1077="","",IFERROR(VALUE(TRIM(SUBSTITUTE(SUBSTITUTE(LOWER(Q1077),"hrs",""),"hr",""))),""))))</f>
        <v>40.75</v>
      </c>
      <c r="S1077" s="57" t="n">
        <f aca="false">IFERROR(INDEX(RATES!$E$6:$E$28,MATCH(P1077,RATES!$A$6:$A$28,0)),0)</f>
        <v>55.8975</v>
      </c>
      <c r="T1077" s="61" t="n">
        <f aca="false">IF(ISNUMBER(R1077),R1077,0)*S1077</f>
        <v>2277.823125</v>
      </c>
      <c r="U1077" s="61" t="n">
        <f aca="false">T1077*INDEX(INPUTS!$H$10:$H$14,MATCH(B1077,INPUTS!$A$10:$A$14,0))</f>
        <v>359.89605375</v>
      </c>
      <c r="V1077" s="61" t="n">
        <f aca="false">N(STACK!K1077)</f>
        <v>0</v>
      </c>
      <c r="W1077" s="61" t="n">
        <f aca="false">T1077+U1077+V1077</f>
        <v>2637.71917875</v>
      </c>
      <c r="X1077" s="61" t="n">
        <f aca="false">N(STACK!L1077)</f>
        <v>0</v>
      </c>
      <c r="Y1077" s="61" t="n">
        <f aca="false">W1077-X1077</f>
        <v>2637.71917875</v>
      </c>
      <c r="Z1077" s="1" t="n">
        <f aca="false">N(STACK!J1077)</f>
        <v>0</v>
      </c>
      <c r="AA1077" s="1" t="str">
        <f aca="false">TRIM(IF(D1077="UNMAPPED","Program not mapped. ","")&amp;IF(OR(K1077="UNMAPPED",K1077="UNASSIGNED"),"Category needs review. ","")&amp;IF(P1077="UNMAPPED","Title not mapped. ","")&amp;IF(AND(P1077&lt;&gt;"No staff time",R1077=""),"Missing hours. ","")&amp;IF(M1077="","Date not readable. ","")&amp;IF(N1077="No","Outside fiscal year. ","")&amp;IF(AND(F1077="Event",ISNUMBER(R1077)),IF(R1077&gt;12,"Event hours look high. ",""),"")&amp;IF(G1077&gt;0,"See CONFIRM sheet.",""))</f>
        <v/>
      </c>
      <c r="AB1077" s="1" t="n">
        <f aca="false">IF(N1077="No",0,IF(REVIEW!O1077=0,0,IF(G1077&gt;0,IF(INDEX(CONFIRM!$J$5:$J$53,G1077)&lt;&gt;"",INDEX(CONFIRM!$J$5:$J$53,G1077),1),1)))</f>
        <v>1</v>
      </c>
      <c r="AC1077" s="1" t="n">
        <f aca="false">IF(AB1077=1,IF(COUNTIFS($B$5:B1077,B1077,$D$5:D1077,D1077,$AB$5:AB1077,1)=1,1,0),0)</f>
        <v>0</v>
      </c>
    </row>
    <row r="1078" customFormat="false" ht="15" hidden="false" customHeight="false" outlineLevel="0" collapsed="false">
      <c r="A1078" s="48" t="str">
        <f aca="false">STACK!A1078</f>
        <v>CBH-0250</v>
      </c>
      <c r="B1078" s="48" t="str">
        <f aca="false">STACK!B1078</f>
        <v>CBH</v>
      </c>
      <c r="C1078" s="48" t="str">
        <f aca="false">STACK!E1078</f>
        <v>Med Assistance</v>
      </c>
      <c r="D1078" s="1" t="str">
        <f aca="false">IFERROR(INDEX(MAP!$J$7:$J$101,MATCH(TRIM(C1078),MAP!$I$7:$I$101,0)),"UNMAPPED")</f>
        <v>Medication Assistance Program</v>
      </c>
      <c r="E1078" s="1" t="str">
        <f aca="false">IFERROR(INDEX(MAP!$K$7:$K$101,MATCH(TRIM(C1078),MAP!$I$7:$I$101,0)),"")</f>
        <v>Access to care</v>
      </c>
      <c r="F1078" s="1" t="str">
        <f aca="false">IFERROR(INDEX(MAP!$L$7:$L$101,MATCH(TRIM(C1078),MAP!$I$7:$I$101,0)),"")</f>
        <v>Monthly</v>
      </c>
      <c r="G1078" s="1" t="n">
        <f aca="false">IFERROR(MATCH(A1078,CONFIRM!$A$5:$A$53,0),0)</f>
        <v>0</v>
      </c>
      <c r="H1078" s="48" t="str">
        <f aca="false">STACK!F1078</f>
        <v>Patient Support</v>
      </c>
      <c r="I1078" s="1" t="str">
        <f aca="false">IF(G1078&gt;0,IF(INDEX(CONFIRM!$I$5:$I$53,G1078)&lt;&gt;"",INDEX(CONFIRM!$I$5:$I$53,G1078),H1078),H1078)</f>
        <v>Patient Support</v>
      </c>
      <c r="J1078" s="1" t="str">
        <f aca="false">IFERROR(INDEX(MAP!$F$7:$F$74,MATCH(TRIM(I1078),MAP!$E$7:$E$74,0)),"UNMAPPED")</f>
        <v>Health care support services</v>
      </c>
      <c r="K1078" s="1" t="str">
        <f aca="false">IFERROR(INDEX(MAP!$G$7:$G$74,MATCH(TRIM(I1078),MAP!$E$7:$E$74,0)),"UNMAPPED")</f>
        <v>7e</v>
      </c>
      <c r="L1078" s="49" t="str">
        <f aca="false">STACK!G1078</f>
        <v>2026-05-31</v>
      </c>
      <c r="M1078" s="59" t="n">
        <f aca="false">IF(G1078&gt;0,IF(INDEX(CONFIRM!$G$5:$G$53,G1078)&lt;&gt;"",INDEX(CONFIRM!$G$5:$G$53,G1078),IF(ISNUMBER(L1078),L1078,IFERROR(DATEVALUE(L1078),""))),IF(ISNUMBER(L1078),L1078,IFERROR(DATEVALUE(L1078),"")))</f>
        <v>46173</v>
      </c>
      <c r="N1078" s="1" t="str">
        <f aca="false">IF(M1078="","Check",IF(AND(M1078&gt;=INPUTS!$C$6,M1078&lt;=INPUTS!$C$7),"Yes","No"))</f>
        <v>Yes</v>
      </c>
      <c r="O1078" s="48" t="str">
        <f aca="false">STACK!H1078</f>
        <v>Nurse Navigator</v>
      </c>
      <c r="P1078" s="1" t="str">
        <f aca="false">IF(G1078&gt;0,IF(INDEX(CONFIRM!$H$5:$H$53,G1078)&lt;&gt;"",INDEX(CONFIRM!$H$5:$H$53,G1078),IFERROR(INDEX(MAP!$B$7:$B$156,MATCH(TRIM(O1078),MAP!$A$7:$A$156,0)),"UNMAPPED")),IFERROR(INDEX(MAP!$B$7:$B$156,MATCH(TRIM(O1078),MAP!$A$7:$A$156,0)),"UNMAPPED"))</f>
        <v>Patient Navigator</v>
      </c>
      <c r="Q1078" s="48" t="n">
        <f aca="false">STACK!I1078</f>
        <v>73.5</v>
      </c>
      <c r="R1078" s="60" t="n">
        <f aca="false">IF(G1078&gt;0,IF(INDEX(CONFIRM!$F$5:$F$53,G1078)&lt;&gt;"",INDEX(CONFIRM!$F$5:$F$53,G1078),IF(ISNUMBER(Q1078),Q1078,IF(Q1078="","",IFERROR(VALUE(TRIM(SUBSTITUTE(SUBSTITUTE(LOWER(Q1078),"hrs",""),"hr",""))),"")))),IF(ISNUMBER(Q1078),Q1078,IF(Q1078="","",IFERROR(VALUE(TRIM(SUBSTITUTE(SUBSTITUTE(LOWER(Q1078),"hrs",""),"hr",""))),""))))</f>
        <v>73.5</v>
      </c>
      <c r="S1078" s="57" t="n">
        <f aca="false">IFERROR(INDEX(RATES!$E$6:$E$28,MATCH(P1078,RATES!$A$6:$A$28,0)),0)</f>
        <v>30.84</v>
      </c>
      <c r="T1078" s="61" t="n">
        <f aca="false">IF(ISNUMBER(R1078),R1078,0)*S1078</f>
        <v>2266.74</v>
      </c>
      <c r="U1078" s="61" t="n">
        <f aca="false">T1078*INDEX(INPUTS!$H$10:$H$14,MATCH(B1078,INPUTS!$A$10:$A$14,0))</f>
        <v>358.14492</v>
      </c>
      <c r="V1078" s="61" t="n">
        <f aca="false">N(STACK!K1078)</f>
        <v>0</v>
      </c>
      <c r="W1078" s="61" t="n">
        <f aca="false">T1078+U1078+V1078</f>
        <v>2624.88492</v>
      </c>
      <c r="X1078" s="61" t="n">
        <f aca="false">N(STACK!L1078)</f>
        <v>0</v>
      </c>
      <c r="Y1078" s="61" t="n">
        <f aca="false">W1078-X1078</f>
        <v>2624.88492</v>
      </c>
      <c r="Z1078" s="1" t="n">
        <f aca="false">N(STACK!J1078)</f>
        <v>0</v>
      </c>
      <c r="AA1078" s="1" t="str">
        <f aca="false">TRIM(IF(D1078="UNMAPPED","Program not mapped. ","")&amp;IF(OR(K1078="UNMAPPED",K1078="UNASSIGNED"),"Category needs review. ","")&amp;IF(P1078="UNMAPPED","Title not mapped. ","")&amp;IF(AND(P1078&lt;&gt;"No staff time",R1078=""),"Missing hours. ","")&amp;IF(M1078="","Date not readable. ","")&amp;IF(N1078="No","Outside fiscal year. ","")&amp;IF(AND(F1078="Event",ISNUMBER(R1078)),IF(R1078&gt;12,"Event hours look high. ",""),"")&amp;IF(G1078&gt;0,"See CONFIRM sheet.",""))</f>
        <v/>
      </c>
      <c r="AB1078" s="1" t="n">
        <f aca="false">IF(N1078="No",0,IF(REVIEW!O1078=0,0,IF(G1078&gt;0,IF(INDEX(CONFIRM!$J$5:$J$53,G1078)&lt;&gt;"",INDEX(CONFIRM!$J$5:$J$53,G1078),1),1)))</f>
        <v>1</v>
      </c>
      <c r="AC1078" s="1" t="n">
        <f aca="false">IF(AB1078=1,IF(COUNTIFS($B$5:B1078,B1078,$D$5:D1078,D1078,$AB$5:AB1078,1)=1,1,0),0)</f>
        <v>0</v>
      </c>
    </row>
    <row r="1079" customFormat="false" ht="15" hidden="false" customHeight="false" outlineLevel="0" collapsed="false">
      <c r="A1079" s="48" t="str">
        <f aca="false">STACK!A1079</f>
        <v>CBH-0251</v>
      </c>
      <c r="B1079" s="48" t="str">
        <f aca="false">STACK!B1079</f>
        <v>CBH</v>
      </c>
      <c r="C1079" s="48" t="str">
        <f aca="false">STACK!E1079</f>
        <v>Med Assistance</v>
      </c>
      <c r="D1079" s="1" t="str">
        <f aca="false">IFERROR(INDEX(MAP!$J$7:$J$101,MATCH(TRIM(C1079),MAP!$I$7:$I$101,0)),"UNMAPPED")</f>
        <v>Medication Assistance Program</v>
      </c>
      <c r="E1079" s="1" t="str">
        <f aca="false">IFERROR(INDEX(MAP!$K$7:$K$101,MATCH(TRIM(C1079),MAP!$I$7:$I$101,0)),"")</f>
        <v>Access to care</v>
      </c>
      <c r="F1079" s="1" t="str">
        <f aca="false">IFERROR(INDEX(MAP!$L$7:$L$101,MATCH(TRIM(C1079),MAP!$I$7:$I$101,0)),"")</f>
        <v>Monthly</v>
      </c>
      <c r="G1079" s="1" t="n">
        <f aca="false">IFERROR(MATCH(A1079,CONFIRM!$A$5:$A$53,0),0)</f>
        <v>0</v>
      </c>
      <c r="H1079" s="48" t="str">
        <f aca="false">STACK!F1079</f>
        <v>Patient Support</v>
      </c>
      <c r="I1079" s="1" t="str">
        <f aca="false">IF(G1079&gt;0,IF(INDEX(CONFIRM!$I$5:$I$53,G1079)&lt;&gt;"",INDEX(CONFIRM!$I$5:$I$53,G1079),H1079),H1079)</f>
        <v>Patient Support</v>
      </c>
      <c r="J1079" s="1" t="str">
        <f aca="false">IFERROR(INDEX(MAP!$F$7:$F$74,MATCH(TRIM(I1079),MAP!$E$7:$E$74,0)),"UNMAPPED")</f>
        <v>Health care support services</v>
      </c>
      <c r="K1079" s="1" t="str">
        <f aca="false">IFERROR(INDEX(MAP!$G$7:$G$74,MATCH(TRIM(I1079),MAP!$E$7:$E$74,0)),"UNMAPPED")</f>
        <v>7e</v>
      </c>
      <c r="L1079" s="49" t="str">
        <f aca="false">STACK!G1079</f>
        <v>2026-05-31</v>
      </c>
      <c r="M1079" s="59" t="n">
        <f aca="false">IF(G1079&gt;0,IF(INDEX(CONFIRM!$G$5:$G$53,G1079)&lt;&gt;"",INDEX(CONFIRM!$G$5:$G$53,G1079),IF(ISNUMBER(L1079),L1079,IFERROR(DATEVALUE(L1079),""))),IF(ISNUMBER(L1079),L1079,IFERROR(DATEVALUE(L1079),"")))</f>
        <v>46173</v>
      </c>
      <c r="N1079" s="1" t="str">
        <f aca="false">IF(M1079="","Check",IF(AND(M1079&gt;=INPUTS!$C$6,M1079&lt;=INPUTS!$C$7),"Yes","No"))</f>
        <v>Yes</v>
      </c>
      <c r="O1079" s="48" t="str">
        <f aca="false">STACK!H1079</f>
        <v>PharmD</v>
      </c>
      <c r="P1079" s="1" t="str">
        <f aca="false">IF(G1079&gt;0,IF(INDEX(CONFIRM!$H$5:$H$53,G1079)&lt;&gt;"",INDEX(CONFIRM!$H$5:$H$53,G1079),IFERROR(INDEX(MAP!$B$7:$B$156,MATCH(TRIM(O1079),MAP!$A$7:$A$156,0)),"UNMAPPED")),IFERROR(INDEX(MAP!$B$7:$B$156,MATCH(TRIM(O1079),MAP!$A$7:$A$156,0)),"UNMAPPED"))</f>
        <v>Pharmacist</v>
      </c>
      <c r="Q1079" s="48" t="n">
        <f aca="false">STACK!I1079</f>
        <v>16.5</v>
      </c>
      <c r="R1079" s="60" t="n">
        <f aca="false">IF(G1079&gt;0,IF(INDEX(CONFIRM!$F$5:$F$53,G1079)&lt;&gt;"",INDEX(CONFIRM!$F$5:$F$53,G1079),IF(ISNUMBER(Q1079),Q1079,IF(Q1079="","",IFERROR(VALUE(TRIM(SUBSTITUTE(SUBSTITUTE(LOWER(Q1079),"hrs",""),"hr",""))),"")))),IF(ISNUMBER(Q1079),Q1079,IF(Q1079="","",IFERROR(VALUE(TRIM(SUBSTITUTE(SUBSTITUTE(LOWER(Q1079),"hrs",""),"hr",""))),""))))</f>
        <v>16.5</v>
      </c>
      <c r="S1079" s="57" t="n">
        <f aca="false">IFERROR(INDEX(RATES!$E$6:$E$28,MATCH(P1079,RATES!$A$6:$A$28,0)),0)</f>
        <v>84.81</v>
      </c>
      <c r="T1079" s="61" t="n">
        <f aca="false">IF(ISNUMBER(R1079),R1079,0)*S1079</f>
        <v>1399.365</v>
      </c>
      <c r="U1079" s="61" t="n">
        <f aca="false">T1079*INDEX(INPUTS!$H$10:$H$14,MATCH(B1079,INPUTS!$A$10:$A$14,0))</f>
        <v>221.09967</v>
      </c>
      <c r="V1079" s="61" t="n">
        <f aca="false">N(STACK!K1079)</f>
        <v>15840</v>
      </c>
      <c r="W1079" s="61" t="n">
        <f aca="false">T1079+U1079+V1079</f>
        <v>17460.46467</v>
      </c>
      <c r="X1079" s="61" t="n">
        <f aca="false">N(STACK!L1079)</f>
        <v>0</v>
      </c>
      <c r="Y1079" s="61" t="n">
        <f aca="false">W1079-X1079</f>
        <v>17460.46467</v>
      </c>
      <c r="Z1079" s="1" t="n">
        <f aca="false">N(STACK!J1079)</f>
        <v>84</v>
      </c>
      <c r="AA1079" s="1" t="str">
        <f aca="false">TRIM(IF(D1079="UNMAPPED","Program not mapped. ","")&amp;IF(OR(K1079="UNMAPPED",K1079="UNASSIGNED"),"Category needs review. ","")&amp;IF(P1079="UNMAPPED","Title not mapped. ","")&amp;IF(AND(P1079&lt;&gt;"No staff time",R1079=""),"Missing hours. ","")&amp;IF(M1079="","Date not readable. ","")&amp;IF(N1079="No","Outside fiscal year. ","")&amp;IF(AND(F1079="Event",ISNUMBER(R1079)),IF(R1079&gt;12,"Event hours look high. ",""),"")&amp;IF(G1079&gt;0,"See CONFIRM sheet.",""))</f>
        <v/>
      </c>
      <c r="AB1079" s="1" t="n">
        <f aca="false">IF(N1079="No",0,IF(REVIEW!O1079=0,0,IF(G1079&gt;0,IF(INDEX(CONFIRM!$J$5:$J$53,G1079)&lt;&gt;"",INDEX(CONFIRM!$J$5:$J$53,G1079),1),1)))</f>
        <v>1</v>
      </c>
      <c r="AC1079" s="1" t="n">
        <f aca="false">IF(AB1079=1,IF(COUNTIFS($B$5:B1079,B1079,$D$5:D1079,D1079,$AB$5:AB1079,1)=1,1,0),0)</f>
        <v>0</v>
      </c>
    </row>
    <row r="1080" customFormat="false" ht="15" hidden="false" customHeight="false" outlineLevel="0" collapsed="false">
      <c r="A1080" s="48" t="str">
        <f aca="false">STACK!A1080</f>
        <v>CBH-0252</v>
      </c>
      <c r="B1080" s="48" t="str">
        <f aca="false">STACK!B1080</f>
        <v>CBH</v>
      </c>
      <c r="C1080" s="48" t="str">
        <f aca="false">STACK!E1080</f>
        <v>Community Benefit Admin</v>
      </c>
      <c r="D1080" s="1" t="str">
        <f aca="false">IFERROR(INDEX(MAP!$J$7:$J$101,MATCH(TRIM(C1080),MAP!$I$7:$I$101,0)),"UNMAPPED")</f>
        <v>Community Benefit Program Administration</v>
      </c>
      <c r="E1080" s="1" t="str">
        <f aca="false">IFERROR(INDEX(MAP!$K$7:$K$101,MATCH(TRIM(C1080),MAP!$I$7:$I$101,0)),"")</f>
        <v>Community benefit infrastructure</v>
      </c>
      <c r="F1080" s="1" t="str">
        <f aca="false">IFERROR(INDEX(MAP!$L$7:$L$101,MATCH(TRIM(C1080),MAP!$I$7:$I$101,0)),"")</f>
        <v>Monthly</v>
      </c>
      <c r="G1080" s="1" t="n">
        <f aca="false">IFERROR(MATCH(A1080,CONFIRM!$A$5:$A$53,0),0)</f>
        <v>0</v>
      </c>
      <c r="H1080" s="48" t="str">
        <f aca="false">STACK!F1080</f>
        <v>Ops</v>
      </c>
      <c r="I1080" s="1" t="str">
        <f aca="false">IF(G1080&gt;0,IF(INDEX(CONFIRM!$I$5:$I$53,G1080)&lt;&gt;"",INDEX(CONFIRM!$I$5:$I$53,G1080),H1080),H1080)</f>
        <v>Ops</v>
      </c>
      <c r="J1080" s="1" t="str">
        <f aca="false">IFERROR(INDEX(MAP!$F$7:$F$74,MATCH(TRIM(I1080),MAP!$E$7:$E$74,0)),"UNMAPPED")</f>
        <v>Community benefit operations</v>
      </c>
      <c r="K1080" s="1" t="str">
        <f aca="false">IFERROR(INDEX(MAP!$G$7:$G$74,MATCH(TRIM(I1080),MAP!$E$7:$E$74,0)),"UNMAPPED")</f>
        <v>7e</v>
      </c>
      <c r="L1080" s="49" t="str">
        <f aca="false">STACK!G1080</f>
        <v>2026-05-31</v>
      </c>
      <c r="M1080" s="59" t="n">
        <f aca="false">IF(G1080&gt;0,IF(INDEX(CONFIRM!$G$5:$G$53,G1080)&lt;&gt;"",INDEX(CONFIRM!$G$5:$G$53,G1080),IF(ISNUMBER(L1080),L1080,IFERROR(DATEVALUE(L1080),""))),IF(ISNUMBER(L1080),L1080,IFERROR(DATEVALUE(L1080),"")))</f>
        <v>46173</v>
      </c>
      <c r="N1080" s="1" t="str">
        <f aca="false">IF(M1080="","Check",IF(AND(M1080&gt;=INPUTS!$C$6,M1080&lt;=INPUTS!$C$7),"Yes","No"))</f>
        <v>Yes</v>
      </c>
      <c r="O1080" s="48" t="str">
        <f aca="false">STACK!H1080</f>
        <v>Admin. Assistant</v>
      </c>
      <c r="P1080" s="1" t="str">
        <f aca="false">IF(G1080&gt;0,IF(INDEX(CONFIRM!$H$5:$H$53,G1080)&lt;&gt;"",INDEX(CONFIRM!$H$5:$H$53,G1080),IFERROR(INDEX(MAP!$B$7:$B$156,MATCH(TRIM(O1080),MAP!$A$7:$A$156,0)),"UNMAPPED")),IFERROR(INDEX(MAP!$B$7:$B$156,MATCH(TRIM(O1080),MAP!$A$7:$A$156,0)),"UNMAPPED"))</f>
        <v>Administrative Assistant</v>
      </c>
      <c r="Q1080" s="48" t="n">
        <f aca="false">STACK!I1080</f>
        <v>53</v>
      </c>
      <c r="R1080" s="60" t="n">
        <f aca="false">IF(G1080&gt;0,IF(INDEX(CONFIRM!$F$5:$F$53,G1080)&lt;&gt;"",INDEX(CONFIRM!$F$5:$F$53,G1080),IF(ISNUMBER(Q1080),Q1080,IF(Q1080="","",IFERROR(VALUE(TRIM(SUBSTITUTE(SUBSTITUTE(LOWER(Q1080),"hrs",""),"hr",""))),"")))),IF(ISNUMBER(Q1080),Q1080,IF(Q1080="","",IFERROR(VALUE(TRIM(SUBSTITUTE(SUBSTITUTE(LOWER(Q1080),"hrs",""),"hr",""))),""))))</f>
        <v>53</v>
      </c>
      <c r="S1080" s="57" t="n">
        <f aca="false">IFERROR(INDEX(RATES!$E$6:$E$28,MATCH(P1080,RATES!$A$6:$A$28,0)),0)</f>
        <v>26.985</v>
      </c>
      <c r="T1080" s="61" t="n">
        <f aca="false">IF(ISNUMBER(R1080),R1080,0)*S1080</f>
        <v>1430.205</v>
      </c>
      <c r="U1080" s="61" t="n">
        <f aca="false">T1080*INDEX(INPUTS!$H$10:$H$14,MATCH(B1080,INPUTS!$A$10:$A$14,0))</f>
        <v>225.97239</v>
      </c>
      <c r="V1080" s="61" t="n">
        <f aca="false">N(STACK!K1080)</f>
        <v>0</v>
      </c>
      <c r="W1080" s="61" t="n">
        <f aca="false">T1080+U1080+V1080</f>
        <v>1656.17739</v>
      </c>
      <c r="X1080" s="61" t="n">
        <f aca="false">N(STACK!L1080)</f>
        <v>0</v>
      </c>
      <c r="Y1080" s="61" t="n">
        <f aca="false">W1080-X1080</f>
        <v>1656.17739</v>
      </c>
      <c r="Z1080" s="1" t="n">
        <f aca="false">N(STACK!J1080)</f>
        <v>0</v>
      </c>
      <c r="AA1080" s="1" t="str">
        <f aca="false">TRIM(IF(D1080="UNMAPPED","Program not mapped. ","")&amp;IF(OR(K1080="UNMAPPED",K1080="UNASSIGNED"),"Category needs review. ","")&amp;IF(P1080="UNMAPPED","Title not mapped. ","")&amp;IF(AND(P1080&lt;&gt;"No staff time",R1080=""),"Missing hours. ","")&amp;IF(M1080="","Date not readable. ","")&amp;IF(N1080="No","Outside fiscal year. ","")&amp;IF(AND(F1080="Event",ISNUMBER(R1080)),IF(R1080&gt;12,"Event hours look high. ",""),"")&amp;IF(G1080&gt;0,"See CONFIRM sheet.",""))</f>
        <v/>
      </c>
      <c r="AB1080" s="1" t="n">
        <f aca="false">IF(N1080="No",0,IF(REVIEW!O1080=0,0,IF(G1080&gt;0,IF(INDEX(CONFIRM!$J$5:$J$53,G1080)&lt;&gt;"",INDEX(CONFIRM!$J$5:$J$53,G1080),1),1)))</f>
        <v>1</v>
      </c>
      <c r="AC1080" s="1" t="n">
        <f aca="false">IF(AB1080=1,IF(COUNTIFS($B$5:B1080,B1080,$D$5:D1080,D1080,$AB$5:AB1080,1)=1,1,0),0)</f>
        <v>0</v>
      </c>
    </row>
    <row r="1081" customFormat="false" ht="15" hidden="false" customHeight="false" outlineLevel="0" collapsed="false">
      <c r="A1081" s="48" t="str">
        <f aca="false">STACK!A1081</f>
        <v>CBH-0253</v>
      </c>
      <c r="B1081" s="48" t="str">
        <f aca="false">STACK!B1081</f>
        <v>CBH</v>
      </c>
      <c r="C1081" s="48" t="str">
        <f aca="false">STACK!E1081</f>
        <v>Community Benefit Admin</v>
      </c>
      <c r="D1081" s="1" t="str">
        <f aca="false">IFERROR(INDEX(MAP!$J$7:$J$101,MATCH(TRIM(C1081),MAP!$I$7:$I$101,0)),"UNMAPPED")</f>
        <v>Community Benefit Program Administration</v>
      </c>
      <c r="E1081" s="1" t="str">
        <f aca="false">IFERROR(INDEX(MAP!$K$7:$K$101,MATCH(TRIM(C1081),MAP!$I$7:$I$101,0)),"")</f>
        <v>Community benefit infrastructure</v>
      </c>
      <c r="F1081" s="1" t="str">
        <f aca="false">IFERROR(INDEX(MAP!$L$7:$L$101,MATCH(TRIM(C1081),MAP!$I$7:$I$101,0)),"")</f>
        <v>Monthly</v>
      </c>
      <c r="G1081" s="1" t="n">
        <f aca="false">IFERROR(MATCH(A1081,CONFIRM!$A$5:$A$53,0),0)</f>
        <v>0</v>
      </c>
      <c r="H1081" s="48" t="str">
        <f aca="false">STACK!F1081</f>
        <v>Ops</v>
      </c>
      <c r="I1081" s="1" t="str">
        <f aca="false">IF(G1081&gt;0,IF(INDEX(CONFIRM!$I$5:$I$53,G1081)&lt;&gt;"",INDEX(CONFIRM!$I$5:$I$53,G1081),H1081),H1081)</f>
        <v>Ops</v>
      </c>
      <c r="J1081" s="1" t="str">
        <f aca="false">IFERROR(INDEX(MAP!$F$7:$F$74,MATCH(TRIM(I1081),MAP!$E$7:$E$74,0)),"UNMAPPED")</f>
        <v>Community benefit operations</v>
      </c>
      <c r="K1081" s="1" t="str">
        <f aca="false">IFERROR(INDEX(MAP!$G$7:$G$74,MATCH(TRIM(I1081),MAP!$E$7:$E$74,0)),"UNMAPPED")</f>
        <v>7e</v>
      </c>
      <c r="L1081" s="49" t="str">
        <f aca="false">STACK!G1081</f>
        <v>2026-05-31</v>
      </c>
      <c r="M1081" s="59" t="n">
        <f aca="false">IF(G1081&gt;0,IF(INDEX(CONFIRM!$G$5:$G$53,G1081)&lt;&gt;"",INDEX(CONFIRM!$G$5:$G$53,G1081),IF(ISNUMBER(L1081),L1081,IFERROR(DATEVALUE(L1081),""))),IF(ISNUMBER(L1081),L1081,IFERROR(DATEVALUE(L1081),"")))</f>
        <v>46173</v>
      </c>
      <c r="N1081" s="1" t="str">
        <f aca="false">IF(M1081="","Check",IF(AND(M1081&gt;=INPUTS!$C$6,M1081&lt;=INPUTS!$C$7),"Yes","No"))</f>
        <v>Yes</v>
      </c>
      <c r="O1081" s="48" t="str">
        <f aca="false">STACK!H1081</f>
        <v>Community Benefit Mgr</v>
      </c>
      <c r="P1081" s="1" t="str">
        <f aca="false">IF(G1081&gt;0,IF(INDEX(CONFIRM!$H$5:$H$53,G1081)&lt;&gt;"",INDEX(CONFIRM!$H$5:$H$53,G1081),IFERROR(INDEX(MAP!$B$7:$B$156,MATCH(TRIM(O1081),MAP!$A$7:$A$156,0)),"UNMAPPED")),IFERROR(INDEX(MAP!$B$7:$B$156,MATCH(TRIM(O1081),MAP!$A$7:$A$156,0)),"UNMAPPED"))</f>
        <v>Community Benefit Manager</v>
      </c>
      <c r="Q1081" s="48" t="n">
        <f aca="false">STACK!I1081</f>
        <v>74</v>
      </c>
      <c r="R1081" s="60" t="n">
        <f aca="false">IF(G1081&gt;0,IF(INDEX(CONFIRM!$F$5:$F$53,G1081)&lt;&gt;"",INDEX(CONFIRM!$F$5:$F$53,G1081),IF(ISNUMBER(Q1081),Q1081,IF(Q1081="","",IFERROR(VALUE(TRIM(SUBSTITUTE(SUBSTITUTE(LOWER(Q1081),"hrs",""),"hr",""))),"")))),IF(ISNUMBER(Q1081),Q1081,IF(Q1081="","",IFERROR(VALUE(TRIM(SUBSTITUTE(SUBSTITUTE(LOWER(Q1081),"hrs",""),"hr",""))),""))))</f>
        <v>74</v>
      </c>
      <c r="S1081" s="57" t="n">
        <f aca="false">IFERROR(INDEX(RATES!$E$6:$E$28,MATCH(P1081,RATES!$A$6:$A$28,0)),0)</f>
        <v>59.11</v>
      </c>
      <c r="T1081" s="61" t="n">
        <f aca="false">IF(ISNUMBER(R1081),R1081,0)*S1081</f>
        <v>4374.14</v>
      </c>
      <c r="U1081" s="61" t="n">
        <f aca="false">T1081*INDEX(INPUTS!$H$10:$H$14,MATCH(B1081,INPUTS!$A$10:$A$14,0))</f>
        <v>691.11412</v>
      </c>
      <c r="V1081" s="61" t="n">
        <f aca="false">N(STACK!K1081)</f>
        <v>645</v>
      </c>
      <c r="W1081" s="61" t="n">
        <f aca="false">T1081+U1081+V1081</f>
        <v>5710.25412</v>
      </c>
      <c r="X1081" s="61" t="n">
        <f aca="false">N(STACK!L1081)</f>
        <v>0</v>
      </c>
      <c r="Y1081" s="61" t="n">
        <f aca="false">W1081-X1081</f>
        <v>5710.25412</v>
      </c>
      <c r="Z1081" s="1" t="n">
        <f aca="false">N(STACK!J1081)</f>
        <v>0</v>
      </c>
      <c r="AA1081" s="1" t="str">
        <f aca="false">TRIM(IF(D1081="UNMAPPED","Program not mapped. ","")&amp;IF(OR(K1081="UNMAPPED",K1081="UNASSIGNED"),"Category needs review. ","")&amp;IF(P1081="UNMAPPED","Title not mapped. ","")&amp;IF(AND(P1081&lt;&gt;"No staff time",R1081=""),"Missing hours. ","")&amp;IF(M1081="","Date not readable. ","")&amp;IF(N1081="No","Outside fiscal year. ","")&amp;IF(AND(F1081="Event",ISNUMBER(R1081)),IF(R1081&gt;12,"Event hours look high. ",""),"")&amp;IF(G1081&gt;0,"See CONFIRM sheet.",""))</f>
        <v/>
      </c>
      <c r="AB1081" s="1" t="n">
        <f aca="false">IF(N1081="No",0,IF(REVIEW!O1081=0,0,IF(G1081&gt;0,IF(INDEX(CONFIRM!$J$5:$J$53,G1081)&lt;&gt;"",INDEX(CONFIRM!$J$5:$J$53,G1081),1),1)))</f>
        <v>1</v>
      </c>
      <c r="AC1081" s="1" t="n">
        <f aca="false">IF(AB1081=1,IF(COUNTIFS($B$5:B1081,B1081,$D$5:D1081,D1081,$AB$5:AB1081,1)=1,1,0),0)</f>
        <v>0</v>
      </c>
    </row>
    <row r="1082" customFormat="false" ht="15" hidden="false" customHeight="false" outlineLevel="0" collapsed="false">
      <c r="A1082" s="48" t="str">
        <f aca="false">STACK!A1082</f>
        <v>CBH-0254</v>
      </c>
      <c r="B1082" s="48" t="str">
        <f aca="false">STACK!B1082</f>
        <v>CBH</v>
      </c>
      <c r="C1082" s="48" t="str">
        <f aca="false">STACK!E1082</f>
        <v>Interpreter Services</v>
      </c>
      <c r="D1082" s="1" t="str">
        <f aca="false">IFERROR(INDEX(MAP!$J$7:$J$101,MATCH(TRIM(C1082),MAP!$I$7:$I$101,0)),"UNMAPPED")</f>
        <v>Interpreter Services for Community Clinics</v>
      </c>
      <c r="E1082" s="1" t="str">
        <f aca="false">IFERROR(INDEX(MAP!$K$7:$K$101,MATCH(TRIM(C1082),MAP!$I$7:$I$101,0)),"")</f>
        <v>Access to care</v>
      </c>
      <c r="F1082" s="1" t="str">
        <f aca="false">IFERROR(INDEX(MAP!$L$7:$L$101,MATCH(TRIM(C1082),MAP!$I$7:$I$101,0)),"")</f>
        <v>Monthly</v>
      </c>
      <c r="G1082" s="1" t="n">
        <f aca="false">IFERROR(MATCH(A1082,CONFIRM!$A$5:$A$53,0),0)</f>
        <v>0</v>
      </c>
      <c r="H1082" s="48" t="str">
        <f aca="false">STACK!F1082</f>
        <v>Patient Support</v>
      </c>
      <c r="I1082" s="1" t="str">
        <f aca="false">IF(G1082&gt;0,IF(INDEX(CONFIRM!$I$5:$I$53,G1082)&lt;&gt;"",INDEX(CONFIRM!$I$5:$I$53,G1082),H1082),H1082)</f>
        <v>Patient Support</v>
      </c>
      <c r="J1082" s="1" t="str">
        <f aca="false">IFERROR(INDEX(MAP!$F$7:$F$74,MATCH(TRIM(I1082),MAP!$E$7:$E$74,0)),"UNMAPPED")</f>
        <v>Health care support services</v>
      </c>
      <c r="K1082" s="1" t="str">
        <f aca="false">IFERROR(INDEX(MAP!$G$7:$G$74,MATCH(TRIM(I1082),MAP!$E$7:$E$74,0)),"UNMAPPED")</f>
        <v>7e</v>
      </c>
      <c r="L1082" s="49" t="str">
        <f aca="false">STACK!G1082</f>
        <v>2026-05-31</v>
      </c>
      <c r="M1082" s="59" t="n">
        <f aca="false">IF(G1082&gt;0,IF(INDEX(CONFIRM!$G$5:$G$53,G1082)&lt;&gt;"",INDEX(CONFIRM!$G$5:$G$53,G1082),IF(ISNUMBER(L1082),L1082,IFERROR(DATEVALUE(L1082),""))),IF(ISNUMBER(L1082),L1082,IFERROR(DATEVALUE(L1082),"")))</f>
        <v>46173</v>
      </c>
      <c r="N1082" s="1" t="str">
        <f aca="false">IF(M1082="","Check",IF(AND(M1082&gt;=INPUTS!$C$6,M1082&lt;=INPUTS!$C$7),"Yes","No"))</f>
        <v>Yes</v>
      </c>
      <c r="O1082" s="48" t="str">
        <f aca="false">STACK!H1082</f>
        <v>Medical Interpreter</v>
      </c>
      <c r="P1082" s="1" t="str">
        <f aca="false">IF(G1082&gt;0,IF(INDEX(CONFIRM!$H$5:$H$53,G1082)&lt;&gt;"",INDEX(CONFIRM!$H$5:$H$53,G1082),IFERROR(INDEX(MAP!$B$7:$B$156,MATCH(TRIM(O1082),MAP!$A$7:$A$156,0)),"UNMAPPED")),IFERROR(INDEX(MAP!$B$7:$B$156,MATCH(TRIM(O1082),MAP!$A$7:$A$156,0)),"UNMAPPED"))</f>
        <v>Interpreter</v>
      </c>
      <c r="Q1082" s="48" t="n">
        <f aca="false">STACK!I1082</f>
        <v>47.5</v>
      </c>
      <c r="R1082" s="60" t="n">
        <f aca="false">IF(G1082&gt;0,IF(INDEX(CONFIRM!$F$5:$F$53,G1082)&lt;&gt;"",INDEX(CONFIRM!$F$5:$F$53,G1082),IF(ISNUMBER(Q1082),Q1082,IF(Q1082="","",IFERROR(VALUE(TRIM(SUBSTITUTE(SUBSTITUTE(LOWER(Q1082),"hrs",""),"hr",""))),"")))),IF(ISNUMBER(Q1082),Q1082,IF(Q1082="","",IFERROR(VALUE(TRIM(SUBSTITUTE(SUBSTITUTE(LOWER(Q1082),"hrs",""),"hr",""))),""))))</f>
        <v>47.5</v>
      </c>
      <c r="S1082" s="57" t="n">
        <f aca="false">IFERROR(INDEX(RATES!$E$6:$E$28,MATCH(P1082,RATES!$A$6:$A$28,0)),0)</f>
        <v>32.7675</v>
      </c>
      <c r="T1082" s="61" t="n">
        <f aca="false">IF(ISNUMBER(R1082),R1082,0)*S1082</f>
        <v>1556.45625</v>
      </c>
      <c r="U1082" s="61" t="n">
        <f aca="false">T1082*INDEX(INPUTS!$H$10:$H$14,MATCH(B1082,INPUTS!$A$10:$A$14,0))</f>
        <v>245.9200875</v>
      </c>
      <c r="V1082" s="61" t="n">
        <f aca="false">N(STACK!K1082)</f>
        <v>0</v>
      </c>
      <c r="W1082" s="61" t="n">
        <f aca="false">T1082+U1082+V1082</f>
        <v>1802.3763375</v>
      </c>
      <c r="X1082" s="61" t="n">
        <f aca="false">N(STACK!L1082)</f>
        <v>0</v>
      </c>
      <c r="Y1082" s="61" t="n">
        <f aca="false">W1082-X1082</f>
        <v>1802.3763375</v>
      </c>
      <c r="Z1082" s="1" t="n">
        <f aca="false">N(STACK!J1082)</f>
        <v>160</v>
      </c>
      <c r="AA1082" s="1" t="str">
        <f aca="false">TRIM(IF(D1082="UNMAPPED","Program not mapped. ","")&amp;IF(OR(K1082="UNMAPPED",K1082="UNASSIGNED"),"Category needs review. ","")&amp;IF(P1082="UNMAPPED","Title not mapped. ","")&amp;IF(AND(P1082&lt;&gt;"No staff time",R1082=""),"Missing hours. ","")&amp;IF(M1082="","Date not readable. ","")&amp;IF(N1082="No","Outside fiscal year. ","")&amp;IF(AND(F1082="Event",ISNUMBER(R1082)),IF(R1082&gt;12,"Event hours look high. ",""),"")&amp;IF(G1082&gt;0,"See CONFIRM sheet.",""))</f>
        <v/>
      </c>
      <c r="AB1082" s="1" t="n">
        <f aca="false">IF(N1082="No",0,IF(REVIEW!O1082=0,0,IF(G1082&gt;0,IF(INDEX(CONFIRM!$J$5:$J$53,G1082)&lt;&gt;"",INDEX(CONFIRM!$J$5:$J$53,G1082),1),1)))</f>
        <v>1</v>
      </c>
      <c r="AC1082" s="1" t="n">
        <f aca="false">IF(AB1082=1,IF(COUNTIFS($B$5:B1082,B1082,$D$5:D1082,D1082,$AB$5:AB1082,1)=1,1,0),0)</f>
        <v>0</v>
      </c>
    </row>
    <row r="1083" customFormat="false" ht="15" hidden="false" customHeight="false" outlineLevel="0" collapsed="false">
      <c r="A1083" s="48" t="str">
        <f aca="false">STACK!A1083</f>
        <v>CBH-0255</v>
      </c>
      <c r="B1083" s="48" t="str">
        <f aca="false">STACK!B1083</f>
        <v>CBH</v>
      </c>
      <c r="C1083" s="48" t="str">
        <f aca="false">STACK!E1083</f>
        <v>Nursing Student Rotations</v>
      </c>
      <c r="D1083" s="1" t="str">
        <f aca="false">IFERROR(INDEX(MAP!$J$7:$J$101,MATCH(TRIM(C1083),MAP!$I$7:$I$101,0)),"UNMAPPED")</f>
        <v>Nursing Student Clinical Rotations</v>
      </c>
      <c r="E1083" s="1" t="str">
        <f aca="false">IFERROR(INDEX(MAP!$K$7:$K$101,MATCH(TRIM(C1083),MAP!$I$7:$I$101,0)),"")</f>
        <v>Health workforce</v>
      </c>
      <c r="F1083" s="1" t="str">
        <f aca="false">IFERROR(INDEX(MAP!$L$7:$L$101,MATCH(TRIM(C1083),MAP!$I$7:$I$101,0)),"")</f>
        <v>Monthly</v>
      </c>
      <c r="G1083" s="1" t="n">
        <f aca="false">IFERROR(MATCH(A1083,CONFIRM!$A$5:$A$53,0),0)</f>
        <v>0</v>
      </c>
      <c r="H1083" s="48" t="str">
        <f aca="false">STACK!F1083</f>
        <v>Education - Health Professions</v>
      </c>
      <c r="I1083" s="1" t="str">
        <f aca="false">IF(G1083&gt;0,IF(INDEX(CONFIRM!$I$5:$I$53,G1083)&lt;&gt;"",INDEX(CONFIRM!$I$5:$I$53,G1083),H1083),H1083)</f>
        <v>Education - Health Professions</v>
      </c>
      <c r="J1083" s="1" t="str">
        <f aca="false">IFERROR(INDEX(MAP!$F$7:$F$74,MATCH(TRIM(I1083),MAP!$E$7:$E$74,0)),"UNMAPPED")</f>
        <v>Health professions education</v>
      </c>
      <c r="K1083" s="1" t="str">
        <f aca="false">IFERROR(INDEX(MAP!$G$7:$G$74,MATCH(TRIM(I1083),MAP!$E$7:$E$74,0)),"UNMAPPED")</f>
        <v>7f</v>
      </c>
      <c r="L1083" s="49" t="str">
        <f aca="false">STACK!G1083</f>
        <v>2026-05-31</v>
      </c>
      <c r="M1083" s="59" t="n">
        <f aca="false">IF(G1083&gt;0,IF(INDEX(CONFIRM!$G$5:$G$53,G1083)&lt;&gt;"",INDEX(CONFIRM!$G$5:$G$53,G1083),IF(ISNUMBER(L1083),L1083,IFERROR(DATEVALUE(L1083),""))),IF(ISNUMBER(L1083),L1083,IFERROR(DATEVALUE(L1083),"")))</f>
        <v>46173</v>
      </c>
      <c r="N1083" s="1" t="str">
        <f aca="false">IF(M1083="","Check",IF(AND(M1083&gt;=INPUTS!$C$6,M1083&lt;=INPUTS!$C$7),"Yes","No"))</f>
        <v>Yes</v>
      </c>
      <c r="O1083" s="48" t="str">
        <f aca="false">STACK!H1083</f>
        <v>Preceptor RN</v>
      </c>
      <c r="P1083" s="1" t="str">
        <f aca="false">IF(G1083&gt;0,IF(INDEX(CONFIRM!$H$5:$H$53,G1083)&lt;&gt;"",INDEX(CONFIRM!$H$5:$H$53,G1083),IFERROR(INDEX(MAP!$B$7:$B$156,MATCH(TRIM(O1083),MAP!$A$7:$A$156,0)),"UNMAPPED")),IFERROR(INDEX(MAP!$B$7:$B$156,MATCH(TRIM(O1083),MAP!$A$7:$A$156,0)),"UNMAPPED"))</f>
        <v>Clinical Nurse Educator</v>
      </c>
      <c r="Q1083" s="48" t="n">
        <f aca="false">STACK!I1083</f>
        <v>124.5</v>
      </c>
      <c r="R1083" s="60" t="n">
        <f aca="false">IF(G1083&gt;0,IF(INDEX(CONFIRM!$F$5:$F$53,G1083)&lt;&gt;"",INDEX(CONFIRM!$F$5:$F$53,G1083),IF(ISNUMBER(Q1083),Q1083,IF(Q1083="","",IFERROR(VALUE(TRIM(SUBSTITUTE(SUBSTITUTE(LOWER(Q1083),"hrs",""),"hr",""))),"")))),IF(ISNUMBER(Q1083),Q1083,IF(Q1083="","",IFERROR(VALUE(TRIM(SUBSTITUTE(SUBSTITUTE(LOWER(Q1083),"hrs",""),"hr",""))),""))))</f>
        <v>124.5</v>
      </c>
      <c r="S1083" s="57" t="n">
        <f aca="false">IFERROR(INDEX(RATES!$E$6:$E$28,MATCH(P1083,RATES!$A$6:$A$28,0)),0)</f>
        <v>62.965</v>
      </c>
      <c r="T1083" s="61" t="n">
        <f aca="false">IF(ISNUMBER(R1083),R1083,0)*S1083</f>
        <v>7839.1425</v>
      </c>
      <c r="U1083" s="61" t="n">
        <f aca="false">T1083*INDEX(INPUTS!$H$10:$H$14,MATCH(B1083,INPUTS!$A$10:$A$14,0))</f>
        <v>1238.584515</v>
      </c>
      <c r="V1083" s="61" t="n">
        <f aca="false">N(STACK!K1083)</f>
        <v>740</v>
      </c>
      <c r="W1083" s="61" t="n">
        <f aca="false">T1083+U1083+V1083</f>
        <v>9817.727015</v>
      </c>
      <c r="X1083" s="61" t="n">
        <f aca="false">N(STACK!L1083)</f>
        <v>0</v>
      </c>
      <c r="Y1083" s="61" t="n">
        <f aca="false">W1083-X1083</f>
        <v>9817.727015</v>
      </c>
      <c r="Z1083" s="1" t="n">
        <f aca="false">N(STACK!J1083)</f>
        <v>28</v>
      </c>
      <c r="AA1083" s="1" t="str">
        <f aca="false">TRIM(IF(D1083="UNMAPPED","Program not mapped. ","")&amp;IF(OR(K1083="UNMAPPED",K1083="UNASSIGNED"),"Category needs review. ","")&amp;IF(P1083="UNMAPPED","Title not mapped. ","")&amp;IF(AND(P1083&lt;&gt;"No staff time",R1083=""),"Missing hours. ","")&amp;IF(M1083="","Date not readable. ","")&amp;IF(N1083="No","Outside fiscal year. ","")&amp;IF(AND(F1083="Event",ISNUMBER(R1083)),IF(R1083&gt;12,"Event hours look high. ",""),"")&amp;IF(G1083&gt;0,"See CONFIRM sheet.",""))</f>
        <v/>
      </c>
      <c r="AB1083" s="1" t="n">
        <f aca="false">IF(N1083="No",0,IF(REVIEW!O1083=0,0,IF(G1083&gt;0,IF(INDEX(CONFIRM!$J$5:$J$53,G1083)&lt;&gt;"",INDEX(CONFIRM!$J$5:$J$53,G1083),1),1)))</f>
        <v>1</v>
      </c>
      <c r="AC1083" s="1" t="n">
        <f aca="false">IF(AB1083=1,IF(COUNTIFS($B$5:B1083,B1083,$D$5:D1083,D1083,$AB$5:AB1083,1)=1,1,0),0)</f>
        <v>0</v>
      </c>
    </row>
    <row r="1084" customFormat="false" ht="15" hidden="false" customHeight="false" outlineLevel="0" collapsed="false">
      <c r="A1084" s="48" t="str">
        <f aca="false">STACK!A1084</f>
        <v>CBH-0256</v>
      </c>
      <c r="B1084" s="48" t="str">
        <f aca="false">STACK!B1084</f>
        <v>CBH</v>
      </c>
      <c r="C1084" s="48" t="str">
        <f aca="false">STACK!E1084</f>
        <v>Nursing Student Rotations</v>
      </c>
      <c r="D1084" s="1" t="str">
        <f aca="false">IFERROR(INDEX(MAP!$J$7:$J$101,MATCH(TRIM(C1084),MAP!$I$7:$I$101,0)),"UNMAPPED")</f>
        <v>Nursing Student Clinical Rotations</v>
      </c>
      <c r="E1084" s="1" t="str">
        <f aca="false">IFERROR(INDEX(MAP!$K$7:$K$101,MATCH(TRIM(C1084),MAP!$I$7:$I$101,0)),"")</f>
        <v>Health workforce</v>
      </c>
      <c r="F1084" s="1" t="str">
        <f aca="false">IFERROR(INDEX(MAP!$L$7:$L$101,MATCH(TRIM(C1084),MAP!$I$7:$I$101,0)),"")</f>
        <v>Monthly</v>
      </c>
      <c r="G1084" s="1" t="n">
        <f aca="false">IFERROR(MATCH(A1084,CONFIRM!$A$5:$A$53,0),0)</f>
        <v>0</v>
      </c>
      <c r="H1084" s="48" t="str">
        <f aca="false">STACK!F1084</f>
        <v>Education - Health Professions</v>
      </c>
      <c r="I1084" s="1" t="str">
        <f aca="false">IF(G1084&gt;0,IF(INDEX(CONFIRM!$I$5:$I$53,G1084)&lt;&gt;"",INDEX(CONFIRM!$I$5:$I$53,G1084),H1084),H1084)</f>
        <v>Education - Health Professions</v>
      </c>
      <c r="J1084" s="1" t="str">
        <f aca="false">IFERROR(INDEX(MAP!$F$7:$F$74,MATCH(TRIM(I1084),MAP!$E$7:$E$74,0)),"UNMAPPED")</f>
        <v>Health professions education</v>
      </c>
      <c r="K1084" s="1" t="str">
        <f aca="false">IFERROR(INDEX(MAP!$G$7:$G$74,MATCH(TRIM(I1084),MAP!$E$7:$E$74,0)),"UNMAPPED")</f>
        <v>7f</v>
      </c>
      <c r="L1084" s="49" t="str">
        <f aca="false">STACK!G1084</f>
        <v>2026-05-31</v>
      </c>
      <c r="M1084" s="59" t="n">
        <f aca="false">IF(G1084&gt;0,IF(INDEX(CONFIRM!$G$5:$G$53,G1084)&lt;&gt;"",INDEX(CONFIRM!$G$5:$G$53,G1084),IF(ISNUMBER(L1084),L1084,IFERROR(DATEVALUE(L1084),""))),IF(ISNUMBER(L1084),L1084,IFERROR(DATEVALUE(L1084),"")))</f>
        <v>46173</v>
      </c>
      <c r="N1084" s="1" t="str">
        <f aca="false">IF(M1084="","Check",IF(AND(M1084&gt;=INPUTS!$C$6,M1084&lt;=INPUTS!$C$7),"Yes","No"))</f>
        <v>Yes</v>
      </c>
      <c r="O1084" s="48" t="str">
        <f aca="false">STACK!H1084</f>
        <v>RN II</v>
      </c>
      <c r="P1084" s="1" t="str">
        <f aca="false">IF(G1084&gt;0,IF(INDEX(CONFIRM!$H$5:$H$53,G1084)&lt;&gt;"",INDEX(CONFIRM!$H$5:$H$53,G1084),IFERROR(INDEX(MAP!$B$7:$B$156,MATCH(TRIM(O1084),MAP!$A$7:$A$156,0)),"UNMAPPED")),IFERROR(INDEX(MAP!$B$7:$B$156,MATCH(TRIM(O1084),MAP!$A$7:$A$156,0)),"UNMAPPED"))</f>
        <v>Registered Nurse</v>
      </c>
      <c r="Q1084" s="48" t="n">
        <f aca="false">STACK!I1084</f>
        <v>166.75</v>
      </c>
      <c r="R1084" s="60" t="n">
        <f aca="false">IF(G1084&gt;0,IF(INDEX(CONFIRM!$F$5:$F$53,G1084)&lt;&gt;"",INDEX(CONFIRM!$F$5:$F$53,G1084),IF(ISNUMBER(Q1084),Q1084,IF(Q1084="","",IFERROR(VALUE(TRIM(SUBSTITUTE(SUBSTITUTE(LOWER(Q1084),"hrs",""),"hr",""))),"")))),IF(ISNUMBER(Q1084),Q1084,IF(Q1084="","",IFERROR(VALUE(TRIM(SUBSTITUTE(SUBSTITUTE(LOWER(Q1084),"hrs",""),"hr",""))),""))))</f>
        <v>166.75</v>
      </c>
      <c r="S1084" s="57" t="n">
        <f aca="false">IFERROR(INDEX(RATES!$E$6:$E$28,MATCH(P1084,RATES!$A$6:$A$28,0)),0)</f>
        <v>55.8975</v>
      </c>
      <c r="T1084" s="61" t="n">
        <f aca="false">IF(ISNUMBER(R1084),R1084,0)*S1084</f>
        <v>9320.908125</v>
      </c>
      <c r="U1084" s="61" t="n">
        <f aca="false">T1084*INDEX(INPUTS!$H$10:$H$14,MATCH(B1084,INPUTS!$A$10:$A$14,0))</f>
        <v>1472.70348375</v>
      </c>
      <c r="V1084" s="61" t="n">
        <f aca="false">N(STACK!K1084)</f>
        <v>0</v>
      </c>
      <c r="W1084" s="61" t="n">
        <f aca="false">T1084+U1084+V1084</f>
        <v>10793.61160875</v>
      </c>
      <c r="X1084" s="61" t="n">
        <f aca="false">N(STACK!L1084)</f>
        <v>0</v>
      </c>
      <c r="Y1084" s="61" t="n">
        <f aca="false">W1084-X1084</f>
        <v>10793.61160875</v>
      </c>
      <c r="Z1084" s="1" t="n">
        <f aca="false">N(STACK!J1084)</f>
        <v>0</v>
      </c>
      <c r="AA1084" s="1" t="str">
        <f aca="false">TRIM(IF(D1084="UNMAPPED","Program not mapped. ","")&amp;IF(OR(K1084="UNMAPPED",K1084="UNASSIGNED"),"Category needs review. ","")&amp;IF(P1084="UNMAPPED","Title not mapped. ","")&amp;IF(AND(P1084&lt;&gt;"No staff time",R1084=""),"Missing hours. ","")&amp;IF(M1084="","Date not readable. ","")&amp;IF(N1084="No","Outside fiscal year. ","")&amp;IF(AND(F1084="Event",ISNUMBER(R1084)),IF(R1084&gt;12,"Event hours look high. ",""),"")&amp;IF(G1084&gt;0,"See CONFIRM sheet.",""))</f>
        <v/>
      </c>
      <c r="AB1084" s="1" t="n">
        <f aca="false">IF(N1084="No",0,IF(REVIEW!O1084=0,0,IF(G1084&gt;0,IF(INDEX(CONFIRM!$J$5:$J$53,G1084)&lt;&gt;"",INDEX(CONFIRM!$J$5:$J$53,G1084),1),1)))</f>
        <v>1</v>
      </c>
      <c r="AC1084" s="1" t="n">
        <f aca="false">IF(AB1084=1,IF(COUNTIFS($B$5:B1084,B1084,$D$5:D1084,D1084,$AB$5:AB1084,1)=1,1,0),0)</f>
        <v>0</v>
      </c>
    </row>
    <row r="1085" customFormat="false" ht="15" hidden="false" customHeight="false" outlineLevel="0" collapsed="false">
      <c r="A1085" s="48" t="str">
        <f aca="false">STACK!A1085</f>
        <v>CBH-0257</v>
      </c>
      <c r="B1085" s="48" t="str">
        <f aca="false">STACK!B1085</f>
        <v>CBH</v>
      </c>
      <c r="C1085" s="48" t="str">
        <f aca="false">STACK!E1085</f>
        <v>Pharmacy Students</v>
      </c>
      <c r="D1085" s="1" t="str">
        <f aca="false">IFERROR(INDEX(MAP!$J$7:$J$101,MATCH(TRIM(C1085),MAP!$I$7:$I$101,0)),"UNMAPPED")</f>
        <v>Pharmacy Student Rotations</v>
      </c>
      <c r="E1085" s="1" t="str">
        <f aca="false">IFERROR(INDEX(MAP!$K$7:$K$101,MATCH(TRIM(C1085),MAP!$I$7:$I$101,0)),"")</f>
        <v>Health workforce</v>
      </c>
      <c r="F1085" s="1" t="str">
        <f aca="false">IFERROR(INDEX(MAP!$L$7:$L$101,MATCH(TRIM(C1085),MAP!$I$7:$I$101,0)),"")</f>
        <v>Monthly</v>
      </c>
      <c r="G1085" s="1" t="n">
        <f aca="false">IFERROR(MATCH(A1085,CONFIRM!$A$5:$A$53,0),0)</f>
        <v>0</v>
      </c>
      <c r="H1085" s="48" t="str">
        <f aca="false">STACK!F1085</f>
        <v>Education - Health Professions</v>
      </c>
      <c r="I1085" s="1" t="str">
        <f aca="false">IF(G1085&gt;0,IF(INDEX(CONFIRM!$I$5:$I$53,G1085)&lt;&gt;"",INDEX(CONFIRM!$I$5:$I$53,G1085),H1085),H1085)</f>
        <v>Education - Health Professions</v>
      </c>
      <c r="J1085" s="1" t="str">
        <f aca="false">IFERROR(INDEX(MAP!$F$7:$F$74,MATCH(TRIM(I1085),MAP!$E$7:$E$74,0)),"UNMAPPED")</f>
        <v>Health professions education</v>
      </c>
      <c r="K1085" s="1" t="str">
        <f aca="false">IFERROR(INDEX(MAP!$G$7:$G$74,MATCH(TRIM(I1085),MAP!$E$7:$E$74,0)),"UNMAPPED")</f>
        <v>7f</v>
      </c>
      <c r="L1085" s="49" t="str">
        <f aca="false">STACK!G1085</f>
        <v>2026-05-31</v>
      </c>
      <c r="M1085" s="59" t="n">
        <f aca="false">IF(G1085&gt;0,IF(INDEX(CONFIRM!$G$5:$G$53,G1085)&lt;&gt;"",INDEX(CONFIRM!$G$5:$G$53,G1085),IF(ISNUMBER(L1085),L1085,IFERROR(DATEVALUE(L1085),""))),IF(ISNUMBER(L1085),L1085,IFERROR(DATEVALUE(L1085),"")))</f>
        <v>46173</v>
      </c>
      <c r="N1085" s="1" t="str">
        <f aca="false">IF(M1085="","Check",IF(AND(M1085&gt;=INPUTS!$C$6,M1085&lt;=INPUTS!$C$7),"Yes","No"))</f>
        <v>Yes</v>
      </c>
      <c r="O1085" s="48" t="str">
        <f aca="false">STACK!H1085</f>
        <v>RPh</v>
      </c>
      <c r="P1085" s="1" t="str">
        <f aca="false">IF(G1085&gt;0,IF(INDEX(CONFIRM!$H$5:$H$53,G1085)&lt;&gt;"",INDEX(CONFIRM!$H$5:$H$53,G1085),IFERROR(INDEX(MAP!$B$7:$B$156,MATCH(TRIM(O1085),MAP!$A$7:$A$156,0)),"UNMAPPED")),IFERROR(INDEX(MAP!$B$7:$B$156,MATCH(TRIM(O1085),MAP!$A$7:$A$156,0)),"UNMAPPED"))</f>
        <v>Pharmacist</v>
      </c>
      <c r="Q1085" s="48" t="n">
        <f aca="false">STACK!I1085</f>
        <v>40.75</v>
      </c>
      <c r="R1085" s="60" t="n">
        <f aca="false">IF(G1085&gt;0,IF(INDEX(CONFIRM!$F$5:$F$53,G1085)&lt;&gt;"",INDEX(CONFIRM!$F$5:$F$53,G1085),IF(ISNUMBER(Q1085),Q1085,IF(Q1085="","",IFERROR(VALUE(TRIM(SUBSTITUTE(SUBSTITUTE(LOWER(Q1085),"hrs",""),"hr",""))),"")))),IF(ISNUMBER(Q1085),Q1085,IF(Q1085="","",IFERROR(VALUE(TRIM(SUBSTITUTE(SUBSTITUTE(LOWER(Q1085),"hrs",""),"hr",""))),""))))</f>
        <v>40.75</v>
      </c>
      <c r="S1085" s="57" t="n">
        <f aca="false">IFERROR(INDEX(RATES!$E$6:$E$28,MATCH(P1085,RATES!$A$6:$A$28,0)),0)</f>
        <v>84.81</v>
      </c>
      <c r="T1085" s="61" t="n">
        <f aca="false">IF(ISNUMBER(R1085),R1085,0)*S1085</f>
        <v>3456.0075</v>
      </c>
      <c r="U1085" s="61" t="n">
        <f aca="false">T1085*INDEX(INPUTS!$H$10:$H$14,MATCH(B1085,INPUTS!$A$10:$A$14,0))</f>
        <v>546.049185</v>
      </c>
      <c r="V1085" s="61" t="n">
        <f aca="false">N(STACK!K1085)</f>
        <v>175</v>
      </c>
      <c r="W1085" s="61" t="n">
        <f aca="false">T1085+U1085+V1085</f>
        <v>4177.056685</v>
      </c>
      <c r="X1085" s="61" t="n">
        <f aca="false">N(STACK!L1085)</f>
        <v>0</v>
      </c>
      <c r="Y1085" s="61" t="n">
        <f aca="false">W1085-X1085</f>
        <v>4177.056685</v>
      </c>
      <c r="Z1085" s="1" t="n">
        <f aca="false">N(STACK!J1085)</f>
        <v>2</v>
      </c>
      <c r="AA1085" s="1" t="str">
        <f aca="false">TRIM(IF(D1085="UNMAPPED","Program not mapped. ","")&amp;IF(OR(K1085="UNMAPPED",K1085="UNASSIGNED"),"Category needs review. ","")&amp;IF(P1085="UNMAPPED","Title not mapped. ","")&amp;IF(AND(P1085&lt;&gt;"No staff time",R1085=""),"Missing hours. ","")&amp;IF(M1085="","Date not readable. ","")&amp;IF(N1085="No","Outside fiscal year. ","")&amp;IF(AND(F1085="Event",ISNUMBER(R1085)),IF(R1085&gt;12,"Event hours look high. ",""),"")&amp;IF(G1085&gt;0,"See CONFIRM sheet.",""))</f>
        <v/>
      </c>
      <c r="AB1085" s="1" t="n">
        <f aca="false">IF(N1085="No",0,IF(REVIEW!O1085=0,0,IF(G1085&gt;0,IF(INDEX(CONFIRM!$J$5:$J$53,G1085)&lt;&gt;"",INDEX(CONFIRM!$J$5:$J$53,G1085),1),1)))</f>
        <v>1</v>
      </c>
      <c r="AC1085" s="1" t="n">
        <f aca="false">IF(AB1085=1,IF(COUNTIFS($B$5:B1085,B1085,$D$5:D1085,D1085,$AB$5:AB1085,1)=1,1,0),0)</f>
        <v>0</v>
      </c>
    </row>
    <row r="1086" customFormat="false" ht="15" hidden="false" customHeight="false" outlineLevel="0" collapsed="false">
      <c r="A1086" s="48" t="str">
        <f aca="false">STACK!A1086</f>
        <v>CBH-0258</v>
      </c>
      <c r="B1086" s="48" t="str">
        <f aca="false">STACK!B1086</f>
        <v>CBH</v>
      </c>
      <c r="C1086" s="48" t="str">
        <f aca="false">STACK!E1086</f>
        <v>Blood Pressure Screening</v>
      </c>
      <c r="D1086" s="1" t="str">
        <f aca="false">IFERROR(INDEX(MAP!$J$7:$J$101,MATCH(TRIM(C1086),MAP!$I$7:$I$101,0)),"UNMAPPED")</f>
        <v>Community Blood Pressure Checks</v>
      </c>
      <c r="E1086" s="1" t="str">
        <f aca="false">IFERROR(INDEX(MAP!$K$7:$K$101,MATCH(TRIM(C1086),MAP!$I$7:$I$101,0)),"")</f>
        <v>Chronic disease prevention</v>
      </c>
      <c r="F1086" s="1" t="str">
        <f aca="false">IFERROR(INDEX(MAP!$L$7:$L$101,MATCH(TRIM(C1086),MAP!$I$7:$I$101,0)),"")</f>
        <v>Event</v>
      </c>
      <c r="G1086" s="1" t="n">
        <f aca="false">IFERROR(MATCH(A1086,CONFIRM!$A$5:$A$53,0),0)</f>
        <v>0</v>
      </c>
      <c r="H1086" s="48" t="str">
        <f aca="false">STACK!F1086</f>
        <v>Screenings</v>
      </c>
      <c r="I1086" s="1" t="str">
        <f aca="false">IF(G1086&gt;0,IF(INDEX(CONFIRM!$I$5:$I$53,G1086)&lt;&gt;"",INDEX(CONFIRM!$I$5:$I$53,G1086),H1086),H1086)</f>
        <v>Screenings</v>
      </c>
      <c r="J1086" s="1" t="str">
        <f aca="false">IFERROR(INDEX(MAP!$F$7:$F$74,MATCH(TRIM(I1086),MAP!$E$7:$E$74,0)),"UNMAPPED")</f>
        <v>Community-based clinical services</v>
      </c>
      <c r="K1086" s="1" t="str">
        <f aca="false">IFERROR(INDEX(MAP!$G$7:$G$74,MATCH(TRIM(I1086),MAP!$E$7:$E$74,0)),"UNMAPPED")</f>
        <v>7e</v>
      </c>
      <c r="L1086" s="49" t="str">
        <f aca="false">STACK!G1086</f>
        <v>2026-06-01</v>
      </c>
      <c r="M1086" s="59" t="n">
        <f aca="false">IF(G1086&gt;0,IF(INDEX(CONFIRM!$G$5:$G$53,G1086)&lt;&gt;"",INDEX(CONFIRM!$G$5:$G$53,G1086),IF(ISNUMBER(L1086),L1086,IFERROR(DATEVALUE(L1086),""))),IF(ISNUMBER(L1086),L1086,IFERROR(DATEVALUE(L1086),"")))</f>
        <v>46174</v>
      </c>
      <c r="N1086" s="1" t="str">
        <f aca="false">IF(M1086="","Check",IF(AND(M1086&gt;=INPUTS!$C$6,M1086&lt;=INPUTS!$C$7),"Yes","No"))</f>
        <v>Yes</v>
      </c>
      <c r="O1086" s="48" t="str">
        <f aca="false">STACK!H1086</f>
        <v> RN II</v>
      </c>
      <c r="P1086" s="1" t="str">
        <f aca="false">IF(G1086&gt;0,IF(INDEX(CONFIRM!$H$5:$H$53,G1086)&lt;&gt;"",INDEX(CONFIRM!$H$5:$H$53,G1086),IFERROR(INDEX(MAP!$B$7:$B$156,MATCH(TRIM(O1086),MAP!$A$7:$A$156,0)),"UNMAPPED")),IFERROR(INDEX(MAP!$B$7:$B$156,MATCH(TRIM(O1086),MAP!$A$7:$A$156,0)),"UNMAPPED"))</f>
        <v>Registered Nurse</v>
      </c>
      <c r="Q1086" s="48" t="n">
        <f aca="false">STACK!I1086</f>
        <v>4.25</v>
      </c>
      <c r="R1086" s="60" t="n">
        <f aca="false">IF(G1086&gt;0,IF(INDEX(CONFIRM!$F$5:$F$53,G1086)&lt;&gt;"",INDEX(CONFIRM!$F$5:$F$53,G1086),IF(ISNUMBER(Q1086),Q1086,IF(Q1086="","",IFERROR(VALUE(TRIM(SUBSTITUTE(SUBSTITUTE(LOWER(Q1086),"hrs",""),"hr",""))),"")))),IF(ISNUMBER(Q1086),Q1086,IF(Q1086="","",IFERROR(VALUE(TRIM(SUBSTITUTE(SUBSTITUTE(LOWER(Q1086),"hrs",""),"hr",""))),""))))</f>
        <v>4.25</v>
      </c>
      <c r="S1086" s="57" t="n">
        <f aca="false">IFERROR(INDEX(RATES!$E$6:$E$28,MATCH(P1086,RATES!$A$6:$A$28,0)),0)</f>
        <v>55.8975</v>
      </c>
      <c r="T1086" s="61" t="n">
        <f aca="false">IF(ISNUMBER(R1086),R1086,0)*S1086</f>
        <v>237.564375</v>
      </c>
      <c r="U1086" s="61" t="n">
        <f aca="false">T1086*INDEX(INPUTS!$H$10:$H$14,MATCH(B1086,INPUTS!$A$10:$A$14,0))</f>
        <v>37.53517125</v>
      </c>
      <c r="V1086" s="61" t="n">
        <f aca="false">N(STACK!K1086)</f>
        <v>55</v>
      </c>
      <c r="W1086" s="61" t="n">
        <f aca="false">T1086+U1086+V1086</f>
        <v>330.09954625</v>
      </c>
      <c r="X1086" s="61" t="n">
        <f aca="false">N(STACK!L1086)</f>
        <v>0</v>
      </c>
      <c r="Y1086" s="61" t="n">
        <f aca="false">W1086-X1086</f>
        <v>330.09954625</v>
      </c>
      <c r="Z1086" s="1" t="n">
        <f aca="false">N(STACK!J1086)</f>
        <v>39</v>
      </c>
      <c r="AA1086" s="1" t="str">
        <f aca="false">TRIM(IF(D1086="UNMAPPED","Program not mapped. ","")&amp;IF(OR(K1086="UNMAPPED",K1086="UNASSIGNED"),"Category needs review. ","")&amp;IF(P1086="UNMAPPED","Title not mapped. ","")&amp;IF(AND(P1086&lt;&gt;"No staff time",R1086=""),"Missing hours. ","")&amp;IF(M1086="","Date not readable. ","")&amp;IF(N1086="No","Outside fiscal year. ","")&amp;IF(AND(F1086="Event",ISNUMBER(R1086)),IF(R1086&gt;12,"Event hours look high. ",""),"")&amp;IF(G1086&gt;0,"See CONFIRM sheet.",""))</f>
        <v/>
      </c>
      <c r="AB1086" s="1" t="n">
        <f aca="false">IF(N1086="No",0,IF(REVIEW!O1086=0,0,IF(G1086&gt;0,IF(INDEX(CONFIRM!$J$5:$J$53,G1086)&lt;&gt;"",INDEX(CONFIRM!$J$5:$J$53,G1086),1),1)))</f>
        <v>1</v>
      </c>
      <c r="AC1086" s="1" t="n">
        <f aca="false">IF(AB1086=1,IF(COUNTIFS($B$5:B1086,B1086,$D$5:D1086,D1086,$AB$5:AB1086,1)=1,1,0),0)</f>
        <v>0</v>
      </c>
    </row>
    <row r="1087" customFormat="false" ht="15" hidden="false" customHeight="false" outlineLevel="0" collapsed="false">
      <c r="A1087" s="48" t="str">
        <f aca="false">STACK!A1087</f>
        <v>CBH-0259</v>
      </c>
      <c r="B1087" s="48" t="str">
        <f aca="false">STACK!B1087</f>
        <v>CBH</v>
      </c>
      <c r="C1087" s="48" t="str">
        <f aca="false">STACK!E1087</f>
        <v>Bereavement Group</v>
      </c>
      <c r="D1087" s="1" t="str">
        <f aca="false">IFERROR(INDEX(MAP!$J$7:$J$101,MATCH(TRIM(C1087),MAP!$I$7:$I$101,0)),"UNMAPPED")</f>
        <v>Grief Support Group</v>
      </c>
      <c r="E1087" s="1" t="str">
        <f aca="false">IFERROR(INDEX(MAP!$K$7:$K$101,MATCH(TRIM(C1087),MAP!$I$7:$I$101,0)),"")</f>
        <v>Behavioral health</v>
      </c>
      <c r="F1087" s="1" t="str">
        <f aca="false">IFERROR(INDEX(MAP!$L$7:$L$101,MATCH(TRIM(C1087),MAP!$I$7:$I$101,0)),"")</f>
        <v>Event</v>
      </c>
      <c r="G1087" s="1" t="n">
        <f aca="false">IFERROR(MATCH(A1087,CONFIRM!$A$5:$A$53,0),0)</f>
        <v>0</v>
      </c>
      <c r="H1087" s="48" t="str">
        <f aca="false">STACK!F1087</f>
        <v>Patient Support</v>
      </c>
      <c r="I1087" s="1" t="str">
        <f aca="false">IF(G1087&gt;0,IF(INDEX(CONFIRM!$I$5:$I$53,G1087)&lt;&gt;"",INDEX(CONFIRM!$I$5:$I$53,G1087),H1087),H1087)</f>
        <v>Patient Support</v>
      </c>
      <c r="J1087" s="1" t="str">
        <f aca="false">IFERROR(INDEX(MAP!$F$7:$F$74,MATCH(TRIM(I1087),MAP!$E$7:$E$74,0)),"UNMAPPED")</f>
        <v>Health care support services</v>
      </c>
      <c r="K1087" s="1" t="str">
        <f aca="false">IFERROR(INDEX(MAP!$G$7:$G$74,MATCH(TRIM(I1087),MAP!$E$7:$E$74,0)),"UNMAPPED")</f>
        <v>7e</v>
      </c>
      <c r="L1087" s="49" t="str">
        <f aca="false">STACK!G1087</f>
        <v>2026-06-03</v>
      </c>
      <c r="M1087" s="59" t="n">
        <f aca="false">IF(G1087&gt;0,IF(INDEX(CONFIRM!$G$5:$G$53,G1087)&lt;&gt;"",INDEX(CONFIRM!$G$5:$G$53,G1087),IF(ISNUMBER(L1087),L1087,IFERROR(DATEVALUE(L1087),""))),IF(ISNUMBER(L1087),L1087,IFERROR(DATEVALUE(L1087),"")))</f>
        <v>46176</v>
      </c>
      <c r="N1087" s="1" t="str">
        <f aca="false">IF(M1087="","Check",IF(AND(M1087&gt;=INPUTS!$C$6,M1087&lt;=INPUTS!$C$7),"Yes","No"))</f>
        <v>Yes</v>
      </c>
      <c r="O1087" s="48" t="str">
        <f aca="false">STACK!H1087</f>
        <v>Pastoral Care</v>
      </c>
      <c r="P1087" s="1" t="str">
        <f aca="false">IF(G1087&gt;0,IF(INDEX(CONFIRM!$H$5:$H$53,G1087)&lt;&gt;"",INDEX(CONFIRM!$H$5:$H$53,G1087),IFERROR(INDEX(MAP!$B$7:$B$156,MATCH(TRIM(O1087),MAP!$A$7:$A$156,0)),"UNMAPPED")),IFERROR(INDEX(MAP!$B$7:$B$156,MATCH(TRIM(O1087),MAP!$A$7:$A$156,0)),"UNMAPPED"))</f>
        <v>Chaplain</v>
      </c>
      <c r="Q1087" s="48" t="n">
        <f aca="false">STACK!I1087</f>
        <v>2.25</v>
      </c>
      <c r="R1087" s="60" t="n">
        <f aca="false">IF(G1087&gt;0,IF(INDEX(CONFIRM!$F$5:$F$53,G1087)&lt;&gt;"",INDEX(CONFIRM!$F$5:$F$53,G1087),IF(ISNUMBER(Q1087),Q1087,IF(Q1087="","",IFERROR(VALUE(TRIM(SUBSTITUTE(SUBSTITUTE(LOWER(Q1087),"hrs",""),"hr",""))),"")))),IF(ISNUMBER(Q1087),Q1087,IF(Q1087="","",IFERROR(VALUE(TRIM(SUBSTITUTE(SUBSTITUTE(LOWER(Q1087),"hrs",""),"hr",""))),""))))</f>
        <v>2.25</v>
      </c>
      <c r="S1087" s="57" t="n">
        <f aca="false">IFERROR(INDEX(RATES!$E$6:$E$28,MATCH(P1087,RATES!$A$6:$A$28,0)),0)</f>
        <v>39.835</v>
      </c>
      <c r="T1087" s="61" t="n">
        <f aca="false">IF(ISNUMBER(R1087),R1087,0)*S1087</f>
        <v>89.62875</v>
      </c>
      <c r="U1087" s="61" t="n">
        <f aca="false">T1087*INDEX(INPUTS!$H$10:$H$14,MATCH(B1087,INPUTS!$A$10:$A$14,0))</f>
        <v>14.1613425</v>
      </c>
      <c r="V1087" s="61" t="n">
        <f aca="false">N(STACK!K1087)</f>
        <v>35</v>
      </c>
      <c r="W1087" s="61" t="n">
        <f aca="false">T1087+U1087+V1087</f>
        <v>138.7900925</v>
      </c>
      <c r="X1087" s="61" t="n">
        <f aca="false">N(STACK!L1087)</f>
        <v>0</v>
      </c>
      <c r="Y1087" s="61" t="n">
        <f aca="false">W1087-X1087</f>
        <v>138.7900925</v>
      </c>
      <c r="Z1087" s="1" t="n">
        <f aca="false">N(STACK!J1087)</f>
        <v>15</v>
      </c>
      <c r="AA1087" s="1" t="str">
        <f aca="false">TRIM(IF(D1087="UNMAPPED","Program not mapped. ","")&amp;IF(OR(K1087="UNMAPPED",K1087="UNASSIGNED"),"Category needs review. ","")&amp;IF(P1087="UNMAPPED","Title not mapped. ","")&amp;IF(AND(P1087&lt;&gt;"No staff time",R1087=""),"Missing hours. ","")&amp;IF(M1087="","Date not readable. ","")&amp;IF(N1087="No","Outside fiscal year. ","")&amp;IF(AND(F1087="Event",ISNUMBER(R1087)),IF(R1087&gt;12,"Event hours look high. ",""),"")&amp;IF(G1087&gt;0,"See CONFIRM sheet.",""))</f>
        <v/>
      </c>
      <c r="AB1087" s="1" t="n">
        <f aca="false">IF(N1087="No",0,IF(REVIEW!O1087=0,0,IF(G1087&gt;0,IF(INDEX(CONFIRM!$J$5:$J$53,G1087)&lt;&gt;"",INDEX(CONFIRM!$J$5:$J$53,G1087),1),1)))</f>
        <v>1</v>
      </c>
      <c r="AC1087" s="1" t="n">
        <f aca="false">IF(AB1087=1,IF(COUNTIFS($B$5:B1087,B1087,$D$5:D1087,D1087,$AB$5:AB1087,1)=1,1,0),0)</f>
        <v>0</v>
      </c>
    </row>
    <row r="1088" customFormat="false" ht="15" hidden="false" customHeight="false" outlineLevel="0" collapsed="false">
      <c r="A1088" s="48" t="str">
        <f aca="false">STACK!A1088</f>
        <v>CBH-0260</v>
      </c>
      <c r="B1088" s="48" t="str">
        <f aca="false">STACK!B1088</f>
        <v>CBH</v>
      </c>
      <c r="C1088" s="48" t="str">
        <f aca="false">STACK!E1088</f>
        <v>Bereavement Group</v>
      </c>
      <c r="D1088" s="1" t="str">
        <f aca="false">IFERROR(INDEX(MAP!$J$7:$J$101,MATCH(TRIM(C1088),MAP!$I$7:$I$101,0)),"UNMAPPED")</f>
        <v>Grief Support Group</v>
      </c>
      <c r="E1088" s="1" t="str">
        <f aca="false">IFERROR(INDEX(MAP!$K$7:$K$101,MATCH(TRIM(C1088),MAP!$I$7:$I$101,0)),"")</f>
        <v>Behavioral health</v>
      </c>
      <c r="F1088" s="1" t="str">
        <f aca="false">IFERROR(INDEX(MAP!$L$7:$L$101,MATCH(TRIM(C1088),MAP!$I$7:$I$101,0)),"")</f>
        <v>Event</v>
      </c>
      <c r="G1088" s="1" t="n">
        <f aca="false">IFERROR(MATCH(A1088,CONFIRM!$A$5:$A$53,0),0)</f>
        <v>0</v>
      </c>
      <c r="H1088" s="48" t="str">
        <f aca="false">STACK!F1088</f>
        <v>Patient Support</v>
      </c>
      <c r="I1088" s="1" t="str">
        <f aca="false">IF(G1088&gt;0,IF(INDEX(CONFIRM!$I$5:$I$53,G1088)&lt;&gt;"",INDEX(CONFIRM!$I$5:$I$53,G1088),H1088),H1088)</f>
        <v>Patient Support</v>
      </c>
      <c r="J1088" s="1" t="str">
        <f aca="false">IFERROR(INDEX(MAP!$F$7:$F$74,MATCH(TRIM(I1088),MAP!$E$7:$E$74,0)),"UNMAPPED")</f>
        <v>Health care support services</v>
      </c>
      <c r="K1088" s="1" t="str">
        <f aca="false">IFERROR(INDEX(MAP!$G$7:$G$74,MATCH(TRIM(I1088),MAP!$E$7:$E$74,0)),"UNMAPPED")</f>
        <v>7e</v>
      </c>
      <c r="L1088" s="49" t="str">
        <f aca="false">STACK!G1088</f>
        <v>2026-06-03</v>
      </c>
      <c r="M1088" s="59" t="n">
        <f aca="false">IF(G1088&gt;0,IF(INDEX(CONFIRM!$G$5:$G$53,G1088)&lt;&gt;"",INDEX(CONFIRM!$G$5:$G$53,G1088),IF(ISNUMBER(L1088),L1088,IFERROR(DATEVALUE(L1088),""))),IF(ISNUMBER(L1088),L1088,IFERROR(DATEVALUE(L1088),"")))</f>
        <v>46176</v>
      </c>
      <c r="N1088" s="1" t="str">
        <f aca="false">IF(M1088="","Check",IF(AND(M1088&gt;=INPUTS!$C$6,M1088&lt;=INPUTS!$C$7),"Yes","No"))</f>
        <v>Yes</v>
      </c>
      <c r="O1088" s="48" t="str">
        <f aca="false">STACK!H1088</f>
        <v>LMSW</v>
      </c>
      <c r="P1088" s="1" t="str">
        <f aca="false">IF(G1088&gt;0,IF(INDEX(CONFIRM!$H$5:$H$53,G1088)&lt;&gt;"",INDEX(CONFIRM!$H$5:$H$53,G1088),IFERROR(INDEX(MAP!$B$7:$B$156,MATCH(TRIM(O1088),MAP!$A$7:$A$156,0)),"UNMAPPED")),IFERROR(INDEX(MAP!$B$7:$B$156,MATCH(TRIM(O1088),MAP!$A$7:$A$156,0)),"UNMAPPED"))</f>
        <v>Social Worker</v>
      </c>
      <c r="Q1088" s="48" t="n">
        <f aca="false">STACK!I1088</f>
        <v>2</v>
      </c>
      <c r="R1088" s="60" t="n">
        <f aca="false">IF(G1088&gt;0,IF(INDEX(CONFIRM!$F$5:$F$53,G1088)&lt;&gt;"",INDEX(CONFIRM!$F$5:$F$53,G1088),IF(ISNUMBER(Q1088),Q1088,IF(Q1088="","",IFERROR(VALUE(TRIM(SUBSTITUTE(SUBSTITUTE(LOWER(Q1088),"hrs",""),"hr",""))),"")))),IF(ISNUMBER(Q1088),Q1088,IF(Q1088="","",IFERROR(VALUE(TRIM(SUBSTITUTE(SUBSTITUTE(LOWER(Q1088),"hrs",""),"hr",""))),""))))</f>
        <v>2</v>
      </c>
      <c r="S1088" s="57" t="n">
        <f aca="false">IFERROR(INDEX(RATES!$E$6:$E$28,MATCH(P1088,RATES!$A$6:$A$28,0)),0)</f>
        <v>45.6175</v>
      </c>
      <c r="T1088" s="61" t="n">
        <f aca="false">IF(ISNUMBER(R1088),R1088,0)*S1088</f>
        <v>91.235</v>
      </c>
      <c r="U1088" s="61" t="n">
        <f aca="false">T1088*INDEX(INPUTS!$H$10:$H$14,MATCH(B1088,INPUTS!$A$10:$A$14,0))</f>
        <v>14.41513</v>
      </c>
      <c r="V1088" s="61" t="n">
        <f aca="false">N(STACK!K1088)</f>
        <v>0</v>
      </c>
      <c r="W1088" s="61" t="n">
        <f aca="false">T1088+U1088+V1088</f>
        <v>105.65013</v>
      </c>
      <c r="X1088" s="61" t="n">
        <f aca="false">N(STACK!L1088)</f>
        <v>0</v>
      </c>
      <c r="Y1088" s="61" t="n">
        <f aca="false">W1088-X1088</f>
        <v>105.65013</v>
      </c>
      <c r="Z1088" s="1" t="n">
        <f aca="false">N(STACK!J1088)</f>
        <v>0</v>
      </c>
      <c r="AA1088" s="1" t="str">
        <f aca="false">TRIM(IF(D1088="UNMAPPED","Program not mapped. ","")&amp;IF(OR(K1088="UNMAPPED",K1088="UNASSIGNED"),"Category needs review. ","")&amp;IF(P1088="UNMAPPED","Title not mapped. ","")&amp;IF(AND(P1088&lt;&gt;"No staff time",R1088=""),"Missing hours. ","")&amp;IF(M1088="","Date not readable. ","")&amp;IF(N1088="No","Outside fiscal year. ","")&amp;IF(AND(F1088="Event",ISNUMBER(R1088)),IF(R1088&gt;12,"Event hours look high. ",""),"")&amp;IF(G1088&gt;0,"See CONFIRM sheet.",""))</f>
        <v/>
      </c>
      <c r="AB1088" s="1" t="n">
        <f aca="false">IF(N1088="No",0,IF(REVIEW!O1088=0,0,IF(G1088&gt;0,IF(INDEX(CONFIRM!$J$5:$J$53,G1088)&lt;&gt;"",INDEX(CONFIRM!$J$5:$J$53,G1088),1),1)))</f>
        <v>1</v>
      </c>
      <c r="AC1088" s="1" t="n">
        <f aca="false">IF(AB1088=1,IF(COUNTIFS($B$5:B1088,B1088,$D$5:D1088,D1088,$AB$5:AB1088,1)=1,1,0),0)</f>
        <v>0</v>
      </c>
    </row>
    <row r="1089" customFormat="false" ht="15" hidden="false" customHeight="false" outlineLevel="0" collapsed="false">
      <c r="A1089" s="48" t="str">
        <f aca="false">STACK!A1089</f>
        <v>CBH-0261</v>
      </c>
      <c r="B1089" s="48" t="str">
        <f aca="false">STACK!B1089</f>
        <v>CBH</v>
      </c>
      <c r="C1089" s="48" t="str">
        <f aca="false">STACK!E1089</f>
        <v>Matter of Balance Classes</v>
      </c>
      <c r="D1089" s="1" t="str">
        <f aca="false">IFERROR(INDEX(MAP!$J$7:$J$101,MATCH(TRIM(C1089),MAP!$I$7:$I$101,0)),"UNMAPPED")</f>
        <v>Fall Prevention Classes for Older Adults</v>
      </c>
      <c r="E1089" s="1" t="str">
        <f aca="false">IFERROR(INDEX(MAP!$K$7:$K$101,MATCH(TRIM(C1089),MAP!$I$7:$I$101,0)),"")</f>
        <v>Chronic disease prevention</v>
      </c>
      <c r="F1089" s="1" t="str">
        <f aca="false">IFERROR(INDEX(MAP!$L$7:$L$101,MATCH(TRIM(C1089),MAP!$I$7:$I$101,0)),"")</f>
        <v>Event</v>
      </c>
      <c r="G1089" s="1" t="n">
        <f aca="false">IFERROR(MATCH(A1089,CONFIRM!$A$5:$A$53,0),0)</f>
        <v>0</v>
      </c>
      <c r="H1089" s="48" t="str">
        <f aca="false">STACK!F1089</f>
        <v>Health Education</v>
      </c>
      <c r="I1089" s="1" t="str">
        <f aca="false">IF(G1089&gt;0,IF(INDEX(CONFIRM!$I$5:$I$53,G1089)&lt;&gt;"",INDEX(CONFIRM!$I$5:$I$53,G1089),H1089),H1089)</f>
        <v>Health Education</v>
      </c>
      <c r="J1089" s="1" t="str">
        <f aca="false">IFERROR(INDEX(MAP!$F$7:$F$74,MATCH(TRIM(I1089),MAP!$E$7:$E$74,0)),"UNMAPPED")</f>
        <v>Community health education</v>
      </c>
      <c r="K1089" s="1" t="str">
        <f aca="false">IFERROR(INDEX(MAP!$G$7:$G$74,MATCH(TRIM(I1089),MAP!$E$7:$E$74,0)),"UNMAPPED")</f>
        <v>7e</v>
      </c>
      <c r="L1089" s="49" t="str">
        <f aca="false">STACK!G1089</f>
        <v>2026-06-03</v>
      </c>
      <c r="M1089" s="59" t="n">
        <f aca="false">IF(G1089&gt;0,IF(INDEX(CONFIRM!$G$5:$G$53,G1089)&lt;&gt;"",INDEX(CONFIRM!$G$5:$G$53,G1089),IF(ISNUMBER(L1089),L1089,IFERROR(DATEVALUE(L1089),""))),IF(ISNUMBER(L1089),L1089,IFERROR(DATEVALUE(L1089),"")))</f>
        <v>46176</v>
      </c>
      <c r="N1089" s="1" t="str">
        <f aca="false">IF(M1089="","Check",IF(AND(M1089&gt;=INPUTS!$C$6,M1089&lt;=INPUTS!$C$7),"Yes","No"))</f>
        <v>Yes</v>
      </c>
      <c r="O1089" s="48" t="str">
        <f aca="false">STACK!H1089</f>
        <v>RT</v>
      </c>
      <c r="P1089" s="1" t="str">
        <f aca="false">IF(G1089&gt;0,IF(INDEX(CONFIRM!$H$5:$H$53,G1089)&lt;&gt;"",INDEX(CONFIRM!$H$5:$H$53,G1089),IFERROR(INDEX(MAP!$B$7:$B$156,MATCH(TRIM(O1089),MAP!$A$7:$A$156,0)),"UNMAPPED")),IFERROR(INDEX(MAP!$B$7:$B$156,MATCH(TRIM(O1089),MAP!$A$7:$A$156,0)),"UNMAPPED"))</f>
        <v>Licensed Therapist</v>
      </c>
      <c r="Q1089" s="48" t="n">
        <f aca="false">STACK!I1089</f>
        <v>2</v>
      </c>
      <c r="R1089" s="60" t="n">
        <f aca="false">IF(G1089&gt;0,IF(INDEX(CONFIRM!$F$5:$F$53,G1089)&lt;&gt;"",INDEX(CONFIRM!$F$5:$F$53,G1089),IF(ISNUMBER(Q1089),Q1089,IF(Q1089="","",IFERROR(VALUE(TRIM(SUBSTITUTE(SUBSTITUTE(LOWER(Q1089),"hrs",""),"hr",""))),"")))),IF(ISNUMBER(Q1089),Q1089,IF(Q1089="","",IFERROR(VALUE(TRIM(SUBSTITUTE(SUBSTITUTE(LOWER(Q1089),"hrs",""),"hr",""))),""))))</f>
        <v>2</v>
      </c>
      <c r="S1089" s="57" t="n">
        <f aca="false">IFERROR(INDEX(RATES!$E$6:$E$28,MATCH(P1089,RATES!$A$6:$A$28,0)),0)</f>
        <v>53.97</v>
      </c>
      <c r="T1089" s="61" t="n">
        <f aca="false">IF(ISNUMBER(R1089),R1089,0)*S1089</f>
        <v>107.94</v>
      </c>
      <c r="U1089" s="61" t="n">
        <f aca="false">T1089*INDEX(INPUTS!$H$10:$H$14,MATCH(B1089,INPUTS!$A$10:$A$14,0))</f>
        <v>17.05452</v>
      </c>
      <c r="V1089" s="61" t="n">
        <f aca="false">N(STACK!K1089)</f>
        <v>105</v>
      </c>
      <c r="W1089" s="61" t="n">
        <f aca="false">T1089+U1089+V1089</f>
        <v>229.99452</v>
      </c>
      <c r="X1089" s="61" t="n">
        <f aca="false">N(STACK!L1089)</f>
        <v>0</v>
      </c>
      <c r="Y1089" s="61" t="n">
        <f aca="false">W1089-X1089</f>
        <v>229.99452</v>
      </c>
      <c r="Z1089" s="1" t="n">
        <f aca="false">N(STACK!J1089)</f>
        <v>16</v>
      </c>
      <c r="AA1089" s="1" t="str">
        <f aca="false">TRIM(IF(D1089="UNMAPPED","Program not mapped. ","")&amp;IF(OR(K1089="UNMAPPED",K1089="UNASSIGNED"),"Category needs review. ","")&amp;IF(P1089="UNMAPPED","Title not mapped. ","")&amp;IF(AND(P1089&lt;&gt;"No staff time",R1089=""),"Missing hours. ","")&amp;IF(M1089="","Date not readable. ","")&amp;IF(N1089="No","Outside fiscal year. ","")&amp;IF(AND(F1089="Event",ISNUMBER(R1089)),IF(R1089&gt;12,"Event hours look high. ",""),"")&amp;IF(G1089&gt;0,"See CONFIRM sheet.",""))</f>
        <v/>
      </c>
      <c r="AB1089" s="1" t="n">
        <f aca="false">IF(N1089="No",0,IF(REVIEW!O1089=0,0,IF(G1089&gt;0,IF(INDEX(CONFIRM!$J$5:$J$53,G1089)&lt;&gt;"",INDEX(CONFIRM!$J$5:$J$53,G1089),1),1)))</f>
        <v>1</v>
      </c>
      <c r="AC1089" s="1" t="n">
        <f aca="false">IF(AB1089=1,IF(COUNTIFS($B$5:B1089,B1089,$D$5:D1089,D1089,$AB$5:AB1089,1)=1,1,0),0)</f>
        <v>0</v>
      </c>
    </row>
    <row r="1090" customFormat="false" ht="15" hidden="false" customHeight="false" outlineLevel="0" collapsed="false">
      <c r="A1090" s="48" t="str">
        <f aca="false">STACK!A1090</f>
        <v>CBH-0262</v>
      </c>
      <c r="B1090" s="48" t="str">
        <f aca="false">STACK!B1090</f>
        <v>CBH</v>
      </c>
      <c r="C1090" s="48" t="str">
        <f aca="false">STACK!E1090</f>
        <v>Naloxone Training</v>
      </c>
      <c r="D1090" s="1" t="str">
        <f aca="false">IFERROR(INDEX(MAP!$J$7:$J$101,MATCH(TRIM(C1090),MAP!$I$7:$I$101,0)),"UNMAPPED")</f>
        <v>Naloxone Training and Distribution</v>
      </c>
      <c r="E1090" s="1" t="str">
        <f aca="false">IFERROR(INDEX(MAP!$K$7:$K$101,MATCH(TRIM(C1090),MAP!$I$7:$I$101,0)),"")</f>
        <v>Behavioral health</v>
      </c>
      <c r="F1090" s="1" t="str">
        <f aca="false">IFERROR(INDEX(MAP!$L$7:$L$101,MATCH(TRIM(C1090),MAP!$I$7:$I$101,0)),"")</f>
        <v>Event</v>
      </c>
      <c r="G1090" s="1" t="n">
        <f aca="false">IFERROR(MATCH(A1090,CONFIRM!$A$5:$A$53,0),0)</f>
        <v>0</v>
      </c>
      <c r="H1090" s="48" t="str">
        <f aca="false">STACK!F1090</f>
        <v>Health Education</v>
      </c>
      <c r="I1090" s="1" t="str">
        <f aca="false">IF(G1090&gt;0,IF(INDEX(CONFIRM!$I$5:$I$53,G1090)&lt;&gt;"",INDEX(CONFIRM!$I$5:$I$53,G1090),H1090),H1090)</f>
        <v>Health Education</v>
      </c>
      <c r="J1090" s="1" t="str">
        <f aca="false">IFERROR(INDEX(MAP!$F$7:$F$74,MATCH(TRIM(I1090),MAP!$E$7:$E$74,0)),"UNMAPPED")</f>
        <v>Community health education</v>
      </c>
      <c r="K1090" s="1" t="str">
        <f aca="false">IFERROR(INDEX(MAP!$G$7:$G$74,MATCH(TRIM(I1090),MAP!$E$7:$E$74,0)),"UNMAPPED")</f>
        <v>7e</v>
      </c>
      <c r="L1090" s="49" t="str">
        <f aca="false">STACK!G1090</f>
        <v>2026-06-18</v>
      </c>
      <c r="M1090" s="59" t="n">
        <f aca="false">IF(G1090&gt;0,IF(INDEX(CONFIRM!$G$5:$G$53,G1090)&lt;&gt;"",INDEX(CONFIRM!$G$5:$G$53,G1090),IF(ISNUMBER(L1090),L1090,IFERROR(DATEVALUE(L1090),""))),IF(ISNUMBER(L1090),L1090,IFERROR(DATEVALUE(L1090),"")))</f>
        <v>46191</v>
      </c>
      <c r="N1090" s="1" t="str">
        <f aca="false">IF(M1090="","Check",IF(AND(M1090&gt;=INPUTS!$C$6,M1090&lt;=INPUTS!$C$7),"Yes","No"))</f>
        <v>Yes</v>
      </c>
      <c r="O1090" s="48" t="str">
        <f aca="false">STACK!H1090</f>
        <v>Health Educator</v>
      </c>
      <c r="P1090" s="1" t="str">
        <f aca="false">IF(G1090&gt;0,IF(INDEX(CONFIRM!$H$5:$H$53,G1090)&lt;&gt;"",INDEX(CONFIRM!$H$5:$H$53,G1090),IFERROR(INDEX(MAP!$B$7:$B$156,MATCH(TRIM(O1090),MAP!$A$7:$A$156,0)),"UNMAPPED")),IFERROR(INDEX(MAP!$B$7:$B$156,MATCH(TRIM(O1090),MAP!$A$7:$A$156,0)),"UNMAPPED"))</f>
        <v>Health Educator</v>
      </c>
      <c r="Q1090" s="48" t="n">
        <f aca="false">STACK!I1090</f>
        <v>2.75</v>
      </c>
      <c r="R1090" s="60" t="n">
        <f aca="false">IF(G1090&gt;0,IF(INDEX(CONFIRM!$F$5:$F$53,G1090)&lt;&gt;"",INDEX(CONFIRM!$F$5:$F$53,G1090),IF(ISNUMBER(Q1090),Q1090,IF(Q1090="","",IFERROR(VALUE(TRIM(SUBSTITUTE(SUBSTITUTE(LOWER(Q1090),"hrs",""),"hr",""))),"")))),IF(ISNUMBER(Q1090),Q1090,IF(Q1090="","",IFERROR(VALUE(TRIM(SUBSTITUTE(SUBSTITUTE(LOWER(Q1090),"hrs",""),"hr",""))),""))))</f>
        <v>2.75</v>
      </c>
      <c r="S1090" s="57" t="n">
        <f aca="false">IFERROR(INDEX(RATES!$E$6:$E$28,MATCH(P1090,RATES!$A$6:$A$28,0)),0)</f>
        <v>37.265</v>
      </c>
      <c r="T1090" s="61" t="n">
        <f aca="false">IF(ISNUMBER(R1090),R1090,0)*S1090</f>
        <v>102.47875</v>
      </c>
      <c r="U1090" s="61" t="n">
        <f aca="false">T1090*INDEX(INPUTS!$H$10:$H$14,MATCH(B1090,INPUTS!$A$10:$A$14,0))</f>
        <v>16.1916425</v>
      </c>
      <c r="V1090" s="61" t="n">
        <f aca="false">N(STACK!K1090)</f>
        <v>0</v>
      </c>
      <c r="W1090" s="61" t="n">
        <f aca="false">T1090+U1090+V1090</f>
        <v>118.6703925</v>
      </c>
      <c r="X1090" s="61" t="n">
        <f aca="false">N(STACK!L1090)</f>
        <v>0</v>
      </c>
      <c r="Y1090" s="61" t="n">
        <f aca="false">W1090-X1090</f>
        <v>118.6703925</v>
      </c>
      <c r="Z1090" s="1" t="n">
        <f aca="false">N(STACK!J1090)</f>
        <v>0</v>
      </c>
      <c r="AA1090" s="1" t="str">
        <f aca="false">TRIM(IF(D1090="UNMAPPED","Program not mapped. ","")&amp;IF(OR(K1090="UNMAPPED",K1090="UNASSIGNED"),"Category needs review. ","")&amp;IF(P1090="UNMAPPED","Title not mapped. ","")&amp;IF(AND(P1090&lt;&gt;"No staff time",R1090=""),"Missing hours. ","")&amp;IF(M1090="","Date not readable. ","")&amp;IF(N1090="No","Outside fiscal year. ","")&amp;IF(AND(F1090="Event",ISNUMBER(R1090)),IF(R1090&gt;12,"Event hours look high. ",""),"")&amp;IF(G1090&gt;0,"See CONFIRM sheet.",""))</f>
        <v/>
      </c>
      <c r="AB1090" s="1" t="n">
        <f aca="false">IF(N1090="No",0,IF(REVIEW!O1090=0,0,IF(G1090&gt;0,IF(INDEX(CONFIRM!$J$5:$J$53,G1090)&lt;&gt;"",INDEX(CONFIRM!$J$5:$J$53,G1090),1),1)))</f>
        <v>1</v>
      </c>
      <c r="AC1090" s="1" t="n">
        <f aca="false">IF(AB1090=1,IF(COUNTIFS($B$5:B1090,B1090,$D$5:D1090,D1090,$AB$5:AB1090,1)=1,1,0),0)</f>
        <v>0</v>
      </c>
    </row>
    <row r="1091" customFormat="false" ht="15" hidden="false" customHeight="false" outlineLevel="0" collapsed="false">
      <c r="A1091" s="48" t="str">
        <f aca="false">STACK!A1091</f>
        <v>CBH-0263</v>
      </c>
      <c r="B1091" s="48" t="str">
        <f aca="false">STACK!B1091</f>
        <v>CBH</v>
      </c>
      <c r="C1091" s="48" t="str">
        <f aca="false">STACK!E1091</f>
        <v>Naloxone Training</v>
      </c>
      <c r="D1091" s="1" t="str">
        <f aca="false">IFERROR(INDEX(MAP!$J$7:$J$101,MATCH(TRIM(C1091),MAP!$I$7:$I$101,0)),"UNMAPPED")</f>
        <v>Naloxone Training and Distribution</v>
      </c>
      <c r="E1091" s="1" t="str">
        <f aca="false">IFERROR(INDEX(MAP!$K$7:$K$101,MATCH(TRIM(C1091),MAP!$I$7:$I$101,0)),"")</f>
        <v>Behavioral health</v>
      </c>
      <c r="F1091" s="1" t="str">
        <f aca="false">IFERROR(INDEX(MAP!$L$7:$L$101,MATCH(TRIM(C1091),MAP!$I$7:$I$101,0)),"")</f>
        <v>Event</v>
      </c>
      <c r="G1091" s="1" t="n">
        <f aca="false">IFERROR(MATCH(A1091,CONFIRM!$A$5:$A$53,0),0)</f>
        <v>0</v>
      </c>
      <c r="H1091" s="48" t="str">
        <f aca="false">STACK!F1091</f>
        <v>Health Education</v>
      </c>
      <c r="I1091" s="1" t="str">
        <f aca="false">IF(G1091&gt;0,IF(INDEX(CONFIRM!$I$5:$I$53,G1091)&lt;&gt;"",INDEX(CONFIRM!$I$5:$I$53,G1091),H1091),H1091)</f>
        <v>Health Education</v>
      </c>
      <c r="J1091" s="1" t="str">
        <f aca="false">IFERROR(INDEX(MAP!$F$7:$F$74,MATCH(TRIM(I1091),MAP!$E$7:$E$74,0)),"UNMAPPED")</f>
        <v>Community health education</v>
      </c>
      <c r="K1091" s="1" t="str">
        <f aca="false">IFERROR(INDEX(MAP!$G$7:$G$74,MATCH(TRIM(I1091),MAP!$E$7:$E$74,0)),"UNMAPPED")</f>
        <v>7e</v>
      </c>
      <c r="L1091" s="49" t="str">
        <f aca="false">STACK!G1091</f>
        <v>2026-06-18</v>
      </c>
      <c r="M1091" s="59" t="n">
        <f aca="false">IF(G1091&gt;0,IF(INDEX(CONFIRM!$G$5:$G$53,G1091)&lt;&gt;"",INDEX(CONFIRM!$G$5:$G$53,G1091),IF(ISNUMBER(L1091),L1091,IFERROR(DATEVALUE(L1091),""))),IF(ISNUMBER(L1091),L1091,IFERROR(DATEVALUE(L1091),"")))</f>
        <v>46191</v>
      </c>
      <c r="N1091" s="1" t="str">
        <f aca="false">IF(M1091="","Check",IF(AND(M1091&gt;=INPUTS!$C$6,M1091&lt;=INPUTS!$C$7),"Yes","No"))</f>
        <v>Yes</v>
      </c>
      <c r="O1091" s="48" t="str">
        <f aca="false">STACK!H1091</f>
        <v>Staff Pharmacist</v>
      </c>
      <c r="P1091" s="1" t="str">
        <f aca="false">IF(G1091&gt;0,IF(INDEX(CONFIRM!$H$5:$H$53,G1091)&lt;&gt;"",INDEX(CONFIRM!$H$5:$H$53,G1091),IFERROR(INDEX(MAP!$B$7:$B$156,MATCH(TRIM(O1091),MAP!$A$7:$A$156,0)),"UNMAPPED")),IFERROR(INDEX(MAP!$B$7:$B$156,MATCH(TRIM(O1091),MAP!$A$7:$A$156,0)),"UNMAPPED"))</f>
        <v>Pharmacist</v>
      </c>
      <c r="Q1091" s="48" t="n">
        <f aca="false">STACK!I1091</f>
        <v>2.5</v>
      </c>
      <c r="R1091" s="60" t="n">
        <f aca="false">IF(G1091&gt;0,IF(INDEX(CONFIRM!$F$5:$F$53,G1091)&lt;&gt;"",INDEX(CONFIRM!$F$5:$F$53,G1091),IF(ISNUMBER(Q1091),Q1091,IF(Q1091="","",IFERROR(VALUE(TRIM(SUBSTITUTE(SUBSTITUTE(LOWER(Q1091),"hrs",""),"hr",""))),"")))),IF(ISNUMBER(Q1091),Q1091,IF(Q1091="","",IFERROR(VALUE(TRIM(SUBSTITUTE(SUBSTITUTE(LOWER(Q1091),"hrs",""),"hr",""))),""))))</f>
        <v>2.5</v>
      </c>
      <c r="S1091" s="57" t="n">
        <f aca="false">IFERROR(INDEX(RATES!$E$6:$E$28,MATCH(P1091,RATES!$A$6:$A$28,0)),0)</f>
        <v>84.81</v>
      </c>
      <c r="T1091" s="61" t="n">
        <f aca="false">IF(ISNUMBER(R1091),R1091,0)*S1091</f>
        <v>212.025</v>
      </c>
      <c r="U1091" s="61" t="n">
        <f aca="false">T1091*INDEX(INPUTS!$H$10:$H$14,MATCH(B1091,INPUTS!$A$10:$A$14,0))</f>
        <v>33.49995</v>
      </c>
      <c r="V1091" s="61" t="n">
        <f aca="false">N(STACK!K1091)</f>
        <v>1425</v>
      </c>
      <c r="W1091" s="61" t="n">
        <f aca="false">T1091+U1091+V1091</f>
        <v>1670.52495</v>
      </c>
      <c r="X1091" s="61" t="n">
        <f aca="false">N(STACK!L1091)</f>
        <v>1385</v>
      </c>
      <c r="Y1091" s="61" t="n">
        <f aca="false">W1091-X1091</f>
        <v>285.52495</v>
      </c>
      <c r="Z1091" s="1" t="n">
        <f aca="false">N(STACK!J1091)</f>
        <v>19</v>
      </c>
      <c r="AA1091" s="1" t="str">
        <f aca="false">TRIM(IF(D1091="UNMAPPED","Program not mapped. ","")&amp;IF(OR(K1091="UNMAPPED",K1091="UNASSIGNED"),"Category needs review. ","")&amp;IF(P1091="UNMAPPED","Title not mapped. ","")&amp;IF(AND(P1091&lt;&gt;"No staff time",R1091=""),"Missing hours. ","")&amp;IF(M1091="","Date not readable. ","")&amp;IF(N1091="No","Outside fiscal year. ","")&amp;IF(AND(F1091="Event",ISNUMBER(R1091)),IF(R1091&gt;12,"Event hours look high. ",""),"")&amp;IF(G1091&gt;0,"See CONFIRM sheet.",""))</f>
        <v/>
      </c>
      <c r="AB1091" s="1" t="n">
        <f aca="false">IF(N1091="No",0,IF(REVIEW!O1091=0,0,IF(G1091&gt;0,IF(INDEX(CONFIRM!$J$5:$J$53,G1091)&lt;&gt;"",INDEX(CONFIRM!$J$5:$J$53,G1091),1),1)))</f>
        <v>1</v>
      </c>
      <c r="AC1091" s="1" t="n">
        <f aca="false">IF(AB1091=1,IF(COUNTIFS($B$5:B1091,B1091,$D$5:D1091,D1091,$AB$5:AB1091,1)=1,1,0),0)</f>
        <v>0</v>
      </c>
    </row>
    <row r="1092" customFormat="false" ht="15" hidden="false" customHeight="false" outlineLevel="0" collapsed="false">
      <c r="A1092" s="48" t="str">
        <f aca="false">STACK!A1092</f>
        <v>CBH-0264</v>
      </c>
      <c r="B1092" s="48" t="str">
        <f aca="false">STACK!B1092</f>
        <v>CBH</v>
      </c>
      <c r="C1092" s="48" t="str">
        <f aca="false">STACK!E1092</f>
        <v>Diabetes Prevention</v>
      </c>
      <c r="D1092" s="1" t="str">
        <f aca="false">IFERROR(INDEX(MAP!$J$7:$J$101,MATCH(TRIM(C1092),MAP!$I$7:$I$101,0)),"UNMAPPED")</f>
        <v>Diabetes Prevention Classes</v>
      </c>
      <c r="E1092" s="1" t="str">
        <f aca="false">IFERROR(INDEX(MAP!$K$7:$K$101,MATCH(TRIM(C1092),MAP!$I$7:$I$101,0)),"")</f>
        <v>Chronic disease prevention</v>
      </c>
      <c r="F1092" s="1" t="str">
        <f aca="false">IFERROR(INDEX(MAP!$L$7:$L$101,MATCH(TRIM(C1092),MAP!$I$7:$I$101,0)),"")</f>
        <v>Event</v>
      </c>
      <c r="G1092" s="1" t="n">
        <f aca="false">IFERROR(MATCH(A1092,CONFIRM!$A$5:$A$53,0),0)</f>
        <v>0</v>
      </c>
      <c r="H1092" s="48" t="str">
        <f aca="false">STACK!F1092</f>
        <v>Health Education</v>
      </c>
      <c r="I1092" s="1" t="str">
        <f aca="false">IF(G1092&gt;0,IF(INDEX(CONFIRM!$I$5:$I$53,G1092)&lt;&gt;"",INDEX(CONFIRM!$I$5:$I$53,G1092),H1092),H1092)</f>
        <v>Health Education</v>
      </c>
      <c r="J1092" s="1" t="str">
        <f aca="false">IFERROR(INDEX(MAP!$F$7:$F$74,MATCH(TRIM(I1092),MAP!$E$7:$E$74,0)),"UNMAPPED")</f>
        <v>Community health education</v>
      </c>
      <c r="K1092" s="1" t="str">
        <f aca="false">IFERROR(INDEX(MAP!$G$7:$G$74,MATCH(TRIM(I1092),MAP!$E$7:$E$74,0)),"UNMAPPED")</f>
        <v>7e</v>
      </c>
      <c r="L1092" s="49" t="str">
        <f aca="false">STACK!G1092</f>
        <v>2026-06-19</v>
      </c>
      <c r="M1092" s="59" t="n">
        <f aca="false">IF(G1092&gt;0,IF(INDEX(CONFIRM!$G$5:$G$53,G1092)&lt;&gt;"",INDEX(CONFIRM!$G$5:$G$53,G1092),IF(ISNUMBER(L1092),L1092,IFERROR(DATEVALUE(L1092),""))),IF(ISNUMBER(L1092),L1092,IFERROR(DATEVALUE(L1092),"")))</f>
        <v>46192</v>
      </c>
      <c r="N1092" s="1" t="str">
        <f aca="false">IF(M1092="","Check",IF(AND(M1092&gt;=INPUTS!$C$6,M1092&lt;=INPUTS!$C$7),"Yes","No"))</f>
        <v>Yes</v>
      </c>
      <c r="O1092" s="48" t="str">
        <f aca="false">STACK!H1092</f>
        <v>health education specialist</v>
      </c>
      <c r="P1092" s="1" t="str">
        <f aca="false">IF(G1092&gt;0,IF(INDEX(CONFIRM!$H$5:$H$53,G1092)&lt;&gt;"",INDEX(CONFIRM!$H$5:$H$53,G1092),IFERROR(INDEX(MAP!$B$7:$B$156,MATCH(TRIM(O1092),MAP!$A$7:$A$156,0)),"UNMAPPED")),IFERROR(INDEX(MAP!$B$7:$B$156,MATCH(TRIM(O1092),MAP!$A$7:$A$156,0)),"UNMAPPED"))</f>
        <v>Health Educator</v>
      </c>
      <c r="Q1092" s="48" t="n">
        <f aca="false">STACK!I1092</f>
        <v>2</v>
      </c>
      <c r="R1092" s="60" t="n">
        <f aca="false">IF(G1092&gt;0,IF(INDEX(CONFIRM!$F$5:$F$53,G1092)&lt;&gt;"",INDEX(CONFIRM!$F$5:$F$53,G1092),IF(ISNUMBER(Q1092),Q1092,IF(Q1092="","",IFERROR(VALUE(TRIM(SUBSTITUTE(SUBSTITUTE(LOWER(Q1092),"hrs",""),"hr",""))),"")))),IF(ISNUMBER(Q1092),Q1092,IF(Q1092="","",IFERROR(VALUE(TRIM(SUBSTITUTE(SUBSTITUTE(LOWER(Q1092),"hrs",""),"hr",""))),""))))</f>
        <v>2</v>
      </c>
      <c r="S1092" s="57" t="n">
        <f aca="false">IFERROR(INDEX(RATES!$E$6:$E$28,MATCH(P1092,RATES!$A$6:$A$28,0)),0)</f>
        <v>37.265</v>
      </c>
      <c r="T1092" s="61" t="n">
        <f aca="false">IF(ISNUMBER(R1092),R1092,0)*S1092</f>
        <v>74.53</v>
      </c>
      <c r="U1092" s="61" t="n">
        <f aca="false">T1092*INDEX(INPUTS!$H$10:$H$14,MATCH(B1092,INPUTS!$A$10:$A$14,0))</f>
        <v>11.77574</v>
      </c>
      <c r="V1092" s="61" t="n">
        <f aca="false">N(STACK!K1092)</f>
        <v>65</v>
      </c>
      <c r="W1092" s="61" t="n">
        <f aca="false">T1092+U1092+V1092</f>
        <v>151.30574</v>
      </c>
      <c r="X1092" s="61" t="n">
        <f aca="false">N(STACK!L1092)</f>
        <v>0</v>
      </c>
      <c r="Y1092" s="61" t="n">
        <f aca="false">W1092-X1092</f>
        <v>151.30574</v>
      </c>
      <c r="Z1092" s="1" t="n">
        <f aca="false">N(STACK!J1092)</f>
        <v>9</v>
      </c>
      <c r="AA1092" s="1" t="str">
        <f aca="false">TRIM(IF(D1092="UNMAPPED","Program not mapped. ","")&amp;IF(OR(K1092="UNMAPPED",K1092="UNASSIGNED"),"Category needs review. ","")&amp;IF(P1092="UNMAPPED","Title not mapped. ","")&amp;IF(AND(P1092&lt;&gt;"No staff time",R1092=""),"Missing hours. ","")&amp;IF(M1092="","Date not readable. ","")&amp;IF(N1092="No","Outside fiscal year. ","")&amp;IF(AND(F1092="Event",ISNUMBER(R1092)),IF(R1092&gt;12,"Event hours look high. ",""),"")&amp;IF(G1092&gt;0,"See CONFIRM sheet.",""))</f>
        <v/>
      </c>
      <c r="AB1092" s="1" t="n">
        <f aca="false">IF(N1092="No",0,IF(REVIEW!O1092=0,0,IF(G1092&gt;0,IF(INDEX(CONFIRM!$J$5:$J$53,G1092)&lt;&gt;"",INDEX(CONFIRM!$J$5:$J$53,G1092),1),1)))</f>
        <v>1</v>
      </c>
      <c r="AC1092" s="1" t="n">
        <f aca="false">IF(AB1092=1,IF(COUNTIFS($B$5:B1092,B1092,$D$5:D1092,D1092,$AB$5:AB1092,1)=1,1,0),0)</f>
        <v>0</v>
      </c>
    </row>
    <row r="1093" customFormat="false" ht="15" hidden="false" customHeight="false" outlineLevel="0" collapsed="false">
      <c r="A1093" s="48" t="str">
        <f aca="false">STACK!A1093</f>
        <v>CBH-0265</v>
      </c>
      <c r="B1093" s="48" t="str">
        <f aca="false">STACK!B1093</f>
        <v>CBH</v>
      </c>
      <c r="C1093" s="48" t="str">
        <f aca="false">STACK!E1093</f>
        <v>Diabetes Prevention</v>
      </c>
      <c r="D1093" s="1" t="str">
        <f aca="false">IFERROR(INDEX(MAP!$J$7:$J$101,MATCH(TRIM(C1093),MAP!$I$7:$I$101,0)),"UNMAPPED")</f>
        <v>Diabetes Prevention Classes</v>
      </c>
      <c r="E1093" s="1" t="str">
        <f aca="false">IFERROR(INDEX(MAP!$K$7:$K$101,MATCH(TRIM(C1093),MAP!$I$7:$I$101,0)),"")</f>
        <v>Chronic disease prevention</v>
      </c>
      <c r="F1093" s="1" t="str">
        <f aca="false">IFERROR(INDEX(MAP!$L$7:$L$101,MATCH(TRIM(C1093),MAP!$I$7:$I$101,0)),"")</f>
        <v>Event</v>
      </c>
      <c r="G1093" s="1" t="n">
        <f aca="false">IFERROR(MATCH(A1093,CONFIRM!$A$5:$A$53,0),0)</f>
        <v>0</v>
      </c>
      <c r="H1093" s="48" t="str">
        <f aca="false">STACK!F1093</f>
        <v>Health Education</v>
      </c>
      <c r="I1093" s="1" t="str">
        <f aca="false">IF(G1093&gt;0,IF(INDEX(CONFIRM!$I$5:$I$53,G1093)&lt;&gt;"",INDEX(CONFIRM!$I$5:$I$53,G1093),H1093),H1093)</f>
        <v>Health Education</v>
      </c>
      <c r="J1093" s="1" t="str">
        <f aca="false">IFERROR(INDEX(MAP!$F$7:$F$74,MATCH(TRIM(I1093),MAP!$E$7:$E$74,0)),"UNMAPPED")</f>
        <v>Community health education</v>
      </c>
      <c r="K1093" s="1" t="str">
        <f aca="false">IFERROR(INDEX(MAP!$G$7:$G$74,MATCH(TRIM(I1093),MAP!$E$7:$E$74,0)),"UNMAPPED")</f>
        <v>7e</v>
      </c>
      <c r="L1093" s="49" t="str">
        <f aca="false">STACK!G1093</f>
        <v>2026-06-19</v>
      </c>
      <c r="M1093" s="59" t="n">
        <f aca="false">IF(G1093&gt;0,IF(INDEX(CONFIRM!$G$5:$G$53,G1093)&lt;&gt;"",INDEX(CONFIRM!$G$5:$G$53,G1093),IF(ISNUMBER(L1093),L1093,IFERROR(DATEVALUE(L1093),""))),IF(ISNUMBER(L1093),L1093,IFERROR(DATEVALUE(L1093),"")))</f>
        <v>46192</v>
      </c>
      <c r="N1093" s="1" t="str">
        <f aca="false">IF(M1093="","Check",IF(AND(M1093&gt;=INPUTS!$C$6,M1093&lt;=INPUTS!$C$7),"Yes","No"))</f>
        <v>Yes</v>
      </c>
      <c r="O1093" s="48" t="str">
        <f aca="false">STACK!H1093</f>
        <v>Dietitian</v>
      </c>
      <c r="P1093" s="1" t="str">
        <f aca="false">IF(G1093&gt;0,IF(INDEX(CONFIRM!$H$5:$H$53,G1093)&lt;&gt;"",INDEX(CONFIRM!$H$5:$H$53,G1093),IFERROR(INDEX(MAP!$B$7:$B$156,MATCH(TRIM(O1093),MAP!$A$7:$A$156,0)),"UNMAPPED")),IFERROR(INDEX(MAP!$B$7:$B$156,MATCH(TRIM(O1093),MAP!$A$7:$A$156,0)),"UNMAPPED"))</f>
        <v>Registered Dietitian</v>
      </c>
      <c r="Q1093" s="48" t="n">
        <f aca="false">STACK!I1093</f>
        <v>1.5</v>
      </c>
      <c r="R1093" s="60" t="n">
        <f aca="false">IF(G1093&gt;0,IF(INDEX(CONFIRM!$F$5:$F$53,G1093)&lt;&gt;"",INDEX(CONFIRM!$F$5:$F$53,G1093),IF(ISNUMBER(Q1093),Q1093,IF(Q1093="","",IFERROR(VALUE(TRIM(SUBSTITUTE(SUBSTITUTE(LOWER(Q1093),"hrs",""),"hr",""))),"")))),IF(ISNUMBER(Q1093),Q1093,IF(Q1093="","",IFERROR(VALUE(TRIM(SUBSTITUTE(SUBSTITUTE(LOWER(Q1093),"hrs",""),"hr",""))),""))))</f>
        <v>1.5</v>
      </c>
      <c r="S1093" s="57" t="n">
        <f aca="false">IFERROR(INDEX(RATES!$E$6:$E$28,MATCH(P1093,RATES!$A$6:$A$28,0)),0)</f>
        <v>46.9025</v>
      </c>
      <c r="T1093" s="61" t="n">
        <f aca="false">IF(ISNUMBER(R1093),R1093,0)*S1093</f>
        <v>70.35375</v>
      </c>
      <c r="U1093" s="61" t="n">
        <f aca="false">T1093*INDEX(INPUTS!$H$10:$H$14,MATCH(B1093,INPUTS!$A$10:$A$14,0))</f>
        <v>11.1158925</v>
      </c>
      <c r="V1093" s="61" t="n">
        <f aca="false">N(STACK!K1093)</f>
        <v>0</v>
      </c>
      <c r="W1093" s="61" t="n">
        <f aca="false">T1093+U1093+V1093</f>
        <v>81.4696425</v>
      </c>
      <c r="X1093" s="61" t="n">
        <f aca="false">N(STACK!L1093)</f>
        <v>0</v>
      </c>
      <c r="Y1093" s="61" t="n">
        <f aca="false">W1093-X1093</f>
        <v>81.4696425</v>
      </c>
      <c r="Z1093" s="1" t="n">
        <f aca="false">N(STACK!J1093)</f>
        <v>0</v>
      </c>
      <c r="AA1093" s="1" t="str">
        <f aca="false">TRIM(IF(D1093="UNMAPPED","Program not mapped. ","")&amp;IF(OR(K1093="UNMAPPED",K1093="UNASSIGNED"),"Category needs review. ","")&amp;IF(P1093="UNMAPPED","Title not mapped. ","")&amp;IF(AND(P1093&lt;&gt;"No staff time",R1093=""),"Missing hours. ","")&amp;IF(M1093="","Date not readable. ","")&amp;IF(N1093="No","Outside fiscal year. ","")&amp;IF(AND(F1093="Event",ISNUMBER(R1093)),IF(R1093&gt;12,"Event hours look high. ",""),"")&amp;IF(G1093&gt;0,"See CONFIRM sheet.",""))</f>
        <v/>
      </c>
      <c r="AB1093" s="1" t="n">
        <f aca="false">IF(N1093="No",0,IF(REVIEW!O1093=0,0,IF(G1093&gt;0,IF(INDEX(CONFIRM!$J$5:$J$53,G1093)&lt;&gt;"",INDEX(CONFIRM!$J$5:$J$53,G1093),1),1)))</f>
        <v>1</v>
      </c>
      <c r="AC1093" s="1" t="n">
        <f aca="false">IF(AB1093=1,IF(COUNTIFS($B$5:B1093,B1093,$D$5:D1093,D1093,$AB$5:AB1093,1)=1,1,0),0)</f>
        <v>0</v>
      </c>
    </row>
    <row r="1094" customFormat="false" ht="15" hidden="false" customHeight="false" outlineLevel="0" collapsed="false">
      <c r="A1094" s="48" t="str">
        <f aca="false">STACK!A1094</f>
        <v>CBH-0266</v>
      </c>
      <c r="B1094" s="48" t="str">
        <f aca="false">STACK!B1094</f>
        <v>CBH</v>
      </c>
      <c r="C1094" s="48" t="str">
        <f aca="false">STACK!E1094</f>
        <v>Matter of Balance Classes</v>
      </c>
      <c r="D1094" s="1" t="str">
        <f aca="false">IFERROR(INDEX(MAP!$J$7:$J$101,MATCH(TRIM(C1094),MAP!$I$7:$I$101,0)),"UNMAPPED")</f>
        <v>Fall Prevention Classes for Older Adults</v>
      </c>
      <c r="E1094" s="1" t="str">
        <f aca="false">IFERROR(INDEX(MAP!$K$7:$K$101,MATCH(TRIM(C1094),MAP!$I$7:$I$101,0)),"")</f>
        <v>Chronic disease prevention</v>
      </c>
      <c r="F1094" s="1" t="str">
        <f aca="false">IFERROR(INDEX(MAP!$L$7:$L$101,MATCH(TRIM(C1094),MAP!$I$7:$I$101,0)),"")</f>
        <v>Event</v>
      </c>
      <c r="G1094" s="1" t="n">
        <f aca="false">IFERROR(MATCH(A1094,CONFIRM!$A$5:$A$53,0),0)</f>
        <v>0</v>
      </c>
      <c r="H1094" s="48" t="str">
        <f aca="false">STACK!F1094</f>
        <v>Health Education</v>
      </c>
      <c r="I1094" s="1" t="str">
        <f aca="false">IF(G1094&gt;0,IF(INDEX(CONFIRM!$I$5:$I$53,G1094)&lt;&gt;"",INDEX(CONFIRM!$I$5:$I$53,G1094),H1094),H1094)</f>
        <v>Health Education</v>
      </c>
      <c r="J1094" s="1" t="str">
        <f aca="false">IFERROR(INDEX(MAP!$F$7:$F$74,MATCH(TRIM(I1094),MAP!$E$7:$E$74,0)),"UNMAPPED")</f>
        <v>Community health education</v>
      </c>
      <c r="K1094" s="1" t="str">
        <f aca="false">IFERROR(INDEX(MAP!$G$7:$G$74,MATCH(TRIM(I1094),MAP!$E$7:$E$74,0)),"UNMAPPED")</f>
        <v>7e</v>
      </c>
      <c r="L1094" s="49" t="str">
        <f aca="false">STACK!G1094</f>
        <v>2026-06-20</v>
      </c>
      <c r="M1094" s="59" t="n">
        <f aca="false">IF(G1094&gt;0,IF(INDEX(CONFIRM!$G$5:$G$53,G1094)&lt;&gt;"",INDEX(CONFIRM!$G$5:$G$53,G1094),IF(ISNUMBER(L1094),L1094,IFERROR(DATEVALUE(L1094),""))),IF(ISNUMBER(L1094),L1094,IFERROR(DATEVALUE(L1094),"")))</f>
        <v>46193</v>
      </c>
      <c r="N1094" s="1" t="str">
        <f aca="false">IF(M1094="","Check",IF(AND(M1094&gt;=INPUTS!$C$6,M1094&lt;=INPUTS!$C$7),"Yes","No"))</f>
        <v>Yes</v>
      </c>
      <c r="O1094" s="48" t="str">
        <f aca="false">STACK!H1094</f>
        <v>Physical Therapist</v>
      </c>
      <c r="P1094" s="1" t="str">
        <f aca="false">IF(G1094&gt;0,IF(INDEX(CONFIRM!$H$5:$H$53,G1094)&lt;&gt;"",INDEX(CONFIRM!$H$5:$H$53,G1094),IFERROR(INDEX(MAP!$B$7:$B$156,MATCH(TRIM(O1094),MAP!$A$7:$A$156,0)),"UNMAPPED")),IFERROR(INDEX(MAP!$B$7:$B$156,MATCH(TRIM(O1094),MAP!$A$7:$A$156,0)),"UNMAPPED"))</f>
        <v>Licensed Therapist</v>
      </c>
      <c r="Q1094" s="48" t="n">
        <f aca="false">STACK!I1094</f>
        <v>2</v>
      </c>
      <c r="R1094" s="60" t="n">
        <f aca="false">IF(G1094&gt;0,IF(INDEX(CONFIRM!$F$5:$F$53,G1094)&lt;&gt;"",INDEX(CONFIRM!$F$5:$F$53,G1094),IF(ISNUMBER(Q1094),Q1094,IF(Q1094="","",IFERROR(VALUE(TRIM(SUBSTITUTE(SUBSTITUTE(LOWER(Q1094),"hrs",""),"hr",""))),"")))),IF(ISNUMBER(Q1094),Q1094,IF(Q1094="","",IFERROR(VALUE(TRIM(SUBSTITUTE(SUBSTITUTE(LOWER(Q1094),"hrs",""),"hr",""))),""))))</f>
        <v>2</v>
      </c>
      <c r="S1094" s="57" t="n">
        <f aca="false">IFERROR(INDEX(RATES!$E$6:$E$28,MATCH(P1094,RATES!$A$6:$A$28,0)),0)</f>
        <v>53.97</v>
      </c>
      <c r="T1094" s="61" t="n">
        <f aca="false">IF(ISNUMBER(R1094),R1094,0)*S1094</f>
        <v>107.94</v>
      </c>
      <c r="U1094" s="61" t="n">
        <f aca="false">T1094*INDEX(INPUTS!$H$10:$H$14,MATCH(B1094,INPUTS!$A$10:$A$14,0))</f>
        <v>17.05452</v>
      </c>
      <c r="V1094" s="61" t="n">
        <f aca="false">N(STACK!K1094)</f>
        <v>95</v>
      </c>
      <c r="W1094" s="61" t="n">
        <f aca="false">T1094+U1094+V1094</f>
        <v>219.99452</v>
      </c>
      <c r="X1094" s="61" t="n">
        <f aca="false">N(STACK!L1094)</f>
        <v>0</v>
      </c>
      <c r="Y1094" s="61" t="n">
        <f aca="false">W1094-X1094</f>
        <v>219.99452</v>
      </c>
      <c r="Z1094" s="1" t="n">
        <f aca="false">N(STACK!J1094)</f>
        <v>10</v>
      </c>
      <c r="AA1094" s="1" t="str">
        <f aca="false">TRIM(IF(D1094="UNMAPPED","Program not mapped. ","")&amp;IF(OR(K1094="UNMAPPED",K1094="UNASSIGNED"),"Category needs review. ","")&amp;IF(P1094="UNMAPPED","Title not mapped. ","")&amp;IF(AND(P1094&lt;&gt;"No staff time",R1094=""),"Missing hours. ","")&amp;IF(M1094="","Date not readable. ","")&amp;IF(N1094="No","Outside fiscal year. ","")&amp;IF(AND(F1094="Event",ISNUMBER(R1094)),IF(R1094&gt;12,"Event hours look high. ",""),"")&amp;IF(G1094&gt;0,"See CONFIRM sheet.",""))</f>
        <v/>
      </c>
      <c r="AB1094" s="1" t="n">
        <f aca="false">IF(N1094="No",0,IF(REVIEW!O1094=0,0,IF(G1094&gt;0,IF(INDEX(CONFIRM!$J$5:$J$53,G1094)&lt;&gt;"",INDEX(CONFIRM!$J$5:$J$53,G1094),1),1)))</f>
        <v>1</v>
      </c>
      <c r="AC1094" s="1" t="n">
        <f aca="false">IF(AB1094=1,IF(COUNTIFS($B$5:B1094,B1094,$D$5:D1094,D1094,$AB$5:AB1094,1)=1,1,0),0)</f>
        <v>0</v>
      </c>
    </row>
    <row r="1095" customFormat="false" ht="15" hidden="false" customHeight="false" outlineLevel="0" collapsed="false">
      <c r="A1095" s="48" t="str">
        <f aca="false">STACK!A1095</f>
        <v>CBH-0267</v>
      </c>
      <c r="B1095" s="48" t="str">
        <f aca="false">STACK!B1095</f>
        <v>CBH</v>
      </c>
      <c r="C1095" s="48" t="str">
        <f aca="false">STACK!E1095</f>
        <v>Bereavement Group</v>
      </c>
      <c r="D1095" s="1" t="str">
        <f aca="false">IFERROR(INDEX(MAP!$J$7:$J$101,MATCH(TRIM(C1095),MAP!$I$7:$I$101,0)),"UNMAPPED")</f>
        <v>Grief Support Group</v>
      </c>
      <c r="E1095" s="1" t="str">
        <f aca="false">IFERROR(INDEX(MAP!$K$7:$K$101,MATCH(TRIM(C1095),MAP!$I$7:$I$101,0)),"")</f>
        <v>Behavioral health</v>
      </c>
      <c r="F1095" s="1" t="str">
        <f aca="false">IFERROR(INDEX(MAP!$L$7:$L$101,MATCH(TRIM(C1095),MAP!$I$7:$I$101,0)),"")</f>
        <v>Event</v>
      </c>
      <c r="G1095" s="1" t="n">
        <f aca="false">IFERROR(MATCH(A1095,CONFIRM!$A$5:$A$53,0),0)</f>
        <v>0</v>
      </c>
      <c r="H1095" s="48" t="str">
        <f aca="false">STACK!F1095</f>
        <v>Patient Support</v>
      </c>
      <c r="I1095" s="1" t="str">
        <f aca="false">IF(G1095&gt;0,IF(INDEX(CONFIRM!$I$5:$I$53,G1095)&lt;&gt;"",INDEX(CONFIRM!$I$5:$I$53,G1095),H1095),H1095)</f>
        <v>Patient Support</v>
      </c>
      <c r="J1095" s="1" t="str">
        <f aca="false">IFERROR(INDEX(MAP!$F$7:$F$74,MATCH(TRIM(I1095),MAP!$E$7:$E$74,0)),"UNMAPPED")</f>
        <v>Health care support services</v>
      </c>
      <c r="K1095" s="1" t="str">
        <f aca="false">IFERROR(INDEX(MAP!$G$7:$G$74,MATCH(TRIM(I1095),MAP!$E$7:$E$74,0)),"UNMAPPED")</f>
        <v>7e</v>
      </c>
      <c r="L1095" s="49" t="str">
        <f aca="false">STACK!G1095</f>
        <v>2026-06-29</v>
      </c>
      <c r="M1095" s="59" t="n">
        <f aca="false">IF(G1095&gt;0,IF(INDEX(CONFIRM!$G$5:$G$53,G1095)&lt;&gt;"",INDEX(CONFIRM!$G$5:$G$53,G1095),IF(ISNUMBER(L1095),L1095,IFERROR(DATEVALUE(L1095),""))),IF(ISNUMBER(L1095),L1095,IFERROR(DATEVALUE(L1095),"")))</f>
        <v>46202</v>
      </c>
      <c r="N1095" s="1" t="str">
        <f aca="false">IF(M1095="","Check",IF(AND(M1095&gt;=INPUTS!$C$6,M1095&lt;=INPUTS!$C$7),"Yes","No"))</f>
        <v>Yes</v>
      </c>
      <c r="O1095" s="48" t="str">
        <f aca="false">STACK!H1095</f>
        <v>Spiritual Care </v>
      </c>
      <c r="P1095" s="1" t="str">
        <f aca="false">IF(G1095&gt;0,IF(INDEX(CONFIRM!$H$5:$H$53,G1095)&lt;&gt;"",INDEX(CONFIRM!$H$5:$H$53,G1095),IFERROR(INDEX(MAP!$B$7:$B$156,MATCH(TRIM(O1095),MAP!$A$7:$A$156,0)),"UNMAPPED")),IFERROR(INDEX(MAP!$B$7:$B$156,MATCH(TRIM(O1095),MAP!$A$7:$A$156,0)),"UNMAPPED"))</f>
        <v>Chaplain</v>
      </c>
      <c r="Q1095" s="48" t="n">
        <f aca="false">STACK!I1095</f>
        <v>2.5</v>
      </c>
      <c r="R1095" s="60" t="n">
        <f aca="false">IF(G1095&gt;0,IF(INDEX(CONFIRM!$F$5:$F$53,G1095)&lt;&gt;"",INDEX(CONFIRM!$F$5:$F$53,G1095),IF(ISNUMBER(Q1095),Q1095,IF(Q1095="","",IFERROR(VALUE(TRIM(SUBSTITUTE(SUBSTITUTE(LOWER(Q1095),"hrs",""),"hr",""))),"")))),IF(ISNUMBER(Q1095),Q1095,IF(Q1095="","",IFERROR(VALUE(TRIM(SUBSTITUTE(SUBSTITUTE(LOWER(Q1095),"hrs",""),"hr",""))),""))))</f>
        <v>2.5</v>
      </c>
      <c r="S1095" s="57" t="n">
        <f aca="false">IFERROR(INDEX(RATES!$E$6:$E$28,MATCH(P1095,RATES!$A$6:$A$28,0)),0)</f>
        <v>39.835</v>
      </c>
      <c r="T1095" s="61" t="n">
        <f aca="false">IF(ISNUMBER(R1095),R1095,0)*S1095</f>
        <v>99.5875</v>
      </c>
      <c r="U1095" s="61" t="n">
        <f aca="false">T1095*INDEX(INPUTS!$H$10:$H$14,MATCH(B1095,INPUTS!$A$10:$A$14,0))</f>
        <v>15.734825</v>
      </c>
      <c r="V1095" s="61" t="n">
        <f aca="false">N(STACK!K1095)</f>
        <v>35</v>
      </c>
      <c r="W1095" s="61" t="n">
        <f aca="false">T1095+U1095+V1095</f>
        <v>150.322325</v>
      </c>
      <c r="X1095" s="61" t="n">
        <f aca="false">N(STACK!L1095)</f>
        <v>0</v>
      </c>
      <c r="Y1095" s="61" t="n">
        <f aca="false">W1095-X1095</f>
        <v>150.322325</v>
      </c>
      <c r="Z1095" s="1" t="n">
        <f aca="false">N(STACK!J1095)</f>
        <v>9</v>
      </c>
      <c r="AA1095" s="1" t="str">
        <f aca="false">TRIM(IF(D1095="UNMAPPED","Program not mapped. ","")&amp;IF(OR(K1095="UNMAPPED",K1095="UNASSIGNED"),"Category needs review. ","")&amp;IF(P1095="UNMAPPED","Title not mapped. ","")&amp;IF(AND(P1095&lt;&gt;"No staff time",R1095=""),"Missing hours. ","")&amp;IF(M1095="","Date not readable. ","")&amp;IF(N1095="No","Outside fiscal year. ","")&amp;IF(AND(F1095="Event",ISNUMBER(R1095)),IF(R1095&gt;12,"Event hours look high. ",""),"")&amp;IF(G1095&gt;0,"See CONFIRM sheet.",""))</f>
        <v/>
      </c>
      <c r="AB1095" s="1" t="n">
        <f aca="false">IF(N1095="No",0,IF(REVIEW!O1095=0,0,IF(G1095&gt;0,IF(INDEX(CONFIRM!$J$5:$J$53,G1095)&lt;&gt;"",INDEX(CONFIRM!$J$5:$J$53,G1095),1),1)))</f>
        <v>1</v>
      </c>
      <c r="AC1095" s="1" t="n">
        <f aca="false">IF(AB1095=1,IF(COUNTIFS($B$5:B1095,B1095,$D$5:D1095,D1095,$AB$5:AB1095,1)=1,1,0),0)</f>
        <v>0</v>
      </c>
    </row>
    <row r="1096" customFormat="false" ht="15" hidden="false" customHeight="false" outlineLevel="0" collapsed="false">
      <c r="A1096" s="48" t="str">
        <f aca="false">STACK!A1096</f>
        <v>CBH-0268</v>
      </c>
      <c r="B1096" s="48" t="str">
        <f aca="false">STACK!B1096</f>
        <v>CBH</v>
      </c>
      <c r="C1096" s="48" t="str">
        <f aca="false">STACK!E1096</f>
        <v>Bereavement Group</v>
      </c>
      <c r="D1096" s="1" t="str">
        <f aca="false">IFERROR(INDEX(MAP!$J$7:$J$101,MATCH(TRIM(C1096),MAP!$I$7:$I$101,0)),"UNMAPPED")</f>
        <v>Grief Support Group</v>
      </c>
      <c r="E1096" s="1" t="str">
        <f aca="false">IFERROR(INDEX(MAP!$K$7:$K$101,MATCH(TRIM(C1096),MAP!$I$7:$I$101,0)),"")</f>
        <v>Behavioral health</v>
      </c>
      <c r="F1096" s="1" t="str">
        <f aca="false">IFERROR(INDEX(MAP!$L$7:$L$101,MATCH(TRIM(C1096),MAP!$I$7:$I$101,0)),"")</f>
        <v>Event</v>
      </c>
      <c r="G1096" s="1" t="n">
        <f aca="false">IFERROR(MATCH(A1096,CONFIRM!$A$5:$A$53,0),0)</f>
        <v>0</v>
      </c>
      <c r="H1096" s="48" t="str">
        <f aca="false">STACK!F1096</f>
        <v>Patient Support</v>
      </c>
      <c r="I1096" s="1" t="str">
        <f aca="false">IF(G1096&gt;0,IF(INDEX(CONFIRM!$I$5:$I$53,G1096)&lt;&gt;"",INDEX(CONFIRM!$I$5:$I$53,G1096),H1096),H1096)</f>
        <v>Patient Support</v>
      </c>
      <c r="J1096" s="1" t="str">
        <f aca="false">IFERROR(INDEX(MAP!$F$7:$F$74,MATCH(TRIM(I1096),MAP!$E$7:$E$74,0)),"UNMAPPED")</f>
        <v>Health care support services</v>
      </c>
      <c r="K1096" s="1" t="str">
        <f aca="false">IFERROR(INDEX(MAP!$G$7:$G$74,MATCH(TRIM(I1096),MAP!$E$7:$E$74,0)),"UNMAPPED")</f>
        <v>7e</v>
      </c>
      <c r="L1096" s="49" t="str">
        <f aca="false">STACK!G1096</f>
        <v>2026-06-29</v>
      </c>
      <c r="M1096" s="59" t="n">
        <f aca="false">IF(G1096&gt;0,IF(INDEX(CONFIRM!$G$5:$G$53,G1096)&lt;&gt;"",INDEX(CONFIRM!$G$5:$G$53,G1096),IF(ISNUMBER(L1096),L1096,IFERROR(DATEVALUE(L1096),""))),IF(ISNUMBER(L1096),L1096,IFERROR(DATEVALUE(L1096),"")))</f>
        <v>46202</v>
      </c>
      <c r="N1096" s="1" t="str">
        <f aca="false">IF(M1096="","Check",IF(AND(M1096&gt;=INPUTS!$C$6,M1096&lt;=INPUTS!$C$7),"Yes","No"))</f>
        <v>Yes</v>
      </c>
      <c r="O1096" s="48" t="str">
        <f aca="false">STACK!H1096</f>
        <v>MSW</v>
      </c>
      <c r="P1096" s="1" t="str">
        <f aca="false">IF(G1096&gt;0,IF(INDEX(CONFIRM!$H$5:$H$53,G1096)&lt;&gt;"",INDEX(CONFIRM!$H$5:$H$53,G1096),IFERROR(INDEX(MAP!$B$7:$B$156,MATCH(TRIM(O1096),MAP!$A$7:$A$156,0)),"UNMAPPED")),IFERROR(INDEX(MAP!$B$7:$B$156,MATCH(TRIM(O1096),MAP!$A$7:$A$156,0)),"UNMAPPED"))</f>
        <v>Social Worker</v>
      </c>
      <c r="Q1096" s="48" t="n">
        <f aca="false">STACK!I1096</f>
        <v>1.75</v>
      </c>
      <c r="R1096" s="60" t="n">
        <f aca="false">IF(G1096&gt;0,IF(INDEX(CONFIRM!$F$5:$F$53,G1096)&lt;&gt;"",INDEX(CONFIRM!$F$5:$F$53,G1096),IF(ISNUMBER(Q1096),Q1096,IF(Q1096="","",IFERROR(VALUE(TRIM(SUBSTITUTE(SUBSTITUTE(LOWER(Q1096),"hrs",""),"hr",""))),"")))),IF(ISNUMBER(Q1096),Q1096,IF(Q1096="","",IFERROR(VALUE(TRIM(SUBSTITUTE(SUBSTITUTE(LOWER(Q1096),"hrs",""),"hr",""))),""))))</f>
        <v>1.75</v>
      </c>
      <c r="S1096" s="57" t="n">
        <f aca="false">IFERROR(INDEX(RATES!$E$6:$E$28,MATCH(P1096,RATES!$A$6:$A$28,0)),0)</f>
        <v>45.6175</v>
      </c>
      <c r="T1096" s="61" t="n">
        <f aca="false">IF(ISNUMBER(R1096),R1096,0)*S1096</f>
        <v>79.830625</v>
      </c>
      <c r="U1096" s="61" t="n">
        <f aca="false">T1096*INDEX(INPUTS!$H$10:$H$14,MATCH(B1096,INPUTS!$A$10:$A$14,0))</f>
        <v>12.61323875</v>
      </c>
      <c r="V1096" s="61" t="n">
        <f aca="false">N(STACK!K1096)</f>
        <v>0</v>
      </c>
      <c r="W1096" s="61" t="n">
        <f aca="false">T1096+U1096+V1096</f>
        <v>92.44386375</v>
      </c>
      <c r="X1096" s="61" t="n">
        <f aca="false">N(STACK!L1096)</f>
        <v>0</v>
      </c>
      <c r="Y1096" s="61" t="n">
        <f aca="false">W1096-X1096</f>
        <v>92.44386375</v>
      </c>
      <c r="Z1096" s="1" t="n">
        <f aca="false">N(STACK!J1096)</f>
        <v>0</v>
      </c>
      <c r="AA1096" s="1" t="str">
        <f aca="false">TRIM(IF(D1096="UNMAPPED","Program not mapped. ","")&amp;IF(OR(K1096="UNMAPPED",K1096="UNASSIGNED"),"Category needs review. ","")&amp;IF(P1096="UNMAPPED","Title not mapped. ","")&amp;IF(AND(P1096&lt;&gt;"No staff time",R1096=""),"Missing hours. ","")&amp;IF(M1096="","Date not readable. ","")&amp;IF(N1096="No","Outside fiscal year. ","")&amp;IF(AND(F1096="Event",ISNUMBER(R1096)),IF(R1096&gt;12,"Event hours look high. ",""),"")&amp;IF(G1096&gt;0,"See CONFIRM sheet.",""))</f>
        <v/>
      </c>
      <c r="AB1096" s="1" t="n">
        <f aca="false">IF(N1096="No",0,IF(REVIEW!O1096=0,0,IF(G1096&gt;0,IF(INDEX(CONFIRM!$J$5:$J$53,G1096)&lt;&gt;"",INDEX(CONFIRM!$J$5:$J$53,G1096),1),1)))</f>
        <v>1</v>
      </c>
      <c r="AC1096" s="1" t="n">
        <f aca="false">IF(AB1096=1,IF(COUNTIFS($B$5:B1096,B1096,$D$5:D1096,D1096,$AB$5:AB1096,1)=1,1,0),0)</f>
        <v>0</v>
      </c>
    </row>
    <row r="1097" customFormat="false" ht="15" hidden="false" customHeight="false" outlineLevel="0" collapsed="false">
      <c r="A1097" s="48" t="str">
        <f aca="false">STACK!A1097</f>
        <v>CBH-0269</v>
      </c>
      <c r="B1097" s="48" t="str">
        <f aca="false">STACK!B1097</f>
        <v>CBH</v>
      </c>
      <c r="C1097" s="48" t="str">
        <f aca="false">STACK!E1097</f>
        <v>Free Clinic Staffing</v>
      </c>
      <c r="D1097" s="1" t="str">
        <f aca="false">IFERROR(INDEX(MAP!$J$7:$J$101,MATCH(TRIM(C1097),MAP!$I$7:$I$101,0)),"UNMAPPED")</f>
        <v>Free Clinic Provider Staffing</v>
      </c>
      <c r="E1097" s="1" t="str">
        <f aca="false">IFERROR(INDEX(MAP!$K$7:$K$101,MATCH(TRIM(C1097),MAP!$I$7:$I$101,0)),"")</f>
        <v>Access to care</v>
      </c>
      <c r="F1097" s="1" t="str">
        <f aca="false">IFERROR(INDEX(MAP!$L$7:$L$101,MATCH(TRIM(C1097),MAP!$I$7:$I$101,0)),"")</f>
        <v>Monthly</v>
      </c>
      <c r="G1097" s="1" t="n">
        <f aca="false">IFERROR(MATCH(A1097,CONFIRM!$A$5:$A$53,0),0)</f>
        <v>0</v>
      </c>
      <c r="H1097" s="48" t="str">
        <f aca="false">STACK!F1097</f>
        <v>Screenings</v>
      </c>
      <c r="I1097" s="1" t="str">
        <f aca="false">IF(G1097&gt;0,IF(INDEX(CONFIRM!$I$5:$I$53,G1097)&lt;&gt;"",INDEX(CONFIRM!$I$5:$I$53,G1097),H1097),H1097)</f>
        <v>Screenings</v>
      </c>
      <c r="J1097" s="1" t="str">
        <f aca="false">IFERROR(INDEX(MAP!$F$7:$F$74,MATCH(TRIM(I1097),MAP!$E$7:$E$74,0)),"UNMAPPED")</f>
        <v>Community-based clinical services</v>
      </c>
      <c r="K1097" s="1" t="str">
        <f aca="false">IFERROR(INDEX(MAP!$G$7:$G$74,MATCH(TRIM(I1097),MAP!$E$7:$E$74,0)),"UNMAPPED")</f>
        <v>7e</v>
      </c>
      <c r="L1097" s="49" t="str">
        <f aca="false">STACK!G1097</f>
        <v>2026-06-30</v>
      </c>
      <c r="M1097" s="59" t="n">
        <f aca="false">IF(G1097&gt;0,IF(INDEX(CONFIRM!$G$5:$G$53,G1097)&lt;&gt;"",INDEX(CONFIRM!$G$5:$G$53,G1097),IF(ISNUMBER(L1097),L1097,IFERROR(DATEVALUE(L1097),""))),IF(ISNUMBER(L1097),L1097,IFERROR(DATEVALUE(L1097),"")))</f>
        <v>46203</v>
      </c>
      <c r="N1097" s="1" t="str">
        <f aca="false">IF(M1097="","Check",IF(AND(M1097&gt;=INPUTS!$C$6,M1097&lt;=INPUTS!$C$7),"Yes","No"))</f>
        <v>Yes</v>
      </c>
      <c r="O1097" s="48" t="str">
        <f aca="false">STACK!H1097</f>
        <v>N.P.</v>
      </c>
      <c r="P1097" s="1" t="str">
        <f aca="false">IF(G1097&gt;0,IF(INDEX(CONFIRM!$H$5:$H$53,G1097)&lt;&gt;"",INDEX(CONFIRM!$H$5:$H$53,G1097),IFERROR(INDEX(MAP!$B$7:$B$156,MATCH(TRIM(O1097),MAP!$A$7:$A$156,0)),"UNMAPPED")),IFERROR(INDEX(MAP!$B$7:$B$156,MATCH(TRIM(O1097),MAP!$A$7:$A$156,0)),"UNMAPPED"))</f>
        <v>Nurse Practitioner</v>
      </c>
      <c r="Q1097" s="48" t="n">
        <f aca="false">STACK!I1097</f>
        <v>41.75</v>
      </c>
      <c r="R1097" s="60" t="n">
        <f aca="false">IF(G1097&gt;0,IF(INDEX(CONFIRM!$F$5:$F$53,G1097)&lt;&gt;"",INDEX(CONFIRM!$F$5:$F$53,G1097),IF(ISNUMBER(Q1097),Q1097,IF(Q1097="","",IFERROR(VALUE(TRIM(SUBSTITUTE(SUBSTITUTE(LOWER(Q1097),"hrs",""),"hr",""))),"")))),IF(ISNUMBER(Q1097),Q1097,IF(Q1097="","",IFERROR(VALUE(TRIM(SUBSTITUTE(SUBSTITUTE(LOWER(Q1097),"hrs",""),"hr",""))),""))))</f>
        <v>41.75</v>
      </c>
      <c r="S1097" s="57" t="n">
        <f aca="false">IFERROR(INDEX(RATES!$E$6:$E$28,MATCH(P1097,RATES!$A$6:$A$28,0)),0)</f>
        <v>79.67</v>
      </c>
      <c r="T1097" s="61" t="n">
        <f aca="false">IF(ISNUMBER(R1097),R1097,0)*S1097</f>
        <v>3326.2225</v>
      </c>
      <c r="U1097" s="61" t="n">
        <f aca="false">T1097*INDEX(INPUTS!$H$10:$H$14,MATCH(B1097,INPUTS!$A$10:$A$14,0))</f>
        <v>525.543155</v>
      </c>
      <c r="V1097" s="61" t="n">
        <f aca="false">N(STACK!K1097)</f>
        <v>3210</v>
      </c>
      <c r="W1097" s="61" t="n">
        <f aca="false">T1097+U1097+V1097</f>
        <v>7061.765655</v>
      </c>
      <c r="X1097" s="61" t="n">
        <f aca="false">N(STACK!L1097)</f>
        <v>0</v>
      </c>
      <c r="Y1097" s="61" t="n">
        <f aca="false">W1097-X1097</f>
        <v>7061.765655</v>
      </c>
      <c r="Z1097" s="1" t="n">
        <f aca="false">N(STACK!J1097)</f>
        <v>205</v>
      </c>
      <c r="AA1097" s="1" t="str">
        <f aca="false">TRIM(IF(D1097="UNMAPPED","Program not mapped. ","")&amp;IF(OR(K1097="UNMAPPED",K1097="UNASSIGNED"),"Category needs review. ","")&amp;IF(P1097="UNMAPPED","Title not mapped. ","")&amp;IF(AND(P1097&lt;&gt;"No staff time",R1097=""),"Missing hours. ","")&amp;IF(M1097="","Date not readable. ","")&amp;IF(N1097="No","Outside fiscal year. ","")&amp;IF(AND(F1097="Event",ISNUMBER(R1097)),IF(R1097&gt;12,"Event hours look high. ",""),"")&amp;IF(G1097&gt;0,"See CONFIRM sheet.",""))</f>
        <v/>
      </c>
      <c r="AB1097" s="1" t="n">
        <f aca="false">IF(N1097="No",0,IF(REVIEW!O1097=0,0,IF(G1097&gt;0,IF(INDEX(CONFIRM!$J$5:$J$53,G1097)&lt;&gt;"",INDEX(CONFIRM!$J$5:$J$53,G1097),1),1)))</f>
        <v>1</v>
      </c>
      <c r="AC1097" s="1" t="n">
        <f aca="false">IF(AB1097=1,IF(COUNTIFS($B$5:B1097,B1097,$D$5:D1097,D1097,$AB$5:AB1097,1)=1,1,0),0)</f>
        <v>0</v>
      </c>
    </row>
    <row r="1098" customFormat="false" ht="15" hidden="false" customHeight="false" outlineLevel="0" collapsed="false">
      <c r="A1098" s="48" t="str">
        <f aca="false">STACK!A1098</f>
        <v>CBH-0270</v>
      </c>
      <c r="B1098" s="48" t="str">
        <f aca="false">STACK!B1098</f>
        <v>CBH</v>
      </c>
      <c r="C1098" s="48" t="str">
        <f aca="false">STACK!E1098</f>
        <v>Free Clinic Staffing</v>
      </c>
      <c r="D1098" s="1" t="str">
        <f aca="false">IFERROR(INDEX(MAP!$J$7:$J$101,MATCH(TRIM(C1098),MAP!$I$7:$I$101,0)),"UNMAPPED")</f>
        <v>Free Clinic Provider Staffing</v>
      </c>
      <c r="E1098" s="1" t="str">
        <f aca="false">IFERROR(INDEX(MAP!$K$7:$K$101,MATCH(TRIM(C1098),MAP!$I$7:$I$101,0)),"")</f>
        <v>Access to care</v>
      </c>
      <c r="F1098" s="1" t="str">
        <f aca="false">IFERROR(INDEX(MAP!$L$7:$L$101,MATCH(TRIM(C1098),MAP!$I$7:$I$101,0)),"")</f>
        <v>Monthly</v>
      </c>
      <c r="G1098" s="1" t="n">
        <f aca="false">IFERROR(MATCH(A1098,CONFIRM!$A$5:$A$53,0),0)</f>
        <v>0</v>
      </c>
      <c r="H1098" s="48" t="str">
        <f aca="false">STACK!F1098</f>
        <v>Screenings</v>
      </c>
      <c r="I1098" s="1" t="str">
        <f aca="false">IF(G1098&gt;0,IF(INDEX(CONFIRM!$I$5:$I$53,G1098)&lt;&gt;"",INDEX(CONFIRM!$I$5:$I$53,G1098),H1098),H1098)</f>
        <v>Screenings</v>
      </c>
      <c r="J1098" s="1" t="str">
        <f aca="false">IFERROR(INDEX(MAP!$F$7:$F$74,MATCH(TRIM(I1098),MAP!$E$7:$E$74,0)),"UNMAPPED")</f>
        <v>Community-based clinical services</v>
      </c>
      <c r="K1098" s="1" t="str">
        <f aca="false">IFERROR(INDEX(MAP!$G$7:$G$74,MATCH(TRIM(I1098),MAP!$E$7:$E$74,0)),"UNMAPPED")</f>
        <v>7e</v>
      </c>
      <c r="L1098" s="49" t="str">
        <f aca="false">STACK!G1098</f>
        <v>2026-06-30</v>
      </c>
      <c r="M1098" s="59" t="n">
        <f aca="false">IF(G1098&gt;0,IF(INDEX(CONFIRM!$G$5:$G$53,G1098)&lt;&gt;"",INDEX(CONFIRM!$G$5:$G$53,G1098),IF(ISNUMBER(L1098),L1098,IFERROR(DATEVALUE(L1098),""))),IF(ISNUMBER(L1098),L1098,IFERROR(DATEVALUE(L1098),"")))</f>
        <v>46203</v>
      </c>
      <c r="N1098" s="1" t="str">
        <f aca="false">IF(M1098="","Check",IF(AND(M1098&gt;=INPUTS!$C$6,M1098&lt;=INPUTS!$C$7),"Yes","No"))</f>
        <v>Yes</v>
      </c>
      <c r="O1098" s="48" t="str">
        <f aca="false">STACK!H1098</f>
        <v>Clinical Pharmacist</v>
      </c>
      <c r="P1098" s="1" t="str">
        <f aca="false">IF(G1098&gt;0,IF(INDEX(CONFIRM!$H$5:$H$53,G1098)&lt;&gt;"",INDEX(CONFIRM!$H$5:$H$53,G1098),IFERROR(INDEX(MAP!$B$7:$B$156,MATCH(TRIM(O1098),MAP!$A$7:$A$156,0)),"UNMAPPED")),IFERROR(INDEX(MAP!$B$7:$B$156,MATCH(TRIM(O1098),MAP!$A$7:$A$156,0)),"UNMAPPED"))</f>
        <v>Pharmacist</v>
      </c>
      <c r="Q1098" s="48" t="n">
        <f aca="false">STACK!I1098</f>
        <v>11.25</v>
      </c>
      <c r="R1098" s="60" t="n">
        <f aca="false">IF(G1098&gt;0,IF(INDEX(CONFIRM!$F$5:$F$53,G1098)&lt;&gt;"",INDEX(CONFIRM!$F$5:$F$53,G1098),IF(ISNUMBER(Q1098),Q1098,IF(Q1098="","",IFERROR(VALUE(TRIM(SUBSTITUTE(SUBSTITUTE(LOWER(Q1098),"hrs",""),"hr",""))),"")))),IF(ISNUMBER(Q1098),Q1098,IF(Q1098="","",IFERROR(VALUE(TRIM(SUBSTITUTE(SUBSTITUTE(LOWER(Q1098),"hrs",""),"hr",""))),""))))</f>
        <v>11.25</v>
      </c>
      <c r="S1098" s="57" t="n">
        <f aca="false">IFERROR(INDEX(RATES!$E$6:$E$28,MATCH(P1098,RATES!$A$6:$A$28,0)),0)</f>
        <v>84.81</v>
      </c>
      <c r="T1098" s="61" t="n">
        <f aca="false">IF(ISNUMBER(R1098),R1098,0)*S1098</f>
        <v>954.1125</v>
      </c>
      <c r="U1098" s="61" t="n">
        <f aca="false">T1098*INDEX(INPUTS!$H$10:$H$14,MATCH(B1098,INPUTS!$A$10:$A$14,0))</f>
        <v>150.749775</v>
      </c>
      <c r="V1098" s="61" t="n">
        <f aca="false">N(STACK!K1098)</f>
        <v>0</v>
      </c>
      <c r="W1098" s="61" t="n">
        <f aca="false">T1098+U1098+V1098</f>
        <v>1104.862275</v>
      </c>
      <c r="X1098" s="61" t="n">
        <f aca="false">N(STACK!L1098)</f>
        <v>0</v>
      </c>
      <c r="Y1098" s="61" t="n">
        <f aca="false">W1098-X1098</f>
        <v>1104.862275</v>
      </c>
      <c r="Z1098" s="1" t="n">
        <f aca="false">N(STACK!J1098)</f>
        <v>0</v>
      </c>
      <c r="AA1098" s="1" t="str">
        <f aca="false">TRIM(IF(D1098="UNMAPPED","Program not mapped. ","")&amp;IF(OR(K1098="UNMAPPED",K1098="UNASSIGNED"),"Category needs review. ","")&amp;IF(P1098="UNMAPPED","Title not mapped. ","")&amp;IF(AND(P1098&lt;&gt;"No staff time",R1098=""),"Missing hours. ","")&amp;IF(M1098="","Date not readable. ","")&amp;IF(N1098="No","Outside fiscal year. ","")&amp;IF(AND(F1098="Event",ISNUMBER(R1098)),IF(R1098&gt;12,"Event hours look high. ",""),"")&amp;IF(G1098&gt;0,"See CONFIRM sheet.",""))</f>
        <v/>
      </c>
      <c r="AB1098" s="1" t="n">
        <f aca="false">IF(N1098="No",0,IF(REVIEW!O1098=0,0,IF(G1098&gt;0,IF(INDEX(CONFIRM!$J$5:$J$53,G1098)&lt;&gt;"",INDEX(CONFIRM!$J$5:$J$53,G1098),1),1)))</f>
        <v>1</v>
      </c>
      <c r="AC1098" s="1" t="n">
        <f aca="false">IF(AB1098=1,IF(COUNTIFS($B$5:B1098,B1098,$D$5:D1098,D1098,$AB$5:AB1098,1)=1,1,0),0)</f>
        <v>0</v>
      </c>
    </row>
    <row r="1099" customFormat="false" ht="15" hidden="false" customHeight="false" outlineLevel="0" collapsed="false">
      <c r="A1099" s="48" t="str">
        <f aca="false">STACK!A1099</f>
        <v>CBH-0271</v>
      </c>
      <c r="B1099" s="48" t="str">
        <f aca="false">STACK!B1099</f>
        <v>CBH</v>
      </c>
      <c r="C1099" s="48" t="str">
        <f aca="false">STACK!E1099</f>
        <v>Free Clinic Staffing</v>
      </c>
      <c r="D1099" s="1" t="str">
        <f aca="false">IFERROR(INDEX(MAP!$J$7:$J$101,MATCH(TRIM(C1099),MAP!$I$7:$I$101,0)),"UNMAPPED")</f>
        <v>Free Clinic Provider Staffing</v>
      </c>
      <c r="E1099" s="1" t="str">
        <f aca="false">IFERROR(INDEX(MAP!$K$7:$K$101,MATCH(TRIM(C1099),MAP!$I$7:$I$101,0)),"")</f>
        <v>Access to care</v>
      </c>
      <c r="F1099" s="1" t="str">
        <f aca="false">IFERROR(INDEX(MAP!$L$7:$L$101,MATCH(TRIM(C1099),MAP!$I$7:$I$101,0)),"")</f>
        <v>Monthly</v>
      </c>
      <c r="G1099" s="1" t="n">
        <f aca="false">IFERROR(MATCH(A1099,CONFIRM!$A$5:$A$53,0),0)</f>
        <v>0</v>
      </c>
      <c r="H1099" s="48" t="str">
        <f aca="false">STACK!F1099</f>
        <v>Screenings</v>
      </c>
      <c r="I1099" s="1" t="str">
        <f aca="false">IF(G1099&gt;0,IF(INDEX(CONFIRM!$I$5:$I$53,G1099)&lt;&gt;"",INDEX(CONFIRM!$I$5:$I$53,G1099),H1099),H1099)</f>
        <v>Screenings</v>
      </c>
      <c r="J1099" s="1" t="str">
        <f aca="false">IFERROR(INDEX(MAP!$F$7:$F$74,MATCH(TRIM(I1099),MAP!$E$7:$E$74,0)),"UNMAPPED")</f>
        <v>Community-based clinical services</v>
      </c>
      <c r="K1099" s="1" t="str">
        <f aca="false">IFERROR(INDEX(MAP!$G$7:$G$74,MATCH(TRIM(I1099),MAP!$E$7:$E$74,0)),"UNMAPPED")</f>
        <v>7e</v>
      </c>
      <c r="L1099" s="49" t="str">
        <f aca="false">STACK!G1099</f>
        <v>2026-06-30</v>
      </c>
      <c r="M1099" s="59" t="n">
        <f aca="false">IF(G1099&gt;0,IF(INDEX(CONFIRM!$G$5:$G$53,G1099)&lt;&gt;"",INDEX(CONFIRM!$G$5:$G$53,G1099),IF(ISNUMBER(L1099),L1099,IFERROR(DATEVALUE(L1099),""))),IF(ISNUMBER(L1099),L1099,IFERROR(DATEVALUE(L1099),"")))</f>
        <v>46203</v>
      </c>
      <c r="N1099" s="1" t="str">
        <f aca="false">IF(M1099="","Check",IF(AND(M1099&gt;=INPUTS!$C$6,M1099&lt;=INPUTS!$C$7),"Yes","No"))</f>
        <v>Yes</v>
      </c>
      <c r="O1099" s="48" t="str">
        <f aca="false">STACK!H1099</f>
        <v> Charge RN</v>
      </c>
      <c r="P1099" s="1" t="str">
        <f aca="false">IF(G1099&gt;0,IF(INDEX(CONFIRM!$H$5:$H$53,G1099)&lt;&gt;"",INDEX(CONFIRM!$H$5:$H$53,G1099),IFERROR(INDEX(MAP!$B$7:$B$156,MATCH(TRIM(O1099),MAP!$A$7:$A$156,0)),"UNMAPPED")),IFERROR(INDEX(MAP!$B$7:$B$156,MATCH(TRIM(O1099),MAP!$A$7:$A$156,0)),"UNMAPPED"))</f>
        <v>Registered Nurse</v>
      </c>
      <c r="Q1099" s="48" t="n">
        <f aca="false">STACK!I1099</f>
        <v>35</v>
      </c>
      <c r="R1099" s="60" t="n">
        <f aca="false">IF(G1099&gt;0,IF(INDEX(CONFIRM!$F$5:$F$53,G1099)&lt;&gt;"",INDEX(CONFIRM!$F$5:$F$53,G1099),IF(ISNUMBER(Q1099),Q1099,IF(Q1099="","",IFERROR(VALUE(TRIM(SUBSTITUTE(SUBSTITUTE(LOWER(Q1099),"hrs",""),"hr",""))),"")))),IF(ISNUMBER(Q1099),Q1099,IF(Q1099="","",IFERROR(VALUE(TRIM(SUBSTITUTE(SUBSTITUTE(LOWER(Q1099),"hrs",""),"hr",""))),""))))</f>
        <v>35</v>
      </c>
      <c r="S1099" s="57" t="n">
        <f aca="false">IFERROR(INDEX(RATES!$E$6:$E$28,MATCH(P1099,RATES!$A$6:$A$28,0)),0)</f>
        <v>55.8975</v>
      </c>
      <c r="T1099" s="61" t="n">
        <f aca="false">IF(ISNUMBER(R1099),R1099,0)*S1099</f>
        <v>1956.4125</v>
      </c>
      <c r="U1099" s="61" t="n">
        <f aca="false">T1099*INDEX(INPUTS!$H$10:$H$14,MATCH(B1099,INPUTS!$A$10:$A$14,0))</f>
        <v>309.113175</v>
      </c>
      <c r="V1099" s="61" t="n">
        <f aca="false">N(STACK!K1099)</f>
        <v>0</v>
      </c>
      <c r="W1099" s="61" t="n">
        <f aca="false">T1099+U1099+V1099</f>
        <v>2265.525675</v>
      </c>
      <c r="X1099" s="61" t="n">
        <f aca="false">N(STACK!L1099)</f>
        <v>0</v>
      </c>
      <c r="Y1099" s="61" t="n">
        <f aca="false">W1099-X1099</f>
        <v>2265.525675</v>
      </c>
      <c r="Z1099" s="1" t="n">
        <f aca="false">N(STACK!J1099)</f>
        <v>0</v>
      </c>
      <c r="AA1099" s="1" t="str">
        <f aca="false">TRIM(IF(D1099="UNMAPPED","Program not mapped. ","")&amp;IF(OR(K1099="UNMAPPED",K1099="UNASSIGNED"),"Category needs review. ","")&amp;IF(P1099="UNMAPPED","Title not mapped. ","")&amp;IF(AND(P1099&lt;&gt;"No staff time",R1099=""),"Missing hours. ","")&amp;IF(M1099="","Date not readable. ","")&amp;IF(N1099="No","Outside fiscal year. ","")&amp;IF(AND(F1099="Event",ISNUMBER(R1099)),IF(R1099&gt;12,"Event hours look high. ",""),"")&amp;IF(G1099&gt;0,"See CONFIRM sheet.",""))</f>
        <v/>
      </c>
      <c r="AB1099" s="1" t="n">
        <f aca="false">IF(N1099="No",0,IF(REVIEW!O1099=0,0,IF(G1099&gt;0,IF(INDEX(CONFIRM!$J$5:$J$53,G1099)&lt;&gt;"",INDEX(CONFIRM!$J$5:$J$53,G1099),1),1)))</f>
        <v>1</v>
      </c>
      <c r="AC1099" s="1" t="n">
        <f aca="false">IF(AB1099=1,IF(COUNTIFS($B$5:B1099,B1099,$D$5:D1099,D1099,$AB$5:AB1099,1)=1,1,0),0)</f>
        <v>0</v>
      </c>
    </row>
    <row r="1100" customFormat="false" ht="15" hidden="false" customHeight="false" outlineLevel="0" collapsed="false">
      <c r="A1100" s="48" t="str">
        <f aca="false">STACK!A1100</f>
        <v>CBH-0272</v>
      </c>
      <c r="B1100" s="48" t="str">
        <f aca="false">STACK!B1100</f>
        <v>CBH</v>
      </c>
      <c r="C1100" s="48" t="str">
        <f aca="false">STACK!E1100</f>
        <v>Med Assistance</v>
      </c>
      <c r="D1100" s="1" t="str">
        <f aca="false">IFERROR(INDEX(MAP!$J$7:$J$101,MATCH(TRIM(C1100),MAP!$I$7:$I$101,0)),"UNMAPPED")</f>
        <v>Medication Assistance Program</v>
      </c>
      <c r="E1100" s="1" t="str">
        <f aca="false">IFERROR(INDEX(MAP!$K$7:$K$101,MATCH(TRIM(C1100),MAP!$I$7:$I$101,0)),"")</f>
        <v>Access to care</v>
      </c>
      <c r="F1100" s="1" t="str">
        <f aca="false">IFERROR(INDEX(MAP!$L$7:$L$101,MATCH(TRIM(C1100),MAP!$I$7:$I$101,0)),"")</f>
        <v>Monthly</v>
      </c>
      <c r="G1100" s="1" t="n">
        <f aca="false">IFERROR(MATCH(A1100,CONFIRM!$A$5:$A$53,0),0)</f>
        <v>0</v>
      </c>
      <c r="H1100" s="48" t="str">
        <f aca="false">STACK!F1100</f>
        <v>Patient Support</v>
      </c>
      <c r="I1100" s="1" t="str">
        <f aca="false">IF(G1100&gt;0,IF(INDEX(CONFIRM!$I$5:$I$53,G1100)&lt;&gt;"",INDEX(CONFIRM!$I$5:$I$53,G1100),H1100),H1100)</f>
        <v>Patient Support</v>
      </c>
      <c r="J1100" s="1" t="str">
        <f aca="false">IFERROR(INDEX(MAP!$F$7:$F$74,MATCH(TRIM(I1100),MAP!$E$7:$E$74,0)),"UNMAPPED")</f>
        <v>Health care support services</v>
      </c>
      <c r="K1100" s="1" t="str">
        <f aca="false">IFERROR(INDEX(MAP!$G$7:$G$74,MATCH(TRIM(I1100),MAP!$E$7:$E$74,0)),"UNMAPPED")</f>
        <v>7e</v>
      </c>
      <c r="L1100" s="49" t="str">
        <f aca="false">STACK!G1100</f>
        <v>2026-06-30</v>
      </c>
      <c r="M1100" s="59" t="n">
        <f aca="false">IF(G1100&gt;0,IF(INDEX(CONFIRM!$G$5:$G$53,G1100)&lt;&gt;"",INDEX(CONFIRM!$G$5:$G$53,G1100),IF(ISNUMBER(L1100),L1100,IFERROR(DATEVALUE(L1100),""))),IF(ISNUMBER(L1100),L1100,IFERROR(DATEVALUE(L1100),"")))</f>
        <v>46203</v>
      </c>
      <c r="N1100" s="1" t="str">
        <f aca="false">IF(M1100="","Check",IF(AND(M1100&gt;=INPUTS!$C$6,M1100&lt;=INPUTS!$C$7),"Yes","No"))</f>
        <v>Yes</v>
      </c>
      <c r="O1100" s="48" t="str">
        <f aca="false">STACK!H1100</f>
        <v>Navigator</v>
      </c>
      <c r="P1100" s="1" t="str">
        <f aca="false">IF(G1100&gt;0,IF(INDEX(CONFIRM!$H$5:$H$53,G1100)&lt;&gt;"",INDEX(CONFIRM!$H$5:$H$53,G1100),IFERROR(INDEX(MAP!$B$7:$B$156,MATCH(TRIM(O1100),MAP!$A$7:$A$156,0)),"UNMAPPED")),IFERROR(INDEX(MAP!$B$7:$B$156,MATCH(TRIM(O1100),MAP!$A$7:$A$156,0)),"UNMAPPED"))</f>
        <v>Patient Navigator</v>
      </c>
      <c r="Q1100" s="48" t="n">
        <f aca="false">STACK!I1100</f>
        <v>70</v>
      </c>
      <c r="R1100" s="60" t="n">
        <f aca="false">IF(G1100&gt;0,IF(INDEX(CONFIRM!$F$5:$F$53,G1100)&lt;&gt;"",INDEX(CONFIRM!$F$5:$F$53,G1100),IF(ISNUMBER(Q1100),Q1100,IF(Q1100="","",IFERROR(VALUE(TRIM(SUBSTITUTE(SUBSTITUTE(LOWER(Q1100),"hrs",""),"hr",""))),"")))),IF(ISNUMBER(Q1100),Q1100,IF(Q1100="","",IFERROR(VALUE(TRIM(SUBSTITUTE(SUBSTITUTE(LOWER(Q1100),"hrs",""),"hr",""))),""))))</f>
        <v>70</v>
      </c>
      <c r="S1100" s="57" t="n">
        <f aca="false">IFERROR(INDEX(RATES!$E$6:$E$28,MATCH(P1100,RATES!$A$6:$A$28,0)),0)</f>
        <v>30.84</v>
      </c>
      <c r="T1100" s="61" t="n">
        <f aca="false">IF(ISNUMBER(R1100),R1100,0)*S1100</f>
        <v>2158.8</v>
      </c>
      <c r="U1100" s="61" t="n">
        <f aca="false">T1100*INDEX(INPUTS!$H$10:$H$14,MATCH(B1100,INPUTS!$A$10:$A$14,0))</f>
        <v>341.0904</v>
      </c>
      <c r="V1100" s="61" t="n">
        <f aca="false">N(STACK!K1100)</f>
        <v>0</v>
      </c>
      <c r="W1100" s="61" t="n">
        <f aca="false">T1100+U1100+V1100</f>
        <v>2499.8904</v>
      </c>
      <c r="X1100" s="61" t="n">
        <f aca="false">N(STACK!L1100)</f>
        <v>0</v>
      </c>
      <c r="Y1100" s="61" t="n">
        <f aca="false">W1100-X1100</f>
        <v>2499.8904</v>
      </c>
      <c r="Z1100" s="1" t="n">
        <f aca="false">N(STACK!J1100)</f>
        <v>0</v>
      </c>
      <c r="AA1100" s="1" t="str">
        <f aca="false">TRIM(IF(D1100="UNMAPPED","Program not mapped. ","")&amp;IF(OR(K1100="UNMAPPED",K1100="UNASSIGNED"),"Category needs review. ","")&amp;IF(P1100="UNMAPPED","Title not mapped. ","")&amp;IF(AND(P1100&lt;&gt;"No staff time",R1100=""),"Missing hours. ","")&amp;IF(M1100="","Date not readable. ","")&amp;IF(N1100="No","Outside fiscal year. ","")&amp;IF(AND(F1100="Event",ISNUMBER(R1100)),IF(R1100&gt;12,"Event hours look high. ",""),"")&amp;IF(G1100&gt;0,"See CONFIRM sheet.",""))</f>
        <v/>
      </c>
      <c r="AB1100" s="1" t="n">
        <f aca="false">IF(N1100="No",0,IF(REVIEW!O1100=0,0,IF(G1100&gt;0,IF(INDEX(CONFIRM!$J$5:$J$53,G1100)&lt;&gt;"",INDEX(CONFIRM!$J$5:$J$53,G1100),1),1)))</f>
        <v>1</v>
      </c>
      <c r="AC1100" s="1" t="n">
        <f aca="false">IF(AB1100=1,IF(COUNTIFS($B$5:B1100,B1100,$D$5:D1100,D1100,$AB$5:AB1100,1)=1,1,0),0)</f>
        <v>0</v>
      </c>
    </row>
    <row r="1101" customFormat="false" ht="15" hidden="false" customHeight="false" outlineLevel="0" collapsed="false">
      <c r="A1101" s="48" t="str">
        <f aca="false">STACK!A1101</f>
        <v>CBH-0273</v>
      </c>
      <c r="B1101" s="48" t="str">
        <f aca="false">STACK!B1101</f>
        <v>CBH</v>
      </c>
      <c r="C1101" s="48" t="str">
        <f aca="false">STACK!E1101</f>
        <v>Med Assistance</v>
      </c>
      <c r="D1101" s="1" t="str">
        <f aca="false">IFERROR(INDEX(MAP!$J$7:$J$101,MATCH(TRIM(C1101),MAP!$I$7:$I$101,0)),"UNMAPPED")</f>
        <v>Medication Assistance Program</v>
      </c>
      <c r="E1101" s="1" t="str">
        <f aca="false">IFERROR(INDEX(MAP!$K$7:$K$101,MATCH(TRIM(C1101),MAP!$I$7:$I$101,0)),"")</f>
        <v>Access to care</v>
      </c>
      <c r="F1101" s="1" t="str">
        <f aca="false">IFERROR(INDEX(MAP!$L$7:$L$101,MATCH(TRIM(C1101),MAP!$I$7:$I$101,0)),"")</f>
        <v>Monthly</v>
      </c>
      <c r="G1101" s="1" t="n">
        <f aca="false">IFERROR(MATCH(A1101,CONFIRM!$A$5:$A$53,0),0)</f>
        <v>0</v>
      </c>
      <c r="H1101" s="48" t="str">
        <f aca="false">STACK!F1101</f>
        <v>Patient Support</v>
      </c>
      <c r="I1101" s="1" t="str">
        <f aca="false">IF(G1101&gt;0,IF(INDEX(CONFIRM!$I$5:$I$53,G1101)&lt;&gt;"",INDEX(CONFIRM!$I$5:$I$53,G1101),H1101),H1101)</f>
        <v>Patient Support</v>
      </c>
      <c r="J1101" s="1" t="str">
        <f aca="false">IFERROR(INDEX(MAP!$F$7:$F$74,MATCH(TRIM(I1101),MAP!$E$7:$E$74,0)),"UNMAPPED")</f>
        <v>Health care support services</v>
      </c>
      <c r="K1101" s="1" t="str">
        <f aca="false">IFERROR(INDEX(MAP!$G$7:$G$74,MATCH(TRIM(I1101),MAP!$E$7:$E$74,0)),"UNMAPPED")</f>
        <v>7e</v>
      </c>
      <c r="L1101" s="49" t="str">
        <f aca="false">STACK!G1101</f>
        <v>2026-06-30</v>
      </c>
      <c r="M1101" s="59" t="n">
        <f aca="false">IF(G1101&gt;0,IF(INDEX(CONFIRM!$G$5:$G$53,G1101)&lt;&gt;"",INDEX(CONFIRM!$G$5:$G$53,G1101),IF(ISNUMBER(L1101),L1101,IFERROR(DATEVALUE(L1101),""))),IF(ISNUMBER(L1101),L1101,IFERROR(DATEVALUE(L1101),"")))</f>
        <v>46203</v>
      </c>
      <c r="N1101" s="1" t="str">
        <f aca="false">IF(M1101="","Check",IF(AND(M1101&gt;=INPUTS!$C$6,M1101&lt;=INPUTS!$C$7),"Yes","No"))</f>
        <v>Yes</v>
      </c>
      <c r="O1101" s="48" t="str">
        <f aca="false">STACK!H1101</f>
        <v>Pharmacist</v>
      </c>
      <c r="P1101" s="1" t="str">
        <f aca="false">IF(G1101&gt;0,IF(INDEX(CONFIRM!$H$5:$H$53,G1101)&lt;&gt;"",INDEX(CONFIRM!$H$5:$H$53,G1101),IFERROR(INDEX(MAP!$B$7:$B$156,MATCH(TRIM(O1101),MAP!$A$7:$A$156,0)),"UNMAPPED")),IFERROR(INDEX(MAP!$B$7:$B$156,MATCH(TRIM(O1101),MAP!$A$7:$A$156,0)),"UNMAPPED"))</f>
        <v>Pharmacist</v>
      </c>
      <c r="Q1101" s="48" t="n">
        <f aca="false">STACK!I1101</f>
        <v>23.75</v>
      </c>
      <c r="R1101" s="60" t="n">
        <f aca="false">IF(G1101&gt;0,IF(INDEX(CONFIRM!$F$5:$F$53,G1101)&lt;&gt;"",INDEX(CONFIRM!$F$5:$F$53,G1101),IF(ISNUMBER(Q1101),Q1101,IF(Q1101="","",IFERROR(VALUE(TRIM(SUBSTITUTE(SUBSTITUTE(LOWER(Q1101),"hrs",""),"hr",""))),"")))),IF(ISNUMBER(Q1101),Q1101,IF(Q1101="","",IFERROR(VALUE(TRIM(SUBSTITUTE(SUBSTITUTE(LOWER(Q1101),"hrs",""),"hr",""))),""))))</f>
        <v>23.75</v>
      </c>
      <c r="S1101" s="57" t="n">
        <f aca="false">IFERROR(INDEX(RATES!$E$6:$E$28,MATCH(P1101,RATES!$A$6:$A$28,0)),0)</f>
        <v>84.81</v>
      </c>
      <c r="T1101" s="61" t="n">
        <f aca="false">IF(ISNUMBER(R1101),R1101,0)*S1101</f>
        <v>2014.2375</v>
      </c>
      <c r="U1101" s="61" t="n">
        <f aca="false">T1101*INDEX(INPUTS!$H$10:$H$14,MATCH(B1101,INPUTS!$A$10:$A$14,0))</f>
        <v>318.249525</v>
      </c>
      <c r="V1101" s="61" t="n">
        <f aca="false">N(STACK!K1101)</f>
        <v>22800</v>
      </c>
      <c r="W1101" s="61" t="n">
        <f aca="false">T1101+U1101+V1101</f>
        <v>25132.487025</v>
      </c>
      <c r="X1101" s="61" t="n">
        <f aca="false">N(STACK!L1101)</f>
        <v>0</v>
      </c>
      <c r="Y1101" s="61" t="n">
        <f aca="false">W1101-X1101</f>
        <v>25132.487025</v>
      </c>
      <c r="Z1101" s="1" t="n">
        <f aca="false">N(STACK!J1101)</f>
        <v>84</v>
      </c>
      <c r="AA1101" s="1" t="str">
        <f aca="false">TRIM(IF(D1101="UNMAPPED","Program not mapped. ","")&amp;IF(OR(K1101="UNMAPPED",K1101="UNASSIGNED"),"Category needs review. ","")&amp;IF(P1101="UNMAPPED","Title not mapped. ","")&amp;IF(AND(P1101&lt;&gt;"No staff time",R1101=""),"Missing hours. ","")&amp;IF(M1101="","Date not readable. ","")&amp;IF(N1101="No","Outside fiscal year. ","")&amp;IF(AND(F1101="Event",ISNUMBER(R1101)),IF(R1101&gt;12,"Event hours look high. ",""),"")&amp;IF(G1101&gt;0,"See CONFIRM sheet.",""))</f>
        <v/>
      </c>
      <c r="AB1101" s="1" t="n">
        <f aca="false">IF(N1101="No",0,IF(REVIEW!O1101=0,0,IF(G1101&gt;0,IF(INDEX(CONFIRM!$J$5:$J$53,G1101)&lt;&gt;"",INDEX(CONFIRM!$J$5:$J$53,G1101),1),1)))</f>
        <v>1</v>
      </c>
      <c r="AC1101" s="1" t="n">
        <f aca="false">IF(AB1101=1,IF(COUNTIFS($B$5:B1101,B1101,$D$5:D1101,D1101,$AB$5:AB1101,1)=1,1,0),0)</f>
        <v>0</v>
      </c>
    </row>
    <row r="1102" customFormat="false" ht="15" hidden="false" customHeight="false" outlineLevel="0" collapsed="false">
      <c r="A1102" s="48" t="str">
        <f aca="false">STACK!A1102</f>
        <v>CBH-0274</v>
      </c>
      <c r="B1102" s="48" t="str">
        <f aca="false">STACK!B1102</f>
        <v>CBH</v>
      </c>
      <c r="C1102" s="48" t="str">
        <f aca="false">STACK!E1102</f>
        <v>Community Benefit Admin</v>
      </c>
      <c r="D1102" s="1" t="str">
        <f aca="false">IFERROR(INDEX(MAP!$J$7:$J$101,MATCH(TRIM(C1102),MAP!$I$7:$I$101,0)),"UNMAPPED")</f>
        <v>Community Benefit Program Administration</v>
      </c>
      <c r="E1102" s="1" t="str">
        <f aca="false">IFERROR(INDEX(MAP!$K$7:$K$101,MATCH(TRIM(C1102),MAP!$I$7:$I$101,0)),"")</f>
        <v>Community benefit infrastructure</v>
      </c>
      <c r="F1102" s="1" t="str">
        <f aca="false">IFERROR(INDEX(MAP!$L$7:$L$101,MATCH(TRIM(C1102),MAP!$I$7:$I$101,0)),"")</f>
        <v>Monthly</v>
      </c>
      <c r="G1102" s="1" t="n">
        <f aca="false">IFERROR(MATCH(A1102,CONFIRM!$A$5:$A$53,0),0)</f>
        <v>0</v>
      </c>
      <c r="H1102" s="48" t="str">
        <f aca="false">STACK!F1102</f>
        <v>Ops</v>
      </c>
      <c r="I1102" s="1" t="str">
        <f aca="false">IF(G1102&gt;0,IF(INDEX(CONFIRM!$I$5:$I$53,G1102)&lt;&gt;"",INDEX(CONFIRM!$I$5:$I$53,G1102),H1102),H1102)</f>
        <v>Ops</v>
      </c>
      <c r="J1102" s="1" t="str">
        <f aca="false">IFERROR(INDEX(MAP!$F$7:$F$74,MATCH(TRIM(I1102),MAP!$E$7:$E$74,0)),"UNMAPPED")</f>
        <v>Community benefit operations</v>
      </c>
      <c r="K1102" s="1" t="str">
        <f aca="false">IFERROR(INDEX(MAP!$G$7:$G$74,MATCH(TRIM(I1102),MAP!$E$7:$E$74,0)),"UNMAPPED")</f>
        <v>7e</v>
      </c>
      <c r="L1102" s="49" t="str">
        <f aca="false">STACK!G1102</f>
        <v>2026-06-30</v>
      </c>
      <c r="M1102" s="59" t="n">
        <f aca="false">IF(G1102&gt;0,IF(INDEX(CONFIRM!$G$5:$G$53,G1102)&lt;&gt;"",INDEX(CONFIRM!$G$5:$G$53,G1102),IF(ISNUMBER(L1102),L1102,IFERROR(DATEVALUE(L1102),""))),IF(ISNUMBER(L1102),L1102,IFERROR(DATEVALUE(L1102),"")))</f>
        <v>46203</v>
      </c>
      <c r="N1102" s="1" t="str">
        <f aca="false">IF(M1102="","Check",IF(AND(M1102&gt;=INPUTS!$C$6,M1102&lt;=INPUTS!$C$7),"Yes","No"))</f>
        <v>Yes</v>
      </c>
      <c r="O1102" s="48" t="str">
        <f aca="false">STACK!H1102</f>
        <v>Admin Support</v>
      </c>
      <c r="P1102" s="1" t="str">
        <f aca="false">IF(G1102&gt;0,IF(INDEX(CONFIRM!$H$5:$H$53,G1102)&lt;&gt;"",INDEX(CONFIRM!$H$5:$H$53,G1102),IFERROR(INDEX(MAP!$B$7:$B$156,MATCH(TRIM(O1102),MAP!$A$7:$A$156,0)),"UNMAPPED")),IFERROR(INDEX(MAP!$B$7:$B$156,MATCH(TRIM(O1102),MAP!$A$7:$A$156,0)),"UNMAPPED"))</f>
        <v>Administrative Assistant</v>
      </c>
      <c r="Q1102" s="48" t="n">
        <f aca="false">STACK!I1102</f>
        <v>42.5</v>
      </c>
      <c r="R1102" s="60" t="n">
        <f aca="false">IF(G1102&gt;0,IF(INDEX(CONFIRM!$F$5:$F$53,G1102)&lt;&gt;"",INDEX(CONFIRM!$F$5:$F$53,G1102),IF(ISNUMBER(Q1102),Q1102,IF(Q1102="","",IFERROR(VALUE(TRIM(SUBSTITUTE(SUBSTITUTE(LOWER(Q1102),"hrs",""),"hr",""))),"")))),IF(ISNUMBER(Q1102),Q1102,IF(Q1102="","",IFERROR(VALUE(TRIM(SUBSTITUTE(SUBSTITUTE(LOWER(Q1102),"hrs",""),"hr",""))),""))))</f>
        <v>42.5</v>
      </c>
      <c r="S1102" s="57" t="n">
        <f aca="false">IFERROR(INDEX(RATES!$E$6:$E$28,MATCH(P1102,RATES!$A$6:$A$28,0)),0)</f>
        <v>26.985</v>
      </c>
      <c r="T1102" s="61" t="n">
        <f aca="false">IF(ISNUMBER(R1102),R1102,0)*S1102</f>
        <v>1146.8625</v>
      </c>
      <c r="U1102" s="61" t="n">
        <f aca="false">T1102*INDEX(INPUTS!$H$10:$H$14,MATCH(B1102,INPUTS!$A$10:$A$14,0))</f>
        <v>181.204275</v>
      </c>
      <c r="V1102" s="61" t="n">
        <f aca="false">N(STACK!K1102)</f>
        <v>0</v>
      </c>
      <c r="W1102" s="61" t="n">
        <f aca="false">T1102+U1102+V1102</f>
        <v>1328.066775</v>
      </c>
      <c r="X1102" s="61" t="n">
        <f aca="false">N(STACK!L1102)</f>
        <v>0</v>
      </c>
      <c r="Y1102" s="61" t="n">
        <f aca="false">W1102-X1102</f>
        <v>1328.066775</v>
      </c>
      <c r="Z1102" s="1" t="n">
        <f aca="false">N(STACK!J1102)</f>
        <v>0</v>
      </c>
      <c r="AA1102" s="1" t="str">
        <f aca="false">TRIM(IF(D1102="UNMAPPED","Program not mapped. ","")&amp;IF(OR(K1102="UNMAPPED",K1102="UNASSIGNED"),"Category needs review. ","")&amp;IF(P1102="UNMAPPED","Title not mapped. ","")&amp;IF(AND(P1102&lt;&gt;"No staff time",R1102=""),"Missing hours. ","")&amp;IF(M1102="","Date not readable. ","")&amp;IF(N1102="No","Outside fiscal year. ","")&amp;IF(AND(F1102="Event",ISNUMBER(R1102)),IF(R1102&gt;12,"Event hours look high. ",""),"")&amp;IF(G1102&gt;0,"See CONFIRM sheet.",""))</f>
        <v/>
      </c>
      <c r="AB1102" s="1" t="n">
        <f aca="false">IF(N1102="No",0,IF(REVIEW!O1102=0,0,IF(G1102&gt;0,IF(INDEX(CONFIRM!$J$5:$J$53,G1102)&lt;&gt;"",INDEX(CONFIRM!$J$5:$J$53,G1102),1),1)))</f>
        <v>1</v>
      </c>
      <c r="AC1102" s="1" t="n">
        <f aca="false">IF(AB1102=1,IF(COUNTIFS($B$5:B1102,B1102,$D$5:D1102,D1102,$AB$5:AB1102,1)=1,1,0),0)</f>
        <v>0</v>
      </c>
    </row>
    <row r="1103" customFormat="false" ht="15" hidden="false" customHeight="false" outlineLevel="0" collapsed="false">
      <c r="A1103" s="48" t="str">
        <f aca="false">STACK!A1103</f>
        <v>CBH-0275</v>
      </c>
      <c r="B1103" s="48" t="str">
        <f aca="false">STACK!B1103</f>
        <v>CBH</v>
      </c>
      <c r="C1103" s="48" t="str">
        <f aca="false">STACK!E1103</f>
        <v>Community Benefit Admin</v>
      </c>
      <c r="D1103" s="1" t="str">
        <f aca="false">IFERROR(INDEX(MAP!$J$7:$J$101,MATCH(TRIM(C1103),MAP!$I$7:$I$101,0)),"UNMAPPED")</f>
        <v>Community Benefit Program Administration</v>
      </c>
      <c r="E1103" s="1" t="str">
        <f aca="false">IFERROR(INDEX(MAP!$K$7:$K$101,MATCH(TRIM(C1103),MAP!$I$7:$I$101,0)),"")</f>
        <v>Community benefit infrastructure</v>
      </c>
      <c r="F1103" s="1" t="str">
        <f aca="false">IFERROR(INDEX(MAP!$L$7:$L$101,MATCH(TRIM(C1103),MAP!$I$7:$I$101,0)),"")</f>
        <v>Monthly</v>
      </c>
      <c r="G1103" s="1" t="n">
        <f aca="false">IFERROR(MATCH(A1103,CONFIRM!$A$5:$A$53,0),0)</f>
        <v>0</v>
      </c>
      <c r="H1103" s="48" t="str">
        <f aca="false">STACK!F1103</f>
        <v>Ops</v>
      </c>
      <c r="I1103" s="1" t="str">
        <f aca="false">IF(G1103&gt;0,IF(INDEX(CONFIRM!$I$5:$I$53,G1103)&lt;&gt;"",INDEX(CONFIRM!$I$5:$I$53,G1103),H1103),H1103)</f>
        <v>Ops</v>
      </c>
      <c r="J1103" s="1" t="str">
        <f aca="false">IFERROR(INDEX(MAP!$F$7:$F$74,MATCH(TRIM(I1103),MAP!$E$7:$E$74,0)),"UNMAPPED")</f>
        <v>Community benefit operations</v>
      </c>
      <c r="K1103" s="1" t="str">
        <f aca="false">IFERROR(INDEX(MAP!$G$7:$G$74,MATCH(TRIM(I1103),MAP!$E$7:$E$74,0)),"UNMAPPED")</f>
        <v>7e</v>
      </c>
      <c r="L1103" s="49" t="str">
        <f aca="false">STACK!G1103</f>
        <v>2026-06-30</v>
      </c>
      <c r="M1103" s="59" t="n">
        <f aca="false">IF(G1103&gt;0,IF(INDEX(CONFIRM!$G$5:$G$53,G1103)&lt;&gt;"",INDEX(CONFIRM!$G$5:$G$53,G1103),IF(ISNUMBER(L1103),L1103,IFERROR(DATEVALUE(L1103),""))),IF(ISNUMBER(L1103),L1103,IFERROR(DATEVALUE(L1103),"")))</f>
        <v>46203</v>
      </c>
      <c r="N1103" s="1" t="str">
        <f aca="false">IF(M1103="","Check",IF(AND(M1103&gt;=INPUTS!$C$6,M1103&lt;=INPUTS!$C$7),"Yes","No"))</f>
        <v>Yes</v>
      </c>
      <c r="O1103" s="48" t="str">
        <f aca="false">STACK!H1103</f>
        <v>Community Health Manager</v>
      </c>
      <c r="P1103" s="1" t="str">
        <f aca="false">IF(G1103&gt;0,IF(INDEX(CONFIRM!$H$5:$H$53,G1103)&lt;&gt;"",INDEX(CONFIRM!$H$5:$H$53,G1103),IFERROR(INDEX(MAP!$B$7:$B$156,MATCH(TRIM(O1103),MAP!$A$7:$A$156,0)),"UNMAPPED")),IFERROR(INDEX(MAP!$B$7:$B$156,MATCH(TRIM(O1103),MAP!$A$7:$A$156,0)),"UNMAPPED"))</f>
        <v>Community Benefit Manager</v>
      </c>
      <c r="Q1103" s="48" t="n">
        <f aca="false">STACK!I1103</f>
        <v>71.5</v>
      </c>
      <c r="R1103" s="60" t="n">
        <f aca="false">IF(G1103&gt;0,IF(INDEX(CONFIRM!$F$5:$F$53,G1103)&lt;&gt;"",INDEX(CONFIRM!$F$5:$F$53,G1103),IF(ISNUMBER(Q1103),Q1103,IF(Q1103="","",IFERROR(VALUE(TRIM(SUBSTITUTE(SUBSTITUTE(LOWER(Q1103),"hrs",""),"hr",""))),"")))),IF(ISNUMBER(Q1103),Q1103,IF(Q1103="","",IFERROR(VALUE(TRIM(SUBSTITUTE(SUBSTITUTE(LOWER(Q1103),"hrs",""),"hr",""))),""))))</f>
        <v>71.5</v>
      </c>
      <c r="S1103" s="57" t="n">
        <f aca="false">IFERROR(INDEX(RATES!$E$6:$E$28,MATCH(P1103,RATES!$A$6:$A$28,0)),0)</f>
        <v>59.11</v>
      </c>
      <c r="T1103" s="61" t="n">
        <f aca="false">IF(ISNUMBER(R1103),R1103,0)*S1103</f>
        <v>4226.365</v>
      </c>
      <c r="U1103" s="61" t="n">
        <f aca="false">T1103*INDEX(INPUTS!$H$10:$H$14,MATCH(B1103,INPUTS!$A$10:$A$14,0))</f>
        <v>667.76567</v>
      </c>
      <c r="V1103" s="61" t="n">
        <f aca="false">N(STACK!K1103)</f>
        <v>720</v>
      </c>
      <c r="W1103" s="61" t="n">
        <f aca="false">T1103+U1103+V1103</f>
        <v>5614.13067</v>
      </c>
      <c r="X1103" s="61" t="n">
        <f aca="false">N(STACK!L1103)</f>
        <v>0</v>
      </c>
      <c r="Y1103" s="61" t="n">
        <f aca="false">W1103-X1103</f>
        <v>5614.13067</v>
      </c>
      <c r="Z1103" s="1" t="n">
        <f aca="false">N(STACK!J1103)</f>
        <v>0</v>
      </c>
      <c r="AA1103" s="1" t="str">
        <f aca="false">TRIM(IF(D1103="UNMAPPED","Program not mapped. ","")&amp;IF(OR(K1103="UNMAPPED",K1103="UNASSIGNED"),"Category needs review. ","")&amp;IF(P1103="UNMAPPED","Title not mapped. ","")&amp;IF(AND(P1103&lt;&gt;"No staff time",R1103=""),"Missing hours. ","")&amp;IF(M1103="","Date not readable. ","")&amp;IF(N1103="No","Outside fiscal year. ","")&amp;IF(AND(F1103="Event",ISNUMBER(R1103)),IF(R1103&gt;12,"Event hours look high. ",""),"")&amp;IF(G1103&gt;0,"See CONFIRM sheet.",""))</f>
        <v/>
      </c>
      <c r="AB1103" s="1" t="n">
        <f aca="false">IF(N1103="No",0,IF(REVIEW!O1103=0,0,IF(G1103&gt;0,IF(INDEX(CONFIRM!$J$5:$J$53,G1103)&lt;&gt;"",INDEX(CONFIRM!$J$5:$J$53,G1103),1),1)))</f>
        <v>1</v>
      </c>
      <c r="AC1103" s="1" t="n">
        <f aca="false">IF(AB1103=1,IF(COUNTIFS($B$5:B1103,B1103,$D$5:D1103,D1103,$AB$5:AB1103,1)=1,1,0),0)</f>
        <v>0</v>
      </c>
    </row>
    <row r="1104" customFormat="false" ht="15" hidden="false" customHeight="false" outlineLevel="0" collapsed="false">
      <c r="A1104" s="48" t="str">
        <f aca="false">STACK!A1104</f>
        <v>CBH-0276</v>
      </c>
      <c r="B1104" s="48" t="str">
        <f aca="false">STACK!B1104</f>
        <v>CBH</v>
      </c>
      <c r="C1104" s="48" t="str">
        <f aca="false">STACK!E1104</f>
        <v>Interpreter Services</v>
      </c>
      <c r="D1104" s="1" t="str">
        <f aca="false">IFERROR(INDEX(MAP!$J$7:$J$101,MATCH(TRIM(C1104),MAP!$I$7:$I$101,0)),"UNMAPPED")</f>
        <v>Interpreter Services for Community Clinics</v>
      </c>
      <c r="E1104" s="1" t="str">
        <f aca="false">IFERROR(INDEX(MAP!$K$7:$K$101,MATCH(TRIM(C1104),MAP!$I$7:$I$101,0)),"")</f>
        <v>Access to care</v>
      </c>
      <c r="F1104" s="1" t="str">
        <f aca="false">IFERROR(INDEX(MAP!$L$7:$L$101,MATCH(TRIM(C1104),MAP!$I$7:$I$101,0)),"")</f>
        <v>Monthly</v>
      </c>
      <c r="G1104" s="1" t="n">
        <f aca="false">IFERROR(MATCH(A1104,CONFIRM!$A$5:$A$53,0),0)</f>
        <v>0</v>
      </c>
      <c r="H1104" s="48" t="str">
        <f aca="false">STACK!F1104</f>
        <v>Patient Support</v>
      </c>
      <c r="I1104" s="1" t="str">
        <f aca="false">IF(G1104&gt;0,IF(INDEX(CONFIRM!$I$5:$I$53,G1104)&lt;&gt;"",INDEX(CONFIRM!$I$5:$I$53,G1104),H1104),H1104)</f>
        <v>Patient Support</v>
      </c>
      <c r="J1104" s="1" t="str">
        <f aca="false">IFERROR(INDEX(MAP!$F$7:$F$74,MATCH(TRIM(I1104),MAP!$E$7:$E$74,0)),"UNMAPPED")</f>
        <v>Health care support services</v>
      </c>
      <c r="K1104" s="1" t="str">
        <f aca="false">IFERROR(INDEX(MAP!$G$7:$G$74,MATCH(TRIM(I1104),MAP!$E$7:$E$74,0)),"UNMAPPED")</f>
        <v>7e</v>
      </c>
      <c r="L1104" s="49" t="str">
        <f aca="false">STACK!G1104</f>
        <v>2026-06-30</v>
      </c>
      <c r="M1104" s="59" t="n">
        <f aca="false">IF(G1104&gt;0,IF(INDEX(CONFIRM!$G$5:$G$53,G1104)&lt;&gt;"",INDEX(CONFIRM!$G$5:$G$53,G1104),IF(ISNUMBER(L1104),L1104,IFERROR(DATEVALUE(L1104),""))),IF(ISNUMBER(L1104),L1104,IFERROR(DATEVALUE(L1104),"")))</f>
        <v>46203</v>
      </c>
      <c r="N1104" s="1" t="str">
        <f aca="false">IF(M1104="","Check",IF(AND(M1104&gt;=INPUTS!$C$6,M1104&lt;=INPUTS!$C$7),"Yes","No"))</f>
        <v>Yes</v>
      </c>
      <c r="O1104" s="48" t="str">
        <f aca="false">STACK!H1104</f>
        <v>Spanish Interpreter</v>
      </c>
      <c r="P1104" s="1" t="str">
        <f aca="false">IF(G1104&gt;0,IF(INDEX(CONFIRM!$H$5:$H$53,G1104)&lt;&gt;"",INDEX(CONFIRM!$H$5:$H$53,G1104),IFERROR(INDEX(MAP!$B$7:$B$156,MATCH(TRIM(O1104),MAP!$A$7:$A$156,0)),"UNMAPPED")),IFERROR(INDEX(MAP!$B$7:$B$156,MATCH(TRIM(O1104),MAP!$A$7:$A$156,0)),"UNMAPPED"))</f>
        <v>Interpreter</v>
      </c>
      <c r="Q1104" s="48" t="n">
        <f aca="false">STACK!I1104</f>
        <v>45.75</v>
      </c>
      <c r="R1104" s="60" t="n">
        <f aca="false">IF(G1104&gt;0,IF(INDEX(CONFIRM!$F$5:$F$53,G1104)&lt;&gt;"",INDEX(CONFIRM!$F$5:$F$53,G1104),IF(ISNUMBER(Q1104),Q1104,IF(Q1104="","",IFERROR(VALUE(TRIM(SUBSTITUTE(SUBSTITUTE(LOWER(Q1104),"hrs",""),"hr",""))),"")))),IF(ISNUMBER(Q1104),Q1104,IF(Q1104="","",IFERROR(VALUE(TRIM(SUBSTITUTE(SUBSTITUTE(LOWER(Q1104),"hrs",""),"hr",""))),""))))</f>
        <v>45.75</v>
      </c>
      <c r="S1104" s="57" t="n">
        <f aca="false">IFERROR(INDEX(RATES!$E$6:$E$28,MATCH(P1104,RATES!$A$6:$A$28,0)),0)</f>
        <v>32.7675</v>
      </c>
      <c r="T1104" s="61" t="n">
        <f aca="false">IF(ISNUMBER(R1104),R1104,0)*S1104</f>
        <v>1499.113125</v>
      </c>
      <c r="U1104" s="61" t="n">
        <f aca="false">T1104*INDEX(INPUTS!$H$10:$H$14,MATCH(B1104,INPUTS!$A$10:$A$14,0))</f>
        <v>236.85987375</v>
      </c>
      <c r="V1104" s="61" t="n">
        <f aca="false">N(STACK!K1104)</f>
        <v>0</v>
      </c>
      <c r="W1104" s="61" t="n">
        <f aca="false">T1104+U1104+V1104</f>
        <v>1735.97299875</v>
      </c>
      <c r="X1104" s="61" t="n">
        <f aca="false">N(STACK!L1104)</f>
        <v>0</v>
      </c>
      <c r="Y1104" s="61" t="n">
        <f aca="false">W1104-X1104</f>
        <v>1735.97299875</v>
      </c>
      <c r="Z1104" s="1" t="n">
        <f aca="false">N(STACK!J1104)</f>
        <v>100</v>
      </c>
      <c r="AA1104" s="1" t="str">
        <f aca="false">TRIM(IF(D1104="UNMAPPED","Program not mapped. ","")&amp;IF(OR(K1104="UNMAPPED",K1104="UNASSIGNED"),"Category needs review. ","")&amp;IF(P1104="UNMAPPED","Title not mapped. ","")&amp;IF(AND(P1104&lt;&gt;"No staff time",R1104=""),"Missing hours. ","")&amp;IF(M1104="","Date not readable. ","")&amp;IF(N1104="No","Outside fiscal year. ","")&amp;IF(AND(F1104="Event",ISNUMBER(R1104)),IF(R1104&gt;12,"Event hours look high. ",""),"")&amp;IF(G1104&gt;0,"See CONFIRM sheet.",""))</f>
        <v/>
      </c>
      <c r="AB1104" s="1" t="n">
        <f aca="false">IF(N1104="No",0,IF(REVIEW!O1104=0,0,IF(G1104&gt;0,IF(INDEX(CONFIRM!$J$5:$J$53,G1104)&lt;&gt;"",INDEX(CONFIRM!$J$5:$J$53,G1104),1),1)))</f>
        <v>1</v>
      </c>
      <c r="AC1104" s="1" t="n">
        <f aca="false">IF(AB1104=1,IF(COUNTIFS($B$5:B1104,B1104,$D$5:D1104,D1104,$AB$5:AB1104,1)=1,1,0),0)</f>
        <v>0</v>
      </c>
    </row>
    <row r="1105" customFormat="false" ht="15" hidden="false" customHeight="false" outlineLevel="0" collapsed="false">
      <c r="A1105" s="48" t="str">
        <f aca="false">STACK!A1105</f>
        <v>CBH-0277</v>
      </c>
      <c r="B1105" s="48" t="str">
        <f aca="false">STACK!B1105</f>
        <v>CBH</v>
      </c>
      <c r="C1105" s="48" t="str">
        <f aca="false">STACK!E1105</f>
        <v>Nursing Student Rotations</v>
      </c>
      <c r="D1105" s="1" t="str">
        <f aca="false">IFERROR(INDEX(MAP!$J$7:$J$101,MATCH(TRIM(C1105),MAP!$I$7:$I$101,0)),"UNMAPPED")</f>
        <v>Nursing Student Clinical Rotations</v>
      </c>
      <c r="E1105" s="1" t="str">
        <f aca="false">IFERROR(INDEX(MAP!$K$7:$K$101,MATCH(TRIM(C1105),MAP!$I$7:$I$101,0)),"")</f>
        <v>Health workforce</v>
      </c>
      <c r="F1105" s="1" t="str">
        <f aca="false">IFERROR(INDEX(MAP!$L$7:$L$101,MATCH(TRIM(C1105),MAP!$I$7:$I$101,0)),"")</f>
        <v>Monthly</v>
      </c>
      <c r="G1105" s="1" t="n">
        <f aca="false">IFERROR(MATCH(A1105,CONFIRM!$A$5:$A$53,0),0)</f>
        <v>0</v>
      </c>
      <c r="H1105" s="48" t="str">
        <f aca="false">STACK!F1105</f>
        <v>Education - Health Professions</v>
      </c>
      <c r="I1105" s="1" t="str">
        <f aca="false">IF(G1105&gt;0,IF(INDEX(CONFIRM!$I$5:$I$53,G1105)&lt;&gt;"",INDEX(CONFIRM!$I$5:$I$53,G1105),H1105),H1105)</f>
        <v>Education - Health Professions</v>
      </c>
      <c r="J1105" s="1" t="str">
        <f aca="false">IFERROR(INDEX(MAP!$F$7:$F$74,MATCH(TRIM(I1105),MAP!$E$7:$E$74,0)),"UNMAPPED")</f>
        <v>Health professions education</v>
      </c>
      <c r="K1105" s="1" t="str">
        <f aca="false">IFERROR(INDEX(MAP!$G$7:$G$74,MATCH(TRIM(I1105),MAP!$E$7:$E$74,0)),"UNMAPPED")</f>
        <v>7f</v>
      </c>
      <c r="L1105" s="49" t="str">
        <f aca="false">STACK!G1105</f>
        <v>2026-06-30</v>
      </c>
      <c r="M1105" s="59" t="n">
        <f aca="false">IF(G1105&gt;0,IF(INDEX(CONFIRM!$G$5:$G$53,G1105)&lt;&gt;"",INDEX(CONFIRM!$G$5:$G$53,G1105),IF(ISNUMBER(L1105),L1105,IFERROR(DATEVALUE(L1105),""))),IF(ISNUMBER(L1105),L1105,IFERROR(DATEVALUE(L1105),"")))</f>
        <v>46203</v>
      </c>
      <c r="N1105" s="1" t="str">
        <f aca="false">IF(M1105="","Check",IF(AND(M1105&gt;=INPUTS!$C$6,M1105&lt;=INPUTS!$C$7),"Yes","No"))</f>
        <v>Yes</v>
      </c>
      <c r="O1105" s="48" t="str">
        <f aca="false">STACK!H1105</f>
        <v>RN Educator</v>
      </c>
      <c r="P1105" s="1" t="str">
        <f aca="false">IF(G1105&gt;0,IF(INDEX(CONFIRM!$H$5:$H$53,G1105)&lt;&gt;"",INDEX(CONFIRM!$H$5:$H$53,G1105),IFERROR(INDEX(MAP!$B$7:$B$156,MATCH(TRIM(O1105),MAP!$A$7:$A$156,0)),"UNMAPPED")),IFERROR(INDEX(MAP!$B$7:$B$156,MATCH(TRIM(O1105),MAP!$A$7:$A$156,0)),"UNMAPPED"))</f>
        <v>Clinical Nurse Educator</v>
      </c>
      <c r="Q1105" s="48" t="n">
        <f aca="false">STACK!I1105</f>
        <v>35</v>
      </c>
      <c r="R1105" s="60" t="n">
        <f aca="false">IF(G1105&gt;0,IF(INDEX(CONFIRM!$F$5:$F$53,G1105)&lt;&gt;"",INDEX(CONFIRM!$F$5:$F$53,G1105),IF(ISNUMBER(Q1105),Q1105,IF(Q1105="","",IFERROR(VALUE(TRIM(SUBSTITUTE(SUBSTITUTE(LOWER(Q1105),"hrs",""),"hr",""))),"")))),IF(ISNUMBER(Q1105),Q1105,IF(Q1105="","",IFERROR(VALUE(TRIM(SUBSTITUTE(SUBSTITUTE(LOWER(Q1105),"hrs",""),"hr",""))),""))))</f>
        <v>35</v>
      </c>
      <c r="S1105" s="57" t="n">
        <f aca="false">IFERROR(INDEX(RATES!$E$6:$E$28,MATCH(P1105,RATES!$A$6:$A$28,0)),0)</f>
        <v>62.965</v>
      </c>
      <c r="T1105" s="61" t="n">
        <f aca="false">IF(ISNUMBER(R1105),R1105,0)*S1105</f>
        <v>2203.775</v>
      </c>
      <c r="U1105" s="61" t="n">
        <f aca="false">T1105*INDEX(INPUTS!$H$10:$H$14,MATCH(B1105,INPUTS!$A$10:$A$14,0))</f>
        <v>348.19645</v>
      </c>
      <c r="V1105" s="61" t="n">
        <f aca="false">N(STACK!K1105)</f>
        <v>170</v>
      </c>
      <c r="W1105" s="61" t="n">
        <f aca="false">T1105+U1105+V1105</f>
        <v>2721.97145</v>
      </c>
      <c r="X1105" s="61" t="n">
        <f aca="false">N(STACK!L1105)</f>
        <v>0</v>
      </c>
      <c r="Y1105" s="61" t="n">
        <f aca="false">W1105-X1105</f>
        <v>2721.97145</v>
      </c>
      <c r="Z1105" s="1" t="n">
        <f aca="false">N(STACK!J1105)</f>
        <v>16</v>
      </c>
      <c r="AA1105" s="1" t="str">
        <f aca="false">TRIM(IF(D1105="UNMAPPED","Program not mapped. ","")&amp;IF(OR(K1105="UNMAPPED",K1105="UNASSIGNED"),"Category needs review. ","")&amp;IF(P1105="UNMAPPED","Title not mapped. ","")&amp;IF(AND(P1105&lt;&gt;"No staff time",R1105=""),"Missing hours. ","")&amp;IF(M1105="","Date not readable. ","")&amp;IF(N1105="No","Outside fiscal year. ","")&amp;IF(AND(F1105="Event",ISNUMBER(R1105)),IF(R1105&gt;12,"Event hours look high. ",""),"")&amp;IF(G1105&gt;0,"See CONFIRM sheet.",""))</f>
        <v/>
      </c>
      <c r="AB1105" s="1" t="n">
        <f aca="false">IF(N1105="No",0,IF(REVIEW!O1105=0,0,IF(G1105&gt;0,IF(INDEX(CONFIRM!$J$5:$J$53,G1105)&lt;&gt;"",INDEX(CONFIRM!$J$5:$J$53,G1105),1),1)))</f>
        <v>1</v>
      </c>
      <c r="AC1105" s="1" t="n">
        <f aca="false">IF(AB1105=1,IF(COUNTIFS($B$5:B1105,B1105,$D$5:D1105,D1105,$AB$5:AB1105,1)=1,1,0),0)</f>
        <v>0</v>
      </c>
    </row>
    <row r="1106" customFormat="false" ht="15" hidden="false" customHeight="false" outlineLevel="0" collapsed="false">
      <c r="A1106" s="48" t="str">
        <f aca="false">STACK!A1106</f>
        <v>CBH-0278</v>
      </c>
      <c r="B1106" s="48" t="str">
        <f aca="false">STACK!B1106</f>
        <v>CBH</v>
      </c>
      <c r="C1106" s="48" t="str">
        <f aca="false">STACK!E1106</f>
        <v>Nursing Student Rotations</v>
      </c>
      <c r="D1106" s="1" t="str">
        <f aca="false">IFERROR(INDEX(MAP!$J$7:$J$101,MATCH(TRIM(C1106),MAP!$I$7:$I$101,0)),"UNMAPPED")</f>
        <v>Nursing Student Clinical Rotations</v>
      </c>
      <c r="E1106" s="1" t="str">
        <f aca="false">IFERROR(INDEX(MAP!$K$7:$K$101,MATCH(TRIM(C1106),MAP!$I$7:$I$101,0)),"")</f>
        <v>Health workforce</v>
      </c>
      <c r="F1106" s="1" t="str">
        <f aca="false">IFERROR(INDEX(MAP!$L$7:$L$101,MATCH(TRIM(C1106),MAP!$I$7:$I$101,0)),"")</f>
        <v>Monthly</v>
      </c>
      <c r="G1106" s="1" t="n">
        <f aca="false">IFERROR(MATCH(A1106,CONFIRM!$A$5:$A$53,0),0)</f>
        <v>0</v>
      </c>
      <c r="H1106" s="48" t="str">
        <f aca="false">STACK!F1106</f>
        <v>Education - Health Professions</v>
      </c>
      <c r="I1106" s="1" t="str">
        <f aca="false">IF(G1106&gt;0,IF(INDEX(CONFIRM!$I$5:$I$53,G1106)&lt;&gt;"",INDEX(CONFIRM!$I$5:$I$53,G1106),H1106),H1106)</f>
        <v>Education - Health Professions</v>
      </c>
      <c r="J1106" s="1" t="str">
        <f aca="false">IFERROR(INDEX(MAP!$F$7:$F$74,MATCH(TRIM(I1106),MAP!$E$7:$E$74,0)),"UNMAPPED")</f>
        <v>Health professions education</v>
      </c>
      <c r="K1106" s="1" t="str">
        <f aca="false">IFERROR(INDEX(MAP!$G$7:$G$74,MATCH(TRIM(I1106),MAP!$E$7:$E$74,0)),"UNMAPPED")</f>
        <v>7f</v>
      </c>
      <c r="L1106" s="49" t="str">
        <f aca="false">STACK!G1106</f>
        <v>2026-06-30</v>
      </c>
      <c r="M1106" s="59" t="n">
        <f aca="false">IF(G1106&gt;0,IF(INDEX(CONFIRM!$G$5:$G$53,G1106)&lt;&gt;"",INDEX(CONFIRM!$G$5:$G$53,G1106),IF(ISNUMBER(L1106),L1106,IFERROR(DATEVALUE(L1106),""))),IF(ISNUMBER(L1106),L1106,IFERROR(DATEVALUE(L1106),"")))</f>
        <v>46203</v>
      </c>
      <c r="N1106" s="1" t="str">
        <f aca="false">IF(M1106="","Check",IF(AND(M1106&gt;=INPUTS!$C$6,M1106&lt;=INPUTS!$C$7),"Yes","No"))</f>
        <v>Yes</v>
      </c>
      <c r="O1106" s="48" t="str">
        <f aca="false">STACK!H1106</f>
        <v>Charge RN</v>
      </c>
      <c r="P1106" s="1" t="str">
        <f aca="false">IF(G1106&gt;0,IF(INDEX(CONFIRM!$H$5:$H$53,G1106)&lt;&gt;"",INDEX(CONFIRM!$H$5:$H$53,G1106),IFERROR(INDEX(MAP!$B$7:$B$156,MATCH(TRIM(O1106),MAP!$A$7:$A$156,0)),"UNMAPPED")),IFERROR(INDEX(MAP!$B$7:$B$156,MATCH(TRIM(O1106),MAP!$A$7:$A$156,0)),"UNMAPPED"))</f>
        <v>Registered Nurse</v>
      </c>
      <c r="Q1106" s="48" t="n">
        <f aca="false">STACK!I1106</f>
        <v>80.25</v>
      </c>
      <c r="R1106" s="60" t="n">
        <f aca="false">IF(G1106&gt;0,IF(INDEX(CONFIRM!$F$5:$F$53,G1106)&lt;&gt;"",INDEX(CONFIRM!$F$5:$F$53,G1106),IF(ISNUMBER(Q1106),Q1106,IF(Q1106="","",IFERROR(VALUE(TRIM(SUBSTITUTE(SUBSTITUTE(LOWER(Q1106),"hrs",""),"hr",""))),"")))),IF(ISNUMBER(Q1106),Q1106,IF(Q1106="","",IFERROR(VALUE(TRIM(SUBSTITUTE(SUBSTITUTE(LOWER(Q1106),"hrs",""),"hr",""))),""))))</f>
        <v>80.25</v>
      </c>
      <c r="S1106" s="57" t="n">
        <f aca="false">IFERROR(INDEX(RATES!$E$6:$E$28,MATCH(P1106,RATES!$A$6:$A$28,0)),0)</f>
        <v>55.8975</v>
      </c>
      <c r="T1106" s="61" t="n">
        <f aca="false">IF(ISNUMBER(R1106),R1106,0)*S1106</f>
        <v>4485.774375</v>
      </c>
      <c r="U1106" s="61" t="n">
        <f aca="false">T1106*INDEX(INPUTS!$H$10:$H$14,MATCH(B1106,INPUTS!$A$10:$A$14,0))</f>
        <v>708.75235125</v>
      </c>
      <c r="V1106" s="61" t="n">
        <f aca="false">N(STACK!K1106)</f>
        <v>0</v>
      </c>
      <c r="W1106" s="61" t="n">
        <f aca="false">T1106+U1106+V1106</f>
        <v>5194.52672625</v>
      </c>
      <c r="X1106" s="61" t="n">
        <f aca="false">N(STACK!L1106)</f>
        <v>0</v>
      </c>
      <c r="Y1106" s="61" t="n">
        <f aca="false">W1106-X1106</f>
        <v>5194.52672625</v>
      </c>
      <c r="Z1106" s="1" t="n">
        <f aca="false">N(STACK!J1106)</f>
        <v>0</v>
      </c>
      <c r="AA1106" s="1" t="str">
        <f aca="false">TRIM(IF(D1106="UNMAPPED","Program not mapped. ","")&amp;IF(OR(K1106="UNMAPPED",K1106="UNASSIGNED"),"Category needs review. ","")&amp;IF(P1106="UNMAPPED","Title not mapped. ","")&amp;IF(AND(P1106&lt;&gt;"No staff time",R1106=""),"Missing hours. ","")&amp;IF(M1106="","Date not readable. ","")&amp;IF(N1106="No","Outside fiscal year. ","")&amp;IF(AND(F1106="Event",ISNUMBER(R1106)),IF(R1106&gt;12,"Event hours look high. ",""),"")&amp;IF(G1106&gt;0,"See CONFIRM sheet.",""))</f>
        <v/>
      </c>
      <c r="AB1106" s="1" t="n">
        <f aca="false">IF(N1106="No",0,IF(REVIEW!O1106=0,0,IF(G1106&gt;0,IF(INDEX(CONFIRM!$J$5:$J$53,G1106)&lt;&gt;"",INDEX(CONFIRM!$J$5:$J$53,G1106),1),1)))</f>
        <v>1</v>
      </c>
      <c r="AC1106" s="1" t="n">
        <f aca="false">IF(AB1106=1,IF(COUNTIFS($B$5:B1106,B1106,$D$5:D1106,D1106,$AB$5:AB1106,1)=1,1,0),0)</f>
        <v>0</v>
      </c>
    </row>
    <row r="1107" customFormat="false" ht="15" hidden="false" customHeight="false" outlineLevel="0" collapsed="false">
      <c r="A1107" s="48" t="str">
        <f aca="false">STACK!A1107</f>
        <v>CBH-0279</v>
      </c>
      <c r="B1107" s="48" t="str">
        <f aca="false">STACK!B1107</f>
        <v>CBH</v>
      </c>
      <c r="C1107" s="48" t="str">
        <f aca="false">STACK!E1107</f>
        <v>Pharmacy Students</v>
      </c>
      <c r="D1107" s="1" t="str">
        <f aca="false">IFERROR(INDEX(MAP!$J$7:$J$101,MATCH(TRIM(C1107),MAP!$I$7:$I$101,0)),"UNMAPPED")</f>
        <v>Pharmacy Student Rotations</v>
      </c>
      <c r="E1107" s="1" t="str">
        <f aca="false">IFERROR(INDEX(MAP!$K$7:$K$101,MATCH(TRIM(C1107),MAP!$I$7:$I$101,0)),"")</f>
        <v>Health workforce</v>
      </c>
      <c r="F1107" s="1" t="str">
        <f aca="false">IFERROR(INDEX(MAP!$L$7:$L$101,MATCH(TRIM(C1107),MAP!$I$7:$I$101,0)),"")</f>
        <v>Monthly</v>
      </c>
      <c r="G1107" s="1" t="n">
        <f aca="false">IFERROR(MATCH(A1107,CONFIRM!$A$5:$A$53,0),0)</f>
        <v>0</v>
      </c>
      <c r="H1107" s="48" t="str">
        <f aca="false">STACK!F1107</f>
        <v>Education - Health Professions</v>
      </c>
      <c r="I1107" s="1" t="str">
        <f aca="false">IF(G1107&gt;0,IF(INDEX(CONFIRM!$I$5:$I$53,G1107)&lt;&gt;"",INDEX(CONFIRM!$I$5:$I$53,G1107),H1107),H1107)</f>
        <v>Education - Health Professions</v>
      </c>
      <c r="J1107" s="1" t="str">
        <f aca="false">IFERROR(INDEX(MAP!$F$7:$F$74,MATCH(TRIM(I1107),MAP!$E$7:$E$74,0)),"UNMAPPED")</f>
        <v>Health professions education</v>
      </c>
      <c r="K1107" s="1" t="str">
        <f aca="false">IFERROR(INDEX(MAP!$G$7:$G$74,MATCH(TRIM(I1107),MAP!$E$7:$E$74,0)),"UNMAPPED")</f>
        <v>7f</v>
      </c>
      <c r="L1107" s="49" t="str">
        <f aca="false">STACK!G1107</f>
        <v>2026-06-30</v>
      </c>
      <c r="M1107" s="59" t="n">
        <f aca="false">IF(G1107&gt;0,IF(INDEX(CONFIRM!$G$5:$G$53,G1107)&lt;&gt;"",INDEX(CONFIRM!$G$5:$G$53,G1107),IF(ISNUMBER(L1107),L1107,IFERROR(DATEVALUE(L1107),""))),IF(ISNUMBER(L1107),L1107,IFERROR(DATEVALUE(L1107),"")))</f>
        <v>46203</v>
      </c>
      <c r="N1107" s="1" t="str">
        <f aca="false">IF(M1107="","Check",IF(AND(M1107&gt;=INPUTS!$C$6,M1107&lt;=INPUTS!$C$7),"Yes","No"))</f>
        <v>Yes</v>
      </c>
      <c r="O1107" s="48" t="str">
        <f aca="false">STACK!H1107</f>
        <v>Staff Pharmacist</v>
      </c>
      <c r="P1107" s="1" t="str">
        <f aca="false">IF(G1107&gt;0,IF(INDEX(CONFIRM!$H$5:$H$53,G1107)&lt;&gt;"",INDEX(CONFIRM!$H$5:$H$53,G1107),IFERROR(INDEX(MAP!$B$7:$B$156,MATCH(TRIM(O1107),MAP!$A$7:$A$156,0)),"UNMAPPED")),IFERROR(INDEX(MAP!$B$7:$B$156,MATCH(TRIM(O1107),MAP!$A$7:$A$156,0)),"UNMAPPED"))</f>
        <v>Pharmacist</v>
      </c>
      <c r="Q1107" s="48" t="n">
        <f aca="false">STACK!I1107</f>
        <v>44.25</v>
      </c>
      <c r="R1107" s="60" t="n">
        <f aca="false">IF(G1107&gt;0,IF(INDEX(CONFIRM!$F$5:$F$53,G1107)&lt;&gt;"",INDEX(CONFIRM!$F$5:$F$53,G1107),IF(ISNUMBER(Q1107),Q1107,IF(Q1107="","",IFERROR(VALUE(TRIM(SUBSTITUTE(SUBSTITUTE(LOWER(Q1107),"hrs",""),"hr",""))),"")))),IF(ISNUMBER(Q1107),Q1107,IF(Q1107="","",IFERROR(VALUE(TRIM(SUBSTITUTE(SUBSTITUTE(LOWER(Q1107),"hrs",""),"hr",""))),""))))</f>
        <v>44.25</v>
      </c>
      <c r="S1107" s="57" t="n">
        <f aca="false">IFERROR(INDEX(RATES!$E$6:$E$28,MATCH(P1107,RATES!$A$6:$A$28,0)),0)</f>
        <v>84.81</v>
      </c>
      <c r="T1107" s="61" t="n">
        <f aca="false">IF(ISNUMBER(R1107),R1107,0)*S1107</f>
        <v>3752.8425</v>
      </c>
      <c r="U1107" s="61" t="n">
        <f aca="false">T1107*INDEX(INPUTS!$H$10:$H$14,MATCH(B1107,INPUTS!$A$10:$A$14,0))</f>
        <v>592.949115</v>
      </c>
      <c r="V1107" s="61" t="n">
        <f aca="false">N(STACK!K1107)</f>
        <v>35</v>
      </c>
      <c r="W1107" s="61" t="n">
        <f aca="false">T1107+U1107+V1107</f>
        <v>4380.791615</v>
      </c>
      <c r="X1107" s="61" t="n">
        <f aca="false">N(STACK!L1107)</f>
        <v>0</v>
      </c>
      <c r="Y1107" s="61" t="n">
        <f aca="false">W1107-X1107</f>
        <v>4380.791615</v>
      </c>
      <c r="Z1107" s="1" t="n">
        <f aca="false">N(STACK!J1107)</f>
        <v>4</v>
      </c>
      <c r="AA1107" s="1" t="str">
        <f aca="false">TRIM(IF(D1107="UNMAPPED","Program not mapped. ","")&amp;IF(OR(K1107="UNMAPPED",K1107="UNASSIGNED"),"Category needs review. ","")&amp;IF(P1107="UNMAPPED","Title not mapped. ","")&amp;IF(AND(P1107&lt;&gt;"No staff time",R1107=""),"Missing hours. ","")&amp;IF(M1107="","Date not readable. ","")&amp;IF(N1107="No","Outside fiscal year. ","")&amp;IF(AND(F1107="Event",ISNUMBER(R1107)),IF(R1107&gt;12,"Event hours look high. ",""),"")&amp;IF(G1107&gt;0,"See CONFIRM sheet.",""))</f>
        <v/>
      </c>
      <c r="AB1107" s="1" t="n">
        <f aca="false">IF(N1107="No",0,IF(REVIEW!O1107=0,0,IF(G1107&gt;0,IF(INDEX(CONFIRM!$J$5:$J$53,G1107)&lt;&gt;"",INDEX(CONFIRM!$J$5:$J$53,G1107),1),1)))</f>
        <v>1</v>
      </c>
      <c r="AC1107" s="1" t="n">
        <f aca="false">IF(AB1107=1,IF(COUNTIFS($B$5:B1107,B1107,$D$5:D1107,D1107,$AB$5:AB1107,1)=1,1,0),0)</f>
        <v>0</v>
      </c>
    </row>
    <row r="1108" customFormat="false" ht="15" hidden="false" customHeight="false" outlineLevel="0" collapsed="false">
      <c r="A1108" s="48" t="str">
        <f aca="false">STACK!A1108</f>
        <v>WCH-0001</v>
      </c>
      <c r="B1108" s="48" t="str">
        <f aca="false">STACK!B1108</f>
        <v>WCH</v>
      </c>
      <c r="C1108" s="48" t="str">
        <f aca="false">STACK!E1108</f>
        <v>bp check</v>
      </c>
      <c r="D1108" s="1" t="str">
        <f aca="false">IFERROR(INDEX(MAP!$J$7:$J$101,MATCH(TRIM(C1108),MAP!$I$7:$I$101,0)),"UNMAPPED")</f>
        <v>Community Blood Pressure Checks</v>
      </c>
      <c r="E1108" s="1" t="str">
        <f aca="false">IFERROR(INDEX(MAP!$K$7:$K$101,MATCH(TRIM(C1108),MAP!$I$7:$I$101,0)),"")</f>
        <v>Chronic disease prevention</v>
      </c>
      <c r="F1108" s="1" t="str">
        <f aca="false">IFERROR(INDEX(MAP!$L$7:$L$101,MATCH(TRIM(C1108),MAP!$I$7:$I$101,0)),"")</f>
        <v>Event</v>
      </c>
      <c r="G1108" s="1" t="n">
        <f aca="false">IFERROR(MATCH(A1108,CONFIRM!$A$5:$A$53,0),0)</f>
        <v>24</v>
      </c>
      <c r="H1108" s="48" t="str">
        <f aca="false">STACK!F1108</f>
        <v>CHIS clinical</v>
      </c>
      <c r="I1108" s="1" t="str">
        <f aca="false">IF(G1108&gt;0,IF(INDEX(CONFIRM!$I$5:$I$53,G1108)&lt;&gt;"",INDEX(CONFIRM!$I$5:$I$53,G1108),H1108),H1108)</f>
        <v>CHIS clinical</v>
      </c>
      <c r="J1108" s="1" t="str">
        <f aca="false">IFERROR(INDEX(MAP!$F$7:$F$74,MATCH(TRIM(I1108),MAP!$E$7:$E$74,0)),"UNMAPPED")</f>
        <v>Community-based clinical services</v>
      </c>
      <c r="K1108" s="1" t="str">
        <f aca="false">IFERROR(INDEX(MAP!$G$7:$G$74,MATCH(TRIM(I1108),MAP!$E$7:$E$74,0)),"UNMAPPED")</f>
        <v>7e</v>
      </c>
      <c r="L1108" s="49" t="str">
        <f aca="false">STACK!G1108</f>
        <v>6/24/25</v>
      </c>
      <c r="M1108" s="59" t="n">
        <f aca="false">IF(G1108&gt;0,IF(INDEX(CONFIRM!$G$5:$G$53,G1108)&lt;&gt;"",INDEX(CONFIRM!$G$5:$G$53,G1108),IF(ISNUMBER(L1108),L1108,IFERROR(DATEVALUE(L1108),""))),IF(ISNUMBER(L1108),L1108,IFERROR(DATEVALUE(L1108),"")))</f>
        <v>45832</v>
      </c>
      <c r="N1108" s="1" t="str">
        <f aca="false">IF(M1108="","Check",IF(AND(M1108&gt;=INPUTS!$C$6,M1108&lt;=INPUTS!$C$7),"Yes","No"))</f>
        <v>No</v>
      </c>
      <c r="O1108" s="48" t="str">
        <f aca="false">STACK!H1108</f>
        <v>Staff RN </v>
      </c>
      <c r="P1108" s="1" t="str">
        <f aca="false">IF(G1108&gt;0,IF(INDEX(CONFIRM!$H$5:$H$53,G1108)&lt;&gt;"",INDEX(CONFIRM!$H$5:$H$53,G1108),IFERROR(INDEX(MAP!$B$7:$B$156,MATCH(TRIM(O1108),MAP!$A$7:$A$156,0)),"UNMAPPED")),IFERROR(INDEX(MAP!$B$7:$B$156,MATCH(TRIM(O1108),MAP!$A$7:$A$156,0)),"UNMAPPED"))</f>
        <v>Registered Nurse</v>
      </c>
      <c r="Q1108" s="48" t="n">
        <f aca="false">STACK!I1108</f>
        <v>4.25</v>
      </c>
      <c r="R1108" s="60" t="n">
        <f aca="false">IF(G1108&gt;0,IF(INDEX(CONFIRM!$F$5:$F$53,G1108)&lt;&gt;"",INDEX(CONFIRM!$F$5:$F$53,G1108),IF(ISNUMBER(Q1108),Q1108,IF(Q1108="","",IFERROR(VALUE(TRIM(SUBSTITUTE(SUBSTITUTE(LOWER(Q1108),"hrs",""),"hr",""))),"")))),IF(ISNUMBER(Q1108),Q1108,IF(Q1108="","",IFERROR(VALUE(TRIM(SUBSTITUTE(SUBSTITUTE(LOWER(Q1108),"hrs",""),"hr",""))),""))))</f>
        <v>4.25</v>
      </c>
      <c r="S1108" s="57" t="n">
        <f aca="false">IFERROR(INDEX(RATES!$E$6:$E$28,MATCH(P1108,RATES!$A$6:$A$28,0)),0)</f>
        <v>55.8975</v>
      </c>
      <c r="T1108" s="61" t="n">
        <f aca="false">IF(ISNUMBER(R1108),R1108,0)*S1108</f>
        <v>237.564375</v>
      </c>
      <c r="U1108" s="61" t="n">
        <f aca="false">T1108*INDEX(INPUTS!$H$10:$H$14,MATCH(B1108,INPUTS!$A$10:$A$14,0))</f>
        <v>33.496576875</v>
      </c>
      <c r="V1108" s="61" t="n">
        <f aca="false">N(STACK!K1108)</f>
        <v>40</v>
      </c>
      <c r="W1108" s="61" t="n">
        <f aca="false">T1108+U1108+V1108</f>
        <v>311.060951875</v>
      </c>
      <c r="X1108" s="61" t="n">
        <f aca="false">N(STACK!L1108)</f>
        <v>0</v>
      </c>
      <c r="Y1108" s="61" t="n">
        <f aca="false">W1108-X1108</f>
        <v>311.060951875</v>
      </c>
      <c r="Z1108" s="1" t="n">
        <f aca="false">N(STACK!J1108)</f>
        <v>63</v>
      </c>
      <c r="AA1108" s="1" t="str">
        <f aca="false">TRIM(IF(D1108="UNMAPPED","Program not mapped. ","")&amp;IF(OR(K1108="UNMAPPED",K1108="UNASSIGNED"),"Category needs review. ","")&amp;IF(P1108="UNMAPPED","Title not mapped. ","")&amp;IF(AND(P1108&lt;&gt;"No staff time",R1108=""),"Missing hours. ","")&amp;IF(M1108="","Date not readable. ","")&amp;IF(N1108="No","Outside fiscal year. ","")&amp;IF(AND(F1108="Event",ISNUMBER(R1108)),IF(R1108&gt;12,"Event hours look high. ",""),"")&amp;IF(G1108&gt;0,"See CONFIRM sheet.",""))</f>
        <v>Outside fiscal year. See CONFIRM sheet.</v>
      </c>
      <c r="AB1108" s="1" t="n">
        <f aca="false">IF(N1108="No",0,IF(REVIEW!O1108=0,0,IF(G1108&gt;0,IF(INDEX(CONFIRM!$J$5:$J$53,G1108)&lt;&gt;"",INDEX(CONFIRM!$J$5:$J$53,G1108),1),1)))</f>
        <v>0</v>
      </c>
      <c r="AC1108" s="1" t="n">
        <f aca="false">IF(AB1108=1,IF(COUNTIFS($B$5:B1108,B1108,$D$5:D1108,D1108,$AB$5:AB1108,1)=1,1,0),0)</f>
        <v>0</v>
      </c>
    </row>
    <row r="1109" customFormat="false" ht="15" hidden="false" customHeight="false" outlineLevel="0" collapsed="false">
      <c r="A1109" s="48" t="str">
        <f aca="false">STACK!A1109</f>
        <v>WCH-0002</v>
      </c>
      <c r="B1109" s="48" t="str">
        <f aca="false">STACK!B1109</f>
        <v>WCH</v>
      </c>
      <c r="C1109" s="48" t="str">
        <f aca="false">STACK!E1109</f>
        <v>grief group</v>
      </c>
      <c r="D1109" s="1" t="str">
        <f aca="false">IFERROR(INDEX(MAP!$J$7:$J$101,MATCH(TRIM(C1109),MAP!$I$7:$I$101,0)),"UNMAPPED")</f>
        <v>Grief Support Group</v>
      </c>
      <c r="E1109" s="1" t="str">
        <f aca="false">IFERROR(INDEX(MAP!$K$7:$K$101,MATCH(TRIM(C1109),MAP!$I$7:$I$101,0)),"")</f>
        <v>Behavioral health</v>
      </c>
      <c r="F1109" s="1" t="str">
        <f aca="false">IFERROR(INDEX(MAP!$L$7:$L$101,MATCH(TRIM(C1109),MAP!$I$7:$I$101,0)),"")</f>
        <v>Event</v>
      </c>
      <c r="G1109" s="1" t="n">
        <f aca="false">IFERROR(MATCH(A1109,CONFIRM!$A$5:$A$53,0),0)</f>
        <v>0</v>
      </c>
      <c r="H1109" s="48" t="str">
        <f aca="false">STACK!F1109</f>
        <v>CHIS support</v>
      </c>
      <c r="I1109" s="1" t="str">
        <f aca="false">IF(G1109&gt;0,IF(INDEX(CONFIRM!$I$5:$I$53,G1109)&lt;&gt;"",INDEX(CONFIRM!$I$5:$I$53,G1109),H1109),H1109)</f>
        <v>CHIS support</v>
      </c>
      <c r="J1109" s="1" t="str">
        <f aca="false">IFERROR(INDEX(MAP!$F$7:$F$74,MATCH(TRIM(I1109),MAP!$E$7:$E$74,0)),"UNMAPPED")</f>
        <v>Health care support services</v>
      </c>
      <c r="K1109" s="1" t="str">
        <f aca="false">IFERROR(INDEX(MAP!$G$7:$G$74,MATCH(TRIM(I1109),MAP!$E$7:$E$74,0)),"UNMAPPED")</f>
        <v>7e</v>
      </c>
      <c r="L1109" s="49" t="str">
        <f aca="false">STACK!G1109</f>
        <v>7/22/25</v>
      </c>
      <c r="M1109" s="59" t="n">
        <f aca="false">IF(G1109&gt;0,IF(INDEX(CONFIRM!$G$5:$G$53,G1109)&lt;&gt;"",INDEX(CONFIRM!$G$5:$G$53,G1109),IF(ISNUMBER(L1109),L1109,IFERROR(DATEVALUE(L1109),""))),IF(ISNUMBER(L1109),L1109,IFERROR(DATEVALUE(L1109),"")))</f>
        <v>45860</v>
      </c>
      <c r="N1109" s="1" t="str">
        <f aca="false">IF(M1109="","Check",IF(AND(M1109&gt;=INPUTS!$C$6,M1109&lt;=INPUTS!$C$7),"Yes","No"))</f>
        <v>Yes</v>
      </c>
      <c r="O1109" s="48" t="str">
        <f aca="false">STACK!H1109</f>
        <v>Spiritual Care</v>
      </c>
      <c r="P1109" s="1" t="str">
        <f aca="false">IF(G1109&gt;0,IF(INDEX(CONFIRM!$H$5:$H$53,G1109)&lt;&gt;"",INDEX(CONFIRM!$H$5:$H$53,G1109),IFERROR(INDEX(MAP!$B$7:$B$156,MATCH(TRIM(O1109),MAP!$A$7:$A$156,0)),"UNMAPPED")),IFERROR(INDEX(MAP!$B$7:$B$156,MATCH(TRIM(O1109),MAP!$A$7:$A$156,0)),"UNMAPPED"))</f>
        <v>Chaplain</v>
      </c>
      <c r="Q1109" s="48" t="n">
        <f aca="false">STACK!I1109</f>
        <v>2.25</v>
      </c>
      <c r="R1109" s="60" t="n">
        <f aca="false">IF(G1109&gt;0,IF(INDEX(CONFIRM!$F$5:$F$53,G1109)&lt;&gt;"",INDEX(CONFIRM!$F$5:$F$53,G1109),IF(ISNUMBER(Q1109),Q1109,IF(Q1109="","",IFERROR(VALUE(TRIM(SUBSTITUTE(SUBSTITUTE(LOWER(Q1109),"hrs",""),"hr",""))),"")))),IF(ISNUMBER(Q1109),Q1109,IF(Q1109="","",IFERROR(VALUE(TRIM(SUBSTITUTE(SUBSTITUTE(LOWER(Q1109),"hrs",""),"hr",""))),""))))</f>
        <v>2.25</v>
      </c>
      <c r="S1109" s="57" t="n">
        <f aca="false">IFERROR(INDEX(RATES!$E$6:$E$28,MATCH(P1109,RATES!$A$6:$A$28,0)),0)</f>
        <v>39.835</v>
      </c>
      <c r="T1109" s="61" t="n">
        <f aca="false">IF(ISNUMBER(R1109),R1109,0)*S1109</f>
        <v>89.62875</v>
      </c>
      <c r="U1109" s="61" t="n">
        <f aca="false">T1109*INDEX(INPUTS!$H$10:$H$14,MATCH(B1109,INPUTS!$A$10:$A$14,0))</f>
        <v>12.63765375</v>
      </c>
      <c r="V1109" s="61" t="n">
        <f aca="false">N(STACK!K1109)</f>
        <v>35</v>
      </c>
      <c r="W1109" s="61" t="n">
        <f aca="false">T1109+U1109+V1109</f>
        <v>137.26640375</v>
      </c>
      <c r="X1109" s="61" t="n">
        <f aca="false">N(STACK!L1109)</f>
        <v>0</v>
      </c>
      <c r="Y1109" s="61" t="n">
        <f aca="false">W1109-X1109</f>
        <v>137.26640375</v>
      </c>
      <c r="Z1109" s="1" t="n">
        <f aca="false">N(STACK!J1109)</f>
        <v>14</v>
      </c>
      <c r="AA1109" s="1" t="str">
        <f aca="false">TRIM(IF(D1109="UNMAPPED","Program not mapped. ","")&amp;IF(OR(K1109="UNMAPPED",K1109="UNASSIGNED"),"Category needs review. ","")&amp;IF(P1109="UNMAPPED","Title not mapped. ","")&amp;IF(AND(P1109&lt;&gt;"No staff time",R1109=""),"Missing hours. ","")&amp;IF(M1109="","Date not readable. ","")&amp;IF(N1109="No","Outside fiscal year. ","")&amp;IF(AND(F1109="Event",ISNUMBER(R1109)),IF(R1109&gt;12,"Event hours look high. ",""),"")&amp;IF(G1109&gt;0,"See CONFIRM sheet.",""))</f>
        <v/>
      </c>
      <c r="AB1109" s="1" t="n">
        <f aca="false">IF(N1109="No",0,IF(REVIEW!O1109=0,0,IF(G1109&gt;0,IF(INDEX(CONFIRM!$J$5:$J$53,G1109)&lt;&gt;"",INDEX(CONFIRM!$J$5:$J$53,G1109),1),1)))</f>
        <v>1</v>
      </c>
      <c r="AC1109" s="1" t="n">
        <f aca="false">IF(AB1109=1,IF(COUNTIFS($B$5:B1109,B1109,$D$5:D1109,D1109,$AB$5:AB1109,1)=1,1,0),0)</f>
        <v>1</v>
      </c>
    </row>
    <row r="1110" customFormat="false" ht="15" hidden="false" customHeight="false" outlineLevel="0" collapsed="false">
      <c r="A1110" s="48" t="str">
        <f aca="false">STACK!A1110</f>
        <v>WCH-0003</v>
      </c>
      <c r="B1110" s="48" t="str">
        <f aca="false">STACK!B1110</f>
        <v>WCH</v>
      </c>
      <c r="C1110" s="48" t="str">
        <f aca="false">STACK!E1110</f>
        <v>grief group</v>
      </c>
      <c r="D1110" s="1" t="str">
        <f aca="false">IFERROR(INDEX(MAP!$J$7:$J$101,MATCH(TRIM(C1110),MAP!$I$7:$I$101,0)),"UNMAPPED")</f>
        <v>Grief Support Group</v>
      </c>
      <c r="E1110" s="1" t="str">
        <f aca="false">IFERROR(INDEX(MAP!$K$7:$K$101,MATCH(TRIM(C1110),MAP!$I$7:$I$101,0)),"")</f>
        <v>Behavioral health</v>
      </c>
      <c r="F1110" s="1" t="str">
        <f aca="false">IFERROR(INDEX(MAP!$L$7:$L$101,MATCH(TRIM(C1110),MAP!$I$7:$I$101,0)),"")</f>
        <v>Event</v>
      </c>
      <c r="G1110" s="1" t="n">
        <f aca="false">IFERROR(MATCH(A1110,CONFIRM!$A$5:$A$53,0),0)</f>
        <v>0</v>
      </c>
      <c r="H1110" s="48" t="str">
        <f aca="false">STACK!F1110</f>
        <v>CHIS support</v>
      </c>
      <c r="I1110" s="1" t="str">
        <f aca="false">IF(G1110&gt;0,IF(INDEX(CONFIRM!$I$5:$I$53,G1110)&lt;&gt;"",INDEX(CONFIRM!$I$5:$I$53,G1110),H1110),H1110)</f>
        <v>CHIS support</v>
      </c>
      <c r="J1110" s="1" t="str">
        <f aca="false">IFERROR(INDEX(MAP!$F$7:$F$74,MATCH(TRIM(I1110),MAP!$E$7:$E$74,0)),"UNMAPPED")</f>
        <v>Health care support services</v>
      </c>
      <c r="K1110" s="1" t="str">
        <f aca="false">IFERROR(INDEX(MAP!$G$7:$G$74,MATCH(TRIM(I1110),MAP!$E$7:$E$74,0)),"UNMAPPED")</f>
        <v>7e</v>
      </c>
      <c r="L1110" s="49" t="n">
        <f aca="false">STACK!G1110</f>
        <v>45860</v>
      </c>
      <c r="M1110" s="59" t="n">
        <f aca="false">IF(G1110&gt;0,IF(INDEX(CONFIRM!$G$5:$G$53,G1110)&lt;&gt;"",INDEX(CONFIRM!$G$5:$G$53,G1110),IF(ISNUMBER(L1110),L1110,IFERROR(DATEVALUE(L1110),""))),IF(ISNUMBER(L1110),L1110,IFERROR(DATEVALUE(L1110),"")))</f>
        <v>45860</v>
      </c>
      <c r="N1110" s="1" t="str">
        <f aca="false">IF(M1110="","Check",IF(AND(M1110&gt;=INPUTS!$C$6,M1110&lt;=INPUTS!$C$7),"Yes","No"))</f>
        <v>Yes</v>
      </c>
      <c r="O1110" s="48" t="str">
        <f aca="false">STACK!H1110</f>
        <v> Clinical Social Worker</v>
      </c>
      <c r="P1110" s="1" t="str">
        <f aca="false">IF(G1110&gt;0,IF(INDEX(CONFIRM!$H$5:$H$53,G1110)&lt;&gt;"",INDEX(CONFIRM!$H$5:$H$53,G1110),IFERROR(INDEX(MAP!$B$7:$B$156,MATCH(TRIM(O1110),MAP!$A$7:$A$156,0)),"UNMAPPED")),IFERROR(INDEX(MAP!$B$7:$B$156,MATCH(TRIM(O1110),MAP!$A$7:$A$156,0)),"UNMAPPED"))</f>
        <v>Social Worker</v>
      </c>
      <c r="Q1110" s="48" t="n">
        <f aca="false">STACK!I1110</f>
        <v>1.75</v>
      </c>
      <c r="R1110" s="60" t="n">
        <f aca="false">IF(G1110&gt;0,IF(INDEX(CONFIRM!$F$5:$F$53,G1110)&lt;&gt;"",INDEX(CONFIRM!$F$5:$F$53,G1110),IF(ISNUMBER(Q1110),Q1110,IF(Q1110="","",IFERROR(VALUE(TRIM(SUBSTITUTE(SUBSTITUTE(LOWER(Q1110),"hrs",""),"hr",""))),"")))),IF(ISNUMBER(Q1110),Q1110,IF(Q1110="","",IFERROR(VALUE(TRIM(SUBSTITUTE(SUBSTITUTE(LOWER(Q1110),"hrs",""),"hr",""))),""))))</f>
        <v>1.75</v>
      </c>
      <c r="S1110" s="57" t="n">
        <f aca="false">IFERROR(INDEX(RATES!$E$6:$E$28,MATCH(P1110,RATES!$A$6:$A$28,0)),0)</f>
        <v>45.6175</v>
      </c>
      <c r="T1110" s="61" t="n">
        <f aca="false">IF(ISNUMBER(R1110),R1110,0)*S1110</f>
        <v>79.830625</v>
      </c>
      <c r="U1110" s="61" t="n">
        <f aca="false">T1110*INDEX(INPUTS!$H$10:$H$14,MATCH(B1110,INPUTS!$A$10:$A$14,0))</f>
        <v>11.256118125</v>
      </c>
      <c r="V1110" s="61" t="n">
        <f aca="false">N(STACK!K1110)</f>
        <v>0</v>
      </c>
      <c r="W1110" s="61" t="n">
        <f aca="false">T1110+U1110+V1110</f>
        <v>91.086743125</v>
      </c>
      <c r="X1110" s="61" t="n">
        <f aca="false">N(STACK!L1110)</f>
        <v>0</v>
      </c>
      <c r="Y1110" s="61" t="n">
        <f aca="false">W1110-X1110</f>
        <v>91.086743125</v>
      </c>
      <c r="Z1110" s="1" t="n">
        <f aca="false">N(STACK!J1110)</f>
        <v>0</v>
      </c>
      <c r="AA1110" s="1" t="str">
        <f aca="false">TRIM(IF(D1110="UNMAPPED","Program not mapped. ","")&amp;IF(OR(K1110="UNMAPPED",K1110="UNASSIGNED"),"Category needs review. ","")&amp;IF(P1110="UNMAPPED","Title not mapped. ","")&amp;IF(AND(P1110&lt;&gt;"No staff time",R1110=""),"Missing hours. ","")&amp;IF(M1110="","Date not readable. ","")&amp;IF(N1110="No","Outside fiscal year. ","")&amp;IF(AND(F1110="Event",ISNUMBER(R1110)),IF(R1110&gt;12,"Event hours look high. ",""),"")&amp;IF(G1110&gt;0,"See CONFIRM sheet.",""))</f>
        <v/>
      </c>
      <c r="AB1110" s="1" t="n">
        <f aca="false">IF(N1110="No",0,IF(REVIEW!O1110=0,0,IF(G1110&gt;0,IF(INDEX(CONFIRM!$J$5:$J$53,G1110)&lt;&gt;"",INDEX(CONFIRM!$J$5:$J$53,G1110),1),1)))</f>
        <v>1</v>
      </c>
      <c r="AC1110" s="1" t="n">
        <f aca="false">IF(AB1110=1,IF(COUNTIFS($B$5:B1110,B1110,$D$5:D1110,D1110,$AB$5:AB1110,1)=1,1,0),0)</f>
        <v>0</v>
      </c>
    </row>
    <row r="1111" customFormat="false" ht="15" hidden="false" customHeight="false" outlineLevel="0" collapsed="false">
      <c r="A1111" s="48" t="str">
        <f aca="false">STACK!A1111</f>
        <v>WCH-0004</v>
      </c>
      <c r="B1111" s="48" t="str">
        <f aca="false">STACK!B1111</f>
        <v>WCH</v>
      </c>
      <c r="C1111" s="48" t="str">
        <f aca="false">STACK!E1111</f>
        <v>health coalition</v>
      </c>
      <c r="D1111" s="1" t="str">
        <f aca="false">IFERROR(INDEX(MAP!$J$7:$J$101,MATCH(TRIM(C1111),MAP!$I$7:$I$101,0)),"UNMAPPED")</f>
        <v>Regional Health Coalition</v>
      </c>
      <c r="E1111" s="1" t="str">
        <f aca="false">IFERROR(INDEX(MAP!$K$7:$K$101,MATCH(TRIM(C1111),MAP!$I$7:$I$101,0)),"")</f>
        <v>Community benefit infrastructure</v>
      </c>
      <c r="F1111" s="1" t="str">
        <f aca="false">IFERROR(INDEX(MAP!$L$7:$L$101,MATCH(TRIM(C1111),MAP!$I$7:$I$101,0)),"")</f>
        <v>Event</v>
      </c>
      <c r="G1111" s="1" t="n">
        <f aca="false">IFERROR(MATCH(A1111,CONFIRM!$A$5:$A$53,0),0)</f>
        <v>25</v>
      </c>
      <c r="H1111" s="48" t="str">
        <f aca="false">STACK!F1111</f>
        <v>community building</v>
      </c>
      <c r="I1111" s="1" t="str">
        <f aca="false">IF(G1111&gt;0,IF(INDEX(CONFIRM!$I$5:$I$53,G1111)&lt;&gt;"",INDEX(CONFIRM!$I$5:$I$53,G1111),H1111),H1111)</f>
        <v>Community building: coalition building</v>
      </c>
      <c r="J1111" s="1" t="str">
        <f aca="false">IFERROR(INDEX(MAP!$F$7:$F$74,MATCH(TRIM(I1111),MAP!$E$7:$E$74,0)),"UNMAPPED")</f>
        <v>Community building: coalition building</v>
      </c>
      <c r="K1111" s="1" t="str">
        <f aca="false">IFERROR(INDEX(MAP!$G$7:$G$74,MATCH(TRIM(I1111),MAP!$E$7:$E$74,0)),"UNMAPPED")</f>
        <v>II-6</v>
      </c>
      <c r="L1111" s="49" t="n">
        <f aca="false">STACK!G1111</f>
        <v>45863</v>
      </c>
      <c r="M1111" s="59" t="n">
        <f aca="false">IF(G1111&gt;0,IF(INDEX(CONFIRM!$G$5:$G$53,G1111)&lt;&gt;"",INDEX(CONFIRM!$G$5:$G$53,G1111),IF(ISNUMBER(L1111),L1111,IFERROR(DATEVALUE(L1111),""))),IF(ISNUMBER(L1111),L1111,IFERROR(DATEVALUE(L1111),"")))</f>
        <v>45863</v>
      </c>
      <c r="N1111" s="1" t="str">
        <f aca="false">IF(M1111="","Check",IF(AND(M1111&gt;=INPUTS!$C$6,M1111&lt;=INPUTS!$C$7),"Yes","No"))</f>
        <v>Yes</v>
      </c>
      <c r="O1111" s="48" t="str">
        <f aca="false">STACK!H1111</f>
        <v>Community Benefit Manager</v>
      </c>
      <c r="P1111" s="1" t="str">
        <f aca="false">IF(G1111&gt;0,IF(INDEX(CONFIRM!$H$5:$H$53,G1111)&lt;&gt;"",INDEX(CONFIRM!$H$5:$H$53,G1111),IFERROR(INDEX(MAP!$B$7:$B$156,MATCH(TRIM(O1111),MAP!$A$7:$A$156,0)),"UNMAPPED")),IFERROR(INDEX(MAP!$B$7:$B$156,MATCH(TRIM(O1111),MAP!$A$7:$A$156,0)),"UNMAPPED"))</f>
        <v>Community Benefit Manager</v>
      </c>
      <c r="Q1111" s="48" t="n">
        <f aca="false">STACK!I1111</f>
        <v>2.25</v>
      </c>
      <c r="R1111" s="60" t="n">
        <f aca="false">IF(G1111&gt;0,IF(INDEX(CONFIRM!$F$5:$F$53,G1111)&lt;&gt;"",INDEX(CONFIRM!$F$5:$F$53,G1111),IF(ISNUMBER(Q1111),Q1111,IF(Q1111="","",IFERROR(VALUE(TRIM(SUBSTITUTE(SUBSTITUTE(LOWER(Q1111),"hrs",""),"hr",""))),"")))),IF(ISNUMBER(Q1111),Q1111,IF(Q1111="","",IFERROR(VALUE(TRIM(SUBSTITUTE(SUBSTITUTE(LOWER(Q1111),"hrs",""),"hr",""))),""))))</f>
        <v>2.25</v>
      </c>
      <c r="S1111" s="57" t="n">
        <f aca="false">IFERROR(INDEX(RATES!$E$6:$E$28,MATCH(P1111,RATES!$A$6:$A$28,0)),0)</f>
        <v>59.11</v>
      </c>
      <c r="T1111" s="61" t="n">
        <f aca="false">IF(ISNUMBER(R1111),R1111,0)*S1111</f>
        <v>132.9975</v>
      </c>
      <c r="U1111" s="61" t="n">
        <f aca="false">T1111*INDEX(INPUTS!$H$10:$H$14,MATCH(B1111,INPUTS!$A$10:$A$14,0))</f>
        <v>18.7526475</v>
      </c>
      <c r="V1111" s="61" t="n">
        <f aca="false">N(STACK!K1111)</f>
        <v>0</v>
      </c>
      <c r="W1111" s="61" t="n">
        <f aca="false">T1111+U1111+V1111</f>
        <v>151.7501475</v>
      </c>
      <c r="X1111" s="61" t="n">
        <f aca="false">N(STACK!L1111)</f>
        <v>0</v>
      </c>
      <c r="Y1111" s="61" t="n">
        <f aca="false">W1111-X1111</f>
        <v>151.7501475</v>
      </c>
      <c r="Z1111" s="1" t="n">
        <f aca="false">N(STACK!J1111)</f>
        <v>0</v>
      </c>
      <c r="AA1111" s="1" t="str">
        <f aca="false">TRIM(IF(D1111="UNMAPPED","Program not mapped. ","")&amp;IF(OR(K1111="UNMAPPED",K1111="UNASSIGNED"),"Category needs review. ","")&amp;IF(P1111="UNMAPPED","Title not mapped. ","")&amp;IF(AND(P1111&lt;&gt;"No staff time",R1111=""),"Missing hours. ","")&amp;IF(M1111="","Date not readable. ","")&amp;IF(N1111="No","Outside fiscal year. ","")&amp;IF(AND(F1111="Event",ISNUMBER(R1111)),IF(R1111&gt;12,"Event hours look high. ",""),"")&amp;IF(G1111&gt;0,"See CONFIRM sheet.",""))</f>
        <v>See CONFIRM sheet.</v>
      </c>
      <c r="AB1111" s="1" t="n">
        <f aca="false">IF(N1111="No",0,IF(REVIEW!O1111=0,0,IF(G1111&gt;0,IF(INDEX(CONFIRM!$J$5:$J$53,G1111)&lt;&gt;"",INDEX(CONFIRM!$J$5:$J$53,G1111),1),1)))</f>
        <v>1</v>
      </c>
      <c r="AC1111" s="1" t="n">
        <f aca="false">IF(AB1111=1,IF(COUNTIFS($B$5:B1111,B1111,$D$5:D1111,D1111,$AB$5:AB1111,1)=1,1,0),0)</f>
        <v>1</v>
      </c>
    </row>
    <row r="1112" customFormat="false" ht="15" hidden="false" customHeight="false" outlineLevel="0" collapsed="false">
      <c r="A1112" s="48" t="str">
        <f aca="false">STACK!A1112</f>
        <v>WCH-0005</v>
      </c>
      <c r="B1112" s="48" t="str">
        <f aca="false">STACK!B1112</f>
        <v>WCH</v>
      </c>
      <c r="C1112" s="48" t="str">
        <f aca="false">STACK!E1112</f>
        <v>health coalition</v>
      </c>
      <c r="D1112" s="1" t="str">
        <f aca="false">IFERROR(INDEX(MAP!$J$7:$J$101,MATCH(TRIM(C1112),MAP!$I$7:$I$101,0)),"UNMAPPED")</f>
        <v>Regional Health Coalition</v>
      </c>
      <c r="E1112" s="1" t="str">
        <f aca="false">IFERROR(INDEX(MAP!$K$7:$K$101,MATCH(TRIM(C1112),MAP!$I$7:$I$101,0)),"")</f>
        <v>Community benefit infrastructure</v>
      </c>
      <c r="F1112" s="1" t="str">
        <f aca="false">IFERROR(INDEX(MAP!$L$7:$L$101,MATCH(TRIM(C1112),MAP!$I$7:$I$101,0)),"")</f>
        <v>Event</v>
      </c>
      <c r="G1112" s="1" t="n">
        <f aca="false">IFERROR(MATCH(A1112,CONFIRM!$A$5:$A$53,0),0)</f>
        <v>26</v>
      </c>
      <c r="H1112" s="48" t="str">
        <f aca="false">STACK!F1112</f>
        <v>community building</v>
      </c>
      <c r="I1112" s="1" t="str">
        <f aca="false">IF(G1112&gt;0,IF(INDEX(CONFIRM!$I$5:$I$53,G1112)&lt;&gt;"",INDEX(CONFIRM!$I$5:$I$53,G1112),H1112),H1112)</f>
        <v>Community building: coalition building</v>
      </c>
      <c r="J1112" s="1" t="str">
        <f aca="false">IFERROR(INDEX(MAP!$F$7:$F$74,MATCH(TRIM(I1112),MAP!$E$7:$E$74,0)),"UNMAPPED")</f>
        <v>Community building: coalition building</v>
      </c>
      <c r="K1112" s="1" t="str">
        <f aca="false">IFERROR(INDEX(MAP!$G$7:$G$74,MATCH(TRIM(I1112),MAP!$E$7:$E$74,0)),"UNMAPPED")</f>
        <v>II-6</v>
      </c>
      <c r="L1112" s="49" t="str">
        <f aca="false">STACK!G1112</f>
        <v>7/25/25</v>
      </c>
      <c r="M1112" s="59" t="n">
        <f aca="false">IF(G1112&gt;0,IF(INDEX(CONFIRM!$G$5:$G$53,G1112)&lt;&gt;"",INDEX(CONFIRM!$G$5:$G$53,G1112),IF(ISNUMBER(L1112),L1112,IFERROR(DATEVALUE(L1112),""))),IF(ISNUMBER(L1112),L1112,IFERROR(DATEVALUE(L1112),"")))</f>
        <v>45863</v>
      </c>
      <c r="N1112" s="1" t="str">
        <f aca="false">IF(M1112="","Check",IF(AND(M1112&gt;=INPUTS!$C$6,M1112&lt;=INPUTS!$C$7),"Yes","No"))</f>
        <v>Yes</v>
      </c>
      <c r="O1112" s="48" t="str">
        <f aca="false">STACK!H1112</f>
        <v>Director of Community Health</v>
      </c>
      <c r="P1112" s="1" t="str">
        <f aca="false">IF(G1112&gt;0,IF(INDEX(CONFIRM!$H$5:$H$53,G1112)&lt;&gt;"",INDEX(CONFIRM!$H$5:$H$53,G1112),IFERROR(INDEX(MAP!$B$7:$B$156,MATCH(TRIM(O1112),MAP!$A$7:$A$156,0)),"UNMAPPED")),IFERROR(INDEX(MAP!$B$7:$B$156,MATCH(TRIM(O1112),MAP!$A$7:$A$156,0)),"UNMAPPED"))</f>
        <v>Director</v>
      </c>
      <c r="Q1112" s="48" t="n">
        <f aca="false">STACK!I1112</f>
        <v>2</v>
      </c>
      <c r="R1112" s="60" t="n">
        <f aca="false">IF(G1112&gt;0,IF(INDEX(CONFIRM!$F$5:$F$53,G1112)&lt;&gt;"",INDEX(CONFIRM!$F$5:$F$53,G1112),IF(ISNUMBER(Q1112),Q1112,IF(Q1112="","",IFERROR(VALUE(TRIM(SUBSTITUTE(SUBSTITUTE(LOWER(Q1112),"hrs",""),"hr",""))),"")))),IF(ISNUMBER(Q1112),Q1112,IF(Q1112="","",IFERROR(VALUE(TRIM(SUBSTITUTE(SUBSTITUTE(LOWER(Q1112),"hrs",""),"hr",""))),""))))</f>
        <v>2</v>
      </c>
      <c r="S1112" s="57" t="n">
        <f aca="false">IFERROR(INDEX(RATES!$E$6:$E$28,MATCH(P1112,RATES!$A$6:$A$28,0)),0)</f>
        <v>92.52</v>
      </c>
      <c r="T1112" s="61" t="n">
        <f aca="false">IF(ISNUMBER(R1112),R1112,0)*S1112</f>
        <v>185.04</v>
      </c>
      <c r="U1112" s="61" t="n">
        <f aca="false">T1112*INDEX(INPUTS!$H$10:$H$14,MATCH(B1112,INPUTS!$A$10:$A$14,0))</f>
        <v>26.09064</v>
      </c>
      <c r="V1112" s="61" t="n">
        <f aca="false">N(STACK!K1112)</f>
        <v>50</v>
      </c>
      <c r="W1112" s="61" t="n">
        <f aca="false">T1112+U1112+V1112</f>
        <v>261.13064</v>
      </c>
      <c r="X1112" s="61" t="n">
        <f aca="false">N(STACK!L1112)</f>
        <v>0</v>
      </c>
      <c r="Y1112" s="61" t="n">
        <f aca="false">W1112-X1112</f>
        <v>261.13064</v>
      </c>
      <c r="Z1112" s="1" t="n">
        <f aca="false">N(STACK!J1112)</f>
        <v>0</v>
      </c>
      <c r="AA1112" s="1" t="str">
        <f aca="false">TRIM(IF(D1112="UNMAPPED","Program not mapped. ","")&amp;IF(OR(K1112="UNMAPPED",K1112="UNASSIGNED"),"Category needs review. ","")&amp;IF(P1112="UNMAPPED","Title not mapped. ","")&amp;IF(AND(P1112&lt;&gt;"No staff time",R1112=""),"Missing hours. ","")&amp;IF(M1112="","Date not readable. ","")&amp;IF(N1112="No","Outside fiscal year. ","")&amp;IF(AND(F1112="Event",ISNUMBER(R1112)),IF(R1112&gt;12,"Event hours look high. ",""),"")&amp;IF(G1112&gt;0,"See CONFIRM sheet.",""))</f>
        <v>See CONFIRM sheet.</v>
      </c>
      <c r="AB1112" s="1" t="n">
        <f aca="false">IF(N1112="No",0,IF(REVIEW!O1112=0,0,IF(G1112&gt;0,IF(INDEX(CONFIRM!$J$5:$J$53,G1112)&lt;&gt;"",INDEX(CONFIRM!$J$5:$J$53,G1112),1),1)))</f>
        <v>1</v>
      </c>
      <c r="AC1112" s="1" t="n">
        <f aca="false">IF(AB1112=1,IF(COUNTIFS($B$5:B1112,B1112,$D$5:D1112,D1112,$AB$5:AB1112,1)=1,1,0),0)</f>
        <v>0</v>
      </c>
    </row>
    <row r="1113" customFormat="false" ht="15" hidden="false" customHeight="false" outlineLevel="0" collapsed="false">
      <c r="A1113" s="48" t="str">
        <f aca="false">STACK!A1113</f>
        <v>WCH-0006</v>
      </c>
      <c r="B1113" s="48" t="str">
        <f aca="false">STACK!B1113</f>
        <v>WCH</v>
      </c>
      <c r="C1113" s="48" t="str">
        <f aca="false">STACK!E1113</f>
        <v>youth pathway</v>
      </c>
      <c r="D1113" s="1" t="str">
        <f aca="false">IFERROR(INDEX(MAP!$J$7:$J$101,MATCH(TRIM(C1113),MAP!$I$7:$I$101,0)),"UNMAPPED")</f>
        <v>Youth Health Careers Pathway</v>
      </c>
      <c r="E1113" s="1" t="str">
        <f aca="false">IFERROR(INDEX(MAP!$K$7:$K$101,MATCH(TRIM(C1113),MAP!$I$7:$I$101,0)),"")</f>
        <v>Health workforce</v>
      </c>
      <c r="F1113" s="1" t="str">
        <f aca="false">IFERROR(INDEX(MAP!$L$7:$L$101,MATCH(TRIM(C1113),MAP!$I$7:$I$101,0)),"")</f>
        <v>Event</v>
      </c>
      <c r="G1113" s="1" t="n">
        <f aca="false">IFERROR(MATCH(A1113,CONFIRM!$A$5:$A$53,0),0)</f>
        <v>27</v>
      </c>
      <c r="H1113" s="48" t="str">
        <f aca="false">STACK!F1113</f>
        <v>community building</v>
      </c>
      <c r="I1113" s="1" t="str">
        <f aca="false">IF(G1113&gt;0,IF(INDEX(CONFIRM!$I$5:$I$53,G1113)&lt;&gt;"",INDEX(CONFIRM!$I$5:$I$53,G1113),H1113),H1113)</f>
        <v>Community building: workforce development</v>
      </c>
      <c r="J1113" s="1" t="str">
        <f aca="false">IFERROR(INDEX(MAP!$F$7:$F$74,MATCH(TRIM(I1113),MAP!$E$7:$E$74,0)),"UNMAPPED")</f>
        <v>Community building: workforce development</v>
      </c>
      <c r="K1113" s="1" t="str">
        <f aca="false">IFERROR(INDEX(MAP!$G$7:$G$74,MATCH(TRIM(I1113),MAP!$E$7:$E$74,0)),"UNMAPPED")</f>
        <v>II-8</v>
      </c>
      <c r="L1113" s="49" t="str">
        <f aca="false">STACK!G1113</f>
        <v>July 29, 2025</v>
      </c>
      <c r="M1113" s="59" t="n">
        <f aca="false">IF(G1113&gt;0,IF(INDEX(CONFIRM!$G$5:$G$53,G1113)&lt;&gt;"",INDEX(CONFIRM!$G$5:$G$53,G1113),IF(ISNUMBER(L1113),L1113,IFERROR(DATEVALUE(L1113),""))),IF(ISNUMBER(L1113),L1113,IFERROR(DATEVALUE(L1113),"")))</f>
        <v>45867</v>
      </c>
      <c r="N1113" s="1" t="str">
        <f aca="false">IF(M1113="","Check",IF(AND(M1113&gt;=INPUTS!$C$6,M1113&lt;=INPUTS!$C$7),"Yes","No"))</f>
        <v>Yes</v>
      </c>
      <c r="O1113" s="48" t="str">
        <f aca="false">STACK!H1113</f>
        <v>Clin Educator</v>
      </c>
      <c r="P1113" s="1" t="str">
        <f aca="false">IF(G1113&gt;0,IF(INDEX(CONFIRM!$H$5:$H$53,G1113)&lt;&gt;"",INDEX(CONFIRM!$H$5:$H$53,G1113),IFERROR(INDEX(MAP!$B$7:$B$156,MATCH(TRIM(O1113),MAP!$A$7:$A$156,0)),"UNMAPPED")),IFERROR(INDEX(MAP!$B$7:$B$156,MATCH(TRIM(O1113),MAP!$A$7:$A$156,0)),"UNMAPPED"))</f>
        <v>Clinical Nurse Educator</v>
      </c>
      <c r="Q1113" s="48" t="n">
        <f aca="false">STACK!I1113</f>
        <v>3.25</v>
      </c>
      <c r="R1113" s="60" t="n">
        <f aca="false">IF(G1113&gt;0,IF(INDEX(CONFIRM!$F$5:$F$53,G1113)&lt;&gt;"",INDEX(CONFIRM!$F$5:$F$53,G1113),IF(ISNUMBER(Q1113),Q1113,IF(Q1113="","",IFERROR(VALUE(TRIM(SUBSTITUTE(SUBSTITUTE(LOWER(Q1113),"hrs",""),"hr",""))),"")))),IF(ISNUMBER(Q1113),Q1113,IF(Q1113="","",IFERROR(VALUE(TRIM(SUBSTITUTE(SUBSTITUTE(LOWER(Q1113),"hrs",""),"hr",""))),""))))</f>
        <v>3.25</v>
      </c>
      <c r="S1113" s="57" t="n">
        <f aca="false">IFERROR(INDEX(RATES!$E$6:$E$28,MATCH(P1113,RATES!$A$6:$A$28,0)),0)</f>
        <v>62.965</v>
      </c>
      <c r="T1113" s="61" t="n">
        <f aca="false">IF(ISNUMBER(R1113),R1113,0)*S1113</f>
        <v>204.63625</v>
      </c>
      <c r="U1113" s="61" t="n">
        <f aca="false">T1113*INDEX(INPUTS!$H$10:$H$14,MATCH(B1113,INPUTS!$A$10:$A$14,0))</f>
        <v>28.85371125</v>
      </c>
      <c r="V1113" s="61" t="n">
        <f aca="false">N(STACK!K1113)</f>
        <v>0</v>
      </c>
      <c r="W1113" s="61" t="n">
        <f aca="false">T1113+U1113+V1113</f>
        <v>233.48996125</v>
      </c>
      <c r="X1113" s="61" t="n">
        <f aca="false">N(STACK!L1113)</f>
        <v>0</v>
      </c>
      <c r="Y1113" s="61" t="n">
        <f aca="false">W1113-X1113</f>
        <v>233.48996125</v>
      </c>
      <c r="Z1113" s="1" t="n">
        <f aca="false">N(STACK!J1113)</f>
        <v>0</v>
      </c>
      <c r="AA1113" s="1" t="str">
        <f aca="false">TRIM(IF(D1113="UNMAPPED","Program not mapped. ","")&amp;IF(OR(K1113="UNMAPPED",K1113="UNASSIGNED"),"Category needs review. ","")&amp;IF(P1113="UNMAPPED","Title not mapped. ","")&amp;IF(AND(P1113&lt;&gt;"No staff time",R1113=""),"Missing hours. ","")&amp;IF(M1113="","Date not readable. ","")&amp;IF(N1113="No","Outside fiscal year. ","")&amp;IF(AND(F1113="Event",ISNUMBER(R1113)),IF(R1113&gt;12,"Event hours look high. ",""),"")&amp;IF(G1113&gt;0,"See CONFIRM sheet.",""))</f>
        <v>See CONFIRM sheet.</v>
      </c>
      <c r="AB1113" s="1" t="n">
        <f aca="false">IF(N1113="No",0,IF(REVIEW!O1113=0,0,IF(G1113&gt;0,IF(INDEX(CONFIRM!$J$5:$J$53,G1113)&lt;&gt;"",INDEX(CONFIRM!$J$5:$J$53,G1113),1),1)))</f>
        <v>1</v>
      </c>
      <c r="AC1113" s="1" t="n">
        <f aca="false">IF(AB1113=1,IF(COUNTIFS($B$5:B1113,B1113,$D$5:D1113,D1113,$AB$5:AB1113,1)=1,1,0),0)</f>
        <v>1</v>
      </c>
    </row>
    <row r="1114" customFormat="false" ht="15" hidden="false" customHeight="false" outlineLevel="0" collapsed="false">
      <c r="A1114" s="48" t="str">
        <f aca="false">STACK!A1114</f>
        <v>WCH-0007</v>
      </c>
      <c r="B1114" s="48" t="str">
        <f aca="false">STACK!B1114</f>
        <v>WCH</v>
      </c>
      <c r="C1114" s="48" t="str">
        <f aca="false">STACK!E1114</f>
        <v>youth pathway</v>
      </c>
      <c r="D1114" s="1" t="str">
        <f aca="false">IFERROR(INDEX(MAP!$J$7:$J$101,MATCH(TRIM(C1114),MAP!$I$7:$I$101,0)),"UNMAPPED")</f>
        <v>Youth Health Careers Pathway</v>
      </c>
      <c r="E1114" s="1" t="str">
        <f aca="false">IFERROR(INDEX(MAP!$K$7:$K$101,MATCH(TRIM(C1114),MAP!$I$7:$I$101,0)),"")</f>
        <v>Health workforce</v>
      </c>
      <c r="F1114" s="1" t="str">
        <f aca="false">IFERROR(INDEX(MAP!$L$7:$L$101,MATCH(TRIM(C1114),MAP!$I$7:$I$101,0)),"")</f>
        <v>Event</v>
      </c>
      <c r="G1114" s="1" t="n">
        <f aca="false">IFERROR(MATCH(A1114,CONFIRM!$A$5:$A$53,0),0)</f>
        <v>28</v>
      </c>
      <c r="H1114" s="48" t="str">
        <f aca="false">STACK!F1114</f>
        <v>community building</v>
      </c>
      <c r="I1114" s="1" t="str">
        <f aca="false">IF(G1114&gt;0,IF(INDEX(CONFIRM!$I$5:$I$53,G1114)&lt;&gt;"",INDEX(CONFIRM!$I$5:$I$53,G1114),H1114),H1114)</f>
        <v>Community building: workforce development</v>
      </c>
      <c r="J1114" s="1" t="str">
        <f aca="false">IFERROR(INDEX(MAP!$F$7:$F$74,MATCH(TRIM(I1114),MAP!$E$7:$E$74,0)),"UNMAPPED")</f>
        <v>Community building: workforce development</v>
      </c>
      <c r="K1114" s="1" t="str">
        <f aca="false">IFERROR(INDEX(MAP!$G$7:$G$74,MATCH(TRIM(I1114),MAP!$E$7:$E$74,0)),"UNMAPPED")</f>
        <v>II-8</v>
      </c>
      <c r="L1114" s="49" t="n">
        <f aca="false">STACK!G1114</f>
        <v>45867</v>
      </c>
      <c r="M1114" s="59" t="n">
        <f aca="false">IF(G1114&gt;0,IF(INDEX(CONFIRM!$G$5:$G$53,G1114)&lt;&gt;"",INDEX(CONFIRM!$G$5:$G$53,G1114),IF(ISNUMBER(L1114),L1114,IFERROR(DATEVALUE(L1114),""))),IF(ISNUMBER(L1114),L1114,IFERROR(DATEVALUE(L1114),"")))</f>
        <v>45867</v>
      </c>
      <c r="N1114" s="1" t="str">
        <f aca="false">IF(M1114="","Check",IF(AND(M1114&gt;=INPUTS!$C$6,M1114&lt;=INPUTS!$C$7),"Yes","No"))</f>
        <v>Yes</v>
      </c>
      <c r="O1114" s="48" t="str">
        <f aca="false">STACK!H1114</f>
        <v>Outreach Coordinator</v>
      </c>
      <c r="P1114" s="1" t="str">
        <f aca="false">IF(G1114&gt;0,IF(INDEX(CONFIRM!$H$5:$H$53,G1114)&lt;&gt;"",INDEX(CONFIRM!$H$5:$H$53,G1114),IFERROR(INDEX(MAP!$B$7:$B$156,MATCH(TRIM(O1114),MAP!$A$7:$A$156,0)),"UNMAPPED")),IFERROR(INDEX(MAP!$B$7:$B$156,MATCH(TRIM(O1114),MAP!$A$7:$A$156,0)),"UNMAPPED"))</f>
        <v>Program Coordinator</v>
      </c>
      <c r="Q1114" s="48" t="n">
        <f aca="false">STACK!I1114</f>
        <v>7.25</v>
      </c>
      <c r="R1114" s="60" t="n">
        <f aca="false">IF(G1114&gt;0,IF(INDEX(CONFIRM!$F$5:$F$53,G1114)&lt;&gt;"",INDEX(CONFIRM!$F$5:$F$53,G1114),IF(ISNUMBER(Q1114),Q1114,IF(Q1114="","",IFERROR(VALUE(TRIM(SUBSTITUTE(SUBSTITUTE(LOWER(Q1114),"hrs",""),"hr",""))),"")))),IF(ISNUMBER(Q1114),Q1114,IF(Q1114="","",IFERROR(VALUE(TRIM(SUBSTITUTE(SUBSTITUTE(LOWER(Q1114),"hrs",""),"hr",""))),""))))</f>
        <v>7.25</v>
      </c>
      <c r="S1114" s="57" t="n">
        <f aca="false">IFERROR(INDEX(RATES!$E$6:$E$28,MATCH(P1114,RATES!$A$6:$A$28,0)),0)</f>
        <v>35.3375</v>
      </c>
      <c r="T1114" s="61" t="n">
        <f aca="false">IF(ISNUMBER(R1114),R1114,0)*S1114</f>
        <v>256.196875</v>
      </c>
      <c r="U1114" s="61" t="n">
        <f aca="false">T1114*INDEX(INPUTS!$H$10:$H$14,MATCH(B1114,INPUTS!$A$10:$A$14,0))</f>
        <v>36.123759375</v>
      </c>
      <c r="V1114" s="61" t="n">
        <f aca="false">N(STACK!K1114)</f>
        <v>895</v>
      </c>
      <c r="W1114" s="61" t="n">
        <f aca="false">T1114+U1114+V1114</f>
        <v>1187.320634375</v>
      </c>
      <c r="X1114" s="61" t="n">
        <f aca="false">N(STACK!L1114)</f>
        <v>0</v>
      </c>
      <c r="Y1114" s="61" t="n">
        <f aca="false">W1114-X1114</f>
        <v>1187.320634375</v>
      </c>
      <c r="Z1114" s="1" t="n">
        <f aca="false">N(STACK!J1114)</f>
        <v>18</v>
      </c>
      <c r="AA1114" s="1" t="str">
        <f aca="false">TRIM(IF(D1114="UNMAPPED","Program not mapped. ","")&amp;IF(OR(K1114="UNMAPPED",K1114="UNASSIGNED"),"Category needs review. ","")&amp;IF(P1114="UNMAPPED","Title not mapped. ","")&amp;IF(AND(P1114&lt;&gt;"No staff time",R1114=""),"Missing hours. ","")&amp;IF(M1114="","Date not readable. ","")&amp;IF(N1114="No","Outside fiscal year. ","")&amp;IF(AND(F1114="Event",ISNUMBER(R1114)),IF(R1114&gt;12,"Event hours look high. ",""),"")&amp;IF(G1114&gt;0,"See CONFIRM sheet.",""))</f>
        <v>See CONFIRM sheet.</v>
      </c>
      <c r="AB1114" s="1" t="n">
        <f aca="false">IF(N1114="No",0,IF(REVIEW!O1114=0,0,IF(G1114&gt;0,IF(INDEX(CONFIRM!$J$5:$J$53,G1114)&lt;&gt;"",INDEX(CONFIRM!$J$5:$J$53,G1114),1),1)))</f>
        <v>1</v>
      </c>
      <c r="AC1114" s="1" t="n">
        <f aca="false">IF(AB1114=1,IF(COUNTIFS($B$5:B1114,B1114,$D$5:D1114,D1114,$AB$5:AB1114,1)=1,1,0),0)</f>
        <v>0</v>
      </c>
    </row>
    <row r="1115" customFormat="false" ht="15" hidden="false" customHeight="false" outlineLevel="0" collapsed="false">
      <c r="A1115" s="48" t="str">
        <f aca="false">STACK!A1115</f>
        <v>WCH-0008</v>
      </c>
      <c r="B1115" s="48" t="str">
        <f aca="false">STACK!B1115</f>
        <v>WCH</v>
      </c>
      <c r="C1115" s="48" t="str">
        <f aca="false">STACK!E1115</f>
        <v>mobile van screenings</v>
      </c>
      <c r="D1115" s="1" t="str">
        <f aca="false">IFERROR(INDEX(MAP!$J$7:$J$101,MATCH(TRIM(C1115),MAP!$I$7:$I$101,0)),"UNMAPPED")</f>
        <v>Mobile Health Screening Unit</v>
      </c>
      <c r="E1115" s="1" t="str">
        <f aca="false">IFERROR(INDEX(MAP!$K$7:$K$101,MATCH(TRIM(C1115),MAP!$I$7:$I$101,0)),"")</f>
        <v>Access to care</v>
      </c>
      <c r="F1115" s="1" t="str">
        <f aca="false">IFERROR(INDEX(MAP!$L$7:$L$101,MATCH(TRIM(C1115),MAP!$I$7:$I$101,0)),"")</f>
        <v>Monthly</v>
      </c>
      <c r="G1115" s="1" t="n">
        <f aca="false">IFERROR(MATCH(A1115,CONFIRM!$A$5:$A$53,0),0)</f>
        <v>0</v>
      </c>
      <c r="H1115" s="48" t="str">
        <f aca="false">STACK!F1115</f>
        <v>CHIS clinical</v>
      </c>
      <c r="I1115" s="1" t="str">
        <f aca="false">IF(G1115&gt;0,IF(INDEX(CONFIRM!$I$5:$I$53,G1115)&lt;&gt;"",INDEX(CONFIRM!$I$5:$I$53,G1115),H1115),H1115)</f>
        <v>CHIS clinical</v>
      </c>
      <c r="J1115" s="1" t="str">
        <f aca="false">IFERROR(INDEX(MAP!$F$7:$F$74,MATCH(TRIM(I1115),MAP!$E$7:$E$74,0)),"UNMAPPED")</f>
        <v>Community-based clinical services</v>
      </c>
      <c r="K1115" s="1" t="str">
        <f aca="false">IFERROR(INDEX(MAP!$G$7:$G$74,MATCH(TRIM(I1115),MAP!$E$7:$E$74,0)),"UNMAPPED")</f>
        <v>7e</v>
      </c>
      <c r="L1115" s="49" t="str">
        <f aca="false">STACK!G1115</f>
        <v>7/31/25</v>
      </c>
      <c r="M1115" s="59" t="n">
        <f aca="false">IF(G1115&gt;0,IF(INDEX(CONFIRM!$G$5:$G$53,G1115)&lt;&gt;"",INDEX(CONFIRM!$G$5:$G$53,G1115),IF(ISNUMBER(L1115),L1115,IFERROR(DATEVALUE(L1115),""))),IF(ISNUMBER(L1115),L1115,IFERROR(DATEVALUE(L1115),"")))</f>
        <v>45869</v>
      </c>
      <c r="N1115" s="1" t="str">
        <f aca="false">IF(M1115="","Check",IF(AND(M1115&gt;=INPUTS!$C$6,M1115&lt;=INPUTS!$C$7),"Yes","No"))</f>
        <v>Yes</v>
      </c>
      <c r="O1115" s="48" t="str">
        <f aca="false">STACK!H1115</f>
        <v>C.H.W.</v>
      </c>
      <c r="P1115" s="1" t="str">
        <f aca="false">IF(G1115&gt;0,IF(INDEX(CONFIRM!$H$5:$H$53,G1115)&lt;&gt;"",INDEX(CONFIRM!$H$5:$H$53,G1115),IFERROR(INDEX(MAP!$B$7:$B$156,MATCH(TRIM(O1115),MAP!$A$7:$A$156,0)),"UNMAPPED")),IFERROR(INDEX(MAP!$B$7:$B$156,MATCH(TRIM(O1115),MAP!$A$7:$A$156,0)),"UNMAPPED"))</f>
        <v>Community Health Worker</v>
      </c>
      <c r="Q1115" s="48" t="n">
        <f aca="false">STACK!I1115</f>
        <v>59.25</v>
      </c>
      <c r="R1115" s="60" t="n">
        <f aca="false">IF(G1115&gt;0,IF(INDEX(CONFIRM!$F$5:$F$53,G1115)&lt;&gt;"",INDEX(CONFIRM!$F$5:$F$53,G1115),IF(ISNUMBER(Q1115),Q1115,IF(Q1115="","",IFERROR(VALUE(TRIM(SUBSTITUTE(SUBSTITUTE(LOWER(Q1115),"hrs",""),"hr",""))),"")))),IF(ISNUMBER(Q1115),Q1115,IF(Q1115="","",IFERROR(VALUE(TRIM(SUBSTITUTE(SUBSTITUTE(LOWER(Q1115),"hrs",""),"hr",""))),""))))</f>
        <v>59.25</v>
      </c>
      <c r="S1115" s="57" t="n">
        <f aca="false">IFERROR(INDEX(RATES!$E$6:$E$28,MATCH(P1115,RATES!$A$6:$A$28,0)),0)</f>
        <v>27.6275</v>
      </c>
      <c r="T1115" s="61" t="n">
        <f aca="false">IF(ISNUMBER(R1115),R1115,0)*S1115</f>
        <v>1636.929375</v>
      </c>
      <c r="U1115" s="61" t="n">
        <f aca="false">T1115*INDEX(INPUTS!$H$10:$H$14,MATCH(B1115,INPUTS!$A$10:$A$14,0))</f>
        <v>230.807041875</v>
      </c>
      <c r="V1115" s="61" t="n">
        <f aca="false">N(STACK!K1115)</f>
        <v>0</v>
      </c>
      <c r="W1115" s="61" t="n">
        <f aca="false">T1115+U1115+V1115</f>
        <v>1867.736416875</v>
      </c>
      <c r="X1115" s="61" t="n">
        <f aca="false">N(STACK!L1115)</f>
        <v>0</v>
      </c>
      <c r="Y1115" s="61" t="n">
        <f aca="false">W1115-X1115</f>
        <v>1867.736416875</v>
      </c>
      <c r="Z1115" s="1" t="n">
        <f aca="false">N(STACK!J1115)</f>
        <v>0</v>
      </c>
      <c r="AA1115" s="1" t="str">
        <f aca="false">TRIM(IF(D1115="UNMAPPED","Program not mapped. ","")&amp;IF(OR(K1115="UNMAPPED",K1115="UNASSIGNED"),"Category needs review. ","")&amp;IF(P1115="UNMAPPED","Title not mapped. ","")&amp;IF(AND(P1115&lt;&gt;"No staff time",R1115=""),"Missing hours. ","")&amp;IF(M1115="","Date not readable. ","")&amp;IF(N1115="No","Outside fiscal year. ","")&amp;IF(AND(F1115="Event",ISNUMBER(R1115)),IF(R1115&gt;12,"Event hours look high. ",""),"")&amp;IF(G1115&gt;0,"See CONFIRM sheet.",""))</f>
        <v/>
      </c>
      <c r="AB1115" s="1" t="n">
        <f aca="false">IF(N1115="No",0,IF(REVIEW!O1115=0,0,IF(G1115&gt;0,IF(INDEX(CONFIRM!$J$5:$J$53,G1115)&lt;&gt;"",INDEX(CONFIRM!$J$5:$J$53,G1115),1),1)))</f>
        <v>1</v>
      </c>
      <c r="AC1115" s="1" t="n">
        <f aca="false">IF(AB1115=1,IF(COUNTIFS($B$5:B1115,B1115,$D$5:D1115,D1115,$AB$5:AB1115,1)=1,1,0),0)</f>
        <v>1</v>
      </c>
    </row>
    <row r="1116" customFormat="false" ht="15" hidden="false" customHeight="false" outlineLevel="0" collapsed="false">
      <c r="A1116" s="48" t="str">
        <f aca="false">STACK!A1116</f>
        <v>WCH-0009</v>
      </c>
      <c r="B1116" s="48" t="str">
        <f aca="false">STACK!B1116</f>
        <v>WCH</v>
      </c>
      <c r="C1116" s="48" t="str">
        <f aca="false">STACK!E1116</f>
        <v>mobile van screenings</v>
      </c>
      <c r="D1116" s="1" t="str">
        <f aca="false">IFERROR(INDEX(MAP!$J$7:$J$101,MATCH(TRIM(C1116),MAP!$I$7:$I$101,0)),"UNMAPPED")</f>
        <v>Mobile Health Screening Unit</v>
      </c>
      <c r="E1116" s="1" t="str">
        <f aca="false">IFERROR(INDEX(MAP!$K$7:$K$101,MATCH(TRIM(C1116),MAP!$I$7:$I$101,0)),"")</f>
        <v>Access to care</v>
      </c>
      <c r="F1116" s="1" t="str">
        <f aca="false">IFERROR(INDEX(MAP!$L$7:$L$101,MATCH(TRIM(C1116),MAP!$I$7:$I$101,0)),"")</f>
        <v>Monthly</v>
      </c>
      <c r="G1116" s="1" t="n">
        <f aca="false">IFERROR(MATCH(A1116,CONFIRM!$A$5:$A$53,0),0)</f>
        <v>0</v>
      </c>
      <c r="H1116" s="48" t="str">
        <f aca="false">STACK!F1116</f>
        <v>CHIS clinical</v>
      </c>
      <c r="I1116" s="1" t="str">
        <f aca="false">IF(G1116&gt;0,IF(INDEX(CONFIRM!$I$5:$I$53,G1116)&lt;&gt;"",INDEX(CONFIRM!$I$5:$I$53,G1116),H1116),H1116)</f>
        <v>CHIS clinical</v>
      </c>
      <c r="J1116" s="1" t="str">
        <f aca="false">IFERROR(INDEX(MAP!$F$7:$F$74,MATCH(TRIM(I1116),MAP!$E$7:$E$74,0)),"UNMAPPED")</f>
        <v>Community-based clinical services</v>
      </c>
      <c r="K1116" s="1" t="str">
        <f aca="false">IFERROR(INDEX(MAP!$G$7:$G$74,MATCH(TRIM(I1116),MAP!$E$7:$E$74,0)),"UNMAPPED")</f>
        <v>7e</v>
      </c>
      <c r="L1116" s="49" t="str">
        <f aca="false">STACK!G1116</f>
        <v>7/31/25</v>
      </c>
      <c r="M1116" s="59" t="n">
        <f aca="false">IF(G1116&gt;0,IF(INDEX(CONFIRM!$G$5:$G$53,G1116)&lt;&gt;"",INDEX(CONFIRM!$G$5:$G$53,G1116),IF(ISNUMBER(L1116),L1116,IFERROR(DATEVALUE(L1116),""))),IF(ISNUMBER(L1116),L1116,IFERROR(DATEVALUE(L1116),"")))</f>
        <v>45869</v>
      </c>
      <c r="N1116" s="1" t="str">
        <f aca="false">IF(M1116="","Check",IF(AND(M1116&gt;=INPUTS!$C$6,M1116&lt;=INPUTS!$C$7),"Yes","No"))</f>
        <v>Yes</v>
      </c>
      <c r="O1116" s="48" t="str">
        <f aca="false">STACK!H1116</f>
        <v>Med Asst</v>
      </c>
      <c r="P1116" s="1" t="str">
        <f aca="false">IF(G1116&gt;0,IF(INDEX(CONFIRM!$H$5:$H$53,G1116)&lt;&gt;"",INDEX(CONFIRM!$H$5:$H$53,G1116),IFERROR(INDEX(MAP!$B$7:$B$156,MATCH(TRIM(O1116),MAP!$A$7:$A$156,0)),"UNMAPPED")),IFERROR(INDEX(MAP!$B$7:$B$156,MATCH(TRIM(O1116),MAP!$A$7:$A$156,0)),"UNMAPPED"))</f>
        <v>Medical Assistant</v>
      </c>
      <c r="Q1116" s="48" t="n">
        <f aca="false">STACK!I1116</f>
        <v>72</v>
      </c>
      <c r="R1116" s="60" t="n">
        <f aca="false">IF(G1116&gt;0,IF(INDEX(CONFIRM!$F$5:$F$53,G1116)&lt;&gt;"",INDEX(CONFIRM!$F$5:$F$53,G1116),IF(ISNUMBER(Q1116),Q1116,IF(Q1116="","",IFERROR(VALUE(TRIM(SUBSTITUTE(SUBSTITUTE(LOWER(Q1116),"hrs",""),"hr",""))),"")))),IF(ISNUMBER(Q1116),Q1116,IF(Q1116="","",IFERROR(VALUE(TRIM(SUBSTITUTE(SUBSTITUTE(LOWER(Q1116),"hrs",""),"hr",""))),""))))</f>
        <v>72</v>
      </c>
      <c r="S1116" s="57" t="n">
        <f aca="false">IFERROR(INDEX(RATES!$E$6:$E$28,MATCH(P1116,RATES!$A$6:$A$28,0)),0)</f>
        <v>25.37875</v>
      </c>
      <c r="T1116" s="61" t="n">
        <f aca="false">IF(ISNUMBER(R1116),R1116,0)*S1116</f>
        <v>1827.27</v>
      </c>
      <c r="U1116" s="61" t="n">
        <f aca="false">T1116*INDEX(INPUTS!$H$10:$H$14,MATCH(B1116,INPUTS!$A$10:$A$14,0))</f>
        <v>257.64507</v>
      </c>
      <c r="V1116" s="61" t="n">
        <f aca="false">N(STACK!K1116)</f>
        <v>0</v>
      </c>
      <c r="W1116" s="61" t="n">
        <f aca="false">T1116+U1116+V1116</f>
        <v>2084.91507</v>
      </c>
      <c r="X1116" s="61" t="n">
        <f aca="false">N(STACK!L1116)</f>
        <v>0</v>
      </c>
      <c r="Y1116" s="61" t="n">
        <f aca="false">W1116-X1116</f>
        <v>2084.91507</v>
      </c>
      <c r="Z1116" s="1" t="n">
        <f aca="false">N(STACK!J1116)</f>
        <v>0</v>
      </c>
      <c r="AA1116" s="1" t="str">
        <f aca="false">TRIM(IF(D1116="UNMAPPED","Program not mapped. ","")&amp;IF(OR(K1116="UNMAPPED",K1116="UNASSIGNED"),"Category needs review. ","")&amp;IF(P1116="UNMAPPED","Title not mapped. ","")&amp;IF(AND(P1116&lt;&gt;"No staff time",R1116=""),"Missing hours. ","")&amp;IF(M1116="","Date not readable. ","")&amp;IF(N1116="No","Outside fiscal year. ","")&amp;IF(AND(F1116="Event",ISNUMBER(R1116)),IF(R1116&gt;12,"Event hours look high. ",""),"")&amp;IF(G1116&gt;0,"See CONFIRM sheet.",""))</f>
        <v/>
      </c>
      <c r="AB1116" s="1" t="n">
        <f aca="false">IF(N1116="No",0,IF(REVIEW!O1116=0,0,IF(G1116&gt;0,IF(INDEX(CONFIRM!$J$5:$J$53,G1116)&lt;&gt;"",INDEX(CONFIRM!$J$5:$J$53,G1116),1),1)))</f>
        <v>1</v>
      </c>
      <c r="AC1116" s="1" t="n">
        <f aca="false">IF(AB1116=1,IF(COUNTIFS($B$5:B1116,B1116,$D$5:D1116,D1116,$AB$5:AB1116,1)=1,1,0),0)</f>
        <v>0</v>
      </c>
    </row>
    <row r="1117" customFormat="false" ht="15" hidden="false" customHeight="false" outlineLevel="0" collapsed="false">
      <c r="A1117" s="48" t="str">
        <f aca="false">STACK!A1117</f>
        <v>WCH-0010</v>
      </c>
      <c r="B1117" s="48" t="str">
        <f aca="false">STACK!B1117</f>
        <v>WCH</v>
      </c>
      <c r="C1117" s="48" t="str">
        <f aca="false">STACK!E1117</f>
        <v>mobile van screenings</v>
      </c>
      <c r="D1117" s="1" t="str">
        <f aca="false">IFERROR(INDEX(MAP!$J$7:$J$101,MATCH(TRIM(C1117),MAP!$I$7:$I$101,0)),"UNMAPPED")</f>
        <v>Mobile Health Screening Unit</v>
      </c>
      <c r="E1117" s="1" t="str">
        <f aca="false">IFERROR(INDEX(MAP!$K$7:$K$101,MATCH(TRIM(C1117),MAP!$I$7:$I$101,0)),"")</f>
        <v>Access to care</v>
      </c>
      <c r="F1117" s="1" t="str">
        <f aca="false">IFERROR(INDEX(MAP!$L$7:$L$101,MATCH(TRIM(C1117),MAP!$I$7:$I$101,0)),"")</f>
        <v>Monthly</v>
      </c>
      <c r="G1117" s="1" t="n">
        <f aca="false">IFERROR(MATCH(A1117,CONFIRM!$A$5:$A$53,0),0)</f>
        <v>0</v>
      </c>
      <c r="H1117" s="48" t="str">
        <f aca="false">STACK!F1117</f>
        <v>CHIS clinical</v>
      </c>
      <c r="I1117" s="1" t="str">
        <f aca="false">IF(G1117&gt;0,IF(INDEX(CONFIRM!$I$5:$I$53,G1117)&lt;&gt;"",INDEX(CONFIRM!$I$5:$I$53,G1117),H1117),H1117)</f>
        <v>CHIS clinical</v>
      </c>
      <c r="J1117" s="1" t="str">
        <f aca="false">IFERROR(INDEX(MAP!$F$7:$F$74,MATCH(TRIM(I1117),MAP!$E$7:$E$74,0)),"UNMAPPED")</f>
        <v>Community-based clinical services</v>
      </c>
      <c r="K1117" s="1" t="str">
        <f aca="false">IFERROR(INDEX(MAP!$G$7:$G$74,MATCH(TRIM(I1117),MAP!$E$7:$E$74,0)),"UNMAPPED")</f>
        <v>7e</v>
      </c>
      <c r="L1117" s="49" t="n">
        <f aca="false">STACK!G1117</f>
        <v>45869</v>
      </c>
      <c r="M1117" s="59" t="n">
        <f aca="false">IF(G1117&gt;0,IF(INDEX(CONFIRM!$G$5:$G$53,G1117)&lt;&gt;"",INDEX(CONFIRM!$G$5:$G$53,G1117),IF(ISNUMBER(L1117),L1117,IFERROR(DATEVALUE(L1117),""))),IF(ISNUMBER(L1117),L1117,IFERROR(DATEVALUE(L1117),"")))</f>
        <v>45869</v>
      </c>
      <c r="N1117" s="1" t="str">
        <f aca="false">IF(M1117="","Check",IF(AND(M1117&gt;=INPUTS!$C$6,M1117&lt;=INPUTS!$C$7),"Yes","No"))</f>
        <v>Yes</v>
      </c>
      <c r="O1117" s="48" t="str">
        <f aca="false">STACK!H1117</f>
        <v> Charge RN</v>
      </c>
      <c r="P1117" s="1" t="str">
        <f aca="false">IF(G1117&gt;0,IF(INDEX(CONFIRM!$H$5:$H$53,G1117)&lt;&gt;"",INDEX(CONFIRM!$H$5:$H$53,G1117),IFERROR(INDEX(MAP!$B$7:$B$156,MATCH(TRIM(O1117),MAP!$A$7:$A$156,0)),"UNMAPPED")),IFERROR(INDEX(MAP!$B$7:$B$156,MATCH(TRIM(O1117),MAP!$A$7:$A$156,0)),"UNMAPPED"))</f>
        <v>Registered Nurse</v>
      </c>
      <c r="Q1117" s="48" t="n">
        <f aca="false">STACK!I1117</f>
        <v>68</v>
      </c>
      <c r="R1117" s="60" t="n">
        <f aca="false">IF(G1117&gt;0,IF(INDEX(CONFIRM!$F$5:$F$53,G1117)&lt;&gt;"",INDEX(CONFIRM!$F$5:$F$53,G1117),IF(ISNUMBER(Q1117),Q1117,IF(Q1117="","",IFERROR(VALUE(TRIM(SUBSTITUTE(SUBSTITUTE(LOWER(Q1117),"hrs",""),"hr",""))),"")))),IF(ISNUMBER(Q1117),Q1117,IF(Q1117="","",IFERROR(VALUE(TRIM(SUBSTITUTE(SUBSTITUTE(LOWER(Q1117),"hrs",""),"hr",""))),""))))</f>
        <v>68</v>
      </c>
      <c r="S1117" s="57" t="n">
        <f aca="false">IFERROR(INDEX(RATES!$E$6:$E$28,MATCH(P1117,RATES!$A$6:$A$28,0)),0)</f>
        <v>55.8975</v>
      </c>
      <c r="T1117" s="61" t="n">
        <f aca="false">IF(ISNUMBER(R1117),R1117,0)*S1117</f>
        <v>3801.03</v>
      </c>
      <c r="U1117" s="61" t="n">
        <f aca="false">T1117*INDEX(INPUTS!$H$10:$H$14,MATCH(B1117,INPUTS!$A$10:$A$14,0))</f>
        <v>535.94523</v>
      </c>
      <c r="V1117" s="61" t="n">
        <f aca="false">N(STACK!K1117)</f>
        <v>5025</v>
      </c>
      <c r="W1117" s="61" t="n">
        <f aca="false">T1117+U1117+V1117</f>
        <v>9361.97523</v>
      </c>
      <c r="X1117" s="61" t="n">
        <f aca="false">N(STACK!L1117)</f>
        <v>0</v>
      </c>
      <c r="Y1117" s="61" t="n">
        <f aca="false">W1117-X1117</f>
        <v>9361.97523</v>
      </c>
      <c r="Z1117" s="1" t="n">
        <f aca="false">N(STACK!J1117)</f>
        <v>213</v>
      </c>
      <c r="AA1117" s="1" t="str">
        <f aca="false">TRIM(IF(D1117="UNMAPPED","Program not mapped. ","")&amp;IF(OR(K1117="UNMAPPED",K1117="UNASSIGNED"),"Category needs review. ","")&amp;IF(P1117="UNMAPPED","Title not mapped. ","")&amp;IF(AND(P1117&lt;&gt;"No staff time",R1117=""),"Missing hours. ","")&amp;IF(M1117="","Date not readable. ","")&amp;IF(N1117="No","Outside fiscal year. ","")&amp;IF(AND(F1117="Event",ISNUMBER(R1117)),IF(R1117&gt;12,"Event hours look high. ",""),"")&amp;IF(G1117&gt;0,"See CONFIRM sheet.",""))</f>
        <v/>
      </c>
      <c r="AB1117" s="1" t="n">
        <f aca="false">IF(N1117="No",0,IF(REVIEW!O1117=0,0,IF(G1117&gt;0,IF(INDEX(CONFIRM!$J$5:$J$53,G1117)&lt;&gt;"",INDEX(CONFIRM!$J$5:$J$53,G1117),1),1)))</f>
        <v>1</v>
      </c>
      <c r="AC1117" s="1" t="n">
        <f aca="false">IF(AB1117=1,IF(COUNTIFS($B$5:B1117,B1117,$D$5:D1117,D1117,$AB$5:AB1117,1)=1,1,0),0)</f>
        <v>0</v>
      </c>
    </row>
    <row r="1118" customFormat="false" ht="15" hidden="false" customHeight="false" outlineLevel="0" collapsed="false">
      <c r="A1118" s="48" t="str">
        <f aca="false">STACK!A1118</f>
        <v>WCH-0011</v>
      </c>
      <c r="B1118" s="48" t="str">
        <f aca="false">STACK!B1118</f>
        <v>WCH</v>
      </c>
      <c r="C1118" s="48" t="str">
        <f aca="false">STACK!E1118</f>
        <v>chw outreach</v>
      </c>
      <c r="D1118" s="1" t="str">
        <f aca="false">IFERROR(INDEX(MAP!$J$7:$J$101,MATCH(TRIM(C1118),MAP!$I$7:$I$101,0)),"UNMAPPED")</f>
        <v>Community Health Worker Outreach</v>
      </c>
      <c r="E1118" s="1" t="str">
        <f aca="false">IFERROR(INDEX(MAP!$K$7:$K$101,MATCH(TRIM(C1118),MAP!$I$7:$I$101,0)),"")</f>
        <v>Access to care</v>
      </c>
      <c r="F1118" s="1" t="str">
        <f aca="false">IFERROR(INDEX(MAP!$L$7:$L$101,MATCH(TRIM(C1118),MAP!$I$7:$I$101,0)),"")</f>
        <v>Monthly</v>
      </c>
      <c r="G1118" s="1" t="n">
        <f aca="false">IFERROR(MATCH(A1118,CONFIRM!$A$5:$A$53,0),0)</f>
        <v>0</v>
      </c>
      <c r="H1118" s="48" t="str">
        <f aca="false">STACK!F1118</f>
        <v>CHIS support</v>
      </c>
      <c r="I1118" s="1" t="str">
        <f aca="false">IF(G1118&gt;0,IF(INDEX(CONFIRM!$I$5:$I$53,G1118)&lt;&gt;"",INDEX(CONFIRM!$I$5:$I$53,G1118),H1118),H1118)</f>
        <v>CHIS support</v>
      </c>
      <c r="J1118" s="1" t="str">
        <f aca="false">IFERROR(INDEX(MAP!$F$7:$F$74,MATCH(TRIM(I1118),MAP!$E$7:$E$74,0)),"UNMAPPED")</f>
        <v>Health care support services</v>
      </c>
      <c r="K1118" s="1" t="str">
        <f aca="false">IFERROR(INDEX(MAP!$G$7:$G$74,MATCH(TRIM(I1118),MAP!$E$7:$E$74,0)),"UNMAPPED")</f>
        <v>7e</v>
      </c>
      <c r="L1118" s="49" t="n">
        <f aca="false">STACK!G1118</f>
        <v>45869</v>
      </c>
      <c r="M1118" s="59" t="n">
        <f aca="false">IF(G1118&gt;0,IF(INDEX(CONFIRM!$G$5:$G$53,G1118)&lt;&gt;"",INDEX(CONFIRM!$G$5:$G$53,G1118),IF(ISNUMBER(L1118),L1118,IFERROR(DATEVALUE(L1118),""))),IF(ISNUMBER(L1118),L1118,IFERROR(DATEVALUE(L1118),"")))</f>
        <v>45869</v>
      </c>
      <c r="N1118" s="1" t="str">
        <f aca="false">IF(M1118="","Check",IF(AND(M1118&gt;=INPUTS!$C$6,M1118&lt;=INPUTS!$C$7),"Yes","No"))</f>
        <v>Yes</v>
      </c>
      <c r="O1118" s="48" t="str">
        <f aca="false">STACK!H1118</f>
        <v>C.H.W.</v>
      </c>
      <c r="P1118" s="1" t="str">
        <f aca="false">IF(G1118&gt;0,IF(INDEX(CONFIRM!$H$5:$H$53,G1118)&lt;&gt;"",INDEX(CONFIRM!$H$5:$H$53,G1118),IFERROR(INDEX(MAP!$B$7:$B$156,MATCH(TRIM(O1118),MAP!$A$7:$A$156,0)),"UNMAPPED")),IFERROR(INDEX(MAP!$B$7:$B$156,MATCH(TRIM(O1118),MAP!$A$7:$A$156,0)),"UNMAPPED"))</f>
        <v>Community Health Worker</v>
      </c>
      <c r="Q1118" s="48" t="n">
        <f aca="false">STACK!I1118</f>
        <v>251.25</v>
      </c>
      <c r="R1118" s="60" t="n">
        <f aca="false">IF(G1118&gt;0,IF(INDEX(CONFIRM!$F$5:$F$53,G1118)&lt;&gt;"",INDEX(CONFIRM!$F$5:$F$53,G1118),IF(ISNUMBER(Q1118),Q1118,IF(Q1118="","",IFERROR(VALUE(TRIM(SUBSTITUTE(SUBSTITUTE(LOWER(Q1118),"hrs",""),"hr",""))),"")))),IF(ISNUMBER(Q1118),Q1118,IF(Q1118="","",IFERROR(VALUE(TRIM(SUBSTITUTE(SUBSTITUTE(LOWER(Q1118),"hrs",""),"hr",""))),""))))</f>
        <v>251.25</v>
      </c>
      <c r="S1118" s="57" t="n">
        <f aca="false">IFERROR(INDEX(RATES!$E$6:$E$28,MATCH(P1118,RATES!$A$6:$A$28,0)),0)</f>
        <v>27.6275</v>
      </c>
      <c r="T1118" s="61" t="n">
        <f aca="false">IF(ISNUMBER(R1118),R1118,0)*S1118</f>
        <v>6941.409375</v>
      </c>
      <c r="U1118" s="61" t="n">
        <f aca="false">T1118*INDEX(INPUTS!$H$10:$H$14,MATCH(B1118,INPUTS!$A$10:$A$14,0))</f>
        <v>978.738721875</v>
      </c>
      <c r="V1118" s="61" t="n">
        <f aca="false">N(STACK!K1118)</f>
        <v>650</v>
      </c>
      <c r="W1118" s="61" t="n">
        <f aca="false">T1118+U1118+V1118</f>
        <v>8570.148096875</v>
      </c>
      <c r="X1118" s="61" t="n">
        <f aca="false">N(STACK!L1118)</f>
        <v>0</v>
      </c>
      <c r="Y1118" s="61" t="n">
        <f aca="false">W1118-X1118</f>
        <v>8570.148096875</v>
      </c>
      <c r="Z1118" s="1" t="n">
        <f aca="false">N(STACK!J1118)</f>
        <v>263</v>
      </c>
      <c r="AA1118" s="1" t="str">
        <f aca="false">TRIM(IF(D1118="UNMAPPED","Program not mapped. ","")&amp;IF(OR(K1118="UNMAPPED",K1118="UNASSIGNED"),"Category needs review. ","")&amp;IF(P1118="UNMAPPED","Title not mapped. ","")&amp;IF(AND(P1118&lt;&gt;"No staff time",R1118=""),"Missing hours. ","")&amp;IF(M1118="","Date not readable. ","")&amp;IF(N1118="No","Outside fiscal year. ","")&amp;IF(AND(F1118="Event",ISNUMBER(R1118)),IF(R1118&gt;12,"Event hours look high. ",""),"")&amp;IF(G1118&gt;0,"See CONFIRM sheet.",""))</f>
        <v/>
      </c>
      <c r="AB1118" s="1" t="n">
        <f aca="false">IF(N1118="No",0,IF(REVIEW!O1118=0,0,IF(G1118&gt;0,IF(INDEX(CONFIRM!$J$5:$J$53,G1118)&lt;&gt;"",INDEX(CONFIRM!$J$5:$J$53,G1118),1),1)))</f>
        <v>1</v>
      </c>
      <c r="AC1118" s="1" t="n">
        <f aca="false">IF(AB1118=1,IF(COUNTIFS($B$5:B1118,B1118,$D$5:D1118,D1118,$AB$5:AB1118,1)=1,1,0),0)</f>
        <v>1</v>
      </c>
    </row>
    <row r="1119" customFormat="false" ht="15" hidden="false" customHeight="false" outlineLevel="0" collapsed="false">
      <c r="A1119" s="48" t="str">
        <f aca="false">STACK!A1119</f>
        <v>WCH-0012</v>
      </c>
      <c r="B1119" s="48" t="str">
        <f aca="false">STACK!B1119</f>
        <v>WCH</v>
      </c>
      <c r="C1119" s="48" t="str">
        <f aca="false">STACK!E1119</f>
        <v>chw outreach</v>
      </c>
      <c r="D1119" s="1" t="str">
        <f aca="false">IFERROR(INDEX(MAP!$J$7:$J$101,MATCH(TRIM(C1119),MAP!$I$7:$I$101,0)),"UNMAPPED")</f>
        <v>Community Health Worker Outreach</v>
      </c>
      <c r="E1119" s="1" t="str">
        <f aca="false">IFERROR(INDEX(MAP!$K$7:$K$101,MATCH(TRIM(C1119),MAP!$I$7:$I$101,0)),"")</f>
        <v>Access to care</v>
      </c>
      <c r="F1119" s="1" t="str">
        <f aca="false">IFERROR(INDEX(MAP!$L$7:$L$101,MATCH(TRIM(C1119),MAP!$I$7:$I$101,0)),"")</f>
        <v>Monthly</v>
      </c>
      <c r="G1119" s="1" t="n">
        <f aca="false">IFERROR(MATCH(A1119,CONFIRM!$A$5:$A$53,0),0)</f>
        <v>0</v>
      </c>
      <c r="H1119" s="48" t="str">
        <f aca="false">STACK!F1119</f>
        <v>CHIS support</v>
      </c>
      <c r="I1119" s="1" t="str">
        <f aca="false">IF(G1119&gt;0,IF(INDEX(CONFIRM!$I$5:$I$53,G1119)&lt;&gt;"",INDEX(CONFIRM!$I$5:$I$53,G1119),H1119),H1119)</f>
        <v>CHIS support</v>
      </c>
      <c r="J1119" s="1" t="str">
        <f aca="false">IFERROR(INDEX(MAP!$F$7:$F$74,MATCH(TRIM(I1119),MAP!$E$7:$E$74,0)),"UNMAPPED")</f>
        <v>Health care support services</v>
      </c>
      <c r="K1119" s="1" t="str">
        <f aca="false">IFERROR(INDEX(MAP!$G$7:$G$74,MATCH(TRIM(I1119),MAP!$E$7:$E$74,0)),"UNMAPPED")</f>
        <v>7e</v>
      </c>
      <c r="L1119" s="49" t="str">
        <f aca="false">STACK!G1119</f>
        <v>July 31, 2025</v>
      </c>
      <c r="M1119" s="59" t="n">
        <f aca="false">IF(G1119&gt;0,IF(INDEX(CONFIRM!$G$5:$G$53,G1119)&lt;&gt;"",INDEX(CONFIRM!$G$5:$G$53,G1119),IF(ISNUMBER(L1119),L1119,IFERROR(DATEVALUE(L1119),""))),IF(ISNUMBER(L1119),L1119,IFERROR(DATEVALUE(L1119),"")))</f>
        <v>45869</v>
      </c>
      <c r="N1119" s="1" t="str">
        <f aca="false">IF(M1119="","Check",IF(AND(M1119&gt;=INPUTS!$C$6,M1119&lt;=INPUTS!$C$7),"Yes","No"))</f>
        <v>Yes</v>
      </c>
      <c r="O1119" s="48" t="str">
        <f aca="false">STACK!H1119</f>
        <v>Navigator</v>
      </c>
      <c r="P1119" s="1" t="str">
        <f aca="false">IF(G1119&gt;0,IF(INDEX(CONFIRM!$H$5:$H$53,G1119)&lt;&gt;"",INDEX(CONFIRM!$H$5:$H$53,G1119),IFERROR(INDEX(MAP!$B$7:$B$156,MATCH(TRIM(O1119),MAP!$A$7:$A$156,0)),"UNMAPPED")),IFERROR(INDEX(MAP!$B$7:$B$156,MATCH(TRIM(O1119),MAP!$A$7:$A$156,0)),"UNMAPPED"))</f>
        <v>Patient Navigator</v>
      </c>
      <c r="Q1119" s="48" t="n">
        <f aca="false">STACK!I1119</f>
        <v>105.25</v>
      </c>
      <c r="R1119" s="60" t="n">
        <f aca="false">IF(G1119&gt;0,IF(INDEX(CONFIRM!$F$5:$F$53,G1119)&lt;&gt;"",INDEX(CONFIRM!$F$5:$F$53,G1119),IF(ISNUMBER(Q1119),Q1119,IF(Q1119="","",IFERROR(VALUE(TRIM(SUBSTITUTE(SUBSTITUTE(LOWER(Q1119),"hrs",""),"hr",""))),"")))),IF(ISNUMBER(Q1119),Q1119,IF(Q1119="","",IFERROR(VALUE(TRIM(SUBSTITUTE(SUBSTITUTE(LOWER(Q1119),"hrs",""),"hr",""))),""))))</f>
        <v>105.25</v>
      </c>
      <c r="S1119" s="57" t="n">
        <f aca="false">IFERROR(INDEX(RATES!$E$6:$E$28,MATCH(P1119,RATES!$A$6:$A$28,0)),0)</f>
        <v>30.84</v>
      </c>
      <c r="T1119" s="61" t="n">
        <f aca="false">IF(ISNUMBER(R1119),R1119,0)*S1119</f>
        <v>3245.91</v>
      </c>
      <c r="U1119" s="61" t="n">
        <f aca="false">T1119*INDEX(INPUTS!$H$10:$H$14,MATCH(B1119,INPUTS!$A$10:$A$14,0))</f>
        <v>457.67331</v>
      </c>
      <c r="V1119" s="61" t="n">
        <f aca="false">N(STACK!K1119)</f>
        <v>0</v>
      </c>
      <c r="W1119" s="61" t="n">
        <f aca="false">T1119+U1119+V1119</f>
        <v>3703.58331</v>
      </c>
      <c r="X1119" s="61" t="n">
        <f aca="false">N(STACK!L1119)</f>
        <v>0</v>
      </c>
      <c r="Y1119" s="61" t="n">
        <f aca="false">W1119-X1119</f>
        <v>3703.58331</v>
      </c>
      <c r="Z1119" s="1" t="n">
        <f aca="false">N(STACK!J1119)</f>
        <v>0</v>
      </c>
      <c r="AA1119" s="1" t="str">
        <f aca="false">TRIM(IF(D1119="UNMAPPED","Program not mapped. ","")&amp;IF(OR(K1119="UNMAPPED",K1119="UNASSIGNED"),"Category needs review. ","")&amp;IF(P1119="UNMAPPED","Title not mapped. ","")&amp;IF(AND(P1119&lt;&gt;"No staff time",R1119=""),"Missing hours. ","")&amp;IF(M1119="","Date not readable. ","")&amp;IF(N1119="No","Outside fiscal year. ","")&amp;IF(AND(F1119="Event",ISNUMBER(R1119)),IF(R1119&gt;12,"Event hours look high. ",""),"")&amp;IF(G1119&gt;0,"See CONFIRM sheet.",""))</f>
        <v/>
      </c>
      <c r="AB1119" s="1" t="n">
        <f aca="false">IF(N1119="No",0,IF(REVIEW!O1119=0,0,IF(G1119&gt;0,IF(INDEX(CONFIRM!$J$5:$J$53,G1119)&lt;&gt;"",INDEX(CONFIRM!$J$5:$J$53,G1119),1),1)))</f>
        <v>1</v>
      </c>
      <c r="AC1119" s="1" t="n">
        <f aca="false">IF(AB1119=1,IF(COUNTIFS($B$5:B1119,B1119,$D$5:D1119,D1119,$AB$5:AB1119,1)=1,1,0),0)</f>
        <v>0</v>
      </c>
    </row>
    <row r="1120" customFormat="false" ht="15" hidden="false" customHeight="false" outlineLevel="0" collapsed="false">
      <c r="A1120" s="48" t="str">
        <f aca="false">STACK!A1120</f>
        <v>WCH-0013</v>
      </c>
      <c r="B1120" s="48" t="str">
        <f aca="false">STACK!B1120</f>
        <v>WCH</v>
      </c>
      <c r="C1120" s="48" t="str">
        <f aca="false">STACK!E1120</f>
        <v>produce prescription</v>
      </c>
      <c r="D1120" s="1" t="str">
        <f aca="false">IFERROR(INDEX(MAP!$J$7:$J$101,MATCH(TRIM(C1120),MAP!$I$7:$I$101,0)),"UNMAPPED")</f>
        <v>Produce Prescription Program</v>
      </c>
      <c r="E1120" s="1" t="str">
        <f aca="false">IFERROR(INDEX(MAP!$K$7:$K$101,MATCH(TRIM(C1120),MAP!$I$7:$I$101,0)),"")</f>
        <v>Food and housing security</v>
      </c>
      <c r="F1120" s="1" t="str">
        <f aca="false">IFERROR(INDEX(MAP!$L$7:$L$101,MATCH(TRIM(C1120),MAP!$I$7:$I$101,0)),"")</f>
        <v>Monthly</v>
      </c>
      <c r="G1120" s="1" t="n">
        <f aca="false">IFERROR(MATCH(A1120,CONFIRM!$A$5:$A$53,0),0)</f>
        <v>0</v>
      </c>
      <c r="H1120" s="48" t="str">
        <f aca="false">STACK!F1120</f>
        <v>CHIS support</v>
      </c>
      <c r="I1120" s="1" t="str">
        <f aca="false">IF(G1120&gt;0,IF(INDEX(CONFIRM!$I$5:$I$53,G1120)&lt;&gt;"",INDEX(CONFIRM!$I$5:$I$53,G1120),H1120),H1120)</f>
        <v>CHIS support</v>
      </c>
      <c r="J1120" s="1" t="str">
        <f aca="false">IFERROR(INDEX(MAP!$F$7:$F$74,MATCH(TRIM(I1120),MAP!$E$7:$E$74,0)),"UNMAPPED")</f>
        <v>Health care support services</v>
      </c>
      <c r="K1120" s="1" t="str">
        <f aca="false">IFERROR(INDEX(MAP!$G$7:$G$74,MATCH(TRIM(I1120),MAP!$E$7:$E$74,0)),"UNMAPPED")</f>
        <v>7e</v>
      </c>
      <c r="L1120" s="49" t="n">
        <f aca="false">STACK!G1120</f>
        <v>45869</v>
      </c>
      <c r="M1120" s="59" t="n">
        <f aca="false">IF(G1120&gt;0,IF(INDEX(CONFIRM!$G$5:$G$53,G1120)&lt;&gt;"",INDEX(CONFIRM!$G$5:$G$53,G1120),IF(ISNUMBER(L1120),L1120,IFERROR(DATEVALUE(L1120),""))),IF(ISNUMBER(L1120),L1120,IFERROR(DATEVALUE(L1120),"")))</f>
        <v>45869</v>
      </c>
      <c r="N1120" s="1" t="str">
        <f aca="false">IF(M1120="","Check",IF(AND(M1120&gt;=INPUTS!$C$6,M1120&lt;=INPUTS!$C$7),"Yes","No"))</f>
        <v>Yes</v>
      </c>
      <c r="O1120" s="48" t="str">
        <f aca="false">STACK!H1120</f>
        <v>Comm. Health Worker</v>
      </c>
      <c r="P1120" s="1" t="str">
        <f aca="false">IF(G1120&gt;0,IF(INDEX(CONFIRM!$H$5:$H$53,G1120)&lt;&gt;"",INDEX(CONFIRM!$H$5:$H$53,G1120),IFERROR(INDEX(MAP!$B$7:$B$156,MATCH(TRIM(O1120),MAP!$A$7:$A$156,0)),"UNMAPPED")),IFERROR(INDEX(MAP!$B$7:$B$156,MATCH(TRIM(O1120),MAP!$A$7:$A$156,0)),"UNMAPPED"))</f>
        <v>Community Health Worker</v>
      </c>
      <c r="Q1120" s="48" t="n">
        <f aca="false">STACK!I1120</f>
        <v>30</v>
      </c>
      <c r="R1120" s="60" t="n">
        <f aca="false">IF(G1120&gt;0,IF(INDEX(CONFIRM!$F$5:$F$53,G1120)&lt;&gt;"",INDEX(CONFIRM!$F$5:$F$53,G1120),IF(ISNUMBER(Q1120),Q1120,IF(Q1120="","",IFERROR(VALUE(TRIM(SUBSTITUTE(SUBSTITUTE(LOWER(Q1120),"hrs",""),"hr",""))),"")))),IF(ISNUMBER(Q1120),Q1120,IF(Q1120="","",IFERROR(VALUE(TRIM(SUBSTITUTE(SUBSTITUTE(LOWER(Q1120),"hrs",""),"hr",""))),""))))</f>
        <v>30</v>
      </c>
      <c r="S1120" s="57" t="n">
        <f aca="false">IFERROR(INDEX(RATES!$E$6:$E$28,MATCH(P1120,RATES!$A$6:$A$28,0)),0)</f>
        <v>27.6275</v>
      </c>
      <c r="T1120" s="61" t="n">
        <f aca="false">IF(ISNUMBER(R1120),R1120,0)*S1120</f>
        <v>828.825</v>
      </c>
      <c r="U1120" s="61" t="n">
        <f aca="false">T1120*INDEX(INPUTS!$H$10:$H$14,MATCH(B1120,INPUTS!$A$10:$A$14,0))</f>
        <v>116.864325</v>
      </c>
      <c r="V1120" s="61" t="n">
        <f aca="false">N(STACK!K1120)</f>
        <v>0</v>
      </c>
      <c r="W1120" s="61" t="n">
        <f aca="false">T1120+U1120+V1120</f>
        <v>945.689325</v>
      </c>
      <c r="X1120" s="61" t="n">
        <f aca="false">N(STACK!L1120)</f>
        <v>0</v>
      </c>
      <c r="Y1120" s="61" t="n">
        <f aca="false">W1120-X1120</f>
        <v>945.689325</v>
      </c>
      <c r="Z1120" s="1" t="n">
        <f aca="false">N(STACK!J1120)</f>
        <v>0</v>
      </c>
      <c r="AA1120" s="1" t="str">
        <f aca="false">TRIM(IF(D1120="UNMAPPED","Program not mapped. ","")&amp;IF(OR(K1120="UNMAPPED",K1120="UNASSIGNED"),"Category needs review. ","")&amp;IF(P1120="UNMAPPED","Title not mapped. ","")&amp;IF(AND(P1120&lt;&gt;"No staff time",R1120=""),"Missing hours. ","")&amp;IF(M1120="","Date not readable. ","")&amp;IF(N1120="No","Outside fiscal year. ","")&amp;IF(AND(F1120="Event",ISNUMBER(R1120)),IF(R1120&gt;12,"Event hours look high. ",""),"")&amp;IF(G1120&gt;0,"See CONFIRM sheet.",""))</f>
        <v/>
      </c>
      <c r="AB1120" s="1" t="n">
        <f aca="false">IF(N1120="No",0,IF(REVIEW!O1120=0,0,IF(G1120&gt;0,IF(INDEX(CONFIRM!$J$5:$J$53,G1120)&lt;&gt;"",INDEX(CONFIRM!$J$5:$J$53,G1120),1),1)))</f>
        <v>1</v>
      </c>
      <c r="AC1120" s="1" t="n">
        <f aca="false">IF(AB1120=1,IF(COUNTIFS($B$5:B1120,B1120,$D$5:D1120,D1120,$AB$5:AB1120,1)=1,1,0),0)</f>
        <v>1</v>
      </c>
    </row>
    <row r="1121" customFormat="false" ht="15" hidden="false" customHeight="false" outlineLevel="0" collapsed="false">
      <c r="A1121" s="48" t="str">
        <f aca="false">STACK!A1121</f>
        <v>WCH-0014</v>
      </c>
      <c r="B1121" s="48" t="str">
        <f aca="false">STACK!B1121</f>
        <v>WCH</v>
      </c>
      <c r="C1121" s="48" t="str">
        <f aca="false">STACK!E1121</f>
        <v>produce prescription</v>
      </c>
      <c r="D1121" s="1" t="str">
        <f aca="false">IFERROR(INDEX(MAP!$J$7:$J$101,MATCH(TRIM(C1121),MAP!$I$7:$I$101,0)),"UNMAPPED")</f>
        <v>Produce Prescription Program</v>
      </c>
      <c r="E1121" s="1" t="str">
        <f aca="false">IFERROR(INDEX(MAP!$K$7:$K$101,MATCH(TRIM(C1121),MAP!$I$7:$I$101,0)),"")</f>
        <v>Food and housing security</v>
      </c>
      <c r="F1121" s="1" t="str">
        <f aca="false">IFERROR(INDEX(MAP!$L$7:$L$101,MATCH(TRIM(C1121),MAP!$I$7:$I$101,0)),"")</f>
        <v>Monthly</v>
      </c>
      <c r="G1121" s="1" t="n">
        <f aca="false">IFERROR(MATCH(A1121,CONFIRM!$A$5:$A$53,0),0)</f>
        <v>0</v>
      </c>
      <c r="H1121" s="48" t="str">
        <f aca="false">STACK!F1121</f>
        <v>CHIS support</v>
      </c>
      <c r="I1121" s="1" t="str">
        <f aca="false">IF(G1121&gt;0,IF(INDEX(CONFIRM!$I$5:$I$53,G1121)&lt;&gt;"",INDEX(CONFIRM!$I$5:$I$53,G1121),H1121),H1121)</f>
        <v>CHIS support</v>
      </c>
      <c r="J1121" s="1" t="str">
        <f aca="false">IFERROR(INDEX(MAP!$F$7:$F$74,MATCH(TRIM(I1121),MAP!$E$7:$E$74,0)),"UNMAPPED")</f>
        <v>Health care support services</v>
      </c>
      <c r="K1121" s="1" t="str">
        <f aca="false">IFERROR(INDEX(MAP!$G$7:$G$74,MATCH(TRIM(I1121),MAP!$E$7:$E$74,0)),"UNMAPPED")</f>
        <v>7e</v>
      </c>
      <c r="L1121" s="49" t="str">
        <f aca="false">STACK!G1121</f>
        <v>July 31, 2025</v>
      </c>
      <c r="M1121" s="59" t="n">
        <f aca="false">IF(G1121&gt;0,IF(INDEX(CONFIRM!$G$5:$G$53,G1121)&lt;&gt;"",INDEX(CONFIRM!$G$5:$G$53,G1121),IF(ISNUMBER(L1121),L1121,IFERROR(DATEVALUE(L1121),""))),IF(ISNUMBER(L1121),L1121,IFERROR(DATEVALUE(L1121),"")))</f>
        <v>45869</v>
      </c>
      <c r="N1121" s="1" t="str">
        <f aca="false">IF(M1121="","Check",IF(AND(M1121&gt;=INPUTS!$C$6,M1121&lt;=INPUTS!$C$7),"Yes","No"))</f>
        <v>Yes</v>
      </c>
      <c r="O1121" s="48" t="str">
        <f aca="false">STACK!H1121</f>
        <v>Nutritionist</v>
      </c>
      <c r="P1121" s="1" t="str">
        <f aca="false">IF(G1121&gt;0,IF(INDEX(CONFIRM!$H$5:$H$53,G1121)&lt;&gt;"",INDEX(CONFIRM!$H$5:$H$53,G1121),IFERROR(INDEX(MAP!$B$7:$B$156,MATCH(TRIM(O1121),MAP!$A$7:$A$156,0)),"UNMAPPED")),IFERROR(INDEX(MAP!$B$7:$B$156,MATCH(TRIM(O1121),MAP!$A$7:$A$156,0)),"UNMAPPED"))</f>
        <v>Registered Dietitian</v>
      </c>
      <c r="Q1121" s="48" t="n">
        <f aca="false">STACK!I1121</f>
        <v>17.5</v>
      </c>
      <c r="R1121" s="60" t="n">
        <f aca="false">IF(G1121&gt;0,IF(INDEX(CONFIRM!$F$5:$F$53,G1121)&lt;&gt;"",INDEX(CONFIRM!$F$5:$F$53,G1121),IF(ISNUMBER(Q1121),Q1121,IF(Q1121="","",IFERROR(VALUE(TRIM(SUBSTITUTE(SUBSTITUTE(LOWER(Q1121),"hrs",""),"hr",""))),"")))),IF(ISNUMBER(Q1121),Q1121,IF(Q1121="","",IFERROR(VALUE(TRIM(SUBSTITUTE(SUBSTITUTE(LOWER(Q1121),"hrs",""),"hr",""))),""))))</f>
        <v>17.5</v>
      </c>
      <c r="S1121" s="57" t="n">
        <f aca="false">IFERROR(INDEX(RATES!$E$6:$E$28,MATCH(P1121,RATES!$A$6:$A$28,0)),0)</f>
        <v>46.9025</v>
      </c>
      <c r="T1121" s="61" t="n">
        <f aca="false">IF(ISNUMBER(R1121),R1121,0)*S1121</f>
        <v>820.79375</v>
      </c>
      <c r="U1121" s="61" t="n">
        <f aca="false">T1121*INDEX(INPUTS!$H$10:$H$14,MATCH(B1121,INPUTS!$A$10:$A$14,0))</f>
        <v>115.73191875</v>
      </c>
      <c r="V1121" s="61" t="n">
        <f aca="false">N(STACK!K1121)</f>
        <v>9825</v>
      </c>
      <c r="W1121" s="61" t="n">
        <f aca="false">T1121+U1121+V1121</f>
        <v>10761.52566875</v>
      </c>
      <c r="X1121" s="61" t="n">
        <f aca="false">N(STACK!L1121)</f>
        <v>3165</v>
      </c>
      <c r="Y1121" s="61" t="n">
        <f aca="false">W1121-X1121</f>
        <v>7596.52566875</v>
      </c>
      <c r="Z1121" s="1" t="n">
        <f aca="false">N(STACK!J1121)</f>
        <v>134</v>
      </c>
      <c r="AA1121" s="1" t="str">
        <f aca="false">TRIM(IF(D1121="UNMAPPED","Program not mapped. ","")&amp;IF(OR(K1121="UNMAPPED",K1121="UNASSIGNED"),"Category needs review. ","")&amp;IF(P1121="UNMAPPED","Title not mapped. ","")&amp;IF(AND(P1121&lt;&gt;"No staff time",R1121=""),"Missing hours. ","")&amp;IF(M1121="","Date not readable. ","")&amp;IF(N1121="No","Outside fiscal year. ","")&amp;IF(AND(F1121="Event",ISNUMBER(R1121)),IF(R1121&gt;12,"Event hours look high. ",""),"")&amp;IF(G1121&gt;0,"See CONFIRM sheet.",""))</f>
        <v/>
      </c>
      <c r="AB1121" s="1" t="n">
        <f aca="false">IF(N1121="No",0,IF(REVIEW!O1121=0,0,IF(G1121&gt;0,IF(INDEX(CONFIRM!$J$5:$J$53,G1121)&lt;&gt;"",INDEX(CONFIRM!$J$5:$J$53,G1121),1),1)))</f>
        <v>1</v>
      </c>
      <c r="AC1121" s="1" t="n">
        <f aca="false">IF(AB1121=1,IF(COUNTIFS($B$5:B1121,B1121,$D$5:D1121,D1121,$AB$5:AB1121,1)=1,1,0),0)</f>
        <v>0</v>
      </c>
    </row>
    <row r="1122" customFormat="false" ht="15" hidden="false" customHeight="false" outlineLevel="0" collapsed="false">
      <c r="A1122" s="48" t="str">
        <f aca="false">STACK!A1122</f>
        <v>WCH-0015</v>
      </c>
      <c r="B1122" s="48" t="str">
        <f aca="false">STACK!B1122</f>
        <v>WCH</v>
      </c>
      <c r="C1122" s="48" t="str">
        <f aca="false">STACK!E1122</f>
        <v>cb admin</v>
      </c>
      <c r="D1122" s="1" t="str">
        <f aca="false">IFERROR(INDEX(MAP!$J$7:$J$101,MATCH(TRIM(C1122),MAP!$I$7:$I$101,0)),"UNMAPPED")</f>
        <v>Community Benefit Program Administration</v>
      </c>
      <c r="E1122" s="1" t="str">
        <f aca="false">IFERROR(INDEX(MAP!$K$7:$K$101,MATCH(TRIM(C1122),MAP!$I$7:$I$101,0)),"")</f>
        <v>Community benefit infrastructure</v>
      </c>
      <c r="F1122" s="1" t="str">
        <f aca="false">IFERROR(INDEX(MAP!$L$7:$L$101,MATCH(TRIM(C1122),MAP!$I$7:$I$101,0)),"")</f>
        <v>Monthly</v>
      </c>
      <c r="G1122" s="1" t="n">
        <f aca="false">IFERROR(MATCH(A1122,CONFIRM!$A$5:$A$53,0),0)</f>
        <v>0</v>
      </c>
      <c r="H1122" s="48" t="str">
        <f aca="false">STACK!F1122</f>
        <v>cb operations</v>
      </c>
      <c r="I1122" s="1" t="str">
        <f aca="false">IF(G1122&gt;0,IF(INDEX(CONFIRM!$I$5:$I$53,G1122)&lt;&gt;"",INDEX(CONFIRM!$I$5:$I$53,G1122),H1122),H1122)</f>
        <v>cb operations</v>
      </c>
      <c r="J1122" s="1" t="str">
        <f aca="false">IFERROR(INDEX(MAP!$F$7:$F$74,MATCH(TRIM(I1122),MAP!$E$7:$E$74,0)),"UNMAPPED")</f>
        <v>Community benefit operations</v>
      </c>
      <c r="K1122" s="1" t="str">
        <f aca="false">IFERROR(INDEX(MAP!$G$7:$G$74,MATCH(TRIM(I1122),MAP!$E$7:$E$74,0)),"UNMAPPED")</f>
        <v>7e</v>
      </c>
      <c r="L1122" s="49" t="n">
        <f aca="false">STACK!G1122</f>
        <v>45869</v>
      </c>
      <c r="M1122" s="59" t="n">
        <f aca="false">IF(G1122&gt;0,IF(INDEX(CONFIRM!$G$5:$G$53,G1122)&lt;&gt;"",INDEX(CONFIRM!$G$5:$G$53,G1122),IF(ISNUMBER(L1122),L1122,IFERROR(DATEVALUE(L1122),""))),IF(ISNUMBER(L1122),L1122,IFERROR(DATEVALUE(L1122),"")))</f>
        <v>45869</v>
      </c>
      <c r="N1122" s="1" t="str">
        <f aca="false">IF(M1122="","Check",IF(AND(M1122&gt;=INPUTS!$C$6,M1122&lt;=INPUTS!$C$7),"Yes","No"))</f>
        <v>Yes</v>
      </c>
      <c r="O1122" s="48" t="str">
        <f aca="false">STACK!H1122</f>
        <v>Admin Support</v>
      </c>
      <c r="P1122" s="1" t="str">
        <f aca="false">IF(G1122&gt;0,IF(INDEX(CONFIRM!$H$5:$H$53,G1122)&lt;&gt;"",INDEX(CONFIRM!$H$5:$H$53,G1122),IFERROR(INDEX(MAP!$B$7:$B$156,MATCH(TRIM(O1122),MAP!$A$7:$A$156,0)),"UNMAPPED")),IFERROR(INDEX(MAP!$B$7:$B$156,MATCH(TRIM(O1122),MAP!$A$7:$A$156,0)),"UNMAPPED"))</f>
        <v>Administrative Assistant</v>
      </c>
      <c r="Q1122" s="48" t="n">
        <f aca="false">STACK!I1122</f>
        <v>22.25</v>
      </c>
      <c r="R1122" s="60" t="n">
        <f aca="false">IF(G1122&gt;0,IF(INDEX(CONFIRM!$F$5:$F$53,G1122)&lt;&gt;"",INDEX(CONFIRM!$F$5:$F$53,G1122),IF(ISNUMBER(Q1122),Q1122,IF(Q1122="","",IFERROR(VALUE(TRIM(SUBSTITUTE(SUBSTITUTE(LOWER(Q1122),"hrs",""),"hr",""))),"")))),IF(ISNUMBER(Q1122),Q1122,IF(Q1122="","",IFERROR(VALUE(TRIM(SUBSTITUTE(SUBSTITUTE(LOWER(Q1122),"hrs",""),"hr",""))),""))))</f>
        <v>22.25</v>
      </c>
      <c r="S1122" s="57" t="n">
        <f aca="false">IFERROR(INDEX(RATES!$E$6:$E$28,MATCH(P1122,RATES!$A$6:$A$28,0)),0)</f>
        <v>26.985</v>
      </c>
      <c r="T1122" s="61" t="n">
        <f aca="false">IF(ISNUMBER(R1122),R1122,0)*S1122</f>
        <v>600.41625</v>
      </c>
      <c r="U1122" s="61" t="n">
        <f aca="false">T1122*INDEX(INPUTS!$H$10:$H$14,MATCH(B1122,INPUTS!$A$10:$A$14,0))</f>
        <v>84.65869125</v>
      </c>
      <c r="V1122" s="61" t="n">
        <f aca="false">N(STACK!K1122)</f>
        <v>0</v>
      </c>
      <c r="W1122" s="61" t="n">
        <f aca="false">T1122+U1122+V1122</f>
        <v>685.07494125</v>
      </c>
      <c r="X1122" s="61" t="n">
        <f aca="false">N(STACK!L1122)</f>
        <v>0</v>
      </c>
      <c r="Y1122" s="61" t="n">
        <f aca="false">W1122-X1122</f>
        <v>685.07494125</v>
      </c>
      <c r="Z1122" s="1" t="n">
        <f aca="false">N(STACK!J1122)</f>
        <v>0</v>
      </c>
      <c r="AA1122" s="1" t="str">
        <f aca="false">TRIM(IF(D1122="UNMAPPED","Program not mapped. ","")&amp;IF(OR(K1122="UNMAPPED",K1122="UNASSIGNED"),"Category needs review. ","")&amp;IF(P1122="UNMAPPED","Title not mapped. ","")&amp;IF(AND(P1122&lt;&gt;"No staff time",R1122=""),"Missing hours. ","")&amp;IF(M1122="","Date not readable. ","")&amp;IF(N1122="No","Outside fiscal year. ","")&amp;IF(AND(F1122="Event",ISNUMBER(R1122)),IF(R1122&gt;12,"Event hours look high. ",""),"")&amp;IF(G1122&gt;0,"See CONFIRM sheet.",""))</f>
        <v/>
      </c>
      <c r="AB1122" s="1" t="n">
        <f aca="false">IF(N1122="No",0,IF(REVIEW!O1122=0,0,IF(G1122&gt;0,IF(INDEX(CONFIRM!$J$5:$J$53,G1122)&lt;&gt;"",INDEX(CONFIRM!$J$5:$J$53,G1122),1),1)))</f>
        <v>1</v>
      </c>
      <c r="AC1122" s="1" t="n">
        <f aca="false">IF(AB1122=1,IF(COUNTIFS($B$5:B1122,B1122,$D$5:D1122,D1122,$AB$5:AB1122,1)=1,1,0),0)</f>
        <v>1</v>
      </c>
    </row>
    <row r="1123" customFormat="false" ht="15" hidden="false" customHeight="false" outlineLevel="0" collapsed="false">
      <c r="A1123" s="48" t="str">
        <f aca="false">STACK!A1123</f>
        <v>WCH-0016</v>
      </c>
      <c r="B1123" s="48" t="str">
        <f aca="false">STACK!B1123</f>
        <v>WCH</v>
      </c>
      <c r="C1123" s="48" t="str">
        <f aca="false">STACK!E1123</f>
        <v>cb admin</v>
      </c>
      <c r="D1123" s="1" t="str">
        <f aca="false">IFERROR(INDEX(MAP!$J$7:$J$101,MATCH(TRIM(C1123),MAP!$I$7:$I$101,0)),"UNMAPPED")</f>
        <v>Community Benefit Program Administration</v>
      </c>
      <c r="E1123" s="1" t="str">
        <f aca="false">IFERROR(INDEX(MAP!$K$7:$K$101,MATCH(TRIM(C1123),MAP!$I$7:$I$101,0)),"")</f>
        <v>Community benefit infrastructure</v>
      </c>
      <c r="F1123" s="1" t="str">
        <f aca="false">IFERROR(INDEX(MAP!$L$7:$L$101,MATCH(TRIM(C1123),MAP!$I$7:$I$101,0)),"")</f>
        <v>Monthly</v>
      </c>
      <c r="G1123" s="1" t="n">
        <f aca="false">IFERROR(MATCH(A1123,CONFIRM!$A$5:$A$53,0),0)</f>
        <v>0</v>
      </c>
      <c r="H1123" s="48" t="str">
        <f aca="false">STACK!F1123</f>
        <v>cb operations</v>
      </c>
      <c r="I1123" s="1" t="str">
        <f aca="false">IF(G1123&gt;0,IF(INDEX(CONFIRM!$I$5:$I$53,G1123)&lt;&gt;"",INDEX(CONFIRM!$I$5:$I$53,G1123),H1123),H1123)</f>
        <v>cb operations</v>
      </c>
      <c r="J1123" s="1" t="str">
        <f aca="false">IFERROR(INDEX(MAP!$F$7:$F$74,MATCH(TRIM(I1123),MAP!$E$7:$E$74,0)),"UNMAPPED")</f>
        <v>Community benefit operations</v>
      </c>
      <c r="K1123" s="1" t="str">
        <f aca="false">IFERROR(INDEX(MAP!$G$7:$G$74,MATCH(TRIM(I1123),MAP!$E$7:$E$74,0)),"UNMAPPED")</f>
        <v>7e</v>
      </c>
      <c r="L1123" s="49" t="str">
        <f aca="false">STACK!G1123</f>
        <v>July 31, 2025</v>
      </c>
      <c r="M1123" s="59" t="n">
        <f aca="false">IF(G1123&gt;0,IF(INDEX(CONFIRM!$G$5:$G$53,G1123)&lt;&gt;"",INDEX(CONFIRM!$G$5:$G$53,G1123),IF(ISNUMBER(L1123),L1123,IFERROR(DATEVALUE(L1123),""))),IF(ISNUMBER(L1123),L1123,IFERROR(DATEVALUE(L1123),"")))</f>
        <v>45869</v>
      </c>
      <c r="N1123" s="1" t="str">
        <f aca="false">IF(M1123="","Check",IF(AND(M1123&gt;=INPUTS!$C$6,M1123&lt;=INPUTS!$C$7),"Yes","No"))</f>
        <v>Yes</v>
      </c>
      <c r="O1123" s="48" t="str">
        <f aca="false">STACK!H1123</f>
        <v>Community Benefit Manager</v>
      </c>
      <c r="P1123" s="1" t="str">
        <f aca="false">IF(G1123&gt;0,IF(INDEX(CONFIRM!$H$5:$H$53,G1123)&lt;&gt;"",INDEX(CONFIRM!$H$5:$H$53,G1123),IFERROR(INDEX(MAP!$B$7:$B$156,MATCH(TRIM(O1123),MAP!$A$7:$A$156,0)),"UNMAPPED")),IFERROR(INDEX(MAP!$B$7:$B$156,MATCH(TRIM(O1123),MAP!$A$7:$A$156,0)),"UNMAPPED"))</f>
        <v>Community Benefit Manager</v>
      </c>
      <c r="Q1123" s="48" t="n">
        <f aca="false">STACK!I1123</f>
        <v>50.5</v>
      </c>
      <c r="R1123" s="60" t="n">
        <f aca="false">IF(G1123&gt;0,IF(INDEX(CONFIRM!$F$5:$F$53,G1123)&lt;&gt;"",INDEX(CONFIRM!$F$5:$F$53,G1123),IF(ISNUMBER(Q1123),Q1123,IF(Q1123="","",IFERROR(VALUE(TRIM(SUBSTITUTE(SUBSTITUTE(LOWER(Q1123),"hrs",""),"hr",""))),"")))),IF(ISNUMBER(Q1123),Q1123,IF(Q1123="","",IFERROR(VALUE(TRIM(SUBSTITUTE(SUBSTITUTE(LOWER(Q1123),"hrs",""),"hr",""))),""))))</f>
        <v>50.5</v>
      </c>
      <c r="S1123" s="57" t="n">
        <f aca="false">IFERROR(INDEX(RATES!$E$6:$E$28,MATCH(P1123,RATES!$A$6:$A$28,0)),0)</f>
        <v>59.11</v>
      </c>
      <c r="T1123" s="61" t="n">
        <f aca="false">IF(ISNUMBER(R1123),R1123,0)*S1123</f>
        <v>2985.055</v>
      </c>
      <c r="U1123" s="61" t="n">
        <f aca="false">T1123*INDEX(INPUTS!$H$10:$H$14,MATCH(B1123,INPUTS!$A$10:$A$14,0))</f>
        <v>420.892755</v>
      </c>
      <c r="V1123" s="61" t="n">
        <f aca="false">N(STACK!K1123)</f>
        <v>210</v>
      </c>
      <c r="W1123" s="61" t="n">
        <f aca="false">T1123+U1123+V1123</f>
        <v>3615.947755</v>
      </c>
      <c r="X1123" s="61" t="n">
        <f aca="false">N(STACK!L1123)</f>
        <v>0</v>
      </c>
      <c r="Y1123" s="61" t="n">
        <f aca="false">W1123-X1123</f>
        <v>3615.947755</v>
      </c>
      <c r="Z1123" s="1" t="n">
        <f aca="false">N(STACK!J1123)</f>
        <v>0</v>
      </c>
      <c r="AA1123" s="1" t="str">
        <f aca="false">TRIM(IF(D1123="UNMAPPED","Program not mapped. ","")&amp;IF(OR(K1123="UNMAPPED",K1123="UNASSIGNED"),"Category needs review. ","")&amp;IF(P1123="UNMAPPED","Title not mapped. ","")&amp;IF(AND(P1123&lt;&gt;"No staff time",R1123=""),"Missing hours. ","")&amp;IF(M1123="","Date not readable. ","")&amp;IF(N1123="No","Outside fiscal year. ","")&amp;IF(AND(F1123="Event",ISNUMBER(R1123)),IF(R1123&gt;12,"Event hours look high. ",""),"")&amp;IF(G1123&gt;0,"See CONFIRM sheet.",""))</f>
        <v/>
      </c>
      <c r="AB1123" s="1" t="n">
        <f aca="false">IF(N1123="No",0,IF(REVIEW!O1123=0,0,IF(G1123&gt;0,IF(INDEX(CONFIRM!$J$5:$J$53,G1123)&lt;&gt;"",INDEX(CONFIRM!$J$5:$J$53,G1123),1),1)))</f>
        <v>1</v>
      </c>
      <c r="AC1123" s="1" t="n">
        <f aca="false">IF(AB1123=1,IF(COUNTIFS($B$5:B1123,B1123,$D$5:D1123,D1123,$AB$5:AB1123,1)=1,1,0),0)</f>
        <v>0</v>
      </c>
    </row>
    <row r="1124" customFormat="false" ht="15" hidden="false" customHeight="false" outlineLevel="0" collapsed="false">
      <c r="A1124" s="48" t="str">
        <f aca="false">STACK!A1124</f>
        <v>WCH-0017</v>
      </c>
      <c r="B1124" s="48" t="str">
        <f aca="false">STACK!B1124</f>
        <v>WCH</v>
      </c>
      <c r="C1124" s="48" t="str">
        <f aca="false">STACK!E1124</f>
        <v>community paramedic</v>
      </c>
      <c r="D1124" s="1" t="str">
        <f aca="false">IFERROR(INDEX(MAP!$J$7:$J$101,MATCH(TRIM(C1124),MAP!$I$7:$I$101,0)),"UNMAPPED")</f>
        <v>Community Paramedic Home Visits</v>
      </c>
      <c r="E1124" s="1" t="str">
        <f aca="false">IFERROR(INDEX(MAP!$K$7:$K$101,MATCH(TRIM(C1124),MAP!$I$7:$I$101,0)),"")</f>
        <v>Access to care</v>
      </c>
      <c r="F1124" s="1" t="str">
        <f aca="false">IFERROR(INDEX(MAP!$L$7:$L$101,MATCH(TRIM(C1124),MAP!$I$7:$I$101,0)),"")</f>
        <v>Monthly</v>
      </c>
      <c r="G1124" s="1" t="n">
        <f aca="false">IFERROR(MATCH(A1124,CONFIRM!$A$5:$A$53,0),0)</f>
        <v>0</v>
      </c>
      <c r="H1124" s="48" t="str">
        <f aca="false">STACK!F1124</f>
        <v>CHIS clinical</v>
      </c>
      <c r="I1124" s="1" t="str">
        <f aca="false">IF(G1124&gt;0,IF(INDEX(CONFIRM!$I$5:$I$53,G1124)&lt;&gt;"",INDEX(CONFIRM!$I$5:$I$53,G1124),H1124),H1124)</f>
        <v>CHIS clinical</v>
      </c>
      <c r="J1124" s="1" t="str">
        <f aca="false">IFERROR(INDEX(MAP!$F$7:$F$74,MATCH(TRIM(I1124),MAP!$E$7:$E$74,0)),"UNMAPPED")</f>
        <v>Community-based clinical services</v>
      </c>
      <c r="K1124" s="1" t="str">
        <f aca="false">IFERROR(INDEX(MAP!$G$7:$G$74,MATCH(TRIM(I1124),MAP!$E$7:$E$74,0)),"UNMAPPED")</f>
        <v>7e</v>
      </c>
      <c r="L1124" s="49" t="str">
        <f aca="false">STACK!G1124</f>
        <v>July 31, 2025</v>
      </c>
      <c r="M1124" s="59" t="n">
        <f aca="false">IF(G1124&gt;0,IF(INDEX(CONFIRM!$G$5:$G$53,G1124)&lt;&gt;"",INDEX(CONFIRM!$G$5:$G$53,G1124),IF(ISNUMBER(L1124),L1124,IFERROR(DATEVALUE(L1124),""))),IF(ISNUMBER(L1124),L1124,IFERROR(DATEVALUE(L1124),"")))</f>
        <v>45869</v>
      </c>
      <c r="N1124" s="1" t="str">
        <f aca="false">IF(M1124="","Check",IF(AND(M1124&gt;=INPUTS!$C$6,M1124&lt;=INPUTS!$C$7),"Yes","No"))</f>
        <v>Yes</v>
      </c>
      <c r="O1124" s="48" t="str">
        <f aca="false">STACK!H1124</f>
        <v>Flight Paramedic</v>
      </c>
      <c r="P1124" s="1" t="str">
        <f aca="false">IF(G1124&gt;0,IF(INDEX(CONFIRM!$H$5:$H$53,G1124)&lt;&gt;"",INDEX(CONFIRM!$H$5:$H$53,G1124),IFERROR(INDEX(MAP!$B$7:$B$156,MATCH(TRIM(O1124),MAP!$A$7:$A$156,0)),"UNMAPPED")),IFERROR(INDEX(MAP!$B$7:$B$156,MATCH(TRIM(O1124),MAP!$A$7:$A$156,0)),"UNMAPPED"))</f>
        <v>Paramedic</v>
      </c>
      <c r="Q1124" s="48" t="n">
        <f aca="false">STACK!I1124</f>
        <v>61.25</v>
      </c>
      <c r="R1124" s="60" t="n">
        <f aca="false">IF(G1124&gt;0,IF(INDEX(CONFIRM!$F$5:$F$53,G1124)&lt;&gt;"",INDEX(CONFIRM!$F$5:$F$53,G1124),IF(ISNUMBER(Q1124),Q1124,IF(Q1124="","",IFERROR(VALUE(TRIM(SUBSTITUTE(SUBSTITUTE(LOWER(Q1124),"hrs",""),"hr",""))),"")))),IF(ISNUMBER(Q1124),Q1124,IF(Q1124="","",IFERROR(VALUE(TRIM(SUBSTITUTE(SUBSTITUTE(LOWER(Q1124),"hrs",""),"hr",""))),""))))</f>
        <v>61.25</v>
      </c>
      <c r="S1124" s="57" t="n">
        <f aca="false">IFERROR(INDEX(RATES!$E$6:$E$28,MATCH(P1124,RATES!$A$6:$A$28,0)),0)</f>
        <v>34.695</v>
      </c>
      <c r="T1124" s="61" t="n">
        <f aca="false">IF(ISNUMBER(R1124),R1124,0)*S1124</f>
        <v>2125.06875</v>
      </c>
      <c r="U1124" s="61" t="n">
        <f aca="false">T1124*INDEX(INPUTS!$H$10:$H$14,MATCH(B1124,INPUTS!$A$10:$A$14,0))</f>
        <v>299.63469375</v>
      </c>
      <c r="V1124" s="61" t="n">
        <f aca="false">N(STACK!K1124)</f>
        <v>590</v>
      </c>
      <c r="W1124" s="61" t="n">
        <f aca="false">T1124+U1124+V1124</f>
        <v>3014.70344375</v>
      </c>
      <c r="X1124" s="61" t="n">
        <f aca="false">N(STACK!L1124)</f>
        <v>0</v>
      </c>
      <c r="Y1124" s="61" t="n">
        <f aca="false">W1124-X1124</f>
        <v>3014.70344375</v>
      </c>
      <c r="Z1124" s="1" t="n">
        <f aca="false">N(STACK!J1124)</f>
        <v>55</v>
      </c>
      <c r="AA1124" s="1" t="str">
        <f aca="false">TRIM(IF(D1124="UNMAPPED","Program not mapped. ","")&amp;IF(OR(K1124="UNMAPPED",K1124="UNASSIGNED"),"Category needs review. ","")&amp;IF(P1124="UNMAPPED","Title not mapped. ","")&amp;IF(AND(P1124&lt;&gt;"No staff time",R1124=""),"Missing hours. ","")&amp;IF(M1124="","Date not readable. ","")&amp;IF(N1124="No","Outside fiscal year. ","")&amp;IF(AND(F1124="Event",ISNUMBER(R1124)),IF(R1124&gt;12,"Event hours look high. ",""),"")&amp;IF(G1124&gt;0,"See CONFIRM sheet.",""))</f>
        <v/>
      </c>
      <c r="AB1124" s="1" t="n">
        <f aca="false">IF(N1124="No",0,IF(REVIEW!O1124=0,0,IF(G1124&gt;0,IF(INDEX(CONFIRM!$J$5:$J$53,G1124)&lt;&gt;"",INDEX(CONFIRM!$J$5:$J$53,G1124),1),1)))</f>
        <v>1</v>
      </c>
      <c r="AC1124" s="1" t="n">
        <f aca="false">IF(AB1124=1,IF(COUNTIFS($B$5:B1124,B1124,$D$5:D1124,D1124,$AB$5:AB1124,1)=1,1,0),0)</f>
        <v>1</v>
      </c>
    </row>
    <row r="1125" customFormat="false" ht="15" hidden="false" customHeight="false" outlineLevel="0" collapsed="false">
      <c r="A1125" s="48" t="str">
        <f aca="false">STACK!A1125</f>
        <v>WCH-0018</v>
      </c>
      <c r="B1125" s="48" t="str">
        <f aca="false">STACK!B1125</f>
        <v>WCH</v>
      </c>
      <c r="C1125" s="48" t="str">
        <f aca="false">STACK!E1125</f>
        <v>nursing students</v>
      </c>
      <c r="D1125" s="1" t="str">
        <f aca="false">IFERROR(INDEX(MAP!$J$7:$J$101,MATCH(TRIM(C1125),MAP!$I$7:$I$101,0)),"UNMAPPED")</f>
        <v>Nursing Student Clinical Rotations</v>
      </c>
      <c r="E1125" s="1" t="str">
        <f aca="false">IFERROR(INDEX(MAP!$K$7:$K$101,MATCH(TRIM(C1125),MAP!$I$7:$I$101,0)),"")</f>
        <v>Health workforce</v>
      </c>
      <c r="F1125" s="1" t="str">
        <f aca="false">IFERROR(INDEX(MAP!$L$7:$L$101,MATCH(TRIM(C1125),MAP!$I$7:$I$101,0)),"")</f>
        <v>Monthly</v>
      </c>
      <c r="G1125" s="1" t="n">
        <f aca="false">IFERROR(MATCH(A1125,CONFIRM!$A$5:$A$53,0),0)</f>
        <v>0</v>
      </c>
      <c r="H1125" s="48" t="str">
        <f aca="false">STACK!F1125</f>
        <v>health professions ed</v>
      </c>
      <c r="I1125" s="1" t="str">
        <f aca="false">IF(G1125&gt;0,IF(INDEX(CONFIRM!$I$5:$I$53,G1125)&lt;&gt;"",INDEX(CONFIRM!$I$5:$I$53,G1125),H1125),H1125)</f>
        <v>health professions ed</v>
      </c>
      <c r="J1125" s="1" t="str">
        <f aca="false">IFERROR(INDEX(MAP!$F$7:$F$74,MATCH(TRIM(I1125),MAP!$E$7:$E$74,0)),"UNMAPPED")</f>
        <v>Health professions education</v>
      </c>
      <c r="K1125" s="1" t="str">
        <f aca="false">IFERROR(INDEX(MAP!$G$7:$G$74,MATCH(TRIM(I1125),MAP!$E$7:$E$74,0)),"UNMAPPED")</f>
        <v>7f</v>
      </c>
      <c r="L1125" s="49" t="n">
        <f aca="false">STACK!G1125</f>
        <v>45869</v>
      </c>
      <c r="M1125" s="59" t="n">
        <f aca="false">IF(G1125&gt;0,IF(INDEX(CONFIRM!$G$5:$G$53,G1125)&lt;&gt;"",INDEX(CONFIRM!$G$5:$G$53,G1125),IF(ISNUMBER(L1125),L1125,IFERROR(DATEVALUE(L1125),""))),IF(ISNUMBER(L1125),L1125,IFERROR(DATEVALUE(L1125),"")))</f>
        <v>45869</v>
      </c>
      <c r="N1125" s="1" t="str">
        <f aca="false">IF(M1125="","Check",IF(AND(M1125&gt;=INPUTS!$C$6,M1125&lt;=INPUTS!$C$7),"Yes","No"))</f>
        <v>Yes</v>
      </c>
      <c r="O1125" s="48" t="str">
        <f aca="false">STACK!H1125</f>
        <v>Clin Educator</v>
      </c>
      <c r="P1125" s="1" t="str">
        <f aca="false">IF(G1125&gt;0,IF(INDEX(CONFIRM!$H$5:$H$53,G1125)&lt;&gt;"",INDEX(CONFIRM!$H$5:$H$53,G1125),IFERROR(INDEX(MAP!$B$7:$B$156,MATCH(TRIM(O1125),MAP!$A$7:$A$156,0)),"UNMAPPED")),IFERROR(INDEX(MAP!$B$7:$B$156,MATCH(TRIM(O1125),MAP!$A$7:$A$156,0)),"UNMAPPED"))</f>
        <v>Clinical Nurse Educator</v>
      </c>
      <c r="Q1125" s="48" t="n">
        <f aca="false">STACK!I1125</f>
        <v>35.5</v>
      </c>
      <c r="R1125" s="60" t="n">
        <f aca="false">IF(G1125&gt;0,IF(INDEX(CONFIRM!$F$5:$F$53,G1125)&lt;&gt;"",INDEX(CONFIRM!$F$5:$F$53,G1125),IF(ISNUMBER(Q1125),Q1125,IF(Q1125="","",IFERROR(VALUE(TRIM(SUBSTITUTE(SUBSTITUTE(LOWER(Q1125),"hrs",""),"hr",""))),"")))),IF(ISNUMBER(Q1125),Q1125,IF(Q1125="","",IFERROR(VALUE(TRIM(SUBSTITUTE(SUBSTITUTE(LOWER(Q1125),"hrs",""),"hr",""))),""))))</f>
        <v>35.5</v>
      </c>
      <c r="S1125" s="57" t="n">
        <f aca="false">IFERROR(INDEX(RATES!$E$6:$E$28,MATCH(P1125,RATES!$A$6:$A$28,0)),0)</f>
        <v>62.965</v>
      </c>
      <c r="T1125" s="61" t="n">
        <f aca="false">IF(ISNUMBER(R1125),R1125,0)*S1125</f>
        <v>2235.2575</v>
      </c>
      <c r="U1125" s="61" t="n">
        <f aca="false">T1125*INDEX(INPUTS!$H$10:$H$14,MATCH(B1125,INPUTS!$A$10:$A$14,0))</f>
        <v>315.1713075</v>
      </c>
      <c r="V1125" s="61" t="n">
        <f aca="false">N(STACK!K1125)</f>
        <v>245</v>
      </c>
      <c r="W1125" s="61" t="n">
        <f aca="false">T1125+U1125+V1125</f>
        <v>2795.4288075</v>
      </c>
      <c r="X1125" s="61" t="n">
        <f aca="false">N(STACK!L1125)</f>
        <v>0</v>
      </c>
      <c r="Y1125" s="61" t="n">
        <f aca="false">W1125-X1125</f>
        <v>2795.4288075</v>
      </c>
      <c r="Z1125" s="1" t="n">
        <f aca="false">N(STACK!J1125)</f>
        <v>11</v>
      </c>
      <c r="AA1125" s="1" t="str">
        <f aca="false">TRIM(IF(D1125="UNMAPPED","Program not mapped. ","")&amp;IF(OR(K1125="UNMAPPED",K1125="UNASSIGNED"),"Category needs review. ","")&amp;IF(P1125="UNMAPPED","Title not mapped. ","")&amp;IF(AND(P1125&lt;&gt;"No staff time",R1125=""),"Missing hours. ","")&amp;IF(M1125="","Date not readable. ","")&amp;IF(N1125="No","Outside fiscal year. ","")&amp;IF(AND(F1125="Event",ISNUMBER(R1125)),IF(R1125&gt;12,"Event hours look high. ",""),"")&amp;IF(G1125&gt;0,"See CONFIRM sheet.",""))</f>
        <v/>
      </c>
      <c r="AB1125" s="1" t="n">
        <f aca="false">IF(N1125="No",0,IF(REVIEW!O1125=0,0,IF(G1125&gt;0,IF(INDEX(CONFIRM!$J$5:$J$53,G1125)&lt;&gt;"",INDEX(CONFIRM!$J$5:$J$53,G1125),1),1)))</f>
        <v>1</v>
      </c>
      <c r="AC1125" s="1" t="n">
        <f aca="false">IF(AB1125=1,IF(COUNTIFS($B$5:B1125,B1125,$D$5:D1125,D1125,$AB$5:AB1125,1)=1,1,0),0)</f>
        <v>1</v>
      </c>
    </row>
    <row r="1126" customFormat="false" ht="15" hidden="false" customHeight="false" outlineLevel="0" collapsed="false">
      <c r="A1126" s="48" t="str">
        <f aca="false">STACK!A1126</f>
        <v>WCH-0019</v>
      </c>
      <c r="B1126" s="48" t="str">
        <f aca="false">STACK!B1126</f>
        <v>WCH</v>
      </c>
      <c r="C1126" s="48" t="str">
        <f aca="false">STACK!E1126</f>
        <v>nursing students</v>
      </c>
      <c r="D1126" s="1" t="str">
        <f aca="false">IFERROR(INDEX(MAP!$J$7:$J$101,MATCH(TRIM(C1126),MAP!$I$7:$I$101,0)),"UNMAPPED")</f>
        <v>Nursing Student Clinical Rotations</v>
      </c>
      <c r="E1126" s="1" t="str">
        <f aca="false">IFERROR(INDEX(MAP!$K$7:$K$101,MATCH(TRIM(C1126),MAP!$I$7:$I$101,0)),"")</f>
        <v>Health workforce</v>
      </c>
      <c r="F1126" s="1" t="str">
        <f aca="false">IFERROR(INDEX(MAP!$L$7:$L$101,MATCH(TRIM(C1126),MAP!$I$7:$I$101,0)),"")</f>
        <v>Monthly</v>
      </c>
      <c r="G1126" s="1" t="n">
        <f aca="false">IFERROR(MATCH(A1126,CONFIRM!$A$5:$A$53,0),0)</f>
        <v>0</v>
      </c>
      <c r="H1126" s="48" t="str">
        <f aca="false">STACK!F1126</f>
        <v>health professions ed</v>
      </c>
      <c r="I1126" s="1" t="str">
        <f aca="false">IF(G1126&gt;0,IF(INDEX(CONFIRM!$I$5:$I$53,G1126)&lt;&gt;"",INDEX(CONFIRM!$I$5:$I$53,G1126),H1126),H1126)</f>
        <v>health professions ed</v>
      </c>
      <c r="J1126" s="1" t="str">
        <f aca="false">IFERROR(INDEX(MAP!$F$7:$F$74,MATCH(TRIM(I1126),MAP!$E$7:$E$74,0)),"UNMAPPED")</f>
        <v>Health professions education</v>
      </c>
      <c r="K1126" s="1" t="str">
        <f aca="false">IFERROR(INDEX(MAP!$G$7:$G$74,MATCH(TRIM(I1126),MAP!$E$7:$E$74,0)),"UNMAPPED")</f>
        <v>7f</v>
      </c>
      <c r="L1126" s="49" t="n">
        <f aca="false">STACK!G1126</f>
        <v>45869</v>
      </c>
      <c r="M1126" s="59" t="n">
        <f aca="false">IF(G1126&gt;0,IF(INDEX(CONFIRM!$G$5:$G$53,G1126)&lt;&gt;"",INDEX(CONFIRM!$G$5:$G$53,G1126),IF(ISNUMBER(L1126),L1126,IFERROR(DATEVALUE(L1126),""))),IF(ISNUMBER(L1126),L1126,IFERROR(DATEVALUE(L1126),"")))</f>
        <v>45869</v>
      </c>
      <c r="N1126" s="1" t="str">
        <f aca="false">IF(M1126="","Check",IF(AND(M1126&gt;=INPUTS!$C$6,M1126&lt;=INPUTS!$C$7),"Yes","No"))</f>
        <v>Yes</v>
      </c>
      <c r="O1126" s="48" t="str">
        <f aca="false">STACK!H1126</f>
        <v>Charge RN</v>
      </c>
      <c r="P1126" s="1" t="str">
        <f aca="false">IF(G1126&gt;0,IF(INDEX(CONFIRM!$H$5:$H$53,G1126)&lt;&gt;"",INDEX(CONFIRM!$H$5:$H$53,G1126),IFERROR(INDEX(MAP!$B$7:$B$156,MATCH(TRIM(O1126),MAP!$A$7:$A$156,0)),"UNMAPPED")),IFERROR(INDEX(MAP!$B$7:$B$156,MATCH(TRIM(O1126),MAP!$A$7:$A$156,0)),"UNMAPPED"))</f>
        <v>Registered Nurse</v>
      </c>
      <c r="Q1126" s="48" t="n">
        <f aca="false">STACK!I1126</f>
        <v>51.75</v>
      </c>
      <c r="R1126" s="60" t="n">
        <f aca="false">IF(G1126&gt;0,IF(INDEX(CONFIRM!$F$5:$F$53,G1126)&lt;&gt;"",INDEX(CONFIRM!$F$5:$F$53,G1126),IF(ISNUMBER(Q1126),Q1126,IF(Q1126="","",IFERROR(VALUE(TRIM(SUBSTITUTE(SUBSTITUTE(LOWER(Q1126),"hrs",""),"hr",""))),"")))),IF(ISNUMBER(Q1126),Q1126,IF(Q1126="","",IFERROR(VALUE(TRIM(SUBSTITUTE(SUBSTITUTE(LOWER(Q1126),"hrs",""),"hr",""))),""))))</f>
        <v>51.75</v>
      </c>
      <c r="S1126" s="57" t="n">
        <f aca="false">IFERROR(INDEX(RATES!$E$6:$E$28,MATCH(P1126,RATES!$A$6:$A$28,0)),0)</f>
        <v>55.8975</v>
      </c>
      <c r="T1126" s="61" t="n">
        <f aca="false">IF(ISNUMBER(R1126),R1126,0)*S1126</f>
        <v>2892.695625</v>
      </c>
      <c r="U1126" s="61" t="n">
        <f aca="false">T1126*INDEX(INPUTS!$H$10:$H$14,MATCH(B1126,INPUTS!$A$10:$A$14,0))</f>
        <v>407.870083125</v>
      </c>
      <c r="V1126" s="61" t="n">
        <f aca="false">N(STACK!K1126)</f>
        <v>0</v>
      </c>
      <c r="W1126" s="61" t="n">
        <f aca="false">T1126+U1126+V1126</f>
        <v>3300.565708125</v>
      </c>
      <c r="X1126" s="61" t="n">
        <f aca="false">N(STACK!L1126)</f>
        <v>0</v>
      </c>
      <c r="Y1126" s="61" t="n">
        <f aca="false">W1126-X1126</f>
        <v>3300.565708125</v>
      </c>
      <c r="Z1126" s="1" t="n">
        <f aca="false">N(STACK!J1126)</f>
        <v>0</v>
      </c>
      <c r="AA1126" s="1" t="str">
        <f aca="false">TRIM(IF(D1126="UNMAPPED","Program not mapped. ","")&amp;IF(OR(K1126="UNMAPPED",K1126="UNASSIGNED"),"Category needs review. ","")&amp;IF(P1126="UNMAPPED","Title not mapped. ","")&amp;IF(AND(P1126&lt;&gt;"No staff time",R1126=""),"Missing hours. ","")&amp;IF(M1126="","Date not readable. ","")&amp;IF(N1126="No","Outside fiscal year. ","")&amp;IF(AND(F1126="Event",ISNUMBER(R1126)),IF(R1126&gt;12,"Event hours look high. ",""),"")&amp;IF(G1126&gt;0,"See CONFIRM sheet.",""))</f>
        <v/>
      </c>
      <c r="AB1126" s="1" t="n">
        <f aca="false">IF(N1126="No",0,IF(REVIEW!O1126=0,0,IF(G1126&gt;0,IF(INDEX(CONFIRM!$J$5:$J$53,G1126)&lt;&gt;"",INDEX(CONFIRM!$J$5:$J$53,G1126),1),1)))</f>
        <v>1</v>
      </c>
      <c r="AC1126" s="1" t="n">
        <f aca="false">IF(AB1126=1,IF(COUNTIFS($B$5:B1126,B1126,$D$5:D1126,D1126,$AB$5:AB1126,1)=1,1,0),0)</f>
        <v>0</v>
      </c>
    </row>
    <row r="1127" customFormat="false" ht="15" hidden="false" customHeight="false" outlineLevel="0" collapsed="false">
      <c r="A1127" s="48" t="str">
        <f aca="false">STACK!A1127</f>
        <v>WCH-0020</v>
      </c>
      <c r="B1127" s="48" t="str">
        <f aca="false">STACK!B1127</f>
        <v>WCH</v>
      </c>
      <c r="C1127" s="48" t="str">
        <f aca="false">STACK!E1127</f>
        <v>paramedic students</v>
      </c>
      <c r="D1127" s="1" t="str">
        <f aca="false">IFERROR(INDEX(MAP!$J$7:$J$101,MATCH(TRIM(C1127),MAP!$I$7:$I$101,0)),"UNMAPPED")</f>
        <v>Paramedic Student Field Training</v>
      </c>
      <c r="E1127" s="1" t="str">
        <f aca="false">IFERROR(INDEX(MAP!$K$7:$K$101,MATCH(TRIM(C1127),MAP!$I$7:$I$101,0)),"")</f>
        <v>Health workforce</v>
      </c>
      <c r="F1127" s="1" t="str">
        <f aca="false">IFERROR(INDEX(MAP!$L$7:$L$101,MATCH(TRIM(C1127),MAP!$I$7:$I$101,0)),"")</f>
        <v>Monthly</v>
      </c>
      <c r="G1127" s="1" t="n">
        <f aca="false">IFERROR(MATCH(A1127,CONFIRM!$A$5:$A$53,0),0)</f>
        <v>0</v>
      </c>
      <c r="H1127" s="48" t="str">
        <f aca="false">STACK!F1127</f>
        <v>health professions ed</v>
      </c>
      <c r="I1127" s="1" t="str">
        <f aca="false">IF(G1127&gt;0,IF(INDEX(CONFIRM!$I$5:$I$53,G1127)&lt;&gt;"",INDEX(CONFIRM!$I$5:$I$53,G1127),H1127),H1127)</f>
        <v>health professions ed</v>
      </c>
      <c r="J1127" s="1" t="str">
        <f aca="false">IFERROR(INDEX(MAP!$F$7:$F$74,MATCH(TRIM(I1127),MAP!$E$7:$E$74,0)),"UNMAPPED")</f>
        <v>Health professions education</v>
      </c>
      <c r="K1127" s="1" t="str">
        <f aca="false">IFERROR(INDEX(MAP!$G$7:$G$74,MATCH(TRIM(I1127),MAP!$E$7:$E$74,0)),"UNMAPPED")</f>
        <v>7f</v>
      </c>
      <c r="L1127" s="49" t="n">
        <f aca="false">STACK!G1127</f>
        <v>45869</v>
      </c>
      <c r="M1127" s="59" t="n">
        <f aca="false">IF(G1127&gt;0,IF(INDEX(CONFIRM!$G$5:$G$53,G1127)&lt;&gt;"",INDEX(CONFIRM!$G$5:$G$53,G1127),IF(ISNUMBER(L1127),L1127,IFERROR(DATEVALUE(L1127),""))),IF(ISNUMBER(L1127),L1127,IFERROR(DATEVALUE(L1127),"")))</f>
        <v>45869</v>
      </c>
      <c r="N1127" s="1" t="str">
        <f aca="false">IF(M1127="","Check",IF(AND(M1127&gt;=INPUTS!$C$6,M1127&lt;=INPUTS!$C$7),"Yes","No"))</f>
        <v>Yes</v>
      </c>
      <c r="O1127" s="48" t="str">
        <f aca="false">STACK!H1127</f>
        <v>EMS Paramedic</v>
      </c>
      <c r="P1127" s="1" t="str">
        <f aca="false">IF(G1127&gt;0,IF(INDEX(CONFIRM!$H$5:$H$53,G1127)&lt;&gt;"",INDEX(CONFIRM!$H$5:$H$53,G1127),IFERROR(INDEX(MAP!$B$7:$B$156,MATCH(TRIM(O1127),MAP!$A$7:$A$156,0)),"UNMAPPED")),IFERROR(INDEX(MAP!$B$7:$B$156,MATCH(TRIM(O1127),MAP!$A$7:$A$156,0)),"UNMAPPED"))</f>
        <v>Paramedic</v>
      </c>
      <c r="Q1127" s="48" t="n">
        <f aca="false">STACK!I1127</f>
        <v>52.5</v>
      </c>
      <c r="R1127" s="60" t="n">
        <f aca="false">IF(G1127&gt;0,IF(INDEX(CONFIRM!$F$5:$F$53,G1127)&lt;&gt;"",INDEX(CONFIRM!$F$5:$F$53,G1127),IF(ISNUMBER(Q1127),Q1127,IF(Q1127="","",IFERROR(VALUE(TRIM(SUBSTITUTE(SUBSTITUTE(LOWER(Q1127),"hrs",""),"hr",""))),"")))),IF(ISNUMBER(Q1127),Q1127,IF(Q1127="","",IFERROR(VALUE(TRIM(SUBSTITUTE(SUBSTITUTE(LOWER(Q1127),"hrs",""),"hr",""))),""))))</f>
        <v>52.5</v>
      </c>
      <c r="S1127" s="57" t="n">
        <f aca="false">IFERROR(INDEX(RATES!$E$6:$E$28,MATCH(P1127,RATES!$A$6:$A$28,0)),0)</f>
        <v>34.695</v>
      </c>
      <c r="T1127" s="61" t="n">
        <f aca="false">IF(ISNUMBER(R1127),R1127,0)*S1127</f>
        <v>1821.4875</v>
      </c>
      <c r="U1127" s="61" t="n">
        <f aca="false">T1127*INDEX(INPUTS!$H$10:$H$14,MATCH(B1127,INPUTS!$A$10:$A$14,0))</f>
        <v>256.8297375</v>
      </c>
      <c r="V1127" s="61" t="n">
        <f aca="false">N(STACK!K1127)</f>
        <v>5</v>
      </c>
      <c r="W1127" s="61" t="n">
        <f aca="false">T1127+U1127+V1127</f>
        <v>2083.3172375</v>
      </c>
      <c r="X1127" s="61" t="n">
        <f aca="false">N(STACK!L1127)</f>
        <v>0</v>
      </c>
      <c r="Y1127" s="61" t="n">
        <f aca="false">W1127-X1127</f>
        <v>2083.3172375</v>
      </c>
      <c r="Z1127" s="1" t="n">
        <f aca="false">N(STACK!J1127)</f>
        <v>4</v>
      </c>
      <c r="AA1127" s="1" t="str">
        <f aca="false">TRIM(IF(D1127="UNMAPPED","Program not mapped. ","")&amp;IF(OR(K1127="UNMAPPED",K1127="UNASSIGNED"),"Category needs review. ","")&amp;IF(P1127="UNMAPPED","Title not mapped. ","")&amp;IF(AND(P1127&lt;&gt;"No staff time",R1127=""),"Missing hours. ","")&amp;IF(M1127="","Date not readable. ","")&amp;IF(N1127="No","Outside fiscal year. ","")&amp;IF(AND(F1127="Event",ISNUMBER(R1127)),IF(R1127&gt;12,"Event hours look high. ",""),"")&amp;IF(G1127&gt;0,"See CONFIRM sheet.",""))</f>
        <v/>
      </c>
      <c r="AB1127" s="1" t="n">
        <f aca="false">IF(N1127="No",0,IF(REVIEW!O1127=0,0,IF(G1127&gt;0,IF(INDEX(CONFIRM!$J$5:$J$53,G1127)&lt;&gt;"",INDEX(CONFIRM!$J$5:$J$53,G1127),1),1)))</f>
        <v>1</v>
      </c>
      <c r="AC1127" s="1" t="n">
        <f aca="false">IF(AB1127=1,IF(COUNTIFS($B$5:B1127,B1127,$D$5:D1127,D1127,$AB$5:AB1127,1)=1,1,0),0)</f>
        <v>1</v>
      </c>
    </row>
    <row r="1128" customFormat="false" ht="15" hidden="false" customHeight="false" outlineLevel="0" collapsed="false">
      <c r="A1128" s="48" t="str">
        <f aca="false">STACK!A1128</f>
        <v>WCH-0021</v>
      </c>
      <c r="B1128" s="48" t="str">
        <f aca="false">STACK!B1128</f>
        <v>WCH</v>
      </c>
      <c r="C1128" s="48" t="str">
        <f aca="false">STACK!E1128</f>
        <v>rural maternal study</v>
      </c>
      <c r="D1128" s="1" t="str">
        <f aca="false">IFERROR(INDEX(MAP!$J$7:$J$101,MATCH(TRIM(C1128),MAP!$I$7:$I$101,0)),"UNMAPPED")</f>
        <v>Rural Maternal Outcomes Study</v>
      </c>
      <c r="E1128" s="1" t="str">
        <f aca="false">IFERROR(INDEX(MAP!$K$7:$K$101,MATCH(TRIM(C1128),MAP!$I$7:$I$101,0)),"")</f>
        <v>Maternal and child health</v>
      </c>
      <c r="F1128" s="1" t="str">
        <f aca="false">IFERROR(INDEX(MAP!$L$7:$L$101,MATCH(TRIM(C1128),MAP!$I$7:$I$101,0)),"")</f>
        <v>Monthly</v>
      </c>
      <c r="G1128" s="1" t="n">
        <f aca="false">IFERROR(MATCH(A1128,CONFIRM!$A$5:$A$53,0),0)</f>
        <v>0</v>
      </c>
      <c r="H1128" s="48" t="str">
        <f aca="false">STACK!F1128</f>
        <v>research</v>
      </c>
      <c r="I1128" s="1" t="str">
        <f aca="false">IF(G1128&gt;0,IF(INDEX(CONFIRM!$I$5:$I$53,G1128)&lt;&gt;"",INDEX(CONFIRM!$I$5:$I$53,G1128),H1128),H1128)</f>
        <v>research</v>
      </c>
      <c r="J1128" s="1" t="str">
        <f aca="false">IFERROR(INDEX(MAP!$F$7:$F$74,MATCH(TRIM(I1128),MAP!$E$7:$E$74,0)),"UNMAPPED")</f>
        <v>Research</v>
      </c>
      <c r="K1128" s="1" t="str">
        <f aca="false">IFERROR(INDEX(MAP!$G$7:$G$74,MATCH(TRIM(I1128),MAP!$E$7:$E$74,0)),"UNMAPPED")</f>
        <v>7h</v>
      </c>
      <c r="L1128" s="49" t="n">
        <f aca="false">STACK!G1128</f>
        <v>45869</v>
      </c>
      <c r="M1128" s="59" t="n">
        <f aca="false">IF(G1128&gt;0,IF(INDEX(CONFIRM!$G$5:$G$53,G1128)&lt;&gt;"",INDEX(CONFIRM!$G$5:$G$53,G1128),IF(ISNUMBER(L1128),L1128,IFERROR(DATEVALUE(L1128),""))),IF(ISNUMBER(L1128),L1128,IFERROR(DATEVALUE(L1128),"")))</f>
        <v>45869</v>
      </c>
      <c r="N1128" s="1" t="str">
        <f aca="false">IF(M1128="","Check",IF(AND(M1128&gt;=INPUTS!$C$6,M1128&lt;=INPUTS!$C$7),"Yes","No"))</f>
        <v>Yes</v>
      </c>
      <c r="O1128" s="48" t="str">
        <f aca="false">STACK!H1128</f>
        <v>Sr Data Analyst</v>
      </c>
      <c r="P1128" s="1" t="str">
        <f aca="false">IF(G1128&gt;0,IF(INDEX(CONFIRM!$H$5:$H$53,G1128)&lt;&gt;"",INDEX(CONFIRM!$H$5:$H$53,G1128),IFERROR(INDEX(MAP!$B$7:$B$156,MATCH(TRIM(O1128),MAP!$A$7:$A$156,0)),"UNMAPPED")),IFERROR(INDEX(MAP!$B$7:$B$156,MATCH(TRIM(O1128),MAP!$A$7:$A$156,0)),"UNMAPPED"))</f>
        <v>Data Analyst</v>
      </c>
      <c r="Q1128" s="48" t="n">
        <f aca="false">STACK!I1128</f>
        <v>7.25</v>
      </c>
      <c r="R1128" s="60" t="n">
        <f aca="false">IF(G1128&gt;0,IF(INDEX(CONFIRM!$F$5:$F$53,G1128)&lt;&gt;"",INDEX(CONFIRM!$F$5:$F$53,G1128),IF(ISNUMBER(Q1128),Q1128,IF(Q1128="","",IFERROR(VALUE(TRIM(SUBSTITUTE(SUBSTITUTE(LOWER(Q1128),"hrs",""),"hr",""))),"")))),IF(ISNUMBER(Q1128),Q1128,IF(Q1128="","",IFERROR(VALUE(TRIM(SUBSTITUTE(SUBSTITUTE(LOWER(Q1128),"hrs",""),"hr",""))),""))))</f>
        <v>7.25</v>
      </c>
      <c r="S1128" s="57" t="n">
        <f aca="false">IFERROR(INDEX(RATES!$E$6:$E$28,MATCH(P1128,RATES!$A$6:$A$28,0)),0)</f>
        <v>48.83</v>
      </c>
      <c r="T1128" s="61" t="n">
        <f aca="false">IF(ISNUMBER(R1128),R1128,0)*S1128</f>
        <v>354.0175</v>
      </c>
      <c r="U1128" s="61" t="n">
        <f aca="false">T1128*INDEX(INPUTS!$H$10:$H$14,MATCH(B1128,INPUTS!$A$10:$A$14,0))</f>
        <v>49.9164675</v>
      </c>
      <c r="V1128" s="61" t="n">
        <f aca="false">N(STACK!K1128)</f>
        <v>0</v>
      </c>
      <c r="W1128" s="61" t="n">
        <f aca="false">T1128+U1128+V1128</f>
        <v>403.9339675</v>
      </c>
      <c r="X1128" s="61" t="n">
        <f aca="false">N(STACK!L1128)</f>
        <v>0</v>
      </c>
      <c r="Y1128" s="61" t="n">
        <f aca="false">W1128-X1128</f>
        <v>403.9339675</v>
      </c>
      <c r="Z1128" s="1" t="n">
        <f aca="false">N(STACK!J1128)</f>
        <v>0</v>
      </c>
      <c r="AA1128" s="1" t="str">
        <f aca="false">TRIM(IF(D1128="UNMAPPED","Program not mapped. ","")&amp;IF(OR(K1128="UNMAPPED",K1128="UNASSIGNED"),"Category needs review. ","")&amp;IF(P1128="UNMAPPED","Title not mapped. ","")&amp;IF(AND(P1128&lt;&gt;"No staff time",R1128=""),"Missing hours. ","")&amp;IF(M1128="","Date not readable. ","")&amp;IF(N1128="No","Outside fiscal year. ","")&amp;IF(AND(F1128="Event",ISNUMBER(R1128)),IF(R1128&gt;12,"Event hours look high. ",""),"")&amp;IF(G1128&gt;0,"See CONFIRM sheet.",""))</f>
        <v/>
      </c>
      <c r="AB1128" s="1" t="n">
        <f aca="false">IF(N1128="No",0,IF(REVIEW!O1128=0,0,IF(G1128&gt;0,IF(INDEX(CONFIRM!$J$5:$J$53,G1128)&lt;&gt;"",INDEX(CONFIRM!$J$5:$J$53,G1128),1),1)))</f>
        <v>1</v>
      </c>
      <c r="AC1128" s="1" t="n">
        <f aca="false">IF(AB1128=1,IF(COUNTIFS($B$5:B1128,B1128,$D$5:D1128,D1128,$AB$5:AB1128,1)=1,1,0),0)</f>
        <v>1</v>
      </c>
    </row>
    <row r="1129" customFormat="false" ht="15" hidden="false" customHeight="false" outlineLevel="0" collapsed="false">
      <c r="A1129" s="48" t="str">
        <f aca="false">STACK!A1129</f>
        <v>WCH-0022</v>
      </c>
      <c r="B1129" s="48" t="str">
        <f aca="false">STACK!B1129</f>
        <v>WCH</v>
      </c>
      <c r="C1129" s="48" t="str">
        <f aca="false">STACK!E1129</f>
        <v>rural maternal study</v>
      </c>
      <c r="D1129" s="1" t="str">
        <f aca="false">IFERROR(INDEX(MAP!$J$7:$J$101,MATCH(TRIM(C1129),MAP!$I$7:$I$101,0)),"UNMAPPED")</f>
        <v>Rural Maternal Outcomes Study</v>
      </c>
      <c r="E1129" s="1" t="str">
        <f aca="false">IFERROR(INDEX(MAP!$K$7:$K$101,MATCH(TRIM(C1129),MAP!$I$7:$I$101,0)),"")</f>
        <v>Maternal and child health</v>
      </c>
      <c r="F1129" s="1" t="str">
        <f aca="false">IFERROR(INDEX(MAP!$L$7:$L$101,MATCH(TRIM(C1129),MAP!$I$7:$I$101,0)),"")</f>
        <v>Monthly</v>
      </c>
      <c r="G1129" s="1" t="n">
        <f aca="false">IFERROR(MATCH(A1129,CONFIRM!$A$5:$A$53,0),0)</f>
        <v>0</v>
      </c>
      <c r="H1129" s="48" t="str">
        <f aca="false">STACK!F1129</f>
        <v>research</v>
      </c>
      <c r="I1129" s="1" t="str">
        <f aca="false">IF(G1129&gt;0,IF(INDEX(CONFIRM!$I$5:$I$53,G1129)&lt;&gt;"",INDEX(CONFIRM!$I$5:$I$53,G1129),H1129),H1129)</f>
        <v>research</v>
      </c>
      <c r="J1129" s="1" t="str">
        <f aca="false">IFERROR(INDEX(MAP!$F$7:$F$74,MATCH(TRIM(I1129),MAP!$E$7:$E$74,0)),"UNMAPPED")</f>
        <v>Research</v>
      </c>
      <c r="K1129" s="1" t="str">
        <f aca="false">IFERROR(INDEX(MAP!$G$7:$G$74,MATCH(TRIM(I1129),MAP!$E$7:$E$74,0)),"UNMAPPED")</f>
        <v>7h</v>
      </c>
      <c r="L1129" s="49" t="n">
        <f aca="false">STACK!G1129</f>
        <v>45869</v>
      </c>
      <c r="M1129" s="59" t="n">
        <f aca="false">IF(G1129&gt;0,IF(INDEX(CONFIRM!$G$5:$G$53,G1129)&lt;&gt;"",INDEX(CONFIRM!$G$5:$G$53,G1129),IF(ISNUMBER(L1129),L1129,IFERROR(DATEVALUE(L1129),""))),IF(ISNUMBER(L1129),L1129,IFERROR(DATEVALUE(L1129),"")))</f>
        <v>45869</v>
      </c>
      <c r="N1129" s="1" t="str">
        <f aca="false">IF(M1129="","Check",IF(AND(M1129&gt;=INPUTS!$C$6,M1129&lt;=INPUTS!$C$7),"Yes","No"))</f>
        <v>Yes</v>
      </c>
      <c r="O1129" s="48" t="str">
        <f aca="false">STACK!H1129</f>
        <v>Research Coordinator </v>
      </c>
      <c r="P1129" s="1" t="str">
        <f aca="false">IF(G1129&gt;0,IF(INDEX(CONFIRM!$H$5:$H$53,G1129)&lt;&gt;"",INDEX(CONFIRM!$H$5:$H$53,G1129),IFERROR(INDEX(MAP!$B$7:$B$156,MATCH(TRIM(O1129),MAP!$A$7:$A$156,0)),"UNMAPPED")),IFERROR(INDEX(MAP!$B$7:$B$156,MATCH(TRIM(O1129),MAP!$A$7:$A$156,0)),"UNMAPPED"))</f>
        <v>Research Coordinator</v>
      </c>
      <c r="Q1129" s="48" t="n">
        <f aca="false">STACK!I1129</f>
        <v>47</v>
      </c>
      <c r="R1129" s="60" t="n">
        <f aca="false">IF(G1129&gt;0,IF(INDEX(CONFIRM!$F$5:$F$53,G1129)&lt;&gt;"",INDEX(CONFIRM!$F$5:$F$53,G1129),IF(ISNUMBER(Q1129),Q1129,IF(Q1129="","",IFERROR(VALUE(TRIM(SUBSTITUTE(SUBSTITUTE(LOWER(Q1129),"hrs",""),"hr",""))),"")))),IF(ISNUMBER(Q1129),Q1129,IF(Q1129="","",IFERROR(VALUE(TRIM(SUBSTITUTE(SUBSTITUTE(LOWER(Q1129),"hrs",""),"hr",""))),""))))</f>
        <v>47</v>
      </c>
      <c r="S1129" s="57" t="n">
        <f aca="false">IFERROR(INDEX(RATES!$E$6:$E$28,MATCH(P1129,RATES!$A$6:$A$28,0)),0)</f>
        <v>42.405</v>
      </c>
      <c r="T1129" s="61" t="n">
        <f aca="false">IF(ISNUMBER(R1129),R1129,0)*S1129</f>
        <v>1993.035</v>
      </c>
      <c r="U1129" s="61" t="n">
        <f aca="false">T1129*INDEX(INPUTS!$H$10:$H$14,MATCH(B1129,INPUTS!$A$10:$A$14,0))</f>
        <v>281.017935</v>
      </c>
      <c r="V1129" s="61" t="n">
        <f aca="false">N(STACK!K1129)</f>
        <v>1500</v>
      </c>
      <c r="W1129" s="61" t="n">
        <f aca="false">T1129+U1129+V1129</f>
        <v>3774.052935</v>
      </c>
      <c r="X1129" s="61" t="n">
        <f aca="false">N(STACK!L1129)</f>
        <v>4685</v>
      </c>
      <c r="Y1129" s="61" t="n">
        <f aca="false">W1129-X1129</f>
        <v>-910.947065</v>
      </c>
      <c r="Z1129" s="1" t="n">
        <f aca="false">N(STACK!J1129)</f>
        <v>15</v>
      </c>
      <c r="AA1129" s="1" t="str">
        <f aca="false">TRIM(IF(D1129="UNMAPPED","Program not mapped. ","")&amp;IF(OR(K1129="UNMAPPED",K1129="UNASSIGNED"),"Category needs review. ","")&amp;IF(P1129="UNMAPPED","Title not mapped. ","")&amp;IF(AND(P1129&lt;&gt;"No staff time",R1129=""),"Missing hours. ","")&amp;IF(M1129="","Date not readable. ","")&amp;IF(N1129="No","Outside fiscal year. ","")&amp;IF(AND(F1129="Event",ISNUMBER(R1129)),IF(R1129&gt;12,"Event hours look high. ",""),"")&amp;IF(G1129&gt;0,"See CONFIRM sheet.",""))</f>
        <v/>
      </c>
      <c r="AB1129" s="1" t="n">
        <f aca="false">IF(N1129="No",0,IF(REVIEW!O1129=0,0,IF(G1129&gt;0,IF(INDEX(CONFIRM!$J$5:$J$53,G1129)&lt;&gt;"",INDEX(CONFIRM!$J$5:$J$53,G1129),1),1)))</f>
        <v>1</v>
      </c>
      <c r="AC1129" s="1" t="n">
        <f aca="false">IF(AB1129=1,IF(COUNTIFS($B$5:B1129,B1129,$D$5:D1129,D1129,$AB$5:AB1129,1)=1,1,0),0)</f>
        <v>0</v>
      </c>
    </row>
    <row r="1130" customFormat="false" ht="15" hidden="false" customHeight="false" outlineLevel="0" collapsed="false">
      <c r="A1130" s="48" t="str">
        <f aca="false">STACK!A1130</f>
        <v>WCH-0023</v>
      </c>
      <c r="B1130" s="48" t="str">
        <f aca="false">STACK!B1130</f>
        <v>WCH</v>
      </c>
      <c r="C1130" s="48" t="str">
        <f aca="false">STACK!E1130</f>
        <v>grief group</v>
      </c>
      <c r="D1130" s="1" t="str">
        <f aca="false">IFERROR(INDEX(MAP!$J$7:$J$101,MATCH(TRIM(C1130),MAP!$I$7:$I$101,0)),"UNMAPPED")</f>
        <v>Grief Support Group</v>
      </c>
      <c r="E1130" s="1" t="str">
        <f aca="false">IFERROR(INDEX(MAP!$K$7:$K$101,MATCH(TRIM(C1130),MAP!$I$7:$I$101,0)),"")</f>
        <v>Behavioral health</v>
      </c>
      <c r="F1130" s="1" t="str">
        <f aca="false">IFERROR(INDEX(MAP!$L$7:$L$101,MATCH(TRIM(C1130),MAP!$I$7:$I$101,0)),"")</f>
        <v>Event</v>
      </c>
      <c r="G1130" s="1" t="n">
        <f aca="false">IFERROR(MATCH(A1130,CONFIRM!$A$5:$A$53,0),0)</f>
        <v>0</v>
      </c>
      <c r="H1130" s="48" t="str">
        <f aca="false">STACK!F1130</f>
        <v>CHIS support</v>
      </c>
      <c r="I1130" s="1" t="str">
        <f aca="false">IF(G1130&gt;0,IF(INDEX(CONFIRM!$I$5:$I$53,G1130)&lt;&gt;"",INDEX(CONFIRM!$I$5:$I$53,G1130),H1130),H1130)</f>
        <v>CHIS support</v>
      </c>
      <c r="J1130" s="1" t="str">
        <f aca="false">IFERROR(INDEX(MAP!$F$7:$F$74,MATCH(TRIM(I1130),MAP!$E$7:$E$74,0)),"UNMAPPED")</f>
        <v>Health care support services</v>
      </c>
      <c r="K1130" s="1" t="str">
        <f aca="false">IFERROR(INDEX(MAP!$G$7:$G$74,MATCH(TRIM(I1130),MAP!$E$7:$E$74,0)),"UNMAPPED")</f>
        <v>7e</v>
      </c>
      <c r="L1130" s="49" t="str">
        <f aca="false">STACK!G1130</f>
        <v>8/2/25</v>
      </c>
      <c r="M1130" s="59" t="n">
        <f aca="false">IF(G1130&gt;0,IF(INDEX(CONFIRM!$G$5:$G$53,G1130)&lt;&gt;"",INDEX(CONFIRM!$G$5:$G$53,G1130),IF(ISNUMBER(L1130),L1130,IFERROR(DATEVALUE(L1130),""))),IF(ISNUMBER(L1130),L1130,IFERROR(DATEVALUE(L1130),"")))</f>
        <v>45871</v>
      </c>
      <c r="N1130" s="1" t="str">
        <f aca="false">IF(M1130="","Check",IF(AND(M1130&gt;=INPUTS!$C$6,M1130&lt;=INPUTS!$C$7),"Yes","No"))</f>
        <v>Yes</v>
      </c>
      <c r="O1130" s="48" t="str">
        <f aca="false">STACK!H1130</f>
        <v>Chaplain</v>
      </c>
      <c r="P1130" s="1" t="str">
        <f aca="false">IF(G1130&gt;0,IF(INDEX(CONFIRM!$H$5:$H$53,G1130)&lt;&gt;"",INDEX(CONFIRM!$H$5:$H$53,G1130),IFERROR(INDEX(MAP!$B$7:$B$156,MATCH(TRIM(O1130),MAP!$A$7:$A$156,0)),"UNMAPPED")),IFERROR(INDEX(MAP!$B$7:$B$156,MATCH(TRIM(O1130),MAP!$A$7:$A$156,0)),"UNMAPPED"))</f>
        <v>Chaplain</v>
      </c>
      <c r="Q1130" s="48" t="str">
        <f aca="false">STACK!I1130</f>
        <v>2.5 hr</v>
      </c>
      <c r="R1130" s="60" t="n">
        <f aca="false">IF(G1130&gt;0,IF(INDEX(CONFIRM!$F$5:$F$53,G1130)&lt;&gt;"",INDEX(CONFIRM!$F$5:$F$53,G1130),IF(ISNUMBER(Q1130),Q1130,IF(Q1130="","",IFERROR(VALUE(TRIM(SUBSTITUTE(SUBSTITUTE(LOWER(Q1130),"hrs",""),"hr",""))),"")))),IF(ISNUMBER(Q1130),Q1130,IF(Q1130="","",IFERROR(VALUE(TRIM(SUBSTITUTE(SUBSTITUTE(LOWER(Q1130),"hrs",""),"hr",""))),""))))</f>
        <v>2.5</v>
      </c>
      <c r="S1130" s="57" t="n">
        <f aca="false">IFERROR(INDEX(RATES!$E$6:$E$28,MATCH(P1130,RATES!$A$6:$A$28,0)),0)</f>
        <v>39.835</v>
      </c>
      <c r="T1130" s="61" t="n">
        <f aca="false">IF(ISNUMBER(R1130),R1130,0)*S1130</f>
        <v>99.5875</v>
      </c>
      <c r="U1130" s="61" t="n">
        <f aca="false">T1130*INDEX(INPUTS!$H$10:$H$14,MATCH(B1130,INPUTS!$A$10:$A$14,0))</f>
        <v>14.0418375</v>
      </c>
      <c r="V1130" s="61" t="n">
        <f aca="false">N(STACK!K1130)</f>
        <v>20</v>
      </c>
      <c r="W1130" s="61" t="n">
        <f aca="false">T1130+U1130+V1130</f>
        <v>133.6293375</v>
      </c>
      <c r="X1130" s="61" t="n">
        <f aca="false">N(STACK!L1130)</f>
        <v>0</v>
      </c>
      <c r="Y1130" s="61" t="n">
        <f aca="false">W1130-X1130</f>
        <v>133.6293375</v>
      </c>
      <c r="Z1130" s="1" t="n">
        <f aca="false">N(STACK!J1130)</f>
        <v>10</v>
      </c>
      <c r="AA1130" s="1" t="str">
        <f aca="false">TRIM(IF(D1130="UNMAPPED","Program not mapped. ","")&amp;IF(OR(K1130="UNMAPPED",K1130="UNASSIGNED"),"Category needs review. ","")&amp;IF(P1130="UNMAPPED","Title not mapped. ","")&amp;IF(AND(P1130&lt;&gt;"No staff time",R1130=""),"Missing hours. ","")&amp;IF(M1130="","Date not readable. ","")&amp;IF(N1130="No","Outside fiscal year. ","")&amp;IF(AND(F1130="Event",ISNUMBER(R1130)),IF(R1130&gt;12,"Event hours look high. ",""),"")&amp;IF(G1130&gt;0,"See CONFIRM sheet.",""))</f>
        <v/>
      </c>
      <c r="AB1130" s="1" t="n">
        <f aca="false">IF(N1130="No",0,IF(REVIEW!O1130=0,0,IF(G1130&gt;0,IF(INDEX(CONFIRM!$J$5:$J$53,G1130)&lt;&gt;"",INDEX(CONFIRM!$J$5:$J$53,G1130),1),1)))</f>
        <v>1</v>
      </c>
      <c r="AC1130" s="1" t="n">
        <f aca="false">IF(AB1130=1,IF(COUNTIFS($B$5:B1130,B1130,$D$5:D1130,D1130,$AB$5:AB1130,1)=1,1,0),0)</f>
        <v>0</v>
      </c>
    </row>
    <row r="1131" customFormat="false" ht="15" hidden="false" customHeight="false" outlineLevel="0" collapsed="false">
      <c r="A1131" s="48" t="str">
        <f aca="false">STACK!A1131</f>
        <v>WCH-0024</v>
      </c>
      <c r="B1131" s="48" t="str">
        <f aca="false">STACK!B1131</f>
        <v>WCH</v>
      </c>
      <c r="C1131" s="48" t="str">
        <f aca="false">STACK!E1131</f>
        <v>grief group</v>
      </c>
      <c r="D1131" s="1" t="str">
        <f aca="false">IFERROR(INDEX(MAP!$J$7:$J$101,MATCH(TRIM(C1131),MAP!$I$7:$I$101,0)),"UNMAPPED")</f>
        <v>Grief Support Group</v>
      </c>
      <c r="E1131" s="1" t="str">
        <f aca="false">IFERROR(INDEX(MAP!$K$7:$K$101,MATCH(TRIM(C1131),MAP!$I$7:$I$101,0)),"")</f>
        <v>Behavioral health</v>
      </c>
      <c r="F1131" s="1" t="str">
        <f aca="false">IFERROR(INDEX(MAP!$L$7:$L$101,MATCH(TRIM(C1131),MAP!$I$7:$I$101,0)),"")</f>
        <v>Event</v>
      </c>
      <c r="G1131" s="1" t="n">
        <f aca="false">IFERROR(MATCH(A1131,CONFIRM!$A$5:$A$53,0),0)</f>
        <v>0</v>
      </c>
      <c r="H1131" s="48" t="str">
        <f aca="false">STACK!F1131</f>
        <v>CHIS support</v>
      </c>
      <c r="I1131" s="1" t="str">
        <f aca="false">IF(G1131&gt;0,IF(INDEX(CONFIRM!$I$5:$I$53,G1131)&lt;&gt;"",INDEX(CONFIRM!$I$5:$I$53,G1131),H1131),H1131)</f>
        <v>CHIS support</v>
      </c>
      <c r="J1131" s="1" t="str">
        <f aca="false">IFERROR(INDEX(MAP!$F$7:$F$74,MATCH(TRIM(I1131),MAP!$E$7:$E$74,0)),"UNMAPPED")</f>
        <v>Health care support services</v>
      </c>
      <c r="K1131" s="1" t="str">
        <f aca="false">IFERROR(INDEX(MAP!$G$7:$G$74,MATCH(TRIM(I1131),MAP!$E$7:$E$74,0)),"UNMAPPED")</f>
        <v>7e</v>
      </c>
      <c r="L1131" s="49" t="n">
        <f aca="false">STACK!G1131</f>
        <v>45871</v>
      </c>
      <c r="M1131" s="59" t="n">
        <f aca="false">IF(G1131&gt;0,IF(INDEX(CONFIRM!$G$5:$G$53,G1131)&lt;&gt;"",INDEX(CONFIRM!$G$5:$G$53,G1131),IF(ISNUMBER(L1131),L1131,IFERROR(DATEVALUE(L1131),""))),IF(ISNUMBER(L1131),L1131,IFERROR(DATEVALUE(L1131),"")))</f>
        <v>45871</v>
      </c>
      <c r="N1131" s="1" t="str">
        <f aca="false">IF(M1131="","Check",IF(AND(M1131&gt;=INPUTS!$C$6,M1131&lt;=INPUTS!$C$7),"Yes","No"))</f>
        <v>Yes</v>
      </c>
      <c r="O1131" s="48" t="str">
        <f aca="false">STACK!H1131</f>
        <v> Social Work</v>
      </c>
      <c r="P1131" s="1" t="str">
        <f aca="false">IF(G1131&gt;0,IF(INDEX(CONFIRM!$H$5:$H$53,G1131)&lt;&gt;"",INDEX(CONFIRM!$H$5:$H$53,G1131),IFERROR(INDEX(MAP!$B$7:$B$156,MATCH(TRIM(O1131),MAP!$A$7:$A$156,0)),"UNMAPPED")),IFERROR(INDEX(MAP!$B$7:$B$156,MATCH(TRIM(O1131),MAP!$A$7:$A$156,0)),"UNMAPPED"))</f>
        <v>Social Worker</v>
      </c>
      <c r="Q1131" s="48" t="n">
        <f aca="false">STACK!I1131</f>
        <v>1.75</v>
      </c>
      <c r="R1131" s="60" t="n">
        <f aca="false">IF(G1131&gt;0,IF(INDEX(CONFIRM!$F$5:$F$53,G1131)&lt;&gt;"",INDEX(CONFIRM!$F$5:$F$53,G1131),IF(ISNUMBER(Q1131),Q1131,IF(Q1131="","",IFERROR(VALUE(TRIM(SUBSTITUTE(SUBSTITUTE(LOWER(Q1131),"hrs",""),"hr",""))),"")))),IF(ISNUMBER(Q1131),Q1131,IF(Q1131="","",IFERROR(VALUE(TRIM(SUBSTITUTE(SUBSTITUTE(LOWER(Q1131),"hrs",""),"hr",""))),""))))</f>
        <v>1.75</v>
      </c>
      <c r="S1131" s="57" t="n">
        <f aca="false">IFERROR(INDEX(RATES!$E$6:$E$28,MATCH(P1131,RATES!$A$6:$A$28,0)),0)</f>
        <v>45.6175</v>
      </c>
      <c r="T1131" s="61" t="n">
        <f aca="false">IF(ISNUMBER(R1131),R1131,0)*S1131</f>
        <v>79.830625</v>
      </c>
      <c r="U1131" s="61" t="n">
        <f aca="false">T1131*INDEX(INPUTS!$H$10:$H$14,MATCH(B1131,INPUTS!$A$10:$A$14,0))</f>
        <v>11.256118125</v>
      </c>
      <c r="V1131" s="61" t="n">
        <f aca="false">N(STACK!K1131)</f>
        <v>0</v>
      </c>
      <c r="W1131" s="61" t="n">
        <f aca="false">T1131+U1131+V1131</f>
        <v>91.086743125</v>
      </c>
      <c r="X1131" s="61" t="n">
        <f aca="false">N(STACK!L1131)</f>
        <v>0</v>
      </c>
      <c r="Y1131" s="61" t="n">
        <f aca="false">W1131-X1131</f>
        <v>91.086743125</v>
      </c>
      <c r="Z1131" s="1" t="n">
        <f aca="false">N(STACK!J1131)</f>
        <v>0</v>
      </c>
      <c r="AA1131" s="1" t="str">
        <f aca="false">TRIM(IF(D1131="UNMAPPED","Program not mapped. ","")&amp;IF(OR(K1131="UNMAPPED",K1131="UNASSIGNED"),"Category needs review. ","")&amp;IF(P1131="UNMAPPED","Title not mapped. ","")&amp;IF(AND(P1131&lt;&gt;"No staff time",R1131=""),"Missing hours. ","")&amp;IF(M1131="","Date not readable. ","")&amp;IF(N1131="No","Outside fiscal year. ","")&amp;IF(AND(F1131="Event",ISNUMBER(R1131)),IF(R1131&gt;12,"Event hours look high. ",""),"")&amp;IF(G1131&gt;0,"See CONFIRM sheet.",""))</f>
        <v/>
      </c>
      <c r="AB1131" s="1" t="n">
        <f aca="false">IF(N1131="No",0,IF(REVIEW!O1131=0,0,IF(G1131&gt;0,IF(INDEX(CONFIRM!$J$5:$J$53,G1131)&lt;&gt;"",INDEX(CONFIRM!$J$5:$J$53,G1131),1),1)))</f>
        <v>1</v>
      </c>
      <c r="AC1131" s="1" t="n">
        <f aca="false">IF(AB1131=1,IF(COUNTIFS($B$5:B1131,B1131,$D$5:D1131,D1131,$AB$5:AB1131,1)=1,1,0),0)</f>
        <v>0</v>
      </c>
    </row>
    <row r="1132" customFormat="false" ht="15" hidden="false" customHeight="false" outlineLevel="0" collapsed="false">
      <c r="A1132" s="48" t="str">
        <f aca="false">STACK!A1132</f>
        <v>WCH-0025</v>
      </c>
      <c r="B1132" s="48" t="str">
        <f aca="false">STACK!B1132</f>
        <v>WCH</v>
      </c>
      <c r="C1132" s="48" t="str">
        <f aca="false">STACK!E1132</f>
        <v>car seat check</v>
      </c>
      <c r="D1132" s="1" t="str">
        <f aca="false">IFERROR(INDEX(MAP!$J$7:$J$101,MATCH(TRIM(C1132),MAP!$I$7:$I$101,0)),"UNMAPPED")</f>
        <v>Car Seat Safety Checks</v>
      </c>
      <c r="E1132" s="1" t="str">
        <f aca="false">IFERROR(INDEX(MAP!$K$7:$K$101,MATCH(TRIM(C1132),MAP!$I$7:$I$101,0)),"")</f>
        <v>Maternal and child health</v>
      </c>
      <c r="F1132" s="1" t="str">
        <f aca="false">IFERROR(INDEX(MAP!$L$7:$L$101,MATCH(TRIM(C1132),MAP!$I$7:$I$101,0)),"")</f>
        <v>Event</v>
      </c>
      <c r="G1132" s="1" t="n">
        <f aca="false">IFERROR(MATCH(A1132,CONFIRM!$A$5:$A$53,0),0)</f>
        <v>0</v>
      </c>
      <c r="H1132" s="48" t="str">
        <f aca="false">STACK!F1132</f>
        <v>community health improvement services</v>
      </c>
      <c r="I1132" s="1" t="str">
        <f aca="false">IF(G1132&gt;0,IF(INDEX(CONFIRM!$I$5:$I$53,G1132)&lt;&gt;"",INDEX(CONFIRM!$I$5:$I$53,G1132),H1132),H1132)</f>
        <v>community health improvement services</v>
      </c>
      <c r="J1132" s="1" t="str">
        <f aca="false">IFERROR(INDEX(MAP!$F$7:$F$74,MATCH(TRIM(I1132),MAP!$E$7:$E$74,0)),"UNMAPPED")</f>
        <v>Community health education</v>
      </c>
      <c r="K1132" s="1" t="str">
        <f aca="false">IFERROR(INDEX(MAP!$G$7:$G$74,MATCH(TRIM(I1132),MAP!$E$7:$E$74,0)),"UNMAPPED")</f>
        <v>7e</v>
      </c>
      <c r="L1132" s="49" t="n">
        <f aca="false">STACK!G1132</f>
        <v>45873</v>
      </c>
      <c r="M1132" s="59" t="n">
        <f aca="false">IF(G1132&gt;0,IF(INDEX(CONFIRM!$G$5:$G$53,G1132)&lt;&gt;"",INDEX(CONFIRM!$G$5:$G$53,G1132),IF(ISNUMBER(L1132),L1132,IFERROR(DATEVALUE(L1132),""))),IF(ISNUMBER(L1132),L1132,IFERROR(DATEVALUE(L1132),"")))</f>
        <v>45873</v>
      </c>
      <c r="N1132" s="1" t="str">
        <f aca="false">IF(M1132="","Check",IF(AND(M1132&gt;=INPUTS!$C$6,M1132&lt;=INPUTS!$C$7),"Yes","No"))</f>
        <v>Yes</v>
      </c>
      <c r="O1132" s="48" t="str">
        <f aca="false">STACK!H1132</f>
        <v>Paramedic</v>
      </c>
      <c r="P1132" s="1" t="str">
        <f aca="false">IF(G1132&gt;0,IF(INDEX(CONFIRM!$H$5:$H$53,G1132)&lt;&gt;"",INDEX(CONFIRM!$H$5:$H$53,G1132),IFERROR(INDEX(MAP!$B$7:$B$156,MATCH(TRIM(O1132),MAP!$A$7:$A$156,0)),"UNMAPPED")),IFERROR(INDEX(MAP!$B$7:$B$156,MATCH(TRIM(O1132),MAP!$A$7:$A$156,0)),"UNMAPPED"))</f>
        <v>Paramedic</v>
      </c>
      <c r="Q1132" s="48" t="n">
        <f aca="false">STACK!I1132</f>
        <v>3.5</v>
      </c>
      <c r="R1132" s="60" t="n">
        <f aca="false">IF(G1132&gt;0,IF(INDEX(CONFIRM!$F$5:$F$53,G1132)&lt;&gt;"",INDEX(CONFIRM!$F$5:$F$53,G1132),IF(ISNUMBER(Q1132),Q1132,IF(Q1132="","",IFERROR(VALUE(TRIM(SUBSTITUTE(SUBSTITUTE(LOWER(Q1132),"hrs",""),"hr",""))),"")))),IF(ISNUMBER(Q1132),Q1132,IF(Q1132="","",IFERROR(VALUE(TRIM(SUBSTITUTE(SUBSTITUTE(LOWER(Q1132),"hrs",""),"hr",""))),""))))</f>
        <v>3.5</v>
      </c>
      <c r="S1132" s="57" t="n">
        <f aca="false">IFERROR(INDEX(RATES!$E$6:$E$28,MATCH(P1132,RATES!$A$6:$A$28,0)),0)</f>
        <v>34.695</v>
      </c>
      <c r="T1132" s="61" t="n">
        <f aca="false">IF(ISNUMBER(R1132),R1132,0)*S1132</f>
        <v>121.4325</v>
      </c>
      <c r="U1132" s="61" t="n">
        <f aca="false">T1132*INDEX(INPUTS!$H$10:$H$14,MATCH(B1132,INPUTS!$A$10:$A$14,0))</f>
        <v>17.1219825</v>
      </c>
      <c r="V1132" s="61" t="n">
        <f aca="false">N(STACK!K1132)</f>
        <v>900</v>
      </c>
      <c r="W1132" s="61" t="n">
        <f aca="false">T1132+U1132+V1132</f>
        <v>1038.5544825</v>
      </c>
      <c r="X1132" s="61" t="n">
        <f aca="false">N(STACK!L1132)</f>
        <v>205</v>
      </c>
      <c r="Y1132" s="61" t="n">
        <f aca="false">W1132-X1132</f>
        <v>833.5544825</v>
      </c>
      <c r="Z1132" s="1" t="n">
        <f aca="false">N(STACK!J1132)</f>
        <v>30</v>
      </c>
      <c r="AA1132" s="1" t="str">
        <f aca="false">TRIM(IF(D1132="UNMAPPED","Program not mapped. ","")&amp;IF(OR(K1132="UNMAPPED",K1132="UNASSIGNED"),"Category needs review. ","")&amp;IF(P1132="UNMAPPED","Title not mapped. ","")&amp;IF(AND(P1132&lt;&gt;"No staff time",R1132=""),"Missing hours. ","")&amp;IF(M1132="","Date not readable. ","")&amp;IF(N1132="No","Outside fiscal year. ","")&amp;IF(AND(F1132="Event",ISNUMBER(R1132)),IF(R1132&gt;12,"Event hours look high. ",""),"")&amp;IF(G1132&gt;0,"See CONFIRM sheet.",""))</f>
        <v/>
      </c>
      <c r="AB1132" s="1" t="n">
        <f aca="false">IF(N1132="No",0,IF(REVIEW!O1132=0,0,IF(G1132&gt;0,IF(INDEX(CONFIRM!$J$5:$J$53,G1132)&lt;&gt;"",INDEX(CONFIRM!$J$5:$J$53,G1132),1),1)))</f>
        <v>1</v>
      </c>
      <c r="AC1132" s="1" t="n">
        <f aca="false">IF(AB1132=1,IF(COUNTIFS($B$5:B1132,B1132,$D$5:D1132,D1132,$AB$5:AB1132,1)=1,1,0),0)</f>
        <v>1</v>
      </c>
    </row>
    <row r="1133" customFormat="false" ht="15" hidden="false" customHeight="false" outlineLevel="0" collapsed="false">
      <c r="A1133" s="48" t="str">
        <f aca="false">STACK!A1133</f>
        <v>WCH-0026</v>
      </c>
      <c r="B1133" s="48" t="str">
        <f aca="false">STACK!B1133</f>
        <v>WCH</v>
      </c>
      <c r="C1133" s="48" t="str">
        <f aca="false">STACK!E1133</f>
        <v>car seat check</v>
      </c>
      <c r="D1133" s="1" t="str">
        <f aca="false">IFERROR(INDEX(MAP!$J$7:$J$101,MATCH(TRIM(C1133),MAP!$I$7:$I$101,0)),"UNMAPPED")</f>
        <v>Car Seat Safety Checks</v>
      </c>
      <c r="E1133" s="1" t="str">
        <f aca="false">IFERROR(INDEX(MAP!$K$7:$K$101,MATCH(TRIM(C1133),MAP!$I$7:$I$101,0)),"")</f>
        <v>Maternal and child health</v>
      </c>
      <c r="F1133" s="1" t="str">
        <f aca="false">IFERROR(INDEX(MAP!$L$7:$L$101,MATCH(TRIM(C1133),MAP!$I$7:$I$101,0)),"")</f>
        <v>Event</v>
      </c>
      <c r="G1133" s="1" t="n">
        <f aca="false">IFERROR(MATCH(A1133,CONFIRM!$A$5:$A$53,0),0)</f>
        <v>0</v>
      </c>
      <c r="H1133" s="48" t="str">
        <f aca="false">STACK!F1133</f>
        <v>community health improvement services</v>
      </c>
      <c r="I1133" s="1" t="str">
        <f aca="false">IF(G1133&gt;0,IF(INDEX(CONFIRM!$I$5:$I$53,G1133)&lt;&gt;"",INDEX(CONFIRM!$I$5:$I$53,G1133),H1133),H1133)</f>
        <v>community health improvement services</v>
      </c>
      <c r="J1133" s="1" t="str">
        <f aca="false">IFERROR(INDEX(MAP!$F$7:$F$74,MATCH(TRIM(I1133),MAP!$E$7:$E$74,0)),"UNMAPPED")</f>
        <v>Community health education</v>
      </c>
      <c r="K1133" s="1" t="str">
        <f aca="false">IFERROR(INDEX(MAP!$G$7:$G$74,MATCH(TRIM(I1133),MAP!$E$7:$E$74,0)),"UNMAPPED")</f>
        <v>7e</v>
      </c>
      <c r="L1133" s="49" t="n">
        <f aca="false">STACK!G1133</f>
        <v>45873</v>
      </c>
      <c r="M1133" s="59" t="n">
        <f aca="false">IF(G1133&gt;0,IF(INDEX(CONFIRM!$G$5:$G$53,G1133)&lt;&gt;"",INDEX(CONFIRM!$G$5:$G$53,G1133),IF(ISNUMBER(L1133),L1133,IFERROR(DATEVALUE(L1133),""))),IF(ISNUMBER(L1133),L1133,IFERROR(DATEVALUE(L1133),"")))</f>
        <v>45873</v>
      </c>
      <c r="N1133" s="1" t="str">
        <f aca="false">IF(M1133="","Check",IF(AND(M1133&gt;=INPUTS!$C$6,M1133&lt;=INPUTS!$C$7),"Yes","No"))</f>
        <v>Yes</v>
      </c>
      <c r="O1133" s="48" t="str">
        <f aca="false">STACK!H1133</f>
        <v>Staff RN</v>
      </c>
      <c r="P1133" s="1" t="str">
        <f aca="false">IF(G1133&gt;0,IF(INDEX(CONFIRM!$H$5:$H$53,G1133)&lt;&gt;"",INDEX(CONFIRM!$H$5:$H$53,G1133),IFERROR(INDEX(MAP!$B$7:$B$156,MATCH(TRIM(O1133),MAP!$A$7:$A$156,0)),"UNMAPPED")),IFERROR(INDEX(MAP!$B$7:$B$156,MATCH(TRIM(O1133),MAP!$A$7:$A$156,0)),"UNMAPPED"))</f>
        <v>Registered Nurse</v>
      </c>
      <c r="Q1133" s="48" t="n">
        <f aca="false">STACK!I1133</f>
        <v>3.25</v>
      </c>
      <c r="R1133" s="60" t="n">
        <f aca="false">IF(G1133&gt;0,IF(INDEX(CONFIRM!$F$5:$F$53,G1133)&lt;&gt;"",INDEX(CONFIRM!$F$5:$F$53,G1133),IF(ISNUMBER(Q1133),Q1133,IF(Q1133="","",IFERROR(VALUE(TRIM(SUBSTITUTE(SUBSTITUTE(LOWER(Q1133),"hrs",""),"hr",""))),"")))),IF(ISNUMBER(Q1133),Q1133,IF(Q1133="","",IFERROR(VALUE(TRIM(SUBSTITUTE(SUBSTITUTE(LOWER(Q1133),"hrs",""),"hr",""))),""))))</f>
        <v>3.25</v>
      </c>
      <c r="S1133" s="57" t="n">
        <f aca="false">IFERROR(INDEX(RATES!$E$6:$E$28,MATCH(P1133,RATES!$A$6:$A$28,0)),0)</f>
        <v>55.8975</v>
      </c>
      <c r="T1133" s="61" t="n">
        <f aca="false">IF(ISNUMBER(R1133),R1133,0)*S1133</f>
        <v>181.666875</v>
      </c>
      <c r="U1133" s="61" t="n">
        <f aca="false">T1133*INDEX(INPUTS!$H$10:$H$14,MATCH(B1133,INPUTS!$A$10:$A$14,0))</f>
        <v>25.615029375</v>
      </c>
      <c r="V1133" s="61" t="n">
        <f aca="false">N(STACK!K1133)</f>
        <v>0</v>
      </c>
      <c r="W1133" s="61" t="n">
        <f aca="false">T1133+U1133+V1133</f>
        <v>207.281904375</v>
      </c>
      <c r="X1133" s="61" t="n">
        <f aca="false">N(STACK!L1133)</f>
        <v>0</v>
      </c>
      <c r="Y1133" s="61" t="n">
        <f aca="false">W1133-X1133</f>
        <v>207.281904375</v>
      </c>
      <c r="Z1133" s="1" t="n">
        <f aca="false">N(STACK!J1133)</f>
        <v>0</v>
      </c>
      <c r="AA1133" s="1" t="str">
        <f aca="false">TRIM(IF(D1133="UNMAPPED","Program not mapped. ","")&amp;IF(OR(K1133="UNMAPPED",K1133="UNASSIGNED"),"Category needs review. ","")&amp;IF(P1133="UNMAPPED","Title not mapped. ","")&amp;IF(AND(P1133&lt;&gt;"No staff time",R1133=""),"Missing hours. ","")&amp;IF(M1133="","Date not readable. ","")&amp;IF(N1133="No","Outside fiscal year. ","")&amp;IF(AND(F1133="Event",ISNUMBER(R1133)),IF(R1133&gt;12,"Event hours look high. ",""),"")&amp;IF(G1133&gt;0,"See CONFIRM sheet.",""))</f>
        <v/>
      </c>
      <c r="AB1133" s="1" t="n">
        <f aca="false">IF(N1133="No",0,IF(REVIEW!O1133=0,0,IF(G1133&gt;0,IF(INDEX(CONFIRM!$J$5:$J$53,G1133)&lt;&gt;"",INDEX(CONFIRM!$J$5:$J$53,G1133),1),1)))</f>
        <v>1</v>
      </c>
      <c r="AC1133" s="1" t="n">
        <f aca="false">IF(AB1133=1,IF(COUNTIFS($B$5:B1133,B1133,$D$5:D1133,D1133,$AB$5:AB1133,1)=1,1,0),0)</f>
        <v>0</v>
      </c>
    </row>
    <row r="1134" customFormat="false" ht="15" hidden="false" customHeight="false" outlineLevel="0" collapsed="false">
      <c r="A1134" s="48" t="str">
        <f aca="false">STACK!A1134</f>
        <v>WCH-0027</v>
      </c>
      <c r="B1134" s="48" t="str">
        <f aca="false">STACK!B1134</f>
        <v>WCH</v>
      </c>
      <c r="C1134" s="48" t="str">
        <f aca="false">STACK!E1134</f>
        <v>diabetes prevention class</v>
      </c>
      <c r="D1134" s="1" t="str">
        <f aca="false">IFERROR(INDEX(MAP!$J$7:$J$101,MATCH(TRIM(C1134),MAP!$I$7:$I$101,0)),"UNMAPPED")</f>
        <v>Diabetes Prevention Classes</v>
      </c>
      <c r="E1134" s="1" t="str">
        <f aca="false">IFERROR(INDEX(MAP!$K$7:$K$101,MATCH(TRIM(C1134),MAP!$I$7:$I$101,0)),"")</f>
        <v>Chronic disease prevention</v>
      </c>
      <c r="F1134" s="1" t="str">
        <f aca="false">IFERROR(INDEX(MAP!$L$7:$L$101,MATCH(TRIM(C1134),MAP!$I$7:$I$101,0)),"")</f>
        <v>Event</v>
      </c>
      <c r="G1134" s="1" t="n">
        <f aca="false">IFERROR(MATCH(A1134,CONFIRM!$A$5:$A$53,0),0)</f>
        <v>0</v>
      </c>
      <c r="H1134" s="48" t="str">
        <f aca="false">STACK!F1134</f>
        <v>community health improvement services</v>
      </c>
      <c r="I1134" s="1" t="str">
        <f aca="false">IF(G1134&gt;0,IF(INDEX(CONFIRM!$I$5:$I$53,G1134)&lt;&gt;"",INDEX(CONFIRM!$I$5:$I$53,G1134),H1134),H1134)</f>
        <v>community health improvement services</v>
      </c>
      <c r="J1134" s="1" t="str">
        <f aca="false">IFERROR(INDEX(MAP!$F$7:$F$74,MATCH(TRIM(I1134),MAP!$E$7:$E$74,0)),"UNMAPPED")</f>
        <v>Community health education</v>
      </c>
      <c r="K1134" s="1" t="str">
        <f aca="false">IFERROR(INDEX(MAP!$G$7:$G$74,MATCH(TRIM(I1134),MAP!$E$7:$E$74,0)),"UNMAPPED")</f>
        <v>7e</v>
      </c>
      <c r="L1134" s="49" t="str">
        <f aca="false">STACK!G1134</f>
        <v>8/7/25</v>
      </c>
      <c r="M1134" s="59" t="n">
        <f aca="false">IF(G1134&gt;0,IF(INDEX(CONFIRM!$G$5:$G$53,G1134)&lt;&gt;"",INDEX(CONFIRM!$G$5:$G$53,G1134),IF(ISNUMBER(L1134),L1134,IFERROR(DATEVALUE(L1134),""))),IF(ISNUMBER(L1134),L1134,IFERROR(DATEVALUE(L1134),"")))</f>
        <v>45876</v>
      </c>
      <c r="N1134" s="1" t="str">
        <f aca="false">IF(M1134="","Check",IF(AND(M1134&gt;=INPUTS!$C$6,M1134&lt;=INPUTS!$C$7),"Yes","No"))</f>
        <v>Yes</v>
      </c>
      <c r="O1134" s="48" t="str">
        <f aca="false">STACK!H1134</f>
        <v>Community Educator</v>
      </c>
      <c r="P1134" s="1" t="str">
        <f aca="false">IF(G1134&gt;0,IF(INDEX(CONFIRM!$H$5:$H$53,G1134)&lt;&gt;"",INDEX(CONFIRM!$H$5:$H$53,G1134),IFERROR(INDEX(MAP!$B$7:$B$156,MATCH(TRIM(O1134),MAP!$A$7:$A$156,0)),"UNMAPPED")),IFERROR(INDEX(MAP!$B$7:$B$156,MATCH(TRIM(O1134),MAP!$A$7:$A$156,0)),"UNMAPPED"))</f>
        <v>Health Educator</v>
      </c>
      <c r="Q1134" s="48" t="n">
        <f aca="false">STACK!I1134</f>
        <v>2.75</v>
      </c>
      <c r="R1134" s="60" t="n">
        <f aca="false">IF(G1134&gt;0,IF(INDEX(CONFIRM!$F$5:$F$53,G1134)&lt;&gt;"",INDEX(CONFIRM!$F$5:$F$53,G1134),IF(ISNUMBER(Q1134),Q1134,IF(Q1134="","",IFERROR(VALUE(TRIM(SUBSTITUTE(SUBSTITUTE(LOWER(Q1134),"hrs",""),"hr",""))),"")))),IF(ISNUMBER(Q1134),Q1134,IF(Q1134="","",IFERROR(VALUE(TRIM(SUBSTITUTE(SUBSTITUTE(LOWER(Q1134),"hrs",""),"hr",""))),""))))</f>
        <v>2.75</v>
      </c>
      <c r="S1134" s="57" t="n">
        <f aca="false">IFERROR(INDEX(RATES!$E$6:$E$28,MATCH(P1134,RATES!$A$6:$A$28,0)),0)</f>
        <v>37.265</v>
      </c>
      <c r="T1134" s="61" t="n">
        <f aca="false">IF(ISNUMBER(R1134),R1134,0)*S1134</f>
        <v>102.47875</v>
      </c>
      <c r="U1134" s="61" t="n">
        <f aca="false">T1134*INDEX(INPUTS!$H$10:$H$14,MATCH(B1134,INPUTS!$A$10:$A$14,0))</f>
        <v>14.44950375</v>
      </c>
      <c r="V1134" s="61" t="n">
        <f aca="false">N(STACK!K1134)</f>
        <v>170</v>
      </c>
      <c r="W1134" s="61" t="n">
        <f aca="false">T1134+U1134+V1134</f>
        <v>286.92825375</v>
      </c>
      <c r="X1134" s="61" t="n">
        <f aca="false">N(STACK!L1134)</f>
        <v>0</v>
      </c>
      <c r="Y1134" s="61" t="n">
        <f aca="false">W1134-X1134</f>
        <v>286.92825375</v>
      </c>
      <c r="Z1134" s="1" t="n">
        <f aca="false">N(STACK!J1134)</f>
        <v>10</v>
      </c>
      <c r="AA1134" s="1" t="str">
        <f aca="false">TRIM(IF(D1134="UNMAPPED","Program not mapped. ","")&amp;IF(OR(K1134="UNMAPPED",K1134="UNASSIGNED"),"Category needs review. ","")&amp;IF(P1134="UNMAPPED","Title not mapped. ","")&amp;IF(AND(P1134&lt;&gt;"No staff time",R1134=""),"Missing hours. ","")&amp;IF(M1134="","Date not readable. ","")&amp;IF(N1134="No","Outside fiscal year. ","")&amp;IF(AND(F1134="Event",ISNUMBER(R1134)),IF(R1134&gt;12,"Event hours look high. ",""),"")&amp;IF(G1134&gt;0,"See CONFIRM sheet.",""))</f>
        <v/>
      </c>
      <c r="AB1134" s="1" t="n">
        <f aca="false">IF(N1134="No",0,IF(REVIEW!O1134=0,0,IF(G1134&gt;0,IF(INDEX(CONFIRM!$J$5:$J$53,G1134)&lt;&gt;"",INDEX(CONFIRM!$J$5:$J$53,G1134),1),1)))</f>
        <v>1</v>
      </c>
      <c r="AC1134" s="1" t="n">
        <f aca="false">IF(AB1134=1,IF(COUNTIFS($B$5:B1134,B1134,$D$5:D1134,D1134,$AB$5:AB1134,1)=1,1,0),0)</f>
        <v>1</v>
      </c>
    </row>
    <row r="1135" customFormat="false" ht="15" hidden="false" customHeight="false" outlineLevel="0" collapsed="false">
      <c r="A1135" s="48" t="str">
        <f aca="false">STACK!A1135</f>
        <v>WCH-0028</v>
      </c>
      <c r="B1135" s="48" t="str">
        <f aca="false">STACK!B1135</f>
        <v>WCH</v>
      </c>
      <c r="C1135" s="48" t="str">
        <f aca="false">STACK!E1135</f>
        <v>diabetes prevention class</v>
      </c>
      <c r="D1135" s="1" t="str">
        <f aca="false">IFERROR(INDEX(MAP!$J$7:$J$101,MATCH(TRIM(C1135),MAP!$I$7:$I$101,0)),"UNMAPPED")</f>
        <v>Diabetes Prevention Classes</v>
      </c>
      <c r="E1135" s="1" t="str">
        <f aca="false">IFERROR(INDEX(MAP!$K$7:$K$101,MATCH(TRIM(C1135),MAP!$I$7:$I$101,0)),"")</f>
        <v>Chronic disease prevention</v>
      </c>
      <c r="F1135" s="1" t="str">
        <f aca="false">IFERROR(INDEX(MAP!$L$7:$L$101,MATCH(TRIM(C1135),MAP!$I$7:$I$101,0)),"")</f>
        <v>Event</v>
      </c>
      <c r="G1135" s="1" t="n">
        <f aca="false">IFERROR(MATCH(A1135,CONFIRM!$A$5:$A$53,0),0)</f>
        <v>0</v>
      </c>
      <c r="H1135" s="48" t="str">
        <f aca="false">STACK!F1135</f>
        <v>community health improvement services</v>
      </c>
      <c r="I1135" s="1" t="str">
        <f aca="false">IF(G1135&gt;0,IF(INDEX(CONFIRM!$I$5:$I$53,G1135)&lt;&gt;"",INDEX(CONFIRM!$I$5:$I$53,G1135),H1135),H1135)</f>
        <v>community health improvement services</v>
      </c>
      <c r="J1135" s="1" t="str">
        <f aca="false">IFERROR(INDEX(MAP!$F$7:$F$74,MATCH(TRIM(I1135),MAP!$E$7:$E$74,0)),"UNMAPPED")</f>
        <v>Community health education</v>
      </c>
      <c r="K1135" s="1" t="str">
        <f aca="false">IFERROR(INDEX(MAP!$G$7:$G$74,MATCH(TRIM(I1135),MAP!$E$7:$E$74,0)),"UNMAPPED")</f>
        <v>7e</v>
      </c>
      <c r="L1135" s="49" t="str">
        <f aca="false">STACK!G1135</f>
        <v>8/7/25</v>
      </c>
      <c r="M1135" s="59" t="n">
        <f aca="false">IF(G1135&gt;0,IF(INDEX(CONFIRM!$G$5:$G$53,G1135)&lt;&gt;"",INDEX(CONFIRM!$G$5:$G$53,G1135),IF(ISNUMBER(L1135),L1135,IFERROR(DATEVALUE(L1135),""))),IF(ISNUMBER(L1135),L1135,IFERROR(DATEVALUE(L1135),"")))</f>
        <v>45876</v>
      </c>
      <c r="N1135" s="1" t="str">
        <f aca="false">IF(M1135="","Check",IF(AND(M1135&gt;=INPUTS!$C$6,M1135&lt;=INPUTS!$C$7),"Yes","No"))</f>
        <v>Yes</v>
      </c>
      <c r="O1135" s="48" t="str">
        <f aca="false">STACK!H1135</f>
        <v>RDN</v>
      </c>
      <c r="P1135" s="1" t="str">
        <f aca="false">IF(G1135&gt;0,IF(INDEX(CONFIRM!$H$5:$H$53,G1135)&lt;&gt;"",INDEX(CONFIRM!$H$5:$H$53,G1135),IFERROR(INDEX(MAP!$B$7:$B$156,MATCH(TRIM(O1135),MAP!$A$7:$A$156,0)),"UNMAPPED")),IFERROR(INDEX(MAP!$B$7:$B$156,MATCH(TRIM(O1135),MAP!$A$7:$A$156,0)),"UNMAPPED"))</f>
        <v>Registered Dietitian</v>
      </c>
      <c r="Q1135" s="48" t="n">
        <f aca="false">STACK!I1135</f>
        <v>1.5</v>
      </c>
      <c r="R1135" s="60" t="n">
        <f aca="false">IF(G1135&gt;0,IF(INDEX(CONFIRM!$F$5:$F$53,G1135)&lt;&gt;"",INDEX(CONFIRM!$F$5:$F$53,G1135),IF(ISNUMBER(Q1135),Q1135,IF(Q1135="","",IFERROR(VALUE(TRIM(SUBSTITUTE(SUBSTITUTE(LOWER(Q1135),"hrs",""),"hr",""))),"")))),IF(ISNUMBER(Q1135),Q1135,IF(Q1135="","",IFERROR(VALUE(TRIM(SUBSTITUTE(SUBSTITUTE(LOWER(Q1135),"hrs",""),"hr",""))),""))))</f>
        <v>1.5</v>
      </c>
      <c r="S1135" s="57" t="n">
        <f aca="false">IFERROR(INDEX(RATES!$E$6:$E$28,MATCH(P1135,RATES!$A$6:$A$28,0)),0)</f>
        <v>46.9025</v>
      </c>
      <c r="T1135" s="61" t="n">
        <f aca="false">IF(ISNUMBER(R1135),R1135,0)*S1135</f>
        <v>70.35375</v>
      </c>
      <c r="U1135" s="61" t="n">
        <f aca="false">T1135*INDEX(INPUTS!$H$10:$H$14,MATCH(B1135,INPUTS!$A$10:$A$14,0))</f>
        <v>9.91987875</v>
      </c>
      <c r="V1135" s="61" t="n">
        <f aca="false">N(STACK!K1135)</f>
        <v>0</v>
      </c>
      <c r="W1135" s="61" t="n">
        <f aca="false">T1135+U1135+V1135</f>
        <v>80.27362875</v>
      </c>
      <c r="X1135" s="61" t="n">
        <f aca="false">N(STACK!L1135)</f>
        <v>0</v>
      </c>
      <c r="Y1135" s="61" t="n">
        <f aca="false">W1135-X1135</f>
        <v>80.27362875</v>
      </c>
      <c r="Z1135" s="1" t="n">
        <f aca="false">N(STACK!J1135)</f>
        <v>0</v>
      </c>
      <c r="AA1135" s="1" t="str">
        <f aca="false">TRIM(IF(D1135="UNMAPPED","Program not mapped. ","")&amp;IF(OR(K1135="UNMAPPED",K1135="UNASSIGNED"),"Category needs review. ","")&amp;IF(P1135="UNMAPPED","Title not mapped. ","")&amp;IF(AND(P1135&lt;&gt;"No staff time",R1135=""),"Missing hours. ","")&amp;IF(M1135="","Date not readable. ","")&amp;IF(N1135="No","Outside fiscal year. ","")&amp;IF(AND(F1135="Event",ISNUMBER(R1135)),IF(R1135&gt;12,"Event hours look high. ",""),"")&amp;IF(G1135&gt;0,"See CONFIRM sheet.",""))</f>
        <v/>
      </c>
      <c r="AB1135" s="1" t="n">
        <f aca="false">IF(N1135="No",0,IF(REVIEW!O1135=0,0,IF(G1135&gt;0,IF(INDEX(CONFIRM!$J$5:$J$53,G1135)&lt;&gt;"",INDEX(CONFIRM!$J$5:$J$53,G1135),1),1)))</f>
        <v>1</v>
      </c>
      <c r="AC1135" s="1" t="n">
        <f aca="false">IF(AB1135=1,IF(COUNTIFS($B$5:B1135,B1135,$D$5:D1135,D1135,$AB$5:AB1135,1)=1,1,0),0)</f>
        <v>0</v>
      </c>
    </row>
    <row r="1136" customFormat="false" ht="15" hidden="false" customHeight="false" outlineLevel="0" collapsed="false">
      <c r="A1136" s="48" t="str">
        <f aca="false">STACK!A1136</f>
        <v>WCH-0029</v>
      </c>
      <c r="B1136" s="48" t="str">
        <f aca="false">STACK!B1136</f>
        <v>WCH</v>
      </c>
      <c r="C1136" s="48" t="str">
        <f aca="false">STACK!E1136</f>
        <v>grief group</v>
      </c>
      <c r="D1136" s="1" t="str">
        <f aca="false">IFERROR(INDEX(MAP!$J$7:$J$101,MATCH(TRIM(C1136),MAP!$I$7:$I$101,0)),"UNMAPPED")</f>
        <v>Grief Support Group</v>
      </c>
      <c r="E1136" s="1" t="str">
        <f aca="false">IFERROR(INDEX(MAP!$K$7:$K$101,MATCH(TRIM(C1136),MAP!$I$7:$I$101,0)),"")</f>
        <v>Behavioral health</v>
      </c>
      <c r="F1136" s="1" t="str">
        <f aca="false">IFERROR(INDEX(MAP!$L$7:$L$101,MATCH(TRIM(C1136),MAP!$I$7:$I$101,0)),"")</f>
        <v>Event</v>
      </c>
      <c r="G1136" s="1" t="n">
        <f aca="false">IFERROR(MATCH(A1136,CONFIRM!$A$5:$A$53,0),0)</f>
        <v>0</v>
      </c>
      <c r="H1136" s="48" t="str">
        <f aca="false">STACK!F1136</f>
        <v>CHIS support</v>
      </c>
      <c r="I1136" s="1" t="str">
        <f aca="false">IF(G1136&gt;0,IF(INDEX(CONFIRM!$I$5:$I$53,G1136)&lt;&gt;"",INDEX(CONFIRM!$I$5:$I$53,G1136),H1136),H1136)</f>
        <v>CHIS support</v>
      </c>
      <c r="J1136" s="1" t="str">
        <f aca="false">IFERROR(INDEX(MAP!$F$7:$F$74,MATCH(TRIM(I1136),MAP!$E$7:$E$74,0)),"UNMAPPED")</f>
        <v>Health care support services</v>
      </c>
      <c r="K1136" s="1" t="str">
        <f aca="false">IFERROR(INDEX(MAP!$G$7:$G$74,MATCH(TRIM(I1136),MAP!$E$7:$E$74,0)),"UNMAPPED")</f>
        <v>7e</v>
      </c>
      <c r="L1136" s="49" t="n">
        <f aca="false">STACK!G1136</f>
        <v>45882</v>
      </c>
      <c r="M1136" s="59" t="n">
        <f aca="false">IF(G1136&gt;0,IF(INDEX(CONFIRM!$G$5:$G$53,G1136)&lt;&gt;"",INDEX(CONFIRM!$G$5:$G$53,G1136),IF(ISNUMBER(L1136),L1136,IFERROR(DATEVALUE(L1136),""))),IF(ISNUMBER(L1136),L1136,IFERROR(DATEVALUE(L1136),"")))</f>
        <v>45882</v>
      </c>
      <c r="N1136" s="1" t="str">
        <f aca="false">IF(M1136="","Check",IF(AND(M1136&gt;=INPUTS!$C$6,M1136&lt;=INPUTS!$C$7),"Yes","No"))</f>
        <v>Yes</v>
      </c>
      <c r="O1136" s="48" t="str">
        <f aca="false">STACK!H1136</f>
        <v>Spiritual Care</v>
      </c>
      <c r="P1136" s="1" t="str">
        <f aca="false">IF(G1136&gt;0,IF(INDEX(CONFIRM!$H$5:$H$53,G1136)&lt;&gt;"",INDEX(CONFIRM!$H$5:$H$53,G1136),IFERROR(INDEX(MAP!$B$7:$B$156,MATCH(TRIM(O1136),MAP!$A$7:$A$156,0)),"UNMAPPED")),IFERROR(INDEX(MAP!$B$7:$B$156,MATCH(TRIM(O1136),MAP!$A$7:$A$156,0)),"UNMAPPED"))</f>
        <v>Chaplain</v>
      </c>
      <c r="Q1136" s="48" t="n">
        <f aca="false">STACK!I1136</f>
        <v>2</v>
      </c>
      <c r="R1136" s="60" t="n">
        <f aca="false">IF(G1136&gt;0,IF(INDEX(CONFIRM!$F$5:$F$53,G1136)&lt;&gt;"",INDEX(CONFIRM!$F$5:$F$53,G1136),IF(ISNUMBER(Q1136),Q1136,IF(Q1136="","",IFERROR(VALUE(TRIM(SUBSTITUTE(SUBSTITUTE(LOWER(Q1136),"hrs",""),"hr",""))),"")))),IF(ISNUMBER(Q1136),Q1136,IF(Q1136="","",IFERROR(VALUE(TRIM(SUBSTITUTE(SUBSTITUTE(LOWER(Q1136),"hrs",""),"hr",""))),""))))</f>
        <v>2</v>
      </c>
      <c r="S1136" s="57" t="n">
        <f aca="false">IFERROR(INDEX(RATES!$E$6:$E$28,MATCH(P1136,RATES!$A$6:$A$28,0)),0)</f>
        <v>39.835</v>
      </c>
      <c r="T1136" s="61" t="n">
        <f aca="false">IF(ISNUMBER(R1136),R1136,0)*S1136</f>
        <v>79.67</v>
      </c>
      <c r="U1136" s="61" t="n">
        <f aca="false">T1136*INDEX(INPUTS!$H$10:$H$14,MATCH(B1136,INPUTS!$A$10:$A$14,0))</f>
        <v>11.23347</v>
      </c>
      <c r="V1136" s="61" t="n">
        <f aca="false">N(STACK!K1136)</f>
        <v>40</v>
      </c>
      <c r="W1136" s="61" t="n">
        <f aca="false">T1136+U1136+V1136</f>
        <v>130.90347</v>
      </c>
      <c r="X1136" s="61" t="n">
        <f aca="false">N(STACK!L1136)</f>
        <v>0</v>
      </c>
      <c r="Y1136" s="61" t="n">
        <f aca="false">W1136-X1136</f>
        <v>130.90347</v>
      </c>
      <c r="Z1136" s="1" t="n">
        <f aca="false">N(STACK!J1136)</f>
        <v>10</v>
      </c>
      <c r="AA1136" s="1" t="str">
        <f aca="false">TRIM(IF(D1136="UNMAPPED","Program not mapped. ","")&amp;IF(OR(K1136="UNMAPPED",K1136="UNASSIGNED"),"Category needs review. ","")&amp;IF(P1136="UNMAPPED","Title not mapped. ","")&amp;IF(AND(P1136&lt;&gt;"No staff time",R1136=""),"Missing hours. ","")&amp;IF(M1136="","Date not readable. ","")&amp;IF(N1136="No","Outside fiscal year. ","")&amp;IF(AND(F1136="Event",ISNUMBER(R1136)),IF(R1136&gt;12,"Event hours look high. ",""),"")&amp;IF(G1136&gt;0,"See CONFIRM sheet.",""))</f>
        <v/>
      </c>
      <c r="AB1136" s="1" t="n">
        <f aca="false">IF(N1136="No",0,IF(REVIEW!O1136=0,0,IF(G1136&gt;0,IF(INDEX(CONFIRM!$J$5:$J$53,G1136)&lt;&gt;"",INDEX(CONFIRM!$J$5:$J$53,G1136),1),1)))</f>
        <v>1</v>
      </c>
      <c r="AC1136" s="1" t="n">
        <f aca="false">IF(AB1136=1,IF(COUNTIFS($B$5:B1136,B1136,$D$5:D1136,D1136,$AB$5:AB1136,1)=1,1,0),0)</f>
        <v>0</v>
      </c>
    </row>
    <row r="1137" customFormat="false" ht="15" hidden="false" customHeight="false" outlineLevel="0" collapsed="false">
      <c r="A1137" s="48" t="str">
        <f aca="false">STACK!A1137</f>
        <v>WCH-0030</v>
      </c>
      <c r="B1137" s="48" t="str">
        <f aca="false">STACK!B1137</f>
        <v>WCH</v>
      </c>
      <c r="C1137" s="48" t="str">
        <f aca="false">STACK!E1137</f>
        <v>grief group</v>
      </c>
      <c r="D1137" s="1" t="str">
        <f aca="false">IFERROR(INDEX(MAP!$J$7:$J$101,MATCH(TRIM(C1137),MAP!$I$7:$I$101,0)),"UNMAPPED")</f>
        <v>Grief Support Group</v>
      </c>
      <c r="E1137" s="1" t="str">
        <f aca="false">IFERROR(INDEX(MAP!$K$7:$K$101,MATCH(TRIM(C1137),MAP!$I$7:$I$101,0)),"")</f>
        <v>Behavioral health</v>
      </c>
      <c r="F1137" s="1" t="str">
        <f aca="false">IFERROR(INDEX(MAP!$L$7:$L$101,MATCH(TRIM(C1137),MAP!$I$7:$I$101,0)),"")</f>
        <v>Event</v>
      </c>
      <c r="G1137" s="1" t="n">
        <f aca="false">IFERROR(MATCH(A1137,CONFIRM!$A$5:$A$53,0),0)</f>
        <v>0</v>
      </c>
      <c r="H1137" s="48" t="str">
        <f aca="false">STACK!F1137</f>
        <v>CHIS support</v>
      </c>
      <c r="I1137" s="1" t="str">
        <f aca="false">IF(G1137&gt;0,IF(INDEX(CONFIRM!$I$5:$I$53,G1137)&lt;&gt;"",INDEX(CONFIRM!$I$5:$I$53,G1137),H1137),H1137)</f>
        <v>CHIS support</v>
      </c>
      <c r="J1137" s="1" t="str">
        <f aca="false">IFERROR(INDEX(MAP!$F$7:$F$74,MATCH(TRIM(I1137),MAP!$E$7:$E$74,0)),"UNMAPPED")</f>
        <v>Health care support services</v>
      </c>
      <c r="K1137" s="1" t="str">
        <f aca="false">IFERROR(INDEX(MAP!$G$7:$G$74,MATCH(TRIM(I1137),MAP!$E$7:$E$74,0)),"UNMAPPED")</f>
        <v>7e</v>
      </c>
      <c r="L1137" s="49" t="str">
        <f aca="false">STACK!G1137</f>
        <v>8/13/25</v>
      </c>
      <c r="M1137" s="59" t="n">
        <f aca="false">IF(G1137&gt;0,IF(INDEX(CONFIRM!$G$5:$G$53,G1137)&lt;&gt;"",INDEX(CONFIRM!$G$5:$G$53,G1137),IF(ISNUMBER(L1137),L1137,IFERROR(DATEVALUE(L1137),""))),IF(ISNUMBER(L1137),L1137,IFERROR(DATEVALUE(L1137),"")))</f>
        <v>45882</v>
      </c>
      <c r="N1137" s="1" t="str">
        <f aca="false">IF(M1137="","Check",IF(AND(M1137&gt;=INPUTS!$C$6,M1137&lt;=INPUTS!$C$7),"Yes","No"))</f>
        <v>Yes</v>
      </c>
      <c r="O1137" s="48" t="str">
        <f aca="false">STACK!H1137</f>
        <v>Clinical Social Worker</v>
      </c>
      <c r="P1137" s="1" t="str">
        <f aca="false">IF(G1137&gt;0,IF(INDEX(CONFIRM!$H$5:$H$53,G1137)&lt;&gt;"",INDEX(CONFIRM!$H$5:$H$53,G1137),IFERROR(INDEX(MAP!$B$7:$B$156,MATCH(TRIM(O1137),MAP!$A$7:$A$156,0)),"UNMAPPED")),IFERROR(INDEX(MAP!$B$7:$B$156,MATCH(TRIM(O1137),MAP!$A$7:$A$156,0)),"UNMAPPED"))</f>
        <v>Social Worker</v>
      </c>
      <c r="Q1137" s="48" t="n">
        <f aca="false">STACK!I1137</f>
        <v>1.5</v>
      </c>
      <c r="R1137" s="60" t="n">
        <f aca="false">IF(G1137&gt;0,IF(INDEX(CONFIRM!$F$5:$F$53,G1137)&lt;&gt;"",INDEX(CONFIRM!$F$5:$F$53,G1137),IF(ISNUMBER(Q1137),Q1137,IF(Q1137="","",IFERROR(VALUE(TRIM(SUBSTITUTE(SUBSTITUTE(LOWER(Q1137),"hrs",""),"hr",""))),"")))),IF(ISNUMBER(Q1137),Q1137,IF(Q1137="","",IFERROR(VALUE(TRIM(SUBSTITUTE(SUBSTITUTE(LOWER(Q1137),"hrs",""),"hr",""))),""))))</f>
        <v>1.5</v>
      </c>
      <c r="S1137" s="57" t="n">
        <f aca="false">IFERROR(INDEX(RATES!$E$6:$E$28,MATCH(P1137,RATES!$A$6:$A$28,0)),0)</f>
        <v>45.6175</v>
      </c>
      <c r="T1137" s="61" t="n">
        <f aca="false">IF(ISNUMBER(R1137),R1137,0)*S1137</f>
        <v>68.42625</v>
      </c>
      <c r="U1137" s="61" t="n">
        <f aca="false">T1137*INDEX(INPUTS!$H$10:$H$14,MATCH(B1137,INPUTS!$A$10:$A$14,0))</f>
        <v>9.64810125</v>
      </c>
      <c r="V1137" s="61" t="n">
        <f aca="false">N(STACK!K1137)</f>
        <v>0</v>
      </c>
      <c r="W1137" s="61" t="n">
        <f aca="false">T1137+U1137+V1137</f>
        <v>78.07435125</v>
      </c>
      <c r="X1137" s="61" t="n">
        <f aca="false">N(STACK!L1137)</f>
        <v>0</v>
      </c>
      <c r="Y1137" s="61" t="n">
        <f aca="false">W1137-X1137</f>
        <v>78.07435125</v>
      </c>
      <c r="Z1137" s="1" t="n">
        <f aca="false">N(STACK!J1137)</f>
        <v>0</v>
      </c>
      <c r="AA1137" s="1" t="str">
        <f aca="false">TRIM(IF(D1137="UNMAPPED","Program not mapped. ","")&amp;IF(OR(K1137="UNMAPPED",K1137="UNASSIGNED"),"Category needs review. ","")&amp;IF(P1137="UNMAPPED","Title not mapped. ","")&amp;IF(AND(P1137&lt;&gt;"No staff time",R1137=""),"Missing hours. ","")&amp;IF(M1137="","Date not readable. ","")&amp;IF(N1137="No","Outside fiscal year. ","")&amp;IF(AND(F1137="Event",ISNUMBER(R1137)),IF(R1137&gt;12,"Event hours look high. ",""),"")&amp;IF(G1137&gt;0,"See CONFIRM sheet.",""))</f>
        <v/>
      </c>
      <c r="AB1137" s="1" t="n">
        <f aca="false">IF(N1137="No",0,IF(REVIEW!O1137=0,0,IF(G1137&gt;0,IF(INDEX(CONFIRM!$J$5:$J$53,G1137)&lt;&gt;"",INDEX(CONFIRM!$J$5:$J$53,G1137),1),1)))</f>
        <v>1</v>
      </c>
      <c r="AC1137" s="1" t="n">
        <f aca="false">IF(AB1137=1,IF(COUNTIFS($B$5:B1137,B1137,$D$5:D1137,D1137,$AB$5:AB1137,1)=1,1,0),0)</f>
        <v>0</v>
      </c>
    </row>
    <row r="1138" customFormat="false" ht="15" hidden="false" customHeight="false" outlineLevel="0" collapsed="false">
      <c r="A1138" s="48" t="str">
        <f aca="false">STACK!A1138</f>
        <v>WCH-0031</v>
      </c>
      <c r="B1138" s="48" t="str">
        <f aca="false">STACK!B1138</f>
        <v>WCH</v>
      </c>
      <c r="C1138" s="48" t="str">
        <f aca="false">STACK!E1138</f>
        <v>sports physicals</v>
      </c>
      <c r="D1138" s="1" t="str">
        <f aca="false">IFERROR(INDEX(MAP!$J$7:$J$101,MATCH(TRIM(C1138),MAP!$I$7:$I$101,0)),"UNMAPPED")</f>
        <v>Free Sports Physicals</v>
      </c>
      <c r="E1138" s="1" t="str">
        <f aca="false">IFERROR(INDEX(MAP!$K$7:$K$101,MATCH(TRIM(C1138),MAP!$I$7:$I$101,0)),"")</f>
        <v>Maternal and child health</v>
      </c>
      <c r="F1138" s="1" t="str">
        <f aca="false">IFERROR(INDEX(MAP!$L$7:$L$101,MATCH(TRIM(C1138),MAP!$I$7:$I$101,0)),"")</f>
        <v>Event</v>
      </c>
      <c r="G1138" s="1" t="n">
        <f aca="false">IFERROR(MATCH(A1138,CONFIRM!$A$5:$A$53,0),0)</f>
        <v>0</v>
      </c>
      <c r="H1138" s="48" t="str">
        <f aca="false">STACK!F1138</f>
        <v>CHIS clinical</v>
      </c>
      <c r="I1138" s="1" t="str">
        <f aca="false">IF(G1138&gt;0,IF(INDEX(CONFIRM!$I$5:$I$53,G1138)&lt;&gt;"",INDEX(CONFIRM!$I$5:$I$53,G1138),H1138),H1138)</f>
        <v>CHIS clinical</v>
      </c>
      <c r="J1138" s="1" t="str">
        <f aca="false">IFERROR(INDEX(MAP!$F$7:$F$74,MATCH(TRIM(I1138),MAP!$E$7:$E$74,0)),"UNMAPPED")</f>
        <v>Community-based clinical services</v>
      </c>
      <c r="K1138" s="1" t="str">
        <f aca="false">IFERROR(INDEX(MAP!$G$7:$G$74,MATCH(TRIM(I1138),MAP!$E$7:$E$74,0)),"UNMAPPED")</f>
        <v>7e</v>
      </c>
      <c r="L1138" s="49" t="n">
        <f aca="false">STACK!G1138</f>
        <v>45882</v>
      </c>
      <c r="M1138" s="59" t="n">
        <f aca="false">IF(G1138&gt;0,IF(INDEX(CONFIRM!$G$5:$G$53,G1138)&lt;&gt;"",INDEX(CONFIRM!$G$5:$G$53,G1138),IF(ISNUMBER(L1138),L1138,IFERROR(DATEVALUE(L1138),""))),IF(ISNUMBER(L1138),L1138,IFERROR(DATEVALUE(L1138),"")))</f>
        <v>45882</v>
      </c>
      <c r="N1138" s="1" t="str">
        <f aca="false">IF(M1138="","Check",IF(AND(M1138&gt;=INPUTS!$C$6,M1138&lt;=INPUTS!$C$7),"Yes","No"))</f>
        <v>Yes</v>
      </c>
      <c r="O1138" s="48" t="str">
        <f aca="false">STACK!H1138</f>
        <v>CMA</v>
      </c>
      <c r="P1138" s="1" t="str">
        <f aca="false">IF(G1138&gt;0,IF(INDEX(CONFIRM!$H$5:$H$53,G1138)&lt;&gt;"",INDEX(CONFIRM!$H$5:$H$53,G1138),IFERROR(INDEX(MAP!$B$7:$B$156,MATCH(TRIM(O1138),MAP!$A$7:$A$156,0)),"UNMAPPED")),IFERROR(INDEX(MAP!$B$7:$B$156,MATCH(TRIM(O1138),MAP!$A$7:$A$156,0)),"UNMAPPED"))</f>
        <v>Medical Assistant</v>
      </c>
      <c r="Q1138" s="48" t="n">
        <f aca="false">STACK!I1138</f>
        <v>4</v>
      </c>
      <c r="R1138" s="60" t="n">
        <f aca="false">IF(G1138&gt;0,IF(INDEX(CONFIRM!$F$5:$F$53,G1138)&lt;&gt;"",INDEX(CONFIRM!$F$5:$F$53,G1138),IF(ISNUMBER(Q1138),Q1138,IF(Q1138="","",IFERROR(VALUE(TRIM(SUBSTITUTE(SUBSTITUTE(LOWER(Q1138),"hrs",""),"hr",""))),"")))),IF(ISNUMBER(Q1138),Q1138,IF(Q1138="","",IFERROR(VALUE(TRIM(SUBSTITUTE(SUBSTITUTE(LOWER(Q1138),"hrs",""),"hr",""))),""))))</f>
        <v>4</v>
      </c>
      <c r="S1138" s="57" t="n">
        <f aca="false">IFERROR(INDEX(RATES!$E$6:$E$28,MATCH(P1138,RATES!$A$6:$A$28,0)),0)</f>
        <v>25.37875</v>
      </c>
      <c r="T1138" s="61" t="n">
        <f aca="false">IF(ISNUMBER(R1138),R1138,0)*S1138</f>
        <v>101.515</v>
      </c>
      <c r="U1138" s="61" t="n">
        <f aca="false">T1138*INDEX(INPUTS!$H$10:$H$14,MATCH(B1138,INPUTS!$A$10:$A$14,0))</f>
        <v>14.313615</v>
      </c>
      <c r="V1138" s="61" t="n">
        <f aca="false">N(STACK!K1138)</f>
        <v>0</v>
      </c>
      <c r="W1138" s="61" t="n">
        <f aca="false">T1138+U1138+V1138</f>
        <v>115.828615</v>
      </c>
      <c r="X1138" s="61" t="n">
        <f aca="false">N(STACK!L1138)</f>
        <v>0</v>
      </c>
      <c r="Y1138" s="61" t="n">
        <f aca="false">W1138-X1138</f>
        <v>115.828615</v>
      </c>
      <c r="Z1138" s="1" t="n">
        <f aca="false">N(STACK!J1138)</f>
        <v>0</v>
      </c>
      <c r="AA1138" s="1" t="str">
        <f aca="false">TRIM(IF(D1138="UNMAPPED","Program not mapped. ","")&amp;IF(OR(K1138="UNMAPPED",K1138="UNASSIGNED"),"Category needs review. ","")&amp;IF(P1138="UNMAPPED","Title not mapped. ","")&amp;IF(AND(P1138&lt;&gt;"No staff time",R1138=""),"Missing hours. ","")&amp;IF(M1138="","Date not readable. ","")&amp;IF(N1138="No","Outside fiscal year. ","")&amp;IF(AND(F1138="Event",ISNUMBER(R1138)),IF(R1138&gt;12,"Event hours look high. ",""),"")&amp;IF(G1138&gt;0,"See CONFIRM sheet.",""))</f>
        <v/>
      </c>
      <c r="AB1138" s="1" t="n">
        <f aca="false">IF(N1138="No",0,IF(REVIEW!O1138=0,0,IF(G1138&gt;0,IF(INDEX(CONFIRM!$J$5:$J$53,G1138)&lt;&gt;"",INDEX(CONFIRM!$J$5:$J$53,G1138),1),1)))</f>
        <v>1</v>
      </c>
      <c r="AC1138" s="1" t="n">
        <f aca="false">IF(AB1138=1,IF(COUNTIFS($B$5:B1138,B1138,$D$5:D1138,D1138,$AB$5:AB1138,1)=1,1,0),0)</f>
        <v>1</v>
      </c>
    </row>
    <row r="1139" customFormat="false" ht="15" hidden="false" customHeight="false" outlineLevel="0" collapsed="false">
      <c r="A1139" s="48" t="str">
        <f aca="false">STACK!A1139</f>
        <v>WCH-0032</v>
      </c>
      <c r="B1139" s="48" t="str">
        <f aca="false">STACK!B1139</f>
        <v>WCH</v>
      </c>
      <c r="C1139" s="48" t="str">
        <f aca="false">STACK!E1139</f>
        <v>sports physicals</v>
      </c>
      <c r="D1139" s="1" t="str">
        <f aca="false">IFERROR(INDEX(MAP!$J$7:$J$101,MATCH(TRIM(C1139),MAP!$I$7:$I$101,0)),"UNMAPPED")</f>
        <v>Free Sports Physicals</v>
      </c>
      <c r="E1139" s="1" t="str">
        <f aca="false">IFERROR(INDEX(MAP!$K$7:$K$101,MATCH(TRIM(C1139),MAP!$I$7:$I$101,0)),"")</f>
        <v>Maternal and child health</v>
      </c>
      <c r="F1139" s="1" t="str">
        <f aca="false">IFERROR(INDEX(MAP!$L$7:$L$101,MATCH(TRIM(C1139),MAP!$I$7:$I$101,0)),"")</f>
        <v>Event</v>
      </c>
      <c r="G1139" s="1" t="n">
        <f aca="false">IFERROR(MATCH(A1139,CONFIRM!$A$5:$A$53,0),0)</f>
        <v>0</v>
      </c>
      <c r="H1139" s="48" t="str">
        <f aca="false">STACK!F1139</f>
        <v>CHIS clinical</v>
      </c>
      <c r="I1139" s="1" t="str">
        <f aca="false">IF(G1139&gt;0,IF(INDEX(CONFIRM!$I$5:$I$53,G1139)&lt;&gt;"",INDEX(CONFIRM!$I$5:$I$53,G1139),H1139),H1139)</f>
        <v>CHIS clinical</v>
      </c>
      <c r="J1139" s="1" t="str">
        <f aca="false">IFERROR(INDEX(MAP!$F$7:$F$74,MATCH(TRIM(I1139),MAP!$E$7:$E$74,0)),"UNMAPPED")</f>
        <v>Community-based clinical services</v>
      </c>
      <c r="K1139" s="1" t="str">
        <f aca="false">IFERROR(INDEX(MAP!$G$7:$G$74,MATCH(TRIM(I1139),MAP!$E$7:$E$74,0)),"UNMAPPED")</f>
        <v>7e</v>
      </c>
      <c r="L1139" s="49" t="str">
        <f aca="false">STACK!G1139</f>
        <v>August 13, 2025</v>
      </c>
      <c r="M1139" s="59" t="n">
        <f aca="false">IF(G1139&gt;0,IF(INDEX(CONFIRM!$G$5:$G$53,G1139)&lt;&gt;"",INDEX(CONFIRM!$G$5:$G$53,G1139),IF(ISNUMBER(L1139),L1139,IFERROR(DATEVALUE(L1139),""))),IF(ISNUMBER(L1139),L1139,IFERROR(DATEVALUE(L1139),"")))</f>
        <v>45882</v>
      </c>
      <c r="N1139" s="1" t="str">
        <f aca="false">IF(M1139="","Check",IF(AND(M1139&gt;=INPUTS!$C$6,M1139&lt;=INPUTS!$C$7),"Yes","No"))</f>
        <v>Yes</v>
      </c>
      <c r="O1139" s="48" t="str">
        <f aca="false">STACK!H1139</f>
        <v>Nurse Practitioner</v>
      </c>
      <c r="P1139" s="1" t="str">
        <f aca="false">IF(G1139&gt;0,IF(INDEX(CONFIRM!$H$5:$H$53,G1139)&lt;&gt;"",INDEX(CONFIRM!$H$5:$H$53,G1139),IFERROR(INDEX(MAP!$B$7:$B$156,MATCH(TRIM(O1139),MAP!$A$7:$A$156,0)),"UNMAPPED")),IFERROR(INDEX(MAP!$B$7:$B$156,MATCH(TRIM(O1139),MAP!$A$7:$A$156,0)),"UNMAPPED"))</f>
        <v>Nurse Practitioner</v>
      </c>
      <c r="Q1139" s="48" t="n">
        <f aca="false">STACK!I1139</f>
        <v>4.5</v>
      </c>
      <c r="R1139" s="60" t="n">
        <f aca="false">IF(G1139&gt;0,IF(INDEX(CONFIRM!$F$5:$F$53,G1139)&lt;&gt;"",INDEX(CONFIRM!$F$5:$F$53,G1139),IF(ISNUMBER(Q1139),Q1139,IF(Q1139="","",IFERROR(VALUE(TRIM(SUBSTITUTE(SUBSTITUTE(LOWER(Q1139),"hrs",""),"hr",""))),"")))),IF(ISNUMBER(Q1139),Q1139,IF(Q1139="","",IFERROR(VALUE(TRIM(SUBSTITUTE(SUBSTITUTE(LOWER(Q1139),"hrs",""),"hr",""))),""))))</f>
        <v>4.5</v>
      </c>
      <c r="S1139" s="57" t="n">
        <f aca="false">IFERROR(INDEX(RATES!$E$6:$E$28,MATCH(P1139,RATES!$A$6:$A$28,0)),0)</f>
        <v>79.67</v>
      </c>
      <c r="T1139" s="61" t="n">
        <f aca="false">IF(ISNUMBER(R1139),R1139,0)*S1139</f>
        <v>358.515</v>
      </c>
      <c r="U1139" s="61" t="n">
        <f aca="false">T1139*INDEX(INPUTS!$H$10:$H$14,MATCH(B1139,INPUTS!$A$10:$A$14,0))</f>
        <v>50.550615</v>
      </c>
      <c r="V1139" s="61" t="n">
        <f aca="false">N(STACK!K1139)</f>
        <v>0</v>
      </c>
      <c r="W1139" s="61" t="n">
        <f aca="false">T1139+U1139+V1139</f>
        <v>409.065615</v>
      </c>
      <c r="X1139" s="61" t="n">
        <f aca="false">N(STACK!L1139)</f>
        <v>0</v>
      </c>
      <c r="Y1139" s="61" t="n">
        <f aca="false">W1139-X1139</f>
        <v>409.065615</v>
      </c>
      <c r="Z1139" s="1" t="n">
        <f aca="false">N(STACK!J1139)</f>
        <v>0</v>
      </c>
      <c r="AA1139" s="1" t="str">
        <f aca="false">TRIM(IF(D1139="UNMAPPED","Program not mapped. ","")&amp;IF(OR(K1139="UNMAPPED",K1139="UNASSIGNED"),"Category needs review. ","")&amp;IF(P1139="UNMAPPED","Title not mapped. ","")&amp;IF(AND(P1139&lt;&gt;"No staff time",R1139=""),"Missing hours. ","")&amp;IF(M1139="","Date not readable. ","")&amp;IF(N1139="No","Outside fiscal year. ","")&amp;IF(AND(F1139="Event",ISNUMBER(R1139)),IF(R1139&gt;12,"Event hours look high. ",""),"")&amp;IF(G1139&gt;0,"See CONFIRM sheet.",""))</f>
        <v/>
      </c>
      <c r="AB1139" s="1" t="n">
        <f aca="false">IF(N1139="No",0,IF(REVIEW!O1139=0,0,IF(G1139&gt;0,IF(INDEX(CONFIRM!$J$5:$J$53,G1139)&lt;&gt;"",INDEX(CONFIRM!$J$5:$J$53,G1139),1),1)))</f>
        <v>1</v>
      </c>
      <c r="AC1139" s="1" t="n">
        <f aca="false">IF(AB1139=1,IF(COUNTIFS($B$5:B1139,B1139,$D$5:D1139,D1139,$AB$5:AB1139,1)=1,1,0),0)</f>
        <v>0</v>
      </c>
    </row>
    <row r="1140" customFormat="false" ht="15" hidden="false" customHeight="false" outlineLevel="0" collapsed="false">
      <c r="A1140" s="48" t="str">
        <f aca="false">STACK!A1140</f>
        <v>WCH-0033</v>
      </c>
      <c r="B1140" s="48" t="str">
        <f aca="false">STACK!B1140</f>
        <v>WCH</v>
      </c>
      <c r="C1140" s="48" t="str">
        <f aca="false">STACK!E1140</f>
        <v>sports physicals</v>
      </c>
      <c r="D1140" s="1" t="str">
        <f aca="false">IFERROR(INDEX(MAP!$J$7:$J$101,MATCH(TRIM(C1140),MAP!$I$7:$I$101,0)),"UNMAPPED")</f>
        <v>Free Sports Physicals</v>
      </c>
      <c r="E1140" s="1" t="str">
        <f aca="false">IFERROR(INDEX(MAP!$K$7:$K$101,MATCH(TRIM(C1140),MAP!$I$7:$I$101,0)),"")</f>
        <v>Maternal and child health</v>
      </c>
      <c r="F1140" s="1" t="str">
        <f aca="false">IFERROR(INDEX(MAP!$L$7:$L$101,MATCH(TRIM(C1140),MAP!$I$7:$I$101,0)),"")</f>
        <v>Event</v>
      </c>
      <c r="G1140" s="1" t="n">
        <f aca="false">IFERROR(MATCH(A1140,CONFIRM!$A$5:$A$53,0),0)</f>
        <v>0</v>
      </c>
      <c r="H1140" s="48" t="str">
        <f aca="false">STACK!F1140</f>
        <v>CHIS clinical</v>
      </c>
      <c r="I1140" s="1" t="str">
        <f aca="false">IF(G1140&gt;0,IF(INDEX(CONFIRM!$I$5:$I$53,G1140)&lt;&gt;"",INDEX(CONFIRM!$I$5:$I$53,G1140),H1140),H1140)</f>
        <v>CHIS clinical</v>
      </c>
      <c r="J1140" s="1" t="str">
        <f aca="false">IFERROR(INDEX(MAP!$F$7:$F$74,MATCH(TRIM(I1140),MAP!$E$7:$E$74,0)),"UNMAPPED")</f>
        <v>Community-based clinical services</v>
      </c>
      <c r="K1140" s="1" t="str">
        <f aca="false">IFERROR(INDEX(MAP!$G$7:$G$74,MATCH(TRIM(I1140),MAP!$E$7:$E$74,0)),"UNMAPPED")</f>
        <v>7e</v>
      </c>
      <c r="L1140" s="49" t="str">
        <f aca="false">STACK!G1140</f>
        <v>8/13/25</v>
      </c>
      <c r="M1140" s="59" t="n">
        <f aca="false">IF(G1140&gt;0,IF(INDEX(CONFIRM!$G$5:$G$53,G1140)&lt;&gt;"",INDEX(CONFIRM!$G$5:$G$53,G1140),IF(ISNUMBER(L1140),L1140,IFERROR(DATEVALUE(L1140),""))),IF(ISNUMBER(L1140),L1140,IFERROR(DATEVALUE(L1140),"")))</f>
        <v>45882</v>
      </c>
      <c r="N1140" s="1" t="str">
        <f aca="false">IF(M1140="","Check",IF(AND(M1140&gt;=INPUTS!$C$6,M1140&lt;=INPUTS!$C$7),"Yes","No"))</f>
        <v>Yes</v>
      </c>
      <c r="O1140" s="48" t="str">
        <f aca="false">STACK!H1140</f>
        <v>Staff Physician</v>
      </c>
      <c r="P1140" s="1" t="str">
        <f aca="false">IF(G1140&gt;0,IF(INDEX(CONFIRM!$H$5:$H$53,G1140)&lt;&gt;"",INDEX(CONFIRM!$H$5:$H$53,G1140),IFERROR(INDEX(MAP!$B$7:$B$156,MATCH(TRIM(O1140),MAP!$A$7:$A$156,0)),"UNMAPPED")),IFERROR(INDEX(MAP!$B$7:$B$156,MATCH(TRIM(O1140),MAP!$A$7:$A$156,0)),"UNMAPPED"))</f>
        <v>Physician</v>
      </c>
      <c r="Q1140" s="48" t="n">
        <f aca="false">STACK!I1140</f>
        <v>5</v>
      </c>
      <c r="R1140" s="60" t="n">
        <f aca="false">IF(G1140&gt;0,IF(INDEX(CONFIRM!$F$5:$F$53,G1140)&lt;&gt;"",INDEX(CONFIRM!$F$5:$F$53,G1140),IF(ISNUMBER(Q1140),Q1140,IF(Q1140="","",IFERROR(VALUE(TRIM(SUBSTITUTE(SUBSTITUTE(LOWER(Q1140),"hrs",""),"hr",""))),"")))),IF(ISNUMBER(Q1140),Q1140,IF(Q1140="","",IFERROR(VALUE(TRIM(SUBSTITUTE(SUBSTITUTE(LOWER(Q1140),"hrs",""),"hr",""))),""))))</f>
        <v>5</v>
      </c>
      <c r="S1140" s="57" t="n">
        <f aca="false">IFERROR(INDEX(RATES!$E$6:$E$28,MATCH(P1140,RATES!$A$6:$A$28,0)),0)</f>
        <v>151.63</v>
      </c>
      <c r="T1140" s="61" t="n">
        <f aca="false">IF(ISNUMBER(R1140),R1140,0)*S1140</f>
        <v>758.15</v>
      </c>
      <c r="U1140" s="61" t="n">
        <f aca="false">T1140*INDEX(INPUTS!$H$10:$H$14,MATCH(B1140,INPUTS!$A$10:$A$14,0))</f>
        <v>106.89915</v>
      </c>
      <c r="V1140" s="61" t="n">
        <f aca="false">N(STACK!K1140)</f>
        <v>310</v>
      </c>
      <c r="W1140" s="61" t="n">
        <f aca="false">T1140+U1140+V1140</f>
        <v>1175.04915</v>
      </c>
      <c r="X1140" s="61" t="n">
        <f aca="false">N(STACK!L1140)</f>
        <v>0</v>
      </c>
      <c r="Y1140" s="61" t="n">
        <f aca="false">W1140-X1140</f>
        <v>1175.04915</v>
      </c>
      <c r="Z1140" s="1" t="n">
        <f aca="false">N(STACK!J1140)</f>
        <v>59</v>
      </c>
      <c r="AA1140" s="1" t="str">
        <f aca="false">TRIM(IF(D1140="UNMAPPED","Program not mapped. ","")&amp;IF(OR(K1140="UNMAPPED",K1140="UNASSIGNED"),"Category needs review. ","")&amp;IF(P1140="UNMAPPED","Title not mapped. ","")&amp;IF(AND(P1140&lt;&gt;"No staff time",R1140=""),"Missing hours. ","")&amp;IF(M1140="","Date not readable. ","")&amp;IF(N1140="No","Outside fiscal year. ","")&amp;IF(AND(F1140="Event",ISNUMBER(R1140)),IF(R1140&gt;12,"Event hours look high. ",""),"")&amp;IF(G1140&gt;0,"See CONFIRM sheet.",""))</f>
        <v/>
      </c>
      <c r="AB1140" s="1" t="n">
        <f aca="false">IF(N1140="No",0,IF(REVIEW!O1140=0,0,IF(G1140&gt;0,IF(INDEX(CONFIRM!$J$5:$J$53,G1140)&lt;&gt;"",INDEX(CONFIRM!$J$5:$J$53,G1140),1),1)))</f>
        <v>1</v>
      </c>
      <c r="AC1140" s="1" t="n">
        <f aca="false">IF(AB1140=1,IF(COUNTIFS($B$5:B1140,B1140,$D$5:D1140,D1140,$AB$5:AB1140,1)=1,1,0),0)</f>
        <v>0</v>
      </c>
    </row>
    <row r="1141" customFormat="false" ht="15" hidden="false" customHeight="false" outlineLevel="0" collapsed="false">
      <c r="A1141" s="48" t="str">
        <f aca="false">STACK!A1141</f>
        <v>WCH-0034</v>
      </c>
      <c r="B1141" s="48" t="str">
        <f aca="false">STACK!B1141</f>
        <v>WCH</v>
      </c>
      <c r="C1141" s="48" t="str">
        <f aca="false">STACK!E1141</f>
        <v>bp check</v>
      </c>
      <c r="D1141" s="1" t="str">
        <f aca="false">IFERROR(INDEX(MAP!$J$7:$J$101,MATCH(TRIM(C1141),MAP!$I$7:$I$101,0)),"UNMAPPED")</f>
        <v>Community Blood Pressure Checks</v>
      </c>
      <c r="E1141" s="1" t="str">
        <f aca="false">IFERROR(INDEX(MAP!$K$7:$K$101,MATCH(TRIM(C1141),MAP!$I$7:$I$101,0)),"")</f>
        <v>Chronic disease prevention</v>
      </c>
      <c r="F1141" s="1" t="str">
        <f aca="false">IFERROR(INDEX(MAP!$L$7:$L$101,MATCH(TRIM(C1141),MAP!$I$7:$I$101,0)),"")</f>
        <v>Event</v>
      </c>
      <c r="G1141" s="1" t="n">
        <f aca="false">IFERROR(MATCH(A1141,CONFIRM!$A$5:$A$53,0),0)</f>
        <v>0</v>
      </c>
      <c r="H1141" s="48" t="str">
        <f aca="false">STACK!F1141</f>
        <v>CHIS clinical</v>
      </c>
      <c r="I1141" s="1" t="str">
        <f aca="false">IF(G1141&gt;0,IF(INDEX(CONFIRM!$I$5:$I$53,G1141)&lt;&gt;"",INDEX(CONFIRM!$I$5:$I$53,G1141),H1141),H1141)</f>
        <v>CHIS clinical</v>
      </c>
      <c r="J1141" s="1" t="str">
        <f aca="false">IFERROR(INDEX(MAP!$F$7:$F$74,MATCH(TRIM(I1141),MAP!$E$7:$E$74,0)),"UNMAPPED")</f>
        <v>Community-based clinical services</v>
      </c>
      <c r="K1141" s="1" t="str">
        <f aca="false">IFERROR(INDEX(MAP!$G$7:$G$74,MATCH(TRIM(I1141),MAP!$E$7:$E$74,0)),"UNMAPPED")</f>
        <v>7e</v>
      </c>
      <c r="L1141" s="49" t="n">
        <f aca="false">STACK!G1141</f>
        <v>45890</v>
      </c>
      <c r="M1141" s="59" t="n">
        <f aca="false">IF(G1141&gt;0,IF(INDEX(CONFIRM!$G$5:$G$53,G1141)&lt;&gt;"",INDEX(CONFIRM!$G$5:$G$53,G1141),IF(ISNUMBER(L1141),L1141,IFERROR(DATEVALUE(L1141),""))),IF(ISNUMBER(L1141),L1141,IFERROR(DATEVALUE(L1141),"")))</f>
        <v>45890</v>
      </c>
      <c r="N1141" s="1" t="str">
        <f aca="false">IF(M1141="","Check",IF(AND(M1141&gt;=INPUTS!$C$6,M1141&lt;=INPUTS!$C$7),"Yes","No"))</f>
        <v>Yes</v>
      </c>
      <c r="O1141" s="48" t="str">
        <f aca="false">STACK!H1141</f>
        <v>Clinical RN</v>
      </c>
      <c r="P1141" s="1" t="str">
        <f aca="false">IF(G1141&gt;0,IF(INDEX(CONFIRM!$H$5:$H$53,G1141)&lt;&gt;"",INDEX(CONFIRM!$H$5:$H$53,G1141),IFERROR(INDEX(MAP!$B$7:$B$156,MATCH(TRIM(O1141),MAP!$A$7:$A$156,0)),"UNMAPPED")),IFERROR(INDEX(MAP!$B$7:$B$156,MATCH(TRIM(O1141),MAP!$A$7:$A$156,0)),"UNMAPPED"))</f>
        <v>Registered Nurse</v>
      </c>
      <c r="Q1141" s="48" t="n">
        <f aca="false">STACK!I1141</f>
        <v>4</v>
      </c>
      <c r="R1141" s="60" t="n">
        <f aca="false">IF(G1141&gt;0,IF(INDEX(CONFIRM!$F$5:$F$53,G1141)&lt;&gt;"",INDEX(CONFIRM!$F$5:$F$53,G1141),IF(ISNUMBER(Q1141),Q1141,IF(Q1141="","",IFERROR(VALUE(TRIM(SUBSTITUTE(SUBSTITUTE(LOWER(Q1141),"hrs",""),"hr",""))),"")))),IF(ISNUMBER(Q1141),Q1141,IF(Q1141="","",IFERROR(VALUE(TRIM(SUBSTITUTE(SUBSTITUTE(LOWER(Q1141),"hrs",""),"hr",""))),""))))</f>
        <v>4</v>
      </c>
      <c r="S1141" s="57" t="n">
        <f aca="false">IFERROR(INDEX(RATES!$E$6:$E$28,MATCH(P1141,RATES!$A$6:$A$28,0)),0)</f>
        <v>55.8975</v>
      </c>
      <c r="T1141" s="61" t="n">
        <f aca="false">IF(ISNUMBER(R1141),R1141,0)*S1141</f>
        <v>223.59</v>
      </c>
      <c r="U1141" s="61" t="n">
        <f aca="false">T1141*INDEX(INPUTS!$H$10:$H$14,MATCH(B1141,INPUTS!$A$10:$A$14,0))</f>
        <v>31.52619</v>
      </c>
      <c r="V1141" s="61" t="n">
        <f aca="false">N(STACK!K1141)</f>
        <v>80</v>
      </c>
      <c r="W1141" s="61" t="n">
        <f aca="false">T1141+U1141+V1141</f>
        <v>335.11619</v>
      </c>
      <c r="X1141" s="61" t="n">
        <f aca="false">N(STACK!L1141)</f>
        <v>0</v>
      </c>
      <c r="Y1141" s="61" t="n">
        <f aca="false">W1141-X1141</f>
        <v>335.11619</v>
      </c>
      <c r="Z1141" s="1" t="n">
        <f aca="false">N(STACK!J1141)</f>
        <v>25</v>
      </c>
      <c r="AA1141" s="1" t="str">
        <f aca="false">TRIM(IF(D1141="UNMAPPED","Program not mapped. ","")&amp;IF(OR(K1141="UNMAPPED",K1141="UNASSIGNED"),"Category needs review. ","")&amp;IF(P1141="UNMAPPED","Title not mapped. ","")&amp;IF(AND(P1141&lt;&gt;"No staff time",R1141=""),"Missing hours. ","")&amp;IF(M1141="","Date not readable. ","")&amp;IF(N1141="No","Outside fiscal year. ","")&amp;IF(AND(F1141="Event",ISNUMBER(R1141)),IF(R1141&gt;12,"Event hours look high. ",""),"")&amp;IF(G1141&gt;0,"See CONFIRM sheet.",""))</f>
        <v/>
      </c>
      <c r="AB1141" s="1" t="n">
        <f aca="false">IF(N1141="No",0,IF(REVIEW!O1141=0,0,IF(G1141&gt;0,IF(INDEX(CONFIRM!$J$5:$J$53,G1141)&lt;&gt;"",INDEX(CONFIRM!$J$5:$J$53,G1141),1),1)))</f>
        <v>1</v>
      </c>
      <c r="AC1141" s="1" t="n">
        <f aca="false">IF(AB1141=1,IF(COUNTIFS($B$5:B1141,B1141,$D$5:D1141,D1141,$AB$5:AB1141,1)=1,1,0),0)</f>
        <v>1</v>
      </c>
    </row>
    <row r="1142" customFormat="false" ht="15" hidden="false" customHeight="false" outlineLevel="0" collapsed="false">
      <c r="A1142" s="48" t="str">
        <f aca="false">STACK!A1142</f>
        <v>WCH-0035</v>
      </c>
      <c r="B1142" s="48" t="str">
        <f aca="false">STACK!B1142</f>
        <v>WCH</v>
      </c>
      <c r="C1142" s="48" t="str">
        <f aca="false">STACK!E1142</f>
        <v>car seat check</v>
      </c>
      <c r="D1142" s="1" t="str">
        <f aca="false">IFERROR(INDEX(MAP!$J$7:$J$101,MATCH(TRIM(C1142),MAP!$I$7:$I$101,0)),"UNMAPPED")</f>
        <v>Car Seat Safety Checks</v>
      </c>
      <c r="E1142" s="1" t="str">
        <f aca="false">IFERROR(INDEX(MAP!$K$7:$K$101,MATCH(TRIM(C1142),MAP!$I$7:$I$101,0)),"")</f>
        <v>Maternal and child health</v>
      </c>
      <c r="F1142" s="1" t="str">
        <f aca="false">IFERROR(INDEX(MAP!$L$7:$L$101,MATCH(TRIM(C1142),MAP!$I$7:$I$101,0)),"")</f>
        <v>Event</v>
      </c>
      <c r="G1142" s="1" t="n">
        <f aca="false">IFERROR(MATCH(A1142,CONFIRM!$A$5:$A$53,0),0)</f>
        <v>0</v>
      </c>
      <c r="H1142" s="48" t="str">
        <f aca="false">STACK!F1142</f>
        <v>community health improvement services</v>
      </c>
      <c r="I1142" s="1" t="str">
        <f aca="false">IF(G1142&gt;0,IF(INDEX(CONFIRM!$I$5:$I$53,G1142)&lt;&gt;"",INDEX(CONFIRM!$I$5:$I$53,G1142),H1142),H1142)</f>
        <v>community health improvement services</v>
      </c>
      <c r="J1142" s="1" t="str">
        <f aca="false">IFERROR(INDEX(MAP!$F$7:$F$74,MATCH(TRIM(I1142),MAP!$E$7:$E$74,0)),"UNMAPPED")</f>
        <v>Community health education</v>
      </c>
      <c r="K1142" s="1" t="str">
        <f aca="false">IFERROR(INDEX(MAP!$G$7:$G$74,MATCH(TRIM(I1142),MAP!$E$7:$E$74,0)),"UNMAPPED")</f>
        <v>7e</v>
      </c>
      <c r="L1142" s="49" t="str">
        <f aca="false">STACK!G1142</f>
        <v>August 21, 2025</v>
      </c>
      <c r="M1142" s="59" t="n">
        <f aca="false">IF(G1142&gt;0,IF(INDEX(CONFIRM!$G$5:$G$53,G1142)&lt;&gt;"",INDEX(CONFIRM!$G$5:$G$53,G1142),IF(ISNUMBER(L1142),L1142,IFERROR(DATEVALUE(L1142),""))),IF(ISNUMBER(L1142),L1142,IFERROR(DATEVALUE(L1142),"")))</f>
        <v>45890</v>
      </c>
      <c r="N1142" s="1" t="str">
        <f aca="false">IF(M1142="","Check",IF(AND(M1142&gt;=INPUTS!$C$6,M1142&lt;=INPUTS!$C$7),"Yes","No"))</f>
        <v>Yes</v>
      </c>
      <c r="O1142" s="48" t="str">
        <f aca="false">STACK!H1142</f>
        <v>Paramedic</v>
      </c>
      <c r="P1142" s="1" t="str">
        <f aca="false">IF(G1142&gt;0,IF(INDEX(CONFIRM!$H$5:$H$53,G1142)&lt;&gt;"",INDEX(CONFIRM!$H$5:$H$53,G1142),IFERROR(INDEX(MAP!$B$7:$B$156,MATCH(TRIM(O1142),MAP!$A$7:$A$156,0)),"UNMAPPED")),IFERROR(INDEX(MAP!$B$7:$B$156,MATCH(TRIM(O1142),MAP!$A$7:$A$156,0)),"UNMAPPED"))</f>
        <v>Paramedic</v>
      </c>
      <c r="Q1142" s="48" t="n">
        <f aca="false">STACK!I1142</f>
        <v>3.5</v>
      </c>
      <c r="R1142" s="60" t="n">
        <f aca="false">IF(G1142&gt;0,IF(INDEX(CONFIRM!$F$5:$F$53,G1142)&lt;&gt;"",INDEX(CONFIRM!$F$5:$F$53,G1142),IF(ISNUMBER(Q1142),Q1142,IF(Q1142="","",IFERROR(VALUE(TRIM(SUBSTITUTE(SUBSTITUTE(LOWER(Q1142),"hrs",""),"hr",""))),"")))),IF(ISNUMBER(Q1142),Q1142,IF(Q1142="","",IFERROR(VALUE(TRIM(SUBSTITUTE(SUBSTITUTE(LOWER(Q1142),"hrs",""),"hr",""))),""))))</f>
        <v>3.5</v>
      </c>
      <c r="S1142" s="57" t="n">
        <f aca="false">IFERROR(INDEX(RATES!$E$6:$E$28,MATCH(P1142,RATES!$A$6:$A$28,0)),0)</f>
        <v>34.695</v>
      </c>
      <c r="T1142" s="61" t="n">
        <f aca="false">IF(ISNUMBER(R1142),R1142,0)*S1142</f>
        <v>121.4325</v>
      </c>
      <c r="U1142" s="61" t="n">
        <f aca="false">T1142*INDEX(INPUTS!$H$10:$H$14,MATCH(B1142,INPUTS!$A$10:$A$14,0))</f>
        <v>17.1219825</v>
      </c>
      <c r="V1142" s="61" t="n">
        <f aca="false">N(STACK!K1142)</f>
        <v>875</v>
      </c>
      <c r="W1142" s="61" t="n">
        <f aca="false">T1142+U1142+V1142</f>
        <v>1013.5544825</v>
      </c>
      <c r="X1142" s="61" t="n">
        <f aca="false">N(STACK!L1142)</f>
        <v>355</v>
      </c>
      <c r="Y1142" s="61" t="n">
        <f aca="false">W1142-X1142</f>
        <v>658.5544825</v>
      </c>
      <c r="Z1142" s="1" t="n">
        <f aca="false">N(STACK!J1142)</f>
        <v>26</v>
      </c>
      <c r="AA1142" s="1" t="str">
        <f aca="false">TRIM(IF(D1142="UNMAPPED","Program not mapped. ","")&amp;IF(OR(K1142="UNMAPPED",K1142="UNASSIGNED"),"Category needs review. ","")&amp;IF(P1142="UNMAPPED","Title not mapped. ","")&amp;IF(AND(P1142&lt;&gt;"No staff time",R1142=""),"Missing hours. ","")&amp;IF(M1142="","Date not readable. ","")&amp;IF(N1142="No","Outside fiscal year. ","")&amp;IF(AND(F1142="Event",ISNUMBER(R1142)),IF(R1142&gt;12,"Event hours look high. ",""),"")&amp;IF(G1142&gt;0,"See CONFIRM sheet.",""))</f>
        <v/>
      </c>
      <c r="AB1142" s="1" t="n">
        <f aca="false">IF(N1142="No",0,IF(REVIEW!O1142=0,0,IF(G1142&gt;0,IF(INDEX(CONFIRM!$J$5:$J$53,G1142)&lt;&gt;"",INDEX(CONFIRM!$J$5:$J$53,G1142),1),1)))</f>
        <v>1</v>
      </c>
      <c r="AC1142" s="1" t="n">
        <f aca="false">IF(AB1142=1,IF(COUNTIFS($B$5:B1142,B1142,$D$5:D1142,D1142,$AB$5:AB1142,1)=1,1,0),0)</f>
        <v>0</v>
      </c>
    </row>
    <row r="1143" customFormat="false" ht="15" hidden="false" customHeight="false" outlineLevel="0" collapsed="false">
      <c r="A1143" s="48" t="str">
        <f aca="false">STACK!A1143</f>
        <v>WCH-0036</v>
      </c>
      <c r="B1143" s="48" t="str">
        <f aca="false">STACK!B1143</f>
        <v>WCH</v>
      </c>
      <c r="C1143" s="48" t="str">
        <f aca="false">STACK!E1143</f>
        <v>car seat check</v>
      </c>
      <c r="D1143" s="1" t="str">
        <f aca="false">IFERROR(INDEX(MAP!$J$7:$J$101,MATCH(TRIM(C1143),MAP!$I$7:$I$101,0)),"UNMAPPED")</f>
        <v>Car Seat Safety Checks</v>
      </c>
      <c r="E1143" s="1" t="str">
        <f aca="false">IFERROR(INDEX(MAP!$K$7:$K$101,MATCH(TRIM(C1143),MAP!$I$7:$I$101,0)),"")</f>
        <v>Maternal and child health</v>
      </c>
      <c r="F1143" s="1" t="str">
        <f aca="false">IFERROR(INDEX(MAP!$L$7:$L$101,MATCH(TRIM(C1143),MAP!$I$7:$I$101,0)),"")</f>
        <v>Event</v>
      </c>
      <c r="G1143" s="1" t="n">
        <f aca="false">IFERROR(MATCH(A1143,CONFIRM!$A$5:$A$53,0),0)</f>
        <v>0</v>
      </c>
      <c r="H1143" s="48" t="str">
        <f aca="false">STACK!F1143</f>
        <v>community health improvement services</v>
      </c>
      <c r="I1143" s="1" t="str">
        <f aca="false">IF(G1143&gt;0,IF(INDEX(CONFIRM!$I$5:$I$53,G1143)&lt;&gt;"",INDEX(CONFIRM!$I$5:$I$53,G1143),H1143),H1143)</f>
        <v>community health improvement services</v>
      </c>
      <c r="J1143" s="1" t="str">
        <f aca="false">IFERROR(INDEX(MAP!$F$7:$F$74,MATCH(TRIM(I1143),MAP!$E$7:$E$74,0)),"UNMAPPED")</f>
        <v>Community health education</v>
      </c>
      <c r="K1143" s="1" t="str">
        <f aca="false">IFERROR(INDEX(MAP!$G$7:$G$74,MATCH(TRIM(I1143),MAP!$E$7:$E$74,0)),"UNMAPPED")</f>
        <v>7e</v>
      </c>
      <c r="L1143" s="49" t="str">
        <f aca="false">STACK!G1143</f>
        <v>8/21/25</v>
      </c>
      <c r="M1143" s="59" t="n">
        <f aca="false">IF(G1143&gt;0,IF(INDEX(CONFIRM!$G$5:$G$53,G1143)&lt;&gt;"",INDEX(CONFIRM!$G$5:$G$53,G1143),IF(ISNUMBER(L1143),L1143,IFERROR(DATEVALUE(L1143),""))),IF(ISNUMBER(L1143),L1143,IFERROR(DATEVALUE(L1143),"")))</f>
        <v>45890</v>
      </c>
      <c r="N1143" s="1" t="str">
        <f aca="false">IF(M1143="","Check",IF(AND(M1143&gt;=INPUTS!$C$6,M1143&lt;=INPUTS!$C$7),"Yes","No"))</f>
        <v>Yes</v>
      </c>
      <c r="O1143" s="48" t="str">
        <f aca="false">STACK!H1143</f>
        <v>R.N.</v>
      </c>
      <c r="P1143" s="1" t="str">
        <f aca="false">IF(G1143&gt;0,IF(INDEX(CONFIRM!$H$5:$H$53,G1143)&lt;&gt;"",INDEX(CONFIRM!$H$5:$H$53,G1143),IFERROR(INDEX(MAP!$B$7:$B$156,MATCH(TRIM(O1143),MAP!$A$7:$A$156,0)),"UNMAPPED")),IFERROR(INDEX(MAP!$B$7:$B$156,MATCH(TRIM(O1143),MAP!$A$7:$A$156,0)),"UNMAPPED"))</f>
        <v>Registered Nurse</v>
      </c>
      <c r="Q1143" s="48" t="n">
        <f aca="false">STACK!I1143</f>
        <v>4</v>
      </c>
      <c r="R1143" s="60" t="n">
        <f aca="false">IF(G1143&gt;0,IF(INDEX(CONFIRM!$F$5:$F$53,G1143)&lt;&gt;"",INDEX(CONFIRM!$F$5:$F$53,G1143),IF(ISNUMBER(Q1143),Q1143,IF(Q1143="","",IFERROR(VALUE(TRIM(SUBSTITUTE(SUBSTITUTE(LOWER(Q1143),"hrs",""),"hr",""))),"")))),IF(ISNUMBER(Q1143),Q1143,IF(Q1143="","",IFERROR(VALUE(TRIM(SUBSTITUTE(SUBSTITUTE(LOWER(Q1143),"hrs",""),"hr",""))),""))))</f>
        <v>4</v>
      </c>
      <c r="S1143" s="57" t="n">
        <f aca="false">IFERROR(INDEX(RATES!$E$6:$E$28,MATCH(P1143,RATES!$A$6:$A$28,0)),0)</f>
        <v>55.8975</v>
      </c>
      <c r="T1143" s="61" t="n">
        <f aca="false">IF(ISNUMBER(R1143),R1143,0)*S1143</f>
        <v>223.59</v>
      </c>
      <c r="U1143" s="61" t="n">
        <f aca="false">T1143*INDEX(INPUTS!$H$10:$H$14,MATCH(B1143,INPUTS!$A$10:$A$14,0))</f>
        <v>31.52619</v>
      </c>
      <c r="V1143" s="61" t="n">
        <f aca="false">N(STACK!K1143)</f>
        <v>0</v>
      </c>
      <c r="W1143" s="61" t="n">
        <f aca="false">T1143+U1143+V1143</f>
        <v>255.11619</v>
      </c>
      <c r="X1143" s="61" t="n">
        <f aca="false">N(STACK!L1143)</f>
        <v>0</v>
      </c>
      <c r="Y1143" s="61" t="n">
        <f aca="false">W1143-X1143</f>
        <v>255.11619</v>
      </c>
      <c r="Z1143" s="1" t="n">
        <f aca="false">N(STACK!J1143)</f>
        <v>0</v>
      </c>
      <c r="AA1143" s="1" t="str">
        <f aca="false">TRIM(IF(D1143="UNMAPPED","Program not mapped. ","")&amp;IF(OR(K1143="UNMAPPED",K1143="UNASSIGNED"),"Category needs review. ","")&amp;IF(P1143="UNMAPPED","Title not mapped. ","")&amp;IF(AND(P1143&lt;&gt;"No staff time",R1143=""),"Missing hours. ","")&amp;IF(M1143="","Date not readable. ","")&amp;IF(N1143="No","Outside fiscal year. ","")&amp;IF(AND(F1143="Event",ISNUMBER(R1143)),IF(R1143&gt;12,"Event hours look high. ",""),"")&amp;IF(G1143&gt;0,"See CONFIRM sheet.",""))</f>
        <v/>
      </c>
      <c r="AB1143" s="1" t="n">
        <f aca="false">IF(N1143="No",0,IF(REVIEW!O1143=0,0,IF(G1143&gt;0,IF(INDEX(CONFIRM!$J$5:$J$53,G1143)&lt;&gt;"",INDEX(CONFIRM!$J$5:$J$53,G1143),1),1)))</f>
        <v>1</v>
      </c>
      <c r="AC1143" s="1" t="n">
        <f aca="false">IF(AB1143=1,IF(COUNTIFS($B$5:B1143,B1143,$D$5:D1143,D1143,$AB$5:AB1143,1)=1,1,0),0)</f>
        <v>0</v>
      </c>
    </row>
    <row r="1144" customFormat="false" ht="15" hidden="false" customHeight="false" outlineLevel="0" collapsed="false">
      <c r="A1144" s="48" t="str">
        <f aca="false">STACK!A1144</f>
        <v>WCH-0037</v>
      </c>
      <c r="B1144" s="48" t="str">
        <f aca="false">STACK!B1144</f>
        <v>WCH</v>
      </c>
      <c r="C1144" s="48" t="str">
        <f aca="false">STACK!E1144</f>
        <v>narcan training</v>
      </c>
      <c r="D1144" s="1" t="str">
        <f aca="false">IFERROR(INDEX(MAP!$J$7:$J$101,MATCH(TRIM(C1144),MAP!$I$7:$I$101,0)),"UNMAPPED")</f>
        <v>Naloxone Training and Distribution</v>
      </c>
      <c r="E1144" s="1" t="str">
        <f aca="false">IFERROR(INDEX(MAP!$K$7:$K$101,MATCH(TRIM(C1144),MAP!$I$7:$I$101,0)),"")</f>
        <v>Behavioral health</v>
      </c>
      <c r="F1144" s="1" t="str">
        <f aca="false">IFERROR(INDEX(MAP!$L$7:$L$101,MATCH(TRIM(C1144),MAP!$I$7:$I$101,0)),"")</f>
        <v>Event</v>
      </c>
      <c r="G1144" s="1" t="n">
        <f aca="false">IFERROR(MATCH(A1144,CONFIRM!$A$5:$A$53,0),0)</f>
        <v>0</v>
      </c>
      <c r="H1144" s="48" t="str">
        <f aca="false">STACK!F1144</f>
        <v>community health improvement services</v>
      </c>
      <c r="I1144" s="1" t="str">
        <f aca="false">IF(G1144&gt;0,IF(INDEX(CONFIRM!$I$5:$I$53,G1144)&lt;&gt;"",INDEX(CONFIRM!$I$5:$I$53,G1144),H1144),H1144)</f>
        <v>community health improvement services</v>
      </c>
      <c r="J1144" s="1" t="str">
        <f aca="false">IFERROR(INDEX(MAP!$F$7:$F$74,MATCH(TRIM(I1144),MAP!$E$7:$E$74,0)),"UNMAPPED")</f>
        <v>Community health education</v>
      </c>
      <c r="K1144" s="1" t="str">
        <f aca="false">IFERROR(INDEX(MAP!$G$7:$G$74,MATCH(TRIM(I1144),MAP!$E$7:$E$74,0)),"UNMAPPED")</f>
        <v>7e</v>
      </c>
      <c r="L1144" s="49" t="str">
        <f aca="false">STACK!G1144</f>
        <v>8/30/25</v>
      </c>
      <c r="M1144" s="59" t="n">
        <f aca="false">IF(G1144&gt;0,IF(INDEX(CONFIRM!$G$5:$G$53,G1144)&lt;&gt;"",INDEX(CONFIRM!$G$5:$G$53,G1144),IF(ISNUMBER(L1144),L1144,IFERROR(DATEVALUE(L1144),""))),IF(ISNUMBER(L1144),L1144,IFERROR(DATEVALUE(L1144),"")))</f>
        <v>45899</v>
      </c>
      <c r="N1144" s="1" t="str">
        <f aca="false">IF(M1144="","Check",IF(AND(M1144&gt;=INPUTS!$C$6,M1144&lt;=INPUTS!$C$7),"Yes","No"))</f>
        <v>Yes</v>
      </c>
      <c r="O1144" s="48" t="str">
        <f aca="false">STACK!H1144</f>
        <v>Health Education Specialist</v>
      </c>
      <c r="P1144" s="1" t="str">
        <f aca="false">IF(G1144&gt;0,IF(INDEX(CONFIRM!$H$5:$H$53,G1144)&lt;&gt;"",INDEX(CONFIRM!$H$5:$H$53,G1144),IFERROR(INDEX(MAP!$B$7:$B$156,MATCH(TRIM(O1144),MAP!$A$7:$A$156,0)),"UNMAPPED")),IFERROR(INDEX(MAP!$B$7:$B$156,MATCH(TRIM(O1144),MAP!$A$7:$A$156,0)),"UNMAPPED"))</f>
        <v>Health Educator</v>
      </c>
      <c r="Q1144" s="48" t="n">
        <f aca="false">STACK!I1144</f>
        <v>2.75</v>
      </c>
      <c r="R1144" s="60" t="n">
        <f aca="false">IF(G1144&gt;0,IF(INDEX(CONFIRM!$F$5:$F$53,G1144)&lt;&gt;"",INDEX(CONFIRM!$F$5:$F$53,G1144),IF(ISNUMBER(Q1144),Q1144,IF(Q1144="","",IFERROR(VALUE(TRIM(SUBSTITUTE(SUBSTITUTE(LOWER(Q1144),"hrs",""),"hr",""))),"")))),IF(ISNUMBER(Q1144),Q1144,IF(Q1144="","",IFERROR(VALUE(TRIM(SUBSTITUTE(SUBSTITUTE(LOWER(Q1144),"hrs",""),"hr",""))),""))))</f>
        <v>2.75</v>
      </c>
      <c r="S1144" s="57" t="n">
        <f aca="false">IFERROR(INDEX(RATES!$E$6:$E$28,MATCH(P1144,RATES!$A$6:$A$28,0)),0)</f>
        <v>37.265</v>
      </c>
      <c r="T1144" s="61" t="n">
        <f aca="false">IF(ISNUMBER(R1144),R1144,0)*S1144</f>
        <v>102.47875</v>
      </c>
      <c r="U1144" s="61" t="n">
        <f aca="false">T1144*INDEX(INPUTS!$H$10:$H$14,MATCH(B1144,INPUTS!$A$10:$A$14,0))</f>
        <v>14.44950375</v>
      </c>
      <c r="V1144" s="61" t="n">
        <f aca="false">N(STACK!K1144)</f>
        <v>0</v>
      </c>
      <c r="W1144" s="61" t="n">
        <f aca="false">T1144+U1144+V1144</f>
        <v>116.92825375</v>
      </c>
      <c r="X1144" s="61" t="n">
        <f aca="false">N(STACK!L1144)</f>
        <v>0</v>
      </c>
      <c r="Y1144" s="61" t="n">
        <f aca="false">W1144-X1144</f>
        <v>116.92825375</v>
      </c>
      <c r="Z1144" s="1" t="n">
        <f aca="false">N(STACK!J1144)</f>
        <v>0</v>
      </c>
      <c r="AA1144" s="1" t="str">
        <f aca="false">TRIM(IF(D1144="UNMAPPED","Program not mapped. ","")&amp;IF(OR(K1144="UNMAPPED",K1144="UNASSIGNED"),"Category needs review. ","")&amp;IF(P1144="UNMAPPED","Title not mapped. ","")&amp;IF(AND(P1144&lt;&gt;"No staff time",R1144=""),"Missing hours. ","")&amp;IF(M1144="","Date not readable. ","")&amp;IF(N1144="No","Outside fiscal year. ","")&amp;IF(AND(F1144="Event",ISNUMBER(R1144)),IF(R1144&gt;12,"Event hours look high. ",""),"")&amp;IF(G1144&gt;0,"See CONFIRM sheet.",""))</f>
        <v/>
      </c>
      <c r="AB1144" s="1" t="n">
        <f aca="false">IF(N1144="No",0,IF(REVIEW!O1144=0,0,IF(G1144&gt;0,IF(INDEX(CONFIRM!$J$5:$J$53,G1144)&lt;&gt;"",INDEX(CONFIRM!$J$5:$J$53,G1144),1),1)))</f>
        <v>1</v>
      </c>
      <c r="AC1144" s="1" t="n">
        <f aca="false">IF(AB1144=1,IF(COUNTIFS($B$5:B1144,B1144,$D$5:D1144,D1144,$AB$5:AB1144,1)=1,1,0),0)</f>
        <v>1</v>
      </c>
    </row>
    <row r="1145" customFormat="false" ht="15" hidden="false" customHeight="false" outlineLevel="0" collapsed="false">
      <c r="A1145" s="48" t="str">
        <f aca="false">STACK!A1145</f>
        <v>WCH-0038</v>
      </c>
      <c r="B1145" s="48" t="str">
        <f aca="false">STACK!B1145</f>
        <v>WCH</v>
      </c>
      <c r="C1145" s="48" t="str">
        <f aca="false">STACK!E1145</f>
        <v>narcan training</v>
      </c>
      <c r="D1145" s="1" t="str">
        <f aca="false">IFERROR(INDEX(MAP!$J$7:$J$101,MATCH(TRIM(C1145),MAP!$I$7:$I$101,0)),"UNMAPPED")</f>
        <v>Naloxone Training and Distribution</v>
      </c>
      <c r="E1145" s="1" t="str">
        <f aca="false">IFERROR(INDEX(MAP!$K$7:$K$101,MATCH(TRIM(C1145),MAP!$I$7:$I$101,0)),"")</f>
        <v>Behavioral health</v>
      </c>
      <c r="F1145" s="1" t="str">
        <f aca="false">IFERROR(INDEX(MAP!$L$7:$L$101,MATCH(TRIM(C1145),MAP!$I$7:$I$101,0)),"")</f>
        <v>Event</v>
      </c>
      <c r="G1145" s="1" t="n">
        <f aca="false">IFERROR(MATCH(A1145,CONFIRM!$A$5:$A$53,0),0)</f>
        <v>0</v>
      </c>
      <c r="H1145" s="48" t="str">
        <f aca="false">STACK!F1145</f>
        <v>community health improvement services</v>
      </c>
      <c r="I1145" s="1" t="str">
        <f aca="false">IF(G1145&gt;0,IF(INDEX(CONFIRM!$I$5:$I$53,G1145)&lt;&gt;"",INDEX(CONFIRM!$I$5:$I$53,G1145),H1145),H1145)</f>
        <v>community health improvement services</v>
      </c>
      <c r="J1145" s="1" t="str">
        <f aca="false">IFERROR(INDEX(MAP!$F$7:$F$74,MATCH(TRIM(I1145),MAP!$E$7:$E$74,0)),"UNMAPPED")</f>
        <v>Community health education</v>
      </c>
      <c r="K1145" s="1" t="str">
        <f aca="false">IFERROR(INDEX(MAP!$G$7:$G$74,MATCH(TRIM(I1145),MAP!$E$7:$E$74,0)),"UNMAPPED")</f>
        <v>7e</v>
      </c>
      <c r="L1145" s="49" t="n">
        <f aca="false">STACK!G1145</f>
        <v>45899</v>
      </c>
      <c r="M1145" s="59" t="n">
        <f aca="false">IF(G1145&gt;0,IF(INDEX(CONFIRM!$G$5:$G$53,G1145)&lt;&gt;"",INDEX(CONFIRM!$G$5:$G$53,G1145),IF(ISNUMBER(L1145),L1145,IFERROR(DATEVALUE(L1145),""))),IF(ISNUMBER(L1145),L1145,IFERROR(DATEVALUE(L1145),"")))</f>
        <v>45899</v>
      </c>
      <c r="N1145" s="1" t="str">
        <f aca="false">IF(M1145="","Check",IF(AND(M1145&gt;=INPUTS!$C$6,M1145&lt;=INPUTS!$C$7),"Yes","No"))</f>
        <v>Yes</v>
      </c>
      <c r="O1145" s="48" t="str">
        <f aca="false">STACK!H1145</f>
        <v>RPh</v>
      </c>
      <c r="P1145" s="1" t="str">
        <f aca="false">IF(G1145&gt;0,IF(INDEX(CONFIRM!$H$5:$H$53,G1145)&lt;&gt;"",INDEX(CONFIRM!$H$5:$H$53,G1145),IFERROR(INDEX(MAP!$B$7:$B$156,MATCH(TRIM(O1145),MAP!$A$7:$A$156,0)),"UNMAPPED")),IFERROR(INDEX(MAP!$B$7:$B$156,MATCH(TRIM(O1145),MAP!$A$7:$A$156,0)),"UNMAPPED"))</f>
        <v>Pharmacist</v>
      </c>
      <c r="Q1145" s="48" t="n">
        <f aca="false">STACK!I1145</f>
        <v>2</v>
      </c>
      <c r="R1145" s="60" t="n">
        <f aca="false">IF(G1145&gt;0,IF(INDEX(CONFIRM!$F$5:$F$53,G1145)&lt;&gt;"",INDEX(CONFIRM!$F$5:$F$53,G1145),IF(ISNUMBER(Q1145),Q1145,IF(Q1145="","",IFERROR(VALUE(TRIM(SUBSTITUTE(SUBSTITUTE(LOWER(Q1145),"hrs",""),"hr",""))),"")))),IF(ISNUMBER(Q1145),Q1145,IF(Q1145="","",IFERROR(VALUE(TRIM(SUBSTITUTE(SUBSTITUTE(LOWER(Q1145),"hrs",""),"hr",""))),""))))</f>
        <v>2</v>
      </c>
      <c r="S1145" s="57" t="n">
        <f aca="false">IFERROR(INDEX(RATES!$E$6:$E$28,MATCH(P1145,RATES!$A$6:$A$28,0)),0)</f>
        <v>84.81</v>
      </c>
      <c r="T1145" s="61" t="n">
        <f aca="false">IF(ISNUMBER(R1145),R1145,0)*S1145</f>
        <v>169.62</v>
      </c>
      <c r="U1145" s="61" t="n">
        <f aca="false">T1145*INDEX(INPUTS!$H$10:$H$14,MATCH(B1145,INPUTS!$A$10:$A$14,0))</f>
        <v>23.91642</v>
      </c>
      <c r="V1145" s="61" t="n">
        <f aca="false">N(STACK!K1145)</f>
        <v>1005</v>
      </c>
      <c r="W1145" s="61" t="n">
        <f aca="false">T1145+U1145+V1145</f>
        <v>1198.53642</v>
      </c>
      <c r="X1145" s="61" t="n">
        <f aca="false">N(STACK!L1145)</f>
        <v>565</v>
      </c>
      <c r="Y1145" s="61" t="n">
        <f aca="false">W1145-X1145</f>
        <v>633.53642</v>
      </c>
      <c r="Z1145" s="1" t="n">
        <f aca="false">N(STACK!J1145)</f>
        <v>36</v>
      </c>
      <c r="AA1145" s="1" t="str">
        <f aca="false">TRIM(IF(D1145="UNMAPPED","Program not mapped. ","")&amp;IF(OR(K1145="UNMAPPED",K1145="UNASSIGNED"),"Category needs review. ","")&amp;IF(P1145="UNMAPPED","Title not mapped. ","")&amp;IF(AND(P1145&lt;&gt;"No staff time",R1145=""),"Missing hours. ","")&amp;IF(M1145="","Date not readable. ","")&amp;IF(N1145="No","Outside fiscal year. ","")&amp;IF(AND(F1145="Event",ISNUMBER(R1145)),IF(R1145&gt;12,"Event hours look high. ",""),"")&amp;IF(G1145&gt;0,"See CONFIRM sheet.",""))</f>
        <v/>
      </c>
      <c r="AB1145" s="1" t="n">
        <f aca="false">IF(N1145="No",0,IF(REVIEW!O1145=0,0,IF(G1145&gt;0,IF(INDEX(CONFIRM!$J$5:$J$53,G1145)&lt;&gt;"",INDEX(CONFIRM!$J$5:$J$53,G1145),1),1)))</f>
        <v>1</v>
      </c>
      <c r="AC1145" s="1" t="n">
        <f aca="false">IF(AB1145=1,IF(COUNTIFS($B$5:B1145,B1145,$D$5:D1145,D1145,$AB$5:AB1145,1)=1,1,0),0)</f>
        <v>0</v>
      </c>
    </row>
    <row r="1146" customFormat="false" ht="15" hidden="false" customHeight="false" outlineLevel="0" collapsed="false">
      <c r="A1146" s="48" t="str">
        <f aca="false">STACK!A1146</f>
        <v>WCH-0039</v>
      </c>
      <c r="B1146" s="48" t="str">
        <f aca="false">STACK!B1146</f>
        <v>WCH</v>
      </c>
      <c r="C1146" s="48" t="str">
        <f aca="false">STACK!E1146</f>
        <v>mobile van screenings</v>
      </c>
      <c r="D1146" s="1" t="str">
        <f aca="false">IFERROR(INDEX(MAP!$J$7:$J$101,MATCH(TRIM(C1146),MAP!$I$7:$I$101,0)),"UNMAPPED")</f>
        <v>Mobile Health Screening Unit</v>
      </c>
      <c r="E1146" s="1" t="str">
        <f aca="false">IFERROR(INDEX(MAP!$K$7:$K$101,MATCH(TRIM(C1146),MAP!$I$7:$I$101,0)),"")</f>
        <v>Access to care</v>
      </c>
      <c r="F1146" s="1" t="str">
        <f aca="false">IFERROR(INDEX(MAP!$L$7:$L$101,MATCH(TRIM(C1146),MAP!$I$7:$I$101,0)),"")</f>
        <v>Monthly</v>
      </c>
      <c r="G1146" s="1" t="n">
        <f aca="false">IFERROR(MATCH(A1146,CONFIRM!$A$5:$A$53,0),0)</f>
        <v>0</v>
      </c>
      <c r="H1146" s="48" t="str">
        <f aca="false">STACK!F1146</f>
        <v>CHIS clinical</v>
      </c>
      <c r="I1146" s="1" t="str">
        <f aca="false">IF(G1146&gt;0,IF(INDEX(CONFIRM!$I$5:$I$53,G1146)&lt;&gt;"",INDEX(CONFIRM!$I$5:$I$53,G1146),H1146),H1146)</f>
        <v>CHIS clinical</v>
      </c>
      <c r="J1146" s="1" t="str">
        <f aca="false">IFERROR(INDEX(MAP!$F$7:$F$74,MATCH(TRIM(I1146),MAP!$E$7:$E$74,0)),"UNMAPPED")</f>
        <v>Community-based clinical services</v>
      </c>
      <c r="K1146" s="1" t="str">
        <f aca="false">IFERROR(INDEX(MAP!$G$7:$G$74,MATCH(TRIM(I1146),MAP!$E$7:$E$74,0)),"UNMAPPED")</f>
        <v>7e</v>
      </c>
      <c r="L1146" s="49" t="str">
        <f aca="false">STACK!G1146</f>
        <v>8/31/25</v>
      </c>
      <c r="M1146" s="59" t="n">
        <f aca="false">IF(G1146&gt;0,IF(INDEX(CONFIRM!$G$5:$G$53,G1146)&lt;&gt;"",INDEX(CONFIRM!$G$5:$G$53,G1146),IF(ISNUMBER(L1146),L1146,IFERROR(DATEVALUE(L1146),""))),IF(ISNUMBER(L1146),L1146,IFERROR(DATEVALUE(L1146),"")))</f>
        <v>45900</v>
      </c>
      <c r="N1146" s="1" t="str">
        <f aca="false">IF(M1146="","Check",IF(AND(M1146&gt;=INPUTS!$C$6,M1146&lt;=INPUTS!$C$7),"Yes","No"))</f>
        <v>Yes</v>
      </c>
      <c r="O1146" s="48" t="str">
        <f aca="false">STACK!H1146</f>
        <v>Community Health Worker</v>
      </c>
      <c r="P1146" s="1" t="str">
        <f aca="false">IF(G1146&gt;0,IF(INDEX(CONFIRM!$H$5:$H$53,G1146)&lt;&gt;"",INDEX(CONFIRM!$H$5:$H$53,G1146),IFERROR(INDEX(MAP!$B$7:$B$156,MATCH(TRIM(O1146),MAP!$A$7:$A$156,0)),"UNMAPPED")),IFERROR(INDEX(MAP!$B$7:$B$156,MATCH(TRIM(O1146),MAP!$A$7:$A$156,0)),"UNMAPPED"))</f>
        <v>Community Health Worker</v>
      </c>
      <c r="Q1146" s="48" t="n">
        <f aca="false">STACK!I1146</f>
        <v>70.25</v>
      </c>
      <c r="R1146" s="60" t="n">
        <f aca="false">IF(G1146&gt;0,IF(INDEX(CONFIRM!$F$5:$F$53,G1146)&lt;&gt;"",INDEX(CONFIRM!$F$5:$F$53,G1146),IF(ISNUMBER(Q1146),Q1146,IF(Q1146="","",IFERROR(VALUE(TRIM(SUBSTITUTE(SUBSTITUTE(LOWER(Q1146),"hrs",""),"hr",""))),"")))),IF(ISNUMBER(Q1146),Q1146,IF(Q1146="","",IFERROR(VALUE(TRIM(SUBSTITUTE(SUBSTITUTE(LOWER(Q1146),"hrs",""),"hr",""))),""))))</f>
        <v>70.25</v>
      </c>
      <c r="S1146" s="57" t="n">
        <f aca="false">IFERROR(INDEX(RATES!$E$6:$E$28,MATCH(P1146,RATES!$A$6:$A$28,0)),0)</f>
        <v>27.6275</v>
      </c>
      <c r="T1146" s="61" t="n">
        <f aca="false">IF(ISNUMBER(R1146),R1146,0)*S1146</f>
        <v>1940.831875</v>
      </c>
      <c r="U1146" s="61" t="n">
        <f aca="false">T1146*INDEX(INPUTS!$H$10:$H$14,MATCH(B1146,INPUTS!$A$10:$A$14,0))</f>
        <v>273.657294375</v>
      </c>
      <c r="V1146" s="61" t="n">
        <f aca="false">N(STACK!K1146)</f>
        <v>0</v>
      </c>
      <c r="W1146" s="61" t="n">
        <f aca="false">T1146+U1146+V1146</f>
        <v>2214.489169375</v>
      </c>
      <c r="X1146" s="61" t="n">
        <f aca="false">N(STACK!L1146)</f>
        <v>0</v>
      </c>
      <c r="Y1146" s="61" t="n">
        <f aca="false">W1146-X1146</f>
        <v>2214.489169375</v>
      </c>
      <c r="Z1146" s="1" t="n">
        <f aca="false">N(STACK!J1146)</f>
        <v>0</v>
      </c>
      <c r="AA1146" s="1" t="str">
        <f aca="false">TRIM(IF(D1146="UNMAPPED","Program not mapped. ","")&amp;IF(OR(K1146="UNMAPPED",K1146="UNASSIGNED"),"Category needs review. ","")&amp;IF(P1146="UNMAPPED","Title not mapped. ","")&amp;IF(AND(P1146&lt;&gt;"No staff time",R1146=""),"Missing hours. ","")&amp;IF(M1146="","Date not readable. ","")&amp;IF(N1146="No","Outside fiscal year. ","")&amp;IF(AND(F1146="Event",ISNUMBER(R1146)),IF(R1146&gt;12,"Event hours look high. ",""),"")&amp;IF(G1146&gt;0,"See CONFIRM sheet.",""))</f>
        <v/>
      </c>
      <c r="AB1146" s="1" t="n">
        <f aca="false">IF(N1146="No",0,IF(REVIEW!O1146=0,0,IF(G1146&gt;0,IF(INDEX(CONFIRM!$J$5:$J$53,G1146)&lt;&gt;"",INDEX(CONFIRM!$J$5:$J$53,G1146),1),1)))</f>
        <v>1</v>
      </c>
      <c r="AC1146" s="1" t="n">
        <f aca="false">IF(AB1146=1,IF(COUNTIFS($B$5:B1146,B1146,$D$5:D1146,D1146,$AB$5:AB1146,1)=1,1,0),0)</f>
        <v>0</v>
      </c>
    </row>
    <row r="1147" customFormat="false" ht="15" hidden="false" customHeight="false" outlineLevel="0" collapsed="false">
      <c r="A1147" s="48" t="str">
        <f aca="false">STACK!A1147</f>
        <v>WCH-0040</v>
      </c>
      <c r="B1147" s="48" t="str">
        <f aca="false">STACK!B1147</f>
        <v>WCH</v>
      </c>
      <c r="C1147" s="48" t="str">
        <f aca="false">STACK!E1147</f>
        <v>mobile van screenings</v>
      </c>
      <c r="D1147" s="1" t="str">
        <f aca="false">IFERROR(INDEX(MAP!$J$7:$J$101,MATCH(TRIM(C1147),MAP!$I$7:$I$101,0)),"UNMAPPED")</f>
        <v>Mobile Health Screening Unit</v>
      </c>
      <c r="E1147" s="1" t="str">
        <f aca="false">IFERROR(INDEX(MAP!$K$7:$K$101,MATCH(TRIM(C1147),MAP!$I$7:$I$101,0)),"")</f>
        <v>Access to care</v>
      </c>
      <c r="F1147" s="1" t="str">
        <f aca="false">IFERROR(INDEX(MAP!$L$7:$L$101,MATCH(TRIM(C1147),MAP!$I$7:$I$101,0)),"")</f>
        <v>Monthly</v>
      </c>
      <c r="G1147" s="1" t="n">
        <f aca="false">IFERROR(MATCH(A1147,CONFIRM!$A$5:$A$53,0),0)</f>
        <v>0</v>
      </c>
      <c r="H1147" s="48" t="str">
        <f aca="false">STACK!F1147</f>
        <v>CHIS clinical</v>
      </c>
      <c r="I1147" s="1" t="str">
        <f aca="false">IF(G1147&gt;0,IF(INDEX(CONFIRM!$I$5:$I$53,G1147)&lt;&gt;"",INDEX(CONFIRM!$I$5:$I$53,G1147),H1147),H1147)</f>
        <v>CHIS clinical</v>
      </c>
      <c r="J1147" s="1" t="str">
        <f aca="false">IFERROR(INDEX(MAP!$F$7:$F$74,MATCH(TRIM(I1147),MAP!$E$7:$E$74,0)),"UNMAPPED")</f>
        <v>Community-based clinical services</v>
      </c>
      <c r="K1147" s="1" t="str">
        <f aca="false">IFERROR(INDEX(MAP!$G$7:$G$74,MATCH(TRIM(I1147),MAP!$E$7:$E$74,0)),"UNMAPPED")</f>
        <v>7e</v>
      </c>
      <c r="L1147" s="49" t="str">
        <f aca="false">STACK!G1147</f>
        <v>8/31/25</v>
      </c>
      <c r="M1147" s="59" t="n">
        <f aca="false">IF(G1147&gt;0,IF(INDEX(CONFIRM!$G$5:$G$53,G1147)&lt;&gt;"",INDEX(CONFIRM!$G$5:$G$53,G1147),IF(ISNUMBER(L1147),L1147,IFERROR(DATEVALUE(L1147),""))),IF(ISNUMBER(L1147),L1147,IFERROR(DATEVALUE(L1147),"")))</f>
        <v>45900</v>
      </c>
      <c r="N1147" s="1" t="str">
        <f aca="false">IF(M1147="","Check",IF(AND(M1147&gt;=INPUTS!$C$6,M1147&lt;=INPUTS!$C$7),"Yes","No"))</f>
        <v>Yes</v>
      </c>
      <c r="O1147" s="48" t="str">
        <f aca="false">STACK!H1147</f>
        <v>CMA</v>
      </c>
      <c r="P1147" s="1" t="str">
        <f aca="false">IF(G1147&gt;0,IF(INDEX(CONFIRM!$H$5:$H$53,G1147)&lt;&gt;"",INDEX(CONFIRM!$H$5:$H$53,G1147),IFERROR(INDEX(MAP!$B$7:$B$156,MATCH(TRIM(O1147),MAP!$A$7:$A$156,0)),"UNMAPPED")),IFERROR(INDEX(MAP!$B$7:$B$156,MATCH(TRIM(O1147),MAP!$A$7:$A$156,0)),"UNMAPPED"))</f>
        <v>Medical Assistant</v>
      </c>
      <c r="Q1147" s="48" t="n">
        <f aca="false">STACK!I1147</f>
        <v>69</v>
      </c>
      <c r="R1147" s="60" t="n">
        <f aca="false">IF(G1147&gt;0,IF(INDEX(CONFIRM!$F$5:$F$53,G1147)&lt;&gt;"",INDEX(CONFIRM!$F$5:$F$53,G1147),IF(ISNUMBER(Q1147),Q1147,IF(Q1147="","",IFERROR(VALUE(TRIM(SUBSTITUTE(SUBSTITUTE(LOWER(Q1147),"hrs",""),"hr",""))),"")))),IF(ISNUMBER(Q1147),Q1147,IF(Q1147="","",IFERROR(VALUE(TRIM(SUBSTITUTE(SUBSTITUTE(LOWER(Q1147),"hrs",""),"hr",""))),""))))</f>
        <v>69</v>
      </c>
      <c r="S1147" s="57" t="n">
        <f aca="false">IFERROR(INDEX(RATES!$E$6:$E$28,MATCH(P1147,RATES!$A$6:$A$28,0)),0)</f>
        <v>25.37875</v>
      </c>
      <c r="T1147" s="61" t="n">
        <f aca="false">IF(ISNUMBER(R1147),R1147,0)*S1147</f>
        <v>1751.13375</v>
      </c>
      <c r="U1147" s="61" t="n">
        <f aca="false">T1147*INDEX(INPUTS!$H$10:$H$14,MATCH(B1147,INPUTS!$A$10:$A$14,0))</f>
        <v>246.90985875</v>
      </c>
      <c r="V1147" s="61" t="n">
        <f aca="false">N(STACK!K1147)</f>
        <v>0</v>
      </c>
      <c r="W1147" s="61" t="n">
        <f aca="false">T1147+U1147+V1147</f>
        <v>1998.04360875</v>
      </c>
      <c r="X1147" s="61" t="n">
        <f aca="false">N(STACK!L1147)</f>
        <v>0</v>
      </c>
      <c r="Y1147" s="61" t="n">
        <f aca="false">W1147-X1147</f>
        <v>1998.04360875</v>
      </c>
      <c r="Z1147" s="1" t="n">
        <f aca="false">N(STACK!J1147)</f>
        <v>0</v>
      </c>
      <c r="AA1147" s="1" t="str">
        <f aca="false">TRIM(IF(D1147="UNMAPPED","Program not mapped. ","")&amp;IF(OR(K1147="UNMAPPED",K1147="UNASSIGNED"),"Category needs review. ","")&amp;IF(P1147="UNMAPPED","Title not mapped. ","")&amp;IF(AND(P1147&lt;&gt;"No staff time",R1147=""),"Missing hours. ","")&amp;IF(M1147="","Date not readable. ","")&amp;IF(N1147="No","Outside fiscal year. ","")&amp;IF(AND(F1147="Event",ISNUMBER(R1147)),IF(R1147&gt;12,"Event hours look high. ",""),"")&amp;IF(G1147&gt;0,"See CONFIRM sheet.",""))</f>
        <v/>
      </c>
      <c r="AB1147" s="1" t="n">
        <f aca="false">IF(N1147="No",0,IF(REVIEW!O1147=0,0,IF(G1147&gt;0,IF(INDEX(CONFIRM!$J$5:$J$53,G1147)&lt;&gt;"",INDEX(CONFIRM!$J$5:$J$53,G1147),1),1)))</f>
        <v>1</v>
      </c>
      <c r="AC1147" s="1" t="n">
        <f aca="false">IF(AB1147=1,IF(COUNTIFS($B$5:B1147,B1147,$D$5:D1147,D1147,$AB$5:AB1147,1)=1,1,0),0)</f>
        <v>0</v>
      </c>
    </row>
    <row r="1148" customFormat="false" ht="15" hidden="false" customHeight="false" outlineLevel="0" collapsed="false">
      <c r="A1148" s="48" t="str">
        <f aca="false">STACK!A1148</f>
        <v>WCH-0041</v>
      </c>
      <c r="B1148" s="48" t="str">
        <f aca="false">STACK!B1148</f>
        <v>WCH</v>
      </c>
      <c r="C1148" s="48" t="str">
        <f aca="false">STACK!E1148</f>
        <v>mobile van screenings</v>
      </c>
      <c r="D1148" s="1" t="str">
        <f aca="false">IFERROR(INDEX(MAP!$J$7:$J$101,MATCH(TRIM(C1148),MAP!$I$7:$I$101,0)),"UNMAPPED")</f>
        <v>Mobile Health Screening Unit</v>
      </c>
      <c r="E1148" s="1" t="str">
        <f aca="false">IFERROR(INDEX(MAP!$K$7:$K$101,MATCH(TRIM(C1148),MAP!$I$7:$I$101,0)),"")</f>
        <v>Access to care</v>
      </c>
      <c r="F1148" s="1" t="str">
        <f aca="false">IFERROR(INDEX(MAP!$L$7:$L$101,MATCH(TRIM(C1148),MAP!$I$7:$I$101,0)),"")</f>
        <v>Monthly</v>
      </c>
      <c r="G1148" s="1" t="n">
        <f aca="false">IFERROR(MATCH(A1148,CONFIRM!$A$5:$A$53,0),0)</f>
        <v>0</v>
      </c>
      <c r="H1148" s="48" t="str">
        <f aca="false">STACK!F1148</f>
        <v>CHIS clinical</v>
      </c>
      <c r="I1148" s="1" t="str">
        <f aca="false">IF(G1148&gt;0,IF(INDEX(CONFIRM!$I$5:$I$53,G1148)&lt;&gt;"",INDEX(CONFIRM!$I$5:$I$53,G1148),H1148),H1148)</f>
        <v>CHIS clinical</v>
      </c>
      <c r="J1148" s="1" t="str">
        <f aca="false">IFERROR(INDEX(MAP!$F$7:$F$74,MATCH(TRIM(I1148),MAP!$E$7:$E$74,0)),"UNMAPPED")</f>
        <v>Community-based clinical services</v>
      </c>
      <c r="K1148" s="1" t="str">
        <f aca="false">IFERROR(INDEX(MAP!$G$7:$G$74,MATCH(TRIM(I1148),MAP!$E$7:$E$74,0)),"UNMAPPED")</f>
        <v>7e</v>
      </c>
      <c r="L1148" s="49" t="str">
        <f aca="false">STACK!G1148</f>
        <v>8/31/25</v>
      </c>
      <c r="M1148" s="59" t="n">
        <f aca="false">IF(G1148&gt;0,IF(INDEX(CONFIRM!$G$5:$G$53,G1148)&lt;&gt;"",INDEX(CONFIRM!$G$5:$G$53,G1148),IF(ISNUMBER(L1148),L1148,IFERROR(DATEVALUE(L1148),""))),IF(ISNUMBER(L1148),L1148,IFERROR(DATEVALUE(L1148),"")))</f>
        <v>45900</v>
      </c>
      <c r="N1148" s="1" t="str">
        <f aca="false">IF(M1148="","Check",IF(AND(M1148&gt;=INPUTS!$C$6,M1148&lt;=INPUTS!$C$7),"Yes","No"))</f>
        <v>Yes</v>
      </c>
      <c r="O1148" s="48" t="str">
        <f aca="false">STACK!H1148</f>
        <v>Clinical RN</v>
      </c>
      <c r="P1148" s="1" t="str">
        <f aca="false">IF(G1148&gt;0,IF(INDEX(CONFIRM!$H$5:$H$53,G1148)&lt;&gt;"",INDEX(CONFIRM!$H$5:$H$53,G1148),IFERROR(INDEX(MAP!$B$7:$B$156,MATCH(TRIM(O1148),MAP!$A$7:$A$156,0)),"UNMAPPED")),IFERROR(INDEX(MAP!$B$7:$B$156,MATCH(TRIM(O1148),MAP!$A$7:$A$156,0)),"UNMAPPED"))</f>
        <v>Registered Nurse</v>
      </c>
      <c r="Q1148" s="48" t="n">
        <f aca="false">STACK!I1148</f>
        <v>73.75</v>
      </c>
      <c r="R1148" s="60" t="n">
        <f aca="false">IF(G1148&gt;0,IF(INDEX(CONFIRM!$F$5:$F$53,G1148)&lt;&gt;"",INDEX(CONFIRM!$F$5:$F$53,G1148),IF(ISNUMBER(Q1148),Q1148,IF(Q1148="","",IFERROR(VALUE(TRIM(SUBSTITUTE(SUBSTITUTE(LOWER(Q1148),"hrs",""),"hr",""))),"")))),IF(ISNUMBER(Q1148),Q1148,IF(Q1148="","",IFERROR(VALUE(TRIM(SUBSTITUTE(SUBSTITUTE(LOWER(Q1148),"hrs",""),"hr",""))),""))))</f>
        <v>73.75</v>
      </c>
      <c r="S1148" s="57" t="n">
        <f aca="false">IFERROR(INDEX(RATES!$E$6:$E$28,MATCH(P1148,RATES!$A$6:$A$28,0)),0)</f>
        <v>55.8975</v>
      </c>
      <c r="T1148" s="61" t="n">
        <f aca="false">IF(ISNUMBER(R1148),R1148,0)*S1148</f>
        <v>4122.440625</v>
      </c>
      <c r="U1148" s="61" t="n">
        <f aca="false">T1148*INDEX(INPUTS!$H$10:$H$14,MATCH(B1148,INPUTS!$A$10:$A$14,0))</f>
        <v>581.264128125</v>
      </c>
      <c r="V1148" s="61" t="n">
        <f aca="false">N(STACK!K1148)</f>
        <v>5720</v>
      </c>
      <c r="W1148" s="61" t="n">
        <f aca="false">T1148+U1148+V1148</f>
        <v>10423.704753125</v>
      </c>
      <c r="X1148" s="61" t="n">
        <f aca="false">N(STACK!L1148)</f>
        <v>0</v>
      </c>
      <c r="Y1148" s="61" t="n">
        <f aca="false">W1148-X1148</f>
        <v>10423.704753125</v>
      </c>
      <c r="Z1148" s="1" t="n">
        <f aca="false">N(STACK!J1148)</f>
        <v>225</v>
      </c>
      <c r="AA1148" s="1" t="str">
        <f aca="false">TRIM(IF(D1148="UNMAPPED","Program not mapped. ","")&amp;IF(OR(K1148="UNMAPPED",K1148="UNASSIGNED"),"Category needs review. ","")&amp;IF(P1148="UNMAPPED","Title not mapped. ","")&amp;IF(AND(P1148&lt;&gt;"No staff time",R1148=""),"Missing hours. ","")&amp;IF(M1148="","Date not readable. ","")&amp;IF(N1148="No","Outside fiscal year. ","")&amp;IF(AND(F1148="Event",ISNUMBER(R1148)),IF(R1148&gt;12,"Event hours look high. ",""),"")&amp;IF(G1148&gt;0,"See CONFIRM sheet.",""))</f>
        <v/>
      </c>
      <c r="AB1148" s="1" t="n">
        <f aca="false">IF(N1148="No",0,IF(REVIEW!O1148=0,0,IF(G1148&gt;0,IF(INDEX(CONFIRM!$J$5:$J$53,G1148)&lt;&gt;"",INDEX(CONFIRM!$J$5:$J$53,G1148),1),1)))</f>
        <v>1</v>
      </c>
      <c r="AC1148" s="1" t="n">
        <f aca="false">IF(AB1148=1,IF(COUNTIFS($B$5:B1148,B1148,$D$5:D1148,D1148,$AB$5:AB1148,1)=1,1,0),0)</f>
        <v>0</v>
      </c>
    </row>
    <row r="1149" customFormat="false" ht="15" hidden="false" customHeight="false" outlineLevel="0" collapsed="false">
      <c r="A1149" s="48" t="str">
        <f aca="false">STACK!A1149</f>
        <v>WCH-0042</v>
      </c>
      <c r="B1149" s="48" t="str">
        <f aca="false">STACK!B1149</f>
        <v>WCH</v>
      </c>
      <c r="C1149" s="48" t="str">
        <f aca="false">STACK!E1149</f>
        <v>chw outreach</v>
      </c>
      <c r="D1149" s="1" t="str">
        <f aca="false">IFERROR(INDEX(MAP!$J$7:$J$101,MATCH(TRIM(C1149),MAP!$I$7:$I$101,0)),"UNMAPPED")</f>
        <v>Community Health Worker Outreach</v>
      </c>
      <c r="E1149" s="1" t="str">
        <f aca="false">IFERROR(INDEX(MAP!$K$7:$K$101,MATCH(TRIM(C1149),MAP!$I$7:$I$101,0)),"")</f>
        <v>Access to care</v>
      </c>
      <c r="F1149" s="1" t="str">
        <f aca="false">IFERROR(INDEX(MAP!$L$7:$L$101,MATCH(TRIM(C1149),MAP!$I$7:$I$101,0)),"")</f>
        <v>Monthly</v>
      </c>
      <c r="G1149" s="1" t="n">
        <f aca="false">IFERROR(MATCH(A1149,CONFIRM!$A$5:$A$53,0),0)</f>
        <v>0</v>
      </c>
      <c r="H1149" s="48" t="str">
        <f aca="false">STACK!F1149</f>
        <v>CHIS support</v>
      </c>
      <c r="I1149" s="1" t="str">
        <f aca="false">IF(G1149&gt;0,IF(INDEX(CONFIRM!$I$5:$I$53,G1149)&lt;&gt;"",INDEX(CONFIRM!$I$5:$I$53,G1149),H1149),H1149)</f>
        <v>CHIS support</v>
      </c>
      <c r="J1149" s="1" t="str">
        <f aca="false">IFERROR(INDEX(MAP!$F$7:$F$74,MATCH(TRIM(I1149),MAP!$E$7:$E$74,0)),"UNMAPPED")</f>
        <v>Health care support services</v>
      </c>
      <c r="K1149" s="1" t="str">
        <f aca="false">IFERROR(INDEX(MAP!$G$7:$G$74,MATCH(TRIM(I1149),MAP!$E$7:$E$74,0)),"UNMAPPED")</f>
        <v>7e</v>
      </c>
      <c r="L1149" s="49" t="str">
        <f aca="false">STACK!G1149</f>
        <v>August 31, 2025</v>
      </c>
      <c r="M1149" s="59" t="n">
        <f aca="false">IF(G1149&gt;0,IF(INDEX(CONFIRM!$G$5:$G$53,G1149)&lt;&gt;"",INDEX(CONFIRM!$G$5:$G$53,G1149),IF(ISNUMBER(L1149),L1149,IFERROR(DATEVALUE(L1149),""))),IF(ISNUMBER(L1149),L1149,IFERROR(DATEVALUE(L1149),"")))</f>
        <v>45900</v>
      </c>
      <c r="N1149" s="1" t="str">
        <f aca="false">IF(M1149="","Check",IF(AND(M1149&gt;=INPUTS!$C$6,M1149&lt;=INPUTS!$C$7),"Yes","No"))</f>
        <v>Yes</v>
      </c>
      <c r="O1149" s="48" t="str">
        <f aca="false">STACK!H1149</f>
        <v>Community Health Worker</v>
      </c>
      <c r="P1149" s="1" t="str">
        <f aca="false">IF(G1149&gt;0,IF(INDEX(CONFIRM!$H$5:$H$53,G1149)&lt;&gt;"",INDEX(CONFIRM!$H$5:$H$53,G1149),IFERROR(INDEX(MAP!$B$7:$B$156,MATCH(TRIM(O1149),MAP!$A$7:$A$156,0)),"UNMAPPED")),IFERROR(INDEX(MAP!$B$7:$B$156,MATCH(TRIM(O1149),MAP!$A$7:$A$156,0)),"UNMAPPED"))</f>
        <v>Community Health Worker</v>
      </c>
      <c r="Q1149" s="48" t="n">
        <f aca="false">STACK!I1149</f>
        <v>261</v>
      </c>
      <c r="R1149" s="60" t="n">
        <f aca="false">IF(G1149&gt;0,IF(INDEX(CONFIRM!$F$5:$F$53,G1149)&lt;&gt;"",INDEX(CONFIRM!$F$5:$F$53,G1149),IF(ISNUMBER(Q1149),Q1149,IF(Q1149="","",IFERROR(VALUE(TRIM(SUBSTITUTE(SUBSTITUTE(LOWER(Q1149),"hrs",""),"hr",""))),"")))),IF(ISNUMBER(Q1149),Q1149,IF(Q1149="","",IFERROR(VALUE(TRIM(SUBSTITUTE(SUBSTITUTE(LOWER(Q1149),"hrs",""),"hr",""))),""))))</f>
        <v>261</v>
      </c>
      <c r="S1149" s="57" t="n">
        <f aca="false">IFERROR(INDEX(RATES!$E$6:$E$28,MATCH(P1149,RATES!$A$6:$A$28,0)),0)</f>
        <v>27.6275</v>
      </c>
      <c r="T1149" s="61" t="n">
        <f aca="false">IF(ISNUMBER(R1149),R1149,0)*S1149</f>
        <v>7210.7775</v>
      </c>
      <c r="U1149" s="61" t="n">
        <f aca="false">T1149*INDEX(INPUTS!$H$10:$H$14,MATCH(B1149,INPUTS!$A$10:$A$14,0))</f>
        <v>1016.7196275</v>
      </c>
      <c r="V1149" s="61" t="n">
        <f aca="false">N(STACK!K1149)</f>
        <v>1630</v>
      </c>
      <c r="W1149" s="61" t="n">
        <f aca="false">T1149+U1149+V1149</f>
        <v>9857.4971275</v>
      </c>
      <c r="X1149" s="61" t="n">
        <f aca="false">N(STACK!L1149)</f>
        <v>0</v>
      </c>
      <c r="Y1149" s="61" t="n">
        <f aca="false">W1149-X1149</f>
        <v>9857.4971275</v>
      </c>
      <c r="Z1149" s="1" t="n">
        <f aca="false">N(STACK!J1149)</f>
        <v>352</v>
      </c>
      <c r="AA1149" s="1" t="str">
        <f aca="false">TRIM(IF(D1149="UNMAPPED","Program not mapped. ","")&amp;IF(OR(K1149="UNMAPPED",K1149="UNASSIGNED"),"Category needs review. ","")&amp;IF(P1149="UNMAPPED","Title not mapped. ","")&amp;IF(AND(P1149&lt;&gt;"No staff time",R1149=""),"Missing hours. ","")&amp;IF(M1149="","Date not readable. ","")&amp;IF(N1149="No","Outside fiscal year. ","")&amp;IF(AND(F1149="Event",ISNUMBER(R1149)),IF(R1149&gt;12,"Event hours look high. ",""),"")&amp;IF(G1149&gt;0,"See CONFIRM sheet.",""))</f>
        <v/>
      </c>
      <c r="AB1149" s="1" t="n">
        <f aca="false">IF(N1149="No",0,IF(REVIEW!O1149=0,0,IF(G1149&gt;0,IF(INDEX(CONFIRM!$J$5:$J$53,G1149)&lt;&gt;"",INDEX(CONFIRM!$J$5:$J$53,G1149),1),1)))</f>
        <v>1</v>
      </c>
      <c r="AC1149" s="1" t="n">
        <f aca="false">IF(AB1149=1,IF(COUNTIFS($B$5:B1149,B1149,$D$5:D1149,D1149,$AB$5:AB1149,1)=1,1,0),0)</f>
        <v>0</v>
      </c>
    </row>
    <row r="1150" customFormat="false" ht="15" hidden="false" customHeight="false" outlineLevel="0" collapsed="false">
      <c r="A1150" s="48" t="str">
        <f aca="false">STACK!A1150</f>
        <v>WCH-0043</v>
      </c>
      <c r="B1150" s="48" t="str">
        <f aca="false">STACK!B1150</f>
        <v>WCH</v>
      </c>
      <c r="C1150" s="48" t="str">
        <f aca="false">STACK!E1150</f>
        <v>chw outreach</v>
      </c>
      <c r="D1150" s="1" t="str">
        <f aca="false">IFERROR(INDEX(MAP!$J$7:$J$101,MATCH(TRIM(C1150),MAP!$I$7:$I$101,0)),"UNMAPPED")</f>
        <v>Community Health Worker Outreach</v>
      </c>
      <c r="E1150" s="1" t="str">
        <f aca="false">IFERROR(INDEX(MAP!$K$7:$K$101,MATCH(TRIM(C1150),MAP!$I$7:$I$101,0)),"")</f>
        <v>Access to care</v>
      </c>
      <c r="F1150" s="1" t="str">
        <f aca="false">IFERROR(INDEX(MAP!$L$7:$L$101,MATCH(TRIM(C1150),MAP!$I$7:$I$101,0)),"")</f>
        <v>Monthly</v>
      </c>
      <c r="G1150" s="1" t="n">
        <f aca="false">IFERROR(MATCH(A1150,CONFIRM!$A$5:$A$53,0),0)</f>
        <v>0</v>
      </c>
      <c r="H1150" s="48" t="str">
        <f aca="false">STACK!F1150</f>
        <v>CHIS support</v>
      </c>
      <c r="I1150" s="1" t="str">
        <f aca="false">IF(G1150&gt;0,IF(INDEX(CONFIRM!$I$5:$I$53,G1150)&lt;&gt;"",INDEX(CONFIRM!$I$5:$I$53,G1150),H1150),H1150)</f>
        <v>CHIS support</v>
      </c>
      <c r="J1150" s="1" t="str">
        <f aca="false">IFERROR(INDEX(MAP!$F$7:$F$74,MATCH(TRIM(I1150),MAP!$E$7:$E$74,0)),"UNMAPPED")</f>
        <v>Health care support services</v>
      </c>
      <c r="K1150" s="1" t="str">
        <f aca="false">IFERROR(INDEX(MAP!$G$7:$G$74,MATCH(TRIM(I1150),MAP!$E$7:$E$74,0)),"UNMAPPED")</f>
        <v>7e</v>
      </c>
      <c r="L1150" s="49" t="n">
        <f aca="false">STACK!G1150</f>
        <v>45900</v>
      </c>
      <c r="M1150" s="59" t="n">
        <f aca="false">IF(G1150&gt;0,IF(INDEX(CONFIRM!$G$5:$G$53,G1150)&lt;&gt;"",INDEX(CONFIRM!$G$5:$G$53,G1150),IF(ISNUMBER(L1150),L1150,IFERROR(DATEVALUE(L1150),""))),IF(ISNUMBER(L1150),L1150,IFERROR(DATEVALUE(L1150),"")))</f>
        <v>45900</v>
      </c>
      <c r="N1150" s="1" t="str">
        <f aca="false">IF(M1150="","Check",IF(AND(M1150&gt;=INPUTS!$C$6,M1150&lt;=INPUTS!$C$7),"Yes","No"))</f>
        <v>Yes</v>
      </c>
      <c r="O1150" s="48" t="str">
        <f aca="false">STACK!H1150</f>
        <v>Financial Navigator</v>
      </c>
      <c r="P1150" s="1" t="str">
        <f aca="false">IF(G1150&gt;0,IF(INDEX(CONFIRM!$H$5:$H$53,G1150)&lt;&gt;"",INDEX(CONFIRM!$H$5:$H$53,G1150),IFERROR(INDEX(MAP!$B$7:$B$156,MATCH(TRIM(O1150),MAP!$A$7:$A$156,0)),"UNMAPPED")),IFERROR(INDEX(MAP!$B$7:$B$156,MATCH(TRIM(O1150),MAP!$A$7:$A$156,0)),"UNMAPPED"))</f>
        <v>Patient Navigator</v>
      </c>
      <c r="Q1150" s="48" t="n">
        <f aca="false">STACK!I1150</f>
        <v>117.5</v>
      </c>
      <c r="R1150" s="60" t="n">
        <f aca="false">IF(G1150&gt;0,IF(INDEX(CONFIRM!$F$5:$F$53,G1150)&lt;&gt;"",INDEX(CONFIRM!$F$5:$F$53,G1150),IF(ISNUMBER(Q1150),Q1150,IF(Q1150="","",IFERROR(VALUE(TRIM(SUBSTITUTE(SUBSTITUTE(LOWER(Q1150),"hrs",""),"hr",""))),"")))),IF(ISNUMBER(Q1150),Q1150,IF(Q1150="","",IFERROR(VALUE(TRIM(SUBSTITUTE(SUBSTITUTE(LOWER(Q1150),"hrs",""),"hr",""))),""))))</f>
        <v>117.5</v>
      </c>
      <c r="S1150" s="57" t="n">
        <f aca="false">IFERROR(INDEX(RATES!$E$6:$E$28,MATCH(P1150,RATES!$A$6:$A$28,0)),0)</f>
        <v>30.84</v>
      </c>
      <c r="T1150" s="61" t="n">
        <f aca="false">IF(ISNUMBER(R1150),R1150,0)*S1150</f>
        <v>3623.7</v>
      </c>
      <c r="U1150" s="61" t="n">
        <f aca="false">T1150*INDEX(INPUTS!$H$10:$H$14,MATCH(B1150,INPUTS!$A$10:$A$14,0))</f>
        <v>510.9417</v>
      </c>
      <c r="V1150" s="61" t="n">
        <f aca="false">N(STACK!K1150)</f>
        <v>0</v>
      </c>
      <c r="W1150" s="61" t="n">
        <f aca="false">T1150+U1150+V1150</f>
        <v>4134.6417</v>
      </c>
      <c r="X1150" s="61" t="n">
        <f aca="false">N(STACK!L1150)</f>
        <v>0</v>
      </c>
      <c r="Y1150" s="61" t="n">
        <f aca="false">W1150-X1150</f>
        <v>4134.6417</v>
      </c>
      <c r="Z1150" s="1" t="n">
        <f aca="false">N(STACK!J1150)</f>
        <v>0</v>
      </c>
      <c r="AA1150" s="1" t="str">
        <f aca="false">TRIM(IF(D1150="UNMAPPED","Program not mapped. ","")&amp;IF(OR(K1150="UNMAPPED",K1150="UNASSIGNED"),"Category needs review. ","")&amp;IF(P1150="UNMAPPED","Title not mapped. ","")&amp;IF(AND(P1150&lt;&gt;"No staff time",R1150=""),"Missing hours. ","")&amp;IF(M1150="","Date not readable. ","")&amp;IF(N1150="No","Outside fiscal year. ","")&amp;IF(AND(F1150="Event",ISNUMBER(R1150)),IF(R1150&gt;12,"Event hours look high. ",""),"")&amp;IF(G1150&gt;0,"See CONFIRM sheet.",""))</f>
        <v/>
      </c>
      <c r="AB1150" s="1" t="n">
        <f aca="false">IF(N1150="No",0,IF(REVIEW!O1150=0,0,IF(G1150&gt;0,IF(INDEX(CONFIRM!$J$5:$J$53,G1150)&lt;&gt;"",INDEX(CONFIRM!$J$5:$J$53,G1150),1),1)))</f>
        <v>1</v>
      </c>
      <c r="AC1150" s="1" t="n">
        <f aca="false">IF(AB1150=1,IF(COUNTIFS($B$5:B1150,B1150,$D$5:D1150,D1150,$AB$5:AB1150,1)=1,1,0),0)</f>
        <v>0</v>
      </c>
    </row>
    <row r="1151" customFormat="false" ht="15" hidden="false" customHeight="false" outlineLevel="0" collapsed="false">
      <c r="A1151" s="48" t="str">
        <f aca="false">STACK!A1151</f>
        <v>WCH-0044</v>
      </c>
      <c r="B1151" s="48" t="str">
        <f aca="false">STACK!B1151</f>
        <v>WCH</v>
      </c>
      <c r="C1151" s="48" t="str">
        <f aca="false">STACK!E1151</f>
        <v>produce prescription</v>
      </c>
      <c r="D1151" s="1" t="str">
        <f aca="false">IFERROR(INDEX(MAP!$J$7:$J$101,MATCH(TRIM(C1151),MAP!$I$7:$I$101,0)),"UNMAPPED")</f>
        <v>Produce Prescription Program</v>
      </c>
      <c r="E1151" s="1" t="str">
        <f aca="false">IFERROR(INDEX(MAP!$K$7:$K$101,MATCH(TRIM(C1151),MAP!$I$7:$I$101,0)),"")</f>
        <v>Food and housing security</v>
      </c>
      <c r="F1151" s="1" t="str">
        <f aca="false">IFERROR(INDEX(MAP!$L$7:$L$101,MATCH(TRIM(C1151),MAP!$I$7:$I$101,0)),"")</f>
        <v>Monthly</v>
      </c>
      <c r="G1151" s="1" t="n">
        <f aca="false">IFERROR(MATCH(A1151,CONFIRM!$A$5:$A$53,0),0)</f>
        <v>0</v>
      </c>
      <c r="H1151" s="48" t="str">
        <f aca="false">STACK!F1151</f>
        <v>CHIS support</v>
      </c>
      <c r="I1151" s="1" t="str">
        <f aca="false">IF(G1151&gt;0,IF(INDEX(CONFIRM!$I$5:$I$53,G1151)&lt;&gt;"",INDEX(CONFIRM!$I$5:$I$53,G1151),H1151),H1151)</f>
        <v>CHIS support</v>
      </c>
      <c r="J1151" s="1" t="str">
        <f aca="false">IFERROR(INDEX(MAP!$F$7:$F$74,MATCH(TRIM(I1151),MAP!$E$7:$E$74,0)),"UNMAPPED")</f>
        <v>Health care support services</v>
      </c>
      <c r="K1151" s="1" t="str">
        <f aca="false">IFERROR(INDEX(MAP!$G$7:$G$74,MATCH(TRIM(I1151),MAP!$E$7:$E$74,0)),"UNMAPPED")</f>
        <v>7e</v>
      </c>
      <c r="L1151" s="49" t="n">
        <f aca="false">STACK!G1151</f>
        <v>45900</v>
      </c>
      <c r="M1151" s="59" t="n">
        <f aca="false">IF(G1151&gt;0,IF(INDEX(CONFIRM!$G$5:$G$53,G1151)&lt;&gt;"",INDEX(CONFIRM!$G$5:$G$53,G1151),IF(ISNUMBER(L1151),L1151,IFERROR(DATEVALUE(L1151),""))),IF(ISNUMBER(L1151),L1151,IFERROR(DATEVALUE(L1151),"")))</f>
        <v>45900</v>
      </c>
      <c r="N1151" s="1" t="str">
        <f aca="false">IF(M1151="","Check",IF(AND(M1151&gt;=INPUTS!$C$6,M1151&lt;=INPUTS!$C$7),"Yes","No"))</f>
        <v>Yes</v>
      </c>
      <c r="O1151" s="48" t="str">
        <f aca="false">STACK!H1151</f>
        <v>Comm Health Worker</v>
      </c>
      <c r="P1151" s="1" t="str">
        <f aca="false">IF(G1151&gt;0,IF(INDEX(CONFIRM!$H$5:$H$53,G1151)&lt;&gt;"",INDEX(CONFIRM!$H$5:$H$53,G1151),IFERROR(INDEX(MAP!$B$7:$B$156,MATCH(TRIM(O1151),MAP!$A$7:$A$156,0)),"UNMAPPED")),IFERROR(INDEX(MAP!$B$7:$B$156,MATCH(TRIM(O1151),MAP!$A$7:$A$156,0)),"UNMAPPED"))</f>
        <v>Community Health Worker</v>
      </c>
      <c r="Q1151" s="48" t="n">
        <f aca="false">STACK!I1151</f>
        <v>31.5</v>
      </c>
      <c r="R1151" s="60" t="n">
        <f aca="false">IF(G1151&gt;0,IF(INDEX(CONFIRM!$F$5:$F$53,G1151)&lt;&gt;"",INDEX(CONFIRM!$F$5:$F$53,G1151),IF(ISNUMBER(Q1151),Q1151,IF(Q1151="","",IFERROR(VALUE(TRIM(SUBSTITUTE(SUBSTITUTE(LOWER(Q1151),"hrs",""),"hr",""))),"")))),IF(ISNUMBER(Q1151),Q1151,IF(Q1151="","",IFERROR(VALUE(TRIM(SUBSTITUTE(SUBSTITUTE(LOWER(Q1151),"hrs",""),"hr",""))),""))))</f>
        <v>31.5</v>
      </c>
      <c r="S1151" s="57" t="n">
        <f aca="false">IFERROR(INDEX(RATES!$E$6:$E$28,MATCH(P1151,RATES!$A$6:$A$28,0)),0)</f>
        <v>27.6275</v>
      </c>
      <c r="T1151" s="61" t="n">
        <f aca="false">IF(ISNUMBER(R1151),R1151,0)*S1151</f>
        <v>870.26625</v>
      </c>
      <c r="U1151" s="61" t="n">
        <f aca="false">T1151*INDEX(INPUTS!$H$10:$H$14,MATCH(B1151,INPUTS!$A$10:$A$14,0))</f>
        <v>122.70754125</v>
      </c>
      <c r="V1151" s="61" t="n">
        <f aca="false">N(STACK!K1151)</f>
        <v>0</v>
      </c>
      <c r="W1151" s="61" t="n">
        <f aca="false">T1151+U1151+V1151</f>
        <v>992.97379125</v>
      </c>
      <c r="X1151" s="61" t="n">
        <f aca="false">N(STACK!L1151)</f>
        <v>0</v>
      </c>
      <c r="Y1151" s="61" t="n">
        <f aca="false">W1151-X1151</f>
        <v>992.97379125</v>
      </c>
      <c r="Z1151" s="1" t="n">
        <f aca="false">N(STACK!J1151)</f>
        <v>0</v>
      </c>
      <c r="AA1151" s="1" t="str">
        <f aca="false">TRIM(IF(D1151="UNMAPPED","Program not mapped. ","")&amp;IF(OR(K1151="UNMAPPED",K1151="UNASSIGNED"),"Category needs review. ","")&amp;IF(P1151="UNMAPPED","Title not mapped. ","")&amp;IF(AND(P1151&lt;&gt;"No staff time",R1151=""),"Missing hours. ","")&amp;IF(M1151="","Date not readable. ","")&amp;IF(N1151="No","Outside fiscal year. ","")&amp;IF(AND(F1151="Event",ISNUMBER(R1151)),IF(R1151&gt;12,"Event hours look high. ",""),"")&amp;IF(G1151&gt;0,"See CONFIRM sheet.",""))</f>
        <v/>
      </c>
      <c r="AB1151" s="1" t="n">
        <f aca="false">IF(N1151="No",0,IF(REVIEW!O1151=0,0,IF(G1151&gt;0,IF(INDEX(CONFIRM!$J$5:$J$53,G1151)&lt;&gt;"",INDEX(CONFIRM!$J$5:$J$53,G1151),1),1)))</f>
        <v>1</v>
      </c>
      <c r="AC1151" s="1" t="n">
        <f aca="false">IF(AB1151=1,IF(COUNTIFS($B$5:B1151,B1151,$D$5:D1151,D1151,$AB$5:AB1151,1)=1,1,0),0)</f>
        <v>0</v>
      </c>
    </row>
    <row r="1152" customFormat="false" ht="15" hidden="false" customHeight="false" outlineLevel="0" collapsed="false">
      <c r="A1152" s="48" t="str">
        <f aca="false">STACK!A1152</f>
        <v>WCH-0045</v>
      </c>
      <c r="B1152" s="48" t="str">
        <f aca="false">STACK!B1152</f>
        <v>WCH</v>
      </c>
      <c r="C1152" s="48" t="str">
        <f aca="false">STACK!E1152</f>
        <v>produce prescription</v>
      </c>
      <c r="D1152" s="1" t="str">
        <f aca="false">IFERROR(INDEX(MAP!$J$7:$J$101,MATCH(TRIM(C1152),MAP!$I$7:$I$101,0)),"UNMAPPED")</f>
        <v>Produce Prescription Program</v>
      </c>
      <c r="E1152" s="1" t="str">
        <f aca="false">IFERROR(INDEX(MAP!$K$7:$K$101,MATCH(TRIM(C1152),MAP!$I$7:$I$101,0)),"")</f>
        <v>Food and housing security</v>
      </c>
      <c r="F1152" s="1" t="str">
        <f aca="false">IFERROR(INDEX(MAP!$L$7:$L$101,MATCH(TRIM(C1152),MAP!$I$7:$I$101,0)),"")</f>
        <v>Monthly</v>
      </c>
      <c r="G1152" s="1" t="n">
        <f aca="false">IFERROR(MATCH(A1152,CONFIRM!$A$5:$A$53,0),0)</f>
        <v>0</v>
      </c>
      <c r="H1152" s="48" t="str">
        <f aca="false">STACK!F1152</f>
        <v>CHIS support</v>
      </c>
      <c r="I1152" s="1" t="str">
        <f aca="false">IF(G1152&gt;0,IF(INDEX(CONFIRM!$I$5:$I$53,G1152)&lt;&gt;"",INDEX(CONFIRM!$I$5:$I$53,G1152),H1152),H1152)</f>
        <v>CHIS support</v>
      </c>
      <c r="J1152" s="1" t="str">
        <f aca="false">IFERROR(INDEX(MAP!$F$7:$F$74,MATCH(TRIM(I1152),MAP!$E$7:$E$74,0)),"UNMAPPED")</f>
        <v>Health care support services</v>
      </c>
      <c r="K1152" s="1" t="str">
        <f aca="false">IFERROR(INDEX(MAP!$G$7:$G$74,MATCH(TRIM(I1152),MAP!$E$7:$E$74,0)),"UNMAPPED")</f>
        <v>7e</v>
      </c>
      <c r="L1152" s="49" t="str">
        <f aca="false">STACK!G1152</f>
        <v>8/31/25</v>
      </c>
      <c r="M1152" s="59" t="n">
        <f aca="false">IF(G1152&gt;0,IF(INDEX(CONFIRM!$G$5:$G$53,G1152)&lt;&gt;"",INDEX(CONFIRM!$G$5:$G$53,G1152),IF(ISNUMBER(L1152),L1152,IFERROR(DATEVALUE(L1152),""))),IF(ISNUMBER(L1152),L1152,IFERROR(DATEVALUE(L1152),"")))</f>
        <v>45900</v>
      </c>
      <c r="N1152" s="1" t="str">
        <f aca="false">IF(M1152="","Check",IF(AND(M1152&gt;=INPUTS!$C$6,M1152&lt;=INPUTS!$C$7),"Yes","No"))</f>
        <v>Yes</v>
      </c>
      <c r="O1152" s="48" t="str">
        <f aca="false">STACK!H1152</f>
        <v>RDN</v>
      </c>
      <c r="P1152" s="1" t="str">
        <f aca="false">IF(G1152&gt;0,IF(INDEX(CONFIRM!$H$5:$H$53,G1152)&lt;&gt;"",INDEX(CONFIRM!$H$5:$H$53,G1152),IFERROR(INDEX(MAP!$B$7:$B$156,MATCH(TRIM(O1152),MAP!$A$7:$A$156,0)),"UNMAPPED")),IFERROR(INDEX(MAP!$B$7:$B$156,MATCH(TRIM(O1152),MAP!$A$7:$A$156,0)),"UNMAPPED"))</f>
        <v>Registered Dietitian</v>
      </c>
      <c r="Q1152" s="48" t="n">
        <f aca="false">STACK!I1152</f>
        <v>16</v>
      </c>
      <c r="R1152" s="60" t="n">
        <f aca="false">IF(G1152&gt;0,IF(INDEX(CONFIRM!$F$5:$F$53,G1152)&lt;&gt;"",INDEX(CONFIRM!$F$5:$F$53,G1152),IF(ISNUMBER(Q1152),Q1152,IF(Q1152="","",IFERROR(VALUE(TRIM(SUBSTITUTE(SUBSTITUTE(LOWER(Q1152),"hrs",""),"hr",""))),"")))),IF(ISNUMBER(Q1152),Q1152,IF(Q1152="","",IFERROR(VALUE(TRIM(SUBSTITUTE(SUBSTITUTE(LOWER(Q1152),"hrs",""),"hr",""))),""))))</f>
        <v>16</v>
      </c>
      <c r="S1152" s="57" t="n">
        <f aca="false">IFERROR(INDEX(RATES!$E$6:$E$28,MATCH(P1152,RATES!$A$6:$A$28,0)),0)</f>
        <v>46.9025</v>
      </c>
      <c r="T1152" s="61" t="n">
        <f aca="false">IF(ISNUMBER(R1152),R1152,0)*S1152</f>
        <v>750.44</v>
      </c>
      <c r="U1152" s="61" t="n">
        <f aca="false">T1152*INDEX(INPUTS!$H$10:$H$14,MATCH(B1152,INPUTS!$A$10:$A$14,0))</f>
        <v>105.81204</v>
      </c>
      <c r="V1152" s="61" t="n">
        <f aca="false">N(STACK!K1152)</f>
        <v>8875</v>
      </c>
      <c r="W1152" s="61" t="n">
        <f aca="false">T1152+U1152+V1152</f>
        <v>9731.25204</v>
      </c>
      <c r="X1152" s="61" t="n">
        <f aca="false">N(STACK!L1152)</f>
        <v>3380</v>
      </c>
      <c r="Y1152" s="61" t="n">
        <f aca="false">W1152-X1152</f>
        <v>6351.25204</v>
      </c>
      <c r="Z1152" s="1" t="n">
        <f aca="false">N(STACK!J1152)</f>
        <v>99</v>
      </c>
      <c r="AA1152" s="1" t="str">
        <f aca="false">TRIM(IF(D1152="UNMAPPED","Program not mapped. ","")&amp;IF(OR(K1152="UNMAPPED",K1152="UNASSIGNED"),"Category needs review. ","")&amp;IF(P1152="UNMAPPED","Title not mapped. ","")&amp;IF(AND(P1152&lt;&gt;"No staff time",R1152=""),"Missing hours. ","")&amp;IF(M1152="","Date not readable. ","")&amp;IF(N1152="No","Outside fiscal year. ","")&amp;IF(AND(F1152="Event",ISNUMBER(R1152)),IF(R1152&gt;12,"Event hours look high. ",""),"")&amp;IF(G1152&gt;0,"See CONFIRM sheet.",""))</f>
        <v/>
      </c>
      <c r="AB1152" s="1" t="n">
        <f aca="false">IF(N1152="No",0,IF(REVIEW!O1152=0,0,IF(G1152&gt;0,IF(INDEX(CONFIRM!$J$5:$J$53,G1152)&lt;&gt;"",INDEX(CONFIRM!$J$5:$J$53,G1152),1),1)))</f>
        <v>1</v>
      </c>
      <c r="AC1152" s="1" t="n">
        <f aca="false">IF(AB1152=1,IF(COUNTIFS($B$5:B1152,B1152,$D$5:D1152,D1152,$AB$5:AB1152,1)=1,1,0),0)</f>
        <v>0</v>
      </c>
    </row>
    <row r="1153" customFormat="false" ht="15" hidden="false" customHeight="false" outlineLevel="0" collapsed="false">
      <c r="A1153" s="48" t="str">
        <f aca="false">STACK!A1153</f>
        <v>WCH-0046</v>
      </c>
      <c r="B1153" s="48" t="str">
        <f aca="false">STACK!B1153</f>
        <v>WCH</v>
      </c>
      <c r="C1153" s="48" t="str">
        <f aca="false">STACK!E1153</f>
        <v>cb admin</v>
      </c>
      <c r="D1153" s="1" t="str">
        <f aca="false">IFERROR(INDEX(MAP!$J$7:$J$101,MATCH(TRIM(C1153),MAP!$I$7:$I$101,0)),"UNMAPPED")</f>
        <v>Community Benefit Program Administration</v>
      </c>
      <c r="E1153" s="1" t="str">
        <f aca="false">IFERROR(INDEX(MAP!$K$7:$K$101,MATCH(TRIM(C1153),MAP!$I$7:$I$101,0)),"")</f>
        <v>Community benefit infrastructure</v>
      </c>
      <c r="F1153" s="1" t="str">
        <f aca="false">IFERROR(INDEX(MAP!$L$7:$L$101,MATCH(TRIM(C1153),MAP!$I$7:$I$101,0)),"")</f>
        <v>Monthly</v>
      </c>
      <c r="G1153" s="1" t="n">
        <f aca="false">IFERROR(MATCH(A1153,CONFIRM!$A$5:$A$53,0),0)</f>
        <v>0</v>
      </c>
      <c r="H1153" s="48" t="str">
        <f aca="false">STACK!F1153</f>
        <v>cb operations</v>
      </c>
      <c r="I1153" s="1" t="str">
        <f aca="false">IF(G1153&gt;0,IF(INDEX(CONFIRM!$I$5:$I$53,G1153)&lt;&gt;"",INDEX(CONFIRM!$I$5:$I$53,G1153),H1153),H1153)</f>
        <v>cb operations</v>
      </c>
      <c r="J1153" s="1" t="str">
        <f aca="false">IFERROR(INDEX(MAP!$F$7:$F$74,MATCH(TRIM(I1153),MAP!$E$7:$E$74,0)),"UNMAPPED")</f>
        <v>Community benefit operations</v>
      </c>
      <c r="K1153" s="1" t="str">
        <f aca="false">IFERROR(INDEX(MAP!$G$7:$G$74,MATCH(TRIM(I1153),MAP!$E$7:$E$74,0)),"UNMAPPED")</f>
        <v>7e</v>
      </c>
      <c r="L1153" s="49" t="str">
        <f aca="false">STACK!G1153</f>
        <v>August 31, 2025</v>
      </c>
      <c r="M1153" s="59" t="n">
        <f aca="false">IF(G1153&gt;0,IF(INDEX(CONFIRM!$G$5:$G$53,G1153)&lt;&gt;"",INDEX(CONFIRM!$G$5:$G$53,G1153),IF(ISNUMBER(L1153),L1153,IFERROR(DATEVALUE(L1153),""))),IF(ISNUMBER(L1153),L1153,IFERROR(DATEVALUE(L1153),"")))</f>
        <v>45900</v>
      </c>
      <c r="N1153" s="1" t="str">
        <f aca="false">IF(M1153="","Check",IF(AND(M1153&gt;=INPUTS!$C$6,M1153&lt;=INPUTS!$C$7),"Yes","No"))</f>
        <v>Yes</v>
      </c>
      <c r="O1153" s="48" t="str">
        <f aca="false">STACK!H1153</f>
        <v>Admin Support</v>
      </c>
      <c r="P1153" s="1" t="str">
        <f aca="false">IF(G1153&gt;0,IF(INDEX(CONFIRM!$H$5:$H$53,G1153)&lt;&gt;"",INDEX(CONFIRM!$H$5:$H$53,G1153),IFERROR(INDEX(MAP!$B$7:$B$156,MATCH(TRIM(O1153),MAP!$A$7:$A$156,0)),"UNMAPPED")),IFERROR(INDEX(MAP!$B$7:$B$156,MATCH(TRIM(O1153),MAP!$A$7:$A$156,0)),"UNMAPPED"))</f>
        <v>Administrative Assistant</v>
      </c>
      <c r="Q1153" s="48" t="n">
        <f aca="false">STACK!I1153</f>
        <v>30.75</v>
      </c>
      <c r="R1153" s="60" t="n">
        <f aca="false">IF(G1153&gt;0,IF(INDEX(CONFIRM!$F$5:$F$53,G1153)&lt;&gt;"",INDEX(CONFIRM!$F$5:$F$53,G1153),IF(ISNUMBER(Q1153),Q1153,IF(Q1153="","",IFERROR(VALUE(TRIM(SUBSTITUTE(SUBSTITUTE(LOWER(Q1153),"hrs",""),"hr",""))),"")))),IF(ISNUMBER(Q1153),Q1153,IF(Q1153="","",IFERROR(VALUE(TRIM(SUBSTITUTE(SUBSTITUTE(LOWER(Q1153),"hrs",""),"hr",""))),""))))</f>
        <v>30.75</v>
      </c>
      <c r="S1153" s="57" t="n">
        <f aca="false">IFERROR(INDEX(RATES!$E$6:$E$28,MATCH(P1153,RATES!$A$6:$A$28,0)),0)</f>
        <v>26.985</v>
      </c>
      <c r="T1153" s="61" t="n">
        <f aca="false">IF(ISNUMBER(R1153),R1153,0)*S1153</f>
        <v>829.78875</v>
      </c>
      <c r="U1153" s="61" t="n">
        <f aca="false">T1153*INDEX(INPUTS!$H$10:$H$14,MATCH(B1153,INPUTS!$A$10:$A$14,0))</f>
        <v>117.00021375</v>
      </c>
      <c r="V1153" s="61" t="n">
        <f aca="false">N(STACK!K1153)</f>
        <v>0</v>
      </c>
      <c r="W1153" s="61" t="n">
        <f aca="false">T1153+U1153+V1153</f>
        <v>946.78896375</v>
      </c>
      <c r="X1153" s="61" t="n">
        <f aca="false">N(STACK!L1153)</f>
        <v>0</v>
      </c>
      <c r="Y1153" s="61" t="n">
        <f aca="false">W1153-X1153</f>
        <v>946.78896375</v>
      </c>
      <c r="Z1153" s="1" t="n">
        <f aca="false">N(STACK!J1153)</f>
        <v>0</v>
      </c>
      <c r="AA1153" s="1" t="str">
        <f aca="false">TRIM(IF(D1153="UNMAPPED","Program not mapped. ","")&amp;IF(OR(K1153="UNMAPPED",K1153="UNASSIGNED"),"Category needs review. ","")&amp;IF(P1153="UNMAPPED","Title not mapped. ","")&amp;IF(AND(P1153&lt;&gt;"No staff time",R1153=""),"Missing hours. ","")&amp;IF(M1153="","Date not readable. ","")&amp;IF(N1153="No","Outside fiscal year. ","")&amp;IF(AND(F1153="Event",ISNUMBER(R1153)),IF(R1153&gt;12,"Event hours look high. ",""),"")&amp;IF(G1153&gt;0,"See CONFIRM sheet.",""))</f>
        <v/>
      </c>
      <c r="AB1153" s="1" t="n">
        <f aca="false">IF(N1153="No",0,IF(REVIEW!O1153=0,0,IF(G1153&gt;0,IF(INDEX(CONFIRM!$J$5:$J$53,G1153)&lt;&gt;"",INDEX(CONFIRM!$J$5:$J$53,G1153),1),1)))</f>
        <v>1</v>
      </c>
      <c r="AC1153" s="1" t="n">
        <f aca="false">IF(AB1153=1,IF(COUNTIFS($B$5:B1153,B1153,$D$5:D1153,D1153,$AB$5:AB1153,1)=1,1,0),0)</f>
        <v>0</v>
      </c>
    </row>
    <row r="1154" customFormat="false" ht="15" hidden="false" customHeight="false" outlineLevel="0" collapsed="false">
      <c r="A1154" s="48" t="str">
        <f aca="false">STACK!A1154</f>
        <v>WCH-0047</v>
      </c>
      <c r="B1154" s="48" t="str">
        <f aca="false">STACK!B1154</f>
        <v>WCH</v>
      </c>
      <c r="C1154" s="48" t="str">
        <f aca="false">STACK!E1154</f>
        <v>cb admin</v>
      </c>
      <c r="D1154" s="1" t="str">
        <f aca="false">IFERROR(INDEX(MAP!$J$7:$J$101,MATCH(TRIM(C1154),MAP!$I$7:$I$101,0)),"UNMAPPED")</f>
        <v>Community Benefit Program Administration</v>
      </c>
      <c r="E1154" s="1" t="str">
        <f aca="false">IFERROR(INDEX(MAP!$K$7:$K$101,MATCH(TRIM(C1154),MAP!$I$7:$I$101,0)),"")</f>
        <v>Community benefit infrastructure</v>
      </c>
      <c r="F1154" s="1" t="str">
        <f aca="false">IFERROR(INDEX(MAP!$L$7:$L$101,MATCH(TRIM(C1154),MAP!$I$7:$I$101,0)),"")</f>
        <v>Monthly</v>
      </c>
      <c r="G1154" s="1" t="n">
        <f aca="false">IFERROR(MATCH(A1154,CONFIRM!$A$5:$A$53,0),0)</f>
        <v>0</v>
      </c>
      <c r="H1154" s="48" t="str">
        <f aca="false">STACK!F1154</f>
        <v>cb operations</v>
      </c>
      <c r="I1154" s="1" t="str">
        <f aca="false">IF(G1154&gt;0,IF(INDEX(CONFIRM!$I$5:$I$53,G1154)&lt;&gt;"",INDEX(CONFIRM!$I$5:$I$53,G1154),H1154),H1154)</f>
        <v>cb operations</v>
      </c>
      <c r="J1154" s="1" t="str">
        <f aca="false">IFERROR(INDEX(MAP!$F$7:$F$74,MATCH(TRIM(I1154),MAP!$E$7:$E$74,0)),"UNMAPPED")</f>
        <v>Community benefit operations</v>
      </c>
      <c r="K1154" s="1" t="str">
        <f aca="false">IFERROR(INDEX(MAP!$G$7:$G$74,MATCH(TRIM(I1154),MAP!$E$7:$E$74,0)),"UNMAPPED")</f>
        <v>7e</v>
      </c>
      <c r="L1154" s="49" t="n">
        <f aca="false">STACK!G1154</f>
        <v>45900</v>
      </c>
      <c r="M1154" s="59" t="n">
        <f aca="false">IF(G1154&gt;0,IF(INDEX(CONFIRM!$G$5:$G$53,G1154)&lt;&gt;"",INDEX(CONFIRM!$G$5:$G$53,G1154),IF(ISNUMBER(L1154),L1154,IFERROR(DATEVALUE(L1154),""))),IF(ISNUMBER(L1154),L1154,IFERROR(DATEVALUE(L1154),"")))</f>
        <v>45900</v>
      </c>
      <c r="N1154" s="1" t="str">
        <f aca="false">IF(M1154="","Check",IF(AND(M1154&gt;=INPUTS!$C$6,M1154&lt;=INPUTS!$C$7),"Yes","No"))</f>
        <v>Yes</v>
      </c>
      <c r="O1154" s="48" t="str">
        <f aca="false">STACK!H1154</f>
        <v>CB Manager </v>
      </c>
      <c r="P1154" s="1" t="str">
        <f aca="false">IF(G1154&gt;0,IF(INDEX(CONFIRM!$H$5:$H$53,G1154)&lt;&gt;"",INDEX(CONFIRM!$H$5:$H$53,G1154),IFERROR(INDEX(MAP!$B$7:$B$156,MATCH(TRIM(O1154),MAP!$A$7:$A$156,0)),"UNMAPPED")),IFERROR(INDEX(MAP!$B$7:$B$156,MATCH(TRIM(O1154),MAP!$A$7:$A$156,0)),"UNMAPPED"))</f>
        <v>Community Benefit Manager</v>
      </c>
      <c r="Q1154" s="48" t="n">
        <f aca="false">STACK!I1154</f>
        <v>53.5</v>
      </c>
      <c r="R1154" s="60" t="n">
        <f aca="false">IF(G1154&gt;0,IF(INDEX(CONFIRM!$F$5:$F$53,G1154)&lt;&gt;"",INDEX(CONFIRM!$F$5:$F$53,G1154),IF(ISNUMBER(Q1154),Q1154,IF(Q1154="","",IFERROR(VALUE(TRIM(SUBSTITUTE(SUBSTITUTE(LOWER(Q1154),"hrs",""),"hr",""))),"")))),IF(ISNUMBER(Q1154),Q1154,IF(Q1154="","",IFERROR(VALUE(TRIM(SUBSTITUTE(SUBSTITUTE(LOWER(Q1154),"hrs",""),"hr",""))),""))))</f>
        <v>53.5</v>
      </c>
      <c r="S1154" s="57" t="n">
        <f aca="false">IFERROR(INDEX(RATES!$E$6:$E$28,MATCH(P1154,RATES!$A$6:$A$28,0)),0)</f>
        <v>59.11</v>
      </c>
      <c r="T1154" s="61" t="n">
        <f aca="false">IF(ISNUMBER(R1154),R1154,0)*S1154</f>
        <v>3162.385</v>
      </c>
      <c r="U1154" s="61" t="n">
        <f aca="false">T1154*INDEX(INPUTS!$H$10:$H$14,MATCH(B1154,INPUTS!$A$10:$A$14,0))</f>
        <v>445.896285</v>
      </c>
      <c r="V1154" s="61" t="n">
        <f aca="false">N(STACK!K1154)</f>
        <v>440</v>
      </c>
      <c r="W1154" s="61" t="n">
        <f aca="false">T1154+U1154+V1154</f>
        <v>4048.281285</v>
      </c>
      <c r="X1154" s="61" t="n">
        <f aca="false">N(STACK!L1154)</f>
        <v>0</v>
      </c>
      <c r="Y1154" s="61" t="n">
        <f aca="false">W1154-X1154</f>
        <v>4048.281285</v>
      </c>
      <c r="Z1154" s="1" t="n">
        <f aca="false">N(STACK!J1154)</f>
        <v>0</v>
      </c>
      <c r="AA1154" s="1" t="str">
        <f aca="false">TRIM(IF(D1154="UNMAPPED","Program not mapped. ","")&amp;IF(OR(K1154="UNMAPPED",K1154="UNASSIGNED"),"Category needs review. ","")&amp;IF(P1154="UNMAPPED","Title not mapped. ","")&amp;IF(AND(P1154&lt;&gt;"No staff time",R1154=""),"Missing hours. ","")&amp;IF(M1154="","Date not readable. ","")&amp;IF(N1154="No","Outside fiscal year. ","")&amp;IF(AND(F1154="Event",ISNUMBER(R1154)),IF(R1154&gt;12,"Event hours look high. ",""),"")&amp;IF(G1154&gt;0,"See CONFIRM sheet.",""))</f>
        <v/>
      </c>
      <c r="AB1154" s="1" t="n">
        <f aca="false">IF(N1154="No",0,IF(REVIEW!O1154=0,0,IF(G1154&gt;0,IF(INDEX(CONFIRM!$J$5:$J$53,G1154)&lt;&gt;"",INDEX(CONFIRM!$J$5:$J$53,G1154),1),1)))</f>
        <v>1</v>
      </c>
      <c r="AC1154" s="1" t="n">
        <f aca="false">IF(AB1154=1,IF(COUNTIFS($B$5:B1154,B1154,$D$5:D1154,D1154,$AB$5:AB1154,1)=1,1,0),0)</f>
        <v>0</v>
      </c>
    </row>
    <row r="1155" customFormat="false" ht="15" hidden="false" customHeight="false" outlineLevel="0" collapsed="false">
      <c r="A1155" s="48" t="str">
        <f aca="false">STACK!A1155</f>
        <v>WCH-0048</v>
      </c>
      <c r="B1155" s="48" t="str">
        <f aca="false">STACK!B1155</f>
        <v>WCH</v>
      </c>
      <c r="C1155" s="48" t="str">
        <f aca="false">STACK!E1155</f>
        <v>community paramedic</v>
      </c>
      <c r="D1155" s="1" t="str">
        <f aca="false">IFERROR(INDEX(MAP!$J$7:$J$101,MATCH(TRIM(C1155),MAP!$I$7:$I$101,0)),"UNMAPPED")</f>
        <v>Community Paramedic Home Visits</v>
      </c>
      <c r="E1155" s="1" t="str">
        <f aca="false">IFERROR(INDEX(MAP!$K$7:$K$101,MATCH(TRIM(C1155),MAP!$I$7:$I$101,0)),"")</f>
        <v>Access to care</v>
      </c>
      <c r="F1155" s="1" t="str">
        <f aca="false">IFERROR(INDEX(MAP!$L$7:$L$101,MATCH(TRIM(C1155),MAP!$I$7:$I$101,0)),"")</f>
        <v>Monthly</v>
      </c>
      <c r="G1155" s="1" t="n">
        <f aca="false">IFERROR(MATCH(A1155,CONFIRM!$A$5:$A$53,0),0)</f>
        <v>0</v>
      </c>
      <c r="H1155" s="48" t="str">
        <f aca="false">STACK!F1155</f>
        <v>CHIS clinical</v>
      </c>
      <c r="I1155" s="1" t="str">
        <f aca="false">IF(G1155&gt;0,IF(INDEX(CONFIRM!$I$5:$I$53,G1155)&lt;&gt;"",INDEX(CONFIRM!$I$5:$I$53,G1155),H1155),H1155)</f>
        <v>CHIS clinical</v>
      </c>
      <c r="J1155" s="1" t="str">
        <f aca="false">IFERROR(INDEX(MAP!$F$7:$F$74,MATCH(TRIM(I1155),MAP!$E$7:$E$74,0)),"UNMAPPED")</f>
        <v>Community-based clinical services</v>
      </c>
      <c r="K1155" s="1" t="str">
        <f aca="false">IFERROR(INDEX(MAP!$G$7:$G$74,MATCH(TRIM(I1155),MAP!$E$7:$E$74,0)),"UNMAPPED")</f>
        <v>7e</v>
      </c>
      <c r="L1155" s="49" t="str">
        <f aca="false">STACK!G1155</f>
        <v>8/31/25</v>
      </c>
      <c r="M1155" s="59" t="n">
        <f aca="false">IF(G1155&gt;0,IF(INDEX(CONFIRM!$G$5:$G$53,G1155)&lt;&gt;"",INDEX(CONFIRM!$G$5:$G$53,G1155),IF(ISNUMBER(L1155),L1155,IFERROR(DATEVALUE(L1155),""))),IF(ISNUMBER(L1155),L1155,IFERROR(DATEVALUE(L1155),"")))</f>
        <v>45900</v>
      </c>
      <c r="N1155" s="1" t="str">
        <f aca="false">IF(M1155="","Check",IF(AND(M1155&gt;=INPUTS!$C$6,M1155&lt;=INPUTS!$C$7),"Yes","No"))</f>
        <v>Yes</v>
      </c>
      <c r="O1155" s="48" t="str">
        <f aca="false">STACK!H1155</f>
        <v>EMT-P</v>
      </c>
      <c r="P1155" s="1" t="str">
        <f aca="false">IF(G1155&gt;0,IF(INDEX(CONFIRM!$H$5:$H$53,G1155)&lt;&gt;"",INDEX(CONFIRM!$H$5:$H$53,G1155),IFERROR(INDEX(MAP!$B$7:$B$156,MATCH(TRIM(O1155),MAP!$A$7:$A$156,0)),"UNMAPPED")),IFERROR(INDEX(MAP!$B$7:$B$156,MATCH(TRIM(O1155),MAP!$A$7:$A$156,0)),"UNMAPPED"))</f>
        <v>Paramedic</v>
      </c>
      <c r="Q1155" s="48" t="n">
        <f aca="false">STACK!I1155</f>
        <v>83.75</v>
      </c>
      <c r="R1155" s="60" t="n">
        <f aca="false">IF(G1155&gt;0,IF(INDEX(CONFIRM!$F$5:$F$53,G1155)&lt;&gt;"",INDEX(CONFIRM!$F$5:$F$53,G1155),IF(ISNUMBER(Q1155),Q1155,IF(Q1155="","",IFERROR(VALUE(TRIM(SUBSTITUTE(SUBSTITUTE(LOWER(Q1155),"hrs",""),"hr",""))),"")))),IF(ISNUMBER(Q1155),Q1155,IF(Q1155="","",IFERROR(VALUE(TRIM(SUBSTITUTE(SUBSTITUTE(LOWER(Q1155),"hrs",""),"hr",""))),""))))</f>
        <v>83.75</v>
      </c>
      <c r="S1155" s="57" t="n">
        <f aca="false">IFERROR(INDEX(RATES!$E$6:$E$28,MATCH(P1155,RATES!$A$6:$A$28,0)),0)</f>
        <v>34.695</v>
      </c>
      <c r="T1155" s="61" t="n">
        <f aca="false">IF(ISNUMBER(R1155),R1155,0)*S1155</f>
        <v>2905.70625</v>
      </c>
      <c r="U1155" s="61" t="n">
        <f aca="false">T1155*INDEX(INPUTS!$H$10:$H$14,MATCH(B1155,INPUTS!$A$10:$A$14,0))</f>
        <v>409.70458125</v>
      </c>
      <c r="V1155" s="61" t="n">
        <f aca="false">N(STACK!K1155)</f>
        <v>795</v>
      </c>
      <c r="W1155" s="61" t="n">
        <f aca="false">T1155+U1155+V1155</f>
        <v>4110.41083125</v>
      </c>
      <c r="X1155" s="61" t="n">
        <f aca="false">N(STACK!L1155)</f>
        <v>0</v>
      </c>
      <c r="Y1155" s="61" t="n">
        <f aca="false">W1155-X1155</f>
        <v>4110.41083125</v>
      </c>
      <c r="Z1155" s="1" t="n">
        <f aca="false">N(STACK!J1155)</f>
        <v>34</v>
      </c>
      <c r="AA1155" s="1" t="str">
        <f aca="false">TRIM(IF(D1155="UNMAPPED","Program not mapped. ","")&amp;IF(OR(K1155="UNMAPPED",K1155="UNASSIGNED"),"Category needs review. ","")&amp;IF(P1155="UNMAPPED","Title not mapped. ","")&amp;IF(AND(P1155&lt;&gt;"No staff time",R1155=""),"Missing hours. ","")&amp;IF(M1155="","Date not readable. ","")&amp;IF(N1155="No","Outside fiscal year. ","")&amp;IF(AND(F1155="Event",ISNUMBER(R1155)),IF(R1155&gt;12,"Event hours look high. ",""),"")&amp;IF(G1155&gt;0,"See CONFIRM sheet.",""))</f>
        <v/>
      </c>
      <c r="AB1155" s="1" t="n">
        <f aca="false">IF(N1155="No",0,IF(REVIEW!O1155=0,0,IF(G1155&gt;0,IF(INDEX(CONFIRM!$J$5:$J$53,G1155)&lt;&gt;"",INDEX(CONFIRM!$J$5:$J$53,G1155),1),1)))</f>
        <v>1</v>
      </c>
      <c r="AC1155" s="1" t="n">
        <f aca="false">IF(AB1155=1,IF(COUNTIFS($B$5:B1155,B1155,$D$5:D1155,D1155,$AB$5:AB1155,1)=1,1,0),0)</f>
        <v>0</v>
      </c>
    </row>
    <row r="1156" customFormat="false" ht="15" hidden="false" customHeight="false" outlineLevel="0" collapsed="false">
      <c r="A1156" s="48" t="str">
        <f aca="false">STACK!A1156</f>
        <v>WCH-0049</v>
      </c>
      <c r="B1156" s="48" t="str">
        <f aca="false">STACK!B1156</f>
        <v>WCH</v>
      </c>
      <c r="C1156" s="48" t="str">
        <f aca="false">STACK!E1156</f>
        <v>nursing students</v>
      </c>
      <c r="D1156" s="1" t="str">
        <f aca="false">IFERROR(INDEX(MAP!$J$7:$J$101,MATCH(TRIM(C1156),MAP!$I$7:$I$101,0)),"UNMAPPED")</f>
        <v>Nursing Student Clinical Rotations</v>
      </c>
      <c r="E1156" s="1" t="str">
        <f aca="false">IFERROR(INDEX(MAP!$K$7:$K$101,MATCH(TRIM(C1156),MAP!$I$7:$I$101,0)),"")</f>
        <v>Health workforce</v>
      </c>
      <c r="F1156" s="1" t="str">
        <f aca="false">IFERROR(INDEX(MAP!$L$7:$L$101,MATCH(TRIM(C1156),MAP!$I$7:$I$101,0)),"")</f>
        <v>Monthly</v>
      </c>
      <c r="G1156" s="1" t="n">
        <f aca="false">IFERROR(MATCH(A1156,CONFIRM!$A$5:$A$53,0),0)</f>
        <v>0</v>
      </c>
      <c r="H1156" s="48" t="str">
        <f aca="false">STACK!F1156</f>
        <v>health professions ed</v>
      </c>
      <c r="I1156" s="1" t="str">
        <f aca="false">IF(G1156&gt;0,IF(INDEX(CONFIRM!$I$5:$I$53,G1156)&lt;&gt;"",INDEX(CONFIRM!$I$5:$I$53,G1156),H1156),H1156)</f>
        <v>health professions ed</v>
      </c>
      <c r="J1156" s="1" t="str">
        <f aca="false">IFERROR(INDEX(MAP!$F$7:$F$74,MATCH(TRIM(I1156),MAP!$E$7:$E$74,0)),"UNMAPPED")</f>
        <v>Health professions education</v>
      </c>
      <c r="K1156" s="1" t="str">
        <f aca="false">IFERROR(INDEX(MAP!$G$7:$G$74,MATCH(TRIM(I1156),MAP!$E$7:$E$74,0)),"UNMAPPED")</f>
        <v>7f</v>
      </c>
      <c r="L1156" s="49" t="str">
        <f aca="false">STACK!G1156</f>
        <v>August 31, 2025</v>
      </c>
      <c r="M1156" s="59" t="n">
        <f aca="false">IF(G1156&gt;0,IF(INDEX(CONFIRM!$G$5:$G$53,G1156)&lt;&gt;"",INDEX(CONFIRM!$G$5:$G$53,G1156),IF(ISNUMBER(L1156),L1156,IFERROR(DATEVALUE(L1156),""))),IF(ISNUMBER(L1156),L1156,IFERROR(DATEVALUE(L1156),"")))</f>
        <v>45900</v>
      </c>
      <c r="N1156" s="1" t="str">
        <f aca="false">IF(M1156="","Check",IF(AND(M1156&gt;=INPUTS!$C$6,M1156&lt;=INPUTS!$C$7),"Yes","No"))</f>
        <v>Yes</v>
      </c>
      <c r="O1156" s="48" t="str">
        <f aca="false">STACK!H1156</f>
        <v>RN EDUCATOR</v>
      </c>
      <c r="P1156" s="1" t="str">
        <f aca="false">IF(G1156&gt;0,IF(INDEX(CONFIRM!$H$5:$H$53,G1156)&lt;&gt;"",INDEX(CONFIRM!$H$5:$H$53,G1156),IFERROR(INDEX(MAP!$B$7:$B$156,MATCH(TRIM(O1156),MAP!$A$7:$A$156,0)),"UNMAPPED")),IFERROR(INDEX(MAP!$B$7:$B$156,MATCH(TRIM(O1156),MAP!$A$7:$A$156,0)),"UNMAPPED"))</f>
        <v>Clinical Nurse Educator</v>
      </c>
      <c r="Q1156" s="48" t="n">
        <f aca="false">STACK!I1156</f>
        <v>68.25</v>
      </c>
      <c r="R1156" s="60" t="n">
        <f aca="false">IF(G1156&gt;0,IF(INDEX(CONFIRM!$F$5:$F$53,G1156)&lt;&gt;"",INDEX(CONFIRM!$F$5:$F$53,G1156),IF(ISNUMBER(Q1156),Q1156,IF(Q1156="","",IFERROR(VALUE(TRIM(SUBSTITUTE(SUBSTITUTE(LOWER(Q1156),"hrs",""),"hr",""))),"")))),IF(ISNUMBER(Q1156),Q1156,IF(Q1156="","",IFERROR(VALUE(TRIM(SUBSTITUTE(SUBSTITUTE(LOWER(Q1156),"hrs",""),"hr",""))),""))))</f>
        <v>68.25</v>
      </c>
      <c r="S1156" s="57" t="n">
        <f aca="false">IFERROR(INDEX(RATES!$E$6:$E$28,MATCH(P1156,RATES!$A$6:$A$28,0)),0)</f>
        <v>62.965</v>
      </c>
      <c r="T1156" s="61" t="n">
        <f aca="false">IF(ISNUMBER(R1156),R1156,0)*S1156</f>
        <v>4297.36125</v>
      </c>
      <c r="U1156" s="61" t="n">
        <f aca="false">T1156*INDEX(INPUTS!$H$10:$H$14,MATCH(B1156,INPUTS!$A$10:$A$14,0))</f>
        <v>605.92793625</v>
      </c>
      <c r="V1156" s="61" t="n">
        <f aca="false">N(STACK!K1156)</f>
        <v>785</v>
      </c>
      <c r="W1156" s="61" t="n">
        <f aca="false">T1156+U1156+V1156</f>
        <v>5688.28918625</v>
      </c>
      <c r="X1156" s="61" t="n">
        <f aca="false">N(STACK!L1156)</f>
        <v>0</v>
      </c>
      <c r="Y1156" s="61" t="n">
        <f aca="false">W1156-X1156</f>
        <v>5688.28918625</v>
      </c>
      <c r="Z1156" s="1" t="n">
        <f aca="false">N(STACK!J1156)</f>
        <v>26</v>
      </c>
      <c r="AA1156" s="1" t="str">
        <f aca="false">TRIM(IF(D1156="UNMAPPED","Program not mapped. ","")&amp;IF(OR(K1156="UNMAPPED",K1156="UNASSIGNED"),"Category needs review. ","")&amp;IF(P1156="UNMAPPED","Title not mapped. ","")&amp;IF(AND(P1156&lt;&gt;"No staff time",R1156=""),"Missing hours. ","")&amp;IF(M1156="","Date not readable. ","")&amp;IF(N1156="No","Outside fiscal year. ","")&amp;IF(AND(F1156="Event",ISNUMBER(R1156)),IF(R1156&gt;12,"Event hours look high. ",""),"")&amp;IF(G1156&gt;0,"See CONFIRM sheet.",""))</f>
        <v/>
      </c>
      <c r="AB1156" s="1" t="n">
        <f aca="false">IF(N1156="No",0,IF(REVIEW!O1156=0,0,IF(G1156&gt;0,IF(INDEX(CONFIRM!$J$5:$J$53,G1156)&lt;&gt;"",INDEX(CONFIRM!$J$5:$J$53,G1156),1),1)))</f>
        <v>1</v>
      </c>
      <c r="AC1156" s="1" t="n">
        <f aca="false">IF(AB1156=1,IF(COUNTIFS($B$5:B1156,B1156,$D$5:D1156,D1156,$AB$5:AB1156,1)=1,1,0),0)</f>
        <v>0</v>
      </c>
    </row>
    <row r="1157" customFormat="false" ht="15" hidden="false" customHeight="false" outlineLevel="0" collapsed="false">
      <c r="A1157" s="48" t="str">
        <f aca="false">STACK!A1157</f>
        <v>WCH-0050</v>
      </c>
      <c r="B1157" s="48" t="str">
        <f aca="false">STACK!B1157</f>
        <v>WCH</v>
      </c>
      <c r="C1157" s="48" t="str">
        <f aca="false">STACK!E1157</f>
        <v>nursing students</v>
      </c>
      <c r="D1157" s="1" t="str">
        <f aca="false">IFERROR(INDEX(MAP!$J$7:$J$101,MATCH(TRIM(C1157),MAP!$I$7:$I$101,0)),"UNMAPPED")</f>
        <v>Nursing Student Clinical Rotations</v>
      </c>
      <c r="E1157" s="1" t="str">
        <f aca="false">IFERROR(INDEX(MAP!$K$7:$K$101,MATCH(TRIM(C1157),MAP!$I$7:$I$101,0)),"")</f>
        <v>Health workforce</v>
      </c>
      <c r="F1157" s="1" t="str">
        <f aca="false">IFERROR(INDEX(MAP!$L$7:$L$101,MATCH(TRIM(C1157),MAP!$I$7:$I$101,0)),"")</f>
        <v>Monthly</v>
      </c>
      <c r="G1157" s="1" t="n">
        <f aca="false">IFERROR(MATCH(A1157,CONFIRM!$A$5:$A$53,0),0)</f>
        <v>0</v>
      </c>
      <c r="H1157" s="48" t="str">
        <f aca="false">STACK!F1157</f>
        <v>health professions ed</v>
      </c>
      <c r="I1157" s="1" t="str">
        <f aca="false">IF(G1157&gt;0,IF(INDEX(CONFIRM!$I$5:$I$53,G1157)&lt;&gt;"",INDEX(CONFIRM!$I$5:$I$53,G1157),H1157),H1157)</f>
        <v>health professions ed</v>
      </c>
      <c r="J1157" s="1" t="str">
        <f aca="false">IFERROR(INDEX(MAP!$F$7:$F$74,MATCH(TRIM(I1157),MAP!$E$7:$E$74,0)),"UNMAPPED")</f>
        <v>Health professions education</v>
      </c>
      <c r="K1157" s="1" t="str">
        <f aca="false">IFERROR(INDEX(MAP!$G$7:$G$74,MATCH(TRIM(I1157),MAP!$E$7:$E$74,0)),"UNMAPPED")</f>
        <v>7f</v>
      </c>
      <c r="L1157" s="49" t="str">
        <f aca="false">STACK!G1157</f>
        <v>8/31/25</v>
      </c>
      <c r="M1157" s="59" t="n">
        <f aca="false">IF(G1157&gt;0,IF(INDEX(CONFIRM!$G$5:$G$53,G1157)&lt;&gt;"",INDEX(CONFIRM!$G$5:$G$53,G1157),IF(ISNUMBER(L1157),L1157,IFERROR(DATEVALUE(L1157),""))),IF(ISNUMBER(L1157),L1157,IFERROR(DATEVALUE(L1157),"")))</f>
        <v>45900</v>
      </c>
      <c r="N1157" s="1" t="str">
        <f aca="false">IF(M1157="","Check",IF(AND(M1157&gt;=INPUTS!$C$6,M1157&lt;=INPUTS!$C$7),"Yes","No"))</f>
        <v>Yes</v>
      </c>
      <c r="O1157" s="48" t="str">
        <f aca="false">STACK!H1157</f>
        <v>RN III</v>
      </c>
      <c r="P1157" s="1" t="str">
        <f aca="false">IF(G1157&gt;0,IF(INDEX(CONFIRM!$H$5:$H$53,G1157)&lt;&gt;"",INDEX(CONFIRM!$H$5:$H$53,G1157),IFERROR(INDEX(MAP!$B$7:$B$156,MATCH(TRIM(O1157),MAP!$A$7:$A$156,0)),"UNMAPPED")),IFERROR(INDEX(MAP!$B$7:$B$156,MATCH(TRIM(O1157),MAP!$A$7:$A$156,0)),"UNMAPPED"))</f>
        <v>Registered Nurse</v>
      </c>
      <c r="Q1157" s="48" t="n">
        <f aca="false">STACK!I1157</f>
        <v>181</v>
      </c>
      <c r="R1157" s="60" t="n">
        <f aca="false">IF(G1157&gt;0,IF(INDEX(CONFIRM!$F$5:$F$53,G1157)&lt;&gt;"",INDEX(CONFIRM!$F$5:$F$53,G1157),IF(ISNUMBER(Q1157),Q1157,IF(Q1157="","",IFERROR(VALUE(TRIM(SUBSTITUTE(SUBSTITUTE(LOWER(Q1157),"hrs",""),"hr",""))),"")))),IF(ISNUMBER(Q1157),Q1157,IF(Q1157="","",IFERROR(VALUE(TRIM(SUBSTITUTE(SUBSTITUTE(LOWER(Q1157),"hrs",""),"hr",""))),""))))</f>
        <v>181</v>
      </c>
      <c r="S1157" s="57" t="n">
        <f aca="false">IFERROR(INDEX(RATES!$E$6:$E$28,MATCH(P1157,RATES!$A$6:$A$28,0)),0)</f>
        <v>55.8975</v>
      </c>
      <c r="T1157" s="61" t="n">
        <f aca="false">IF(ISNUMBER(R1157),R1157,0)*S1157</f>
        <v>10117.4475</v>
      </c>
      <c r="U1157" s="61" t="n">
        <f aca="false">T1157*INDEX(INPUTS!$H$10:$H$14,MATCH(B1157,INPUTS!$A$10:$A$14,0))</f>
        <v>1426.5600975</v>
      </c>
      <c r="V1157" s="61" t="n">
        <f aca="false">N(STACK!K1157)</f>
        <v>0</v>
      </c>
      <c r="W1157" s="61" t="n">
        <f aca="false">T1157+U1157+V1157</f>
        <v>11544.0075975</v>
      </c>
      <c r="X1157" s="61" t="n">
        <f aca="false">N(STACK!L1157)</f>
        <v>0</v>
      </c>
      <c r="Y1157" s="61" t="n">
        <f aca="false">W1157-X1157</f>
        <v>11544.0075975</v>
      </c>
      <c r="Z1157" s="1" t="n">
        <f aca="false">N(STACK!J1157)</f>
        <v>0</v>
      </c>
      <c r="AA1157" s="1" t="str">
        <f aca="false">TRIM(IF(D1157="UNMAPPED","Program not mapped. ","")&amp;IF(OR(K1157="UNMAPPED",K1157="UNASSIGNED"),"Category needs review. ","")&amp;IF(P1157="UNMAPPED","Title not mapped. ","")&amp;IF(AND(P1157&lt;&gt;"No staff time",R1157=""),"Missing hours. ","")&amp;IF(M1157="","Date not readable. ","")&amp;IF(N1157="No","Outside fiscal year. ","")&amp;IF(AND(F1157="Event",ISNUMBER(R1157)),IF(R1157&gt;12,"Event hours look high. ",""),"")&amp;IF(G1157&gt;0,"See CONFIRM sheet.",""))</f>
        <v/>
      </c>
      <c r="AB1157" s="1" t="n">
        <f aca="false">IF(N1157="No",0,IF(REVIEW!O1157=0,0,IF(G1157&gt;0,IF(INDEX(CONFIRM!$J$5:$J$53,G1157)&lt;&gt;"",INDEX(CONFIRM!$J$5:$J$53,G1157),1),1)))</f>
        <v>1</v>
      </c>
      <c r="AC1157" s="1" t="n">
        <f aca="false">IF(AB1157=1,IF(COUNTIFS($B$5:B1157,B1157,$D$5:D1157,D1157,$AB$5:AB1157,1)=1,1,0),0)</f>
        <v>0</v>
      </c>
    </row>
    <row r="1158" customFormat="false" ht="15" hidden="false" customHeight="false" outlineLevel="0" collapsed="false">
      <c r="A1158" s="48" t="str">
        <f aca="false">STACK!A1158</f>
        <v>WCH-0051</v>
      </c>
      <c r="B1158" s="48" t="str">
        <f aca="false">STACK!B1158</f>
        <v>WCH</v>
      </c>
      <c r="C1158" s="48" t="str">
        <f aca="false">STACK!E1158</f>
        <v>paramedic students</v>
      </c>
      <c r="D1158" s="1" t="str">
        <f aca="false">IFERROR(INDEX(MAP!$J$7:$J$101,MATCH(TRIM(C1158),MAP!$I$7:$I$101,0)),"UNMAPPED")</f>
        <v>Paramedic Student Field Training</v>
      </c>
      <c r="E1158" s="1" t="str">
        <f aca="false">IFERROR(INDEX(MAP!$K$7:$K$101,MATCH(TRIM(C1158),MAP!$I$7:$I$101,0)),"")</f>
        <v>Health workforce</v>
      </c>
      <c r="F1158" s="1" t="str">
        <f aca="false">IFERROR(INDEX(MAP!$L$7:$L$101,MATCH(TRIM(C1158),MAP!$I$7:$I$101,0)),"")</f>
        <v>Monthly</v>
      </c>
      <c r="G1158" s="1" t="n">
        <f aca="false">IFERROR(MATCH(A1158,CONFIRM!$A$5:$A$53,0),0)</f>
        <v>0</v>
      </c>
      <c r="H1158" s="48" t="str">
        <f aca="false">STACK!F1158</f>
        <v>health professions ed</v>
      </c>
      <c r="I1158" s="1" t="str">
        <f aca="false">IF(G1158&gt;0,IF(INDEX(CONFIRM!$I$5:$I$53,G1158)&lt;&gt;"",INDEX(CONFIRM!$I$5:$I$53,G1158),H1158),H1158)</f>
        <v>health professions ed</v>
      </c>
      <c r="J1158" s="1" t="str">
        <f aca="false">IFERROR(INDEX(MAP!$F$7:$F$74,MATCH(TRIM(I1158),MAP!$E$7:$E$74,0)),"UNMAPPED")</f>
        <v>Health professions education</v>
      </c>
      <c r="K1158" s="1" t="str">
        <f aca="false">IFERROR(INDEX(MAP!$G$7:$G$74,MATCH(TRIM(I1158),MAP!$E$7:$E$74,0)),"UNMAPPED")</f>
        <v>7f</v>
      </c>
      <c r="L1158" s="49" t="str">
        <f aca="false">STACK!G1158</f>
        <v>8/31/25</v>
      </c>
      <c r="M1158" s="59" t="n">
        <f aca="false">IF(G1158&gt;0,IF(INDEX(CONFIRM!$G$5:$G$53,G1158)&lt;&gt;"",INDEX(CONFIRM!$G$5:$G$53,G1158),IF(ISNUMBER(L1158),L1158,IFERROR(DATEVALUE(L1158),""))),IF(ISNUMBER(L1158),L1158,IFERROR(DATEVALUE(L1158),"")))</f>
        <v>45900</v>
      </c>
      <c r="N1158" s="1" t="str">
        <f aca="false">IF(M1158="","Check",IF(AND(M1158&gt;=INPUTS!$C$6,M1158&lt;=INPUTS!$C$7),"Yes","No"))</f>
        <v>Yes</v>
      </c>
      <c r="O1158" s="48" t="str">
        <f aca="false">STACK!H1158</f>
        <v>EMT</v>
      </c>
      <c r="P1158" s="1" t="str">
        <f aca="false">IF(G1158&gt;0,IF(INDEX(CONFIRM!$H$5:$H$53,G1158)&lt;&gt;"",INDEX(CONFIRM!$H$5:$H$53,G1158),IFERROR(INDEX(MAP!$B$7:$B$156,MATCH(TRIM(O1158),MAP!$A$7:$A$156,0)),"UNMAPPED")),IFERROR(INDEX(MAP!$B$7:$B$156,MATCH(TRIM(O1158),MAP!$A$7:$A$156,0)),"UNMAPPED"))</f>
        <v>Paramedic</v>
      </c>
      <c r="Q1158" s="48" t="n">
        <f aca="false">STACK!I1158</f>
        <v>50.5</v>
      </c>
      <c r="R1158" s="60" t="n">
        <f aca="false">IF(G1158&gt;0,IF(INDEX(CONFIRM!$F$5:$F$53,G1158)&lt;&gt;"",INDEX(CONFIRM!$F$5:$F$53,G1158),IF(ISNUMBER(Q1158),Q1158,IF(Q1158="","",IFERROR(VALUE(TRIM(SUBSTITUTE(SUBSTITUTE(LOWER(Q1158),"hrs",""),"hr",""))),"")))),IF(ISNUMBER(Q1158),Q1158,IF(Q1158="","",IFERROR(VALUE(TRIM(SUBSTITUTE(SUBSTITUTE(LOWER(Q1158),"hrs",""),"hr",""))),""))))</f>
        <v>50.5</v>
      </c>
      <c r="S1158" s="57" t="n">
        <f aca="false">IFERROR(INDEX(RATES!$E$6:$E$28,MATCH(P1158,RATES!$A$6:$A$28,0)),0)</f>
        <v>34.695</v>
      </c>
      <c r="T1158" s="61" t="n">
        <f aca="false">IF(ISNUMBER(R1158),R1158,0)*S1158</f>
        <v>1752.0975</v>
      </c>
      <c r="U1158" s="61" t="n">
        <f aca="false">T1158*INDEX(INPUTS!$H$10:$H$14,MATCH(B1158,INPUTS!$A$10:$A$14,0))</f>
        <v>247.0457475</v>
      </c>
      <c r="V1158" s="61" t="n">
        <f aca="false">N(STACK!K1158)</f>
        <v>70</v>
      </c>
      <c r="W1158" s="61" t="n">
        <f aca="false">T1158+U1158+V1158</f>
        <v>2069.1432475</v>
      </c>
      <c r="X1158" s="61" t="n">
        <f aca="false">N(STACK!L1158)</f>
        <v>0</v>
      </c>
      <c r="Y1158" s="61" t="n">
        <f aca="false">W1158-X1158</f>
        <v>2069.1432475</v>
      </c>
      <c r="Z1158" s="1" t="n">
        <f aca="false">N(STACK!J1158)</f>
        <v>5</v>
      </c>
      <c r="AA1158" s="1" t="str">
        <f aca="false">TRIM(IF(D1158="UNMAPPED","Program not mapped. ","")&amp;IF(OR(K1158="UNMAPPED",K1158="UNASSIGNED"),"Category needs review. ","")&amp;IF(P1158="UNMAPPED","Title not mapped. ","")&amp;IF(AND(P1158&lt;&gt;"No staff time",R1158=""),"Missing hours. ","")&amp;IF(M1158="","Date not readable. ","")&amp;IF(N1158="No","Outside fiscal year. ","")&amp;IF(AND(F1158="Event",ISNUMBER(R1158)),IF(R1158&gt;12,"Event hours look high. ",""),"")&amp;IF(G1158&gt;0,"See CONFIRM sheet.",""))</f>
        <v/>
      </c>
      <c r="AB1158" s="1" t="n">
        <f aca="false">IF(N1158="No",0,IF(REVIEW!O1158=0,0,IF(G1158&gt;0,IF(INDEX(CONFIRM!$J$5:$J$53,G1158)&lt;&gt;"",INDEX(CONFIRM!$J$5:$J$53,G1158),1),1)))</f>
        <v>1</v>
      </c>
      <c r="AC1158" s="1" t="n">
        <f aca="false">IF(AB1158=1,IF(COUNTIFS($B$5:B1158,B1158,$D$5:D1158,D1158,$AB$5:AB1158,1)=1,1,0),0)</f>
        <v>0</v>
      </c>
    </row>
    <row r="1159" customFormat="false" ht="15" hidden="false" customHeight="false" outlineLevel="0" collapsed="false">
      <c r="A1159" s="48" t="str">
        <f aca="false">STACK!A1159</f>
        <v>WCH-0052</v>
      </c>
      <c r="B1159" s="48" t="str">
        <f aca="false">STACK!B1159</f>
        <v>WCH</v>
      </c>
      <c r="C1159" s="48" t="str">
        <f aca="false">STACK!E1159</f>
        <v>rural maternal study</v>
      </c>
      <c r="D1159" s="1" t="str">
        <f aca="false">IFERROR(INDEX(MAP!$J$7:$J$101,MATCH(TRIM(C1159),MAP!$I$7:$I$101,0)),"UNMAPPED")</f>
        <v>Rural Maternal Outcomes Study</v>
      </c>
      <c r="E1159" s="1" t="str">
        <f aca="false">IFERROR(INDEX(MAP!$K$7:$K$101,MATCH(TRIM(C1159),MAP!$I$7:$I$101,0)),"")</f>
        <v>Maternal and child health</v>
      </c>
      <c r="F1159" s="1" t="str">
        <f aca="false">IFERROR(INDEX(MAP!$L$7:$L$101,MATCH(TRIM(C1159),MAP!$I$7:$I$101,0)),"")</f>
        <v>Monthly</v>
      </c>
      <c r="G1159" s="1" t="n">
        <f aca="false">IFERROR(MATCH(A1159,CONFIRM!$A$5:$A$53,0),0)</f>
        <v>0</v>
      </c>
      <c r="H1159" s="48" t="str">
        <f aca="false">STACK!F1159</f>
        <v>research</v>
      </c>
      <c r="I1159" s="1" t="str">
        <f aca="false">IF(G1159&gt;0,IF(INDEX(CONFIRM!$I$5:$I$53,G1159)&lt;&gt;"",INDEX(CONFIRM!$I$5:$I$53,G1159),H1159),H1159)</f>
        <v>research</v>
      </c>
      <c r="J1159" s="1" t="str">
        <f aca="false">IFERROR(INDEX(MAP!$F$7:$F$74,MATCH(TRIM(I1159),MAP!$E$7:$E$74,0)),"UNMAPPED")</f>
        <v>Research</v>
      </c>
      <c r="K1159" s="1" t="str">
        <f aca="false">IFERROR(INDEX(MAP!$G$7:$G$74,MATCH(TRIM(I1159),MAP!$E$7:$E$74,0)),"UNMAPPED")</f>
        <v>7h</v>
      </c>
      <c r="L1159" s="49" t="str">
        <f aca="false">STACK!G1159</f>
        <v>8/31/25</v>
      </c>
      <c r="M1159" s="59" t="n">
        <f aca="false">IF(G1159&gt;0,IF(INDEX(CONFIRM!$G$5:$G$53,G1159)&lt;&gt;"",INDEX(CONFIRM!$G$5:$G$53,G1159),IF(ISNUMBER(L1159),L1159,IFERROR(DATEVALUE(L1159),""))),IF(ISNUMBER(L1159),L1159,IFERROR(DATEVALUE(L1159),"")))</f>
        <v>45900</v>
      </c>
      <c r="N1159" s="1" t="str">
        <f aca="false">IF(M1159="","Check",IF(AND(M1159&gt;=INPUTS!$C$6,M1159&lt;=INPUTS!$C$7),"Yes","No"))</f>
        <v>Yes</v>
      </c>
      <c r="O1159" s="48" t="str">
        <f aca="false">STACK!H1159</f>
        <v>Decision Support Analyst</v>
      </c>
      <c r="P1159" s="1" t="str">
        <f aca="false">IF(G1159&gt;0,IF(INDEX(CONFIRM!$H$5:$H$53,G1159)&lt;&gt;"",INDEX(CONFIRM!$H$5:$H$53,G1159),IFERROR(INDEX(MAP!$B$7:$B$156,MATCH(TRIM(O1159),MAP!$A$7:$A$156,0)),"UNMAPPED")),IFERROR(INDEX(MAP!$B$7:$B$156,MATCH(TRIM(O1159),MAP!$A$7:$A$156,0)),"UNMAPPED"))</f>
        <v>Data Analyst</v>
      </c>
      <c r="Q1159" s="48" t="n">
        <f aca="false">STACK!I1159</f>
        <v>11.5</v>
      </c>
      <c r="R1159" s="60" t="n">
        <f aca="false">IF(G1159&gt;0,IF(INDEX(CONFIRM!$F$5:$F$53,G1159)&lt;&gt;"",INDEX(CONFIRM!$F$5:$F$53,G1159),IF(ISNUMBER(Q1159),Q1159,IF(Q1159="","",IFERROR(VALUE(TRIM(SUBSTITUTE(SUBSTITUTE(LOWER(Q1159),"hrs",""),"hr",""))),"")))),IF(ISNUMBER(Q1159),Q1159,IF(Q1159="","",IFERROR(VALUE(TRIM(SUBSTITUTE(SUBSTITUTE(LOWER(Q1159),"hrs",""),"hr",""))),""))))</f>
        <v>11.5</v>
      </c>
      <c r="S1159" s="57" t="n">
        <f aca="false">IFERROR(INDEX(RATES!$E$6:$E$28,MATCH(P1159,RATES!$A$6:$A$28,0)),0)</f>
        <v>48.83</v>
      </c>
      <c r="T1159" s="61" t="n">
        <f aca="false">IF(ISNUMBER(R1159),R1159,0)*S1159</f>
        <v>561.545</v>
      </c>
      <c r="U1159" s="61" t="n">
        <f aca="false">T1159*INDEX(INPUTS!$H$10:$H$14,MATCH(B1159,INPUTS!$A$10:$A$14,0))</f>
        <v>79.177845</v>
      </c>
      <c r="V1159" s="61" t="n">
        <f aca="false">N(STACK!K1159)</f>
        <v>0</v>
      </c>
      <c r="W1159" s="61" t="n">
        <f aca="false">T1159+U1159+V1159</f>
        <v>640.722845</v>
      </c>
      <c r="X1159" s="61" t="n">
        <f aca="false">N(STACK!L1159)</f>
        <v>0</v>
      </c>
      <c r="Y1159" s="61" t="n">
        <f aca="false">W1159-X1159</f>
        <v>640.722845</v>
      </c>
      <c r="Z1159" s="1" t="n">
        <f aca="false">N(STACK!J1159)</f>
        <v>0</v>
      </c>
      <c r="AA1159" s="1" t="str">
        <f aca="false">TRIM(IF(D1159="UNMAPPED","Program not mapped. ","")&amp;IF(OR(K1159="UNMAPPED",K1159="UNASSIGNED"),"Category needs review. ","")&amp;IF(P1159="UNMAPPED","Title not mapped. ","")&amp;IF(AND(P1159&lt;&gt;"No staff time",R1159=""),"Missing hours. ","")&amp;IF(M1159="","Date not readable. ","")&amp;IF(N1159="No","Outside fiscal year. ","")&amp;IF(AND(F1159="Event",ISNUMBER(R1159)),IF(R1159&gt;12,"Event hours look high. ",""),"")&amp;IF(G1159&gt;0,"See CONFIRM sheet.",""))</f>
        <v/>
      </c>
      <c r="AB1159" s="1" t="n">
        <f aca="false">IF(N1159="No",0,IF(REVIEW!O1159=0,0,IF(G1159&gt;0,IF(INDEX(CONFIRM!$J$5:$J$53,G1159)&lt;&gt;"",INDEX(CONFIRM!$J$5:$J$53,G1159),1),1)))</f>
        <v>1</v>
      </c>
      <c r="AC1159" s="1" t="n">
        <f aca="false">IF(AB1159=1,IF(COUNTIFS($B$5:B1159,B1159,$D$5:D1159,D1159,$AB$5:AB1159,1)=1,1,0),0)</f>
        <v>0</v>
      </c>
    </row>
    <row r="1160" customFormat="false" ht="15" hidden="false" customHeight="false" outlineLevel="0" collapsed="false">
      <c r="A1160" s="48" t="str">
        <f aca="false">STACK!A1160</f>
        <v>WCH-0053</v>
      </c>
      <c r="B1160" s="48" t="str">
        <f aca="false">STACK!B1160</f>
        <v>WCH</v>
      </c>
      <c r="C1160" s="48" t="str">
        <f aca="false">STACK!E1160</f>
        <v>rural maternal study</v>
      </c>
      <c r="D1160" s="1" t="str">
        <f aca="false">IFERROR(INDEX(MAP!$J$7:$J$101,MATCH(TRIM(C1160),MAP!$I$7:$I$101,0)),"UNMAPPED")</f>
        <v>Rural Maternal Outcomes Study</v>
      </c>
      <c r="E1160" s="1" t="str">
        <f aca="false">IFERROR(INDEX(MAP!$K$7:$K$101,MATCH(TRIM(C1160),MAP!$I$7:$I$101,0)),"")</f>
        <v>Maternal and child health</v>
      </c>
      <c r="F1160" s="1" t="str">
        <f aca="false">IFERROR(INDEX(MAP!$L$7:$L$101,MATCH(TRIM(C1160),MAP!$I$7:$I$101,0)),"")</f>
        <v>Monthly</v>
      </c>
      <c r="G1160" s="1" t="n">
        <f aca="false">IFERROR(MATCH(A1160,CONFIRM!$A$5:$A$53,0),0)</f>
        <v>0</v>
      </c>
      <c r="H1160" s="48" t="str">
        <f aca="false">STACK!F1160</f>
        <v>research</v>
      </c>
      <c r="I1160" s="1" t="str">
        <f aca="false">IF(G1160&gt;0,IF(INDEX(CONFIRM!$I$5:$I$53,G1160)&lt;&gt;"",INDEX(CONFIRM!$I$5:$I$53,G1160),H1160),H1160)</f>
        <v>research</v>
      </c>
      <c r="J1160" s="1" t="str">
        <f aca="false">IFERROR(INDEX(MAP!$F$7:$F$74,MATCH(TRIM(I1160),MAP!$E$7:$E$74,0)),"UNMAPPED")</f>
        <v>Research</v>
      </c>
      <c r="K1160" s="1" t="str">
        <f aca="false">IFERROR(INDEX(MAP!$G$7:$G$74,MATCH(TRIM(I1160),MAP!$E$7:$E$74,0)),"UNMAPPED")</f>
        <v>7h</v>
      </c>
      <c r="L1160" s="49" t="str">
        <f aca="false">STACK!G1160</f>
        <v>8/31/25</v>
      </c>
      <c r="M1160" s="59" t="n">
        <f aca="false">IF(G1160&gt;0,IF(INDEX(CONFIRM!$G$5:$G$53,G1160)&lt;&gt;"",INDEX(CONFIRM!$G$5:$G$53,G1160),IF(ISNUMBER(L1160),L1160,IFERROR(DATEVALUE(L1160),""))),IF(ISNUMBER(L1160),L1160,IFERROR(DATEVALUE(L1160),"")))</f>
        <v>45900</v>
      </c>
      <c r="N1160" s="1" t="str">
        <f aca="false">IF(M1160="","Check",IF(AND(M1160&gt;=INPUTS!$C$6,M1160&lt;=INPUTS!$C$7),"Yes","No"))</f>
        <v>Yes</v>
      </c>
      <c r="O1160" s="48" t="str">
        <f aca="false">STACK!H1160</f>
        <v>crc</v>
      </c>
      <c r="P1160" s="1" t="str">
        <f aca="false">IF(G1160&gt;0,IF(INDEX(CONFIRM!$H$5:$H$53,G1160)&lt;&gt;"",INDEX(CONFIRM!$H$5:$H$53,G1160),IFERROR(INDEX(MAP!$B$7:$B$156,MATCH(TRIM(O1160),MAP!$A$7:$A$156,0)),"UNMAPPED")),IFERROR(INDEX(MAP!$B$7:$B$156,MATCH(TRIM(O1160),MAP!$A$7:$A$156,0)),"UNMAPPED"))</f>
        <v>Research Coordinator</v>
      </c>
      <c r="Q1160" s="48" t="n">
        <f aca="false">STACK!I1160</f>
        <v>51.25</v>
      </c>
      <c r="R1160" s="60" t="n">
        <f aca="false">IF(G1160&gt;0,IF(INDEX(CONFIRM!$F$5:$F$53,G1160)&lt;&gt;"",INDEX(CONFIRM!$F$5:$F$53,G1160),IF(ISNUMBER(Q1160),Q1160,IF(Q1160="","",IFERROR(VALUE(TRIM(SUBSTITUTE(SUBSTITUTE(LOWER(Q1160),"hrs",""),"hr",""))),"")))),IF(ISNUMBER(Q1160),Q1160,IF(Q1160="","",IFERROR(VALUE(TRIM(SUBSTITUTE(SUBSTITUTE(LOWER(Q1160),"hrs",""),"hr",""))),""))))</f>
        <v>51.25</v>
      </c>
      <c r="S1160" s="57" t="n">
        <f aca="false">IFERROR(INDEX(RATES!$E$6:$E$28,MATCH(P1160,RATES!$A$6:$A$28,0)),0)</f>
        <v>42.405</v>
      </c>
      <c r="T1160" s="61" t="n">
        <f aca="false">IF(ISNUMBER(R1160),R1160,0)*S1160</f>
        <v>2173.25625</v>
      </c>
      <c r="U1160" s="61" t="n">
        <f aca="false">T1160*INDEX(INPUTS!$H$10:$H$14,MATCH(B1160,INPUTS!$A$10:$A$14,0))</f>
        <v>306.42913125</v>
      </c>
      <c r="V1160" s="61" t="n">
        <f aca="false">N(STACK!K1160)</f>
        <v>1165</v>
      </c>
      <c r="W1160" s="61" t="n">
        <f aca="false">T1160+U1160+V1160</f>
        <v>3644.68538125</v>
      </c>
      <c r="X1160" s="61" t="n">
        <f aca="false">N(STACK!L1160)</f>
        <v>3505</v>
      </c>
      <c r="Y1160" s="61" t="n">
        <f aca="false">W1160-X1160</f>
        <v>139.68538125</v>
      </c>
      <c r="Z1160" s="1" t="n">
        <f aca="false">N(STACK!J1160)</f>
        <v>12</v>
      </c>
      <c r="AA1160" s="1" t="str">
        <f aca="false">TRIM(IF(D1160="UNMAPPED","Program not mapped. ","")&amp;IF(OR(K1160="UNMAPPED",K1160="UNASSIGNED"),"Category needs review. ","")&amp;IF(P1160="UNMAPPED","Title not mapped. ","")&amp;IF(AND(P1160&lt;&gt;"No staff time",R1160=""),"Missing hours. ","")&amp;IF(M1160="","Date not readable. ","")&amp;IF(N1160="No","Outside fiscal year. ","")&amp;IF(AND(F1160="Event",ISNUMBER(R1160)),IF(R1160&gt;12,"Event hours look high. ",""),"")&amp;IF(G1160&gt;0,"See CONFIRM sheet.",""))</f>
        <v/>
      </c>
      <c r="AB1160" s="1" t="n">
        <f aca="false">IF(N1160="No",0,IF(REVIEW!O1160=0,0,IF(G1160&gt;0,IF(INDEX(CONFIRM!$J$5:$J$53,G1160)&lt;&gt;"",INDEX(CONFIRM!$J$5:$J$53,G1160),1),1)))</f>
        <v>1</v>
      </c>
      <c r="AC1160" s="1" t="n">
        <f aca="false">IF(AB1160=1,IF(COUNTIFS($B$5:B1160,B1160,$D$5:D1160,D1160,$AB$5:AB1160,1)=1,1,0),0)</f>
        <v>0</v>
      </c>
    </row>
    <row r="1161" customFormat="false" ht="15" hidden="false" customHeight="false" outlineLevel="0" collapsed="false">
      <c r="A1161" s="48" t="str">
        <f aca="false">STACK!A1161</f>
        <v>WCH-0054</v>
      </c>
      <c r="B1161" s="48" t="str">
        <f aca="false">STACK!B1161</f>
        <v>WCH</v>
      </c>
      <c r="C1161" s="48" t="str">
        <f aca="false">STACK!E1161</f>
        <v>health coalition</v>
      </c>
      <c r="D1161" s="1" t="str">
        <f aca="false">IFERROR(INDEX(MAP!$J$7:$J$101,MATCH(TRIM(C1161),MAP!$I$7:$I$101,0)),"UNMAPPED")</f>
        <v>Regional Health Coalition</v>
      </c>
      <c r="E1161" s="1" t="str">
        <f aca="false">IFERROR(INDEX(MAP!$K$7:$K$101,MATCH(TRIM(C1161),MAP!$I$7:$I$101,0)),"")</f>
        <v>Community benefit infrastructure</v>
      </c>
      <c r="F1161" s="1" t="str">
        <f aca="false">IFERROR(INDEX(MAP!$L$7:$L$101,MATCH(TRIM(C1161),MAP!$I$7:$I$101,0)),"")</f>
        <v>Event</v>
      </c>
      <c r="G1161" s="1" t="n">
        <f aca="false">IFERROR(MATCH(A1161,CONFIRM!$A$5:$A$53,0),0)</f>
        <v>29</v>
      </c>
      <c r="H1161" s="48" t="str">
        <f aca="false">STACK!F1161</f>
        <v>community building</v>
      </c>
      <c r="I1161" s="1" t="str">
        <f aca="false">IF(G1161&gt;0,IF(INDEX(CONFIRM!$I$5:$I$53,G1161)&lt;&gt;"",INDEX(CONFIRM!$I$5:$I$53,G1161),H1161),H1161)</f>
        <v>Community building: coalition building</v>
      </c>
      <c r="J1161" s="1" t="str">
        <f aca="false">IFERROR(INDEX(MAP!$F$7:$F$74,MATCH(TRIM(I1161),MAP!$E$7:$E$74,0)),"UNMAPPED")</f>
        <v>Community building: coalition building</v>
      </c>
      <c r="K1161" s="1" t="str">
        <f aca="false">IFERROR(INDEX(MAP!$G$7:$G$74,MATCH(TRIM(I1161),MAP!$E$7:$E$74,0)),"UNMAPPED")</f>
        <v>II-6</v>
      </c>
      <c r="L1161" s="49" t="str">
        <f aca="false">STACK!G1161</f>
        <v>9/2/25</v>
      </c>
      <c r="M1161" s="59" t="n">
        <f aca="false">IF(G1161&gt;0,IF(INDEX(CONFIRM!$G$5:$G$53,G1161)&lt;&gt;"",INDEX(CONFIRM!$G$5:$G$53,G1161),IF(ISNUMBER(L1161),L1161,IFERROR(DATEVALUE(L1161),""))),IF(ISNUMBER(L1161),L1161,IFERROR(DATEVALUE(L1161),"")))</f>
        <v>45902</v>
      </c>
      <c r="N1161" s="1" t="str">
        <f aca="false">IF(M1161="","Check",IF(AND(M1161&gt;=INPUTS!$C$6,M1161&lt;=INPUTS!$C$7),"Yes","No"))</f>
        <v>Yes</v>
      </c>
      <c r="O1161" s="48" t="str">
        <f aca="false">STACK!H1161</f>
        <v>Community Benefit Manager</v>
      </c>
      <c r="P1161" s="1" t="str">
        <f aca="false">IF(G1161&gt;0,IF(INDEX(CONFIRM!$H$5:$H$53,G1161)&lt;&gt;"",INDEX(CONFIRM!$H$5:$H$53,G1161),IFERROR(INDEX(MAP!$B$7:$B$156,MATCH(TRIM(O1161),MAP!$A$7:$A$156,0)),"UNMAPPED")),IFERROR(INDEX(MAP!$B$7:$B$156,MATCH(TRIM(O1161),MAP!$A$7:$A$156,0)),"UNMAPPED"))</f>
        <v>Community Benefit Manager</v>
      </c>
      <c r="Q1161" s="48" t="n">
        <f aca="false">STACK!I1161</f>
        <v>2</v>
      </c>
      <c r="R1161" s="60" t="n">
        <f aca="false">IF(G1161&gt;0,IF(INDEX(CONFIRM!$F$5:$F$53,G1161)&lt;&gt;"",INDEX(CONFIRM!$F$5:$F$53,G1161),IF(ISNUMBER(Q1161),Q1161,IF(Q1161="","",IFERROR(VALUE(TRIM(SUBSTITUTE(SUBSTITUTE(LOWER(Q1161),"hrs",""),"hr",""))),"")))),IF(ISNUMBER(Q1161),Q1161,IF(Q1161="","",IFERROR(VALUE(TRIM(SUBSTITUTE(SUBSTITUTE(LOWER(Q1161),"hrs",""),"hr",""))),""))))</f>
        <v>2</v>
      </c>
      <c r="S1161" s="57" t="n">
        <f aca="false">IFERROR(INDEX(RATES!$E$6:$E$28,MATCH(P1161,RATES!$A$6:$A$28,0)),0)</f>
        <v>59.11</v>
      </c>
      <c r="T1161" s="61" t="n">
        <f aca="false">IF(ISNUMBER(R1161),R1161,0)*S1161</f>
        <v>118.22</v>
      </c>
      <c r="U1161" s="61" t="n">
        <f aca="false">T1161*INDEX(INPUTS!$H$10:$H$14,MATCH(B1161,INPUTS!$A$10:$A$14,0))</f>
        <v>16.66902</v>
      </c>
      <c r="V1161" s="61" t="n">
        <f aca="false">N(STACK!K1161)</f>
        <v>0</v>
      </c>
      <c r="W1161" s="61" t="n">
        <f aca="false">T1161+U1161+V1161</f>
        <v>134.88902</v>
      </c>
      <c r="X1161" s="61" t="n">
        <f aca="false">N(STACK!L1161)</f>
        <v>0</v>
      </c>
      <c r="Y1161" s="61" t="n">
        <f aca="false">W1161-X1161</f>
        <v>134.88902</v>
      </c>
      <c r="Z1161" s="1" t="n">
        <f aca="false">N(STACK!J1161)</f>
        <v>0</v>
      </c>
      <c r="AA1161" s="1" t="str">
        <f aca="false">TRIM(IF(D1161="UNMAPPED","Program not mapped. ","")&amp;IF(OR(K1161="UNMAPPED",K1161="UNASSIGNED"),"Category needs review. ","")&amp;IF(P1161="UNMAPPED","Title not mapped. ","")&amp;IF(AND(P1161&lt;&gt;"No staff time",R1161=""),"Missing hours. ","")&amp;IF(M1161="","Date not readable. ","")&amp;IF(N1161="No","Outside fiscal year. ","")&amp;IF(AND(F1161="Event",ISNUMBER(R1161)),IF(R1161&gt;12,"Event hours look high. ",""),"")&amp;IF(G1161&gt;0,"See CONFIRM sheet.",""))</f>
        <v>See CONFIRM sheet.</v>
      </c>
      <c r="AB1161" s="1" t="n">
        <f aca="false">IF(N1161="No",0,IF(REVIEW!O1161=0,0,IF(G1161&gt;0,IF(INDEX(CONFIRM!$J$5:$J$53,G1161)&lt;&gt;"",INDEX(CONFIRM!$J$5:$J$53,G1161),1),1)))</f>
        <v>1</v>
      </c>
      <c r="AC1161" s="1" t="n">
        <f aca="false">IF(AB1161=1,IF(COUNTIFS($B$5:B1161,B1161,$D$5:D1161,D1161,$AB$5:AB1161,1)=1,1,0),0)</f>
        <v>0</v>
      </c>
    </row>
    <row r="1162" customFormat="false" ht="15" hidden="false" customHeight="false" outlineLevel="0" collapsed="false">
      <c r="A1162" s="48" t="str">
        <f aca="false">STACK!A1162</f>
        <v>WCH-0055</v>
      </c>
      <c r="B1162" s="48" t="str">
        <f aca="false">STACK!B1162</f>
        <v>WCH</v>
      </c>
      <c r="C1162" s="48" t="str">
        <f aca="false">STACK!E1162</f>
        <v>health coalition</v>
      </c>
      <c r="D1162" s="1" t="str">
        <f aca="false">IFERROR(INDEX(MAP!$J$7:$J$101,MATCH(TRIM(C1162),MAP!$I$7:$I$101,0)),"UNMAPPED")</f>
        <v>Regional Health Coalition</v>
      </c>
      <c r="E1162" s="1" t="str">
        <f aca="false">IFERROR(INDEX(MAP!$K$7:$K$101,MATCH(TRIM(C1162),MAP!$I$7:$I$101,0)),"")</f>
        <v>Community benefit infrastructure</v>
      </c>
      <c r="F1162" s="1" t="str">
        <f aca="false">IFERROR(INDEX(MAP!$L$7:$L$101,MATCH(TRIM(C1162),MAP!$I$7:$I$101,0)),"")</f>
        <v>Event</v>
      </c>
      <c r="G1162" s="1" t="n">
        <f aca="false">IFERROR(MATCH(A1162,CONFIRM!$A$5:$A$53,0),0)</f>
        <v>30</v>
      </c>
      <c r="H1162" s="48" t="str">
        <f aca="false">STACK!F1162</f>
        <v>community building</v>
      </c>
      <c r="I1162" s="1" t="str">
        <f aca="false">IF(G1162&gt;0,IF(INDEX(CONFIRM!$I$5:$I$53,G1162)&lt;&gt;"",INDEX(CONFIRM!$I$5:$I$53,G1162),H1162),H1162)</f>
        <v>Community building: coalition building</v>
      </c>
      <c r="J1162" s="1" t="str">
        <f aca="false">IFERROR(INDEX(MAP!$F$7:$F$74,MATCH(TRIM(I1162),MAP!$E$7:$E$74,0)),"UNMAPPED")</f>
        <v>Community building: coalition building</v>
      </c>
      <c r="K1162" s="1" t="str">
        <f aca="false">IFERROR(INDEX(MAP!$G$7:$G$74,MATCH(TRIM(I1162),MAP!$E$7:$E$74,0)),"UNMAPPED")</f>
        <v>II-6</v>
      </c>
      <c r="L1162" s="49" t="str">
        <f aca="false">STACK!G1162</f>
        <v>September 2, 2025</v>
      </c>
      <c r="M1162" s="59" t="n">
        <f aca="false">IF(G1162&gt;0,IF(INDEX(CONFIRM!$G$5:$G$53,G1162)&lt;&gt;"",INDEX(CONFIRM!$G$5:$G$53,G1162),IF(ISNUMBER(L1162),L1162,IFERROR(DATEVALUE(L1162),""))),IF(ISNUMBER(L1162),L1162,IFERROR(DATEVALUE(L1162),"")))</f>
        <v>45902</v>
      </c>
      <c r="N1162" s="1" t="str">
        <f aca="false">IF(M1162="","Check",IF(AND(M1162&gt;=INPUTS!$C$6,M1162&lt;=INPUTS!$C$7),"Yes","No"))</f>
        <v>Yes</v>
      </c>
      <c r="O1162" s="48" t="str">
        <f aca="false">STACK!H1162</f>
        <v>Sr Director</v>
      </c>
      <c r="P1162" s="1" t="str">
        <f aca="false">IF(G1162&gt;0,IF(INDEX(CONFIRM!$H$5:$H$53,G1162)&lt;&gt;"",INDEX(CONFIRM!$H$5:$H$53,G1162),IFERROR(INDEX(MAP!$B$7:$B$156,MATCH(TRIM(O1162),MAP!$A$7:$A$156,0)),"UNMAPPED")),IFERROR(INDEX(MAP!$B$7:$B$156,MATCH(TRIM(O1162),MAP!$A$7:$A$156,0)),"UNMAPPED"))</f>
        <v>Director</v>
      </c>
      <c r="Q1162" s="48" t="n">
        <f aca="false">STACK!I1162</f>
        <v>3</v>
      </c>
      <c r="R1162" s="60" t="n">
        <f aca="false">IF(G1162&gt;0,IF(INDEX(CONFIRM!$F$5:$F$53,G1162)&lt;&gt;"",INDEX(CONFIRM!$F$5:$F$53,G1162),IF(ISNUMBER(Q1162),Q1162,IF(Q1162="","",IFERROR(VALUE(TRIM(SUBSTITUTE(SUBSTITUTE(LOWER(Q1162),"hrs",""),"hr",""))),"")))),IF(ISNUMBER(Q1162),Q1162,IF(Q1162="","",IFERROR(VALUE(TRIM(SUBSTITUTE(SUBSTITUTE(LOWER(Q1162),"hrs",""),"hr",""))),""))))</f>
        <v>3</v>
      </c>
      <c r="S1162" s="57" t="n">
        <f aca="false">IFERROR(INDEX(RATES!$E$6:$E$28,MATCH(P1162,RATES!$A$6:$A$28,0)),0)</f>
        <v>92.52</v>
      </c>
      <c r="T1162" s="61" t="n">
        <f aca="false">IF(ISNUMBER(R1162),R1162,0)*S1162</f>
        <v>277.56</v>
      </c>
      <c r="U1162" s="61" t="n">
        <f aca="false">T1162*INDEX(INPUTS!$H$10:$H$14,MATCH(B1162,INPUTS!$A$10:$A$14,0))</f>
        <v>39.13596</v>
      </c>
      <c r="V1162" s="61" t="n">
        <f aca="false">N(STACK!K1162)</f>
        <v>105</v>
      </c>
      <c r="W1162" s="61" t="n">
        <f aca="false">T1162+U1162+V1162</f>
        <v>421.69596</v>
      </c>
      <c r="X1162" s="61" t="n">
        <f aca="false">N(STACK!L1162)</f>
        <v>0</v>
      </c>
      <c r="Y1162" s="61" t="n">
        <f aca="false">W1162-X1162</f>
        <v>421.69596</v>
      </c>
      <c r="Z1162" s="1" t="n">
        <f aca="false">N(STACK!J1162)</f>
        <v>0</v>
      </c>
      <c r="AA1162" s="1" t="str">
        <f aca="false">TRIM(IF(D1162="UNMAPPED","Program not mapped. ","")&amp;IF(OR(K1162="UNMAPPED",K1162="UNASSIGNED"),"Category needs review. ","")&amp;IF(P1162="UNMAPPED","Title not mapped. ","")&amp;IF(AND(P1162&lt;&gt;"No staff time",R1162=""),"Missing hours. ","")&amp;IF(M1162="","Date not readable. ","")&amp;IF(N1162="No","Outside fiscal year. ","")&amp;IF(AND(F1162="Event",ISNUMBER(R1162)),IF(R1162&gt;12,"Event hours look high. ",""),"")&amp;IF(G1162&gt;0,"See CONFIRM sheet.",""))</f>
        <v>See CONFIRM sheet.</v>
      </c>
      <c r="AB1162" s="1" t="n">
        <f aca="false">IF(N1162="No",0,IF(REVIEW!O1162=0,0,IF(G1162&gt;0,IF(INDEX(CONFIRM!$J$5:$J$53,G1162)&lt;&gt;"",INDEX(CONFIRM!$J$5:$J$53,G1162),1),1)))</f>
        <v>1</v>
      </c>
      <c r="AC1162" s="1" t="n">
        <f aca="false">IF(AB1162=1,IF(COUNTIFS($B$5:B1162,B1162,$D$5:D1162,D1162,$AB$5:AB1162,1)=1,1,0),0)</f>
        <v>0</v>
      </c>
    </row>
    <row r="1163" customFormat="false" ht="15" hidden="false" customHeight="false" outlineLevel="0" collapsed="false">
      <c r="A1163" s="48" t="str">
        <f aca="false">STACK!A1163</f>
        <v>WCH-0056</v>
      </c>
      <c r="B1163" s="48" t="str">
        <f aca="false">STACK!B1163</f>
        <v>WCH</v>
      </c>
      <c r="C1163" s="48" t="str">
        <f aca="false">STACK!E1163</f>
        <v>health coalition</v>
      </c>
      <c r="D1163" s="1" t="str">
        <f aca="false">IFERROR(INDEX(MAP!$J$7:$J$101,MATCH(TRIM(C1163),MAP!$I$7:$I$101,0)),"UNMAPPED")</f>
        <v>Regional Health Coalition</v>
      </c>
      <c r="E1163" s="1" t="str">
        <f aca="false">IFERROR(INDEX(MAP!$K$7:$K$101,MATCH(TRIM(C1163),MAP!$I$7:$I$101,0)),"")</f>
        <v>Community benefit infrastructure</v>
      </c>
      <c r="F1163" s="1" t="str">
        <f aca="false">IFERROR(INDEX(MAP!$L$7:$L$101,MATCH(TRIM(C1163),MAP!$I$7:$I$101,0)),"")</f>
        <v>Event</v>
      </c>
      <c r="G1163" s="1" t="n">
        <f aca="false">IFERROR(MATCH(A1163,CONFIRM!$A$5:$A$53,0),0)</f>
        <v>31</v>
      </c>
      <c r="H1163" s="48" t="str">
        <f aca="false">STACK!F1163</f>
        <v>community building</v>
      </c>
      <c r="I1163" s="1" t="str">
        <f aca="false">IF(G1163&gt;0,IF(INDEX(CONFIRM!$I$5:$I$53,G1163)&lt;&gt;"",INDEX(CONFIRM!$I$5:$I$53,G1163),H1163),H1163)</f>
        <v>Community building: coalition building</v>
      </c>
      <c r="J1163" s="1" t="str">
        <f aca="false">IFERROR(INDEX(MAP!$F$7:$F$74,MATCH(TRIM(I1163),MAP!$E$7:$E$74,0)),"UNMAPPED")</f>
        <v>Community building: coalition building</v>
      </c>
      <c r="K1163" s="1" t="str">
        <f aca="false">IFERROR(INDEX(MAP!$G$7:$G$74,MATCH(TRIM(I1163),MAP!$E$7:$E$74,0)),"UNMAPPED")</f>
        <v>II-6</v>
      </c>
      <c r="L1163" s="49" t="str">
        <f aca="false">STACK!G1163</f>
        <v>September 3, 2025</v>
      </c>
      <c r="M1163" s="59" t="n">
        <f aca="false">IF(G1163&gt;0,IF(INDEX(CONFIRM!$G$5:$G$53,G1163)&lt;&gt;"",INDEX(CONFIRM!$G$5:$G$53,G1163),IF(ISNUMBER(L1163),L1163,IFERROR(DATEVALUE(L1163),""))),IF(ISNUMBER(L1163),L1163,IFERROR(DATEVALUE(L1163),"")))</f>
        <v>45903</v>
      </c>
      <c r="N1163" s="1" t="str">
        <f aca="false">IF(M1163="","Check",IF(AND(M1163&gt;=INPUTS!$C$6,M1163&lt;=INPUTS!$C$7),"Yes","No"))</f>
        <v>Yes</v>
      </c>
      <c r="O1163" s="48" t="str">
        <f aca="false">STACK!H1163</f>
        <v>CB Manager </v>
      </c>
      <c r="P1163" s="1" t="str">
        <f aca="false">IF(G1163&gt;0,IF(INDEX(CONFIRM!$H$5:$H$53,G1163)&lt;&gt;"",INDEX(CONFIRM!$H$5:$H$53,G1163),IFERROR(INDEX(MAP!$B$7:$B$156,MATCH(TRIM(O1163),MAP!$A$7:$A$156,0)),"UNMAPPED")),IFERROR(INDEX(MAP!$B$7:$B$156,MATCH(TRIM(O1163),MAP!$A$7:$A$156,0)),"UNMAPPED"))</f>
        <v>Community Benefit Manager</v>
      </c>
      <c r="Q1163" s="48" t="str">
        <f aca="false">STACK!I1163</f>
        <v>2.75 hr</v>
      </c>
      <c r="R1163" s="60" t="n">
        <f aca="false">IF(G1163&gt;0,IF(INDEX(CONFIRM!$F$5:$F$53,G1163)&lt;&gt;"",INDEX(CONFIRM!$F$5:$F$53,G1163),IF(ISNUMBER(Q1163),Q1163,IF(Q1163="","",IFERROR(VALUE(TRIM(SUBSTITUTE(SUBSTITUTE(LOWER(Q1163),"hrs",""),"hr",""))),"")))),IF(ISNUMBER(Q1163),Q1163,IF(Q1163="","",IFERROR(VALUE(TRIM(SUBSTITUTE(SUBSTITUTE(LOWER(Q1163),"hrs",""),"hr",""))),""))))</f>
        <v>2.75</v>
      </c>
      <c r="S1163" s="57" t="n">
        <f aca="false">IFERROR(INDEX(RATES!$E$6:$E$28,MATCH(P1163,RATES!$A$6:$A$28,0)),0)</f>
        <v>59.11</v>
      </c>
      <c r="T1163" s="61" t="n">
        <f aca="false">IF(ISNUMBER(R1163),R1163,0)*S1163</f>
        <v>162.5525</v>
      </c>
      <c r="U1163" s="61" t="n">
        <f aca="false">T1163*INDEX(INPUTS!$H$10:$H$14,MATCH(B1163,INPUTS!$A$10:$A$14,0))</f>
        <v>22.9199025</v>
      </c>
      <c r="V1163" s="61" t="n">
        <f aca="false">N(STACK!K1163)</f>
        <v>0</v>
      </c>
      <c r="W1163" s="61" t="n">
        <f aca="false">T1163+U1163+V1163</f>
        <v>185.4724025</v>
      </c>
      <c r="X1163" s="61" t="n">
        <f aca="false">N(STACK!L1163)</f>
        <v>0</v>
      </c>
      <c r="Y1163" s="61" t="n">
        <f aca="false">W1163-X1163</f>
        <v>185.4724025</v>
      </c>
      <c r="Z1163" s="1" t="n">
        <f aca="false">N(STACK!J1163)</f>
        <v>0</v>
      </c>
      <c r="AA1163" s="1" t="str">
        <f aca="false">TRIM(IF(D1163="UNMAPPED","Program not mapped. ","")&amp;IF(OR(K1163="UNMAPPED",K1163="UNASSIGNED"),"Category needs review. ","")&amp;IF(P1163="UNMAPPED","Title not mapped. ","")&amp;IF(AND(P1163&lt;&gt;"No staff time",R1163=""),"Missing hours. ","")&amp;IF(M1163="","Date not readable. ","")&amp;IF(N1163="No","Outside fiscal year. ","")&amp;IF(AND(F1163="Event",ISNUMBER(R1163)),IF(R1163&gt;12,"Event hours look high. ",""),"")&amp;IF(G1163&gt;0,"See CONFIRM sheet.",""))</f>
        <v>See CONFIRM sheet.</v>
      </c>
      <c r="AB1163" s="1" t="n">
        <f aca="false">IF(N1163="No",0,IF(REVIEW!O1163=0,0,IF(G1163&gt;0,IF(INDEX(CONFIRM!$J$5:$J$53,G1163)&lt;&gt;"",INDEX(CONFIRM!$J$5:$J$53,G1163),1),1)))</f>
        <v>1</v>
      </c>
      <c r="AC1163" s="1" t="n">
        <f aca="false">IF(AB1163=1,IF(COUNTIFS($B$5:B1163,B1163,$D$5:D1163,D1163,$AB$5:AB1163,1)=1,1,0),0)</f>
        <v>0</v>
      </c>
    </row>
    <row r="1164" customFormat="false" ht="15" hidden="false" customHeight="false" outlineLevel="0" collapsed="false">
      <c r="A1164" s="48" t="str">
        <f aca="false">STACK!A1164</f>
        <v>WCH-0057</v>
      </c>
      <c r="B1164" s="48" t="str">
        <f aca="false">STACK!B1164</f>
        <v>WCH</v>
      </c>
      <c r="C1164" s="48" t="str">
        <f aca="false">STACK!E1164</f>
        <v>health coalition</v>
      </c>
      <c r="D1164" s="1" t="str">
        <f aca="false">IFERROR(INDEX(MAP!$J$7:$J$101,MATCH(TRIM(C1164),MAP!$I$7:$I$101,0)),"UNMAPPED")</f>
        <v>Regional Health Coalition</v>
      </c>
      <c r="E1164" s="1" t="str">
        <f aca="false">IFERROR(INDEX(MAP!$K$7:$K$101,MATCH(TRIM(C1164),MAP!$I$7:$I$101,0)),"")</f>
        <v>Community benefit infrastructure</v>
      </c>
      <c r="F1164" s="1" t="str">
        <f aca="false">IFERROR(INDEX(MAP!$L$7:$L$101,MATCH(TRIM(C1164),MAP!$I$7:$I$101,0)),"")</f>
        <v>Event</v>
      </c>
      <c r="G1164" s="1" t="n">
        <f aca="false">IFERROR(MATCH(A1164,CONFIRM!$A$5:$A$53,0),0)</f>
        <v>32</v>
      </c>
      <c r="H1164" s="48" t="str">
        <f aca="false">STACK!F1164</f>
        <v>community building</v>
      </c>
      <c r="I1164" s="1" t="str">
        <f aca="false">IF(G1164&gt;0,IF(INDEX(CONFIRM!$I$5:$I$53,G1164)&lt;&gt;"",INDEX(CONFIRM!$I$5:$I$53,G1164),H1164),H1164)</f>
        <v>Community building: coalition building</v>
      </c>
      <c r="J1164" s="1" t="str">
        <f aca="false">IFERROR(INDEX(MAP!$F$7:$F$74,MATCH(TRIM(I1164),MAP!$E$7:$E$74,0)),"UNMAPPED")</f>
        <v>Community building: coalition building</v>
      </c>
      <c r="K1164" s="1" t="str">
        <f aca="false">IFERROR(INDEX(MAP!$G$7:$G$74,MATCH(TRIM(I1164),MAP!$E$7:$E$74,0)),"UNMAPPED")</f>
        <v>II-6</v>
      </c>
      <c r="L1164" s="49" t="str">
        <f aca="false">STACK!G1164</f>
        <v>9/3/25</v>
      </c>
      <c r="M1164" s="59" t="n">
        <f aca="false">IF(G1164&gt;0,IF(INDEX(CONFIRM!$G$5:$G$53,G1164)&lt;&gt;"",INDEX(CONFIRM!$G$5:$G$53,G1164),IF(ISNUMBER(L1164),L1164,IFERROR(DATEVALUE(L1164),""))),IF(ISNUMBER(L1164),L1164,IFERROR(DATEVALUE(L1164),"")))</f>
        <v>45903</v>
      </c>
      <c r="N1164" s="1" t="str">
        <f aca="false">IF(M1164="","Check",IF(AND(M1164&gt;=INPUTS!$C$6,M1164&lt;=INPUTS!$C$7),"Yes","No"))</f>
        <v>Yes</v>
      </c>
      <c r="O1164" s="48" t="str">
        <f aca="false">STACK!H1164</f>
        <v> Director</v>
      </c>
      <c r="P1164" s="1" t="str">
        <f aca="false">IF(G1164&gt;0,IF(INDEX(CONFIRM!$H$5:$H$53,G1164)&lt;&gt;"",INDEX(CONFIRM!$H$5:$H$53,G1164),IFERROR(INDEX(MAP!$B$7:$B$156,MATCH(TRIM(O1164),MAP!$A$7:$A$156,0)),"UNMAPPED")),IFERROR(INDEX(MAP!$B$7:$B$156,MATCH(TRIM(O1164),MAP!$A$7:$A$156,0)),"UNMAPPED"))</f>
        <v>Director</v>
      </c>
      <c r="Q1164" s="48" t="n">
        <f aca="false">STACK!I1164</f>
        <v>2.75</v>
      </c>
      <c r="R1164" s="60" t="n">
        <f aca="false">IF(G1164&gt;0,IF(INDEX(CONFIRM!$F$5:$F$53,G1164)&lt;&gt;"",INDEX(CONFIRM!$F$5:$F$53,G1164),IF(ISNUMBER(Q1164),Q1164,IF(Q1164="","",IFERROR(VALUE(TRIM(SUBSTITUTE(SUBSTITUTE(LOWER(Q1164),"hrs",""),"hr",""))),"")))),IF(ISNUMBER(Q1164),Q1164,IF(Q1164="","",IFERROR(VALUE(TRIM(SUBSTITUTE(SUBSTITUTE(LOWER(Q1164),"hrs",""),"hr",""))),""))))</f>
        <v>2.75</v>
      </c>
      <c r="S1164" s="57" t="n">
        <f aca="false">IFERROR(INDEX(RATES!$E$6:$E$28,MATCH(P1164,RATES!$A$6:$A$28,0)),0)</f>
        <v>92.52</v>
      </c>
      <c r="T1164" s="61" t="n">
        <f aca="false">IF(ISNUMBER(R1164),R1164,0)*S1164</f>
        <v>254.43</v>
      </c>
      <c r="U1164" s="61" t="n">
        <f aca="false">T1164*INDEX(INPUTS!$H$10:$H$14,MATCH(B1164,INPUTS!$A$10:$A$14,0))</f>
        <v>35.87463</v>
      </c>
      <c r="V1164" s="61" t="n">
        <f aca="false">N(STACK!K1164)</f>
        <v>100</v>
      </c>
      <c r="W1164" s="61" t="n">
        <f aca="false">T1164+U1164+V1164</f>
        <v>390.30463</v>
      </c>
      <c r="X1164" s="61" t="n">
        <f aca="false">N(STACK!L1164)</f>
        <v>0</v>
      </c>
      <c r="Y1164" s="61" t="n">
        <f aca="false">W1164-X1164</f>
        <v>390.30463</v>
      </c>
      <c r="Z1164" s="1" t="n">
        <f aca="false">N(STACK!J1164)</f>
        <v>0</v>
      </c>
      <c r="AA1164" s="1" t="str">
        <f aca="false">TRIM(IF(D1164="UNMAPPED","Program not mapped. ","")&amp;IF(OR(K1164="UNMAPPED",K1164="UNASSIGNED"),"Category needs review. ","")&amp;IF(P1164="UNMAPPED","Title not mapped. ","")&amp;IF(AND(P1164&lt;&gt;"No staff time",R1164=""),"Missing hours. ","")&amp;IF(M1164="","Date not readable. ","")&amp;IF(N1164="No","Outside fiscal year. ","")&amp;IF(AND(F1164="Event",ISNUMBER(R1164)),IF(R1164&gt;12,"Event hours look high. ",""),"")&amp;IF(G1164&gt;0,"See CONFIRM sheet.",""))</f>
        <v>See CONFIRM sheet.</v>
      </c>
      <c r="AB1164" s="1" t="n">
        <f aca="false">IF(N1164="No",0,IF(REVIEW!O1164=0,0,IF(G1164&gt;0,IF(INDEX(CONFIRM!$J$5:$J$53,G1164)&lt;&gt;"",INDEX(CONFIRM!$J$5:$J$53,G1164),1),1)))</f>
        <v>1</v>
      </c>
      <c r="AC1164" s="1" t="n">
        <f aca="false">IF(AB1164=1,IF(COUNTIFS($B$5:B1164,B1164,$D$5:D1164,D1164,$AB$5:AB1164,1)=1,1,0),0)</f>
        <v>0</v>
      </c>
    </row>
    <row r="1165" customFormat="false" ht="15" hidden="false" customHeight="false" outlineLevel="0" collapsed="false">
      <c r="A1165" s="48" t="str">
        <f aca="false">STACK!A1165</f>
        <v>WCH-0058</v>
      </c>
      <c r="B1165" s="48" t="str">
        <f aca="false">STACK!B1165</f>
        <v>WCH</v>
      </c>
      <c r="C1165" s="48" t="str">
        <f aca="false">STACK!E1165</f>
        <v>diabetes prevention class</v>
      </c>
      <c r="D1165" s="1" t="str">
        <f aca="false">IFERROR(INDEX(MAP!$J$7:$J$101,MATCH(TRIM(C1165),MAP!$I$7:$I$101,0)),"UNMAPPED")</f>
        <v>Diabetes Prevention Classes</v>
      </c>
      <c r="E1165" s="1" t="str">
        <f aca="false">IFERROR(INDEX(MAP!$K$7:$K$101,MATCH(TRIM(C1165),MAP!$I$7:$I$101,0)),"")</f>
        <v>Chronic disease prevention</v>
      </c>
      <c r="F1165" s="1" t="str">
        <f aca="false">IFERROR(INDEX(MAP!$L$7:$L$101,MATCH(TRIM(C1165),MAP!$I$7:$I$101,0)),"")</f>
        <v>Event</v>
      </c>
      <c r="G1165" s="1" t="n">
        <f aca="false">IFERROR(MATCH(A1165,CONFIRM!$A$5:$A$53,0),0)</f>
        <v>0</v>
      </c>
      <c r="H1165" s="48" t="str">
        <f aca="false">STACK!F1165</f>
        <v>community health improvement services</v>
      </c>
      <c r="I1165" s="1" t="str">
        <f aca="false">IF(G1165&gt;0,IF(INDEX(CONFIRM!$I$5:$I$53,G1165)&lt;&gt;"",INDEX(CONFIRM!$I$5:$I$53,G1165),H1165),H1165)</f>
        <v>community health improvement services</v>
      </c>
      <c r="J1165" s="1" t="str">
        <f aca="false">IFERROR(INDEX(MAP!$F$7:$F$74,MATCH(TRIM(I1165),MAP!$E$7:$E$74,0)),"UNMAPPED")</f>
        <v>Community health education</v>
      </c>
      <c r="K1165" s="1" t="str">
        <f aca="false">IFERROR(INDEX(MAP!$G$7:$G$74,MATCH(TRIM(I1165),MAP!$E$7:$E$74,0)),"UNMAPPED")</f>
        <v>7e</v>
      </c>
      <c r="L1165" s="49" t="n">
        <f aca="false">STACK!G1165</f>
        <v>45917</v>
      </c>
      <c r="M1165" s="59" t="n">
        <f aca="false">IF(G1165&gt;0,IF(INDEX(CONFIRM!$G$5:$G$53,G1165)&lt;&gt;"",INDEX(CONFIRM!$G$5:$G$53,G1165),IF(ISNUMBER(L1165),L1165,IFERROR(DATEVALUE(L1165),""))),IF(ISNUMBER(L1165),L1165,IFERROR(DATEVALUE(L1165),"")))</f>
        <v>45917</v>
      </c>
      <c r="N1165" s="1" t="str">
        <f aca="false">IF(M1165="","Check",IF(AND(M1165&gt;=INPUTS!$C$6,M1165&lt;=INPUTS!$C$7),"Yes","No"))</f>
        <v>Yes</v>
      </c>
      <c r="O1165" s="48" t="str">
        <f aca="false">STACK!H1165</f>
        <v>Health Educator</v>
      </c>
      <c r="P1165" s="1" t="str">
        <f aca="false">IF(G1165&gt;0,IF(INDEX(CONFIRM!$H$5:$H$53,G1165)&lt;&gt;"",INDEX(CONFIRM!$H$5:$H$53,G1165),IFERROR(INDEX(MAP!$B$7:$B$156,MATCH(TRIM(O1165),MAP!$A$7:$A$156,0)),"UNMAPPED")),IFERROR(INDEX(MAP!$B$7:$B$156,MATCH(TRIM(O1165),MAP!$A$7:$A$156,0)),"UNMAPPED"))</f>
        <v>Health Educator</v>
      </c>
      <c r="Q1165" s="48" t="n">
        <f aca="false">STACK!I1165</f>
        <v>2.5</v>
      </c>
      <c r="R1165" s="60" t="n">
        <f aca="false">IF(G1165&gt;0,IF(INDEX(CONFIRM!$F$5:$F$53,G1165)&lt;&gt;"",INDEX(CONFIRM!$F$5:$F$53,G1165),IF(ISNUMBER(Q1165),Q1165,IF(Q1165="","",IFERROR(VALUE(TRIM(SUBSTITUTE(SUBSTITUTE(LOWER(Q1165),"hrs",""),"hr",""))),"")))),IF(ISNUMBER(Q1165),Q1165,IF(Q1165="","",IFERROR(VALUE(TRIM(SUBSTITUTE(SUBSTITUTE(LOWER(Q1165),"hrs",""),"hr",""))),""))))</f>
        <v>2.5</v>
      </c>
      <c r="S1165" s="57" t="n">
        <f aca="false">IFERROR(INDEX(RATES!$E$6:$E$28,MATCH(P1165,RATES!$A$6:$A$28,0)),0)</f>
        <v>37.265</v>
      </c>
      <c r="T1165" s="61" t="n">
        <f aca="false">IF(ISNUMBER(R1165),R1165,0)*S1165</f>
        <v>93.1625</v>
      </c>
      <c r="U1165" s="61" t="n">
        <f aca="false">T1165*INDEX(INPUTS!$H$10:$H$14,MATCH(B1165,INPUTS!$A$10:$A$14,0))</f>
        <v>13.1359125</v>
      </c>
      <c r="V1165" s="61" t="n">
        <f aca="false">N(STACK!K1165)</f>
        <v>95</v>
      </c>
      <c r="W1165" s="61" t="n">
        <f aca="false">T1165+U1165+V1165</f>
        <v>201.2984125</v>
      </c>
      <c r="X1165" s="61" t="n">
        <f aca="false">N(STACK!L1165)</f>
        <v>0</v>
      </c>
      <c r="Y1165" s="61" t="n">
        <f aca="false">W1165-X1165</f>
        <v>201.2984125</v>
      </c>
      <c r="Z1165" s="1" t="n">
        <f aca="false">N(STACK!J1165)</f>
        <v>10</v>
      </c>
      <c r="AA1165" s="1" t="str">
        <f aca="false">TRIM(IF(D1165="UNMAPPED","Program not mapped. ","")&amp;IF(OR(K1165="UNMAPPED",K1165="UNASSIGNED"),"Category needs review. ","")&amp;IF(P1165="UNMAPPED","Title not mapped. ","")&amp;IF(AND(P1165&lt;&gt;"No staff time",R1165=""),"Missing hours. ","")&amp;IF(M1165="","Date not readable. ","")&amp;IF(N1165="No","Outside fiscal year. ","")&amp;IF(AND(F1165="Event",ISNUMBER(R1165)),IF(R1165&gt;12,"Event hours look high. ",""),"")&amp;IF(G1165&gt;0,"See CONFIRM sheet.",""))</f>
        <v/>
      </c>
      <c r="AB1165" s="1" t="n">
        <f aca="false">IF(N1165="No",0,IF(REVIEW!O1165=0,0,IF(G1165&gt;0,IF(INDEX(CONFIRM!$J$5:$J$53,G1165)&lt;&gt;"",INDEX(CONFIRM!$J$5:$J$53,G1165),1),1)))</f>
        <v>1</v>
      </c>
      <c r="AC1165" s="1" t="n">
        <f aca="false">IF(AB1165=1,IF(COUNTIFS($B$5:B1165,B1165,$D$5:D1165,D1165,$AB$5:AB1165,1)=1,1,0),0)</f>
        <v>0</v>
      </c>
    </row>
    <row r="1166" customFormat="false" ht="15" hidden="false" customHeight="false" outlineLevel="0" collapsed="false">
      <c r="A1166" s="48" t="str">
        <f aca="false">STACK!A1166</f>
        <v>WCH-0059</v>
      </c>
      <c r="B1166" s="48" t="str">
        <f aca="false">STACK!B1166</f>
        <v>WCH</v>
      </c>
      <c r="C1166" s="48" t="str">
        <f aca="false">STACK!E1166</f>
        <v>diabetes prevention class</v>
      </c>
      <c r="D1166" s="1" t="str">
        <f aca="false">IFERROR(INDEX(MAP!$J$7:$J$101,MATCH(TRIM(C1166),MAP!$I$7:$I$101,0)),"UNMAPPED")</f>
        <v>Diabetes Prevention Classes</v>
      </c>
      <c r="E1166" s="1" t="str">
        <f aca="false">IFERROR(INDEX(MAP!$K$7:$K$101,MATCH(TRIM(C1166),MAP!$I$7:$I$101,0)),"")</f>
        <v>Chronic disease prevention</v>
      </c>
      <c r="F1166" s="1" t="str">
        <f aca="false">IFERROR(INDEX(MAP!$L$7:$L$101,MATCH(TRIM(C1166),MAP!$I$7:$I$101,0)),"")</f>
        <v>Event</v>
      </c>
      <c r="G1166" s="1" t="n">
        <f aca="false">IFERROR(MATCH(A1166,CONFIRM!$A$5:$A$53,0),0)</f>
        <v>0</v>
      </c>
      <c r="H1166" s="48" t="str">
        <f aca="false">STACK!F1166</f>
        <v>community health improvement services</v>
      </c>
      <c r="I1166" s="1" t="str">
        <f aca="false">IF(G1166&gt;0,IF(INDEX(CONFIRM!$I$5:$I$53,G1166)&lt;&gt;"",INDEX(CONFIRM!$I$5:$I$53,G1166),H1166),H1166)</f>
        <v>community health improvement services</v>
      </c>
      <c r="J1166" s="1" t="str">
        <f aca="false">IFERROR(INDEX(MAP!$F$7:$F$74,MATCH(TRIM(I1166),MAP!$E$7:$E$74,0)),"UNMAPPED")</f>
        <v>Community health education</v>
      </c>
      <c r="K1166" s="1" t="str">
        <f aca="false">IFERROR(INDEX(MAP!$G$7:$G$74,MATCH(TRIM(I1166),MAP!$E$7:$E$74,0)),"UNMAPPED")</f>
        <v>7e</v>
      </c>
      <c r="L1166" s="49" t="n">
        <f aca="false">STACK!G1166</f>
        <v>45917</v>
      </c>
      <c r="M1166" s="59" t="n">
        <f aca="false">IF(G1166&gt;0,IF(INDEX(CONFIRM!$G$5:$G$53,G1166)&lt;&gt;"",INDEX(CONFIRM!$G$5:$G$53,G1166),IF(ISNUMBER(L1166),L1166,IFERROR(DATEVALUE(L1166),""))),IF(ISNUMBER(L1166),L1166,IFERROR(DATEVALUE(L1166),"")))</f>
        <v>45917</v>
      </c>
      <c r="N1166" s="1" t="str">
        <f aca="false">IF(M1166="","Check",IF(AND(M1166&gt;=INPUTS!$C$6,M1166&lt;=INPUTS!$C$7),"Yes","No"))</f>
        <v>Yes</v>
      </c>
      <c r="O1166" s="48" t="str">
        <f aca="false">STACK!H1166</f>
        <v> RDN</v>
      </c>
      <c r="P1166" s="1" t="str">
        <f aca="false">IF(G1166&gt;0,IF(INDEX(CONFIRM!$H$5:$H$53,G1166)&lt;&gt;"",INDEX(CONFIRM!$H$5:$H$53,G1166),IFERROR(INDEX(MAP!$B$7:$B$156,MATCH(TRIM(O1166),MAP!$A$7:$A$156,0)),"UNMAPPED")),IFERROR(INDEX(MAP!$B$7:$B$156,MATCH(TRIM(O1166),MAP!$A$7:$A$156,0)),"UNMAPPED"))</f>
        <v>Registered Dietitian</v>
      </c>
      <c r="Q1166" s="48" t="n">
        <f aca="false">STACK!I1166</f>
        <v>1.5</v>
      </c>
      <c r="R1166" s="60" t="n">
        <f aca="false">IF(G1166&gt;0,IF(INDEX(CONFIRM!$F$5:$F$53,G1166)&lt;&gt;"",INDEX(CONFIRM!$F$5:$F$53,G1166),IF(ISNUMBER(Q1166),Q1166,IF(Q1166="","",IFERROR(VALUE(TRIM(SUBSTITUTE(SUBSTITUTE(LOWER(Q1166),"hrs",""),"hr",""))),"")))),IF(ISNUMBER(Q1166),Q1166,IF(Q1166="","",IFERROR(VALUE(TRIM(SUBSTITUTE(SUBSTITUTE(LOWER(Q1166),"hrs",""),"hr",""))),""))))</f>
        <v>1.5</v>
      </c>
      <c r="S1166" s="57" t="n">
        <f aca="false">IFERROR(INDEX(RATES!$E$6:$E$28,MATCH(P1166,RATES!$A$6:$A$28,0)),0)</f>
        <v>46.9025</v>
      </c>
      <c r="T1166" s="61" t="n">
        <f aca="false">IF(ISNUMBER(R1166),R1166,0)*S1166</f>
        <v>70.35375</v>
      </c>
      <c r="U1166" s="61" t="n">
        <f aca="false">T1166*INDEX(INPUTS!$H$10:$H$14,MATCH(B1166,INPUTS!$A$10:$A$14,0))</f>
        <v>9.91987875</v>
      </c>
      <c r="V1166" s="61" t="n">
        <f aca="false">N(STACK!K1166)</f>
        <v>0</v>
      </c>
      <c r="W1166" s="61" t="n">
        <f aca="false">T1166+U1166+V1166</f>
        <v>80.27362875</v>
      </c>
      <c r="X1166" s="61" t="n">
        <f aca="false">N(STACK!L1166)</f>
        <v>0</v>
      </c>
      <c r="Y1166" s="61" t="n">
        <f aca="false">W1166-X1166</f>
        <v>80.27362875</v>
      </c>
      <c r="Z1166" s="1" t="n">
        <f aca="false">N(STACK!J1166)</f>
        <v>0</v>
      </c>
      <c r="AA1166" s="1" t="str">
        <f aca="false">TRIM(IF(D1166="UNMAPPED","Program not mapped. ","")&amp;IF(OR(K1166="UNMAPPED",K1166="UNASSIGNED"),"Category needs review. ","")&amp;IF(P1166="UNMAPPED","Title not mapped. ","")&amp;IF(AND(P1166&lt;&gt;"No staff time",R1166=""),"Missing hours. ","")&amp;IF(M1166="","Date not readable. ","")&amp;IF(N1166="No","Outside fiscal year. ","")&amp;IF(AND(F1166="Event",ISNUMBER(R1166)),IF(R1166&gt;12,"Event hours look high. ",""),"")&amp;IF(G1166&gt;0,"See CONFIRM sheet.",""))</f>
        <v/>
      </c>
      <c r="AB1166" s="1" t="n">
        <f aca="false">IF(N1166="No",0,IF(REVIEW!O1166=0,0,IF(G1166&gt;0,IF(INDEX(CONFIRM!$J$5:$J$53,G1166)&lt;&gt;"",INDEX(CONFIRM!$J$5:$J$53,G1166),1),1)))</f>
        <v>1</v>
      </c>
      <c r="AC1166" s="1" t="n">
        <f aca="false">IF(AB1166=1,IF(COUNTIFS($B$5:B1166,B1166,$D$5:D1166,D1166,$AB$5:AB1166,1)=1,1,0),0)</f>
        <v>0</v>
      </c>
    </row>
    <row r="1167" customFormat="false" ht="15" hidden="false" customHeight="false" outlineLevel="0" collapsed="false">
      <c r="A1167" s="48" t="str">
        <f aca="false">STACK!A1167</f>
        <v>WCH-0060</v>
      </c>
      <c r="B1167" s="48" t="str">
        <f aca="false">STACK!B1167</f>
        <v>WCH</v>
      </c>
      <c r="C1167" s="48" t="str">
        <f aca="false">STACK!E1167</f>
        <v>narcan training</v>
      </c>
      <c r="D1167" s="1" t="str">
        <f aca="false">IFERROR(INDEX(MAP!$J$7:$J$101,MATCH(TRIM(C1167),MAP!$I$7:$I$101,0)),"UNMAPPED")</f>
        <v>Naloxone Training and Distribution</v>
      </c>
      <c r="E1167" s="1" t="str">
        <f aca="false">IFERROR(INDEX(MAP!$K$7:$K$101,MATCH(TRIM(C1167),MAP!$I$7:$I$101,0)),"")</f>
        <v>Behavioral health</v>
      </c>
      <c r="F1167" s="1" t="str">
        <f aca="false">IFERROR(INDEX(MAP!$L$7:$L$101,MATCH(TRIM(C1167),MAP!$I$7:$I$101,0)),"")</f>
        <v>Event</v>
      </c>
      <c r="G1167" s="1" t="n">
        <f aca="false">IFERROR(MATCH(A1167,CONFIRM!$A$5:$A$53,0),0)</f>
        <v>0</v>
      </c>
      <c r="H1167" s="48" t="str">
        <f aca="false">STACK!F1167</f>
        <v>community health improvement services</v>
      </c>
      <c r="I1167" s="1" t="str">
        <f aca="false">IF(G1167&gt;0,IF(INDEX(CONFIRM!$I$5:$I$53,G1167)&lt;&gt;"",INDEX(CONFIRM!$I$5:$I$53,G1167),H1167),H1167)</f>
        <v>community health improvement services</v>
      </c>
      <c r="J1167" s="1" t="str">
        <f aca="false">IFERROR(INDEX(MAP!$F$7:$F$74,MATCH(TRIM(I1167),MAP!$E$7:$E$74,0)),"UNMAPPED")</f>
        <v>Community health education</v>
      </c>
      <c r="K1167" s="1" t="str">
        <f aca="false">IFERROR(INDEX(MAP!$G$7:$G$74,MATCH(TRIM(I1167),MAP!$E$7:$E$74,0)),"UNMAPPED")</f>
        <v>7e</v>
      </c>
      <c r="L1167" s="49" t="n">
        <f aca="false">STACK!G1167</f>
        <v>45917</v>
      </c>
      <c r="M1167" s="59" t="n">
        <f aca="false">IF(G1167&gt;0,IF(INDEX(CONFIRM!$G$5:$G$53,G1167)&lt;&gt;"",INDEX(CONFIRM!$G$5:$G$53,G1167),IF(ISNUMBER(L1167),L1167,IFERROR(DATEVALUE(L1167),""))),IF(ISNUMBER(L1167),L1167,IFERROR(DATEVALUE(L1167),"")))</f>
        <v>45917</v>
      </c>
      <c r="N1167" s="1" t="str">
        <f aca="false">IF(M1167="","Check",IF(AND(M1167&gt;=INPUTS!$C$6,M1167&lt;=INPUTS!$C$7),"Yes","No"))</f>
        <v>Yes</v>
      </c>
      <c r="O1167" s="48" t="str">
        <f aca="false">STACK!H1167</f>
        <v>Community Educator</v>
      </c>
      <c r="P1167" s="1" t="str">
        <f aca="false">IF(G1167&gt;0,IF(INDEX(CONFIRM!$H$5:$H$53,G1167)&lt;&gt;"",INDEX(CONFIRM!$H$5:$H$53,G1167),IFERROR(INDEX(MAP!$B$7:$B$156,MATCH(TRIM(O1167),MAP!$A$7:$A$156,0)),"UNMAPPED")),IFERROR(INDEX(MAP!$B$7:$B$156,MATCH(TRIM(O1167),MAP!$A$7:$A$156,0)),"UNMAPPED"))</f>
        <v>Health Educator</v>
      </c>
      <c r="Q1167" s="48" t="n">
        <f aca="false">STACK!I1167</f>
        <v>2</v>
      </c>
      <c r="R1167" s="60" t="n">
        <f aca="false">IF(G1167&gt;0,IF(INDEX(CONFIRM!$F$5:$F$53,G1167)&lt;&gt;"",INDEX(CONFIRM!$F$5:$F$53,G1167),IF(ISNUMBER(Q1167),Q1167,IF(Q1167="","",IFERROR(VALUE(TRIM(SUBSTITUTE(SUBSTITUTE(LOWER(Q1167),"hrs",""),"hr",""))),"")))),IF(ISNUMBER(Q1167),Q1167,IF(Q1167="","",IFERROR(VALUE(TRIM(SUBSTITUTE(SUBSTITUTE(LOWER(Q1167),"hrs",""),"hr",""))),""))))</f>
        <v>2</v>
      </c>
      <c r="S1167" s="57" t="n">
        <f aca="false">IFERROR(INDEX(RATES!$E$6:$E$28,MATCH(P1167,RATES!$A$6:$A$28,0)),0)</f>
        <v>37.265</v>
      </c>
      <c r="T1167" s="61" t="n">
        <f aca="false">IF(ISNUMBER(R1167),R1167,0)*S1167</f>
        <v>74.53</v>
      </c>
      <c r="U1167" s="61" t="n">
        <f aca="false">T1167*INDEX(INPUTS!$H$10:$H$14,MATCH(B1167,INPUTS!$A$10:$A$14,0))</f>
        <v>10.50873</v>
      </c>
      <c r="V1167" s="61" t="n">
        <f aca="false">N(STACK!K1167)</f>
        <v>0</v>
      </c>
      <c r="W1167" s="61" t="n">
        <f aca="false">T1167+U1167+V1167</f>
        <v>85.03873</v>
      </c>
      <c r="X1167" s="61" t="n">
        <f aca="false">N(STACK!L1167)</f>
        <v>0</v>
      </c>
      <c r="Y1167" s="61" t="n">
        <f aca="false">W1167-X1167</f>
        <v>85.03873</v>
      </c>
      <c r="Z1167" s="1" t="n">
        <f aca="false">N(STACK!J1167)</f>
        <v>0</v>
      </c>
      <c r="AA1167" s="1" t="str">
        <f aca="false">TRIM(IF(D1167="UNMAPPED","Program not mapped. ","")&amp;IF(OR(K1167="UNMAPPED",K1167="UNASSIGNED"),"Category needs review. ","")&amp;IF(P1167="UNMAPPED","Title not mapped. ","")&amp;IF(AND(P1167&lt;&gt;"No staff time",R1167=""),"Missing hours. ","")&amp;IF(M1167="","Date not readable. ","")&amp;IF(N1167="No","Outside fiscal year. ","")&amp;IF(AND(F1167="Event",ISNUMBER(R1167)),IF(R1167&gt;12,"Event hours look high. ",""),"")&amp;IF(G1167&gt;0,"See CONFIRM sheet.",""))</f>
        <v/>
      </c>
      <c r="AB1167" s="1" t="n">
        <f aca="false">IF(N1167="No",0,IF(REVIEW!O1167=0,0,IF(G1167&gt;0,IF(INDEX(CONFIRM!$J$5:$J$53,G1167)&lt;&gt;"",INDEX(CONFIRM!$J$5:$J$53,G1167),1),1)))</f>
        <v>1</v>
      </c>
      <c r="AC1167" s="1" t="n">
        <f aca="false">IF(AB1167=1,IF(COUNTIFS($B$5:B1167,B1167,$D$5:D1167,D1167,$AB$5:AB1167,1)=1,1,0),0)</f>
        <v>0</v>
      </c>
    </row>
    <row r="1168" customFormat="false" ht="15" hidden="false" customHeight="false" outlineLevel="0" collapsed="false">
      <c r="A1168" s="48" t="str">
        <f aca="false">STACK!A1168</f>
        <v>WCH-0061</v>
      </c>
      <c r="B1168" s="48" t="str">
        <f aca="false">STACK!B1168</f>
        <v>WCH</v>
      </c>
      <c r="C1168" s="48" t="str">
        <f aca="false">STACK!E1168</f>
        <v>narcan training</v>
      </c>
      <c r="D1168" s="1" t="str">
        <f aca="false">IFERROR(INDEX(MAP!$J$7:$J$101,MATCH(TRIM(C1168),MAP!$I$7:$I$101,0)),"UNMAPPED")</f>
        <v>Naloxone Training and Distribution</v>
      </c>
      <c r="E1168" s="1" t="str">
        <f aca="false">IFERROR(INDEX(MAP!$K$7:$K$101,MATCH(TRIM(C1168),MAP!$I$7:$I$101,0)),"")</f>
        <v>Behavioral health</v>
      </c>
      <c r="F1168" s="1" t="str">
        <f aca="false">IFERROR(INDEX(MAP!$L$7:$L$101,MATCH(TRIM(C1168),MAP!$I$7:$I$101,0)),"")</f>
        <v>Event</v>
      </c>
      <c r="G1168" s="1" t="n">
        <f aca="false">IFERROR(MATCH(A1168,CONFIRM!$A$5:$A$53,0),0)</f>
        <v>0</v>
      </c>
      <c r="H1168" s="48" t="str">
        <f aca="false">STACK!F1168</f>
        <v>community health improvement services</v>
      </c>
      <c r="I1168" s="1" t="str">
        <f aca="false">IF(G1168&gt;0,IF(INDEX(CONFIRM!$I$5:$I$53,G1168)&lt;&gt;"",INDEX(CONFIRM!$I$5:$I$53,G1168),H1168),H1168)</f>
        <v>community health improvement services</v>
      </c>
      <c r="J1168" s="1" t="str">
        <f aca="false">IFERROR(INDEX(MAP!$F$7:$F$74,MATCH(TRIM(I1168),MAP!$E$7:$E$74,0)),"UNMAPPED")</f>
        <v>Community health education</v>
      </c>
      <c r="K1168" s="1" t="str">
        <f aca="false">IFERROR(INDEX(MAP!$G$7:$G$74,MATCH(TRIM(I1168),MAP!$E$7:$E$74,0)),"UNMAPPED")</f>
        <v>7e</v>
      </c>
      <c r="L1168" s="49" t="str">
        <f aca="false">STACK!G1168</f>
        <v>September 17, 2025</v>
      </c>
      <c r="M1168" s="59" t="n">
        <f aca="false">IF(G1168&gt;0,IF(INDEX(CONFIRM!$G$5:$G$53,G1168)&lt;&gt;"",INDEX(CONFIRM!$G$5:$G$53,G1168),IF(ISNUMBER(L1168),L1168,IFERROR(DATEVALUE(L1168),""))),IF(ISNUMBER(L1168),L1168,IFERROR(DATEVALUE(L1168),"")))</f>
        <v>45917</v>
      </c>
      <c r="N1168" s="1" t="str">
        <f aca="false">IF(M1168="","Check",IF(AND(M1168&gt;=INPUTS!$C$6,M1168&lt;=INPUTS!$C$7),"Yes","No"))</f>
        <v>Yes</v>
      </c>
      <c r="O1168" s="48" t="str">
        <f aca="false">STACK!H1168</f>
        <v> PharmD</v>
      </c>
      <c r="P1168" s="1" t="str">
        <f aca="false">IF(G1168&gt;0,IF(INDEX(CONFIRM!$H$5:$H$53,G1168)&lt;&gt;"",INDEX(CONFIRM!$H$5:$H$53,G1168),IFERROR(INDEX(MAP!$B$7:$B$156,MATCH(TRIM(O1168),MAP!$A$7:$A$156,0)),"UNMAPPED")),IFERROR(INDEX(MAP!$B$7:$B$156,MATCH(TRIM(O1168),MAP!$A$7:$A$156,0)),"UNMAPPED"))</f>
        <v>Pharmacist</v>
      </c>
      <c r="Q1168" s="48" t="n">
        <f aca="false">STACK!I1168</f>
        <v>2.5</v>
      </c>
      <c r="R1168" s="60" t="n">
        <f aca="false">IF(G1168&gt;0,IF(INDEX(CONFIRM!$F$5:$F$53,G1168)&lt;&gt;"",INDEX(CONFIRM!$F$5:$F$53,G1168),IF(ISNUMBER(Q1168),Q1168,IF(Q1168="","",IFERROR(VALUE(TRIM(SUBSTITUTE(SUBSTITUTE(LOWER(Q1168),"hrs",""),"hr",""))),"")))),IF(ISNUMBER(Q1168),Q1168,IF(Q1168="","",IFERROR(VALUE(TRIM(SUBSTITUTE(SUBSTITUTE(LOWER(Q1168),"hrs",""),"hr",""))),""))))</f>
        <v>2.5</v>
      </c>
      <c r="S1168" s="57" t="n">
        <f aca="false">IFERROR(INDEX(RATES!$E$6:$E$28,MATCH(P1168,RATES!$A$6:$A$28,0)),0)</f>
        <v>84.81</v>
      </c>
      <c r="T1168" s="61" t="n">
        <f aca="false">IF(ISNUMBER(R1168),R1168,0)*S1168</f>
        <v>212.025</v>
      </c>
      <c r="U1168" s="61" t="n">
        <f aca="false">T1168*INDEX(INPUTS!$H$10:$H$14,MATCH(B1168,INPUTS!$A$10:$A$14,0))</f>
        <v>29.895525</v>
      </c>
      <c r="V1168" s="61" t="n">
        <f aca="false">N(STACK!K1168)</f>
        <v>1620</v>
      </c>
      <c r="W1168" s="61" t="n">
        <f aca="false">T1168+U1168+V1168</f>
        <v>1861.920525</v>
      </c>
      <c r="X1168" s="61" t="n">
        <f aca="false">N(STACK!L1168)</f>
        <v>745</v>
      </c>
      <c r="Y1168" s="61" t="n">
        <f aca="false">W1168-X1168</f>
        <v>1116.920525</v>
      </c>
      <c r="Z1168" s="1" t="n">
        <f aca="false">N(STACK!J1168)</f>
        <v>27</v>
      </c>
      <c r="AA1168" s="1" t="str">
        <f aca="false">TRIM(IF(D1168="UNMAPPED","Program not mapped. ","")&amp;IF(OR(K1168="UNMAPPED",K1168="UNASSIGNED"),"Category needs review. ","")&amp;IF(P1168="UNMAPPED","Title not mapped. ","")&amp;IF(AND(P1168&lt;&gt;"No staff time",R1168=""),"Missing hours. ","")&amp;IF(M1168="","Date not readable. ","")&amp;IF(N1168="No","Outside fiscal year. ","")&amp;IF(AND(F1168="Event",ISNUMBER(R1168)),IF(R1168&gt;12,"Event hours look high. ",""),"")&amp;IF(G1168&gt;0,"See CONFIRM sheet.",""))</f>
        <v/>
      </c>
      <c r="AB1168" s="1" t="n">
        <f aca="false">IF(N1168="No",0,IF(REVIEW!O1168=0,0,IF(G1168&gt;0,IF(INDEX(CONFIRM!$J$5:$J$53,G1168)&lt;&gt;"",INDEX(CONFIRM!$J$5:$J$53,G1168),1),1)))</f>
        <v>1</v>
      </c>
      <c r="AC1168" s="1" t="n">
        <f aca="false">IF(AB1168=1,IF(COUNTIFS($B$5:B1168,B1168,$D$5:D1168,D1168,$AB$5:AB1168,1)=1,1,0),0)</f>
        <v>0</v>
      </c>
    </row>
    <row r="1169" customFormat="false" ht="15" hidden="false" customHeight="false" outlineLevel="0" collapsed="false">
      <c r="A1169" s="48" t="str">
        <f aca="false">STACK!A1169</f>
        <v>WCH-0062</v>
      </c>
      <c r="B1169" s="48" t="str">
        <f aca="false">STACK!B1169</f>
        <v>WCH</v>
      </c>
      <c r="C1169" s="48" t="str">
        <f aca="false">STACK!E1169</f>
        <v>diabetes prevention class</v>
      </c>
      <c r="D1169" s="1" t="str">
        <f aca="false">IFERROR(INDEX(MAP!$J$7:$J$101,MATCH(TRIM(C1169),MAP!$I$7:$I$101,0)),"UNMAPPED")</f>
        <v>Diabetes Prevention Classes</v>
      </c>
      <c r="E1169" s="1" t="str">
        <f aca="false">IFERROR(INDEX(MAP!$K$7:$K$101,MATCH(TRIM(C1169),MAP!$I$7:$I$101,0)),"")</f>
        <v>Chronic disease prevention</v>
      </c>
      <c r="F1169" s="1" t="str">
        <f aca="false">IFERROR(INDEX(MAP!$L$7:$L$101,MATCH(TRIM(C1169),MAP!$I$7:$I$101,0)),"")</f>
        <v>Event</v>
      </c>
      <c r="G1169" s="1" t="n">
        <f aca="false">IFERROR(MATCH(A1169,CONFIRM!$A$5:$A$53,0),0)</f>
        <v>0</v>
      </c>
      <c r="H1169" s="48" t="str">
        <f aca="false">STACK!F1169</f>
        <v>community health improvement services</v>
      </c>
      <c r="I1169" s="1" t="str">
        <f aca="false">IF(G1169&gt;0,IF(INDEX(CONFIRM!$I$5:$I$53,G1169)&lt;&gt;"",INDEX(CONFIRM!$I$5:$I$53,G1169),H1169),H1169)</f>
        <v>community health improvement services</v>
      </c>
      <c r="J1169" s="1" t="str">
        <f aca="false">IFERROR(INDEX(MAP!$F$7:$F$74,MATCH(TRIM(I1169),MAP!$E$7:$E$74,0)),"UNMAPPED")</f>
        <v>Community health education</v>
      </c>
      <c r="K1169" s="1" t="str">
        <f aca="false">IFERROR(INDEX(MAP!$G$7:$G$74,MATCH(TRIM(I1169),MAP!$E$7:$E$74,0)),"UNMAPPED")</f>
        <v>7e</v>
      </c>
      <c r="L1169" s="49" t="str">
        <f aca="false">STACK!G1169</f>
        <v>9/27/25</v>
      </c>
      <c r="M1169" s="59" t="n">
        <f aca="false">IF(G1169&gt;0,IF(INDEX(CONFIRM!$G$5:$G$53,G1169)&lt;&gt;"",INDEX(CONFIRM!$G$5:$G$53,G1169),IF(ISNUMBER(L1169),L1169,IFERROR(DATEVALUE(L1169),""))),IF(ISNUMBER(L1169),L1169,IFERROR(DATEVALUE(L1169),"")))</f>
        <v>45927</v>
      </c>
      <c r="N1169" s="1" t="str">
        <f aca="false">IF(M1169="","Check",IF(AND(M1169&gt;=INPUTS!$C$6,M1169&lt;=INPUTS!$C$7),"Yes","No"))</f>
        <v>Yes</v>
      </c>
      <c r="O1169" s="48" t="str">
        <f aca="false">STACK!H1169</f>
        <v>Community Educator</v>
      </c>
      <c r="P1169" s="1" t="str">
        <f aca="false">IF(G1169&gt;0,IF(INDEX(CONFIRM!$H$5:$H$53,G1169)&lt;&gt;"",INDEX(CONFIRM!$H$5:$H$53,G1169),IFERROR(INDEX(MAP!$B$7:$B$156,MATCH(TRIM(O1169),MAP!$A$7:$A$156,0)),"UNMAPPED")),IFERROR(INDEX(MAP!$B$7:$B$156,MATCH(TRIM(O1169),MAP!$A$7:$A$156,0)),"UNMAPPED"))</f>
        <v>Health Educator</v>
      </c>
      <c r="Q1169" s="48" t="n">
        <f aca="false">STACK!I1169</f>
        <v>2.5</v>
      </c>
      <c r="R1169" s="60" t="n">
        <f aca="false">IF(G1169&gt;0,IF(INDEX(CONFIRM!$F$5:$F$53,G1169)&lt;&gt;"",INDEX(CONFIRM!$F$5:$F$53,G1169),IF(ISNUMBER(Q1169),Q1169,IF(Q1169="","",IFERROR(VALUE(TRIM(SUBSTITUTE(SUBSTITUTE(LOWER(Q1169),"hrs",""),"hr",""))),"")))),IF(ISNUMBER(Q1169),Q1169,IF(Q1169="","",IFERROR(VALUE(TRIM(SUBSTITUTE(SUBSTITUTE(LOWER(Q1169),"hrs",""),"hr",""))),""))))</f>
        <v>2.5</v>
      </c>
      <c r="S1169" s="57" t="n">
        <f aca="false">IFERROR(INDEX(RATES!$E$6:$E$28,MATCH(P1169,RATES!$A$6:$A$28,0)),0)</f>
        <v>37.265</v>
      </c>
      <c r="T1169" s="61" t="n">
        <f aca="false">IF(ISNUMBER(R1169),R1169,0)*S1169</f>
        <v>93.1625</v>
      </c>
      <c r="U1169" s="61" t="n">
        <f aca="false">T1169*INDEX(INPUTS!$H$10:$H$14,MATCH(B1169,INPUTS!$A$10:$A$14,0))</f>
        <v>13.1359125</v>
      </c>
      <c r="V1169" s="61" t="n">
        <f aca="false">N(STACK!K1169)</f>
        <v>120</v>
      </c>
      <c r="W1169" s="61" t="n">
        <f aca="false">T1169+U1169+V1169</f>
        <v>226.2984125</v>
      </c>
      <c r="X1169" s="61" t="n">
        <f aca="false">N(STACK!L1169)</f>
        <v>0</v>
      </c>
      <c r="Y1169" s="61" t="n">
        <f aca="false">W1169-X1169</f>
        <v>226.2984125</v>
      </c>
      <c r="Z1169" s="1" t="n">
        <f aca="false">N(STACK!J1169)</f>
        <v>9</v>
      </c>
      <c r="AA1169" s="1" t="str">
        <f aca="false">TRIM(IF(D1169="UNMAPPED","Program not mapped. ","")&amp;IF(OR(K1169="UNMAPPED",K1169="UNASSIGNED"),"Category needs review. ","")&amp;IF(P1169="UNMAPPED","Title not mapped. ","")&amp;IF(AND(P1169&lt;&gt;"No staff time",R1169=""),"Missing hours. ","")&amp;IF(M1169="","Date not readable. ","")&amp;IF(N1169="No","Outside fiscal year. ","")&amp;IF(AND(F1169="Event",ISNUMBER(R1169)),IF(R1169&gt;12,"Event hours look high. ",""),"")&amp;IF(G1169&gt;0,"See CONFIRM sheet.",""))</f>
        <v/>
      </c>
      <c r="AB1169" s="1" t="n">
        <f aca="false">IF(N1169="No",0,IF(REVIEW!O1169=0,0,IF(G1169&gt;0,IF(INDEX(CONFIRM!$J$5:$J$53,G1169)&lt;&gt;"",INDEX(CONFIRM!$J$5:$J$53,G1169),1),1)))</f>
        <v>1</v>
      </c>
      <c r="AC1169" s="1" t="n">
        <f aca="false">IF(AB1169=1,IF(COUNTIFS($B$5:B1169,B1169,$D$5:D1169,D1169,$AB$5:AB1169,1)=1,1,0),0)</f>
        <v>0</v>
      </c>
    </row>
    <row r="1170" customFormat="false" ht="15" hidden="false" customHeight="false" outlineLevel="0" collapsed="false">
      <c r="A1170" s="48" t="str">
        <f aca="false">STACK!A1170</f>
        <v>WCH-0063</v>
      </c>
      <c r="B1170" s="48" t="str">
        <f aca="false">STACK!B1170</f>
        <v>WCH</v>
      </c>
      <c r="C1170" s="48" t="str">
        <f aca="false">STACK!E1170</f>
        <v>diabetes prevention class</v>
      </c>
      <c r="D1170" s="1" t="str">
        <f aca="false">IFERROR(INDEX(MAP!$J$7:$J$101,MATCH(TRIM(C1170),MAP!$I$7:$I$101,0)),"UNMAPPED")</f>
        <v>Diabetes Prevention Classes</v>
      </c>
      <c r="E1170" s="1" t="str">
        <f aca="false">IFERROR(INDEX(MAP!$K$7:$K$101,MATCH(TRIM(C1170),MAP!$I$7:$I$101,0)),"")</f>
        <v>Chronic disease prevention</v>
      </c>
      <c r="F1170" s="1" t="str">
        <f aca="false">IFERROR(INDEX(MAP!$L$7:$L$101,MATCH(TRIM(C1170),MAP!$I$7:$I$101,0)),"")</f>
        <v>Event</v>
      </c>
      <c r="G1170" s="1" t="n">
        <f aca="false">IFERROR(MATCH(A1170,CONFIRM!$A$5:$A$53,0),0)</f>
        <v>0</v>
      </c>
      <c r="H1170" s="48" t="str">
        <f aca="false">STACK!F1170</f>
        <v>community health improvement services</v>
      </c>
      <c r="I1170" s="1" t="str">
        <f aca="false">IF(G1170&gt;0,IF(INDEX(CONFIRM!$I$5:$I$53,G1170)&lt;&gt;"",INDEX(CONFIRM!$I$5:$I$53,G1170),H1170),H1170)</f>
        <v>community health improvement services</v>
      </c>
      <c r="J1170" s="1" t="str">
        <f aca="false">IFERROR(INDEX(MAP!$F$7:$F$74,MATCH(TRIM(I1170),MAP!$E$7:$E$74,0)),"UNMAPPED")</f>
        <v>Community health education</v>
      </c>
      <c r="K1170" s="1" t="str">
        <f aca="false">IFERROR(INDEX(MAP!$G$7:$G$74,MATCH(TRIM(I1170),MAP!$E$7:$E$74,0)),"UNMAPPED")</f>
        <v>7e</v>
      </c>
      <c r="L1170" s="49" t="str">
        <f aca="false">STACK!G1170</f>
        <v>9/27/25</v>
      </c>
      <c r="M1170" s="59" t="n">
        <f aca="false">IF(G1170&gt;0,IF(INDEX(CONFIRM!$G$5:$G$53,G1170)&lt;&gt;"",INDEX(CONFIRM!$G$5:$G$53,G1170),IF(ISNUMBER(L1170),L1170,IFERROR(DATEVALUE(L1170),""))),IF(ISNUMBER(L1170),L1170,IFERROR(DATEVALUE(L1170),"")))</f>
        <v>45927</v>
      </c>
      <c r="N1170" s="1" t="str">
        <f aca="false">IF(M1170="","Check",IF(AND(M1170&gt;=INPUTS!$C$6,M1170&lt;=INPUTS!$C$7),"Yes","No"))</f>
        <v>Yes</v>
      </c>
      <c r="O1170" s="48" t="str">
        <f aca="false">STACK!H1170</f>
        <v>Registered Dietitian</v>
      </c>
      <c r="P1170" s="1" t="str">
        <f aca="false">IF(G1170&gt;0,IF(INDEX(CONFIRM!$H$5:$H$53,G1170)&lt;&gt;"",INDEX(CONFIRM!$H$5:$H$53,G1170),IFERROR(INDEX(MAP!$B$7:$B$156,MATCH(TRIM(O1170),MAP!$A$7:$A$156,0)),"UNMAPPED")),IFERROR(INDEX(MAP!$B$7:$B$156,MATCH(TRIM(O1170),MAP!$A$7:$A$156,0)),"UNMAPPED"))</f>
        <v>Registered Dietitian</v>
      </c>
      <c r="Q1170" s="48" t="n">
        <f aca="false">STACK!I1170</f>
        <v>1.5</v>
      </c>
      <c r="R1170" s="60" t="n">
        <f aca="false">IF(G1170&gt;0,IF(INDEX(CONFIRM!$F$5:$F$53,G1170)&lt;&gt;"",INDEX(CONFIRM!$F$5:$F$53,G1170),IF(ISNUMBER(Q1170),Q1170,IF(Q1170="","",IFERROR(VALUE(TRIM(SUBSTITUTE(SUBSTITUTE(LOWER(Q1170),"hrs",""),"hr",""))),"")))),IF(ISNUMBER(Q1170),Q1170,IF(Q1170="","",IFERROR(VALUE(TRIM(SUBSTITUTE(SUBSTITUTE(LOWER(Q1170),"hrs",""),"hr",""))),""))))</f>
        <v>1.5</v>
      </c>
      <c r="S1170" s="57" t="n">
        <f aca="false">IFERROR(INDEX(RATES!$E$6:$E$28,MATCH(P1170,RATES!$A$6:$A$28,0)),0)</f>
        <v>46.9025</v>
      </c>
      <c r="T1170" s="61" t="n">
        <f aca="false">IF(ISNUMBER(R1170),R1170,0)*S1170</f>
        <v>70.35375</v>
      </c>
      <c r="U1170" s="61" t="n">
        <f aca="false">T1170*INDEX(INPUTS!$H$10:$H$14,MATCH(B1170,INPUTS!$A$10:$A$14,0))</f>
        <v>9.91987875</v>
      </c>
      <c r="V1170" s="61" t="n">
        <f aca="false">N(STACK!K1170)</f>
        <v>0</v>
      </c>
      <c r="W1170" s="61" t="n">
        <f aca="false">T1170+U1170+V1170</f>
        <v>80.27362875</v>
      </c>
      <c r="X1170" s="61" t="n">
        <f aca="false">N(STACK!L1170)</f>
        <v>0</v>
      </c>
      <c r="Y1170" s="61" t="n">
        <f aca="false">W1170-X1170</f>
        <v>80.27362875</v>
      </c>
      <c r="Z1170" s="1" t="n">
        <f aca="false">N(STACK!J1170)</f>
        <v>0</v>
      </c>
      <c r="AA1170" s="1" t="str">
        <f aca="false">TRIM(IF(D1170="UNMAPPED","Program not mapped. ","")&amp;IF(OR(K1170="UNMAPPED",K1170="UNASSIGNED"),"Category needs review. ","")&amp;IF(P1170="UNMAPPED","Title not mapped. ","")&amp;IF(AND(P1170&lt;&gt;"No staff time",R1170=""),"Missing hours. ","")&amp;IF(M1170="","Date not readable. ","")&amp;IF(N1170="No","Outside fiscal year. ","")&amp;IF(AND(F1170="Event",ISNUMBER(R1170)),IF(R1170&gt;12,"Event hours look high. ",""),"")&amp;IF(G1170&gt;0,"See CONFIRM sheet.",""))</f>
        <v/>
      </c>
      <c r="AB1170" s="1" t="n">
        <f aca="false">IF(N1170="No",0,IF(REVIEW!O1170=0,0,IF(G1170&gt;0,IF(INDEX(CONFIRM!$J$5:$J$53,G1170)&lt;&gt;"",INDEX(CONFIRM!$J$5:$J$53,G1170),1),1)))</f>
        <v>1</v>
      </c>
      <c r="AC1170" s="1" t="n">
        <f aca="false">IF(AB1170=1,IF(COUNTIFS($B$5:B1170,B1170,$D$5:D1170,D1170,$AB$5:AB1170,1)=1,1,0),0)</f>
        <v>0</v>
      </c>
    </row>
    <row r="1171" customFormat="false" ht="15" hidden="false" customHeight="false" outlineLevel="0" collapsed="false">
      <c r="A1171" s="48" t="str">
        <f aca="false">STACK!A1171</f>
        <v>WCH-0064</v>
      </c>
      <c r="B1171" s="48" t="str">
        <f aca="false">STACK!B1171</f>
        <v>WCH</v>
      </c>
      <c r="C1171" s="48" t="str">
        <f aca="false">STACK!E1171</f>
        <v>car seat check</v>
      </c>
      <c r="D1171" s="1" t="str">
        <f aca="false">IFERROR(INDEX(MAP!$J$7:$J$101,MATCH(TRIM(C1171),MAP!$I$7:$I$101,0)),"UNMAPPED")</f>
        <v>Car Seat Safety Checks</v>
      </c>
      <c r="E1171" s="1" t="str">
        <f aca="false">IFERROR(INDEX(MAP!$K$7:$K$101,MATCH(TRIM(C1171),MAP!$I$7:$I$101,0)),"")</f>
        <v>Maternal and child health</v>
      </c>
      <c r="F1171" s="1" t="str">
        <f aca="false">IFERROR(INDEX(MAP!$L$7:$L$101,MATCH(TRIM(C1171),MAP!$I$7:$I$101,0)),"")</f>
        <v>Event</v>
      </c>
      <c r="G1171" s="1" t="n">
        <f aca="false">IFERROR(MATCH(A1171,CONFIRM!$A$5:$A$53,0),0)</f>
        <v>0</v>
      </c>
      <c r="H1171" s="48" t="str">
        <f aca="false">STACK!F1171</f>
        <v>community health improvement services</v>
      </c>
      <c r="I1171" s="1" t="str">
        <f aca="false">IF(G1171&gt;0,IF(INDEX(CONFIRM!$I$5:$I$53,G1171)&lt;&gt;"",INDEX(CONFIRM!$I$5:$I$53,G1171),H1171),H1171)</f>
        <v>community health improvement services</v>
      </c>
      <c r="J1171" s="1" t="str">
        <f aca="false">IFERROR(INDEX(MAP!$F$7:$F$74,MATCH(TRIM(I1171),MAP!$E$7:$E$74,0)),"UNMAPPED")</f>
        <v>Community health education</v>
      </c>
      <c r="K1171" s="1" t="str">
        <f aca="false">IFERROR(INDEX(MAP!$G$7:$G$74,MATCH(TRIM(I1171),MAP!$E$7:$E$74,0)),"UNMAPPED")</f>
        <v>7e</v>
      </c>
      <c r="L1171" s="49" t="str">
        <f aca="false">STACK!G1171</f>
        <v>9/27/25</v>
      </c>
      <c r="M1171" s="59" t="n">
        <f aca="false">IF(G1171&gt;0,IF(INDEX(CONFIRM!$G$5:$G$53,G1171)&lt;&gt;"",INDEX(CONFIRM!$G$5:$G$53,G1171),IF(ISNUMBER(L1171),L1171,IFERROR(DATEVALUE(L1171),""))),IF(ISNUMBER(L1171),L1171,IFERROR(DATEVALUE(L1171),"")))</f>
        <v>45927</v>
      </c>
      <c r="N1171" s="1" t="str">
        <f aca="false">IF(M1171="","Check",IF(AND(M1171&gt;=INPUTS!$C$6,M1171&lt;=INPUTS!$C$7),"Yes","No"))</f>
        <v>Yes</v>
      </c>
      <c r="O1171" s="48" t="str">
        <f aca="false">STACK!H1171</f>
        <v>Flight Paramedic</v>
      </c>
      <c r="P1171" s="1" t="str">
        <f aca="false">IF(G1171&gt;0,IF(INDEX(CONFIRM!$H$5:$H$53,G1171)&lt;&gt;"",INDEX(CONFIRM!$H$5:$H$53,G1171),IFERROR(INDEX(MAP!$B$7:$B$156,MATCH(TRIM(O1171),MAP!$A$7:$A$156,0)),"UNMAPPED")),IFERROR(INDEX(MAP!$B$7:$B$156,MATCH(TRIM(O1171),MAP!$A$7:$A$156,0)),"UNMAPPED"))</f>
        <v>Paramedic</v>
      </c>
      <c r="Q1171" s="48" t="n">
        <f aca="false">STACK!I1171</f>
        <v>4</v>
      </c>
      <c r="R1171" s="60" t="n">
        <f aca="false">IF(G1171&gt;0,IF(INDEX(CONFIRM!$F$5:$F$53,G1171)&lt;&gt;"",INDEX(CONFIRM!$F$5:$F$53,G1171),IF(ISNUMBER(Q1171),Q1171,IF(Q1171="","",IFERROR(VALUE(TRIM(SUBSTITUTE(SUBSTITUTE(LOWER(Q1171),"hrs",""),"hr",""))),"")))),IF(ISNUMBER(Q1171),Q1171,IF(Q1171="","",IFERROR(VALUE(TRIM(SUBSTITUTE(SUBSTITUTE(LOWER(Q1171),"hrs",""),"hr",""))),""))))</f>
        <v>4</v>
      </c>
      <c r="S1171" s="57" t="n">
        <f aca="false">IFERROR(INDEX(RATES!$E$6:$E$28,MATCH(P1171,RATES!$A$6:$A$28,0)),0)</f>
        <v>34.695</v>
      </c>
      <c r="T1171" s="61" t="n">
        <f aca="false">IF(ISNUMBER(R1171),R1171,0)*S1171</f>
        <v>138.78</v>
      </c>
      <c r="U1171" s="61" t="n">
        <f aca="false">T1171*INDEX(INPUTS!$H$10:$H$14,MATCH(B1171,INPUTS!$A$10:$A$14,0))</f>
        <v>19.56798</v>
      </c>
      <c r="V1171" s="61" t="n">
        <f aca="false">N(STACK!K1171)</f>
        <v>865</v>
      </c>
      <c r="W1171" s="61" t="n">
        <f aca="false">T1171+U1171+V1171</f>
        <v>1023.34798</v>
      </c>
      <c r="X1171" s="61" t="n">
        <f aca="false">N(STACK!L1171)</f>
        <v>100</v>
      </c>
      <c r="Y1171" s="61" t="n">
        <f aca="false">W1171-X1171</f>
        <v>923.34798</v>
      </c>
      <c r="Z1171" s="1" t="n">
        <f aca="false">N(STACK!J1171)</f>
        <v>22</v>
      </c>
      <c r="AA1171" s="1" t="str">
        <f aca="false">TRIM(IF(D1171="UNMAPPED","Program not mapped. ","")&amp;IF(OR(K1171="UNMAPPED",K1171="UNASSIGNED"),"Category needs review. ","")&amp;IF(P1171="UNMAPPED","Title not mapped. ","")&amp;IF(AND(P1171&lt;&gt;"No staff time",R1171=""),"Missing hours. ","")&amp;IF(M1171="","Date not readable. ","")&amp;IF(N1171="No","Outside fiscal year. ","")&amp;IF(AND(F1171="Event",ISNUMBER(R1171)),IF(R1171&gt;12,"Event hours look high. ",""),"")&amp;IF(G1171&gt;0,"See CONFIRM sheet.",""))</f>
        <v/>
      </c>
      <c r="AB1171" s="1" t="n">
        <f aca="false">IF(N1171="No",0,IF(REVIEW!O1171=0,0,IF(G1171&gt;0,IF(INDEX(CONFIRM!$J$5:$J$53,G1171)&lt;&gt;"",INDEX(CONFIRM!$J$5:$J$53,G1171),1),1)))</f>
        <v>1</v>
      </c>
      <c r="AC1171" s="1" t="n">
        <f aca="false">IF(AB1171=1,IF(COUNTIFS($B$5:B1171,B1171,$D$5:D1171,D1171,$AB$5:AB1171,1)=1,1,0),0)</f>
        <v>0</v>
      </c>
    </row>
    <row r="1172" customFormat="false" ht="15" hidden="false" customHeight="false" outlineLevel="0" collapsed="false">
      <c r="A1172" s="48" t="str">
        <f aca="false">STACK!A1172</f>
        <v>WCH-0065</v>
      </c>
      <c r="B1172" s="48" t="str">
        <f aca="false">STACK!B1172</f>
        <v>WCH</v>
      </c>
      <c r="C1172" s="48" t="str">
        <f aca="false">STACK!E1172</f>
        <v>car seat check</v>
      </c>
      <c r="D1172" s="1" t="str">
        <f aca="false">IFERROR(INDEX(MAP!$J$7:$J$101,MATCH(TRIM(C1172),MAP!$I$7:$I$101,0)),"UNMAPPED")</f>
        <v>Car Seat Safety Checks</v>
      </c>
      <c r="E1172" s="1" t="str">
        <f aca="false">IFERROR(INDEX(MAP!$K$7:$K$101,MATCH(TRIM(C1172),MAP!$I$7:$I$101,0)),"")</f>
        <v>Maternal and child health</v>
      </c>
      <c r="F1172" s="1" t="str">
        <f aca="false">IFERROR(INDEX(MAP!$L$7:$L$101,MATCH(TRIM(C1172),MAP!$I$7:$I$101,0)),"")</f>
        <v>Event</v>
      </c>
      <c r="G1172" s="1" t="n">
        <f aca="false">IFERROR(MATCH(A1172,CONFIRM!$A$5:$A$53,0),0)</f>
        <v>0</v>
      </c>
      <c r="H1172" s="48" t="str">
        <f aca="false">STACK!F1172</f>
        <v>community health improvement services</v>
      </c>
      <c r="I1172" s="1" t="str">
        <f aca="false">IF(G1172&gt;0,IF(INDEX(CONFIRM!$I$5:$I$53,G1172)&lt;&gt;"",INDEX(CONFIRM!$I$5:$I$53,G1172),H1172),H1172)</f>
        <v>community health improvement services</v>
      </c>
      <c r="J1172" s="1" t="str">
        <f aca="false">IFERROR(INDEX(MAP!$F$7:$F$74,MATCH(TRIM(I1172),MAP!$E$7:$E$74,0)),"UNMAPPED")</f>
        <v>Community health education</v>
      </c>
      <c r="K1172" s="1" t="str">
        <f aca="false">IFERROR(INDEX(MAP!$G$7:$G$74,MATCH(TRIM(I1172),MAP!$E$7:$E$74,0)),"UNMAPPED")</f>
        <v>7e</v>
      </c>
      <c r="L1172" s="49" t="n">
        <f aca="false">STACK!G1172</f>
        <v>45927</v>
      </c>
      <c r="M1172" s="59" t="n">
        <f aca="false">IF(G1172&gt;0,IF(INDEX(CONFIRM!$G$5:$G$53,G1172)&lt;&gt;"",INDEX(CONFIRM!$G$5:$G$53,G1172),IF(ISNUMBER(L1172),L1172,IFERROR(DATEVALUE(L1172),""))),IF(ISNUMBER(L1172),L1172,IFERROR(DATEVALUE(L1172),"")))</f>
        <v>45927</v>
      </c>
      <c r="N1172" s="1" t="str">
        <f aca="false">IF(M1172="","Check",IF(AND(M1172&gt;=INPUTS!$C$6,M1172&lt;=INPUTS!$C$7),"Yes","No"))</f>
        <v>Yes</v>
      </c>
      <c r="O1172" s="48" t="str">
        <f aca="false">STACK!H1172</f>
        <v>RN III </v>
      </c>
      <c r="P1172" s="1" t="str">
        <f aca="false">IF(G1172&gt;0,IF(INDEX(CONFIRM!$H$5:$H$53,G1172)&lt;&gt;"",INDEX(CONFIRM!$H$5:$H$53,G1172),IFERROR(INDEX(MAP!$B$7:$B$156,MATCH(TRIM(O1172),MAP!$A$7:$A$156,0)),"UNMAPPED")),IFERROR(INDEX(MAP!$B$7:$B$156,MATCH(TRIM(O1172),MAP!$A$7:$A$156,0)),"UNMAPPED"))</f>
        <v>Registered Nurse</v>
      </c>
      <c r="Q1172" s="48" t="n">
        <f aca="false">STACK!I1172</f>
        <v>3.75</v>
      </c>
      <c r="R1172" s="60" t="n">
        <f aca="false">IF(G1172&gt;0,IF(INDEX(CONFIRM!$F$5:$F$53,G1172)&lt;&gt;"",INDEX(CONFIRM!$F$5:$F$53,G1172),IF(ISNUMBER(Q1172),Q1172,IF(Q1172="","",IFERROR(VALUE(TRIM(SUBSTITUTE(SUBSTITUTE(LOWER(Q1172),"hrs",""),"hr",""))),"")))),IF(ISNUMBER(Q1172),Q1172,IF(Q1172="","",IFERROR(VALUE(TRIM(SUBSTITUTE(SUBSTITUTE(LOWER(Q1172),"hrs",""),"hr",""))),""))))</f>
        <v>3.75</v>
      </c>
      <c r="S1172" s="57" t="n">
        <f aca="false">IFERROR(INDEX(RATES!$E$6:$E$28,MATCH(P1172,RATES!$A$6:$A$28,0)),0)</f>
        <v>55.8975</v>
      </c>
      <c r="T1172" s="61" t="n">
        <f aca="false">IF(ISNUMBER(R1172),R1172,0)*S1172</f>
        <v>209.615625</v>
      </c>
      <c r="U1172" s="61" t="n">
        <f aca="false">T1172*INDEX(INPUTS!$H$10:$H$14,MATCH(B1172,INPUTS!$A$10:$A$14,0))</f>
        <v>29.555803125</v>
      </c>
      <c r="V1172" s="61" t="n">
        <f aca="false">N(STACK!K1172)</f>
        <v>0</v>
      </c>
      <c r="W1172" s="61" t="n">
        <f aca="false">T1172+U1172+V1172</f>
        <v>239.171428125</v>
      </c>
      <c r="X1172" s="61" t="n">
        <f aca="false">N(STACK!L1172)</f>
        <v>0</v>
      </c>
      <c r="Y1172" s="61" t="n">
        <f aca="false">W1172-X1172</f>
        <v>239.171428125</v>
      </c>
      <c r="Z1172" s="1" t="n">
        <f aca="false">N(STACK!J1172)</f>
        <v>0</v>
      </c>
      <c r="AA1172" s="1" t="str">
        <f aca="false">TRIM(IF(D1172="UNMAPPED","Program not mapped. ","")&amp;IF(OR(K1172="UNMAPPED",K1172="UNASSIGNED"),"Category needs review. ","")&amp;IF(P1172="UNMAPPED","Title not mapped. ","")&amp;IF(AND(P1172&lt;&gt;"No staff time",R1172=""),"Missing hours. ","")&amp;IF(M1172="","Date not readable. ","")&amp;IF(N1172="No","Outside fiscal year. ","")&amp;IF(AND(F1172="Event",ISNUMBER(R1172)),IF(R1172&gt;12,"Event hours look high. ",""),"")&amp;IF(G1172&gt;0,"See CONFIRM sheet.",""))</f>
        <v/>
      </c>
      <c r="AB1172" s="1" t="n">
        <f aca="false">IF(N1172="No",0,IF(REVIEW!O1172=0,0,IF(G1172&gt;0,IF(INDEX(CONFIRM!$J$5:$J$53,G1172)&lt;&gt;"",INDEX(CONFIRM!$J$5:$J$53,G1172),1),1)))</f>
        <v>1</v>
      </c>
      <c r="AC1172" s="1" t="n">
        <f aca="false">IF(AB1172=1,IF(COUNTIFS($B$5:B1172,B1172,$D$5:D1172,D1172,$AB$5:AB1172,1)=1,1,0),0)</f>
        <v>0</v>
      </c>
    </row>
    <row r="1173" customFormat="false" ht="15" hidden="false" customHeight="false" outlineLevel="0" collapsed="false">
      <c r="A1173" s="48" t="str">
        <f aca="false">STACK!A1173</f>
        <v>WCH-0066</v>
      </c>
      <c r="B1173" s="48" t="str">
        <f aca="false">STACK!B1173</f>
        <v>WCH</v>
      </c>
      <c r="C1173" s="48" t="str">
        <f aca="false">STACK!E1173</f>
        <v>mobile van screenings</v>
      </c>
      <c r="D1173" s="1" t="str">
        <f aca="false">IFERROR(INDEX(MAP!$J$7:$J$101,MATCH(TRIM(C1173),MAP!$I$7:$I$101,0)),"UNMAPPED")</f>
        <v>Mobile Health Screening Unit</v>
      </c>
      <c r="E1173" s="1" t="str">
        <f aca="false">IFERROR(INDEX(MAP!$K$7:$K$101,MATCH(TRIM(C1173),MAP!$I$7:$I$101,0)),"")</f>
        <v>Access to care</v>
      </c>
      <c r="F1173" s="1" t="str">
        <f aca="false">IFERROR(INDEX(MAP!$L$7:$L$101,MATCH(TRIM(C1173),MAP!$I$7:$I$101,0)),"")</f>
        <v>Monthly</v>
      </c>
      <c r="G1173" s="1" t="n">
        <f aca="false">IFERROR(MATCH(A1173,CONFIRM!$A$5:$A$53,0),0)</f>
        <v>0</v>
      </c>
      <c r="H1173" s="48" t="str">
        <f aca="false">STACK!F1173</f>
        <v>CHIS clinical</v>
      </c>
      <c r="I1173" s="1" t="str">
        <f aca="false">IF(G1173&gt;0,IF(INDEX(CONFIRM!$I$5:$I$53,G1173)&lt;&gt;"",INDEX(CONFIRM!$I$5:$I$53,G1173),H1173),H1173)</f>
        <v>CHIS clinical</v>
      </c>
      <c r="J1173" s="1" t="str">
        <f aca="false">IFERROR(INDEX(MAP!$F$7:$F$74,MATCH(TRIM(I1173),MAP!$E$7:$E$74,0)),"UNMAPPED")</f>
        <v>Community-based clinical services</v>
      </c>
      <c r="K1173" s="1" t="str">
        <f aca="false">IFERROR(INDEX(MAP!$G$7:$G$74,MATCH(TRIM(I1173),MAP!$E$7:$E$74,0)),"UNMAPPED")</f>
        <v>7e</v>
      </c>
      <c r="L1173" s="49" t="str">
        <f aca="false">STACK!G1173</f>
        <v>9/30/25</v>
      </c>
      <c r="M1173" s="59" t="n">
        <f aca="false">IF(G1173&gt;0,IF(INDEX(CONFIRM!$G$5:$G$53,G1173)&lt;&gt;"",INDEX(CONFIRM!$G$5:$G$53,G1173),IF(ISNUMBER(L1173),L1173,IFERROR(DATEVALUE(L1173),""))),IF(ISNUMBER(L1173),L1173,IFERROR(DATEVALUE(L1173),"")))</f>
        <v>45930</v>
      </c>
      <c r="N1173" s="1" t="str">
        <f aca="false">IF(M1173="","Check",IF(AND(M1173&gt;=INPUTS!$C$6,M1173&lt;=INPUTS!$C$7),"Yes","No"))</f>
        <v>Yes</v>
      </c>
      <c r="O1173" s="48" t="str">
        <f aca="false">STACK!H1173</f>
        <v>Comm Health Worker</v>
      </c>
      <c r="P1173" s="1" t="str">
        <f aca="false">IF(G1173&gt;0,IF(INDEX(CONFIRM!$H$5:$H$53,G1173)&lt;&gt;"",INDEX(CONFIRM!$H$5:$H$53,G1173),IFERROR(INDEX(MAP!$B$7:$B$156,MATCH(TRIM(O1173),MAP!$A$7:$A$156,0)),"UNMAPPED")),IFERROR(INDEX(MAP!$B$7:$B$156,MATCH(TRIM(O1173),MAP!$A$7:$A$156,0)),"UNMAPPED"))</f>
        <v>Community Health Worker</v>
      </c>
      <c r="Q1173" s="48" t="n">
        <f aca="false">STACK!I1173</f>
        <v>45</v>
      </c>
      <c r="R1173" s="60" t="n">
        <f aca="false">IF(G1173&gt;0,IF(INDEX(CONFIRM!$F$5:$F$53,G1173)&lt;&gt;"",INDEX(CONFIRM!$F$5:$F$53,G1173),IF(ISNUMBER(Q1173),Q1173,IF(Q1173="","",IFERROR(VALUE(TRIM(SUBSTITUTE(SUBSTITUTE(LOWER(Q1173),"hrs",""),"hr",""))),"")))),IF(ISNUMBER(Q1173),Q1173,IF(Q1173="","",IFERROR(VALUE(TRIM(SUBSTITUTE(SUBSTITUTE(LOWER(Q1173),"hrs",""),"hr",""))),""))))</f>
        <v>45</v>
      </c>
      <c r="S1173" s="57" t="n">
        <f aca="false">IFERROR(INDEX(RATES!$E$6:$E$28,MATCH(P1173,RATES!$A$6:$A$28,0)),0)</f>
        <v>27.6275</v>
      </c>
      <c r="T1173" s="61" t="n">
        <f aca="false">IF(ISNUMBER(R1173),R1173,0)*S1173</f>
        <v>1243.2375</v>
      </c>
      <c r="U1173" s="61" t="n">
        <f aca="false">T1173*INDEX(INPUTS!$H$10:$H$14,MATCH(B1173,INPUTS!$A$10:$A$14,0))</f>
        <v>175.2964875</v>
      </c>
      <c r="V1173" s="61" t="n">
        <f aca="false">N(STACK!K1173)</f>
        <v>0</v>
      </c>
      <c r="W1173" s="61" t="n">
        <f aca="false">T1173+U1173+V1173</f>
        <v>1418.5339875</v>
      </c>
      <c r="X1173" s="61" t="n">
        <f aca="false">N(STACK!L1173)</f>
        <v>0</v>
      </c>
      <c r="Y1173" s="61" t="n">
        <f aca="false">W1173-X1173</f>
        <v>1418.5339875</v>
      </c>
      <c r="Z1173" s="1" t="n">
        <f aca="false">N(STACK!J1173)</f>
        <v>0</v>
      </c>
      <c r="AA1173" s="1" t="str">
        <f aca="false">TRIM(IF(D1173="UNMAPPED","Program not mapped. ","")&amp;IF(OR(K1173="UNMAPPED",K1173="UNASSIGNED"),"Category needs review. ","")&amp;IF(P1173="UNMAPPED","Title not mapped. ","")&amp;IF(AND(P1173&lt;&gt;"No staff time",R1173=""),"Missing hours. ","")&amp;IF(M1173="","Date not readable. ","")&amp;IF(N1173="No","Outside fiscal year. ","")&amp;IF(AND(F1173="Event",ISNUMBER(R1173)),IF(R1173&gt;12,"Event hours look high. ",""),"")&amp;IF(G1173&gt;0,"See CONFIRM sheet.",""))</f>
        <v/>
      </c>
      <c r="AB1173" s="1" t="n">
        <f aca="false">IF(N1173="No",0,IF(REVIEW!O1173=0,0,IF(G1173&gt;0,IF(INDEX(CONFIRM!$J$5:$J$53,G1173)&lt;&gt;"",INDEX(CONFIRM!$J$5:$J$53,G1173),1),1)))</f>
        <v>1</v>
      </c>
      <c r="AC1173" s="1" t="n">
        <f aca="false">IF(AB1173=1,IF(COUNTIFS($B$5:B1173,B1173,$D$5:D1173,D1173,$AB$5:AB1173,1)=1,1,0),0)</f>
        <v>0</v>
      </c>
    </row>
    <row r="1174" customFormat="false" ht="15" hidden="false" customHeight="false" outlineLevel="0" collapsed="false">
      <c r="A1174" s="48" t="str">
        <f aca="false">STACK!A1174</f>
        <v>WCH-0067</v>
      </c>
      <c r="B1174" s="48" t="str">
        <f aca="false">STACK!B1174</f>
        <v>WCH</v>
      </c>
      <c r="C1174" s="48" t="str">
        <f aca="false">STACK!E1174</f>
        <v>mobile van screenings</v>
      </c>
      <c r="D1174" s="1" t="str">
        <f aca="false">IFERROR(INDEX(MAP!$J$7:$J$101,MATCH(TRIM(C1174),MAP!$I$7:$I$101,0)),"UNMAPPED")</f>
        <v>Mobile Health Screening Unit</v>
      </c>
      <c r="E1174" s="1" t="str">
        <f aca="false">IFERROR(INDEX(MAP!$K$7:$K$101,MATCH(TRIM(C1174),MAP!$I$7:$I$101,0)),"")</f>
        <v>Access to care</v>
      </c>
      <c r="F1174" s="1" t="str">
        <f aca="false">IFERROR(INDEX(MAP!$L$7:$L$101,MATCH(TRIM(C1174),MAP!$I$7:$I$101,0)),"")</f>
        <v>Monthly</v>
      </c>
      <c r="G1174" s="1" t="n">
        <f aca="false">IFERROR(MATCH(A1174,CONFIRM!$A$5:$A$53,0),0)</f>
        <v>0</v>
      </c>
      <c r="H1174" s="48" t="str">
        <f aca="false">STACK!F1174</f>
        <v>CHIS clinical</v>
      </c>
      <c r="I1174" s="1" t="str">
        <f aca="false">IF(G1174&gt;0,IF(INDEX(CONFIRM!$I$5:$I$53,G1174)&lt;&gt;"",INDEX(CONFIRM!$I$5:$I$53,G1174),H1174),H1174)</f>
        <v>CHIS clinical</v>
      </c>
      <c r="J1174" s="1" t="str">
        <f aca="false">IFERROR(INDEX(MAP!$F$7:$F$74,MATCH(TRIM(I1174),MAP!$E$7:$E$74,0)),"UNMAPPED")</f>
        <v>Community-based clinical services</v>
      </c>
      <c r="K1174" s="1" t="str">
        <f aca="false">IFERROR(INDEX(MAP!$G$7:$G$74,MATCH(TRIM(I1174),MAP!$E$7:$E$74,0)),"UNMAPPED")</f>
        <v>7e</v>
      </c>
      <c r="L1174" s="49" t="n">
        <f aca="false">STACK!G1174</f>
        <v>45930</v>
      </c>
      <c r="M1174" s="59" t="n">
        <f aca="false">IF(G1174&gt;0,IF(INDEX(CONFIRM!$G$5:$G$53,G1174)&lt;&gt;"",INDEX(CONFIRM!$G$5:$G$53,G1174),IF(ISNUMBER(L1174),L1174,IFERROR(DATEVALUE(L1174),""))),IF(ISNUMBER(L1174),L1174,IFERROR(DATEVALUE(L1174),"")))</f>
        <v>45930</v>
      </c>
      <c r="N1174" s="1" t="str">
        <f aca="false">IF(M1174="","Check",IF(AND(M1174&gt;=INPUTS!$C$6,M1174&lt;=INPUTS!$C$7),"Yes","No"))</f>
        <v>Yes</v>
      </c>
      <c r="O1174" s="48" t="str">
        <f aca="false">STACK!H1174</f>
        <v>Certified Medical Assistant</v>
      </c>
      <c r="P1174" s="1" t="str">
        <f aca="false">IF(G1174&gt;0,IF(INDEX(CONFIRM!$H$5:$H$53,G1174)&lt;&gt;"",INDEX(CONFIRM!$H$5:$H$53,G1174),IFERROR(INDEX(MAP!$B$7:$B$156,MATCH(TRIM(O1174),MAP!$A$7:$A$156,0)),"UNMAPPED")),IFERROR(INDEX(MAP!$B$7:$B$156,MATCH(TRIM(O1174),MAP!$A$7:$A$156,0)),"UNMAPPED"))</f>
        <v>Medical Assistant</v>
      </c>
      <c r="Q1174" s="48" t="n">
        <f aca="false">STACK!I1174</f>
        <v>71.5</v>
      </c>
      <c r="R1174" s="60" t="n">
        <f aca="false">IF(G1174&gt;0,IF(INDEX(CONFIRM!$F$5:$F$53,G1174)&lt;&gt;"",INDEX(CONFIRM!$F$5:$F$53,G1174),IF(ISNUMBER(Q1174),Q1174,IF(Q1174="","",IFERROR(VALUE(TRIM(SUBSTITUTE(SUBSTITUTE(LOWER(Q1174),"hrs",""),"hr",""))),"")))),IF(ISNUMBER(Q1174),Q1174,IF(Q1174="","",IFERROR(VALUE(TRIM(SUBSTITUTE(SUBSTITUTE(LOWER(Q1174),"hrs",""),"hr",""))),""))))</f>
        <v>71.5</v>
      </c>
      <c r="S1174" s="57" t="n">
        <f aca="false">IFERROR(INDEX(RATES!$E$6:$E$28,MATCH(P1174,RATES!$A$6:$A$28,0)),0)</f>
        <v>25.37875</v>
      </c>
      <c r="T1174" s="61" t="n">
        <f aca="false">IF(ISNUMBER(R1174),R1174,0)*S1174</f>
        <v>1814.580625</v>
      </c>
      <c r="U1174" s="61" t="n">
        <f aca="false">T1174*INDEX(INPUTS!$H$10:$H$14,MATCH(B1174,INPUTS!$A$10:$A$14,0))</f>
        <v>255.855868125</v>
      </c>
      <c r="V1174" s="61" t="n">
        <f aca="false">N(STACK!K1174)</f>
        <v>0</v>
      </c>
      <c r="W1174" s="61" t="n">
        <f aca="false">T1174+U1174+V1174</f>
        <v>2070.436493125</v>
      </c>
      <c r="X1174" s="61" t="n">
        <f aca="false">N(STACK!L1174)</f>
        <v>0</v>
      </c>
      <c r="Y1174" s="61" t="n">
        <f aca="false">W1174-X1174</f>
        <v>2070.436493125</v>
      </c>
      <c r="Z1174" s="1" t="n">
        <f aca="false">N(STACK!J1174)</f>
        <v>0</v>
      </c>
      <c r="AA1174" s="1" t="str">
        <f aca="false">TRIM(IF(D1174="UNMAPPED","Program not mapped. ","")&amp;IF(OR(K1174="UNMAPPED",K1174="UNASSIGNED"),"Category needs review. ","")&amp;IF(P1174="UNMAPPED","Title not mapped. ","")&amp;IF(AND(P1174&lt;&gt;"No staff time",R1174=""),"Missing hours. ","")&amp;IF(M1174="","Date not readable. ","")&amp;IF(N1174="No","Outside fiscal year. ","")&amp;IF(AND(F1174="Event",ISNUMBER(R1174)),IF(R1174&gt;12,"Event hours look high. ",""),"")&amp;IF(G1174&gt;0,"See CONFIRM sheet.",""))</f>
        <v/>
      </c>
      <c r="AB1174" s="1" t="n">
        <f aca="false">IF(N1174="No",0,IF(REVIEW!O1174=0,0,IF(G1174&gt;0,IF(INDEX(CONFIRM!$J$5:$J$53,G1174)&lt;&gt;"",INDEX(CONFIRM!$J$5:$J$53,G1174),1),1)))</f>
        <v>1</v>
      </c>
      <c r="AC1174" s="1" t="n">
        <f aca="false">IF(AB1174=1,IF(COUNTIFS($B$5:B1174,B1174,$D$5:D1174,D1174,$AB$5:AB1174,1)=1,1,0),0)</f>
        <v>0</v>
      </c>
    </row>
    <row r="1175" customFormat="false" ht="15" hidden="false" customHeight="false" outlineLevel="0" collapsed="false">
      <c r="A1175" s="48" t="str">
        <f aca="false">STACK!A1175</f>
        <v>WCH-0068</v>
      </c>
      <c r="B1175" s="48" t="str">
        <f aca="false">STACK!B1175</f>
        <v>WCH</v>
      </c>
      <c r="C1175" s="48" t="str">
        <f aca="false">STACK!E1175</f>
        <v>mobile van screenings</v>
      </c>
      <c r="D1175" s="1" t="str">
        <f aca="false">IFERROR(INDEX(MAP!$J$7:$J$101,MATCH(TRIM(C1175),MAP!$I$7:$I$101,0)),"UNMAPPED")</f>
        <v>Mobile Health Screening Unit</v>
      </c>
      <c r="E1175" s="1" t="str">
        <f aca="false">IFERROR(INDEX(MAP!$K$7:$K$101,MATCH(TRIM(C1175),MAP!$I$7:$I$101,0)),"")</f>
        <v>Access to care</v>
      </c>
      <c r="F1175" s="1" t="str">
        <f aca="false">IFERROR(INDEX(MAP!$L$7:$L$101,MATCH(TRIM(C1175),MAP!$I$7:$I$101,0)),"")</f>
        <v>Monthly</v>
      </c>
      <c r="G1175" s="1" t="n">
        <f aca="false">IFERROR(MATCH(A1175,CONFIRM!$A$5:$A$53,0),0)</f>
        <v>0</v>
      </c>
      <c r="H1175" s="48" t="str">
        <f aca="false">STACK!F1175</f>
        <v>CHIS clinical</v>
      </c>
      <c r="I1175" s="1" t="str">
        <f aca="false">IF(G1175&gt;0,IF(INDEX(CONFIRM!$I$5:$I$53,G1175)&lt;&gt;"",INDEX(CONFIRM!$I$5:$I$53,G1175),H1175),H1175)</f>
        <v>CHIS clinical</v>
      </c>
      <c r="J1175" s="1" t="str">
        <f aca="false">IFERROR(INDEX(MAP!$F$7:$F$74,MATCH(TRIM(I1175),MAP!$E$7:$E$74,0)),"UNMAPPED")</f>
        <v>Community-based clinical services</v>
      </c>
      <c r="K1175" s="1" t="str">
        <f aca="false">IFERROR(INDEX(MAP!$G$7:$G$74,MATCH(TRIM(I1175),MAP!$E$7:$E$74,0)),"UNMAPPED")</f>
        <v>7e</v>
      </c>
      <c r="L1175" s="49" t="n">
        <f aca="false">STACK!G1175</f>
        <v>45930</v>
      </c>
      <c r="M1175" s="59" t="n">
        <f aca="false">IF(G1175&gt;0,IF(INDEX(CONFIRM!$G$5:$G$53,G1175)&lt;&gt;"",INDEX(CONFIRM!$G$5:$G$53,G1175),IF(ISNUMBER(L1175),L1175,IFERROR(DATEVALUE(L1175),""))),IF(ISNUMBER(L1175),L1175,IFERROR(DATEVALUE(L1175),"")))</f>
        <v>45930</v>
      </c>
      <c r="N1175" s="1" t="str">
        <f aca="false">IF(M1175="","Check",IF(AND(M1175&gt;=INPUTS!$C$6,M1175&lt;=INPUTS!$C$7),"Yes","No"))</f>
        <v>Yes</v>
      </c>
      <c r="O1175" s="48" t="str">
        <f aca="false">STACK!H1175</f>
        <v>Clinical RN</v>
      </c>
      <c r="P1175" s="1" t="str">
        <f aca="false">IF(G1175&gt;0,IF(INDEX(CONFIRM!$H$5:$H$53,G1175)&lt;&gt;"",INDEX(CONFIRM!$H$5:$H$53,G1175),IFERROR(INDEX(MAP!$B$7:$B$156,MATCH(TRIM(O1175),MAP!$A$7:$A$156,0)),"UNMAPPED")),IFERROR(INDEX(MAP!$B$7:$B$156,MATCH(TRIM(O1175),MAP!$A$7:$A$156,0)),"UNMAPPED"))</f>
        <v>Registered Nurse</v>
      </c>
      <c r="Q1175" s="48" t="n">
        <f aca="false">STACK!I1175</f>
        <v>76</v>
      </c>
      <c r="R1175" s="60" t="n">
        <f aca="false">IF(G1175&gt;0,IF(INDEX(CONFIRM!$F$5:$F$53,G1175)&lt;&gt;"",INDEX(CONFIRM!$F$5:$F$53,G1175),IF(ISNUMBER(Q1175),Q1175,IF(Q1175="","",IFERROR(VALUE(TRIM(SUBSTITUTE(SUBSTITUTE(LOWER(Q1175),"hrs",""),"hr",""))),"")))),IF(ISNUMBER(Q1175),Q1175,IF(Q1175="","",IFERROR(VALUE(TRIM(SUBSTITUTE(SUBSTITUTE(LOWER(Q1175),"hrs",""),"hr",""))),""))))</f>
        <v>76</v>
      </c>
      <c r="S1175" s="57" t="n">
        <f aca="false">IFERROR(INDEX(RATES!$E$6:$E$28,MATCH(P1175,RATES!$A$6:$A$28,0)),0)</f>
        <v>55.8975</v>
      </c>
      <c r="T1175" s="61" t="n">
        <f aca="false">IF(ISNUMBER(R1175),R1175,0)*S1175</f>
        <v>4248.21</v>
      </c>
      <c r="U1175" s="61" t="n">
        <f aca="false">T1175*INDEX(INPUTS!$H$10:$H$14,MATCH(B1175,INPUTS!$A$10:$A$14,0))</f>
        <v>598.99761</v>
      </c>
      <c r="V1175" s="61" t="n">
        <f aca="false">N(STACK!K1175)</f>
        <v>6745</v>
      </c>
      <c r="W1175" s="61" t="n">
        <f aca="false">T1175+U1175+V1175</f>
        <v>11592.20761</v>
      </c>
      <c r="X1175" s="61" t="n">
        <f aca="false">N(STACK!L1175)</f>
        <v>0</v>
      </c>
      <c r="Y1175" s="61" t="n">
        <f aca="false">W1175-X1175</f>
        <v>11592.20761</v>
      </c>
      <c r="Z1175" s="1" t="n">
        <f aca="false">N(STACK!J1175)</f>
        <v>168</v>
      </c>
      <c r="AA1175" s="1" t="str">
        <f aca="false">TRIM(IF(D1175="UNMAPPED","Program not mapped. ","")&amp;IF(OR(K1175="UNMAPPED",K1175="UNASSIGNED"),"Category needs review. ","")&amp;IF(P1175="UNMAPPED","Title not mapped. ","")&amp;IF(AND(P1175&lt;&gt;"No staff time",R1175=""),"Missing hours. ","")&amp;IF(M1175="","Date not readable. ","")&amp;IF(N1175="No","Outside fiscal year. ","")&amp;IF(AND(F1175="Event",ISNUMBER(R1175)),IF(R1175&gt;12,"Event hours look high. ",""),"")&amp;IF(G1175&gt;0,"See CONFIRM sheet.",""))</f>
        <v/>
      </c>
      <c r="AB1175" s="1" t="n">
        <f aca="false">IF(N1175="No",0,IF(REVIEW!O1175=0,0,IF(G1175&gt;0,IF(INDEX(CONFIRM!$J$5:$J$53,G1175)&lt;&gt;"",INDEX(CONFIRM!$J$5:$J$53,G1175),1),1)))</f>
        <v>1</v>
      </c>
      <c r="AC1175" s="1" t="n">
        <f aca="false">IF(AB1175=1,IF(COUNTIFS($B$5:B1175,B1175,$D$5:D1175,D1175,$AB$5:AB1175,1)=1,1,0),0)</f>
        <v>0</v>
      </c>
    </row>
    <row r="1176" customFormat="false" ht="15" hidden="false" customHeight="false" outlineLevel="0" collapsed="false">
      <c r="A1176" s="48" t="str">
        <f aca="false">STACK!A1176</f>
        <v>WCH-0069</v>
      </c>
      <c r="B1176" s="48" t="str">
        <f aca="false">STACK!B1176</f>
        <v>WCH</v>
      </c>
      <c r="C1176" s="48" t="str">
        <f aca="false">STACK!E1176</f>
        <v>chw outreach</v>
      </c>
      <c r="D1176" s="1" t="str">
        <f aca="false">IFERROR(INDEX(MAP!$J$7:$J$101,MATCH(TRIM(C1176),MAP!$I$7:$I$101,0)),"UNMAPPED")</f>
        <v>Community Health Worker Outreach</v>
      </c>
      <c r="E1176" s="1" t="str">
        <f aca="false">IFERROR(INDEX(MAP!$K$7:$K$101,MATCH(TRIM(C1176),MAP!$I$7:$I$101,0)),"")</f>
        <v>Access to care</v>
      </c>
      <c r="F1176" s="1" t="str">
        <f aca="false">IFERROR(INDEX(MAP!$L$7:$L$101,MATCH(TRIM(C1176),MAP!$I$7:$I$101,0)),"")</f>
        <v>Monthly</v>
      </c>
      <c r="G1176" s="1" t="n">
        <f aca="false">IFERROR(MATCH(A1176,CONFIRM!$A$5:$A$53,0),0)</f>
        <v>0</v>
      </c>
      <c r="H1176" s="48" t="str">
        <f aca="false">STACK!F1176</f>
        <v>CHIS support</v>
      </c>
      <c r="I1176" s="1" t="str">
        <f aca="false">IF(G1176&gt;0,IF(INDEX(CONFIRM!$I$5:$I$53,G1176)&lt;&gt;"",INDEX(CONFIRM!$I$5:$I$53,G1176),H1176),H1176)</f>
        <v>CHIS support</v>
      </c>
      <c r="J1176" s="1" t="str">
        <f aca="false">IFERROR(INDEX(MAP!$F$7:$F$74,MATCH(TRIM(I1176),MAP!$E$7:$E$74,0)),"UNMAPPED")</f>
        <v>Health care support services</v>
      </c>
      <c r="K1176" s="1" t="str">
        <f aca="false">IFERROR(INDEX(MAP!$G$7:$G$74,MATCH(TRIM(I1176),MAP!$E$7:$E$74,0)),"UNMAPPED")</f>
        <v>7e</v>
      </c>
      <c r="L1176" s="49" t="n">
        <f aca="false">STACK!G1176</f>
        <v>45930</v>
      </c>
      <c r="M1176" s="59" t="n">
        <f aca="false">IF(G1176&gt;0,IF(INDEX(CONFIRM!$G$5:$G$53,G1176)&lt;&gt;"",INDEX(CONFIRM!$G$5:$G$53,G1176),IF(ISNUMBER(L1176),L1176,IFERROR(DATEVALUE(L1176),""))),IF(ISNUMBER(L1176),L1176,IFERROR(DATEVALUE(L1176),"")))</f>
        <v>45930</v>
      </c>
      <c r="N1176" s="1" t="str">
        <f aca="false">IF(M1176="","Check",IF(AND(M1176&gt;=INPUTS!$C$6,M1176&lt;=INPUTS!$C$7),"Yes","No"))</f>
        <v>Yes</v>
      </c>
      <c r="O1176" s="48" t="str">
        <f aca="false">STACK!H1176</f>
        <v>CHW II</v>
      </c>
      <c r="P1176" s="1" t="str">
        <f aca="false">IF(G1176&gt;0,IF(INDEX(CONFIRM!$H$5:$H$53,G1176)&lt;&gt;"",INDEX(CONFIRM!$H$5:$H$53,G1176),IFERROR(INDEX(MAP!$B$7:$B$156,MATCH(TRIM(O1176),MAP!$A$7:$A$156,0)),"UNMAPPED")),IFERROR(INDEX(MAP!$B$7:$B$156,MATCH(TRIM(O1176),MAP!$A$7:$A$156,0)),"UNMAPPED"))</f>
        <v>Community Health Worker</v>
      </c>
      <c r="Q1176" s="48" t="n">
        <f aca="false">STACK!I1176</f>
        <v>274</v>
      </c>
      <c r="R1176" s="60" t="n">
        <f aca="false">IF(G1176&gt;0,IF(INDEX(CONFIRM!$F$5:$F$53,G1176)&lt;&gt;"",INDEX(CONFIRM!$F$5:$F$53,G1176),IF(ISNUMBER(Q1176),Q1176,IF(Q1176="","",IFERROR(VALUE(TRIM(SUBSTITUTE(SUBSTITUTE(LOWER(Q1176),"hrs",""),"hr",""))),"")))),IF(ISNUMBER(Q1176),Q1176,IF(Q1176="","",IFERROR(VALUE(TRIM(SUBSTITUTE(SUBSTITUTE(LOWER(Q1176),"hrs",""),"hr",""))),""))))</f>
        <v>274</v>
      </c>
      <c r="S1176" s="57" t="n">
        <f aca="false">IFERROR(INDEX(RATES!$E$6:$E$28,MATCH(P1176,RATES!$A$6:$A$28,0)),0)</f>
        <v>27.6275</v>
      </c>
      <c r="T1176" s="61" t="n">
        <f aca="false">IF(ISNUMBER(R1176),R1176,0)*S1176</f>
        <v>7569.935</v>
      </c>
      <c r="U1176" s="61" t="n">
        <f aca="false">T1176*INDEX(INPUTS!$H$10:$H$14,MATCH(B1176,INPUTS!$A$10:$A$14,0))</f>
        <v>1067.360835</v>
      </c>
      <c r="V1176" s="61" t="n">
        <f aca="false">N(STACK!K1176)</f>
        <v>1275</v>
      </c>
      <c r="W1176" s="61" t="n">
        <f aca="false">T1176+U1176+V1176</f>
        <v>9912.295835</v>
      </c>
      <c r="X1176" s="61" t="n">
        <f aca="false">N(STACK!L1176)</f>
        <v>0</v>
      </c>
      <c r="Y1176" s="61" t="n">
        <f aca="false">W1176-X1176</f>
        <v>9912.295835</v>
      </c>
      <c r="Z1176" s="1" t="n">
        <f aca="false">N(STACK!J1176)</f>
        <v>369</v>
      </c>
      <c r="AA1176" s="1" t="str">
        <f aca="false">TRIM(IF(D1176="UNMAPPED","Program not mapped. ","")&amp;IF(OR(K1176="UNMAPPED",K1176="UNASSIGNED"),"Category needs review. ","")&amp;IF(P1176="UNMAPPED","Title not mapped. ","")&amp;IF(AND(P1176&lt;&gt;"No staff time",R1176=""),"Missing hours. ","")&amp;IF(M1176="","Date not readable. ","")&amp;IF(N1176="No","Outside fiscal year. ","")&amp;IF(AND(F1176="Event",ISNUMBER(R1176)),IF(R1176&gt;12,"Event hours look high. ",""),"")&amp;IF(G1176&gt;0,"See CONFIRM sheet.",""))</f>
        <v/>
      </c>
      <c r="AB1176" s="1" t="n">
        <f aca="false">IF(N1176="No",0,IF(REVIEW!O1176=0,0,IF(G1176&gt;0,IF(INDEX(CONFIRM!$J$5:$J$53,G1176)&lt;&gt;"",INDEX(CONFIRM!$J$5:$J$53,G1176),1),1)))</f>
        <v>1</v>
      </c>
      <c r="AC1176" s="1" t="n">
        <f aca="false">IF(AB1176=1,IF(COUNTIFS($B$5:B1176,B1176,$D$5:D1176,D1176,$AB$5:AB1176,1)=1,1,0),0)</f>
        <v>0</v>
      </c>
    </row>
    <row r="1177" customFormat="false" ht="15" hidden="false" customHeight="false" outlineLevel="0" collapsed="false">
      <c r="A1177" s="48" t="str">
        <f aca="false">STACK!A1177</f>
        <v>WCH-0070</v>
      </c>
      <c r="B1177" s="48" t="str">
        <f aca="false">STACK!B1177</f>
        <v>WCH</v>
      </c>
      <c r="C1177" s="48" t="str">
        <f aca="false">STACK!E1177</f>
        <v>chw outreach</v>
      </c>
      <c r="D1177" s="1" t="str">
        <f aca="false">IFERROR(INDEX(MAP!$J$7:$J$101,MATCH(TRIM(C1177),MAP!$I$7:$I$101,0)),"UNMAPPED")</f>
        <v>Community Health Worker Outreach</v>
      </c>
      <c r="E1177" s="1" t="str">
        <f aca="false">IFERROR(INDEX(MAP!$K$7:$K$101,MATCH(TRIM(C1177),MAP!$I$7:$I$101,0)),"")</f>
        <v>Access to care</v>
      </c>
      <c r="F1177" s="1" t="str">
        <f aca="false">IFERROR(INDEX(MAP!$L$7:$L$101,MATCH(TRIM(C1177),MAP!$I$7:$I$101,0)),"")</f>
        <v>Monthly</v>
      </c>
      <c r="G1177" s="1" t="n">
        <f aca="false">IFERROR(MATCH(A1177,CONFIRM!$A$5:$A$53,0),0)</f>
        <v>0</v>
      </c>
      <c r="H1177" s="48" t="str">
        <f aca="false">STACK!F1177</f>
        <v>CHIS support</v>
      </c>
      <c r="I1177" s="1" t="str">
        <f aca="false">IF(G1177&gt;0,IF(INDEX(CONFIRM!$I$5:$I$53,G1177)&lt;&gt;"",INDEX(CONFIRM!$I$5:$I$53,G1177),H1177),H1177)</f>
        <v>CHIS support</v>
      </c>
      <c r="J1177" s="1" t="str">
        <f aca="false">IFERROR(INDEX(MAP!$F$7:$F$74,MATCH(TRIM(I1177),MAP!$E$7:$E$74,0)),"UNMAPPED")</f>
        <v>Health care support services</v>
      </c>
      <c r="K1177" s="1" t="str">
        <f aca="false">IFERROR(INDEX(MAP!$G$7:$G$74,MATCH(TRIM(I1177),MAP!$E$7:$E$74,0)),"UNMAPPED")</f>
        <v>7e</v>
      </c>
      <c r="L1177" s="49" t="n">
        <f aca="false">STACK!G1177</f>
        <v>45930</v>
      </c>
      <c r="M1177" s="59" t="n">
        <f aca="false">IF(G1177&gt;0,IF(INDEX(CONFIRM!$G$5:$G$53,G1177)&lt;&gt;"",INDEX(CONFIRM!$G$5:$G$53,G1177),IF(ISNUMBER(L1177),L1177,IFERROR(DATEVALUE(L1177),""))),IF(ISNUMBER(L1177),L1177,IFERROR(DATEVALUE(L1177),"")))</f>
        <v>45930</v>
      </c>
      <c r="N1177" s="1" t="str">
        <f aca="false">IF(M1177="","Check",IF(AND(M1177&gt;=INPUTS!$C$6,M1177&lt;=INPUTS!$C$7),"Yes","No"))</f>
        <v>Yes</v>
      </c>
      <c r="O1177" s="48" t="str">
        <f aca="false">STACK!H1177</f>
        <v>Nurse Navigator</v>
      </c>
      <c r="P1177" s="1" t="str">
        <f aca="false">IF(G1177&gt;0,IF(INDEX(CONFIRM!$H$5:$H$53,G1177)&lt;&gt;"",INDEX(CONFIRM!$H$5:$H$53,G1177),IFERROR(INDEX(MAP!$B$7:$B$156,MATCH(TRIM(O1177),MAP!$A$7:$A$156,0)),"UNMAPPED")),IFERROR(INDEX(MAP!$B$7:$B$156,MATCH(TRIM(O1177),MAP!$A$7:$A$156,0)),"UNMAPPED"))</f>
        <v>Patient Navigator</v>
      </c>
      <c r="Q1177" s="48" t="n">
        <f aca="false">STACK!I1177</f>
        <v>114.75</v>
      </c>
      <c r="R1177" s="60" t="n">
        <f aca="false">IF(G1177&gt;0,IF(INDEX(CONFIRM!$F$5:$F$53,G1177)&lt;&gt;"",INDEX(CONFIRM!$F$5:$F$53,G1177),IF(ISNUMBER(Q1177),Q1177,IF(Q1177="","",IFERROR(VALUE(TRIM(SUBSTITUTE(SUBSTITUTE(LOWER(Q1177),"hrs",""),"hr",""))),"")))),IF(ISNUMBER(Q1177),Q1177,IF(Q1177="","",IFERROR(VALUE(TRIM(SUBSTITUTE(SUBSTITUTE(LOWER(Q1177),"hrs",""),"hr",""))),""))))</f>
        <v>114.75</v>
      </c>
      <c r="S1177" s="57" t="n">
        <f aca="false">IFERROR(INDEX(RATES!$E$6:$E$28,MATCH(P1177,RATES!$A$6:$A$28,0)),0)</f>
        <v>30.84</v>
      </c>
      <c r="T1177" s="61" t="n">
        <f aca="false">IF(ISNUMBER(R1177),R1177,0)*S1177</f>
        <v>3538.89</v>
      </c>
      <c r="U1177" s="61" t="n">
        <f aca="false">T1177*INDEX(INPUTS!$H$10:$H$14,MATCH(B1177,INPUTS!$A$10:$A$14,0))</f>
        <v>498.98349</v>
      </c>
      <c r="V1177" s="61" t="n">
        <f aca="false">N(STACK!K1177)</f>
        <v>0</v>
      </c>
      <c r="W1177" s="61" t="n">
        <f aca="false">T1177+U1177+V1177</f>
        <v>4037.87349</v>
      </c>
      <c r="X1177" s="61" t="n">
        <f aca="false">N(STACK!L1177)</f>
        <v>0</v>
      </c>
      <c r="Y1177" s="61" t="n">
        <f aca="false">W1177-X1177</f>
        <v>4037.87349</v>
      </c>
      <c r="Z1177" s="1" t="n">
        <f aca="false">N(STACK!J1177)</f>
        <v>0</v>
      </c>
      <c r="AA1177" s="1" t="str">
        <f aca="false">TRIM(IF(D1177="UNMAPPED","Program not mapped. ","")&amp;IF(OR(K1177="UNMAPPED",K1177="UNASSIGNED"),"Category needs review. ","")&amp;IF(P1177="UNMAPPED","Title not mapped. ","")&amp;IF(AND(P1177&lt;&gt;"No staff time",R1177=""),"Missing hours. ","")&amp;IF(M1177="","Date not readable. ","")&amp;IF(N1177="No","Outside fiscal year. ","")&amp;IF(AND(F1177="Event",ISNUMBER(R1177)),IF(R1177&gt;12,"Event hours look high. ",""),"")&amp;IF(G1177&gt;0,"See CONFIRM sheet.",""))</f>
        <v/>
      </c>
      <c r="AB1177" s="1" t="n">
        <f aca="false">IF(N1177="No",0,IF(REVIEW!O1177=0,0,IF(G1177&gt;0,IF(INDEX(CONFIRM!$J$5:$J$53,G1177)&lt;&gt;"",INDEX(CONFIRM!$J$5:$J$53,G1177),1),1)))</f>
        <v>1</v>
      </c>
      <c r="AC1177" s="1" t="n">
        <f aca="false">IF(AB1177=1,IF(COUNTIFS($B$5:B1177,B1177,$D$5:D1177,D1177,$AB$5:AB1177,1)=1,1,0),0)</f>
        <v>0</v>
      </c>
    </row>
    <row r="1178" customFormat="false" ht="15" hidden="false" customHeight="false" outlineLevel="0" collapsed="false">
      <c r="A1178" s="48" t="str">
        <f aca="false">STACK!A1178</f>
        <v>WCH-0071</v>
      </c>
      <c r="B1178" s="48" t="str">
        <f aca="false">STACK!B1178</f>
        <v>WCH</v>
      </c>
      <c r="C1178" s="48" t="str">
        <f aca="false">STACK!E1178</f>
        <v>produce prescription</v>
      </c>
      <c r="D1178" s="1" t="str">
        <f aca="false">IFERROR(INDEX(MAP!$J$7:$J$101,MATCH(TRIM(C1178),MAP!$I$7:$I$101,0)),"UNMAPPED")</f>
        <v>Produce Prescription Program</v>
      </c>
      <c r="E1178" s="1" t="str">
        <f aca="false">IFERROR(INDEX(MAP!$K$7:$K$101,MATCH(TRIM(C1178),MAP!$I$7:$I$101,0)),"")</f>
        <v>Food and housing security</v>
      </c>
      <c r="F1178" s="1" t="str">
        <f aca="false">IFERROR(INDEX(MAP!$L$7:$L$101,MATCH(TRIM(C1178),MAP!$I$7:$I$101,0)),"")</f>
        <v>Monthly</v>
      </c>
      <c r="G1178" s="1" t="n">
        <f aca="false">IFERROR(MATCH(A1178,CONFIRM!$A$5:$A$53,0),0)</f>
        <v>0</v>
      </c>
      <c r="H1178" s="48" t="str">
        <f aca="false">STACK!F1178</f>
        <v>CHIS support</v>
      </c>
      <c r="I1178" s="1" t="str">
        <f aca="false">IF(G1178&gt;0,IF(INDEX(CONFIRM!$I$5:$I$53,G1178)&lt;&gt;"",INDEX(CONFIRM!$I$5:$I$53,G1178),H1178),H1178)</f>
        <v>CHIS support</v>
      </c>
      <c r="J1178" s="1" t="str">
        <f aca="false">IFERROR(INDEX(MAP!$F$7:$F$74,MATCH(TRIM(I1178),MAP!$E$7:$E$74,0)),"UNMAPPED")</f>
        <v>Health care support services</v>
      </c>
      <c r="K1178" s="1" t="str">
        <f aca="false">IFERROR(INDEX(MAP!$G$7:$G$74,MATCH(TRIM(I1178),MAP!$E$7:$E$74,0)),"UNMAPPED")</f>
        <v>7e</v>
      </c>
      <c r="L1178" s="49" t="n">
        <f aca="false">STACK!G1178</f>
        <v>45930</v>
      </c>
      <c r="M1178" s="59" t="n">
        <f aca="false">IF(G1178&gt;0,IF(INDEX(CONFIRM!$G$5:$G$53,G1178)&lt;&gt;"",INDEX(CONFIRM!$G$5:$G$53,G1178),IF(ISNUMBER(L1178),L1178,IFERROR(DATEVALUE(L1178),""))),IF(ISNUMBER(L1178),L1178,IFERROR(DATEVALUE(L1178),"")))</f>
        <v>45930</v>
      </c>
      <c r="N1178" s="1" t="str">
        <f aca="false">IF(M1178="","Check",IF(AND(M1178&gt;=INPUTS!$C$6,M1178&lt;=INPUTS!$C$7),"Yes","No"))</f>
        <v>Yes</v>
      </c>
      <c r="O1178" s="48" t="str">
        <f aca="false">STACK!H1178</f>
        <v>CHW</v>
      </c>
      <c r="P1178" s="1" t="str">
        <f aca="false">IF(G1178&gt;0,IF(INDEX(CONFIRM!$H$5:$H$53,G1178)&lt;&gt;"",INDEX(CONFIRM!$H$5:$H$53,G1178),IFERROR(INDEX(MAP!$B$7:$B$156,MATCH(TRIM(O1178),MAP!$A$7:$A$156,0)),"UNMAPPED")),IFERROR(INDEX(MAP!$B$7:$B$156,MATCH(TRIM(O1178),MAP!$A$7:$A$156,0)),"UNMAPPED"))</f>
        <v>Community Health Worker</v>
      </c>
      <c r="Q1178" s="48" t="n">
        <f aca="false">STACK!I1178</f>
        <v>46.25</v>
      </c>
      <c r="R1178" s="60" t="n">
        <f aca="false">IF(G1178&gt;0,IF(INDEX(CONFIRM!$F$5:$F$53,G1178)&lt;&gt;"",INDEX(CONFIRM!$F$5:$F$53,G1178),IF(ISNUMBER(Q1178),Q1178,IF(Q1178="","",IFERROR(VALUE(TRIM(SUBSTITUTE(SUBSTITUTE(LOWER(Q1178),"hrs",""),"hr",""))),"")))),IF(ISNUMBER(Q1178),Q1178,IF(Q1178="","",IFERROR(VALUE(TRIM(SUBSTITUTE(SUBSTITUTE(LOWER(Q1178),"hrs",""),"hr",""))),""))))</f>
        <v>46.25</v>
      </c>
      <c r="S1178" s="57" t="n">
        <f aca="false">IFERROR(INDEX(RATES!$E$6:$E$28,MATCH(P1178,RATES!$A$6:$A$28,0)),0)</f>
        <v>27.6275</v>
      </c>
      <c r="T1178" s="61" t="n">
        <f aca="false">IF(ISNUMBER(R1178),R1178,0)*S1178</f>
        <v>1277.771875</v>
      </c>
      <c r="U1178" s="61" t="n">
        <f aca="false">T1178*INDEX(INPUTS!$H$10:$H$14,MATCH(B1178,INPUTS!$A$10:$A$14,0))</f>
        <v>180.165834375</v>
      </c>
      <c r="V1178" s="61" t="n">
        <f aca="false">N(STACK!K1178)</f>
        <v>0</v>
      </c>
      <c r="W1178" s="61" t="n">
        <f aca="false">T1178+U1178+V1178</f>
        <v>1457.937709375</v>
      </c>
      <c r="X1178" s="61" t="n">
        <f aca="false">N(STACK!L1178)</f>
        <v>0</v>
      </c>
      <c r="Y1178" s="61" t="n">
        <f aca="false">W1178-X1178</f>
        <v>1457.937709375</v>
      </c>
      <c r="Z1178" s="1" t="n">
        <f aca="false">N(STACK!J1178)</f>
        <v>0</v>
      </c>
      <c r="AA1178" s="1" t="str">
        <f aca="false">TRIM(IF(D1178="UNMAPPED","Program not mapped. ","")&amp;IF(OR(K1178="UNMAPPED",K1178="UNASSIGNED"),"Category needs review. ","")&amp;IF(P1178="UNMAPPED","Title not mapped. ","")&amp;IF(AND(P1178&lt;&gt;"No staff time",R1178=""),"Missing hours. ","")&amp;IF(M1178="","Date not readable. ","")&amp;IF(N1178="No","Outside fiscal year. ","")&amp;IF(AND(F1178="Event",ISNUMBER(R1178)),IF(R1178&gt;12,"Event hours look high. ",""),"")&amp;IF(G1178&gt;0,"See CONFIRM sheet.",""))</f>
        <v/>
      </c>
      <c r="AB1178" s="1" t="n">
        <f aca="false">IF(N1178="No",0,IF(REVIEW!O1178=0,0,IF(G1178&gt;0,IF(INDEX(CONFIRM!$J$5:$J$53,G1178)&lt;&gt;"",INDEX(CONFIRM!$J$5:$J$53,G1178),1),1)))</f>
        <v>1</v>
      </c>
      <c r="AC1178" s="1" t="n">
        <f aca="false">IF(AB1178=1,IF(COUNTIFS($B$5:B1178,B1178,$D$5:D1178,D1178,$AB$5:AB1178,1)=1,1,0),0)</f>
        <v>0</v>
      </c>
    </row>
    <row r="1179" customFormat="false" ht="15" hidden="false" customHeight="false" outlineLevel="0" collapsed="false">
      <c r="A1179" s="48" t="str">
        <f aca="false">STACK!A1179</f>
        <v>WCH-0072</v>
      </c>
      <c r="B1179" s="48" t="str">
        <f aca="false">STACK!B1179</f>
        <v>WCH</v>
      </c>
      <c r="C1179" s="48" t="str">
        <f aca="false">STACK!E1179</f>
        <v>produce prescription</v>
      </c>
      <c r="D1179" s="1" t="str">
        <f aca="false">IFERROR(INDEX(MAP!$J$7:$J$101,MATCH(TRIM(C1179),MAP!$I$7:$I$101,0)),"UNMAPPED")</f>
        <v>Produce Prescription Program</v>
      </c>
      <c r="E1179" s="1" t="str">
        <f aca="false">IFERROR(INDEX(MAP!$K$7:$K$101,MATCH(TRIM(C1179),MAP!$I$7:$I$101,0)),"")</f>
        <v>Food and housing security</v>
      </c>
      <c r="F1179" s="1" t="str">
        <f aca="false">IFERROR(INDEX(MAP!$L$7:$L$101,MATCH(TRIM(C1179),MAP!$I$7:$I$101,0)),"")</f>
        <v>Monthly</v>
      </c>
      <c r="G1179" s="1" t="n">
        <f aca="false">IFERROR(MATCH(A1179,CONFIRM!$A$5:$A$53,0),0)</f>
        <v>0</v>
      </c>
      <c r="H1179" s="48" t="str">
        <f aca="false">STACK!F1179</f>
        <v>CHIS support</v>
      </c>
      <c r="I1179" s="1" t="str">
        <f aca="false">IF(G1179&gt;0,IF(INDEX(CONFIRM!$I$5:$I$53,G1179)&lt;&gt;"",INDEX(CONFIRM!$I$5:$I$53,G1179),H1179),H1179)</f>
        <v>CHIS support</v>
      </c>
      <c r="J1179" s="1" t="str">
        <f aca="false">IFERROR(INDEX(MAP!$F$7:$F$74,MATCH(TRIM(I1179),MAP!$E$7:$E$74,0)),"UNMAPPED")</f>
        <v>Health care support services</v>
      </c>
      <c r="K1179" s="1" t="str">
        <f aca="false">IFERROR(INDEX(MAP!$G$7:$G$74,MATCH(TRIM(I1179),MAP!$E$7:$E$74,0)),"UNMAPPED")</f>
        <v>7e</v>
      </c>
      <c r="L1179" s="49" t="n">
        <f aca="false">STACK!G1179</f>
        <v>45930</v>
      </c>
      <c r="M1179" s="59" t="n">
        <f aca="false">IF(G1179&gt;0,IF(INDEX(CONFIRM!$G$5:$G$53,G1179)&lt;&gt;"",INDEX(CONFIRM!$G$5:$G$53,G1179),IF(ISNUMBER(L1179),L1179,IFERROR(DATEVALUE(L1179),""))),IF(ISNUMBER(L1179),L1179,IFERROR(DATEVALUE(L1179),"")))</f>
        <v>45930</v>
      </c>
      <c r="N1179" s="1" t="str">
        <f aca="false">IF(M1179="","Check",IF(AND(M1179&gt;=INPUTS!$C$6,M1179&lt;=INPUTS!$C$7),"Yes","No"))</f>
        <v>Yes</v>
      </c>
      <c r="O1179" s="48" t="str">
        <f aca="false">STACK!H1179</f>
        <v>RDN</v>
      </c>
      <c r="P1179" s="1" t="str">
        <f aca="false">IF(G1179&gt;0,IF(INDEX(CONFIRM!$H$5:$H$53,G1179)&lt;&gt;"",INDEX(CONFIRM!$H$5:$H$53,G1179),IFERROR(INDEX(MAP!$B$7:$B$156,MATCH(TRIM(O1179),MAP!$A$7:$A$156,0)),"UNMAPPED")),IFERROR(INDEX(MAP!$B$7:$B$156,MATCH(TRIM(O1179),MAP!$A$7:$A$156,0)),"UNMAPPED"))</f>
        <v>Registered Dietitian</v>
      </c>
      <c r="Q1179" s="48" t="n">
        <f aca="false">STACK!I1179</f>
        <v>20</v>
      </c>
      <c r="R1179" s="60" t="n">
        <f aca="false">IF(G1179&gt;0,IF(INDEX(CONFIRM!$F$5:$F$53,G1179)&lt;&gt;"",INDEX(CONFIRM!$F$5:$F$53,G1179),IF(ISNUMBER(Q1179),Q1179,IF(Q1179="","",IFERROR(VALUE(TRIM(SUBSTITUTE(SUBSTITUTE(LOWER(Q1179),"hrs",""),"hr",""))),"")))),IF(ISNUMBER(Q1179),Q1179,IF(Q1179="","",IFERROR(VALUE(TRIM(SUBSTITUTE(SUBSTITUTE(LOWER(Q1179),"hrs",""),"hr",""))),""))))</f>
        <v>20</v>
      </c>
      <c r="S1179" s="57" t="n">
        <f aca="false">IFERROR(INDEX(RATES!$E$6:$E$28,MATCH(P1179,RATES!$A$6:$A$28,0)),0)</f>
        <v>46.9025</v>
      </c>
      <c r="T1179" s="61" t="n">
        <f aca="false">IF(ISNUMBER(R1179),R1179,0)*S1179</f>
        <v>938.05</v>
      </c>
      <c r="U1179" s="61" t="n">
        <f aca="false">T1179*INDEX(INPUTS!$H$10:$H$14,MATCH(B1179,INPUTS!$A$10:$A$14,0))</f>
        <v>132.26505</v>
      </c>
      <c r="V1179" s="61" t="n">
        <f aca="false">N(STACK!K1179)</f>
        <v>10490</v>
      </c>
      <c r="W1179" s="61" t="n">
        <f aca="false">T1179+U1179+V1179</f>
        <v>11560.31505</v>
      </c>
      <c r="X1179" s="61" t="n">
        <f aca="false">N(STACK!L1179)</f>
        <v>4445</v>
      </c>
      <c r="Y1179" s="61" t="n">
        <f aca="false">W1179-X1179</f>
        <v>7115.31505</v>
      </c>
      <c r="Z1179" s="1" t="n">
        <f aca="false">N(STACK!J1179)</f>
        <v>75</v>
      </c>
      <c r="AA1179" s="1" t="str">
        <f aca="false">TRIM(IF(D1179="UNMAPPED","Program not mapped. ","")&amp;IF(OR(K1179="UNMAPPED",K1179="UNASSIGNED"),"Category needs review. ","")&amp;IF(P1179="UNMAPPED","Title not mapped. ","")&amp;IF(AND(P1179&lt;&gt;"No staff time",R1179=""),"Missing hours. ","")&amp;IF(M1179="","Date not readable. ","")&amp;IF(N1179="No","Outside fiscal year. ","")&amp;IF(AND(F1179="Event",ISNUMBER(R1179)),IF(R1179&gt;12,"Event hours look high. ",""),"")&amp;IF(G1179&gt;0,"See CONFIRM sheet.",""))</f>
        <v/>
      </c>
      <c r="AB1179" s="1" t="n">
        <f aca="false">IF(N1179="No",0,IF(REVIEW!O1179=0,0,IF(G1179&gt;0,IF(INDEX(CONFIRM!$J$5:$J$53,G1179)&lt;&gt;"",INDEX(CONFIRM!$J$5:$J$53,G1179),1),1)))</f>
        <v>1</v>
      </c>
      <c r="AC1179" s="1" t="n">
        <f aca="false">IF(AB1179=1,IF(COUNTIFS($B$5:B1179,B1179,$D$5:D1179,D1179,$AB$5:AB1179,1)=1,1,0),0)</f>
        <v>0</v>
      </c>
    </row>
    <row r="1180" customFormat="false" ht="15" hidden="false" customHeight="false" outlineLevel="0" collapsed="false">
      <c r="A1180" s="48" t="str">
        <f aca="false">STACK!A1180</f>
        <v>WCH-0073</v>
      </c>
      <c r="B1180" s="48" t="str">
        <f aca="false">STACK!B1180</f>
        <v>WCH</v>
      </c>
      <c r="C1180" s="48" t="str">
        <f aca="false">STACK!E1180</f>
        <v>cb admin</v>
      </c>
      <c r="D1180" s="1" t="str">
        <f aca="false">IFERROR(INDEX(MAP!$J$7:$J$101,MATCH(TRIM(C1180),MAP!$I$7:$I$101,0)),"UNMAPPED")</f>
        <v>Community Benefit Program Administration</v>
      </c>
      <c r="E1180" s="1" t="str">
        <f aca="false">IFERROR(INDEX(MAP!$K$7:$K$101,MATCH(TRIM(C1180),MAP!$I$7:$I$101,0)),"")</f>
        <v>Community benefit infrastructure</v>
      </c>
      <c r="F1180" s="1" t="str">
        <f aca="false">IFERROR(INDEX(MAP!$L$7:$L$101,MATCH(TRIM(C1180),MAP!$I$7:$I$101,0)),"")</f>
        <v>Monthly</v>
      </c>
      <c r="G1180" s="1" t="n">
        <f aca="false">IFERROR(MATCH(A1180,CONFIRM!$A$5:$A$53,0),0)</f>
        <v>0</v>
      </c>
      <c r="H1180" s="48" t="str">
        <f aca="false">STACK!F1180</f>
        <v>cb operations</v>
      </c>
      <c r="I1180" s="1" t="str">
        <f aca="false">IF(G1180&gt;0,IF(INDEX(CONFIRM!$I$5:$I$53,G1180)&lt;&gt;"",INDEX(CONFIRM!$I$5:$I$53,G1180),H1180),H1180)</f>
        <v>cb operations</v>
      </c>
      <c r="J1180" s="1" t="str">
        <f aca="false">IFERROR(INDEX(MAP!$F$7:$F$74,MATCH(TRIM(I1180),MAP!$E$7:$E$74,0)),"UNMAPPED")</f>
        <v>Community benefit operations</v>
      </c>
      <c r="K1180" s="1" t="str">
        <f aca="false">IFERROR(INDEX(MAP!$G$7:$G$74,MATCH(TRIM(I1180),MAP!$E$7:$E$74,0)),"UNMAPPED")</f>
        <v>7e</v>
      </c>
      <c r="L1180" s="49" t="str">
        <f aca="false">STACK!G1180</f>
        <v>9/30/25</v>
      </c>
      <c r="M1180" s="59" t="n">
        <f aca="false">IF(G1180&gt;0,IF(INDEX(CONFIRM!$G$5:$G$53,G1180)&lt;&gt;"",INDEX(CONFIRM!$G$5:$G$53,G1180),IF(ISNUMBER(L1180),L1180,IFERROR(DATEVALUE(L1180),""))),IF(ISNUMBER(L1180),L1180,IFERROR(DATEVALUE(L1180),"")))</f>
        <v>45930</v>
      </c>
      <c r="N1180" s="1" t="str">
        <f aca="false">IF(M1180="","Check",IF(AND(M1180&gt;=INPUTS!$C$6,M1180&lt;=INPUTS!$C$7),"Yes","No"))</f>
        <v>Yes</v>
      </c>
      <c r="O1180" s="48" t="str">
        <f aca="false">STACK!H1180</f>
        <v>Secretary</v>
      </c>
      <c r="P1180" s="1" t="str">
        <f aca="false">IF(G1180&gt;0,IF(INDEX(CONFIRM!$H$5:$H$53,G1180)&lt;&gt;"",INDEX(CONFIRM!$H$5:$H$53,G1180),IFERROR(INDEX(MAP!$B$7:$B$156,MATCH(TRIM(O1180),MAP!$A$7:$A$156,0)),"UNMAPPED")),IFERROR(INDEX(MAP!$B$7:$B$156,MATCH(TRIM(O1180),MAP!$A$7:$A$156,0)),"UNMAPPED"))</f>
        <v>Administrative Assistant</v>
      </c>
      <c r="Q1180" s="48" t="n">
        <f aca="false">STACK!I1180</f>
        <v>36.75</v>
      </c>
      <c r="R1180" s="60" t="n">
        <f aca="false">IF(G1180&gt;0,IF(INDEX(CONFIRM!$F$5:$F$53,G1180)&lt;&gt;"",INDEX(CONFIRM!$F$5:$F$53,G1180),IF(ISNUMBER(Q1180),Q1180,IF(Q1180="","",IFERROR(VALUE(TRIM(SUBSTITUTE(SUBSTITUTE(LOWER(Q1180),"hrs",""),"hr",""))),"")))),IF(ISNUMBER(Q1180),Q1180,IF(Q1180="","",IFERROR(VALUE(TRIM(SUBSTITUTE(SUBSTITUTE(LOWER(Q1180),"hrs",""),"hr",""))),""))))</f>
        <v>36.75</v>
      </c>
      <c r="S1180" s="57" t="n">
        <f aca="false">IFERROR(INDEX(RATES!$E$6:$E$28,MATCH(P1180,RATES!$A$6:$A$28,0)),0)</f>
        <v>26.985</v>
      </c>
      <c r="T1180" s="61" t="n">
        <f aca="false">IF(ISNUMBER(R1180),R1180,0)*S1180</f>
        <v>991.69875</v>
      </c>
      <c r="U1180" s="61" t="n">
        <f aca="false">T1180*INDEX(INPUTS!$H$10:$H$14,MATCH(B1180,INPUTS!$A$10:$A$14,0))</f>
        <v>139.82952375</v>
      </c>
      <c r="V1180" s="61" t="n">
        <f aca="false">N(STACK!K1180)</f>
        <v>0</v>
      </c>
      <c r="W1180" s="61" t="n">
        <f aca="false">T1180+U1180+V1180</f>
        <v>1131.52827375</v>
      </c>
      <c r="X1180" s="61" t="n">
        <f aca="false">N(STACK!L1180)</f>
        <v>0</v>
      </c>
      <c r="Y1180" s="61" t="n">
        <f aca="false">W1180-X1180</f>
        <v>1131.52827375</v>
      </c>
      <c r="Z1180" s="1" t="n">
        <f aca="false">N(STACK!J1180)</f>
        <v>0</v>
      </c>
      <c r="AA1180" s="1" t="str">
        <f aca="false">TRIM(IF(D1180="UNMAPPED","Program not mapped. ","")&amp;IF(OR(K1180="UNMAPPED",K1180="UNASSIGNED"),"Category needs review. ","")&amp;IF(P1180="UNMAPPED","Title not mapped. ","")&amp;IF(AND(P1180&lt;&gt;"No staff time",R1180=""),"Missing hours. ","")&amp;IF(M1180="","Date not readable. ","")&amp;IF(N1180="No","Outside fiscal year. ","")&amp;IF(AND(F1180="Event",ISNUMBER(R1180)),IF(R1180&gt;12,"Event hours look high. ",""),"")&amp;IF(G1180&gt;0,"See CONFIRM sheet.",""))</f>
        <v/>
      </c>
      <c r="AB1180" s="1" t="n">
        <f aca="false">IF(N1180="No",0,IF(REVIEW!O1180=0,0,IF(G1180&gt;0,IF(INDEX(CONFIRM!$J$5:$J$53,G1180)&lt;&gt;"",INDEX(CONFIRM!$J$5:$J$53,G1180),1),1)))</f>
        <v>1</v>
      </c>
      <c r="AC1180" s="1" t="n">
        <f aca="false">IF(AB1180=1,IF(COUNTIFS($B$5:B1180,B1180,$D$5:D1180,D1180,$AB$5:AB1180,1)=1,1,0),0)</f>
        <v>0</v>
      </c>
    </row>
    <row r="1181" customFormat="false" ht="15" hidden="false" customHeight="false" outlineLevel="0" collapsed="false">
      <c r="A1181" s="48" t="str">
        <f aca="false">STACK!A1181</f>
        <v>WCH-0074</v>
      </c>
      <c r="B1181" s="48" t="str">
        <f aca="false">STACK!B1181</f>
        <v>WCH</v>
      </c>
      <c r="C1181" s="48" t="str">
        <f aca="false">STACK!E1181</f>
        <v>cb admin</v>
      </c>
      <c r="D1181" s="1" t="str">
        <f aca="false">IFERROR(INDEX(MAP!$J$7:$J$101,MATCH(TRIM(C1181),MAP!$I$7:$I$101,0)),"UNMAPPED")</f>
        <v>Community Benefit Program Administration</v>
      </c>
      <c r="E1181" s="1" t="str">
        <f aca="false">IFERROR(INDEX(MAP!$K$7:$K$101,MATCH(TRIM(C1181),MAP!$I$7:$I$101,0)),"")</f>
        <v>Community benefit infrastructure</v>
      </c>
      <c r="F1181" s="1" t="str">
        <f aca="false">IFERROR(INDEX(MAP!$L$7:$L$101,MATCH(TRIM(C1181),MAP!$I$7:$I$101,0)),"")</f>
        <v>Monthly</v>
      </c>
      <c r="G1181" s="1" t="n">
        <f aca="false">IFERROR(MATCH(A1181,CONFIRM!$A$5:$A$53,0),0)</f>
        <v>0</v>
      </c>
      <c r="H1181" s="48" t="str">
        <f aca="false">STACK!F1181</f>
        <v>cb operations</v>
      </c>
      <c r="I1181" s="1" t="str">
        <f aca="false">IF(G1181&gt;0,IF(INDEX(CONFIRM!$I$5:$I$53,G1181)&lt;&gt;"",INDEX(CONFIRM!$I$5:$I$53,G1181),H1181),H1181)</f>
        <v>cb operations</v>
      </c>
      <c r="J1181" s="1" t="str">
        <f aca="false">IFERROR(INDEX(MAP!$F$7:$F$74,MATCH(TRIM(I1181),MAP!$E$7:$E$74,0)),"UNMAPPED")</f>
        <v>Community benefit operations</v>
      </c>
      <c r="K1181" s="1" t="str">
        <f aca="false">IFERROR(INDEX(MAP!$G$7:$G$74,MATCH(TRIM(I1181),MAP!$E$7:$E$74,0)),"UNMAPPED")</f>
        <v>7e</v>
      </c>
      <c r="L1181" s="49" t="n">
        <f aca="false">STACK!G1181</f>
        <v>45930</v>
      </c>
      <c r="M1181" s="59" t="n">
        <f aca="false">IF(G1181&gt;0,IF(INDEX(CONFIRM!$G$5:$G$53,G1181)&lt;&gt;"",INDEX(CONFIRM!$G$5:$G$53,G1181),IF(ISNUMBER(L1181),L1181,IFERROR(DATEVALUE(L1181),""))),IF(ISNUMBER(L1181),L1181,IFERROR(DATEVALUE(L1181),"")))</f>
        <v>45930</v>
      </c>
      <c r="N1181" s="1" t="str">
        <f aca="false">IF(M1181="","Check",IF(AND(M1181&gt;=INPUTS!$C$6,M1181&lt;=INPUTS!$C$7),"Yes","No"))</f>
        <v>Yes</v>
      </c>
      <c r="O1181" s="48" t="str">
        <f aca="false">STACK!H1181</f>
        <v>Community Health Manager</v>
      </c>
      <c r="P1181" s="1" t="str">
        <f aca="false">IF(G1181&gt;0,IF(INDEX(CONFIRM!$H$5:$H$53,G1181)&lt;&gt;"",INDEX(CONFIRM!$H$5:$H$53,G1181),IFERROR(INDEX(MAP!$B$7:$B$156,MATCH(TRIM(O1181),MAP!$A$7:$A$156,0)),"UNMAPPED")),IFERROR(INDEX(MAP!$B$7:$B$156,MATCH(TRIM(O1181),MAP!$A$7:$A$156,0)),"UNMAPPED"))</f>
        <v>Community Benefit Manager</v>
      </c>
      <c r="Q1181" s="48" t="n">
        <f aca="false">STACK!I1181</f>
        <v>40.25</v>
      </c>
      <c r="R1181" s="60" t="n">
        <f aca="false">IF(G1181&gt;0,IF(INDEX(CONFIRM!$F$5:$F$53,G1181)&lt;&gt;"",INDEX(CONFIRM!$F$5:$F$53,G1181),IF(ISNUMBER(Q1181),Q1181,IF(Q1181="","",IFERROR(VALUE(TRIM(SUBSTITUTE(SUBSTITUTE(LOWER(Q1181),"hrs",""),"hr",""))),"")))),IF(ISNUMBER(Q1181),Q1181,IF(Q1181="","",IFERROR(VALUE(TRIM(SUBSTITUTE(SUBSTITUTE(LOWER(Q1181),"hrs",""),"hr",""))),""))))</f>
        <v>40.25</v>
      </c>
      <c r="S1181" s="57" t="n">
        <f aca="false">IFERROR(INDEX(RATES!$E$6:$E$28,MATCH(P1181,RATES!$A$6:$A$28,0)),0)</f>
        <v>59.11</v>
      </c>
      <c r="T1181" s="61" t="n">
        <f aca="false">IF(ISNUMBER(R1181),R1181,0)*S1181</f>
        <v>2379.1775</v>
      </c>
      <c r="U1181" s="61" t="n">
        <f aca="false">T1181*INDEX(INPUTS!$H$10:$H$14,MATCH(B1181,INPUTS!$A$10:$A$14,0))</f>
        <v>335.4640275</v>
      </c>
      <c r="V1181" s="61" t="n">
        <f aca="false">N(STACK!K1181)</f>
        <v>340</v>
      </c>
      <c r="W1181" s="61" t="n">
        <f aca="false">T1181+U1181+V1181</f>
        <v>3054.6415275</v>
      </c>
      <c r="X1181" s="61" t="n">
        <f aca="false">N(STACK!L1181)</f>
        <v>0</v>
      </c>
      <c r="Y1181" s="61" t="n">
        <f aca="false">W1181-X1181</f>
        <v>3054.6415275</v>
      </c>
      <c r="Z1181" s="1" t="n">
        <f aca="false">N(STACK!J1181)</f>
        <v>0</v>
      </c>
      <c r="AA1181" s="1" t="str">
        <f aca="false">TRIM(IF(D1181="UNMAPPED","Program not mapped. ","")&amp;IF(OR(K1181="UNMAPPED",K1181="UNASSIGNED"),"Category needs review. ","")&amp;IF(P1181="UNMAPPED","Title not mapped. ","")&amp;IF(AND(P1181&lt;&gt;"No staff time",R1181=""),"Missing hours. ","")&amp;IF(M1181="","Date not readable. ","")&amp;IF(N1181="No","Outside fiscal year. ","")&amp;IF(AND(F1181="Event",ISNUMBER(R1181)),IF(R1181&gt;12,"Event hours look high. ",""),"")&amp;IF(G1181&gt;0,"See CONFIRM sheet.",""))</f>
        <v/>
      </c>
      <c r="AB1181" s="1" t="n">
        <f aca="false">IF(N1181="No",0,IF(REVIEW!O1181=0,0,IF(G1181&gt;0,IF(INDEX(CONFIRM!$J$5:$J$53,G1181)&lt;&gt;"",INDEX(CONFIRM!$J$5:$J$53,G1181),1),1)))</f>
        <v>1</v>
      </c>
      <c r="AC1181" s="1" t="n">
        <f aca="false">IF(AB1181=1,IF(COUNTIFS($B$5:B1181,B1181,$D$5:D1181,D1181,$AB$5:AB1181,1)=1,1,0),0)</f>
        <v>0</v>
      </c>
    </row>
    <row r="1182" customFormat="false" ht="15" hidden="false" customHeight="false" outlineLevel="0" collapsed="false">
      <c r="A1182" s="48" t="str">
        <f aca="false">STACK!A1182</f>
        <v>WCH-0075</v>
      </c>
      <c r="B1182" s="48" t="str">
        <f aca="false">STACK!B1182</f>
        <v>WCH</v>
      </c>
      <c r="C1182" s="48" t="str">
        <f aca="false">STACK!E1182</f>
        <v>community paramedic</v>
      </c>
      <c r="D1182" s="1" t="str">
        <f aca="false">IFERROR(INDEX(MAP!$J$7:$J$101,MATCH(TRIM(C1182),MAP!$I$7:$I$101,0)),"UNMAPPED")</f>
        <v>Community Paramedic Home Visits</v>
      </c>
      <c r="E1182" s="1" t="str">
        <f aca="false">IFERROR(INDEX(MAP!$K$7:$K$101,MATCH(TRIM(C1182),MAP!$I$7:$I$101,0)),"")</f>
        <v>Access to care</v>
      </c>
      <c r="F1182" s="1" t="str">
        <f aca="false">IFERROR(INDEX(MAP!$L$7:$L$101,MATCH(TRIM(C1182),MAP!$I$7:$I$101,0)),"")</f>
        <v>Monthly</v>
      </c>
      <c r="G1182" s="1" t="n">
        <f aca="false">IFERROR(MATCH(A1182,CONFIRM!$A$5:$A$53,0),0)</f>
        <v>0</v>
      </c>
      <c r="H1182" s="48" t="str">
        <f aca="false">STACK!F1182</f>
        <v>CHIS clinical</v>
      </c>
      <c r="I1182" s="1" t="str">
        <f aca="false">IF(G1182&gt;0,IF(INDEX(CONFIRM!$I$5:$I$53,G1182)&lt;&gt;"",INDEX(CONFIRM!$I$5:$I$53,G1182),H1182),H1182)</f>
        <v>CHIS clinical</v>
      </c>
      <c r="J1182" s="1" t="str">
        <f aca="false">IFERROR(INDEX(MAP!$F$7:$F$74,MATCH(TRIM(I1182),MAP!$E$7:$E$74,0)),"UNMAPPED")</f>
        <v>Community-based clinical services</v>
      </c>
      <c r="K1182" s="1" t="str">
        <f aca="false">IFERROR(INDEX(MAP!$G$7:$G$74,MATCH(TRIM(I1182),MAP!$E$7:$E$74,0)),"UNMAPPED")</f>
        <v>7e</v>
      </c>
      <c r="L1182" s="49" t="n">
        <f aca="false">STACK!G1182</f>
        <v>45930</v>
      </c>
      <c r="M1182" s="59" t="n">
        <f aca="false">IF(G1182&gt;0,IF(INDEX(CONFIRM!$G$5:$G$53,G1182)&lt;&gt;"",INDEX(CONFIRM!$G$5:$G$53,G1182),IF(ISNUMBER(L1182),L1182,IFERROR(DATEVALUE(L1182),""))),IF(ISNUMBER(L1182),L1182,IFERROR(DATEVALUE(L1182),"")))</f>
        <v>45930</v>
      </c>
      <c r="N1182" s="1" t="str">
        <f aca="false">IF(M1182="","Check",IF(AND(M1182&gt;=INPUTS!$C$6,M1182&lt;=INPUTS!$C$7),"Yes","No"))</f>
        <v>Yes</v>
      </c>
      <c r="O1182" s="48" t="str">
        <f aca="false">STACK!H1182</f>
        <v>Paramedic </v>
      </c>
      <c r="P1182" s="1" t="str">
        <f aca="false">IF(G1182&gt;0,IF(INDEX(CONFIRM!$H$5:$H$53,G1182)&lt;&gt;"",INDEX(CONFIRM!$H$5:$H$53,G1182),IFERROR(INDEX(MAP!$B$7:$B$156,MATCH(TRIM(O1182),MAP!$A$7:$A$156,0)),"UNMAPPED")),IFERROR(INDEX(MAP!$B$7:$B$156,MATCH(TRIM(O1182),MAP!$A$7:$A$156,0)),"UNMAPPED"))</f>
        <v>Paramedic</v>
      </c>
      <c r="Q1182" s="48" t="n">
        <f aca="false">STACK!I1182</f>
        <v>75.75</v>
      </c>
      <c r="R1182" s="60" t="n">
        <f aca="false">IF(G1182&gt;0,IF(INDEX(CONFIRM!$F$5:$F$53,G1182)&lt;&gt;"",INDEX(CONFIRM!$F$5:$F$53,G1182),IF(ISNUMBER(Q1182),Q1182,IF(Q1182="","",IFERROR(VALUE(TRIM(SUBSTITUTE(SUBSTITUTE(LOWER(Q1182),"hrs",""),"hr",""))),"")))),IF(ISNUMBER(Q1182),Q1182,IF(Q1182="","",IFERROR(VALUE(TRIM(SUBSTITUTE(SUBSTITUTE(LOWER(Q1182),"hrs",""),"hr",""))),""))))</f>
        <v>75.75</v>
      </c>
      <c r="S1182" s="57" t="n">
        <f aca="false">IFERROR(INDEX(RATES!$E$6:$E$28,MATCH(P1182,RATES!$A$6:$A$28,0)),0)</f>
        <v>34.695</v>
      </c>
      <c r="T1182" s="61" t="n">
        <f aca="false">IF(ISNUMBER(R1182),R1182,0)*S1182</f>
        <v>2628.14625</v>
      </c>
      <c r="U1182" s="61" t="n">
        <f aca="false">T1182*INDEX(INPUTS!$H$10:$H$14,MATCH(B1182,INPUTS!$A$10:$A$14,0))</f>
        <v>370.56862125</v>
      </c>
      <c r="V1182" s="61" t="n">
        <f aca="false">N(STACK!K1182)</f>
        <v>1010</v>
      </c>
      <c r="W1182" s="61" t="n">
        <f aca="false">T1182+U1182+V1182</f>
        <v>4008.71487125</v>
      </c>
      <c r="X1182" s="61" t="n">
        <f aca="false">N(STACK!L1182)</f>
        <v>0</v>
      </c>
      <c r="Y1182" s="61" t="n">
        <f aca="false">W1182-X1182</f>
        <v>4008.71487125</v>
      </c>
      <c r="Z1182" s="1" t="n">
        <f aca="false">N(STACK!J1182)</f>
        <v>45</v>
      </c>
      <c r="AA1182" s="1" t="str">
        <f aca="false">TRIM(IF(D1182="UNMAPPED","Program not mapped. ","")&amp;IF(OR(K1182="UNMAPPED",K1182="UNASSIGNED"),"Category needs review. ","")&amp;IF(P1182="UNMAPPED","Title not mapped. ","")&amp;IF(AND(P1182&lt;&gt;"No staff time",R1182=""),"Missing hours. ","")&amp;IF(M1182="","Date not readable. ","")&amp;IF(N1182="No","Outside fiscal year. ","")&amp;IF(AND(F1182="Event",ISNUMBER(R1182)),IF(R1182&gt;12,"Event hours look high. ",""),"")&amp;IF(G1182&gt;0,"See CONFIRM sheet.",""))</f>
        <v/>
      </c>
      <c r="AB1182" s="1" t="n">
        <f aca="false">IF(N1182="No",0,IF(REVIEW!O1182=0,0,IF(G1182&gt;0,IF(INDEX(CONFIRM!$J$5:$J$53,G1182)&lt;&gt;"",INDEX(CONFIRM!$J$5:$J$53,G1182),1),1)))</f>
        <v>1</v>
      </c>
      <c r="AC1182" s="1" t="n">
        <f aca="false">IF(AB1182=1,IF(COUNTIFS($B$5:B1182,B1182,$D$5:D1182,D1182,$AB$5:AB1182,1)=1,1,0),0)</f>
        <v>0</v>
      </c>
    </row>
    <row r="1183" customFormat="false" ht="15" hidden="false" customHeight="false" outlineLevel="0" collapsed="false">
      <c r="A1183" s="48" t="str">
        <f aca="false">STACK!A1183</f>
        <v>WCH-0076</v>
      </c>
      <c r="B1183" s="48" t="str">
        <f aca="false">STACK!B1183</f>
        <v>WCH</v>
      </c>
      <c r="C1183" s="48" t="str">
        <f aca="false">STACK!E1183</f>
        <v>nursing students</v>
      </c>
      <c r="D1183" s="1" t="str">
        <f aca="false">IFERROR(INDEX(MAP!$J$7:$J$101,MATCH(TRIM(C1183),MAP!$I$7:$I$101,0)),"UNMAPPED")</f>
        <v>Nursing Student Clinical Rotations</v>
      </c>
      <c r="E1183" s="1" t="str">
        <f aca="false">IFERROR(INDEX(MAP!$K$7:$K$101,MATCH(TRIM(C1183),MAP!$I$7:$I$101,0)),"")</f>
        <v>Health workforce</v>
      </c>
      <c r="F1183" s="1" t="str">
        <f aca="false">IFERROR(INDEX(MAP!$L$7:$L$101,MATCH(TRIM(C1183),MAP!$I$7:$I$101,0)),"")</f>
        <v>Monthly</v>
      </c>
      <c r="G1183" s="1" t="n">
        <f aca="false">IFERROR(MATCH(A1183,CONFIRM!$A$5:$A$53,0),0)</f>
        <v>0</v>
      </c>
      <c r="H1183" s="48" t="str">
        <f aca="false">STACK!F1183</f>
        <v>health professions ed</v>
      </c>
      <c r="I1183" s="1" t="str">
        <f aca="false">IF(G1183&gt;0,IF(INDEX(CONFIRM!$I$5:$I$53,G1183)&lt;&gt;"",INDEX(CONFIRM!$I$5:$I$53,G1183),H1183),H1183)</f>
        <v>health professions ed</v>
      </c>
      <c r="J1183" s="1" t="str">
        <f aca="false">IFERROR(INDEX(MAP!$F$7:$F$74,MATCH(TRIM(I1183),MAP!$E$7:$E$74,0)),"UNMAPPED")</f>
        <v>Health professions education</v>
      </c>
      <c r="K1183" s="1" t="str">
        <f aca="false">IFERROR(INDEX(MAP!$G$7:$G$74,MATCH(TRIM(I1183),MAP!$E$7:$E$74,0)),"UNMAPPED")</f>
        <v>7f</v>
      </c>
      <c r="L1183" s="49" t="str">
        <f aca="false">STACK!G1183</f>
        <v>September 30, 2025</v>
      </c>
      <c r="M1183" s="59" t="n">
        <f aca="false">IF(G1183&gt;0,IF(INDEX(CONFIRM!$G$5:$G$53,G1183)&lt;&gt;"",INDEX(CONFIRM!$G$5:$G$53,G1183),IF(ISNUMBER(L1183),L1183,IFERROR(DATEVALUE(L1183),""))),IF(ISNUMBER(L1183),L1183,IFERROR(DATEVALUE(L1183),"")))</f>
        <v>45930</v>
      </c>
      <c r="N1183" s="1" t="str">
        <f aca="false">IF(M1183="","Check",IF(AND(M1183&gt;=INPUTS!$C$6,M1183&lt;=INPUTS!$C$7),"Yes","No"))</f>
        <v>Yes</v>
      </c>
      <c r="O1183" s="48" t="str">
        <f aca="false">STACK!H1183</f>
        <v>RN Educator </v>
      </c>
      <c r="P1183" s="1" t="str">
        <f aca="false">IF(G1183&gt;0,IF(INDEX(CONFIRM!$H$5:$H$53,G1183)&lt;&gt;"",INDEX(CONFIRM!$H$5:$H$53,G1183),IFERROR(INDEX(MAP!$B$7:$B$156,MATCH(TRIM(O1183),MAP!$A$7:$A$156,0)),"UNMAPPED")),IFERROR(INDEX(MAP!$B$7:$B$156,MATCH(TRIM(O1183),MAP!$A$7:$A$156,0)),"UNMAPPED"))</f>
        <v>Clinical Nurse Educator</v>
      </c>
      <c r="Q1183" s="48" t="n">
        <f aca="false">STACK!I1183</f>
        <v>80.75</v>
      </c>
      <c r="R1183" s="60" t="n">
        <f aca="false">IF(G1183&gt;0,IF(INDEX(CONFIRM!$F$5:$F$53,G1183)&lt;&gt;"",INDEX(CONFIRM!$F$5:$F$53,G1183),IF(ISNUMBER(Q1183),Q1183,IF(Q1183="","",IFERROR(VALUE(TRIM(SUBSTITUTE(SUBSTITUTE(LOWER(Q1183),"hrs",""),"hr",""))),"")))),IF(ISNUMBER(Q1183),Q1183,IF(Q1183="","",IFERROR(VALUE(TRIM(SUBSTITUTE(SUBSTITUTE(LOWER(Q1183),"hrs",""),"hr",""))),""))))</f>
        <v>80.75</v>
      </c>
      <c r="S1183" s="57" t="n">
        <f aca="false">IFERROR(INDEX(RATES!$E$6:$E$28,MATCH(P1183,RATES!$A$6:$A$28,0)),0)</f>
        <v>62.965</v>
      </c>
      <c r="T1183" s="61" t="n">
        <f aca="false">IF(ISNUMBER(R1183),R1183,0)*S1183</f>
        <v>5084.42375</v>
      </c>
      <c r="U1183" s="61" t="n">
        <f aca="false">T1183*INDEX(INPUTS!$H$10:$H$14,MATCH(B1183,INPUTS!$A$10:$A$14,0))</f>
        <v>716.90374875</v>
      </c>
      <c r="V1183" s="61" t="n">
        <f aca="false">N(STACK!K1183)</f>
        <v>575</v>
      </c>
      <c r="W1183" s="61" t="n">
        <f aca="false">T1183+U1183+V1183</f>
        <v>6376.32749875</v>
      </c>
      <c r="X1183" s="61" t="n">
        <f aca="false">N(STACK!L1183)</f>
        <v>0</v>
      </c>
      <c r="Y1183" s="61" t="n">
        <f aca="false">W1183-X1183</f>
        <v>6376.32749875</v>
      </c>
      <c r="Z1183" s="1" t="n">
        <f aca="false">N(STACK!J1183)</f>
        <v>22</v>
      </c>
      <c r="AA1183" s="1" t="str">
        <f aca="false">TRIM(IF(D1183="UNMAPPED","Program not mapped. ","")&amp;IF(OR(K1183="UNMAPPED",K1183="UNASSIGNED"),"Category needs review. ","")&amp;IF(P1183="UNMAPPED","Title not mapped. ","")&amp;IF(AND(P1183&lt;&gt;"No staff time",R1183=""),"Missing hours. ","")&amp;IF(M1183="","Date not readable. ","")&amp;IF(N1183="No","Outside fiscal year. ","")&amp;IF(AND(F1183="Event",ISNUMBER(R1183)),IF(R1183&gt;12,"Event hours look high. ",""),"")&amp;IF(G1183&gt;0,"See CONFIRM sheet.",""))</f>
        <v/>
      </c>
      <c r="AB1183" s="1" t="n">
        <f aca="false">IF(N1183="No",0,IF(REVIEW!O1183=0,0,IF(G1183&gt;0,IF(INDEX(CONFIRM!$J$5:$J$53,G1183)&lt;&gt;"",INDEX(CONFIRM!$J$5:$J$53,G1183),1),1)))</f>
        <v>1</v>
      </c>
      <c r="AC1183" s="1" t="n">
        <f aca="false">IF(AB1183=1,IF(COUNTIFS($B$5:B1183,B1183,$D$5:D1183,D1183,$AB$5:AB1183,1)=1,1,0),0)</f>
        <v>0</v>
      </c>
    </row>
    <row r="1184" customFormat="false" ht="15" hidden="false" customHeight="false" outlineLevel="0" collapsed="false">
      <c r="A1184" s="48" t="str">
        <f aca="false">STACK!A1184</f>
        <v>WCH-0077</v>
      </c>
      <c r="B1184" s="48" t="str">
        <f aca="false">STACK!B1184</f>
        <v>WCH</v>
      </c>
      <c r="C1184" s="48" t="str">
        <f aca="false">STACK!E1184</f>
        <v>nursing students</v>
      </c>
      <c r="D1184" s="1" t="str">
        <f aca="false">IFERROR(INDEX(MAP!$J$7:$J$101,MATCH(TRIM(C1184),MAP!$I$7:$I$101,0)),"UNMAPPED")</f>
        <v>Nursing Student Clinical Rotations</v>
      </c>
      <c r="E1184" s="1" t="str">
        <f aca="false">IFERROR(INDEX(MAP!$K$7:$K$101,MATCH(TRIM(C1184),MAP!$I$7:$I$101,0)),"")</f>
        <v>Health workforce</v>
      </c>
      <c r="F1184" s="1" t="str">
        <f aca="false">IFERROR(INDEX(MAP!$L$7:$L$101,MATCH(TRIM(C1184),MAP!$I$7:$I$101,0)),"")</f>
        <v>Monthly</v>
      </c>
      <c r="G1184" s="1" t="n">
        <f aca="false">IFERROR(MATCH(A1184,CONFIRM!$A$5:$A$53,0),0)</f>
        <v>0</v>
      </c>
      <c r="H1184" s="48" t="str">
        <f aca="false">STACK!F1184</f>
        <v>health professions ed</v>
      </c>
      <c r="I1184" s="1" t="str">
        <f aca="false">IF(G1184&gt;0,IF(INDEX(CONFIRM!$I$5:$I$53,G1184)&lt;&gt;"",INDEX(CONFIRM!$I$5:$I$53,G1184),H1184),H1184)</f>
        <v>health professions ed</v>
      </c>
      <c r="J1184" s="1" t="str">
        <f aca="false">IFERROR(INDEX(MAP!$F$7:$F$74,MATCH(TRIM(I1184),MAP!$E$7:$E$74,0)),"UNMAPPED")</f>
        <v>Health professions education</v>
      </c>
      <c r="K1184" s="1" t="str">
        <f aca="false">IFERROR(INDEX(MAP!$G$7:$G$74,MATCH(TRIM(I1184),MAP!$E$7:$E$74,0)),"UNMAPPED")</f>
        <v>7f</v>
      </c>
      <c r="L1184" s="49" t="str">
        <f aca="false">STACK!G1184</f>
        <v>9/30/25</v>
      </c>
      <c r="M1184" s="59" t="n">
        <f aca="false">IF(G1184&gt;0,IF(INDEX(CONFIRM!$G$5:$G$53,G1184)&lt;&gt;"",INDEX(CONFIRM!$G$5:$G$53,G1184),IF(ISNUMBER(L1184),L1184,IFERROR(DATEVALUE(L1184),""))),IF(ISNUMBER(L1184),L1184,IFERROR(DATEVALUE(L1184),"")))</f>
        <v>45930</v>
      </c>
      <c r="N1184" s="1" t="str">
        <f aca="false">IF(M1184="","Check",IF(AND(M1184&gt;=INPUTS!$C$6,M1184&lt;=INPUTS!$C$7),"Yes","No"))</f>
        <v>Yes</v>
      </c>
      <c r="O1184" s="48" t="str">
        <f aca="false">STACK!H1184</f>
        <v>rn ii</v>
      </c>
      <c r="P1184" s="1" t="str">
        <f aca="false">IF(G1184&gt;0,IF(INDEX(CONFIRM!$H$5:$H$53,G1184)&lt;&gt;"",INDEX(CONFIRM!$H$5:$H$53,G1184),IFERROR(INDEX(MAP!$B$7:$B$156,MATCH(TRIM(O1184),MAP!$A$7:$A$156,0)),"UNMAPPED")),IFERROR(INDEX(MAP!$B$7:$B$156,MATCH(TRIM(O1184),MAP!$A$7:$A$156,0)),"UNMAPPED"))</f>
        <v>Registered Nurse</v>
      </c>
      <c r="Q1184" s="48" t="n">
        <f aca="false">STACK!I1184</f>
        <v>118.5</v>
      </c>
      <c r="R1184" s="60" t="n">
        <f aca="false">IF(G1184&gt;0,IF(INDEX(CONFIRM!$F$5:$F$53,G1184)&lt;&gt;"",INDEX(CONFIRM!$F$5:$F$53,G1184),IF(ISNUMBER(Q1184),Q1184,IF(Q1184="","",IFERROR(VALUE(TRIM(SUBSTITUTE(SUBSTITUTE(LOWER(Q1184),"hrs",""),"hr",""))),"")))),IF(ISNUMBER(Q1184),Q1184,IF(Q1184="","",IFERROR(VALUE(TRIM(SUBSTITUTE(SUBSTITUTE(LOWER(Q1184),"hrs",""),"hr",""))),""))))</f>
        <v>118.5</v>
      </c>
      <c r="S1184" s="57" t="n">
        <f aca="false">IFERROR(INDEX(RATES!$E$6:$E$28,MATCH(P1184,RATES!$A$6:$A$28,0)),0)</f>
        <v>55.8975</v>
      </c>
      <c r="T1184" s="61" t="n">
        <f aca="false">IF(ISNUMBER(R1184),R1184,0)*S1184</f>
        <v>6623.85375</v>
      </c>
      <c r="U1184" s="61" t="n">
        <f aca="false">T1184*INDEX(INPUTS!$H$10:$H$14,MATCH(B1184,INPUTS!$A$10:$A$14,0))</f>
        <v>933.96337875</v>
      </c>
      <c r="V1184" s="61" t="n">
        <f aca="false">N(STACK!K1184)</f>
        <v>0</v>
      </c>
      <c r="W1184" s="61" t="n">
        <f aca="false">T1184+U1184+V1184</f>
        <v>7557.81712875</v>
      </c>
      <c r="X1184" s="61" t="n">
        <f aca="false">N(STACK!L1184)</f>
        <v>0</v>
      </c>
      <c r="Y1184" s="61" t="n">
        <f aca="false">W1184-X1184</f>
        <v>7557.81712875</v>
      </c>
      <c r="Z1184" s="1" t="n">
        <f aca="false">N(STACK!J1184)</f>
        <v>0</v>
      </c>
      <c r="AA1184" s="1" t="str">
        <f aca="false">TRIM(IF(D1184="UNMAPPED","Program not mapped. ","")&amp;IF(OR(K1184="UNMAPPED",K1184="UNASSIGNED"),"Category needs review. ","")&amp;IF(P1184="UNMAPPED","Title not mapped. ","")&amp;IF(AND(P1184&lt;&gt;"No staff time",R1184=""),"Missing hours. ","")&amp;IF(M1184="","Date not readable. ","")&amp;IF(N1184="No","Outside fiscal year. ","")&amp;IF(AND(F1184="Event",ISNUMBER(R1184)),IF(R1184&gt;12,"Event hours look high. ",""),"")&amp;IF(G1184&gt;0,"See CONFIRM sheet.",""))</f>
        <v/>
      </c>
      <c r="AB1184" s="1" t="n">
        <f aca="false">IF(N1184="No",0,IF(REVIEW!O1184=0,0,IF(G1184&gt;0,IF(INDEX(CONFIRM!$J$5:$J$53,G1184)&lt;&gt;"",INDEX(CONFIRM!$J$5:$J$53,G1184),1),1)))</f>
        <v>1</v>
      </c>
      <c r="AC1184" s="1" t="n">
        <f aca="false">IF(AB1184=1,IF(COUNTIFS($B$5:B1184,B1184,$D$5:D1184,D1184,$AB$5:AB1184,1)=1,1,0),0)</f>
        <v>0</v>
      </c>
    </row>
    <row r="1185" customFormat="false" ht="15" hidden="false" customHeight="false" outlineLevel="0" collapsed="false">
      <c r="A1185" s="48" t="str">
        <f aca="false">STACK!A1185</f>
        <v>WCH-0078</v>
      </c>
      <c r="B1185" s="48" t="str">
        <f aca="false">STACK!B1185</f>
        <v>WCH</v>
      </c>
      <c r="C1185" s="48" t="str">
        <f aca="false">STACK!E1185</f>
        <v>paramedic students</v>
      </c>
      <c r="D1185" s="1" t="str">
        <f aca="false">IFERROR(INDEX(MAP!$J$7:$J$101,MATCH(TRIM(C1185),MAP!$I$7:$I$101,0)),"UNMAPPED")</f>
        <v>Paramedic Student Field Training</v>
      </c>
      <c r="E1185" s="1" t="str">
        <f aca="false">IFERROR(INDEX(MAP!$K$7:$K$101,MATCH(TRIM(C1185),MAP!$I$7:$I$101,0)),"")</f>
        <v>Health workforce</v>
      </c>
      <c r="F1185" s="1" t="str">
        <f aca="false">IFERROR(INDEX(MAP!$L$7:$L$101,MATCH(TRIM(C1185),MAP!$I$7:$I$101,0)),"")</f>
        <v>Monthly</v>
      </c>
      <c r="G1185" s="1" t="n">
        <f aca="false">IFERROR(MATCH(A1185,CONFIRM!$A$5:$A$53,0),0)</f>
        <v>0</v>
      </c>
      <c r="H1185" s="48" t="str">
        <f aca="false">STACK!F1185</f>
        <v>health professions ed</v>
      </c>
      <c r="I1185" s="1" t="str">
        <f aca="false">IF(G1185&gt;0,IF(INDEX(CONFIRM!$I$5:$I$53,G1185)&lt;&gt;"",INDEX(CONFIRM!$I$5:$I$53,G1185),H1185),H1185)</f>
        <v>health professions ed</v>
      </c>
      <c r="J1185" s="1" t="str">
        <f aca="false">IFERROR(INDEX(MAP!$F$7:$F$74,MATCH(TRIM(I1185),MAP!$E$7:$E$74,0)),"UNMAPPED")</f>
        <v>Health professions education</v>
      </c>
      <c r="K1185" s="1" t="str">
        <f aca="false">IFERROR(INDEX(MAP!$G$7:$G$74,MATCH(TRIM(I1185),MAP!$E$7:$E$74,0)),"UNMAPPED")</f>
        <v>7f</v>
      </c>
      <c r="L1185" s="49" t="str">
        <f aca="false">STACK!G1185</f>
        <v>9/30/25</v>
      </c>
      <c r="M1185" s="59" t="n">
        <f aca="false">IF(G1185&gt;0,IF(INDEX(CONFIRM!$G$5:$G$53,G1185)&lt;&gt;"",INDEX(CONFIRM!$G$5:$G$53,G1185),IF(ISNUMBER(L1185),L1185,IFERROR(DATEVALUE(L1185),""))),IF(ISNUMBER(L1185),L1185,IFERROR(DATEVALUE(L1185),"")))</f>
        <v>45930</v>
      </c>
      <c r="N1185" s="1" t="str">
        <f aca="false">IF(M1185="","Check",IF(AND(M1185&gt;=INPUTS!$C$6,M1185&lt;=INPUTS!$C$7),"Yes","No"))</f>
        <v>Yes</v>
      </c>
      <c r="O1185" s="48" t="str">
        <f aca="false">STACK!H1185</f>
        <v>Flight Paramedic</v>
      </c>
      <c r="P1185" s="1" t="str">
        <f aca="false">IF(G1185&gt;0,IF(INDEX(CONFIRM!$H$5:$H$53,G1185)&lt;&gt;"",INDEX(CONFIRM!$H$5:$H$53,G1185),IFERROR(INDEX(MAP!$B$7:$B$156,MATCH(TRIM(O1185),MAP!$A$7:$A$156,0)),"UNMAPPED")),IFERROR(INDEX(MAP!$B$7:$B$156,MATCH(TRIM(O1185),MAP!$A$7:$A$156,0)),"UNMAPPED"))</f>
        <v>Paramedic</v>
      </c>
      <c r="Q1185" s="48" t="n">
        <f aca="false">STACK!I1185</f>
        <v>45.75</v>
      </c>
      <c r="R1185" s="60" t="n">
        <f aca="false">IF(G1185&gt;0,IF(INDEX(CONFIRM!$F$5:$F$53,G1185)&lt;&gt;"",INDEX(CONFIRM!$F$5:$F$53,G1185),IF(ISNUMBER(Q1185),Q1185,IF(Q1185="","",IFERROR(VALUE(TRIM(SUBSTITUTE(SUBSTITUTE(LOWER(Q1185),"hrs",""),"hr",""))),"")))),IF(ISNUMBER(Q1185),Q1185,IF(Q1185="","",IFERROR(VALUE(TRIM(SUBSTITUTE(SUBSTITUTE(LOWER(Q1185),"hrs",""),"hr",""))),""))))</f>
        <v>45.75</v>
      </c>
      <c r="S1185" s="57" t="n">
        <f aca="false">IFERROR(INDEX(RATES!$E$6:$E$28,MATCH(P1185,RATES!$A$6:$A$28,0)),0)</f>
        <v>34.695</v>
      </c>
      <c r="T1185" s="61" t="n">
        <f aca="false">IF(ISNUMBER(R1185),R1185,0)*S1185</f>
        <v>1587.29625</v>
      </c>
      <c r="U1185" s="61" t="n">
        <f aca="false">T1185*INDEX(INPUTS!$H$10:$H$14,MATCH(B1185,INPUTS!$A$10:$A$14,0))</f>
        <v>223.80877125</v>
      </c>
      <c r="V1185" s="61" t="n">
        <f aca="false">N(STACK!K1185)</f>
        <v>10</v>
      </c>
      <c r="W1185" s="61" t="n">
        <f aca="false">T1185+U1185+V1185</f>
        <v>1821.10502125</v>
      </c>
      <c r="X1185" s="61" t="n">
        <f aca="false">N(STACK!L1185)</f>
        <v>0</v>
      </c>
      <c r="Y1185" s="61" t="n">
        <f aca="false">W1185-X1185</f>
        <v>1821.10502125</v>
      </c>
      <c r="Z1185" s="1" t="n">
        <f aca="false">N(STACK!J1185)</f>
        <v>4</v>
      </c>
      <c r="AA1185" s="1" t="str">
        <f aca="false">TRIM(IF(D1185="UNMAPPED","Program not mapped. ","")&amp;IF(OR(K1185="UNMAPPED",K1185="UNASSIGNED"),"Category needs review. ","")&amp;IF(P1185="UNMAPPED","Title not mapped. ","")&amp;IF(AND(P1185&lt;&gt;"No staff time",R1185=""),"Missing hours. ","")&amp;IF(M1185="","Date not readable. ","")&amp;IF(N1185="No","Outside fiscal year. ","")&amp;IF(AND(F1185="Event",ISNUMBER(R1185)),IF(R1185&gt;12,"Event hours look high. ",""),"")&amp;IF(G1185&gt;0,"See CONFIRM sheet.",""))</f>
        <v/>
      </c>
      <c r="AB1185" s="1" t="n">
        <f aca="false">IF(N1185="No",0,IF(REVIEW!O1185=0,0,IF(G1185&gt;0,IF(INDEX(CONFIRM!$J$5:$J$53,G1185)&lt;&gt;"",INDEX(CONFIRM!$J$5:$J$53,G1185),1),1)))</f>
        <v>1</v>
      </c>
      <c r="AC1185" s="1" t="n">
        <f aca="false">IF(AB1185=1,IF(COUNTIFS($B$5:B1185,B1185,$D$5:D1185,D1185,$AB$5:AB1185,1)=1,1,0),0)</f>
        <v>0</v>
      </c>
    </row>
    <row r="1186" customFormat="false" ht="15" hidden="false" customHeight="false" outlineLevel="0" collapsed="false">
      <c r="A1186" s="48" t="str">
        <f aca="false">STACK!A1186</f>
        <v>WCH-0079</v>
      </c>
      <c r="B1186" s="48" t="str">
        <f aca="false">STACK!B1186</f>
        <v>WCH</v>
      </c>
      <c r="C1186" s="48" t="str">
        <f aca="false">STACK!E1186</f>
        <v>rural maternal study</v>
      </c>
      <c r="D1186" s="1" t="str">
        <f aca="false">IFERROR(INDEX(MAP!$J$7:$J$101,MATCH(TRIM(C1186),MAP!$I$7:$I$101,0)),"UNMAPPED")</f>
        <v>Rural Maternal Outcomes Study</v>
      </c>
      <c r="E1186" s="1" t="str">
        <f aca="false">IFERROR(INDEX(MAP!$K$7:$K$101,MATCH(TRIM(C1186),MAP!$I$7:$I$101,0)),"")</f>
        <v>Maternal and child health</v>
      </c>
      <c r="F1186" s="1" t="str">
        <f aca="false">IFERROR(INDEX(MAP!$L$7:$L$101,MATCH(TRIM(C1186),MAP!$I$7:$I$101,0)),"")</f>
        <v>Monthly</v>
      </c>
      <c r="G1186" s="1" t="n">
        <f aca="false">IFERROR(MATCH(A1186,CONFIRM!$A$5:$A$53,0),0)</f>
        <v>0</v>
      </c>
      <c r="H1186" s="48" t="str">
        <f aca="false">STACK!F1186</f>
        <v>research</v>
      </c>
      <c r="I1186" s="1" t="str">
        <f aca="false">IF(G1186&gt;0,IF(INDEX(CONFIRM!$I$5:$I$53,G1186)&lt;&gt;"",INDEX(CONFIRM!$I$5:$I$53,G1186),H1186),H1186)</f>
        <v>research</v>
      </c>
      <c r="J1186" s="1" t="str">
        <f aca="false">IFERROR(INDEX(MAP!$F$7:$F$74,MATCH(TRIM(I1186),MAP!$E$7:$E$74,0)),"UNMAPPED")</f>
        <v>Research</v>
      </c>
      <c r="K1186" s="1" t="str">
        <f aca="false">IFERROR(INDEX(MAP!$G$7:$G$74,MATCH(TRIM(I1186),MAP!$E$7:$E$74,0)),"UNMAPPED")</f>
        <v>7h</v>
      </c>
      <c r="L1186" s="49" t="str">
        <f aca="false">STACK!G1186</f>
        <v>9/30/25</v>
      </c>
      <c r="M1186" s="59" t="n">
        <f aca="false">IF(G1186&gt;0,IF(INDEX(CONFIRM!$G$5:$G$53,G1186)&lt;&gt;"",INDEX(CONFIRM!$G$5:$G$53,G1186),IF(ISNUMBER(L1186),L1186,IFERROR(DATEVALUE(L1186),""))),IF(ISNUMBER(L1186),L1186,IFERROR(DATEVALUE(L1186),"")))</f>
        <v>45930</v>
      </c>
      <c r="N1186" s="1" t="str">
        <f aca="false">IF(M1186="","Check",IF(AND(M1186&gt;=INPUTS!$C$6,M1186&lt;=INPUTS!$C$7),"Yes","No"))</f>
        <v>Yes</v>
      </c>
      <c r="O1186" s="48" t="str">
        <f aca="false">STACK!H1186</f>
        <v>Decision Support Analyst</v>
      </c>
      <c r="P1186" s="1" t="str">
        <f aca="false">IF(G1186&gt;0,IF(INDEX(CONFIRM!$H$5:$H$53,G1186)&lt;&gt;"",INDEX(CONFIRM!$H$5:$H$53,G1186),IFERROR(INDEX(MAP!$B$7:$B$156,MATCH(TRIM(O1186),MAP!$A$7:$A$156,0)),"UNMAPPED")),IFERROR(INDEX(MAP!$B$7:$B$156,MATCH(TRIM(O1186),MAP!$A$7:$A$156,0)),"UNMAPPED"))</f>
        <v>Data Analyst</v>
      </c>
      <c r="Q1186" s="48" t="n">
        <f aca="false">STACK!I1186</f>
        <v>8.5</v>
      </c>
      <c r="R1186" s="60" t="n">
        <f aca="false">IF(G1186&gt;0,IF(INDEX(CONFIRM!$F$5:$F$53,G1186)&lt;&gt;"",INDEX(CONFIRM!$F$5:$F$53,G1186),IF(ISNUMBER(Q1186),Q1186,IF(Q1186="","",IFERROR(VALUE(TRIM(SUBSTITUTE(SUBSTITUTE(LOWER(Q1186),"hrs",""),"hr",""))),"")))),IF(ISNUMBER(Q1186),Q1186,IF(Q1186="","",IFERROR(VALUE(TRIM(SUBSTITUTE(SUBSTITUTE(LOWER(Q1186),"hrs",""),"hr",""))),""))))</f>
        <v>8.5</v>
      </c>
      <c r="S1186" s="57" t="n">
        <f aca="false">IFERROR(INDEX(RATES!$E$6:$E$28,MATCH(P1186,RATES!$A$6:$A$28,0)),0)</f>
        <v>48.83</v>
      </c>
      <c r="T1186" s="61" t="n">
        <f aca="false">IF(ISNUMBER(R1186),R1186,0)*S1186</f>
        <v>415.055</v>
      </c>
      <c r="U1186" s="61" t="n">
        <f aca="false">T1186*INDEX(INPUTS!$H$10:$H$14,MATCH(B1186,INPUTS!$A$10:$A$14,0))</f>
        <v>58.522755</v>
      </c>
      <c r="V1186" s="61" t="n">
        <f aca="false">N(STACK!K1186)</f>
        <v>0</v>
      </c>
      <c r="W1186" s="61" t="n">
        <f aca="false">T1186+U1186+V1186</f>
        <v>473.577755</v>
      </c>
      <c r="X1186" s="61" t="n">
        <f aca="false">N(STACK!L1186)</f>
        <v>0</v>
      </c>
      <c r="Y1186" s="61" t="n">
        <f aca="false">W1186-X1186</f>
        <v>473.577755</v>
      </c>
      <c r="Z1186" s="1" t="n">
        <f aca="false">N(STACK!J1186)</f>
        <v>0</v>
      </c>
      <c r="AA1186" s="1" t="str">
        <f aca="false">TRIM(IF(D1186="UNMAPPED","Program not mapped. ","")&amp;IF(OR(K1186="UNMAPPED",K1186="UNASSIGNED"),"Category needs review. ","")&amp;IF(P1186="UNMAPPED","Title not mapped. ","")&amp;IF(AND(P1186&lt;&gt;"No staff time",R1186=""),"Missing hours. ","")&amp;IF(M1186="","Date not readable. ","")&amp;IF(N1186="No","Outside fiscal year. ","")&amp;IF(AND(F1186="Event",ISNUMBER(R1186)),IF(R1186&gt;12,"Event hours look high. ",""),"")&amp;IF(G1186&gt;0,"See CONFIRM sheet.",""))</f>
        <v/>
      </c>
      <c r="AB1186" s="1" t="n">
        <f aca="false">IF(N1186="No",0,IF(REVIEW!O1186=0,0,IF(G1186&gt;0,IF(INDEX(CONFIRM!$J$5:$J$53,G1186)&lt;&gt;"",INDEX(CONFIRM!$J$5:$J$53,G1186),1),1)))</f>
        <v>1</v>
      </c>
      <c r="AC1186" s="1" t="n">
        <f aca="false">IF(AB1186=1,IF(COUNTIFS($B$5:B1186,B1186,$D$5:D1186,D1186,$AB$5:AB1186,1)=1,1,0),0)</f>
        <v>0</v>
      </c>
    </row>
    <row r="1187" customFormat="false" ht="15" hidden="false" customHeight="false" outlineLevel="0" collapsed="false">
      <c r="A1187" s="48" t="str">
        <f aca="false">STACK!A1187</f>
        <v>WCH-0080</v>
      </c>
      <c r="B1187" s="48" t="str">
        <f aca="false">STACK!B1187</f>
        <v>WCH</v>
      </c>
      <c r="C1187" s="48" t="str">
        <f aca="false">STACK!E1187</f>
        <v>rural maternal study</v>
      </c>
      <c r="D1187" s="1" t="str">
        <f aca="false">IFERROR(INDEX(MAP!$J$7:$J$101,MATCH(TRIM(C1187),MAP!$I$7:$I$101,0)),"UNMAPPED")</f>
        <v>Rural Maternal Outcomes Study</v>
      </c>
      <c r="E1187" s="1" t="str">
        <f aca="false">IFERROR(INDEX(MAP!$K$7:$K$101,MATCH(TRIM(C1187),MAP!$I$7:$I$101,0)),"")</f>
        <v>Maternal and child health</v>
      </c>
      <c r="F1187" s="1" t="str">
        <f aca="false">IFERROR(INDEX(MAP!$L$7:$L$101,MATCH(TRIM(C1187),MAP!$I$7:$I$101,0)),"")</f>
        <v>Monthly</v>
      </c>
      <c r="G1187" s="1" t="n">
        <f aca="false">IFERROR(MATCH(A1187,CONFIRM!$A$5:$A$53,0),0)</f>
        <v>0</v>
      </c>
      <c r="H1187" s="48" t="str">
        <f aca="false">STACK!F1187</f>
        <v>research</v>
      </c>
      <c r="I1187" s="1" t="str">
        <f aca="false">IF(G1187&gt;0,IF(INDEX(CONFIRM!$I$5:$I$53,G1187)&lt;&gt;"",INDEX(CONFIRM!$I$5:$I$53,G1187),H1187),H1187)</f>
        <v>research</v>
      </c>
      <c r="J1187" s="1" t="str">
        <f aca="false">IFERROR(INDEX(MAP!$F$7:$F$74,MATCH(TRIM(I1187),MAP!$E$7:$E$74,0)),"UNMAPPED")</f>
        <v>Research</v>
      </c>
      <c r="K1187" s="1" t="str">
        <f aca="false">IFERROR(INDEX(MAP!$G$7:$G$74,MATCH(TRIM(I1187),MAP!$E$7:$E$74,0)),"UNMAPPED")</f>
        <v>7h</v>
      </c>
      <c r="L1187" s="49" t="str">
        <f aca="false">STACK!G1187</f>
        <v>9/30/25</v>
      </c>
      <c r="M1187" s="59" t="n">
        <f aca="false">IF(G1187&gt;0,IF(INDEX(CONFIRM!$G$5:$G$53,G1187)&lt;&gt;"",INDEX(CONFIRM!$G$5:$G$53,G1187),IF(ISNUMBER(L1187),L1187,IFERROR(DATEVALUE(L1187),""))),IF(ISNUMBER(L1187),L1187,IFERROR(DATEVALUE(L1187),"")))</f>
        <v>45930</v>
      </c>
      <c r="N1187" s="1" t="str">
        <f aca="false">IF(M1187="","Check",IF(AND(M1187&gt;=INPUTS!$C$6,M1187&lt;=INPUTS!$C$7),"Yes","No"))</f>
        <v>Yes</v>
      </c>
      <c r="O1187" s="48" t="str">
        <f aca="false">STACK!H1187</f>
        <v> RESEARCH COORDINATOR</v>
      </c>
      <c r="P1187" s="1" t="str">
        <f aca="false">IF(G1187&gt;0,IF(INDEX(CONFIRM!$H$5:$H$53,G1187)&lt;&gt;"",INDEX(CONFIRM!$H$5:$H$53,G1187),IFERROR(INDEX(MAP!$B$7:$B$156,MATCH(TRIM(O1187),MAP!$A$7:$A$156,0)),"UNMAPPED")),IFERROR(INDEX(MAP!$B$7:$B$156,MATCH(TRIM(O1187),MAP!$A$7:$A$156,0)),"UNMAPPED"))</f>
        <v>Research Coordinator</v>
      </c>
      <c r="Q1187" s="48" t="n">
        <f aca="false">STACK!I1187</f>
        <v>40</v>
      </c>
      <c r="R1187" s="60" t="n">
        <f aca="false">IF(G1187&gt;0,IF(INDEX(CONFIRM!$F$5:$F$53,G1187)&lt;&gt;"",INDEX(CONFIRM!$F$5:$F$53,G1187),IF(ISNUMBER(Q1187),Q1187,IF(Q1187="","",IFERROR(VALUE(TRIM(SUBSTITUTE(SUBSTITUTE(LOWER(Q1187),"hrs",""),"hr",""))),"")))),IF(ISNUMBER(Q1187),Q1187,IF(Q1187="","",IFERROR(VALUE(TRIM(SUBSTITUTE(SUBSTITUTE(LOWER(Q1187),"hrs",""),"hr",""))),""))))</f>
        <v>40</v>
      </c>
      <c r="S1187" s="57" t="n">
        <f aca="false">IFERROR(INDEX(RATES!$E$6:$E$28,MATCH(P1187,RATES!$A$6:$A$28,0)),0)</f>
        <v>42.405</v>
      </c>
      <c r="T1187" s="61" t="n">
        <f aca="false">IF(ISNUMBER(R1187),R1187,0)*S1187</f>
        <v>1696.2</v>
      </c>
      <c r="U1187" s="61" t="n">
        <f aca="false">T1187*INDEX(INPUTS!$H$10:$H$14,MATCH(B1187,INPUTS!$A$10:$A$14,0))</f>
        <v>239.1642</v>
      </c>
      <c r="V1187" s="61" t="n">
        <f aca="false">N(STACK!K1187)</f>
        <v>1060</v>
      </c>
      <c r="W1187" s="61" t="n">
        <f aca="false">T1187+U1187+V1187</f>
        <v>2995.3642</v>
      </c>
      <c r="X1187" s="61" t="n">
        <f aca="false">N(STACK!L1187)</f>
        <v>4780</v>
      </c>
      <c r="Y1187" s="61" t="n">
        <f aca="false">W1187-X1187</f>
        <v>-1784.6358</v>
      </c>
      <c r="Z1187" s="1" t="n">
        <f aca="false">N(STACK!J1187)</f>
        <v>17</v>
      </c>
      <c r="AA1187" s="1" t="str">
        <f aca="false">TRIM(IF(D1187="UNMAPPED","Program not mapped. ","")&amp;IF(OR(K1187="UNMAPPED",K1187="UNASSIGNED"),"Category needs review. ","")&amp;IF(P1187="UNMAPPED","Title not mapped. ","")&amp;IF(AND(P1187&lt;&gt;"No staff time",R1187=""),"Missing hours. ","")&amp;IF(M1187="","Date not readable. ","")&amp;IF(N1187="No","Outside fiscal year. ","")&amp;IF(AND(F1187="Event",ISNUMBER(R1187)),IF(R1187&gt;12,"Event hours look high. ",""),"")&amp;IF(G1187&gt;0,"See CONFIRM sheet.",""))</f>
        <v/>
      </c>
      <c r="AB1187" s="1" t="n">
        <f aca="false">IF(N1187="No",0,IF(REVIEW!O1187=0,0,IF(G1187&gt;0,IF(INDEX(CONFIRM!$J$5:$J$53,G1187)&lt;&gt;"",INDEX(CONFIRM!$J$5:$J$53,G1187),1),1)))</f>
        <v>1</v>
      </c>
      <c r="AC1187" s="1" t="n">
        <f aca="false">IF(AB1187=1,IF(COUNTIFS($B$5:B1187,B1187,$D$5:D1187,D1187,$AB$5:AB1187,1)=1,1,0),0)</f>
        <v>0</v>
      </c>
    </row>
    <row r="1188" customFormat="false" ht="15" hidden="false" customHeight="false" outlineLevel="0" collapsed="false">
      <c r="A1188" s="48" t="str">
        <f aca="false">STACK!A1188</f>
        <v>WCH-0081</v>
      </c>
      <c r="B1188" s="48" t="str">
        <f aca="false">STACK!B1188</f>
        <v>WCH</v>
      </c>
      <c r="C1188" s="48" t="str">
        <f aca="false">STACK!E1188</f>
        <v>sports physicals</v>
      </c>
      <c r="D1188" s="1" t="str">
        <f aca="false">IFERROR(INDEX(MAP!$J$7:$J$101,MATCH(TRIM(C1188),MAP!$I$7:$I$101,0)),"UNMAPPED")</f>
        <v>Free Sports Physicals</v>
      </c>
      <c r="E1188" s="1" t="str">
        <f aca="false">IFERROR(INDEX(MAP!$K$7:$K$101,MATCH(TRIM(C1188),MAP!$I$7:$I$101,0)),"")</f>
        <v>Maternal and child health</v>
      </c>
      <c r="F1188" s="1" t="str">
        <f aca="false">IFERROR(INDEX(MAP!$L$7:$L$101,MATCH(TRIM(C1188),MAP!$I$7:$I$101,0)),"")</f>
        <v>Event</v>
      </c>
      <c r="G1188" s="1" t="n">
        <f aca="false">IFERROR(MATCH(A1188,CONFIRM!$A$5:$A$53,0),0)</f>
        <v>0</v>
      </c>
      <c r="H1188" s="48" t="str">
        <f aca="false">STACK!F1188</f>
        <v>CHIS clinical</v>
      </c>
      <c r="I1188" s="1" t="str">
        <f aca="false">IF(G1188&gt;0,IF(INDEX(CONFIRM!$I$5:$I$53,G1188)&lt;&gt;"",INDEX(CONFIRM!$I$5:$I$53,G1188),H1188),H1188)</f>
        <v>CHIS clinical</v>
      </c>
      <c r="J1188" s="1" t="str">
        <f aca="false">IFERROR(INDEX(MAP!$F$7:$F$74,MATCH(TRIM(I1188),MAP!$E$7:$E$74,0)),"UNMAPPED")</f>
        <v>Community-based clinical services</v>
      </c>
      <c r="K1188" s="1" t="str">
        <f aca="false">IFERROR(INDEX(MAP!$G$7:$G$74,MATCH(TRIM(I1188),MAP!$E$7:$E$74,0)),"UNMAPPED")</f>
        <v>7e</v>
      </c>
      <c r="L1188" s="49" t="str">
        <f aca="false">STACK!G1188</f>
        <v>10/4/25</v>
      </c>
      <c r="M1188" s="59" t="n">
        <f aca="false">IF(G1188&gt;0,IF(INDEX(CONFIRM!$G$5:$G$53,G1188)&lt;&gt;"",INDEX(CONFIRM!$G$5:$G$53,G1188),IF(ISNUMBER(L1188),L1188,IFERROR(DATEVALUE(L1188),""))),IF(ISNUMBER(L1188),L1188,IFERROR(DATEVALUE(L1188),"")))</f>
        <v>45934</v>
      </c>
      <c r="N1188" s="1" t="str">
        <f aca="false">IF(M1188="","Check",IF(AND(M1188&gt;=INPUTS!$C$6,M1188&lt;=INPUTS!$C$7),"Yes","No"))</f>
        <v>Yes</v>
      </c>
      <c r="O1188" s="48" t="str">
        <f aca="false">STACK!H1188</f>
        <v>Med Asst</v>
      </c>
      <c r="P1188" s="1" t="str">
        <f aca="false">IF(G1188&gt;0,IF(INDEX(CONFIRM!$H$5:$H$53,G1188)&lt;&gt;"",INDEX(CONFIRM!$H$5:$H$53,G1188),IFERROR(INDEX(MAP!$B$7:$B$156,MATCH(TRIM(O1188),MAP!$A$7:$A$156,0)),"UNMAPPED")),IFERROR(INDEX(MAP!$B$7:$B$156,MATCH(TRIM(O1188),MAP!$A$7:$A$156,0)),"UNMAPPED"))</f>
        <v>Medical Assistant</v>
      </c>
      <c r="Q1188" s="48" t="n">
        <f aca="false">STACK!I1188</f>
        <v>4.25</v>
      </c>
      <c r="R1188" s="60" t="n">
        <f aca="false">IF(G1188&gt;0,IF(INDEX(CONFIRM!$F$5:$F$53,G1188)&lt;&gt;"",INDEX(CONFIRM!$F$5:$F$53,G1188),IF(ISNUMBER(Q1188),Q1188,IF(Q1188="","",IFERROR(VALUE(TRIM(SUBSTITUTE(SUBSTITUTE(LOWER(Q1188),"hrs",""),"hr",""))),"")))),IF(ISNUMBER(Q1188),Q1188,IF(Q1188="","",IFERROR(VALUE(TRIM(SUBSTITUTE(SUBSTITUTE(LOWER(Q1188),"hrs",""),"hr",""))),""))))</f>
        <v>4.25</v>
      </c>
      <c r="S1188" s="57" t="n">
        <f aca="false">IFERROR(INDEX(RATES!$E$6:$E$28,MATCH(P1188,RATES!$A$6:$A$28,0)),0)</f>
        <v>25.37875</v>
      </c>
      <c r="T1188" s="61" t="n">
        <f aca="false">IF(ISNUMBER(R1188),R1188,0)*S1188</f>
        <v>107.8596875</v>
      </c>
      <c r="U1188" s="61" t="n">
        <f aca="false">T1188*INDEX(INPUTS!$H$10:$H$14,MATCH(B1188,INPUTS!$A$10:$A$14,0))</f>
        <v>15.2082159375</v>
      </c>
      <c r="V1188" s="61" t="n">
        <f aca="false">N(STACK!K1188)</f>
        <v>0</v>
      </c>
      <c r="W1188" s="61" t="n">
        <f aca="false">T1188+U1188+V1188</f>
        <v>123.0679034375</v>
      </c>
      <c r="X1188" s="61" t="n">
        <f aca="false">N(STACK!L1188)</f>
        <v>0</v>
      </c>
      <c r="Y1188" s="61" t="n">
        <f aca="false">W1188-X1188</f>
        <v>123.0679034375</v>
      </c>
      <c r="Z1188" s="1" t="n">
        <f aca="false">N(STACK!J1188)</f>
        <v>0</v>
      </c>
      <c r="AA1188" s="1" t="str">
        <f aca="false">TRIM(IF(D1188="UNMAPPED","Program not mapped. ","")&amp;IF(OR(K1188="UNMAPPED",K1188="UNASSIGNED"),"Category needs review. ","")&amp;IF(P1188="UNMAPPED","Title not mapped. ","")&amp;IF(AND(P1188&lt;&gt;"No staff time",R1188=""),"Missing hours. ","")&amp;IF(M1188="","Date not readable. ","")&amp;IF(N1188="No","Outside fiscal year. ","")&amp;IF(AND(F1188="Event",ISNUMBER(R1188)),IF(R1188&gt;12,"Event hours look high. ",""),"")&amp;IF(G1188&gt;0,"See CONFIRM sheet.",""))</f>
        <v/>
      </c>
      <c r="AB1188" s="1" t="n">
        <f aca="false">IF(N1188="No",0,IF(REVIEW!O1188=0,0,IF(G1188&gt;0,IF(INDEX(CONFIRM!$J$5:$J$53,G1188)&lt;&gt;"",INDEX(CONFIRM!$J$5:$J$53,G1188),1),1)))</f>
        <v>1</v>
      </c>
      <c r="AC1188" s="1" t="n">
        <f aca="false">IF(AB1188=1,IF(COUNTIFS($B$5:B1188,B1188,$D$5:D1188,D1188,$AB$5:AB1188,1)=1,1,0),0)</f>
        <v>0</v>
      </c>
    </row>
    <row r="1189" customFormat="false" ht="15" hidden="false" customHeight="false" outlineLevel="0" collapsed="false">
      <c r="A1189" s="48" t="str">
        <f aca="false">STACK!A1189</f>
        <v>WCH-0082</v>
      </c>
      <c r="B1189" s="48" t="str">
        <f aca="false">STACK!B1189</f>
        <v>WCH</v>
      </c>
      <c r="C1189" s="48" t="str">
        <f aca="false">STACK!E1189</f>
        <v>sports physicals</v>
      </c>
      <c r="D1189" s="1" t="str">
        <f aca="false">IFERROR(INDEX(MAP!$J$7:$J$101,MATCH(TRIM(C1189),MAP!$I$7:$I$101,0)),"UNMAPPED")</f>
        <v>Free Sports Physicals</v>
      </c>
      <c r="E1189" s="1" t="str">
        <f aca="false">IFERROR(INDEX(MAP!$K$7:$K$101,MATCH(TRIM(C1189),MAP!$I$7:$I$101,0)),"")</f>
        <v>Maternal and child health</v>
      </c>
      <c r="F1189" s="1" t="str">
        <f aca="false">IFERROR(INDEX(MAP!$L$7:$L$101,MATCH(TRIM(C1189),MAP!$I$7:$I$101,0)),"")</f>
        <v>Event</v>
      </c>
      <c r="G1189" s="1" t="n">
        <f aca="false">IFERROR(MATCH(A1189,CONFIRM!$A$5:$A$53,0),0)</f>
        <v>0</v>
      </c>
      <c r="H1189" s="48" t="str">
        <f aca="false">STACK!F1189</f>
        <v>CHIS clinical</v>
      </c>
      <c r="I1189" s="1" t="str">
        <f aca="false">IF(G1189&gt;0,IF(INDEX(CONFIRM!$I$5:$I$53,G1189)&lt;&gt;"",INDEX(CONFIRM!$I$5:$I$53,G1189),H1189),H1189)</f>
        <v>CHIS clinical</v>
      </c>
      <c r="J1189" s="1" t="str">
        <f aca="false">IFERROR(INDEX(MAP!$F$7:$F$74,MATCH(TRIM(I1189),MAP!$E$7:$E$74,0)),"UNMAPPED")</f>
        <v>Community-based clinical services</v>
      </c>
      <c r="K1189" s="1" t="str">
        <f aca="false">IFERROR(INDEX(MAP!$G$7:$G$74,MATCH(TRIM(I1189),MAP!$E$7:$E$74,0)),"UNMAPPED")</f>
        <v>7e</v>
      </c>
      <c r="L1189" s="49" t="n">
        <f aca="false">STACK!G1189</f>
        <v>45934</v>
      </c>
      <c r="M1189" s="59" t="n">
        <f aca="false">IF(G1189&gt;0,IF(INDEX(CONFIRM!$G$5:$G$53,G1189)&lt;&gt;"",INDEX(CONFIRM!$G$5:$G$53,G1189),IF(ISNUMBER(L1189),L1189,IFERROR(DATEVALUE(L1189),""))),IF(ISNUMBER(L1189),L1189,IFERROR(DATEVALUE(L1189),"")))</f>
        <v>45934</v>
      </c>
      <c r="N1189" s="1" t="str">
        <f aca="false">IF(M1189="","Check",IF(AND(M1189&gt;=INPUTS!$C$6,M1189&lt;=INPUTS!$C$7),"Yes","No"))</f>
        <v>Yes</v>
      </c>
      <c r="O1189" s="48" t="str">
        <f aca="false">STACK!H1189</f>
        <v>NP</v>
      </c>
      <c r="P1189" s="1" t="str">
        <f aca="false">IF(G1189&gt;0,IF(INDEX(CONFIRM!$H$5:$H$53,G1189)&lt;&gt;"",INDEX(CONFIRM!$H$5:$H$53,G1189),IFERROR(INDEX(MAP!$B$7:$B$156,MATCH(TRIM(O1189),MAP!$A$7:$A$156,0)),"UNMAPPED")),IFERROR(INDEX(MAP!$B$7:$B$156,MATCH(TRIM(O1189),MAP!$A$7:$A$156,0)),"UNMAPPED"))</f>
        <v>Nurse Practitioner</v>
      </c>
      <c r="Q1189" s="48" t="n">
        <f aca="false">STACK!I1189</f>
        <v>4.75</v>
      </c>
      <c r="R1189" s="60" t="n">
        <f aca="false">IF(G1189&gt;0,IF(INDEX(CONFIRM!$F$5:$F$53,G1189)&lt;&gt;"",INDEX(CONFIRM!$F$5:$F$53,G1189),IF(ISNUMBER(Q1189),Q1189,IF(Q1189="","",IFERROR(VALUE(TRIM(SUBSTITUTE(SUBSTITUTE(LOWER(Q1189),"hrs",""),"hr",""))),"")))),IF(ISNUMBER(Q1189),Q1189,IF(Q1189="","",IFERROR(VALUE(TRIM(SUBSTITUTE(SUBSTITUTE(LOWER(Q1189),"hrs",""),"hr",""))),""))))</f>
        <v>4.75</v>
      </c>
      <c r="S1189" s="57" t="n">
        <f aca="false">IFERROR(INDEX(RATES!$E$6:$E$28,MATCH(P1189,RATES!$A$6:$A$28,0)),0)</f>
        <v>79.67</v>
      </c>
      <c r="T1189" s="61" t="n">
        <f aca="false">IF(ISNUMBER(R1189),R1189,0)*S1189</f>
        <v>378.4325</v>
      </c>
      <c r="U1189" s="61" t="n">
        <f aca="false">T1189*INDEX(INPUTS!$H$10:$H$14,MATCH(B1189,INPUTS!$A$10:$A$14,0))</f>
        <v>53.3589825</v>
      </c>
      <c r="V1189" s="61" t="n">
        <f aca="false">N(STACK!K1189)</f>
        <v>0</v>
      </c>
      <c r="W1189" s="61" t="n">
        <f aca="false">T1189+U1189+V1189</f>
        <v>431.7914825</v>
      </c>
      <c r="X1189" s="61" t="n">
        <f aca="false">N(STACK!L1189)</f>
        <v>0</v>
      </c>
      <c r="Y1189" s="61" t="n">
        <f aca="false">W1189-X1189</f>
        <v>431.7914825</v>
      </c>
      <c r="Z1189" s="1" t="n">
        <f aca="false">N(STACK!J1189)</f>
        <v>0</v>
      </c>
      <c r="AA1189" s="1" t="str">
        <f aca="false">TRIM(IF(D1189="UNMAPPED","Program not mapped. ","")&amp;IF(OR(K1189="UNMAPPED",K1189="UNASSIGNED"),"Category needs review. ","")&amp;IF(P1189="UNMAPPED","Title not mapped. ","")&amp;IF(AND(P1189&lt;&gt;"No staff time",R1189=""),"Missing hours. ","")&amp;IF(M1189="","Date not readable. ","")&amp;IF(N1189="No","Outside fiscal year. ","")&amp;IF(AND(F1189="Event",ISNUMBER(R1189)),IF(R1189&gt;12,"Event hours look high. ",""),"")&amp;IF(G1189&gt;0,"See CONFIRM sheet.",""))</f>
        <v/>
      </c>
      <c r="AB1189" s="1" t="n">
        <f aca="false">IF(N1189="No",0,IF(REVIEW!O1189=0,0,IF(G1189&gt;0,IF(INDEX(CONFIRM!$J$5:$J$53,G1189)&lt;&gt;"",INDEX(CONFIRM!$J$5:$J$53,G1189),1),1)))</f>
        <v>1</v>
      </c>
      <c r="AC1189" s="1" t="n">
        <f aca="false">IF(AB1189=1,IF(COUNTIFS($B$5:B1189,B1189,$D$5:D1189,D1189,$AB$5:AB1189,1)=1,1,0),0)</f>
        <v>0</v>
      </c>
    </row>
    <row r="1190" customFormat="false" ht="15" hidden="false" customHeight="false" outlineLevel="0" collapsed="false">
      <c r="A1190" s="48" t="str">
        <f aca="false">STACK!A1190</f>
        <v>WCH-0083</v>
      </c>
      <c r="B1190" s="48" t="str">
        <f aca="false">STACK!B1190</f>
        <v>WCH</v>
      </c>
      <c r="C1190" s="48" t="str">
        <f aca="false">STACK!E1190</f>
        <v>sports physicals</v>
      </c>
      <c r="D1190" s="1" t="str">
        <f aca="false">IFERROR(INDEX(MAP!$J$7:$J$101,MATCH(TRIM(C1190),MAP!$I$7:$I$101,0)),"UNMAPPED")</f>
        <v>Free Sports Physicals</v>
      </c>
      <c r="E1190" s="1" t="str">
        <f aca="false">IFERROR(INDEX(MAP!$K$7:$K$101,MATCH(TRIM(C1190),MAP!$I$7:$I$101,0)),"")</f>
        <v>Maternal and child health</v>
      </c>
      <c r="F1190" s="1" t="str">
        <f aca="false">IFERROR(INDEX(MAP!$L$7:$L$101,MATCH(TRIM(C1190),MAP!$I$7:$I$101,0)),"")</f>
        <v>Event</v>
      </c>
      <c r="G1190" s="1" t="n">
        <f aca="false">IFERROR(MATCH(A1190,CONFIRM!$A$5:$A$53,0),0)</f>
        <v>0</v>
      </c>
      <c r="H1190" s="48" t="str">
        <f aca="false">STACK!F1190</f>
        <v>CHIS clinical</v>
      </c>
      <c r="I1190" s="1" t="str">
        <f aca="false">IF(G1190&gt;0,IF(INDEX(CONFIRM!$I$5:$I$53,G1190)&lt;&gt;"",INDEX(CONFIRM!$I$5:$I$53,G1190),H1190),H1190)</f>
        <v>CHIS clinical</v>
      </c>
      <c r="J1190" s="1" t="str">
        <f aca="false">IFERROR(INDEX(MAP!$F$7:$F$74,MATCH(TRIM(I1190),MAP!$E$7:$E$74,0)),"UNMAPPED")</f>
        <v>Community-based clinical services</v>
      </c>
      <c r="K1190" s="1" t="str">
        <f aca="false">IFERROR(INDEX(MAP!$G$7:$G$74,MATCH(TRIM(I1190),MAP!$E$7:$E$74,0)),"UNMAPPED")</f>
        <v>7e</v>
      </c>
      <c r="L1190" s="49" t="n">
        <f aca="false">STACK!G1190</f>
        <v>45934</v>
      </c>
      <c r="M1190" s="59" t="n">
        <f aca="false">IF(G1190&gt;0,IF(INDEX(CONFIRM!$G$5:$G$53,G1190)&lt;&gt;"",INDEX(CONFIRM!$G$5:$G$53,G1190),IF(ISNUMBER(L1190),L1190,IFERROR(DATEVALUE(L1190),""))),IF(ISNUMBER(L1190),L1190,IFERROR(DATEVALUE(L1190),"")))</f>
        <v>45934</v>
      </c>
      <c r="N1190" s="1" t="str">
        <f aca="false">IF(M1190="","Check",IF(AND(M1190&gt;=INPUTS!$C$6,M1190&lt;=INPUTS!$C$7),"Yes","No"))</f>
        <v>Yes</v>
      </c>
      <c r="O1190" s="48" t="str">
        <f aca="false">STACK!H1190</f>
        <v>MD</v>
      </c>
      <c r="P1190" s="1" t="str">
        <f aca="false">IF(G1190&gt;0,IF(INDEX(CONFIRM!$H$5:$H$53,G1190)&lt;&gt;"",INDEX(CONFIRM!$H$5:$H$53,G1190),IFERROR(INDEX(MAP!$B$7:$B$156,MATCH(TRIM(O1190),MAP!$A$7:$A$156,0)),"UNMAPPED")),IFERROR(INDEX(MAP!$B$7:$B$156,MATCH(TRIM(O1190),MAP!$A$7:$A$156,0)),"UNMAPPED"))</f>
        <v>Physician</v>
      </c>
      <c r="Q1190" s="48" t="n">
        <f aca="false">STACK!I1190</f>
        <v>4.25</v>
      </c>
      <c r="R1190" s="60" t="n">
        <f aca="false">IF(G1190&gt;0,IF(INDEX(CONFIRM!$F$5:$F$53,G1190)&lt;&gt;"",INDEX(CONFIRM!$F$5:$F$53,G1190),IF(ISNUMBER(Q1190),Q1190,IF(Q1190="","",IFERROR(VALUE(TRIM(SUBSTITUTE(SUBSTITUTE(LOWER(Q1190),"hrs",""),"hr",""))),"")))),IF(ISNUMBER(Q1190),Q1190,IF(Q1190="","",IFERROR(VALUE(TRIM(SUBSTITUTE(SUBSTITUTE(LOWER(Q1190),"hrs",""),"hr",""))),""))))</f>
        <v>4.25</v>
      </c>
      <c r="S1190" s="57" t="n">
        <f aca="false">IFERROR(INDEX(RATES!$E$6:$E$28,MATCH(P1190,RATES!$A$6:$A$28,0)),0)</f>
        <v>151.63</v>
      </c>
      <c r="T1190" s="61" t="n">
        <f aca="false">IF(ISNUMBER(R1190),R1190,0)*S1190</f>
        <v>644.4275</v>
      </c>
      <c r="U1190" s="61" t="n">
        <f aca="false">T1190*INDEX(INPUTS!$H$10:$H$14,MATCH(B1190,INPUTS!$A$10:$A$14,0))</f>
        <v>90.8642775</v>
      </c>
      <c r="V1190" s="61" t="n">
        <f aca="false">N(STACK!K1190)</f>
        <v>210</v>
      </c>
      <c r="W1190" s="61" t="n">
        <f aca="false">T1190+U1190+V1190</f>
        <v>945.2917775</v>
      </c>
      <c r="X1190" s="61" t="n">
        <f aca="false">N(STACK!L1190)</f>
        <v>0</v>
      </c>
      <c r="Y1190" s="61" t="n">
        <f aca="false">W1190-X1190</f>
        <v>945.2917775</v>
      </c>
      <c r="Z1190" s="1" t="n">
        <f aca="false">N(STACK!J1190)</f>
        <v>65</v>
      </c>
      <c r="AA1190" s="1" t="str">
        <f aca="false">TRIM(IF(D1190="UNMAPPED","Program not mapped. ","")&amp;IF(OR(K1190="UNMAPPED",K1190="UNASSIGNED"),"Category needs review. ","")&amp;IF(P1190="UNMAPPED","Title not mapped. ","")&amp;IF(AND(P1190&lt;&gt;"No staff time",R1190=""),"Missing hours. ","")&amp;IF(M1190="","Date not readable. ","")&amp;IF(N1190="No","Outside fiscal year. ","")&amp;IF(AND(F1190="Event",ISNUMBER(R1190)),IF(R1190&gt;12,"Event hours look high. ",""),"")&amp;IF(G1190&gt;0,"See CONFIRM sheet.",""))</f>
        <v/>
      </c>
      <c r="AB1190" s="1" t="n">
        <f aca="false">IF(N1190="No",0,IF(REVIEW!O1190=0,0,IF(G1190&gt;0,IF(INDEX(CONFIRM!$J$5:$J$53,G1190)&lt;&gt;"",INDEX(CONFIRM!$J$5:$J$53,G1190),1),1)))</f>
        <v>1</v>
      </c>
      <c r="AC1190" s="1" t="n">
        <f aca="false">IF(AB1190=1,IF(COUNTIFS($B$5:B1190,B1190,$D$5:D1190,D1190,$AB$5:AB1190,1)=1,1,0),0)</f>
        <v>0</v>
      </c>
    </row>
    <row r="1191" customFormat="false" ht="15" hidden="false" customHeight="false" outlineLevel="0" collapsed="false">
      <c r="A1191" s="48" t="str">
        <f aca="false">STACK!A1191</f>
        <v>WCH-0084</v>
      </c>
      <c r="B1191" s="48" t="str">
        <f aca="false">STACK!B1191</f>
        <v>WCH</v>
      </c>
      <c r="C1191" s="48" t="str">
        <f aca="false">STACK!E1191</f>
        <v>narcan training</v>
      </c>
      <c r="D1191" s="1" t="str">
        <f aca="false">IFERROR(INDEX(MAP!$J$7:$J$101,MATCH(TRIM(C1191),MAP!$I$7:$I$101,0)),"UNMAPPED")</f>
        <v>Naloxone Training and Distribution</v>
      </c>
      <c r="E1191" s="1" t="str">
        <f aca="false">IFERROR(INDEX(MAP!$K$7:$K$101,MATCH(TRIM(C1191),MAP!$I$7:$I$101,0)),"")</f>
        <v>Behavioral health</v>
      </c>
      <c r="F1191" s="1" t="str">
        <f aca="false">IFERROR(INDEX(MAP!$L$7:$L$101,MATCH(TRIM(C1191),MAP!$I$7:$I$101,0)),"")</f>
        <v>Event</v>
      </c>
      <c r="G1191" s="1" t="n">
        <f aca="false">IFERROR(MATCH(A1191,CONFIRM!$A$5:$A$53,0),0)</f>
        <v>0</v>
      </c>
      <c r="H1191" s="48" t="str">
        <f aca="false">STACK!F1191</f>
        <v>community health improvement services</v>
      </c>
      <c r="I1191" s="1" t="str">
        <f aca="false">IF(G1191&gt;0,IF(INDEX(CONFIRM!$I$5:$I$53,G1191)&lt;&gt;"",INDEX(CONFIRM!$I$5:$I$53,G1191),H1191),H1191)</f>
        <v>community health improvement services</v>
      </c>
      <c r="J1191" s="1" t="str">
        <f aca="false">IFERROR(INDEX(MAP!$F$7:$F$74,MATCH(TRIM(I1191),MAP!$E$7:$E$74,0)),"UNMAPPED")</f>
        <v>Community health education</v>
      </c>
      <c r="K1191" s="1" t="str">
        <f aca="false">IFERROR(INDEX(MAP!$G$7:$G$74,MATCH(TRIM(I1191),MAP!$E$7:$E$74,0)),"UNMAPPED")</f>
        <v>7e</v>
      </c>
      <c r="L1191" s="49" t="n">
        <f aca="false">STACK!G1191</f>
        <v>45937</v>
      </c>
      <c r="M1191" s="59" t="n">
        <f aca="false">IF(G1191&gt;0,IF(INDEX(CONFIRM!$G$5:$G$53,G1191)&lt;&gt;"",INDEX(CONFIRM!$G$5:$G$53,G1191),IF(ISNUMBER(L1191),L1191,IFERROR(DATEVALUE(L1191),""))),IF(ISNUMBER(L1191),L1191,IFERROR(DATEVALUE(L1191),"")))</f>
        <v>45937</v>
      </c>
      <c r="N1191" s="1" t="str">
        <f aca="false">IF(M1191="","Check",IF(AND(M1191&gt;=INPUTS!$C$6,M1191&lt;=INPUTS!$C$7),"Yes","No"))</f>
        <v>Yes</v>
      </c>
      <c r="O1191" s="48" t="str">
        <f aca="false">STACK!H1191</f>
        <v>Community Educator</v>
      </c>
      <c r="P1191" s="1" t="str">
        <f aca="false">IF(G1191&gt;0,IF(INDEX(CONFIRM!$H$5:$H$53,G1191)&lt;&gt;"",INDEX(CONFIRM!$H$5:$H$53,G1191),IFERROR(INDEX(MAP!$B$7:$B$156,MATCH(TRIM(O1191),MAP!$A$7:$A$156,0)),"UNMAPPED")),IFERROR(INDEX(MAP!$B$7:$B$156,MATCH(TRIM(O1191),MAP!$A$7:$A$156,0)),"UNMAPPED"))</f>
        <v>Health Educator</v>
      </c>
      <c r="Q1191" s="48" t="n">
        <f aca="false">STACK!I1191</f>
        <v>2.5</v>
      </c>
      <c r="R1191" s="60" t="n">
        <f aca="false">IF(G1191&gt;0,IF(INDEX(CONFIRM!$F$5:$F$53,G1191)&lt;&gt;"",INDEX(CONFIRM!$F$5:$F$53,G1191),IF(ISNUMBER(Q1191),Q1191,IF(Q1191="","",IFERROR(VALUE(TRIM(SUBSTITUTE(SUBSTITUTE(LOWER(Q1191),"hrs",""),"hr",""))),"")))),IF(ISNUMBER(Q1191),Q1191,IF(Q1191="","",IFERROR(VALUE(TRIM(SUBSTITUTE(SUBSTITUTE(LOWER(Q1191),"hrs",""),"hr",""))),""))))</f>
        <v>2.5</v>
      </c>
      <c r="S1191" s="57" t="n">
        <f aca="false">IFERROR(INDEX(RATES!$E$6:$E$28,MATCH(P1191,RATES!$A$6:$A$28,0)),0)</f>
        <v>37.265</v>
      </c>
      <c r="T1191" s="61" t="n">
        <f aca="false">IF(ISNUMBER(R1191),R1191,0)*S1191</f>
        <v>93.1625</v>
      </c>
      <c r="U1191" s="61" t="n">
        <f aca="false">T1191*INDEX(INPUTS!$H$10:$H$14,MATCH(B1191,INPUTS!$A$10:$A$14,0))</f>
        <v>13.1359125</v>
      </c>
      <c r="V1191" s="61" t="n">
        <f aca="false">N(STACK!K1191)</f>
        <v>0</v>
      </c>
      <c r="W1191" s="61" t="n">
        <f aca="false">T1191+U1191+V1191</f>
        <v>106.2984125</v>
      </c>
      <c r="X1191" s="61" t="n">
        <f aca="false">N(STACK!L1191)</f>
        <v>0</v>
      </c>
      <c r="Y1191" s="61" t="n">
        <f aca="false">W1191-X1191</f>
        <v>106.2984125</v>
      </c>
      <c r="Z1191" s="1" t="n">
        <f aca="false">N(STACK!J1191)</f>
        <v>0</v>
      </c>
      <c r="AA1191" s="1" t="str">
        <f aca="false">TRIM(IF(D1191="UNMAPPED","Program not mapped. ","")&amp;IF(OR(K1191="UNMAPPED",K1191="UNASSIGNED"),"Category needs review. ","")&amp;IF(P1191="UNMAPPED","Title not mapped. ","")&amp;IF(AND(P1191&lt;&gt;"No staff time",R1191=""),"Missing hours. ","")&amp;IF(M1191="","Date not readable. ","")&amp;IF(N1191="No","Outside fiscal year. ","")&amp;IF(AND(F1191="Event",ISNUMBER(R1191)),IF(R1191&gt;12,"Event hours look high. ",""),"")&amp;IF(G1191&gt;0,"See CONFIRM sheet.",""))</f>
        <v/>
      </c>
      <c r="AB1191" s="1" t="n">
        <f aca="false">IF(N1191="No",0,IF(REVIEW!O1191=0,0,IF(G1191&gt;0,IF(INDEX(CONFIRM!$J$5:$J$53,G1191)&lt;&gt;"",INDEX(CONFIRM!$J$5:$J$53,G1191),1),1)))</f>
        <v>1</v>
      </c>
      <c r="AC1191" s="1" t="n">
        <f aca="false">IF(AB1191=1,IF(COUNTIFS($B$5:B1191,B1191,$D$5:D1191,D1191,$AB$5:AB1191,1)=1,1,0),0)</f>
        <v>0</v>
      </c>
    </row>
    <row r="1192" customFormat="false" ht="15" hidden="false" customHeight="false" outlineLevel="0" collapsed="false">
      <c r="A1192" s="48" t="str">
        <f aca="false">STACK!A1192</f>
        <v>WCH-0085</v>
      </c>
      <c r="B1192" s="48" t="str">
        <f aca="false">STACK!B1192</f>
        <v>WCH</v>
      </c>
      <c r="C1192" s="48" t="str">
        <f aca="false">STACK!E1192</f>
        <v>narcan training</v>
      </c>
      <c r="D1192" s="1" t="str">
        <f aca="false">IFERROR(INDEX(MAP!$J$7:$J$101,MATCH(TRIM(C1192),MAP!$I$7:$I$101,0)),"UNMAPPED")</f>
        <v>Naloxone Training and Distribution</v>
      </c>
      <c r="E1192" s="1" t="str">
        <f aca="false">IFERROR(INDEX(MAP!$K$7:$K$101,MATCH(TRIM(C1192),MAP!$I$7:$I$101,0)),"")</f>
        <v>Behavioral health</v>
      </c>
      <c r="F1192" s="1" t="str">
        <f aca="false">IFERROR(INDEX(MAP!$L$7:$L$101,MATCH(TRIM(C1192),MAP!$I$7:$I$101,0)),"")</f>
        <v>Event</v>
      </c>
      <c r="G1192" s="1" t="n">
        <f aca="false">IFERROR(MATCH(A1192,CONFIRM!$A$5:$A$53,0),0)</f>
        <v>0</v>
      </c>
      <c r="H1192" s="48" t="str">
        <f aca="false">STACK!F1192</f>
        <v>community health improvement services</v>
      </c>
      <c r="I1192" s="1" t="str">
        <f aca="false">IF(G1192&gt;0,IF(INDEX(CONFIRM!$I$5:$I$53,G1192)&lt;&gt;"",INDEX(CONFIRM!$I$5:$I$53,G1192),H1192),H1192)</f>
        <v>community health improvement services</v>
      </c>
      <c r="J1192" s="1" t="str">
        <f aca="false">IFERROR(INDEX(MAP!$F$7:$F$74,MATCH(TRIM(I1192),MAP!$E$7:$E$74,0)),"UNMAPPED")</f>
        <v>Community health education</v>
      </c>
      <c r="K1192" s="1" t="str">
        <f aca="false">IFERROR(INDEX(MAP!$G$7:$G$74,MATCH(TRIM(I1192),MAP!$E$7:$E$74,0)),"UNMAPPED")</f>
        <v>7e</v>
      </c>
      <c r="L1192" s="49" t="str">
        <f aca="false">STACK!G1192</f>
        <v>10/7/25</v>
      </c>
      <c r="M1192" s="59" t="n">
        <f aca="false">IF(G1192&gt;0,IF(INDEX(CONFIRM!$G$5:$G$53,G1192)&lt;&gt;"",INDEX(CONFIRM!$G$5:$G$53,G1192),IF(ISNUMBER(L1192),L1192,IFERROR(DATEVALUE(L1192),""))),IF(ISNUMBER(L1192),L1192,IFERROR(DATEVALUE(L1192),"")))</f>
        <v>45937</v>
      </c>
      <c r="N1192" s="1" t="str">
        <f aca="false">IF(M1192="","Check",IF(AND(M1192&gt;=INPUTS!$C$6,M1192&lt;=INPUTS!$C$7),"Yes","No"))</f>
        <v>Yes</v>
      </c>
      <c r="O1192" s="48" t="str">
        <f aca="false">STACK!H1192</f>
        <v>Clinical Pharmacist</v>
      </c>
      <c r="P1192" s="1" t="str">
        <f aca="false">IF(G1192&gt;0,IF(INDEX(CONFIRM!$H$5:$H$53,G1192)&lt;&gt;"",INDEX(CONFIRM!$H$5:$H$53,G1192),IFERROR(INDEX(MAP!$B$7:$B$156,MATCH(TRIM(O1192),MAP!$A$7:$A$156,0)),"UNMAPPED")),IFERROR(INDEX(MAP!$B$7:$B$156,MATCH(TRIM(O1192),MAP!$A$7:$A$156,0)),"UNMAPPED"))</f>
        <v>Pharmacist</v>
      </c>
      <c r="Q1192" s="48" t="n">
        <f aca="false">STACK!I1192</f>
        <v>2</v>
      </c>
      <c r="R1192" s="60" t="n">
        <f aca="false">IF(G1192&gt;0,IF(INDEX(CONFIRM!$F$5:$F$53,G1192)&lt;&gt;"",INDEX(CONFIRM!$F$5:$F$53,G1192),IF(ISNUMBER(Q1192),Q1192,IF(Q1192="","",IFERROR(VALUE(TRIM(SUBSTITUTE(SUBSTITUTE(LOWER(Q1192),"hrs",""),"hr",""))),"")))),IF(ISNUMBER(Q1192),Q1192,IF(Q1192="","",IFERROR(VALUE(TRIM(SUBSTITUTE(SUBSTITUTE(LOWER(Q1192),"hrs",""),"hr",""))),""))))</f>
        <v>2</v>
      </c>
      <c r="S1192" s="57" t="n">
        <f aca="false">IFERROR(INDEX(RATES!$E$6:$E$28,MATCH(P1192,RATES!$A$6:$A$28,0)),0)</f>
        <v>84.81</v>
      </c>
      <c r="T1192" s="61" t="n">
        <f aca="false">IF(ISNUMBER(R1192),R1192,0)*S1192</f>
        <v>169.62</v>
      </c>
      <c r="U1192" s="61" t="n">
        <f aca="false">T1192*INDEX(INPUTS!$H$10:$H$14,MATCH(B1192,INPUTS!$A$10:$A$14,0))</f>
        <v>23.91642</v>
      </c>
      <c r="V1192" s="61" t="n">
        <f aca="false">N(STACK!K1192)</f>
        <v>2475</v>
      </c>
      <c r="W1192" s="61" t="n">
        <f aca="false">T1192+U1192+V1192</f>
        <v>2668.53642</v>
      </c>
      <c r="X1192" s="61" t="n">
        <f aca="false">N(STACK!L1192)</f>
        <v>1560</v>
      </c>
      <c r="Y1192" s="61" t="n">
        <f aca="false">W1192-X1192</f>
        <v>1108.53642</v>
      </c>
      <c r="Z1192" s="1" t="n">
        <f aca="false">N(STACK!J1192)</f>
        <v>24</v>
      </c>
      <c r="AA1192" s="1" t="str">
        <f aca="false">TRIM(IF(D1192="UNMAPPED","Program not mapped. ","")&amp;IF(OR(K1192="UNMAPPED",K1192="UNASSIGNED"),"Category needs review. ","")&amp;IF(P1192="UNMAPPED","Title not mapped. ","")&amp;IF(AND(P1192&lt;&gt;"No staff time",R1192=""),"Missing hours. ","")&amp;IF(M1192="","Date not readable. ","")&amp;IF(N1192="No","Outside fiscal year. ","")&amp;IF(AND(F1192="Event",ISNUMBER(R1192)),IF(R1192&gt;12,"Event hours look high. ",""),"")&amp;IF(G1192&gt;0,"See CONFIRM sheet.",""))</f>
        <v/>
      </c>
      <c r="AB1192" s="1" t="n">
        <f aca="false">IF(N1192="No",0,IF(REVIEW!O1192=0,0,IF(G1192&gt;0,IF(INDEX(CONFIRM!$J$5:$J$53,G1192)&lt;&gt;"",INDEX(CONFIRM!$J$5:$J$53,G1192),1),1)))</f>
        <v>1</v>
      </c>
      <c r="AC1192" s="1" t="n">
        <f aca="false">IF(AB1192=1,IF(COUNTIFS($B$5:B1192,B1192,$D$5:D1192,D1192,$AB$5:AB1192,1)=1,1,0),0)</f>
        <v>0</v>
      </c>
    </row>
    <row r="1193" customFormat="false" ht="15" hidden="false" customHeight="false" outlineLevel="0" collapsed="false">
      <c r="A1193" s="48" t="str">
        <f aca="false">STACK!A1193</f>
        <v>WCH-0086</v>
      </c>
      <c r="B1193" s="48" t="str">
        <f aca="false">STACK!B1193</f>
        <v>WCH</v>
      </c>
      <c r="C1193" s="48" t="str">
        <f aca="false">STACK!E1193</f>
        <v>grief group</v>
      </c>
      <c r="D1193" s="1" t="str">
        <f aca="false">IFERROR(INDEX(MAP!$J$7:$J$101,MATCH(TRIM(C1193),MAP!$I$7:$I$101,0)),"UNMAPPED")</f>
        <v>Grief Support Group</v>
      </c>
      <c r="E1193" s="1" t="str">
        <f aca="false">IFERROR(INDEX(MAP!$K$7:$K$101,MATCH(TRIM(C1193),MAP!$I$7:$I$101,0)),"")</f>
        <v>Behavioral health</v>
      </c>
      <c r="F1193" s="1" t="str">
        <f aca="false">IFERROR(INDEX(MAP!$L$7:$L$101,MATCH(TRIM(C1193),MAP!$I$7:$I$101,0)),"")</f>
        <v>Event</v>
      </c>
      <c r="G1193" s="1" t="n">
        <f aca="false">IFERROR(MATCH(A1193,CONFIRM!$A$5:$A$53,0),0)</f>
        <v>0</v>
      </c>
      <c r="H1193" s="48" t="str">
        <f aca="false">STACK!F1193</f>
        <v>CHIS support</v>
      </c>
      <c r="I1193" s="1" t="str">
        <f aca="false">IF(G1193&gt;0,IF(INDEX(CONFIRM!$I$5:$I$53,G1193)&lt;&gt;"",INDEX(CONFIRM!$I$5:$I$53,G1193),H1193),H1193)</f>
        <v>CHIS support</v>
      </c>
      <c r="J1193" s="1" t="str">
        <f aca="false">IFERROR(INDEX(MAP!$F$7:$F$74,MATCH(TRIM(I1193),MAP!$E$7:$E$74,0)),"UNMAPPED")</f>
        <v>Health care support services</v>
      </c>
      <c r="K1193" s="1" t="str">
        <f aca="false">IFERROR(INDEX(MAP!$G$7:$G$74,MATCH(TRIM(I1193),MAP!$E$7:$E$74,0)),"UNMAPPED")</f>
        <v>7e</v>
      </c>
      <c r="L1193" s="49" t="str">
        <f aca="false">STACK!G1193</f>
        <v>10/11/25</v>
      </c>
      <c r="M1193" s="59" t="n">
        <f aca="false">IF(G1193&gt;0,IF(INDEX(CONFIRM!$G$5:$G$53,G1193)&lt;&gt;"",INDEX(CONFIRM!$G$5:$G$53,G1193),IF(ISNUMBER(L1193),L1193,IFERROR(DATEVALUE(L1193),""))),IF(ISNUMBER(L1193),L1193,IFERROR(DATEVALUE(L1193),"")))</f>
        <v>45941</v>
      </c>
      <c r="N1193" s="1" t="str">
        <f aca="false">IF(M1193="","Check",IF(AND(M1193&gt;=INPUTS!$C$6,M1193&lt;=INPUTS!$C$7),"Yes","No"))</f>
        <v>Yes</v>
      </c>
      <c r="O1193" s="48" t="str">
        <f aca="false">STACK!H1193</f>
        <v>Spiritual Care</v>
      </c>
      <c r="P1193" s="1" t="str">
        <f aca="false">IF(G1193&gt;0,IF(INDEX(CONFIRM!$H$5:$H$53,G1193)&lt;&gt;"",INDEX(CONFIRM!$H$5:$H$53,G1193),IFERROR(INDEX(MAP!$B$7:$B$156,MATCH(TRIM(O1193),MAP!$A$7:$A$156,0)),"UNMAPPED")),IFERROR(INDEX(MAP!$B$7:$B$156,MATCH(TRIM(O1193),MAP!$A$7:$A$156,0)),"UNMAPPED"))</f>
        <v>Chaplain</v>
      </c>
      <c r="Q1193" s="48" t="n">
        <f aca="false">STACK!I1193</f>
        <v>2.25</v>
      </c>
      <c r="R1193" s="60" t="n">
        <f aca="false">IF(G1193&gt;0,IF(INDEX(CONFIRM!$F$5:$F$53,G1193)&lt;&gt;"",INDEX(CONFIRM!$F$5:$F$53,G1193),IF(ISNUMBER(Q1193),Q1193,IF(Q1193="","",IFERROR(VALUE(TRIM(SUBSTITUTE(SUBSTITUTE(LOWER(Q1193),"hrs",""),"hr",""))),"")))),IF(ISNUMBER(Q1193),Q1193,IF(Q1193="","",IFERROR(VALUE(TRIM(SUBSTITUTE(SUBSTITUTE(LOWER(Q1193),"hrs",""),"hr",""))),""))))</f>
        <v>2.25</v>
      </c>
      <c r="S1193" s="57" t="n">
        <f aca="false">IFERROR(INDEX(RATES!$E$6:$E$28,MATCH(P1193,RATES!$A$6:$A$28,0)),0)</f>
        <v>39.835</v>
      </c>
      <c r="T1193" s="61" t="n">
        <f aca="false">IF(ISNUMBER(R1193),R1193,0)*S1193</f>
        <v>89.62875</v>
      </c>
      <c r="U1193" s="61" t="n">
        <f aca="false">T1193*INDEX(INPUTS!$H$10:$H$14,MATCH(B1193,INPUTS!$A$10:$A$14,0))</f>
        <v>12.63765375</v>
      </c>
      <c r="V1193" s="61" t="n">
        <f aca="false">N(STACK!K1193)</f>
        <v>35</v>
      </c>
      <c r="W1193" s="61" t="n">
        <f aca="false">T1193+U1193+V1193</f>
        <v>137.26640375</v>
      </c>
      <c r="X1193" s="61" t="n">
        <f aca="false">N(STACK!L1193)</f>
        <v>0</v>
      </c>
      <c r="Y1193" s="61" t="n">
        <f aca="false">W1193-X1193</f>
        <v>137.26640375</v>
      </c>
      <c r="Z1193" s="1" t="n">
        <f aca="false">N(STACK!J1193)</f>
        <v>6</v>
      </c>
      <c r="AA1193" s="1" t="str">
        <f aca="false">TRIM(IF(D1193="UNMAPPED","Program not mapped. ","")&amp;IF(OR(K1193="UNMAPPED",K1193="UNASSIGNED"),"Category needs review. ","")&amp;IF(P1193="UNMAPPED","Title not mapped. ","")&amp;IF(AND(P1193&lt;&gt;"No staff time",R1193=""),"Missing hours. ","")&amp;IF(M1193="","Date not readable. ","")&amp;IF(N1193="No","Outside fiscal year. ","")&amp;IF(AND(F1193="Event",ISNUMBER(R1193)),IF(R1193&gt;12,"Event hours look high. ",""),"")&amp;IF(G1193&gt;0,"See CONFIRM sheet.",""))</f>
        <v/>
      </c>
      <c r="AB1193" s="1" t="n">
        <f aca="false">IF(N1193="No",0,IF(REVIEW!O1193=0,0,IF(G1193&gt;0,IF(INDEX(CONFIRM!$J$5:$J$53,G1193)&lt;&gt;"",INDEX(CONFIRM!$J$5:$J$53,G1193),1),1)))</f>
        <v>1</v>
      </c>
      <c r="AC1193" s="1" t="n">
        <f aca="false">IF(AB1193=1,IF(COUNTIFS($B$5:B1193,B1193,$D$5:D1193,D1193,$AB$5:AB1193,1)=1,1,0),0)</f>
        <v>0</v>
      </c>
    </row>
    <row r="1194" customFormat="false" ht="15" hidden="false" customHeight="false" outlineLevel="0" collapsed="false">
      <c r="A1194" s="48" t="str">
        <f aca="false">STACK!A1194</f>
        <v>WCH-0087</v>
      </c>
      <c r="B1194" s="48" t="str">
        <f aca="false">STACK!B1194</f>
        <v>WCH</v>
      </c>
      <c r="C1194" s="48" t="str">
        <f aca="false">STACK!E1194</f>
        <v>grief group</v>
      </c>
      <c r="D1194" s="1" t="str">
        <f aca="false">IFERROR(INDEX(MAP!$J$7:$J$101,MATCH(TRIM(C1194),MAP!$I$7:$I$101,0)),"UNMAPPED")</f>
        <v>Grief Support Group</v>
      </c>
      <c r="E1194" s="1" t="str">
        <f aca="false">IFERROR(INDEX(MAP!$K$7:$K$101,MATCH(TRIM(C1194),MAP!$I$7:$I$101,0)),"")</f>
        <v>Behavioral health</v>
      </c>
      <c r="F1194" s="1" t="str">
        <f aca="false">IFERROR(INDEX(MAP!$L$7:$L$101,MATCH(TRIM(C1194),MAP!$I$7:$I$101,0)),"")</f>
        <v>Event</v>
      </c>
      <c r="G1194" s="1" t="n">
        <f aca="false">IFERROR(MATCH(A1194,CONFIRM!$A$5:$A$53,0),0)</f>
        <v>0</v>
      </c>
      <c r="H1194" s="48" t="str">
        <f aca="false">STACK!F1194</f>
        <v>CHIS support</v>
      </c>
      <c r="I1194" s="1" t="str">
        <f aca="false">IF(G1194&gt;0,IF(INDEX(CONFIRM!$I$5:$I$53,G1194)&lt;&gt;"",INDEX(CONFIRM!$I$5:$I$53,G1194),H1194),H1194)</f>
        <v>CHIS support</v>
      </c>
      <c r="J1194" s="1" t="str">
        <f aca="false">IFERROR(INDEX(MAP!$F$7:$F$74,MATCH(TRIM(I1194),MAP!$E$7:$E$74,0)),"UNMAPPED")</f>
        <v>Health care support services</v>
      </c>
      <c r="K1194" s="1" t="str">
        <f aca="false">IFERROR(INDEX(MAP!$G$7:$G$74,MATCH(TRIM(I1194),MAP!$E$7:$E$74,0)),"UNMAPPED")</f>
        <v>7e</v>
      </c>
      <c r="L1194" s="49" t="str">
        <f aca="false">STACK!G1194</f>
        <v>10/11/25</v>
      </c>
      <c r="M1194" s="59" t="n">
        <f aca="false">IF(G1194&gt;0,IF(INDEX(CONFIRM!$G$5:$G$53,G1194)&lt;&gt;"",INDEX(CONFIRM!$G$5:$G$53,G1194),IF(ISNUMBER(L1194),L1194,IFERROR(DATEVALUE(L1194),""))),IF(ISNUMBER(L1194),L1194,IFERROR(DATEVALUE(L1194),"")))</f>
        <v>45941</v>
      </c>
      <c r="N1194" s="1" t="str">
        <f aca="false">IF(M1194="","Check",IF(AND(M1194&gt;=INPUTS!$C$6,M1194&lt;=INPUTS!$C$7),"Yes","No"))</f>
        <v>Yes</v>
      </c>
      <c r="O1194" s="48" t="str">
        <f aca="false">STACK!H1194</f>
        <v>MSW</v>
      </c>
      <c r="P1194" s="1" t="str">
        <f aca="false">IF(G1194&gt;0,IF(INDEX(CONFIRM!$H$5:$H$53,G1194)&lt;&gt;"",INDEX(CONFIRM!$H$5:$H$53,G1194),IFERROR(INDEX(MAP!$B$7:$B$156,MATCH(TRIM(O1194),MAP!$A$7:$A$156,0)),"UNMAPPED")),IFERROR(INDEX(MAP!$B$7:$B$156,MATCH(TRIM(O1194),MAP!$A$7:$A$156,0)),"UNMAPPED"))</f>
        <v>Social Worker</v>
      </c>
      <c r="Q1194" s="48" t="n">
        <f aca="false">STACK!I1194</f>
        <v>1.75</v>
      </c>
      <c r="R1194" s="60" t="n">
        <f aca="false">IF(G1194&gt;0,IF(INDEX(CONFIRM!$F$5:$F$53,G1194)&lt;&gt;"",INDEX(CONFIRM!$F$5:$F$53,G1194),IF(ISNUMBER(Q1194),Q1194,IF(Q1194="","",IFERROR(VALUE(TRIM(SUBSTITUTE(SUBSTITUTE(LOWER(Q1194),"hrs",""),"hr",""))),"")))),IF(ISNUMBER(Q1194),Q1194,IF(Q1194="","",IFERROR(VALUE(TRIM(SUBSTITUTE(SUBSTITUTE(LOWER(Q1194),"hrs",""),"hr",""))),""))))</f>
        <v>1.75</v>
      </c>
      <c r="S1194" s="57" t="n">
        <f aca="false">IFERROR(INDEX(RATES!$E$6:$E$28,MATCH(P1194,RATES!$A$6:$A$28,0)),0)</f>
        <v>45.6175</v>
      </c>
      <c r="T1194" s="61" t="n">
        <f aca="false">IF(ISNUMBER(R1194),R1194,0)*S1194</f>
        <v>79.830625</v>
      </c>
      <c r="U1194" s="61" t="n">
        <f aca="false">T1194*INDEX(INPUTS!$H$10:$H$14,MATCH(B1194,INPUTS!$A$10:$A$14,0))</f>
        <v>11.256118125</v>
      </c>
      <c r="V1194" s="61" t="n">
        <f aca="false">N(STACK!K1194)</f>
        <v>0</v>
      </c>
      <c r="W1194" s="61" t="n">
        <f aca="false">T1194+U1194+V1194</f>
        <v>91.086743125</v>
      </c>
      <c r="X1194" s="61" t="n">
        <f aca="false">N(STACK!L1194)</f>
        <v>0</v>
      </c>
      <c r="Y1194" s="61" t="n">
        <f aca="false">W1194-X1194</f>
        <v>91.086743125</v>
      </c>
      <c r="Z1194" s="1" t="n">
        <f aca="false">N(STACK!J1194)</f>
        <v>0</v>
      </c>
      <c r="AA1194" s="1" t="str">
        <f aca="false">TRIM(IF(D1194="UNMAPPED","Program not mapped. ","")&amp;IF(OR(K1194="UNMAPPED",K1194="UNASSIGNED"),"Category needs review. ","")&amp;IF(P1194="UNMAPPED","Title not mapped. ","")&amp;IF(AND(P1194&lt;&gt;"No staff time",R1194=""),"Missing hours. ","")&amp;IF(M1194="","Date not readable. ","")&amp;IF(N1194="No","Outside fiscal year. ","")&amp;IF(AND(F1194="Event",ISNUMBER(R1194)),IF(R1194&gt;12,"Event hours look high. ",""),"")&amp;IF(G1194&gt;0,"See CONFIRM sheet.",""))</f>
        <v/>
      </c>
      <c r="AB1194" s="1" t="n">
        <f aca="false">IF(N1194="No",0,IF(REVIEW!O1194=0,0,IF(G1194&gt;0,IF(INDEX(CONFIRM!$J$5:$J$53,G1194)&lt;&gt;"",INDEX(CONFIRM!$J$5:$J$53,G1194),1),1)))</f>
        <v>1</v>
      </c>
      <c r="AC1194" s="1" t="n">
        <f aca="false">IF(AB1194=1,IF(COUNTIFS($B$5:B1194,B1194,$D$5:D1194,D1194,$AB$5:AB1194,1)=1,1,0),0)</f>
        <v>0</v>
      </c>
    </row>
    <row r="1195" customFormat="false" ht="15" hidden="false" customHeight="false" outlineLevel="0" collapsed="false">
      <c r="A1195" s="48" t="str">
        <f aca="false">STACK!A1195</f>
        <v>WCH-0088</v>
      </c>
      <c r="B1195" s="48" t="str">
        <f aca="false">STACK!B1195</f>
        <v>WCH</v>
      </c>
      <c r="C1195" s="48" t="str">
        <f aca="false">STACK!E1195</f>
        <v>car seat check</v>
      </c>
      <c r="D1195" s="1" t="str">
        <f aca="false">IFERROR(INDEX(MAP!$J$7:$J$101,MATCH(TRIM(C1195),MAP!$I$7:$I$101,0)),"UNMAPPED")</f>
        <v>Car Seat Safety Checks</v>
      </c>
      <c r="E1195" s="1" t="str">
        <f aca="false">IFERROR(INDEX(MAP!$K$7:$K$101,MATCH(TRIM(C1195),MAP!$I$7:$I$101,0)),"")</f>
        <v>Maternal and child health</v>
      </c>
      <c r="F1195" s="1" t="str">
        <f aca="false">IFERROR(INDEX(MAP!$L$7:$L$101,MATCH(TRIM(C1195),MAP!$I$7:$I$101,0)),"")</f>
        <v>Event</v>
      </c>
      <c r="G1195" s="1" t="n">
        <f aca="false">IFERROR(MATCH(A1195,CONFIRM!$A$5:$A$53,0),0)</f>
        <v>0</v>
      </c>
      <c r="H1195" s="48" t="str">
        <f aca="false">STACK!F1195</f>
        <v>community health improvement services</v>
      </c>
      <c r="I1195" s="1" t="str">
        <f aca="false">IF(G1195&gt;0,IF(INDEX(CONFIRM!$I$5:$I$53,G1195)&lt;&gt;"",INDEX(CONFIRM!$I$5:$I$53,G1195),H1195),H1195)</f>
        <v>community health improvement services</v>
      </c>
      <c r="J1195" s="1" t="str">
        <f aca="false">IFERROR(INDEX(MAP!$F$7:$F$74,MATCH(TRIM(I1195),MAP!$E$7:$E$74,0)),"UNMAPPED")</f>
        <v>Community health education</v>
      </c>
      <c r="K1195" s="1" t="str">
        <f aca="false">IFERROR(INDEX(MAP!$G$7:$G$74,MATCH(TRIM(I1195),MAP!$E$7:$E$74,0)),"UNMAPPED")</f>
        <v>7e</v>
      </c>
      <c r="L1195" s="49" t="n">
        <f aca="false">STACK!G1195</f>
        <v>45959</v>
      </c>
      <c r="M1195" s="59" t="n">
        <f aca="false">IF(G1195&gt;0,IF(INDEX(CONFIRM!$G$5:$G$53,G1195)&lt;&gt;"",INDEX(CONFIRM!$G$5:$G$53,G1195),IF(ISNUMBER(L1195),L1195,IFERROR(DATEVALUE(L1195),""))),IF(ISNUMBER(L1195),L1195,IFERROR(DATEVALUE(L1195),"")))</f>
        <v>45959</v>
      </c>
      <c r="N1195" s="1" t="str">
        <f aca="false">IF(M1195="","Check",IF(AND(M1195&gt;=INPUTS!$C$6,M1195&lt;=INPUTS!$C$7),"Yes","No"))</f>
        <v>Yes</v>
      </c>
      <c r="O1195" s="48" t="str">
        <f aca="false">STACK!H1195</f>
        <v>Flight Paramedic</v>
      </c>
      <c r="P1195" s="1" t="str">
        <f aca="false">IF(G1195&gt;0,IF(INDEX(CONFIRM!$H$5:$H$53,G1195)&lt;&gt;"",INDEX(CONFIRM!$H$5:$H$53,G1195),IFERROR(INDEX(MAP!$B$7:$B$156,MATCH(TRIM(O1195),MAP!$A$7:$A$156,0)),"UNMAPPED")),IFERROR(INDEX(MAP!$B$7:$B$156,MATCH(TRIM(O1195),MAP!$A$7:$A$156,0)),"UNMAPPED"))</f>
        <v>Paramedic</v>
      </c>
      <c r="Q1195" s="48" t="n">
        <f aca="false">STACK!I1195</f>
        <v>3.25</v>
      </c>
      <c r="R1195" s="60" t="n">
        <f aca="false">IF(G1195&gt;0,IF(INDEX(CONFIRM!$F$5:$F$53,G1195)&lt;&gt;"",INDEX(CONFIRM!$F$5:$F$53,G1195),IF(ISNUMBER(Q1195),Q1195,IF(Q1195="","",IFERROR(VALUE(TRIM(SUBSTITUTE(SUBSTITUTE(LOWER(Q1195),"hrs",""),"hr",""))),"")))),IF(ISNUMBER(Q1195),Q1195,IF(Q1195="","",IFERROR(VALUE(TRIM(SUBSTITUTE(SUBSTITUTE(LOWER(Q1195),"hrs",""),"hr",""))),""))))</f>
        <v>3.25</v>
      </c>
      <c r="S1195" s="57" t="n">
        <f aca="false">IFERROR(INDEX(RATES!$E$6:$E$28,MATCH(P1195,RATES!$A$6:$A$28,0)),0)</f>
        <v>34.695</v>
      </c>
      <c r="T1195" s="61" t="n">
        <f aca="false">IF(ISNUMBER(R1195),R1195,0)*S1195</f>
        <v>112.75875</v>
      </c>
      <c r="U1195" s="61" t="n">
        <f aca="false">T1195*INDEX(INPUTS!$H$10:$H$14,MATCH(B1195,INPUTS!$A$10:$A$14,0))</f>
        <v>15.89898375</v>
      </c>
      <c r="V1195" s="61" t="n">
        <f aca="false">N(STACK!K1195)</f>
        <v>605</v>
      </c>
      <c r="W1195" s="61" t="n">
        <f aca="false">T1195+U1195+V1195</f>
        <v>733.65773375</v>
      </c>
      <c r="X1195" s="61" t="n">
        <f aca="false">N(STACK!L1195)</f>
        <v>210</v>
      </c>
      <c r="Y1195" s="61" t="n">
        <f aca="false">W1195-X1195</f>
        <v>523.65773375</v>
      </c>
      <c r="Z1195" s="1" t="n">
        <f aca="false">N(STACK!J1195)</f>
        <v>19</v>
      </c>
      <c r="AA1195" s="1" t="str">
        <f aca="false">TRIM(IF(D1195="UNMAPPED","Program not mapped. ","")&amp;IF(OR(K1195="UNMAPPED",K1195="UNASSIGNED"),"Category needs review. ","")&amp;IF(P1195="UNMAPPED","Title not mapped. ","")&amp;IF(AND(P1195&lt;&gt;"No staff time",R1195=""),"Missing hours. ","")&amp;IF(M1195="","Date not readable. ","")&amp;IF(N1195="No","Outside fiscal year. ","")&amp;IF(AND(F1195="Event",ISNUMBER(R1195)),IF(R1195&gt;12,"Event hours look high. ",""),"")&amp;IF(G1195&gt;0,"See CONFIRM sheet.",""))</f>
        <v/>
      </c>
      <c r="AB1195" s="1" t="n">
        <f aca="false">IF(N1195="No",0,IF(REVIEW!O1195=0,0,IF(G1195&gt;0,IF(INDEX(CONFIRM!$J$5:$J$53,G1195)&lt;&gt;"",INDEX(CONFIRM!$J$5:$J$53,G1195),1),1)))</f>
        <v>1</v>
      </c>
      <c r="AC1195" s="1" t="n">
        <f aca="false">IF(AB1195=1,IF(COUNTIFS($B$5:B1195,B1195,$D$5:D1195,D1195,$AB$5:AB1195,1)=1,1,0),0)</f>
        <v>0</v>
      </c>
    </row>
    <row r="1196" customFormat="false" ht="15" hidden="false" customHeight="false" outlineLevel="0" collapsed="false">
      <c r="A1196" s="48" t="str">
        <f aca="false">STACK!A1196</f>
        <v>WCH-0089</v>
      </c>
      <c r="B1196" s="48" t="str">
        <f aca="false">STACK!B1196</f>
        <v>WCH</v>
      </c>
      <c r="C1196" s="48" t="str">
        <f aca="false">STACK!E1196</f>
        <v>car seat check</v>
      </c>
      <c r="D1196" s="1" t="str">
        <f aca="false">IFERROR(INDEX(MAP!$J$7:$J$101,MATCH(TRIM(C1196),MAP!$I$7:$I$101,0)),"UNMAPPED")</f>
        <v>Car Seat Safety Checks</v>
      </c>
      <c r="E1196" s="1" t="str">
        <f aca="false">IFERROR(INDEX(MAP!$K$7:$K$101,MATCH(TRIM(C1196),MAP!$I$7:$I$101,0)),"")</f>
        <v>Maternal and child health</v>
      </c>
      <c r="F1196" s="1" t="str">
        <f aca="false">IFERROR(INDEX(MAP!$L$7:$L$101,MATCH(TRIM(C1196),MAP!$I$7:$I$101,0)),"")</f>
        <v>Event</v>
      </c>
      <c r="G1196" s="1" t="n">
        <f aca="false">IFERROR(MATCH(A1196,CONFIRM!$A$5:$A$53,0),0)</f>
        <v>0</v>
      </c>
      <c r="H1196" s="48" t="str">
        <f aca="false">STACK!F1196</f>
        <v>community health improvement services</v>
      </c>
      <c r="I1196" s="1" t="str">
        <f aca="false">IF(G1196&gt;0,IF(INDEX(CONFIRM!$I$5:$I$53,G1196)&lt;&gt;"",INDEX(CONFIRM!$I$5:$I$53,G1196),H1196),H1196)</f>
        <v>community health improvement services</v>
      </c>
      <c r="J1196" s="1" t="str">
        <f aca="false">IFERROR(INDEX(MAP!$F$7:$F$74,MATCH(TRIM(I1196),MAP!$E$7:$E$74,0)),"UNMAPPED")</f>
        <v>Community health education</v>
      </c>
      <c r="K1196" s="1" t="str">
        <f aca="false">IFERROR(INDEX(MAP!$G$7:$G$74,MATCH(TRIM(I1196),MAP!$E$7:$E$74,0)),"UNMAPPED")</f>
        <v>7e</v>
      </c>
      <c r="L1196" s="49" t="str">
        <f aca="false">STACK!G1196</f>
        <v>October 29, 2025</v>
      </c>
      <c r="M1196" s="59" t="n">
        <f aca="false">IF(G1196&gt;0,IF(INDEX(CONFIRM!$G$5:$G$53,G1196)&lt;&gt;"",INDEX(CONFIRM!$G$5:$G$53,G1196),IF(ISNUMBER(L1196),L1196,IFERROR(DATEVALUE(L1196),""))),IF(ISNUMBER(L1196),L1196,IFERROR(DATEVALUE(L1196),"")))</f>
        <v>45959</v>
      </c>
      <c r="N1196" s="1" t="str">
        <f aca="false">IF(M1196="","Check",IF(AND(M1196&gt;=INPUTS!$C$6,M1196&lt;=INPUTS!$C$7),"Yes","No"))</f>
        <v>Yes</v>
      </c>
      <c r="O1196" s="48" t="str">
        <f aca="false">STACK!H1196</f>
        <v>RN III</v>
      </c>
      <c r="P1196" s="1" t="str">
        <f aca="false">IF(G1196&gt;0,IF(INDEX(CONFIRM!$H$5:$H$53,G1196)&lt;&gt;"",INDEX(CONFIRM!$H$5:$H$53,G1196),IFERROR(INDEX(MAP!$B$7:$B$156,MATCH(TRIM(O1196),MAP!$A$7:$A$156,0)),"UNMAPPED")),IFERROR(INDEX(MAP!$B$7:$B$156,MATCH(TRIM(O1196),MAP!$A$7:$A$156,0)),"UNMAPPED"))</f>
        <v>Registered Nurse</v>
      </c>
      <c r="Q1196" s="48" t="str">
        <f aca="false">STACK!I1196</f>
        <v>3.25 hr</v>
      </c>
      <c r="R1196" s="60" t="n">
        <f aca="false">IF(G1196&gt;0,IF(INDEX(CONFIRM!$F$5:$F$53,G1196)&lt;&gt;"",INDEX(CONFIRM!$F$5:$F$53,G1196),IF(ISNUMBER(Q1196),Q1196,IF(Q1196="","",IFERROR(VALUE(TRIM(SUBSTITUTE(SUBSTITUTE(LOWER(Q1196),"hrs",""),"hr",""))),"")))),IF(ISNUMBER(Q1196),Q1196,IF(Q1196="","",IFERROR(VALUE(TRIM(SUBSTITUTE(SUBSTITUTE(LOWER(Q1196),"hrs",""),"hr",""))),""))))</f>
        <v>3.25</v>
      </c>
      <c r="S1196" s="57" t="n">
        <f aca="false">IFERROR(INDEX(RATES!$E$6:$E$28,MATCH(P1196,RATES!$A$6:$A$28,0)),0)</f>
        <v>55.8975</v>
      </c>
      <c r="T1196" s="61" t="n">
        <f aca="false">IF(ISNUMBER(R1196),R1196,0)*S1196</f>
        <v>181.666875</v>
      </c>
      <c r="U1196" s="61" t="n">
        <f aca="false">T1196*INDEX(INPUTS!$H$10:$H$14,MATCH(B1196,INPUTS!$A$10:$A$14,0))</f>
        <v>25.615029375</v>
      </c>
      <c r="V1196" s="61" t="n">
        <f aca="false">N(STACK!K1196)</f>
        <v>0</v>
      </c>
      <c r="W1196" s="61" t="n">
        <f aca="false">T1196+U1196+V1196</f>
        <v>207.281904375</v>
      </c>
      <c r="X1196" s="61" t="n">
        <f aca="false">N(STACK!L1196)</f>
        <v>0</v>
      </c>
      <c r="Y1196" s="61" t="n">
        <f aca="false">W1196-X1196</f>
        <v>207.281904375</v>
      </c>
      <c r="Z1196" s="1" t="n">
        <f aca="false">N(STACK!J1196)</f>
        <v>0</v>
      </c>
      <c r="AA1196" s="1" t="str">
        <f aca="false">TRIM(IF(D1196="UNMAPPED","Program not mapped. ","")&amp;IF(OR(K1196="UNMAPPED",K1196="UNASSIGNED"),"Category needs review. ","")&amp;IF(P1196="UNMAPPED","Title not mapped. ","")&amp;IF(AND(P1196&lt;&gt;"No staff time",R1196=""),"Missing hours. ","")&amp;IF(M1196="","Date not readable. ","")&amp;IF(N1196="No","Outside fiscal year. ","")&amp;IF(AND(F1196="Event",ISNUMBER(R1196)),IF(R1196&gt;12,"Event hours look high. ",""),"")&amp;IF(G1196&gt;0,"See CONFIRM sheet.",""))</f>
        <v/>
      </c>
      <c r="AB1196" s="1" t="n">
        <f aca="false">IF(N1196="No",0,IF(REVIEW!O1196=0,0,IF(G1196&gt;0,IF(INDEX(CONFIRM!$J$5:$J$53,G1196)&lt;&gt;"",INDEX(CONFIRM!$J$5:$J$53,G1196),1),1)))</f>
        <v>1</v>
      </c>
      <c r="AC1196" s="1" t="n">
        <f aca="false">IF(AB1196=1,IF(COUNTIFS($B$5:B1196,B1196,$D$5:D1196,D1196,$AB$5:AB1196,1)=1,1,0),0)</f>
        <v>0</v>
      </c>
    </row>
    <row r="1197" customFormat="false" ht="15" hidden="false" customHeight="false" outlineLevel="0" collapsed="false">
      <c r="A1197" s="48" t="str">
        <f aca="false">STACK!A1197</f>
        <v>WCH-0090</v>
      </c>
      <c r="B1197" s="48" t="str">
        <f aca="false">STACK!B1197</f>
        <v>WCH</v>
      </c>
      <c r="C1197" s="48" t="str">
        <f aca="false">STACK!E1197</f>
        <v>mobile van screenings</v>
      </c>
      <c r="D1197" s="1" t="str">
        <f aca="false">IFERROR(INDEX(MAP!$J$7:$J$101,MATCH(TRIM(C1197),MAP!$I$7:$I$101,0)),"UNMAPPED")</f>
        <v>Mobile Health Screening Unit</v>
      </c>
      <c r="E1197" s="1" t="str">
        <f aca="false">IFERROR(INDEX(MAP!$K$7:$K$101,MATCH(TRIM(C1197),MAP!$I$7:$I$101,0)),"")</f>
        <v>Access to care</v>
      </c>
      <c r="F1197" s="1" t="str">
        <f aca="false">IFERROR(INDEX(MAP!$L$7:$L$101,MATCH(TRIM(C1197),MAP!$I$7:$I$101,0)),"")</f>
        <v>Monthly</v>
      </c>
      <c r="G1197" s="1" t="n">
        <f aca="false">IFERROR(MATCH(A1197,CONFIRM!$A$5:$A$53,0),0)</f>
        <v>0</v>
      </c>
      <c r="H1197" s="48" t="str">
        <f aca="false">STACK!F1197</f>
        <v>CHIS clinical</v>
      </c>
      <c r="I1197" s="1" t="str">
        <f aca="false">IF(G1197&gt;0,IF(INDEX(CONFIRM!$I$5:$I$53,G1197)&lt;&gt;"",INDEX(CONFIRM!$I$5:$I$53,G1197),H1197),H1197)</f>
        <v>CHIS clinical</v>
      </c>
      <c r="J1197" s="1" t="str">
        <f aca="false">IFERROR(INDEX(MAP!$F$7:$F$74,MATCH(TRIM(I1197),MAP!$E$7:$E$74,0)),"UNMAPPED")</f>
        <v>Community-based clinical services</v>
      </c>
      <c r="K1197" s="1" t="str">
        <f aca="false">IFERROR(INDEX(MAP!$G$7:$G$74,MATCH(TRIM(I1197),MAP!$E$7:$E$74,0)),"UNMAPPED")</f>
        <v>7e</v>
      </c>
      <c r="L1197" s="49" t="n">
        <f aca="false">STACK!G1197</f>
        <v>45961</v>
      </c>
      <c r="M1197" s="59" t="n">
        <f aca="false">IF(G1197&gt;0,IF(INDEX(CONFIRM!$G$5:$G$53,G1197)&lt;&gt;"",INDEX(CONFIRM!$G$5:$G$53,G1197),IF(ISNUMBER(L1197),L1197,IFERROR(DATEVALUE(L1197),""))),IF(ISNUMBER(L1197),L1197,IFERROR(DATEVALUE(L1197),"")))</f>
        <v>45961</v>
      </c>
      <c r="N1197" s="1" t="str">
        <f aca="false">IF(M1197="","Check",IF(AND(M1197&gt;=INPUTS!$C$6,M1197&lt;=INPUTS!$C$7),"Yes","No"))</f>
        <v>Yes</v>
      </c>
      <c r="O1197" s="48" t="str">
        <f aca="false">STACK!H1197</f>
        <v>Comm Health Worker</v>
      </c>
      <c r="P1197" s="1" t="str">
        <f aca="false">IF(G1197&gt;0,IF(INDEX(CONFIRM!$H$5:$H$53,G1197)&lt;&gt;"",INDEX(CONFIRM!$H$5:$H$53,G1197),IFERROR(INDEX(MAP!$B$7:$B$156,MATCH(TRIM(O1197),MAP!$A$7:$A$156,0)),"UNMAPPED")),IFERROR(INDEX(MAP!$B$7:$B$156,MATCH(TRIM(O1197),MAP!$A$7:$A$156,0)),"UNMAPPED"))</f>
        <v>Community Health Worker</v>
      </c>
      <c r="Q1197" s="48" t="n">
        <f aca="false">STACK!I1197</f>
        <v>49</v>
      </c>
      <c r="R1197" s="60" t="n">
        <f aca="false">IF(G1197&gt;0,IF(INDEX(CONFIRM!$F$5:$F$53,G1197)&lt;&gt;"",INDEX(CONFIRM!$F$5:$F$53,G1197),IF(ISNUMBER(Q1197),Q1197,IF(Q1197="","",IFERROR(VALUE(TRIM(SUBSTITUTE(SUBSTITUTE(LOWER(Q1197),"hrs",""),"hr",""))),"")))),IF(ISNUMBER(Q1197),Q1197,IF(Q1197="","",IFERROR(VALUE(TRIM(SUBSTITUTE(SUBSTITUTE(LOWER(Q1197),"hrs",""),"hr",""))),""))))</f>
        <v>49</v>
      </c>
      <c r="S1197" s="57" t="n">
        <f aca="false">IFERROR(INDEX(RATES!$E$6:$E$28,MATCH(P1197,RATES!$A$6:$A$28,0)),0)</f>
        <v>27.6275</v>
      </c>
      <c r="T1197" s="61" t="n">
        <f aca="false">IF(ISNUMBER(R1197),R1197,0)*S1197</f>
        <v>1353.7475</v>
      </c>
      <c r="U1197" s="61" t="n">
        <f aca="false">T1197*INDEX(INPUTS!$H$10:$H$14,MATCH(B1197,INPUTS!$A$10:$A$14,0))</f>
        <v>190.8783975</v>
      </c>
      <c r="V1197" s="61" t="n">
        <f aca="false">N(STACK!K1197)</f>
        <v>0</v>
      </c>
      <c r="W1197" s="61" t="n">
        <f aca="false">T1197+U1197+V1197</f>
        <v>1544.6258975</v>
      </c>
      <c r="X1197" s="61" t="n">
        <f aca="false">N(STACK!L1197)</f>
        <v>0</v>
      </c>
      <c r="Y1197" s="61" t="n">
        <f aca="false">W1197-X1197</f>
        <v>1544.6258975</v>
      </c>
      <c r="Z1197" s="1" t="n">
        <f aca="false">N(STACK!J1197)</f>
        <v>0</v>
      </c>
      <c r="AA1197" s="1" t="str">
        <f aca="false">TRIM(IF(D1197="UNMAPPED","Program not mapped. ","")&amp;IF(OR(K1197="UNMAPPED",K1197="UNASSIGNED"),"Category needs review. ","")&amp;IF(P1197="UNMAPPED","Title not mapped. ","")&amp;IF(AND(P1197&lt;&gt;"No staff time",R1197=""),"Missing hours. ","")&amp;IF(M1197="","Date not readable. ","")&amp;IF(N1197="No","Outside fiscal year. ","")&amp;IF(AND(F1197="Event",ISNUMBER(R1197)),IF(R1197&gt;12,"Event hours look high. ",""),"")&amp;IF(G1197&gt;0,"See CONFIRM sheet.",""))</f>
        <v/>
      </c>
      <c r="AB1197" s="1" t="n">
        <f aca="false">IF(N1197="No",0,IF(REVIEW!O1197=0,0,IF(G1197&gt;0,IF(INDEX(CONFIRM!$J$5:$J$53,G1197)&lt;&gt;"",INDEX(CONFIRM!$J$5:$J$53,G1197),1),1)))</f>
        <v>1</v>
      </c>
      <c r="AC1197" s="1" t="n">
        <f aca="false">IF(AB1197=1,IF(COUNTIFS($B$5:B1197,B1197,$D$5:D1197,D1197,$AB$5:AB1197,1)=1,1,0),0)</f>
        <v>0</v>
      </c>
    </row>
    <row r="1198" customFormat="false" ht="15" hidden="false" customHeight="false" outlineLevel="0" collapsed="false">
      <c r="A1198" s="48" t="str">
        <f aca="false">STACK!A1198</f>
        <v>WCH-0091</v>
      </c>
      <c r="B1198" s="48" t="str">
        <f aca="false">STACK!B1198</f>
        <v>WCH</v>
      </c>
      <c r="C1198" s="48" t="str">
        <f aca="false">STACK!E1198</f>
        <v>mobile van screenings</v>
      </c>
      <c r="D1198" s="1" t="str">
        <f aca="false">IFERROR(INDEX(MAP!$J$7:$J$101,MATCH(TRIM(C1198),MAP!$I$7:$I$101,0)),"UNMAPPED")</f>
        <v>Mobile Health Screening Unit</v>
      </c>
      <c r="E1198" s="1" t="str">
        <f aca="false">IFERROR(INDEX(MAP!$K$7:$K$101,MATCH(TRIM(C1198),MAP!$I$7:$I$101,0)),"")</f>
        <v>Access to care</v>
      </c>
      <c r="F1198" s="1" t="str">
        <f aca="false">IFERROR(INDEX(MAP!$L$7:$L$101,MATCH(TRIM(C1198),MAP!$I$7:$I$101,0)),"")</f>
        <v>Monthly</v>
      </c>
      <c r="G1198" s="1" t="n">
        <f aca="false">IFERROR(MATCH(A1198,CONFIRM!$A$5:$A$53,0),0)</f>
        <v>0</v>
      </c>
      <c r="H1198" s="48" t="str">
        <f aca="false">STACK!F1198</f>
        <v>CHIS clinical</v>
      </c>
      <c r="I1198" s="1" t="str">
        <f aca="false">IF(G1198&gt;0,IF(INDEX(CONFIRM!$I$5:$I$53,G1198)&lt;&gt;"",INDEX(CONFIRM!$I$5:$I$53,G1198),H1198),H1198)</f>
        <v>CHIS clinical</v>
      </c>
      <c r="J1198" s="1" t="str">
        <f aca="false">IFERROR(INDEX(MAP!$F$7:$F$74,MATCH(TRIM(I1198),MAP!$E$7:$E$74,0)),"UNMAPPED")</f>
        <v>Community-based clinical services</v>
      </c>
      <c r="K1198" s="1" t="str">
        <f aca="false">IFERROR(INDEX(MAP!$G$7:$G$74,MATCH(TRIM(I1198),MAP!$E$7:$E$74,0)),"UNMAPPED")</f>
        <v>7e</v>
      </c>
      <c r="L1198" s="49" t="n">
        <f aca="false">STACK!G1198</f>
        <v>45961</v>
      </c>
      <c r="M1198" s="59" t="n">
        <f aca="false">IF(G1198&gt;0,IF(INDEX(CONFIRM!$G$5:$G$53,G1198)&lt;&gt;"",INDEX(CONFIRM!$G$5:$G$53,G1198),IF(ISNUMBER(L1198),L1198,IFERROR(DATEVALUE(L1198),""))),IF(ISNUMBER(L1198),L1198,IFERROR(DATEVALUE(L1198),"")))</f>
        <v>45961</v>
      </c>
      <c r="N1198" s="1" t="str">
        <f aca="false">IF(M1198="","Check",IF(AND(M1198&gt;=INPUTS!$C$6,M1198&lt;=INPUTS!$C$7),"Yes","No"))</f>
        <v>Yes</v>
      </c>
      <c r="O1198" s="48" t="str">
        <f aca="false">STACK!H1198</f>
        <v>Certified Medical Assistant</v>
      </c>
      <c r="P1198" s="1" t="str">
        <f aca="false">IF(G1198&gt;0,IF(INDEX(CONFIRM!$H$5:$H$53,G1198)&lt;&gt;"",INDEX(CONFIRM!$H$5:$H$53,G1198),IFERROR(INDEX(MAP!$B$7:$B$156,MATCH(TRIM(O1198),MAP!$A$7:$A$156,0)),"UNMAPPED")),IFERROR(INDEX(MAP!$B$7:$B$156,MATCH(TRIM(O1198),MAP!$A$7:$A$156,0)),"UNMAPPED"))</f>
        <v>Medical Assistant</v>
      </c>
      <c r="Q1198" s="48" t="n">
        <f aca="false">STACK!I1198</f>
        <v>69.25</v>
      </c>
      <c r="R1198" s="60" t="n">
        <f aca="false">IF(G1198&gt;0,IF(INDEX(CONFIRM!$F$5:$F$53,G1198)&lt;&gt;"",INDEX(CONFIRM!$F$5:$F$53,G1198),IF(ISNUMBER(Q1198),Q1198,IF(Q1198="","",IFERROR(VALUE(TRIM(SUBSTITUTE(SUBSTITUTE(LOWER(Q1198),"hrs",""),"hr",""))),"")))),IF(ISNUMBER(Q1198),Q1198,IF(Q1198="","",IFERROR(VALUE(TRIM(SUBSTITUTE(SUBSTITUTE(LOWER(Q1198),"hrs",""),"hr",""))),""))))</f>
        <v>69.25</v>
      </c>
      <c r="S1198" s="57" t="n">
        <f aca="false">IFERROR(INDEX(RATES!$E$6:$E$28,MATCH(P1198,RATES!$A$6:$A$28,0)),0)</f>
        <v>25.37875</v>
      </c>
      <c r="T1198" s="61" t="n">
        <f aca="false">IF(ISNUMBER(R1198),R1198,0)*S1198</f>
        <v>1757.4784375</v>
      </c>
      <c r="U1198" s="61" t="n">
        <f aca="false">T1198*INDEX(INPUTS!$H$10:$H$14,MATCH(B1198,INPUTS!$A$10:$A$14,0))</f>
        <v>247.8044596875</v>
      </c>
      <c r="V1198" s="61" t="n">
        <f aca="false">N(STACK!K1198)</f>
        <v>0</v>
      </c>
      <c r="W1198" s="61" t="n">
        <f aca="false">T1198+U1198+V1198</f>
        <v>2005.2828971875</v>
      </c>
      <c r="X1198" s="61" t="n">
        <f aca="false">N(STACK!L1198)</f>
        <v>0</v>
      </c>
      <c r="Y1198" s="61" t="n">
        <f aca="false">W1198-X1198</f>
        <v>2005.2828971875</v>
      </c>
      <c r="Z1198" s="1" t="n">
        <f aca="false">N(STACK!J1198)</f>
        <v>0</v>
      </c>
      <c r="AA1198" s="1" t="str">
        <f aca="false">TRIM(IF(D1198="UNMAPPED","Program not mapped. ","")&amp;IF(OR(K1198="UNMAPPED",K1198="UNASSIGNED"),"Category needs review. ","")&amp;IF(P1198="UNMAPPED","Title not mapped. ","")&amp;IF(AND(P1198&lt;&gt;"No staff time",R1198=""),"Missing hours. ","")&amp;IF(M1198="","Date not readable. ","")&amp;IF(N1198="No","Outside fiscal year. ","")&amp;IF(AND(F1198="Event",ISNUMBER(R1198)),IF(R1198&gt;12,"Event hours look high. ",""),"")&amp;IF(G1198&gt;0,"See CONFIRM sheet.",""))</f>
        <v/>
      </c>
      <c r="AB1198" s="1" t="n">
        <f aca="false">IF(N1198="No",0,IF(REVIEW!O1198=0,0,IF(G1198&gt;0,IF(INDEX(CONFIRM!$J$5:$J$53,G1198)&lt;&gt;"",INDEX(CONFIRM!$J$5:$J$53,G1198),1),1)))</f>
        <v>1</v>
      </c>
      <c r="AC1198" s="1" t="n">
        <f aca="false">IF(AB1198=1,IF(COUNTIFS($B$5:B1198,B1198,$D$5:D1198,D1198,$AB$5:AB1198,1)=1,1,0),0)</f>
        <v>0</v>
      </c>
    </row>
    <row r="1199" customFormat="false" ht="15" hidden="false" customHeight="false" outlineLevel="0" collapsed="false">
      <c r="A1199" s="48" t="str">
        <f aca="false">STACK!A1199</f>
        <v>WCH-0092</v>
      </c>
      <c r="B1199" s="48" t="str">
        <f aca="false">STACK!B1199</f>
        <v>WCH</v>
      </c>
      <c r="C1199" s="48" t="str">
        <f aca="false">STACK!E1199</f>
        <v>mobile van screenings</v>
      </c>
      <c r="D1199" s="1" t="str">
        <f aca="false">IFERROR(INDEX(MAP!$J$7:$J$101,MATCH(TRIM(C1199),MAP!$I$7:$I$101,0)),"UNMAPPED")</f>
        <v>Mobile Health Screening Unit</v>
      </c>
      <c r="E1199" s="1" t="str">
        <f aca="false">IFERROR(INDEX(MAP!$K$7:$K$101,MATCH(TRIM(C1199),MAP!$I$7:$I$101,0)),"")</f>
        <v>Access to care</v>
      </c>
      <c r="F1199" s="1" t="str">
        <f aca="false">IFERROR(INDEX(MAP!$L$7:$L$101,MATCH(TRIM(C1199),MAP!$I$7:$I$101,0)),"")</f>
        <v>Monthly</v>
      </c>
      <c r="G1199" s="1" t="n">
        <f aca="false">IFERROR(MATCH(A1199,CONFIRM!$A$5:$A$53,0),0)</f>
        <v>0</v>
      </c>
      <c r="H1199" s="48" t="str">
        <f aca="false">STACK!F1199</f>
        <v>CHIS clinical</v>
      </c>
      <c r="I1199" s="1" t="str">
        <f aca="false">IF(G1199&gt;0,IF(INDEX(CONFIRM!$I$5:$I$53,G1199)&lt;&gt;"",INDEX(CONFIRM!$I$5:$I$53,G1199),H1199),H1199)</f>
        <v>CHIS clinical</v>
      </c>
      <c r="J1199" s="1" t="str">
        <f aca="false">IFERROR(INDEX(MAP!$F$7:$F$74,MATCH(TRIM(I1199),MAP!$E$7:$E$74,0)),"UNMAPPED")</f>
        <v>Community-based clinical services</v>
      </c>
      <c r="K1199" s="1" t="str">
        <f aca="false">IFERROR(INDEX(MAP!$G$7:$G$74,MATCH(TRIM(I1199),MAP!$E$7:$E$74,0)),"UNMAPPED")</f>
        <v>7e</v>
      </c>
      <c r="L1199" s="49" t="n">
        <f aca="false">STACK!G1199</f>
        <v>45961</v>
      </c>
      <c r="M1199" s="59" t="n">
        <f aca="false">IF(G1199&gt;0,IF(INDEX(CONFIRM!$G$5:$G$53,G1199)&lt;&gt;"",INDEX(CONFIRM!$G$5:$G$53,G1199),IF(ISNUMBER(L1199),L1199,IFERROR(DATEVALUE(L1199),""))),IF(ISNUMBER(L1199),L1199,IFERROR(DATEVALUE(L1199),"")))</f>
        <v>45961</v>
      </c>
      <c r="N1199" s="1" t="str">
        <f aca="false">IF(M1199="","Check",IF(AND(M1199&gt;=INPUTS!$C$6,M1199&lt;=INPUTS!$C$7),"Yes","No"))</f>
        <v>Yes</v>
      </c>
      <c r="O1199" s="48" t="str">
        <f aca="false">STACK!H1199</f>
        <v> RN III</v>
      </c>
      <c r="P1199" s="1" t="str">
        <f aca="false">IF(G1199&gt;0,IF(INDEX(CONFIRM!$H$5:$H$53,G1199)&lt;&gt;"",INDEX(CONFIRM!$H$5:$H$53,G1199),IFERROR(INDEX(MAP!$B$7:$B$156,MATCH(TRIM(O1199),MAP!$A$7:$A$156,0)),"UNMAPPED")),IFERROR(INDEX(MAP!$B$7:$B$156,MATCH(TRIM(O1199),MAP!$A$7:$A$156,0)),"UNMAPPED"))</f>
        <v>Registered Nurse</v>
      </c>
      <c r="Q1199" s="48" t="n">
        <f aca="false">STACK!I1199</f>
        <v>80.75</v>
      </c>
      <c r="R1199" s="60" t="n">
        <f aca="false">IF(G1199&gt;0,IF(INDEX(CONFIRM!$F$5:$F$53,G1199)&lt;&gt;"",INDEX(CONFIRM!$F$5:$F$53,G1199),IF(ISNUMBER(Q1199),Q1199,IF(Q1199="","",IFERROR(VALUE(TRIM(SUBSTITUTE(SUBSTITUTE(LOWER(Q1199),"hrs",""),"hr",""))),"")))),IF(ISNUMBER(Q1199),Q1199,IF(Q1199="","",IFERROR(VALUE(TRIM(SUBSTITUTE(SUBSTITUTE(LOWER(Q1199),"hrs",""),"hr",""))),""))))</f>
        <v>80.75</v>
      </c>
      <c r="S1199" s="57" t="n">
        <f aca="false">IFERROR(INDEX(RATES!$E$6:$E$28,MATCH(P1199,RATES!$A$6:$A$28,0)),0)</f>
        <v>55.8975</v>
      </c>
      <c r="T1199" s="61" t="n">
        <f aca="false">IF(ISNUMBER(R1199),R1199,0)*S1199</f>
        <v>4513.723125</v>
      </c>
      <c r="U1199" s="61" t="n">
        <f aca="false">T1199*INDEX(INPUTS!$H$10:$H$14,MATCH(B1199,INPUTS!$A$10:$A$14,0))</f>
        <v>636.434960625</v>
      </c>
      <c r="V1199" s="61" t="n">
        <f aca="false">N(STACK!K1199)</f>
        <v>4920</v>
      </c>
      <c r="W1199" s="61" t="n">
        <f aca="false">T1199+U1199+V1199</f>
        <v>10070.158085625</v>
      </c>
      <c r="X1199" s="61" t="n">
        <f aca="false">N(STACK!L1199)</f>
        <v>0</v>
      </c>
      <c r="Y1199" s="61" t="n">
        <f aca="false">W1199-X1199</f>
        <v>10070.158085625</v>
      </c>
      <c r="Z1199" s="1" t="n">
        <f aca="false">N(STACK!J1199)</f>
        <v>147</v>
      </c>
      <c r="AA1199" s="1" t="str">
        <f aca="false">TRIM(IF(D1199="UNMAPPED","Program not mapped. ","")&amp;IF(OR(K1199="UNMAPPED",K1199="UNASSIGNED"),"Category needs review. ","")&amp;IF(P1199="UNMAPPED","Title not mapped. ","")&amp;IF(AND(P1199&lt;&gt;"No staff time",R1199=""),"Missing hours. ","")&amp;IF(M1199="","Date not readable. ","")&amp;IF(N1199="No","Outside fiscal year. ","")&amp;IF(AND(F1199="Event",ISNUMBER(R1199)),IF(R1199&gt;12,"Event hours look high. ",""),"")&amp;IF(G1199&gt;0,"See CONFIRM sheet.",""))</f>
        <v/>
      </c>
      <c r="AB1199" s="1" t="n">
        <f aca="false">IF(N1199="No",0,IF(REVIEW!O1199=0,0,IF(G1199&gt;0,IF(INDEX(CONFIRM!$J$5:$J$53,G1199)&lt;&gt;"",INDEX(CONFIRM!$J$5:$J$53,G1199),1),1)))</f>
        <v>1</v>
      </c>
      <c r="AC1199" s="1" t="n">
        <f aca="false">IF(AB1199=1,IF(COUNTIFS($B$5:B1199,B1199,$D$5:D1199,D1199,$AB$5:AB1199,1)=1,1,0),0)</f>
        <v>0</v>
      </c>
    </row>
    <row r="1200" customFormat="false" ht="15" hidden="false" customHeight="false" outlineLevel="0" collapsed="false">
      <c r="A1200" s="48" t="str">
        <f aca="false">STACK!A1200</f>
        <v>WCH-0093</v>
      </c>
      <c r="B1200" s="48" t="str">
        <f aca="false">STACK!B1200</f>
        <v>WCH</v>
      </c>
      <c r="C1200" s="48" t="str">
        <f aca="false">STACK!E1200</f>
        <v>chw outreach</v>
      </c>
      <c r="D1200" s="1" t="str">
        <f aca="false">IFERROR(INDEX(MAP!$J$7:$J$101,MATCH(TRIM(C1200),MAP!$I$7:$I$101,0)),"UNMAPPED")</f>
        <v>Community Health Worker Outreach</v>
      </c>
      <c r="E1200" s="1" t="str">
        <f aca="false">IFERROR(INDEX(MAP!$K$7:$K$101,MATCH(TRIM(C1200),MAP!$I$7:$I$101,0)),"")</f>
        <v>Access to care</v>
      </c>
      <c r="F1200" s="1" t="str">
        <f aca="false">IFERROR(INDEX(MAP!$L$7:$L$101,MATCH(TRIM(C1200),MAP!$I$7:$I$101,0)),"")</f>
        <v>Monthly</v>
      </c>
      <c r="G1200" s="1" t="n">
        <f aca="false">IFERROR(MATCH(A1200,CONFIRM!$A$5:$A$53,0),0)</f>
        <v>0</v>
      </c>
      <c r="H1200" s="48" t="str">
        <f aca="false">STACK!F1200</f>
        <v>CHIS support</v>
      </c>
      <c r="I1200" s="1" t="str">
        <f aca="false">IF(G1200&gt;0,IF(INDEX(CONFIRM!$I$5:$I$53,G1200)&lt;&gt;"",INDEX(CONFIRM!$I$5:$I$53,G1200),H1200),H1200)</f>
        <v>CHIS support</v>
      </c>
      <c r="J1200" s="1" t="str">
        <f aca="false">IFERROR(INDEX(MAP!$F$7:$F$74,MATCH(TRIM(I1200),MAP!$E$7:$E$74,0)),"UNMAPPED")</f>
        <v>Health care support services</v>
      </c>
      <c r="K1200" s="1" t="str">
        <f aca="false">IFERROR(INDEX(MAP!$G$7:$G$74,MATCH(TRIM(I1200),MAP!$E$7:$E$74,0)),"UNMAPPED")</f>
        <v>7e</v>
      </c>
      <c r="L1200" s="49" t="str">
        <f aca="false">STACK!G1200</f>
        <v>October 31, 2025</v>
      </c>
      <c r="M1200" s="59" t="n">
        <f aca="false">IF(G1200&gt;0,IF(INDEX(CONFIRM!$G$5:$G$53,G1200)&lt;&gt;"",INDEX(CONFIRM!$G$5:$G$53,G1200),IF(ISNUMBER(L1200),L1200,IFERROR(DATEVALUE(L1200),""))),IF(ISNUMBER(L1200),L1200,IFERROR(DATEVALUE(L1200),"")))</f>
        <v>45961</v>
      </c>
      <c r="N1200" s="1" t="str">
        <f aca="false">IF(M1200="","Check",IF(AND(M1200&gt;=INPUTS!$C$6,M1200&lt;=INPUTS!$C$7),"Yes","No"))</f>
        <v>Yes</v>
      </c>
      <c r="O1200" s="48" t="str">
        <f aca="false">STACK!H1200</f>
        <v>Comm. Health Worker</v>
      </c>
      <c r="P1200" s="1" t="str">
        <f aca="false">IF(G1200&gt;0,IF(INDEX(CONFIRM!$H$5:$H$53,G1200)&lt;&gt;"",INDEX(CONFIRM!$H$5:$H$53,G1200),IFERROR(INDEX(MAP!$B$7:$B$156,MATCH(TRIM(O1200),MAP!$A$7:$A$156,0)),"UNMAPPED")),IFERROR(INDEX(MAP!$B$7:$B$156,MATCH(TRIM(O1200),MAP!$A$7:$A$156,0)),"UNMAPPED"))</f>
        <v>Community Health Worker</v>
      </c>
      <c r="Q1200" s="48" t="str">
        <f aca="false">STACK!I1200</f>
        <v>257.75 hr</v>
      </c>
      <c r="R1200" s="60" t="n">
        <f aca="false">IF(G1200&gt;0,IF(INDEX(CONFIRM!$F$5:$F$53,G1200)&lt;&gt;"",INDEX(CONFIRM!$F$5:$F$53,G1200),IF(ISNUMBER(Q1200),Q1200,IF(Q1200="","",IFERROR(VALUE(TRIM(SUBSTITUTE(SUBSTITUTE(LOWER(Q1200),"hrs",""),"hr",""))),"")))),IF(ISNUMBER(Q1200),Q1200,IF(Q1200="","",IFERROR(VALUE(TRIM(SUBSTITUTE(SUBSTITUTE(LOWER(Q1200),"hrs",""),"hr",""))),""))))</f>
        <v>257.75</v>
      </c>
      <c r="S1200" s="57" t="n">
        <f aca="false">IFERROR(INDEX(RATES!$E$6:$E$28,MATCH(P1200,RATES!$A$6:$A$28,0)),0)</f>
        <v>27.6275</v>
      </c>
      <c r="T1200" s="61" t="n">
        <f aca="false">IF(ISNUMBER(R1200),R1200,0)*S1200</f>
        <v>7120.988125</v>
      </c>
      <c r="U1200" s="61" t="n">
        <f aca="false">T1200*INDEX(INPUTS!$H$10:$H$14,MATCH(B1200,INPUTS!$A$10:$A$14,0))</f>
        <v>1004.059325625</v>
      </c>
      <c r="V1200" s="61" t="n">
        <f aca="false">N(STACK!K1200)</f>
        <v>1490</v>
      </c>
      <c r="W1200" s="61" t="n">
        <f aca="false">T1200+U1200+V1200</f>
        <v>9615.047450625</v>
      </c>
      <c r="X1200" s="61" t="n">
        <f aca="false">N(STACK!L1200)</f>
        <v>0</v>
      </c>
      <c r="Y1200" s="61" t="n">
        <f aca="false">W1200-X1200</f>
        <v>9615.047450625</v>
      </c>
      <c r="Z1200" s="1" t="n">
        <f aca="false">N(STACK!J1200)</f>
        <v>212</v>
      </c>
      <c r="AA1200" s="1" t="str">
        <f aca="false">TRIM(IF(D1200="UNMAPPED","Program not mapped. ","")&amp;IF(OR(K1200="UNMAPPED",K1200="UNASSIGNED"),"Category needs review. ","")&amp;IF(P1200="UNMAPPED","Title not mapped. ","")&amp;IF(AND(P1200&lt;&gt;"No staff time",R1200=""),"Missing hours. ","")&amp;IF(M1200="","Date not readable. ","")&amp;IF(N1200="No","Outside fiscal year. ","")&amp;IF(AND(F1200="Event",ISNUMBER(R1200)),IF(R1200&gt;12,"Event hours look high. ",""),"")&amp;IF(G1200&gt;0,"See CONFIRM sheet.",""))</f>
        <v/>
      </c>
      <c r="AB1200" s="1" t="n">
        <f aca="false">IF(N1200="No",0,IF(REVIEW!O1200=0,0,IF(G1200&gt;0,IF(INDEX(CONFIRM!$J$5:$J$53,G1200)&lt;&gt;"",INDEX(CONFIRM!$J$5:$J$53,G1200),1),1)))</f>
        <v>1</v>
      </c>
      <c r="AC1200" s="1" t="n">
        <f aca="false">IF(AB1200=1,IF(COUNTIFS($B$5:B1200,B1200,$D$5:D1200,D1200,$AB$5:AB1200,1)=1,1,0),0)</f>
        <v>0</v>
      </c>
    </row>
    <row r="1201" customFormat="false" ht="15" hidden="false" customHeight="false" outlineLevel="0" collapsed="false">
      <c r="A1201" s="48" t="str">
        <f aca="false">STACK!A1201</f>
        <v>WCH-0094</v>
      </c>
      <c r="B1201" s="48" t="str">
        <f aca="false">STACK!B1201</f>
        <v>WCH</v>
      </c>
      <c r="C1201" s="48" t="str">
        <f aca="false">STACK!E1201</f>
        <v>chw outreach</v>
      </c>
      <c r="D1201" s="1" t="str">
        <f aca="false">IFERROR(INDEX(MAP!$J$7:$J$101,MATCH(TRIM(C1201),MAP!$I$7:$I$101,0)),"UNMAPPED")</f>
        <v>Community Health Worker Outreach</v>
      </c>
      <c r="E1201" s="1" t="str">
        <f aca="false">IFERROR(INDEX(MAP!$K$7:$K$101,MATCH(TRIM(C1201),MAP!$I$7:$I$101,0)),"")</f>
        <v>Access to care</v>
      </c>
      <c r="F1201" s="1" t="str">
        <f aca="false">IFERROR(INDEX(MAP!$L$7:$L$101,MATCH(TRIM(C1201),MAP!$I$7:$I$101,0)),"")</f>
        <v>Monthly</v>
      </c>
      <c r="G1201" s="1" t="n">
        <f aca="false">IFERROR(MATCH(A1201,CONFIRM!$A$5:$A$53,0),0)</f>
        <v>0</v>
      </c>
      <c r="H1201" s="48" t="str">
        <f aca="false">STACK!F1201</f>
        <v>CHIS support</v>
      </c>
      <c r="I1201" s="1" t="str">
        <f aca="false">IF(G1201&gt;0,IF(INDEX(CONFIRM!$I$5:$I$53,G1201)&lt;&gt;"",INDEX(CONFIRM!$I$5:$I$53,G1201),H1201),H1201)</f>
        <v>CHIS support</v>
      </c>
      <c r="J1201" s="1" t="str">
        <f aca="false">IFERROR(INDEX(MAP!$F$7:$F$74,MATCH(TRIM(I1201),MAP!$E$7:$E$74,0)),"UNMAPPED")</f>
        <v>Health care support services</v>
      </c>
      <c r="K1201" s="1" t="str">
        <f aca="false">IFERROR(INDEX(MAP!$G$7:$G$74,MATCH(TRIM(I1201),MAP!$E$7:$E$74,0)),"UNMAPPED")</f>
        <v>7e</v>
      </c>
      <c r="L1201" s="49" t="str">
        <f aca="false">STACK!G1201</f>
        <v>October 31, 2025</v>
      </c>
      <c r="M1201" s="59" t="n">
        <f aca="false">IF(G1201&gt;0,IF(INDEX(CONFIRM!$G$5:$G$53,G1201)&lt;&gt;"",INDEX(CONFIRM!$G$5:$G$53,G1201),IF(ISNUMBER(L1201),L1201,IFERROR(DATEVALUE(L1201),""))),IF(ISNUMBER(L1201),L1201,IFERROR(DATEVALUE(L1201),"")))</f>
        <v>45961</v>
      </c>
      <c r="N1201" s="1" t="str">
        <f aca="false">IF(M1201="","Check",IF(AND(M1201&gt;=INPUTS!$C$6,M1201&lt;=INPUTS!$C$7),"Yes","No"))</f>
        <v>Yes</v>
      </c>
      <c r="O1201" s="48" t="str">
        <f aca="false">STACK!H1201</f>
        <v>Care Navigator</v>
      </c>
      <c r="P1201" s="1" t="str">
        <f aca="false">IF(G1201&gt;0,IF(INDEX(CONFIRM!$H$5:$H$53,G1201)&lt;&gt;"",INDEX(CONFIRM!$H$5:$H$53,G1201),IFERROR(INDEX(MAP!$B$7:$B$156,MATCH(TRIM(O1201),MAP!$A$7:$A$156,0)),"UNMAPPED")),IFERROR(INDEX(MAP!$B$7:$B$156,MATCH(TRIM(O1201),MAP!$A$7:$A$156,0)),"UNMAPPED"))</f>
        <v>Patient Navigator</v>
      </c>
      <c r="Q1201" s="48" t="n">
        <f aca="false">STACK!I1201</f>
        <v>107.5</v>
      </c>
      <c r="R1201" s="60" t="n">
        <f aca="false">IF(G1201&gt;0,IF(INDEX(CONFIRM!$F$5:$F$53,G1201)&lt;&gt;"",INDEX(CONFIRM!$F$5:$F$53,G1201),IF(ISNUMBER(Q1201),Q1201,IF(Q1201="","",IFERROR(VALUE(TRIM(SUBSTITUTE(SUBSTITUTE(LOWER(Q1201),"hrs",""),"hr",""))),"")))),IF(ISNUMBER(Q1201),Q1201,IF(Q1201="","",IFERROR(VALUE(TRIM(SUBSTITUTE(SUBSTITUTE(LOWER(Q1201),"hrs",""),"hr",""))),""))))</f>
        <v>107.5</v>
      </c>
      <c r="S1201" s="57" t="n">
        <f aca="false">IFERROR(INDEX(RATES!$E$6:$E$28,MATCH(P1201,RATES!$A$6:$A$28,0)),0)</f>
        <v>30.84</v>
      </c>
      <c r="T1201" s="61" t="n">
        <f aca="false">IF(ISNUMBER(R1201),R1201,0)*S1201</f>
        <v>3315.3</v>
      </c>
      <c r="U1201" s="61" t="n">
        <f aca="false">T1201*INDEX(INPUTS!$H$10:$H$14,MATCH(B1201,INPUTS!$A$10:$A$14,0))</f>
        <v>467.4573</v>
      </c>
      <c r="V1201" s="61" t="n">
        <f aca="false">N(STACK!K1201)</f>
        <v>0</v>
      </c>
      <c r="W1201" s="61" t="n">
        <f aca="false">T1201+U1201+V1201</f>
        <v>3782.7573</v>
      </c>
      <c r="X1201" s="61" t="n">
        <f aca="false">N(STACK!L1201)</f>
        <v>0</v>
      </c>
      <c r="Y1201" s="61" t="n">
        <f aca="false">W1201-X1201</f>
        <v>3782.7573</v>
      </c>
      <c r="Z1201" s="1" t="n">
        <f aca="false">N(STACK!J1201)</f>
        <v>0</v>
      </c>
      <c r="AA1201" s="1" t="str">
        <f aca="false">TRIM(IF(D1201="UNMAPPED","Program not mapped. ","")&amp;IF(OR(K1201="UNMAPPED",K1201="UNASSIGNED"),"Category needs review. ","")&amp;IF(P1201="UNMAPPED","Title not mapped. ","")&amp;IF(AND(P1201&lt;&gt;"No staff time",R1201=""),"Missing hours. ","")&amp;IF(M1201="","Date not readable. ","")&amp;IF(N1201="No","Outside fiscal year. ","")&amp;IF(AND(F1201="Event",ISNUMBER(R1201)),IF(R1201&gt;12,"Event hours look high. ",""),"")&amp;IF(G1201&gt;0,"See CONFIRM sheet.",""))</f>
        <v/>
      </c>
      <c r="AB1201" s="1" t="n">
        <f aca="false">IF(N1201="No",0,IF(REVIEW!O1201=0,0,IF(G1201&gt;0,IF(INDEX(CONFIRM!$J$5:$J$53,G1201)&lt;&gt;"",INDEX(CONFIRM!$J$5:$J$53,G1201),1),1)))</f>
        <v>1</v>
      </c>
      <c r="AC1201" s="1" t="n">
        <f aca="false">IF(AB1201=1,IF(COUNTIFS($B$5:B1201,B1201,$D$5:D1201,D1201,$AB$5:AB1201,1)=1,1,0),0)</f>
        <v>0</v>
      </c>
    </row>
    <row r="1202" customFormat="false" ht="15" hidden="false" customHeight="false" outlineLevel="0" collapsed="false">
      <c r="A1202" s="48" t="str">
        <f aca="false">STACK!A1202</f>
        <v>WCH-0095</v>
      </c>
      <c r="B1202" s="48" t="str">
        <f aca="false">STACK!B1202</f>
        <v>WCH</v>
      </c>
      <c r="C1202" s="48" t="str">
        <f aca="false">STACK!E1202</f>
        <v>produce prescription</v>
      </c>
      <c r="D1202" s="1" t="str">
        <f aca="false">IFERROR(INDEX(MAP!$J$7:$J$101,MATCH(TRIM(C1202),MAP!$I$7:$I$101,0)),"UNMAPPED")</f>
        <v>Produce Prescription Program</v>
      </c>
      <c r="E1202" s="1" t="str">
        <f aca="false">IFERROR(INDEX(MAP!$K$7:$K$101,MATCH(TRIM(C1202),MAP!$I$7:$I$101,0)),"")</f>
        <v>Food and housing security</v>
      </c>
      <c r="F1202" s="1" t="str">
        <f aca="false">IFERROR(INDEX(MAP!$L$7:$L$101,MATCH(TRIM(C1202),MAP!$I$7:$I$101,0)),"")</f>
        <v>Monthly</v>
      </c>
      <c r="G1202" s="1" t="n">
        <f aca="false">IFERROR(MATCH(A1202,CONFIRM!$A$5:$A$53,0),0)</f>
        <v>0</v>
      </c>
      <c r="H1202" s="48" t="str">
        <f aca="false">STACK!F1202</f>
        <v>CHIS support</v>
      </c>
      <c r="I1202" s="1" t="str">
        <f aca="false">IF(G1202&gt;0,IF(INDEX(CONFIRM!$I$5:$I$53,G1202)&lt;&gt;"",INDEX(CONFIRM!$I$5:$I$53,G1202),H1202),H1202)</f>
        <v>CHIS support</v>
      </c>
      <c r="J1202" s="1" t="str">
        <f aca="false">IFERROR(INDEX(MAP!$F$7:$F$74,MATCH(TRIM(I1202),MAP!$E$7:$E$74,0)),"UNMAPPED")</f>
        <v>Health care support services</v>
      </c>
      <c r="K1202" s="1" t="str">
        <f aca="false">IFERROR(INDEX(MAP!$G$7:$G$74,MATCH(TRIM(I1202),MAP!$E$7:$E$74,0)),"UNMAPPED")</f>
        <v>7e</v>
      </c>
      <c r="L1202" s="49" t="n">
        <f aca="false">STACK!G1202</f>
        <v>45961</v>
      </c>
      <c r="M1202" s="59" t="n">
        <f aca="false">IF(G1202&gt;0,IF(INDEX(CONFIRM!$G$5:$G$53,G1202)&lt;&gt;"",INDEX(CONFIRM!$G$5:$G$53,G1202),IF(ISNUMBER(L1202),L1202,IFERROR(DATEVALUE(L1202),""))),IF(ISNUMBER(L1202),L1202,IFERROR(DATEVALUE(L1202),"")))</f>
        <v>45961</v>
      </c>
      <c r="N1202" s="1" t="str">
        <f aca="false">IF(M1202="","Check",IF(AND(M1202&gt;=INPUTS!$C$6,M1202&lt;=INPUTS!$C$7),"Yes","No"))</f>
        <v>Yes</v>
      </c>
      <c r="O1202" s="48" t="str">
        <f aca="false">STACK!H1202</f>
        <v>Comm. Health Worker </v>
      </c>
      <c r="P1202" s="1" t="str">
        <f aca="false">IF(G1202&gt;0,IF(INDEX(CONFIRM!$H$5:$H$53,G1202)&lt;&gt;"",INDEX(CONFIRM!$H$5:$H$53,G1202),IFERROR(INDEX(MAP!$B$7:$B$156,MATCH(TRIM(O1202),MAP!$A$7:$A$156,0)),"UNMAPPED")),IFERROR(INDEX(MAP!$B$7:$B$156,MATCH(TRIM(O1202),MAP!$A$7:$A$156,0)),"UNMAPPED"))</f>
        <v>Community Health Worker</v>
      </c>
      <c r="Q1202" s="48" t="n">
        <f aca="false">STACK!I1202</f>
        <v>37</v>
      </c>
      <c r="R1202" s="60" t="n">
        <f aca="false">IF(G1202&gt;0,IF(INDEX(CONFIRM!$F$5:$F$53,G1202)&lt;&gt;"",INDEX(CONFIRM!$F$5:$F$53,G1202),IF(ISNUMBER(Q1202),Q1202,IF(Q1202="","",IFERROR(VALUE(TRIM(SUBSTITUTE(SUBSTITUTE(LOWER(Q1202),"hrs",""),"hr",""))),"")))),IF(ISNUMBER(Q1202),Q1202,IF(Q1202="","",IFERROR(VALUE(TRIM(SUBSTITUTE(SUBSTITUTE(LOWER(Q1202),"hrs",""),"hr",""))),""))))</f>
        <v>37</v>
      </c>
      <c r="S1202" s="57" t="n">
        <f aca="false">IFERROR(INDEX(RATES!$E$6:$E$28,MATCH(P1202,RATES!$A$6:$A$28,0)),0)</f>
        <v>27.6275</v>
      </c>
      <c r="T1202" s="61" t="n">
        <f aca="false">IF(ISNUMBER(R1202),R1202,0)*S1202</f>
        <v>1022.2175</v>
      </c>
      <c r="U1202" s="61" t="n">
        <f aca="false">T1202*INDEX(INPUTS!$H$10:$H$14,MATCH(B1202,INPUTS!$A$10:$A$14,0))</f>
        <v>144.1326675</v>
      </c>
      <c r="V1202" s="61" t="n">
        <f aca="false">N(STACK!K1202)</f>
        <v>0</v>
      </c>
      <c r="W1202" s="61" t="n">
        <f aca="false">T1202+U1202+V1202</f>
        <v>1166.3501675</v>
      </c>
      <c r="X1202" s="61" t="n">
        <f aca="false">N(STACK!L1202)</f>
        <v>0</v>
      </c>
      <c r="Y1202" s="61" t="n">
        <f aca="false">W1202-X1202</f>
        <v>1166.3501675</v>
      </c>
      <c r="Z1202" s="1" t="n">
        <f aca="false">N(STACK!J1202)</f>
        <v>0</v>
      </c>
      <c r="AA1202" s="1" t="str">
        <f aca="false">TRIM(IF(D1202="UNMAPPED","Program not mapped. ","")&amp;IF(OR(K1202="UNMAPPED",K1202="UNASSIGNED"),"Category needs review. ","")&amp;IF(P1202="UNMAPPED","Title not mapped. ","")&amp;IF(AND(P1202&lt;&gt;"No staff time",R1202=""),"Missing hours. ","")&amp;IF(M1202="","Date not readable. ","")&amp;IF(N1202="No","Outside fiscal year. ","")&amp;IF(AND(F1202="Event",ISNUMBER(R1202)),IF(R1202&gt;12,"Event hours look high. ",""),"")&amp;IF(G1202&gt;0,"See CONFIRM sheet.",""))</f>
        <v/>
      </c>
      <c r="AB1202" s="1" t="n">
        <f aca="false">IF(N1202="No",0,IF(REVIEW!O1202=0,0,IF(G1202&gt;0,IF(INDEX(CONFIRM!$J$5:$J$53,G1202)&lt;&gt;"",INDEX(CONFIRM!$J$5:$J$53,G1202),1),1)))</f>
        <v>1</v>
      </c>
      <c r="AC1202" s="1" t="n">
        <f aca="false">IF(AB1202=1,IF(COUNTIFS($B$5:B1202,B1202,$D$5:D1202,D1202,$AB$5:AB1202,1)=1,1,0),0)</f>
        <v>0</v>
      </c>
    </row>
    <row r="1203" customFormat="false" ht="15" hidden="false" customHeight="false" outlineLevel="0" collapsed="false">
      <c r="A1203" s="48" t="str">
        <f aca="false">STACK!A1203</f>
        <v>WCH-0096</v>
      </c>
      <c r="B1203" s="48" t="str">
        <f aca="false">STACK!B1203</f>
        <v>WCH</v>
      </c>
      <c r="C1203" s="48" t="str">
        <f aca="false">STACK!E1203</f>
        <v>produce prescription</v>
      </c>
      <c r="D1203" s="1" t="str">
        <f aca="false">IFERROR(INDEX(MAP!$J$7:$J$101,MATCH(TRIM(C1203),MAP!$I$7:$I$101,0)),"UNMAPPED")</f>
        <v>Produce Prescription Program</v>
      </c>
      <c r="E1203" s="1" t="str">
        <f aca="false">IFERROR(INDEX(MAP!$K$7:$K$101,MATCH(TRIM(C1203),MAP!$I$7:$I$101,0)),"")</f>
        <v>Food and housing security</v>
      </c>
      <c r="F1203" s="1" t="str">
        <f aca="false">IFERROR(INDEX(MAP!$L$7:$L$101,MATCH(TRIM(C1203),MAP!$I$7:$I$101,0)),"")</f>
        <v>Monthly</v>
      </c>
      <c r="G1203" s="1" t="n">
        <f aca="false">IFERROR(MATCH(A1203,CONFIRM!$A$5:$A$53,0),0)</f>
        <v>0</v>
      </c>
      <c r="H1203" s="48" t="str">
        <f aca="false">STACK!F1203</f>
        <v>CHIS support</v>
      </c>
      <c r="I1203" s="1" t="str">
        <f aca="false">IF(G1203&gt;0,IF(INDEX(CONFIRM!$I$5:$I$53,G1203)&lt;&gt;"",INDEX(CONFIRM!$I$5:$I$53,G1203),H1203),H1203)</f>
        <v>CHIS support</v>
      </c>
      <c r="J1203" s="1" t="str">
        <f aca="false">IFERROR(INDEX(MAP!$F$7:$F$74,MATCH(TRIM(I1203),MAP!$E$7:$E$74,0)),"UNMAPPED")</f>
        <v>Health care support services</v>
      </c>
      <c r="K1203" s="1" t="str">
        <f aca="false">IFERROR(INDEX(MAP!$G$7:$G$74,MATCH(TRIM(I1203),MAP!$E$7:$E$74,0)),"UNMAPPED")</f>
        <v>7e</v>
      </c>
      <c r="L1203" s="49" t="n">
        <f aca="false">STACK!G1203</f>
        <v>45961</v>
      </c>
      <c r="M1203" s="59" t="n">
        <f aca="false">IF(G1203&gt;0,IF(INDEX(CONFIRM!$G$5:$G$53,G1203)&lt;&gt;"",INDEX(CONFIRM!$G$5:$G$53,G1203),IF(ISNUMBER(L1203),L1203,IFERROR(DATEVALUE(L1203),""))),IF(ISNUMBER(L1203),L1203,IFERROR(DATEVALUE(L1203),"")))</f>
        <v>45961</v>
      </c>
      <c r="N1203" s="1" t="str">
        <f aca="false">IF(M1203="","Check",IF(AND(M1203&gt;=INPUTS!$C$6,M1203&lt;=INPUTS!$C$7),"Yes","No"))</f>
        <v>Yes</v>
      </c>
      <c r="O1203" s="48" t="str">
        <f aca="false">STACK!H1203</f>
        <v>RDN</v>
      </c>
      <c r="P1203" s="1" t="str">
        <f aca="false">IF(G1203&gt;0,IF(INDEX(CONFIRM!$H$5:$H$53,G1203)&lt;&gt;"",INDEX(CONFIRM!$H$5:$H$53,G1203),IFERROR(INDEX(MAP!$B$7:$B$156,MATCH(TRIM(O1203),MAP!$A$7:$A$156,0)),"UNMAPPED")),IFERROR(INDEX(MAP!$B$7:$B$156,MATCH(TRIM(O1203),MAP!$A$7:$A$156,0)),"UNMAPPED"))</f>
        <v>Registered Dietitian</v>
      </c>
      <c r="Q1203" s="48" t="n">
        <f aca="false">STACK!I1203</f>
        <v>20</v>
      </c>
      <c r="R1203" s="60" t="n">
        <f aca="false">IF(G1203&gt;0,IF(INDEX(CONFIRM!$F$5:$F$53,G1203)&lt;&gt;"",INDEX(CONFIRM!$F$5:$F$53,G1203),IF(ISNUMBER(Q1203),Q1203,IF(Q1203="","",IFERROR(VALUE(TRIM(SUBSTITUTE(SUBSTITUTE(LOWER(Q1203),"hrs",""),"hr",""))),"")))),IF(ISNUMBER(Q1203),Q1203,IF(Q1203="","",IFERROR(VALUE(TRIM(SUBSTITUTE(SUBSTITUTE(LOWER(Q1203),"hrs",""),"hr",""))),""))))</f>
        <v>20</v>
      </c>
      <c r="S1203" s="57" t="n">
        <f aca="false">IFERROR(INDEX(RATES!$E$6:$E$28,MATCH(P1203,RATES!$A$6:$A$28,0)),0)</f>
        <v>46.9025</v>
      </c>
      <c r="T1203" s="61" t="n">
        <f aca="false">IF(ISNUMBER(R1203),R1203,0)*S1203</f>
        <v>938.05</v>
      </c>
      <c r="U1203" s="61" t="n">
        <f aca="false">T1203*INDEX(INPUTS!$H$10:$H$14,MATCH(B1203,INPUTS!$A$10:$A$14,0))</f>
        <v>132.26505</v>
      </c>
      <c r="V1203" s="61" t="n">
        <f aca="false">N(STACK!K1203)</f>
        <v>6895</v>
      </c>
      <c r="W1203" s="61" t="n">
        <f aca="false">T1203+U1203+V1203</f>
        <v>7965.31505</v>
      </c>
      <c r="X1203" s="61" t="n">
        <f aca="false">N(STACK!L1203)</f>
        <v>7970</v>
      </c>
      <c r="Y1203" s="61" t="n">
        <f aca="false">W1203-X1203</f>
        <v>-4.68494999999984</v>
      </c>
      <c r="Z1203" s="1" t="n">
        <f aca="false">N(STACK!J1203)</f>
        <v>101</v>
      </c>
      <c r="AA1203" s="1" t="str">
        <f aca="false">TRIM(IF(D1203="UNMAPPED","Program not mapped. ","")&amp;IF(OR(K1203="UNMAPPED",K1203="UNASSIGNED"),"Category needs review. ","")&amp;IF(P1203="UNMAPPED","Title not mapped. ","")&amp;IF(AND(P1203&lt;&gt;"No staff time",R1203=""),"Missing hours. ","")&amp;IF(M1203="","Date not readable. ","")&amp;IF(N1203="No","Outside fiscal year. ","")&amp;IF(AND(F1203="Event",ISNUMBER(R1203)),IF(R1203&gt;12,"Event hours look high. ",""),"")&amp;IF(G1203&gt;0,"See CONFIRM sheet.",""))</f>
        <v/>
      </c>
      <c r="AB1203" s="1" t="n">
        <f aca="false">IF(N1203="No",0,IF(REVIEW!O1203=0,0,IF(G1203&gt;0,IF(INDEX(CONFIRM!$J$5:$J$53,G1203)&lt;&gt;"",INDEX(CONFIRM!$J$5:$J$53,G1203),1),1)))</f>
        <v>1</v>
      </c>
      <c r="AC1203" s="1" t="n">
        <f aca="false">IF(AB1203=1,IF(COUNTIFS($B$5:B1203,B1203,$D$5:D1203,D1203,$AB$5:AB1203,1)=1,1,0),0)</f>
        <v>0</v>
      </c>
    </row>
    <row r="1204" customFormat="false" ht="15" hidden="false" customHeight="false" outlineLevel="0" collapsed="false">
      <c r="A1204" s="48" t="str">
        <f aca="false">STACK!A1204</f>
        <v>WCH-0097</v>
      </c>
      <c r="B1204" s="48" t="str">
        <f aca="false">STACK!B1204</f>
        <v>WCH</v>
      </c>
      <c r="C1204" s="48" t="str">
        <f aca="false">STACK!E1204</f>
        <v>cb admin</v>
      </c>
      <c r="D1204" s="1" t="str">
        <f aca="false">IFERROR(INDEX(MAP!$J$7:$J$101,MATCH(TRIM(C1204),MAP!$I$7:$I$101,0)),"UNMAPPED")</f>
        <v>Community Benefit Program Administration</v>
      </c>
      <c r="E1204" s="1" t="str">
        <f aca="false">IFERROR(INDEX(MAP!$K$7:$K$101,MATCH(TRIM(C1204),MAP!$I$7:$I$101,0)),"")</f>
        <v>Community benefit infrastructure</v>
      </c>
      <c r="F1204" s="1" t="str">
        <f aca="false">IFERROR(INDEX(MAP!$L$7:$L$101,MATCH(TRIM(C1204),MAP!$I$7:$I$101,0)),"")</f>
        <v>Monthly</v>
      </c>
      <c r="G1204" s="1" t="n">
        <f aca="false">IFERROR(MATCH(A1204,CONFIRM!$A$5:$A$53,0),0)</f>
        <v>0</v>
      </c>
      <c r="H1204" s="48" t="str">
        <f aca="false">STACK!F1204</f>
        <v>cb operations</v>
      </c>
      <c r="I1204" s="1" t="str">
        <f aca="false">IF(G1204&gt;0,IF(INDEX(CONFIRM!$I$5:$I$53,G1204)&lt;&gt;"",INDEX(CONFIRM!$I$5:$I$53,G1204),H1204),H1204)</f>
        <v>cb operations</v>
      </c>
      <c r="J1204" s="1" t="str">
        <f aca="false">IFERROR(INDEX(MAP!$F$7:$F$74,MATCH(TRIM(I1204),MAP!$E$7:$E$74,0)),"UNMAPPED")</f>
        <v>Community benefit operations</v>
      </c>
      <c r="K1204" s="1" t="str">
        <f aca="false">IFERROR(INDEX(MAP!$G$7:$G$74,MATCH(TRIM(I1204),MAP!$E$7:$E$74,0)),"UNMAPPED")</f>
        <v>7e</v>
      </c>
      <c r="L1204" s="49" t="str">
        <f aca="false">STACK!G1204</f>
        <v>October 31, 2025</v>
      </c>
      <c r="M1204" s="59" t="n">
        <f aca="false">IF(G1204&gt;0,IF(INDEX(CONFIRM!$G$5:$G$53,G1204)&lt;&gt;"",INDEX(CONFIRM!$G$5:$G$53,G1204),IF(ISNUMBER(L1204),L1204,IFERROR(DATEVALUE(L1204),""))),IF(ISNUMBER(L1204),L1204,IFERROR(DATEVALUE(L1204),"")))</f>
        <v>45961</v>
      </c>
      <c r="N1204" s="1" t="str">
        <f aca="false">IF(M1204="","Check",IF(AND(M1204&gt;=INPUTS!$C$6,M1204&lt;=INPUTS!$C$7),"Yes","No"))</f>
        <v>Yes</v>
      </c>
      <c r="O1204" s="48" t="str">
        <f aca="false">STACK!H1204</f>
        <v>Secretary</v>
      </c>
      <c r="P1204" s="1" t="str">
        <f aca="false">IF(G1204&gt;0,IF(INDEX(CONFIRM!$H$5:$H$53,G1204)&lt;&gt;"",INDEX(CONFIRM!$H$5:$H$53,G1204),IFERROR(INDEX(MAP!$B$7:$B$156,MATCH(TRIM(O1204),MAP!$A$7:$A$156,0)),"UNMAPPED")),IFERROR(INDEX(MAP!$B$7:$B$156,MATCH(TRIM(O1204),MAP!$A$7:$A$156,0)),"UNMAPPED"))</f>
        <v>Administrative Assistant</v>
      </c>
      <c r="Q1204" s="48" t="n">
        <f aca="false">STACK!I1204</f>
        <v>41.25</v>
      </c>
      <c r="R1204" s="60" t="n">
        <f aca="false">IF(G1204&gt;0,IF(INDEX(CONFIRM!$F$5:$F$53,G1204)&lt;&gt;"",INDEX(CONFIRM!$F$5:$F$53,G1204),IF(ISNUMBER(Q1204),Q1204,IF(Q1204="","",IFERROR(VALUE(TRIM(SUBSTITUTE(SUBSTITUTE(LOWER(Q1204),"hrs",""),"hr",""))),"")))),IF(ISNUMBER(Q1204),Q1204,IF(Q1204="","",IFERROR(VALUE(TRIM(SUBSTITUTE(SUBSTITUTE(LOWER(Q1204),"hrs",""),"hr",""))),""))))</f>
        <v>41.25</v>
      </c>
      <c r="S1204" s="57" t="n">
        <f aca="false">IFERROR(INDEX(RATES!$E$6:$E$28,MATCH(P1204,RATES!$A$6:$A$28,0)),0)</f>
        <v>26.985</v>
      </c>
      <c r="T1204" s="61" t="n">
        <f aca="false">IF(ISNUMBER(R1204),R1204,0)*S1204</f>
        <v>1113.13125</v>
      </c>
      <c r="U1204" s="61" t="n">
        <f aca="false">T1204*INDEX(INPUTS!$H$10:$H$14,MATCH(B1204,INPUTS!$A$10:$A$14,0))</f>
        <v>156.95150625</v>
      </c>
      <c r="V1204" s="61" t="n">
        <f aca="false">N(STACK!K1204)</f>
        <v>0</v>
      </c>
      <c r="W1204" s="61" t="n">
        <f aca="false">T1204+U1204+V1204</f>
        <v>1270.08275625</v>
      </c>
      <c r="X1204" s="61" t="n">
        <f aca="false">N(STACK!L1204)</f>
        <v>0</v>
      </c>
      <c r="Y1204" s="61" t="n">
        <f aca="false">W1204-X1204</f>
        <v>1270.08275625</v>
      </c>
      <c r="Z1204" s="1" t="n">
        <f aca="false">N(STACK!J1204)</f>
        <v>0</v>
      </c>
      <c r="AA1204" s="1" t="str">
        <f aca="false">TRIM(IF(D1204="UNMAPPED","Program not mapped. ","")&amp;IF(OR(K1204="UNMAPPED",K1204="UNASSIGNED"),"Category needs review. ","")&amp;IF(P1204="UNMAPPED","Title not mapped. ","")&amp;IF(AND(P1204&lt;&gt;"No staff time",R1204=""),"Missing hours. ","")&amp;IF(M1204="","Date not readable. ","")&amp;IF(N1204="No","Outside fiscal year. ","")&amp;IF(AND(F1204="Event",ISNUMBER(R1204)),IF(R1204&gt;12,"Event hours look high. ",""),"")&amp;IF(G1204&gt;0,"See CONFIRM sheet.",""))</f>
        <v/>
      </c>
      <c r="AB1204" s="1" t="n">
        <f aca="false">IF(N1204="No",0,IF(REVIEW!O1204=0,0,IF(G1204&gt;0,IF(INDEX(CONFIRM!$J$5:$J$53,G1204)&lt;&gt;"",INDEX(CONFIRM!$J$5:$J$53,G1204),1),1)))</f>
        <v>1</v>
      </c>
      <c r="AC1204" s="1" t="n">
        <f aca="false">IF(AB1204=1,IF(COUNTIFS($B$5:B1204,B1204,$D$5:D1204,D1204,$AB$5:AB1204,1)=1,1,0),0)</f>
        <v>0</v>
      </c>
    </row>
    <row r="1205" customFormat="false" ht="15" hidden="false" customHeight="false" outlineLevel="0" collapsed="false">
      <c r="A1205" s="48" t="str">
        <f aca="false">STACK!A1205</f>
        <v>WCH-0098</v>
      </c>
      <c r="B1205" s="48" t="str">
        <f aca="false">STACK!B1205</f>
        <v>WCH</v>
      </c>
      <c r="C1205" s="48" t="str">
        <f aca="false">STACK!E1205</f>
        <v>cb admin</v>
      </c>
      <c r="D1205" s="1" t="str">
        <f aca="false">IFERROR(INDEX(MAP!$J$7:$J$101,MATCH(TRIM(C1205),MAP!$I$7:$I$101,0)),"UNMAPPED")</f>
        <v>Community Benefit Program Administration</v>
      </c>
      <c r="E1205" s="1" t="str">
        <f aca="false">IFERROR(INDEX(MAP!$K$7:$K$101,MATCH(TRIM(C1205),MAP!$I$7:$I$101,0)),"")</f>
        <v>Community benefit infrastructure</v>
      </c>
      <c r="F1205" s="1" t="str">
        <f aca="false">IFERROR(INDEX(MAP!$L$7:$L$101,MATCH(TRIM(C1205),MAP!$I$7:$I$101,0)),"")</f>
        <v>Monthly</v>
      </c>
      <c r="G1205" s="1" t="n">
        <f aca="false">IFERROR(MATCH(A1205,CONFIRM!$A$5:$A$53,0),0)</f>
        <v>0</v>
      </c>
      <c r="H1205" s="48" t="str">
        <f aca="false">STACK!F1205</f>
        <v>cb operations</v>
      </c>
      <c r="I1205" s="1" t="str">
        <f aca="false">IF(G1205&gt;0,IF(INDEX(CONFIRM!$I$5:$I$53,G1205)&lt;&gt;"",INDEX(CONFIRM!$I$5:$I$53,G1205),H1205),H1205)</f>
        <v>cb operations</v>
      </c>
      <c r="J1205" s="1" t="str">
        <f aca="false">IFERROR(INDEX(MAP!$F$7:$F$74,MATCH(TRIM(I1205),MAP!$E$7:$E$74,0)),"UNMAPPED")</f>
        <v>Community benefit operations</v>
      </c>
      <c r="K1205" s="1" t="str">
        <f aca="false">IFERROR(INDEX(MAP!$G$7:$G$74,MATCH(TRIM(I1205),MAP!$E$7:$E$74,0)),"UNMAPPED")</f>
        <v>7e</v>
      </c>
      <c r="L1205" s="49" t="n">
        <f aca="false">STACK!G1205</f>
        <v>45961</v>
      </c>
      <c r="M1205" s="59" t="n">
        <f aca="false">IF(G1205&gt;0,IF(INDEX(CONFIRM!$G$5:$G$53,G1205)&lt;&gt;"",INDEX(CONFIRM!$G$5:$G$53,G1205),IF(ISNUMBER(L1205),L1205,IFERROR(DATEVALUE(L1205),""))),IF(ISNUMBER(L1205),L1205,IFERROR(DATEVALUE(L1205),"")))</f>
        <v>45961</v>
      </c>
      <c r="N1205" s="1" t="str">
        <f aca="false">IF(M1205="","Check",IF(AND(M1205&gt;=INPUTS!$C$6,M1205&lt;=INPUTS!$C$7),"Yes","No"))</f>
        <v>Yes</v>
      </c>
      <c r="O1205" s="48" t="str">
        <f aca="false">STACK!H1205</f>
        <v>Community Benefit Mgr</v>
      </c>
      <c r="P1205" s="1" t="str">
        <f aca="false">IF(G1205&gt;0,IF(INDEX(CONFIRM!$H$5:$H$53,G1205)&lt;&gt;"",INDEX(CONFIRM!$H$5:$H$53,G1205),IFERROR(INDEX(MAP!$B$7:$B$156,MATCH(TRIM(O1205),MAP!$A$7:$A$156,0)),"UNMAPPED")),IFERROR(INDEX(MAP!$B$7:$B$156,MATCH(TRIM(O1205),MAP!$A$7:$A$156,0)),"UNMAPPED"))</f>
        <v>Community Benefit Manager</v>
      </c>
      <c r="Q1205" s="48" t="n">
        <f aca="false">STACK!I1205</f>
        <v>46.5</v>
      </c>
      <c r="R1205" s="60" t="n">
        <f aca="false">IF(G1205&gt;0,IF(INDEX(CONFIRM!$F$5:$F$53,G1205)&lt;&gt;"",INDEX(CONFIRM!$F$5:$F$53,G1205),IF(ISNUMBER(Q1205),Q1205,IF(Q1205="","",IFERROR(VALUE(TRIM(SUBSTITUTE(SUBSTITUTE(LOWER(Q1205),"hrs",""),"hr",""))),"")))),IF(ISNUMBER(Q1205),Q1205,IF(Q1205="","",IFERROR(VALUE(TRIM(SUBSTITUTE(SUBSTITUTE(LOWER(Q1205),"hrs",""),"hr",""))),""))))</f>
        <v>46.5</v>
      </c>
      <c r="S1205" s="57" t="n">
        <f aca="false">IFERROR(INDEX(RATES!$E$6:$E$28,MATCH(P1205,RATES!$A$6:$A$28,0)),0)</f>
        <v>59.11</v>
      </c>
      <c r="T1205" s="61" t="n">
        <f aca="false">IF(ISNUMBER(R1205),R1205,0)*S1205</f>
        <v>2748.615</v>
      </c>
      <c r="U1205" s="61" t="n">
        <f aca="false">T1205*INDEX(INPUTS!$H$10:$H$14,MATCH(B1205,INPUTS!$A$10:$A$14,0))</f>
        <v>387.554715</v>
      </c>
      <c r="V1205" s="61" t="n">
        <f aca="false">N(STACK!K1205)</f>
        <v>245</v>
      </c>
      <c r="W1205" s="61" t="n">
        <f aca="false">T1205+U1205+V1205</f>
        <v>3381.169715</v>
      </c>
      <c r="X1205" s="61" t="n">
        <f aca="false">N(STACK!L1205)</f>
        <v>0</v>
      </c>
      <c r="Y1205" s="61" t="n">
        <f aca="false">W1205-X1205</f>
        <v>3381.169715</v>
      </c>
      <c r="Z1205" s="1" t="n">
        <f aca="false">N(STACK!J1205)</f>
        <v>0</v>
      </c>
      <c r="AA1205" s="1" t="str">
        <f aca="false">TRIM(IF(D1205="UNMAPPED","Program not mapped. ","")&amp;IF(OR(K1205="UNMAPPED",K1205="UNASSIGNED"),"Category needs review. ","")&amp;IF(P1205="UNMAPPED","Title not mapped. ","")&amp;IF(AND(P1205&lt;&gt;"No staff time",R1205=""),"Missing hours. ","")&amp;IF(M1205="","Date not readable. ","")&amp;IF(N1205="No","Outside fiscal year. ","")&amp;IF(AND(F1205="Event",ISNUMBER(R1205)),IF(R1205&gt;12,"Event hours look high. ",""),"")&amp;IF(G1205&gt;0,"See CONFIRM sheet.",""))</f>
        <v/>
      </c>
      <c r="AB1205" s="1" t="n">
        <f aca="false">IF(N1205="No",0,IF(REVIEW!O1205=0,0,IF(G1205&gt;0,IF(INDEX(CONFIRM!$J$5:$J$53,G1205)&lt;&gt;"",INDEX(CONFIRM!$J$5:$J$53,G1205),1),1)))</f>
        <v>1</v>
      </c>
      <c r="AC1205" s="1" t="n">
        <f aca="false">IF(AB1205=1,IF(COUNTIFS($B$5:B1205,B1205,$D$5:D1205,D1205,$AB$5:AB1205,1)=1,1,0),0)</f>
        <v>0</v>
      </c>
    </row>
    <row r="1206" customFormat="false" ht="15" hidden="false" customHeight="false" outlineLevel="0" collapsed="false">
      <c r="A1206" s="48" t="str">
        <f aca="false">STACK!A1206</f>
        <v>WCH-0099</v>
      </c>
      <c r="B1206" s="48" t="str">
        <f aca="false">STACK!B1206</f>
        <v>WCH</v>
      </c>
      <c r="C1206" s="48" t="str">
        <f aca="false">STACK!E1206</f>
        <v>community paramedic</v>
      </c>
      <c r="D1206" s="1" t="str">
        <f aca="false">IFERROR(INDEX(MAP!$J$7:$J$101,MATCH(TRIM(C1206),MAP!$I$7:$I$101,0)),"UNMAPPED")</f>
        <v>Community Paramedic Home Visits</v>
      </c>
      <c r="E1206" s="1" t="str">
        <f aca="false">IFERROR(INDEX(MAP!$K$7:$K$101,MATCH(TRIM(C1206),MAP!$I$7:$I$101,0)),"")</f>
        <v>Access to care</v>
      </c>
      <c r="F1206" s="1" t="str">
        <f aca="false">IFERROR(INDEX(MAP!$L$7:$L$101,MATCH(TRIM(C1206),MAP!$I$7:$I$101,0)),"")</f>
        <v>Monthly</v>
      </c>
      <c r="G1206" s="1" t="n">
        <f aca="false">IFERROR(MATCH(A1206,CONFIRM!$A$5:$A$53,0),0)</f>
        <v>0</v>
      </c>
      <c r="H1206" s="48" t="str">
        <f aca="false">STACK!F1206</f>
        <v>CHIS clinical</v>
      </c>
      <c r="I1206" s="1" t="str">
        <f aca="false">IF(G1206&gt;0,IF(INDEX(CONFIRM!$I$5:$I$53,G1206)&lt;&gt;"",INDEX(CONFIRM!$I$5:$I$53,G1206),H1206),H1206)</f>
        <v>CHIS clinical</v>
      </c>
      <c r="J1206" s="1" t="str">
        <f aca="false">IFERROR(INDEX(MAP!$F$7:$F$74,MATCH(TRIM(I1206),MAP!$E$7:$E$74,0)),"UNMAPPED")</f>
        <v>Community-based clinical services</v>
      </c>
      <c r="K1206" s="1" t="str">
        <f aca="false">IFERROR(INDEX(MAP!$G$7:$G$74,MATCH(TRIM(I1206),MAP!$E$7:$E$74,0)),"UNMAPPED")</f>
        <v>7e</v>
      </c>
      <c r="L1206" s="49" t="str">
        <f aca="false">STACK!G1206</f>
        <v>10/31/25</v>
      </c>
      <c r="M1206" s="59" t="n">
        <f aca="false">IF(G1206&gt;0,IF(INDEX(CONFIRM!$G$5:$G$53,G1206)&lt;&gt;"",INDEX(CONFIRM!$G$5:$G$53,G1206),IF(ISNUMBER(L1206),L1206,IFERROR(DATEVALUE(L1206),""))),IF(ISNUMBER(L1206),L1206,IFERROR(DATEVALUE(L1206),"")))</f>
        <v>45961</v>
      </c>
      <c r="N1206" s="1" t="str">
        <f aca="false">IF(M1206="","Check",IF(AND(M1206&gt;=INPUTS!$C$6,M1206&lt;=INPUTS!$C$7),"Yes","No"))</f>
        <v>Yes</v>
      </c>
      <c r="O1206" s="48" t="str">
        <f aca="false">STACK!H1206</f>
        <v>Flight Paramedic</v>
      </c>
      <c r="P1206" s="1" t="str">
        <f aca="false">IF(G1206&gt;0,IF(INDEX(CONFIRM!$H$5:$H$53,G1206)&lt;&gt;"",INDEX(CONFIRM!$H$5:$H$53,G1206),IFERROR(INDEX(MAP!$B$7:$B$156,MATCH(TRIM(O1206),MAP!$A$7:$A$156,0)),"UNMAPPED")),IFERROR(INDEX(MAP!$B$7:$B$156,MATCH(TRIM(O1206),MAP!$A$7:$A$156,0)),"UNMAPPED"))</f>
        <v>Paramedic</v>
      </c>
      <c r="Q1206" s="48" t="n">
        <f aca="false">STACK!I1206</f>
        <v>79.25</v>
      </c>
      <c r="R1206" s="60" t="n">
        <f aca="false">IF(G1206&gt;0,IF(INDEX(CONFIRM!$F$5:$F$53,G1206)&lt;&gt;"",INDEX(CONFIRM!$F$5:$F$53,G1206),IF(ISNUMBER(Q1206),Q1206,IF(Q1206="","",IFERROR(VALUE(TRIM(SUBSTITUTE(SUBSTITUTE(LOWER(Q1206),"hrs",""),"hr",""))),"")))),IF(ISNUMBER(Q1206),Q1206,IF(Q1206="","",IFERROR(VALUE(TRIM(SUBSTITUTE(SUBSTITUTE(LOWER(Q1206),"hrs",""),"hr",""))),""))))</f>
        <v>79.25</v>
      </c>
      <c r="S1206" s="57" t="n">
        <f aca="false">IFERROR(INDEX(RATES!$E$6:$E$28,MATCH(P1206,RATES!$A$6:$A$28,0)),0)</f>
        <v>34.695</v>
      </c>
      <c r="T1206" s="61" t="n">
        <f aca="false">IF(ISNUMBER(R1206),R1206,0)*S1206</f>
        <v>2749.57875</v>
      </c>
      <c r="U1206" s="61" t="n">
        <f aca="false">T1206*INDEX(INPUTS!$H$10:$H$14,MATCH(B1206,INPUTS!$A$10:$A$14,0))</f>
        <v>387.69060375</v>
      </c>
      <c r="V1206" s="61" t="n">
        <f aca="false">N(STACK!K1206)</f>
        <v>795</v>
      </c>
      <c r="W1206" s="61" t="n">
        <f aca="false">T1206+U1206+V1206</f>
        <v>3932.26935375</v>
      </c>
      <c r="X1206" s="61" t="n">
        <f aca="false">N(STACK!L1206)</f>
        <v>0</v>
      </c>
      <c r="Y1206" s="61" t="n">
        <f aca="false">W1206-X1206</f>
        <v>3932.26935375</v>
      </c>
      <c r="Z1206" s="1" t="n">
        <f aca="false">N(STACK!J1206)</f>
        <v>35</v>
      </c>
      <c r="AA1206" s="1" t="str">
        <f aca="false">TRIM(IF(D1206="UNMAPPED","Program not mapped. ","")&amp;IF(OR(K1206="UNMAPPED",K1206="UNASSIGNED"),"Category needs review. ","")&amp;IF(P1206="UNMAPPED","Title not mapped. ","")&amp;IF(AND(P1206&lt;&gt;"No staff time",R1206=""),"Missing hours. ","")&amp;IF(M1206="","Date not readable. ","")&amp;IF(N1206="No","Outside fiscal year. ","")&amp;IF(AND(F1206="Event",ISNUMBER(R1206)),IF(R1206&gt;12,"Event hours look high. ",""),"")&amp;IF(G1206&gt;0,"See CONFIRM sheet.",""))</f>
        <v/>
      </c>
      <c r="AB1206" s="1" t="n">
        <f aca="false">IF(N1206="No",0,IF(REVIEW!O1206=0,0,IF(G1206&gt;0,IF(INDEX(CONFIRM!$J$5:$J$53,G1206)&lt;&gt;"",INDEX(CONFIRM!$J$5:$J$53,G1206),1),1)))</f>
        <v>1</v>
      </c>
      <c r="AC1206" s="1" t="n">
        <f aca="false">IF(AB1206=1,IF(COUNTIFS($B$5:B1206,B1206,$D$5:D1206,D1206,$AB$5:AB1206,1)=1,1,0),0)</f>
        <v>0</v>
      </c>
    </row>
    <row r="1207" customFormat="false" ht="15" hidden="false" customHeight="false" outlineLevel="0" collapsed="false">
      <c r="A1207" s="48" t="str">
        <f aca="false">STACK!A1207</f>
        <v>WCH-0100</v>
      </c>
      <c r="B1207" s="48" t="str">
        <f aca="false">STACK!B1207</f>
        <v>WCH</v>
      </c>
      <c r="C1207" s="48" t="str">
        <f aca="false">STACK!E1207</f>
        <v>nursing students</v>
      </c>
      <c r="D1207" s="1" t="str">
        <f aca="false">IFERROR(INDEX(MAP!$J$7:$J$101,MATCH(TRIM(C1207),MAP!$I$7:$I$101,0)),"UNMAPPED")</f>
        <v>Nursing Student Clinical Rotations</v>
      </c>
      <c r="E1207" s="1" t="str">
        <f aca="false">IFERROR(INDEX(MAP!$K$7:$K$101,MATCH(TRIM(C1207),MAP!$I$7:$I$101,0)),"")</f>
        <v>Health workforce</v>
      </c>
      <c r="F1207" s="1" t="str">
        <f aca="false">IFERROR(INDEX(MAP!$L$7:$L$101,MATCH(TRIM(C1207),MAP!$I$7:$I$101,0)),"")</f>
        <v>Monthly</v>
      </c>
      <c r="G1207" s="1" t="n">
        <f aca="false">IFERROR(MATCH(A1207,CONFIRM!$A$5:$A$53,0),0)</f>
        <v>0</v>
      </c>
      <c r="H1207" s="48" t="str">
        <f aca="false">STACK!F1207</f>
        <v>health professions ed</v>
      </c>
      <c r="I1207" s="1" t="str">
        <f aca="false">IF(G1207&gt;0,IF(INDEX(CONFIRM!$I$5:$I$53,G1207)&lt;&gt;"",INDEX(CONFIRM!$I$5:$I$53,G1207),H1207),H1207)</f>
        <v>health professions ed</v>
      </c>
      <c r="J1207" s="1" t="str">
        <f aca="false">IFERROR(INDEX(MAP!$F$7:$F$74,MATCH(TRIM(I1207),MAP!$E$7:$E$74,0)),"UNMAPPED")</f>
        <v>Health professions education</v>
      </c>
      <c r="K1207" s="1" t="str">
        <f aca="false">IFERROR(INDEX(MAP!$G$7:$G$74,MATCH(TRIM(I1207),MAP!$E$7:$E$74,0)),"UNMAPPED")</f>
        <v>7f</v>
      </c>
      <c r="L1207" s="49" t="str">
        <f aca="false">STACK!G1207</f>
        <v>10/31/25</v>
      </c>
      <c r="M1207" s="59" t="n">
        <f aca="false">IF(G1207&gt;0,IF(INDEX(CONFIRM!$G$5:$G$53,G1207)&lt;&gt;"",INDEX(CONFIRM!$G$5:$G$53,G1207),IF(ISNUMBER(L1207),L1207,IFERROR(DATEVALUE(L1207),""))),IF(ISNUMBER(L1207),L1207,IFERROR(DATEVALUE(L1207),"")))</f>
        <v>45961</v>
      </c>
      <c r="N1207" s="1" t="str">
        <f aca="false">IF(M1207="","Check",IF(AND(M1207&gt;=INPUTS!$C$6,M1207&lt;=INPUTS!$C$7),"Yes","No"))</f>
        <v>Yes</v>
      </c>
      <c r="O1207" s="48" t="str">
        <f aca="false">STACK!H1207</f>
        <v>clin educator</v>
      </c>
      <c r="P1207" s="1" t="str">
        <f aca="false">IF(G1207&gt;0,IF(INDEX(CONFIRM!$H$5:$H$53,G1207)&lt;&gt;"",INDEX(CONFIRM!$H$5:$H$53,G1207),IFERROR(INDEX(MAP!$B$7:$B$156,MATCH(TRIM(O1207),MAP!$A$7:$A$156,0)),"UNMAPPED")),IFERROR(INDEX(MAP!$B$7:$B$156,MATCH(TRIM(O1207),MAP!$A$7:$A$156,0)),"UNMAPPED"))</f>
        <v>Clinical Nurse Educator</v>
      </c>
      <c r="Q1207" s="48" t="str">
        <f aca="false">STACK!I1207</f>
        <v>72.75 hr</v>
      </c>
      <c r="R1207" s="60" t="n">
        <f aca="false">IF(G1207&gt;0,IF(INDEX(CONFIRM!$F$5:$F$53,G1207)&lt;&gt;"",INDEX(CONFIRM!$F$5:$F$53,G1207),IF(ISNUMBER(Q1207),Q1207,IF(Q1207="","",IFERROR(VALUE(TRIM(SUBSTITUTE(SUBSTITUTE(LOWER(Q1207),"hrs",""),"hr",""))),"")))),IF(ISNUMBER(Q1207),Q1207,IF(Q1207="","",IFERROR(VALUE(TRIM(SUBSTITUTE(SUBSTITUTE(LOWER(Q1207),"hrs",""),"hr",""))),""))))</f>
        <v>72.75</v>
      </c>
      <c r="S1207" s="57" t="n">
        <f aca="false">IFERROR(INDEX(RATES!$E$6:$E$28,MATCH(P1207,RATES!$A$6:$A$28,0)),0)</f>
        <v>62.965</v>
      </c>
      <c r="T1207" s="61" t="n">
        <f aca="false">IF(ISNUMBER(R1207),R1207,0)*S1207</f>
        <v>4580.70375</v>
      </c>
      <c r="U1207" s="61" t="n">
        <f aca="false">T1207*INDEX(INPUTS!$H$10:$H$14,MATCH(B1207,INPUTS!$A$10:$A$14,0))</f>
        <v>645.87922875</v>
      </c>
      <c r="V1207" s="61" t="n">
        <f aca="false">N(STACK!K1207)</f>
        <v>625</v>
      </c>
      <c r="W1207" s="61" t="n">
        <f aca="false">T1207+U1207+V1207</f>
        <v>5851.58297875</v>
      </c>
      <c r="X1207" s="61" t="n">
        <f aca="false">N(STACK!L1207)</f>
        <v>0</v>
      </c>
      <c r="Y1207" s="61" t="n">
        <f aca="false">W1207-X1207</f>
        <v>5851.58297875</v>
      </c>
      <c r="Z1207" s="1" t="n">
        <f aca="false">N(STACK!J1207)</f>
        <v>13</v>
      </c>
      <c r="AA1207" s="1" t="str">
        <f aca="false">TRIM(IF(D1207="UNMAPPED","Program not mapped. ","")&amp;IF(OR(K1207="UNMAPPED",K1207="UNASSIGNED"),"Category needs review. ","")&amp;IF(P1207="UNMAPPED","Title not mapped. ","")&amp;IF(AND(P1207&lt;&gt;"No staff time",R1207=""),"Missing hours. ","")&amp;IF(M1207="","Date not readable. ","")&amp;IF(N1207="No","Outside fiscal year. ","")&amp;IF(AND(F1207="Event",ISNUMBER(R1207)),IF(R1207&gt;12,"Event hours look high. ",""),"")&amp;IF(G1207&gt;0,"See CONFIRM sheet.",""))</f>
        <v/>
      </c>
      <c r="AB1207" s="1" t="n">
        <f aca="false">IF(N1207="No",0,IF(REVIEW!O1207=0,0,IF(G1207&gt;0,IF(INDEX(CONFIRM!$J$5:$J$53,G1207)&lt;&gt;"",INDEX(CONFIRM!$J$5:$J$53,G1207),1),1)))</f>
        <v>1</v>
      </c>
      <c r="AC1207" s="1" t="n">
        <f aca="false">IF(AB1207=1,IF(COUNTIFS($B$5:B1207,B1207,$D$5:D1207,D1207,$AB$5:AB1207,1)=1,1,0),0)</f>
        <v>0</v>
      </c>
    </row>
    <row r="1208" customFormat="false" ht="15" hidden="false" customHeight="false" outlineLevel="0" collapsed="false">
      <c r="A1208" s="48" t="str">
        <f aca="false">STACK!A1208</f>
        <v>WCH-0101</v>
      </c>
      <c r="B1208" s="48" t="str">
        <f aca="false">STACK!B1208</f>
        <v>WCH</v>
      </c>
      <c r="C1208" s="48" t="str">
        <f aca="false">STACK!E1208</f>
        <v>nursing students</v>
      </c>
      <c r="D1208" s="1" t="str">
        <f aca="false">IFERROR(INDEX(MAP!$J$7:$J$101,MATCH(TRIM(C1208),MAP!$I$7:$I$101,0)),"UNMAPPED")</f>
        <v>Nursing Student Clinical Rotations</v>
      </c>
      <c r="E1208" s="1" t="str">
        <f aca="false">IFERROR(INDEX(MAP!$K$7:$K$101,MATCH(TRIM(C1208),MAP!$I$7:$I$101,0)),"")</f>
        <v>Health workforce</v>
      </c>
      <c r="F1208" s="1" t="str">
        <f aca="false">IFERROR(INDEX(MAP!$L$7:$L$101,MATCH(TRIM(C1208),MAP!$I$7:$I$101,0)),"")</f>
        <v>Monthly</v>
      </c>
      <c r="G1208" s="1" t="n">
        <f aca="false">IFERROR(MATCH(A1208,CONFIRM!$A$5:$A$53,0),0)</f>
        <v>0</v>
      </c>
      <c r="H1208" s="48" t="str">
        <f aca="false">STACK!F1208</f>
        <v>health professions ed</v>
      </c>
      <c r="I1208" s="1" t="str">
        <f aca="false">IF(G1208&gt;0,IF(INDEX(CONFIRM!$I$5:$I$53,G1208)&lt;&gt;"",INDEX(CONFIRM!$I$5:$I$53,G1208),H1208),H1208)</f>
        <v>health professions ed</v>
      </c>
      <c r="J1208" s="1" t="str">
        <f aca="false">IFERROR(INDEX(MAP!$F$7:$F$74,MATCH(TRIM(I1208),MAP!$E$7:$E$74,0)),"UNMAPPED")</f>
        <v>Health professions education</v>
      </c>
      <c r="K1208" s="1" t="str">
        <f aca="false">IFERROR(INDEX(MAP!$G$7:$G$74,MATCH(TRIM(I1208),MAP!$E$7:$E$74,0)),"UNMAPPED")</f>
        <v>7f</v>
      </c>
      <c r="L1208" s="49" t="str">
        <f aca="false">STACK!G1208</f>
        <v>10/31/25</v>
      </c>
      <c r="M1208" s="59" t="n">
        <f aca="false">IF(G1208&gt;0,IF(INDEX(CONFIRM!$G$5:$G$53,G1208)&lt;&gt;"",INDEX(CONFIRM!$G$5:$G$53,G1208),IF(ISNUMBER(L1208),L1208,IFERROR(DATEVALUE(L1208),""))),IF(ISNUMBER(L1208),L1208,IFERROR(DATEVALUE(L1208),"")))</f>
        <v>45961</v>
      </c>
      <c r="N1208" s="1" t="str">
        <f aca="false">IF(M1208="","Check",IF(AND(M1208&gt;=INPUTS!$C$6,M1208&lt;=INPUTS!$C$7),"Yes","No"))</f>
        <v>Yes</v>
      </c>
      <c r="O1208" s="48" t="str">
        <f aca="false">STACK!H1208</f>
        <v>Charge RN</v>
      </c>
      <c r="P1208" s="1" t="str">
        <f aca="false">IF(G1208&gt;0,IF(INDEX(CONFIRM!$H$5:$H$53,G1208)&lt;&gt;"",INDEX(CONFIRM!$H$5:$H$53,G1208),IFERROR(INDEX(MAP!$B$7:$B$156,MATCH(TRIM(O1208),MAP!$A$7:$A$156,0)),"UNMAPPED")),IFERROR(INDEX(MAP!$B$7:$B$156,MATCH(TRIM(O1208),MAP!$A$7:$A$156,0)),"UNMAPPED"))</f>
        <v>Registered Nurse</v>
      </c>
      <c r="Q1208" s="48" t="n">
        <f aca="false">STACK!I1208</f>
        <v>160.5</v>
      </c>
      <c r="R1208" s="60" t="n">
        <f aca="false">IF(G1208&gt;0,IF(INDEX(CONFIRM!$F$5:$F$53,G1208)&lt;&gt;"",INDEX(CONFIRM!$F$5:$F$53,G1208),IF(ISNUMBER(Q1208),Q1208,IF(Q1208="","",IFERROR(VALUE(TRIM(SUBSTITUTE(SUBSTITUTE(LOWER(Q1208),"hrs",""),"hr",""))),"")))),IF(ISNUMBER(Q1208),Q1208,IF(Q1208="","",IFERROR(VALUE(TRIM(SUBSTITUTE(SUBSTITUTE(LOWER(Q1208),"hrs",""),"hr",""))),""))))</f>
        <v>160.5</v>
      </c>
      <c r="S1208" s="57" t="n">
        <f aca="false">IFERROR(INDEX(RATES!$E$6:$E$28,MATCH(P1208,RATES!$A$6:$A$28,0)),0)</f>
        <v>55.8975</v>
      </c>
      <c r="T1208" s="61" t="n">
        <f aca="false">IF(ISNUMBER(R1208),R1208,0)*S1208</f>
        <v>8971.54875</v>
      </c>
      <c r="U1208" s="61" t="n">
        <f aca="false">T1208*INDEX(INPUTS!$H$10:$H$14,MATCH(B1208,INPUTS!$A$10:$A$14,0))</f>
        <v>1264.98837375</v>
      </c>
      <c r="V1208" s="61" t="n">
        <f aca="false">N(STACK!K1208)</f>
        <v>0</v>
      </c>
      <c r="W1208" s="61" t="n">
        <f aca="false">T1208+U1208+V1208</f>
        <v>10236.53712375</v>
      </c>
      <c r="X1208" s="61" t="n">
        <f aca="false">N(STACK!L1208)</f>
        <v>0</v>
      </c>
      <c r="Y1208" s="61" t="n">
        <f aca="false">W1208-X1208</f>
        <v>10236.53712375</v>
      </c>
      <c r="Z1208" s="1" t="n">
        <f aca="false">N(STACK!J1208)</f>
        <v>0</v>
      </c>
      <c r="AA1208" s="1" t="str">
        <f aca="false">TRIM(IF(D1208="UNMAPPED","Program not mapped. ","")&amp;IF(OR(K1208="UNMAPPED",K1208="UNASSIGNED"),"Category needs review. ","")&amp;IF(P1208="UNMAPPED","Title not mapped. ","")&amp;IF(AND(P1208&lt;&gt;"No staff time",R1208=""),"Missing hours. ","")&amp;IF(M1208="","Date not readable. ","")&amp;IF(N1208="No","Outside fiscal year. ","")&amp;IF(AND(F1208="Event",ISNUMBER(R1208)),IF(R1208&gt;12,"Event hours look high. ",""),"")&amp;IF(G1208&gt;0,"See CONFIRM sheet.",""))</f>
        <v/>
      </c>
      <c r="AB1208" s="1" t="n">
        <f aca="false">IF(N1208="No",0,IF(REVIEW!O1208=0,0,IF(G1208&gt;0,IF(INDEX(CONFIRM!$J$5:$J$53,G1208)&lt;&gt;"",INDEX(CONFIRM!$J$5:$J$53,G1208),1),1)))</f>
        <v>1</v>
      </c>
      <c r="AC1208" s="1" t="n">
        <f aca="false">IF(AB1208=1,IF(COUNTIFS($B$5:B1208,B1208,$D$5:D1208,D1208,$AB$5:AB1208,1)=1,1,0),0)</f>
        <v>0</v>
      </c>
    </row>
    <row r="1209" customFormat="false" ht="15" hidden="false" customHeight="false" outlineLevel="0" collapsed="false">
      <c r="A1209" s="48" t="str">
        <f aca="false">STACK!A1209</f>
        <v>WCH-0102</v>
      </c>
      <c r="B1209" s="48" t="str">
        <f aca="false">STACK!B1209</f>
        <v>WCH</v>
      </c>
      <c r="C1209" s="48" t="str">
        <f aca="false">STACK!E1209</f>
        <v>paramedic students</v>
      </c>
      <c r="D1209" s="1" t="str">
        <f aca="false">IFERROR(INDEX(MAP!$J$7:$J$101,MATCH(TRIM(C1209),MAP!$I$7:$I$101,0)),"UNMAPPED")</f>
        <v>Paramedic Student Field Training</v>
      </c>
      <c r="E1209" s="1" t="str">
        <f aca="false">IFERROR(INDEX(MAP!$K$7:$K$101,MATCH(TRIM(C1209),MAP!$I$7:$I$101,0)),"")</f>
        <v>Health workforce</v>
      </c>
      <c r="F1209" s="1" t="str">
        <f aca="false">IFERROR(INDEX(MAP!$L$7:$L$101,MATCH(TRIM(C1209),MAP!$I$7:$I$101,0)),"")</f>
        <v>Monthly</v>
      </c>
      <c r="G1209" s="1" t="n">
        <f aca="false">IFERROR(MATCH(A1209,CONFIRM!$A$5:$A$53,0),0)</f>
        <v>0</v>
      </c>
      <c r="H1209" s="48" t="str">
        <f aca="false">STACK!F1209</f>
        <v>health professions ed</v>
      </c>
      <c r="I1209" s="1" t="str">
        <f aca="false">IF(G1209&gt;0,IF(INDEX(CONFIRM!$I$5:$I$53,G1209)&lt;&gt;"",INDEX(CONFIRM!$I$5:$I$53,G1209),H1209),H1209)</f>
        <v>health professions ed</v>
      </c>
      <c r="J1209" s="1" t="str">
        <f aca="false">IFERROR(INDEX(MAP!$F$7:$F$74,MATCH(TRIM(I1209),MAP!$E$7:$E$74,0)),"UNMAPPED")</f>
        <v>Health professions education</v>
      </c>
      <c r="K1209" s="1" t="str">
        <f aca="false">IFERROR(INDEX(MAP!$G$7:$G$74,MATCH(TRIM(I1209),MAP!$E$7:$E$74,0)),"UNMAPPED")</f>
        <v>7f</v>
      </c>
      <c r="L1209" s="49" t="n">
        <f aca="false">STACK!G1209</f>
        <v>45961</v>
      </c>
      <c r="M1209" s="59" t="n">
        <f aca="false">IF(G1209&gt;0,IF(INDEX(CONFIRM!$G$5:$G$53,G1209)&lt;&gt;"",INDEX(CONFIRM!$G$5:$G$53,G1209),IF(ISNUMBER(L1209),L1209,IFERROR(DATEVALUE(L1209),""))),IF(ISNUMBER(L1209),L1209,IFERROR(DATEVALUE(L1209),"")))</f>
        <v>45961</v>
      </c>
      <c r="N1209" s="1" t="str">
        <f aca="false">IF(M1209="","Check",IF(AND(M1209&gt;=INPUTS!$C$6,M1209&lt;=INPUTS!$C$7),"Yes","No"))</f>
        <v>Yes</v>
      </c>
      <c r="O1209" s="48" t="str">
        <f aca="false">STACK!H1209</f>
        <v> Flight Paramedic</v>
      </c>
      <c r="P1209" s="1" t="str">
        <f aca="false">IF(G1209&gt;0,IF(INDEX(CONFIRM!$H$5:$H$53,G1209)&lt;&gt;"",INDEX(CONFIRM!$H$5:$H$53,G1209),IFERROR(INDEX(MAP!$B$7:$B$156,MATCH(TRIM(O1209),MAP!$A$7:$A$156,0)),"UNMAPPED")),IFERROR(INDEX(MAP!$B$7:$B$156,MATCH(TRIM(O1209),MAP!$A$7:$A$156,0)),"UNMAPPED"))</f>
        <v>Paramedic</v>
      </c>
      <c r="Q1209" s="48" t="n">
        <f aca="false">STACK!I1209</f>
        <v>58</v>
      </c>
      <c r="R1209" s="60" t="n">
        <f aca="false">IF(G1209&gt;0,IF(INDEX(CONFIRM!$F$5:$F$53,G1209)&lt;&gt;"",INDEX(CONFIRM!$F$5:$F$53,G1209),IF(ISNUMBER(Q1209),Q1209,IF(Q1209="","",IFERROR(VALUE(TRIM(SUBSTITUTE(SUBSTITUTE(LOWER(Q1209),"hrs",""),"hr",""))),"")))),IF(ISNUMBER(Q1209),Q1209,IF(Q1209="","",IFERROR(VALUE(TRIM(SUBSTITUTE(SUBSTITUTE(LOWER(Q1209),"hrs",""),"hr",""))),""))))</f>
        <v>58</v>
      </c>
      <c r="S1209" s="57" t="n">
        <f aca="false">IFERROR(INDEX(RATES!$E$6:$E$28,MATCH(P1209,RATES!$A$6:$A$28,0)),0)</f>
        <v>34.695</v>
      </c>
      <c r="T1209" s="61" t="n">
        <f aca="false">IF(ISNUMBER(R1209),R1209,0)*S1209</f>
        <v>2012.31</v>
      </c>
      <c r="U1209" s="61" t="n">
        <f aca="false">T1209*INDEX(INPUTS!$H$10:$H$14,MATCH(B1209,INPUTS!$A$10:$A$14,0))</f>
        <v>283.73571</v>
      </c>
      <c r="V1209" s="61" t="n">
        <f aca="false">N(STACK!K1209)</f>
        <v>90</v>
      </c>
      <c r="W1209" s="61" t="n">
        <f aca="false">T1209+U1209+V1209</f>
        <v>2386.04571</v>
      </c>
      <c r="X1209" s="61" t="n">
        <f aca="false">N(STACK!L1209)</f>
        <v>0</v>
      </c>
      <c r="Y1209" s="61" t="n">
        <f aca="false">W1209-X1209</f>
        <v>2386.04571</v>
      </c>
      <c r="Z1209" s="1" t="n">
        <f aca="false">N(STACK!J1209)</f>
        <v>3</v>
      </c>
      <c r="AA1209" s="1" t="str">
        <f aca="false">TRIM(IF(D1209="UNMAPPED","Program not mapped. ","")&amp;IF(OR(K1209="UNMAPPED",K1209="UNASSIGNED"),"Category needs review. ","")&amp;IF(P1209="UNMAPPED","Title not mapped. ","")&amp;IF(AND(P1209&lt;&gt;"No staff time",R1209=""),"Missing hours. ","")&amp;IF(M1209="","Date not readable. ","")&amp;IF(N1209="No","Outside fiscal year. ","")&amp;IF(AND(F1209="Event",ISNUMBER(R1209)),IF(R1209&gt;12,"Event hours look high. ",""),"")&amp;IF(G1209&gt;0,"See CONFIRM sheet.",""))</f>
        <v/>
      </c>
      <c r="AB1209" s="1" t="n">
        <f aca="false">IF(N1209="No",0,IF(REVIEW!O1209=0,0,IF(G1209&gt;0,IF(INDEX(CONFIRM!$J$5:$J$53,G1209)&lt;&gt;"",INDEX(CONFIRM!$J$5:$J$53,G1209),1),1)))</f>
        <v>1</v>
      </c>
      <c r="AC1209" s="1" t="n">
        <f aca="false">IF(AB1209=1,IF(COUNTIFS($B$5:B1209,B1209,$D$5:D1209,D1209,$AB$5:AB1209,1)=1,1,0),0)</f>
        <v>0</v>
      </c>
    </row>
    <row r="1210" customFormat="false" ht="15" hidden="false" customHeight="false" outlineLevel="0" collapsed="false">
      <c r="A1210" s="48" t="str">
        <f aca="false">STACK!A1210</f>
        <v>WCH-0103</v>
      </c>
      <c r="B1210" s="48" t="str">
        <f aca="false">STACK!B1210</f>
        <v>WCH</v>
      </c>
      <c r="C1210" s="48" t="str">
        <f aca="false">STACK!E1210</f>
        <v>rural maternal study</v>
      </c>
      <c r="D1210" s="1" t="str">
        <f aca="false">IFERROR(INDEX(MAP!$J$7:$J$101,MATCH(TRIM(C1210),MAP!$I$7:$I$101,0)),"UNMAPPED")</f>
        <v>Rural Maternal Outcomes Study</v>
      </c>
      <c r="E1210" s="1" t="str">
        <f aca="false">IFERROR(INDEX(MAP!$K$7:$K$101,MATCH(TRIM(C1210),MAP!$I$7:$I$101,0)),"")</f>
        <v>Maternal and child health</v>
      </c>
      <c r="F1210" s="1" t="str">
        <f aca="false">IFERROR(INDEX(MAP!$L$7:$L$101,MATCH(TRIM(C1210),MAP!$I$7:$I$101,0)),"")</f>
        <v>Monthly</v>
      </c>
      <c r="G1210" s="1" t="n">
        <f aca="false">IFERROR(MATCH(A1210,CONFIRM!$A$5:$A$53,0),0)</f>
        <v>0</v>
      </c>
      <c r="H1210" s="48" t="str">
        <f aca="false">STACK!F1210</f>
        <v>research</v>
      </c>
      <c r="I1210" s="1" t="str">
        <f aca="false">IF(G1210&gt;0,IF(INDEX(CONFIRM!$I$5:$I$53,G1210)&lt;&gt;"",INDEX(CONFIRM!$I$5:$I$53,G1210),H1210),H1210)</f>
        <v>research</v>
      </c>
      <c r="J1210" s="1" t="str">
        <f aca="false">IFERROR(INDEX(MAP!$F$7:$F$74,MATCH(TRIM(I1210),MAP!$E$7:$E$74,0)),"UNMAPPED")</f>
        <v>Research</v>
      </c>
      <c r="K1210" s="1" t="str">
        <f aca="false">IFERROR(INDEX(MAP!$G$7:$G$74,MATCH(TRIM(I1210),MAP!$E$7:$E$74,0)),"UNMAPPED")</f>
        <v>7h</v>
      </c>
      <c r="L1210" s="49" t="n">
        <f aca="false">STACK!G1210</f>
        <v>45961</v>
      </c>
      <c r="M1210" s="59" t="n">
        <f aca="false">IF(G1210&gt;0,IF(INDEX(CONFIRM!$G$5:$G$53,G1210)&lt;&gt;"",INDEX(CONFIRM!$G$5:$G$53,G1210),IF(ISNUMBER(L1210),L1210,IFERROR(DATEVALUE(L1210),""))),IF(ISNUMBER(L1210),L1210,IFERROR(DATEVALUE(L1210),"")))</f>
        <v>45961</v>
      </c>
      <c r="N1210" s="1" t="str">
        <f aca="false">IF(M1210="","Check",IF(AND(M1210&gt;=INPUTS!$C$6,M1210&lt;=INPUTS!$C$7),"Yes","No"))</f>
        <v>Yes</v>
      </c>
      <c r="O1210" s="48" t="str">
        <f aca="false">STACK!H1210</f>
        <v>Sr Data Analyst</v>
      </c>
      <c r="P1210" s="1" t="str">
        <f aca="false">IF(G1210&gt;0,IF(INDEX(CONFIRM!$H$5:$H$53,G1210)&lt;&gt;"",INDEX(CONFIRM!$H$5:$H$53,G1210),IFERROR(INDEX(MAP!$B$7:$B$156,MATCH(TRIM(O1210),MAP!$A$7:$A$156,0)),"UNMAPPED")),IFERROR(INDEX(MAP!$B$7:$B$156,MATCH(TRIM(O1210),MAP!$A$7:$A$156,0)),"UNMAPPED"))</f>
        <v>Data Analyst</v>
      </c>
      <c r="Q1210" s="48" t="n">
        <f aca="false">STACK!I1210</f>
        <v>9</v>
      </c>
      <c r="R1210" s="60" t="n">
        <f aca="false">IF(G1210&gt;0,IF(INDEX(CONFIRM!$F$5:$F$53,G1210)&lt;&gt;"",INDEX(CONFIRM!$F$5:$F$53,G1210),IF(ISNUMBER(Q1210),Q1210,IF(Q1210="","",IFERROR(VALUE(TRIM(SUBSTITUTE(SUBSTITUTE(LOWER(Q1210),"hrs",""),"hr",""))),"")))),IF(ISNUMBER(Q1210),Q1210,IF(Q1210="","",IFERROR(VALUE(TRIM(SUBSTITUTE(SUBSTITUTE(LOWER(Q1210),"hrs",""),"hr",""))),""))))</f>
        <v>9</v>
      </c>
      <c r="S1210" s="57" t="n">
        <f aca="false">IFERROR(INDEX(RATES!$E$6:$E$28,MATCH(P1210,RATES!$A$6:$A$28,0)),0)</f>
        <v>48.83</v>
      </c>
      <c r="T1210" s="61" t="n">
        <f aca="false">IF(ISNUMBER(R1210),R1210,0)*S1210</f>
        <v>439.47</v>
      </c>
      <c r="U1210" s="61" t="n">
        <f aca="false">T1210*INDEX(INPUTS!$H$10:$H$14,MATCH(B1210,INPUTS!$A$10:$A$14,0))</f>
        <v>61.96527</v>
      </c>
      <c r="V1210" s="61" t="n">
        <f aca="false">N(STACK!K1210)</f>
        <v>0</v>
      </c>
      <c r="W1210" s="61" t="n">
        <f aca="false">T1210+U1210+V1210</f>
        <v>501.43527</v>
      </c>
      <c r="X1210" s="61" t="n">
        <f aca="false">N(STACK!L1210)</f>
        <v>0</v>
      </c>
      <c r="Y1210" s="61" t="n">
        <f aca="false">W1210-X1210</f>
        <v>501.43527</v>
      </c>
      <c r="Z1210" s="1" t="n">
        <f aca="false">N(STACK!J1210)</f>
        <v>0</v>
      </c>
      <c r="AA1210" s="1" t="str">
        <f aca="false">TRIM(IF(D1210="UNMAPPED","Program not mapped. ","")&amp;IF(OR(K1210="UNMAPPED",K1210="UNASSIGNED"),"Category needs review. ","")&amp;IF(P1210="UNMAPPED","Title not mapped. ","")&amp;IF(AND(P1210&lt;&gt;"No staff time",R1210=""),"Missing hours. ","")&amp;IF(M1210="","Date not readable. ","")&amp;IF(N1210="No","Outside fiscal year. ","")&amp;IF(AND(F1210="Event",ISNUMBER(R1210)),IF(R1210&gt;12,"Event hours look high. ",""),"")&amp;IF(G1210&gt;0,"See CONFIRM sheet.",""))</f>
        <v/>
      </c>
      <c r="AB1210" s="1" t="n">
        <f aca="false">IF(N1210="No",0,IF(REVIEW!O1210=0,0,IF(G1210&gt;0,IF(INDEX(CONFIRM!$J$5:$J$53,G1210)&lt;&gt;"",INDEX(CONFIRM!$J$5:$J$53,G1210),1),1)))</f>
        <v>1</v>
      </c>
      <c r="AC1210" s="1" t="n">
        <f aca="false">IF(AB1210=1,IF(COUNTIFS($B$5:B1210,B1210,$D$5:D1210,D1210,$AB$5:AB1210,1)=1,1,0),0)</f>
        <v>0</v>
      </c>
    </row>
    <row r="1211" customFormat="false" ht="15" hidden="false" customHeight="false" outlineLevel="0" collapsed="false">
      <c r="A1211" s="48" t="str">
        <f aca="false">STACK!A1211</f>
        <v>WCH-0104</v>
      </c>
      <c r="B1211" s="48" t="str">
        <f aca="false">STACK!B1211</f>
        <v>WCH</v>
      </c>
      <c r="C1211" s="48" t="str">
        <f aca="false">STACK!E1211</f>
        <v>rural maternal study</v>
      </c>
      <c r="D1211" s="1" t="str">
        <f aca="false">IFERROR(INDEX(MAP!$J$7:$J$101,MATCH(TRIM(C1211),MAP!$I$7:$I$101,0)),"UNMAPPED")</f>
        <v>Rural Maternal Outcomes Study</v>
      </c>
      <c r="E1211" s="1" t="str">
        <f aca="false">IFERROR(INDEX(MAP!$K$7:$K$101,MATCH(TRIM(C1211),MAP!$I$7:$I$101,0)),"")</f>
        <v>Maternal and child health</v>
      </c>
      <c r="F1211" s="1" t="str">
        <f aca="false">IFERROR(INDEX(MAP!$L$7:$L$101,MATCH(TRIM(C1211),MAP!$I$7:$I$101,0)),"")</f>
        <v>Monthly</v>
      </c>
      <c r="G1211" s="1" t="n">
        <f aca="false">IFERROR(MATCH(A1211,CONFIRM!$A$5:$A$53,0),0)</f>
        <v>0</v>
      </c>
      <c r="H1211" s="48" t="str">
        <f aca="false">STACK!F1211</f>
        <v>research</v>
      </c>
      <c r="I1211" s="1" t="str">
        <f aca="false">IF(G1211&gt;0,IF(INDEX(CONFIRM!$I$5:$I$53,G1211)&lt;&gt;"",INDEX(CONFIRM!$I$5:$I$53,G1211),H1211),H1211)</f>
        <v>research</v>
      </c>
      <c r="J1211" s="1" t="str">
        <f aca="false">IFERROR(INDEX(MAP!$F$7:$F$74,MATCH(TRIM(I1211),MAP!$E$7:$E$74,0)),"UNMAPPED")</f>
        <v>Research</v>
      </c>
      <c r="K1211" s="1" t="str">
        <f aca="false">IFERROR(INDEX(MAP!$G$7:$G$74,MATCH(TRIM(I1211),MAP!$E$7:$E$74,0)),"UNMAPPED")</f>
        <v>7h</v>
      </c>
      <c r="L1211" s="49" t="str">
        <f aca="false">STACK!G1211</f>
        <v>10/31/25</v>
      </c>
      <c r="M1211" s="59" t="n">
        <f aca="false">IF(G1211&gt;0,IF(INDEX(CONFIRM!$G$5:$G$53,G1211)&lt;&gt;"",INDEX(CONFIRM!$G$5:$G$53,G1211),IF(ISNUMBER(L1211),L1211,IFERROR(DATEVALUE(L1211),""))),IF(ISNUMBER(L1211),L1211,IFERROR(DATEVALUE(L1211),"")))</f>
        <v>45961</v>
      </c>
      <c r="N1211" s="1" t="str">
        <f aca="false">IF(M1211="","Check",IF(AND(M1211&gt;=INPUTS!$C$6,M1211&lt;=INPUTS!$C$7),"Yes","No"))</f>
        <v>Yes</v>
      </c>
      <c r="O1211" s="48" t="str">
        <f aca="false">STACK!H1211</f>
        <v>CRC</v>
      </c>
      <c r="P1211" s="1" t="str">
        <f aca="false">IF(G1211&gt;0,IF(INDEX(CONFIRM!$H$5:$H$53,G1211)&lt;&gt;"",INDEX(CONFIRM!$H$5:$H$53,G1211),IFERROR(INDEX(MAP!$B$7:$B$156,MATCH(TRIM(O1211),MAP!$A$7:$A$156,0)),"UNMAPPED")),IFERROR(INDEX(MAP!$B$7:$B$156,MATCH(TRIM(O1211),MAP!$A$7:$A$156,0)),"UNMAPPED"))</f>
        <v>Research Coordinator</v>
      </c>
      <c r="Q1211" s="48" t="str">
        <f aca="false">STACK!I1211</f>
        <v>52.25 hr</v>
      </c>
      <c r="R1211" s="60" t="n">
        <f aca="false">IF(G1211&gt;0,IF(INDEX(CONFIRM!$F$5:$F$53,G1211)&lt;&gt;"",INDEX(CONFIRM!$F$5:$F$53,G1211),IF(ISNUMBER(Q1211),Q1211,IF(Q1211="","",IFERROR(VALUE(TRIM(SUBSTITUTE(SUBSTITUTE(LOWER(Q1211),"hrs",""),"hr",""))),"")))),IF(ISNUMBER(Q1211),Q1211,IF(Q1211="","",IFERROR(VALUE(TRIM(SUBSTITUTE(SUBSTITUTE(LOWER(Q1211),"hrs",""),"hr",""))),""))))</f>
        <v>52.25</v>
      </c>
      <c r="S1211" s="57" t="n">
        <f aca="false">IFERROR(INDEX(RATES!$E$6:$E$28,MATCH(P1211,RATES!$A$6:$A$28,0)),0)</f>
        <v>42.405</v>
      </c>
      <c r="T1211" s="61" t="n">
        <f aca="false">IF(ISNUMBER(R1211),R1211,0)*S1211</f>
        <v>2215.66125</v>
      </c>
      <c r="U1211" s="61" t="n">
        <f aca="false">T1211*INDEX(INPUTS!$H$10:$H$14,MATCH(B1211,INPUTS!$A$10:$A$14,0))</f>
        <v>312.40823625</v>
      </c>
      <c r="V1211" s="61" t="n">
        <f aca="false">N(STACK!K1211)</f>
        <v>1320</v>
      </c>
      <c r="W1211" s="61" t="n">
        <f aca="false">T1211+U1211+V1211</f>
        <v>3848.06948625</v>
      </c>
      <c r="X1211" s="61" t="n">
        <f aca="false">N(STACK!L1211)</f>
        <v>4205</v>
      </c>
      <c r="Y1211" s="61" t="n">
        <f aca="false">W1211-X1211</f>
        <v>-356.930513750001</v>
      </c>
      <c r="Z1211" s="1" t="n">
        <f aca="false">N(STACK!J1211)</f>
        <v>10</v>
      </c>
      <c r="AA1211" s="1" t="str">
        <f aca="false">TRIM(IF(D1211="UNMAPPED","Program not mapped. ","")&amp;IF(OR(K1211="UNMAPPED",K1211="UNASSIGNED"),"Category needs review. ","")&amp;IF(P1211="UNMAPPED","Title not mapped. ","")&amp;IF(AND(P1211&lt;&gt;"No staff time",R1211=""),"Missing hours. ","")&amp;IF(M1211="","Date not readable. ","")&amp;IF(N1211="No","Outside fiscal year. ","")&amp;IF(AND(F1211="Event",ISNUMBER(R1211)),IF(R1211&gt;12,"Event hours look high. ",""),"")&amp;IF(G1211&gt;0,"See CONFIRM sheet.",""))</f>
        <v/>
      </c>
      <c r="AB1211" s="1" t="n">
        <f aca="false">IF(N1211="No",0,IF(REVIEW!O1211=0,0,IF(G1211&gt;0,IF(INDEX(CONFIRM!$J$5:$J$53,G1211)&lt;&gt;"",INDEX(CONFIRM!$J$5:$J$53,G1211),1),1)))</f>
        <v>1</v>
      </c>
      <c r="AC1211" s="1" t="n">
        <f aca="false">IF(AB1211=1,IF(COUNTIFS($B$5:B1211,B1211,$D$5:D1211,D1211,$AB$5:AB1211,1)=1,1,0),0)</f>
        <v>0</v>
      </c>
    </row>
    <row r="1212" customFormat="false" ht="15" hidden="false" customHeight="false" outlineLevel="0" collapsed="false">
      <c r="A1212" s="48" t="str">
        <f aca="false">STACK!A1212</f>
        <v>WCH-0105</v>
      </c>
      <c r="B1212" s="48" t="str">
        <f aca="false">STACK!B1212</f>
        <v>WCH</v>
      </c>
      <c r="C1212" s="48" t="str">
        <f aca="false">STACK!E1212</f>
        <v>car seat check</v>
      </c>
      <c r="D1212" s="1" t="str">
        <f aca="false">IFERROR(INDEX(MAP!$J$7:$J$101,MATCH(TRIM(C1212),MAP!$I$7:$I$101,0)),"UNMAPPED")</f>
        <v>Car Seat Safety Checks</v>
      </c>
      <c r="E1212" s="1" t="str">
        <f aca="false">IFERROR(INDEX(MAP!$K$7:$K$101,MATCH(TRIM(C1212),MAP!$I$7:$I$101,0)),"")</f>
        <v>Maternal and child health</v>
      </c>
      <c r="F1212" s="1" t="str">
        <f aca="false">IFERROR(INDEX(MAP!$L$7:$L$101,MATCH(TRIM(C1212),MAP!$I$7:$I$101,0)),"")</f>
        <v>Event</v>
      </c>
      <c r="G1212" s="1" t="n">
        <f aca="false">IFERROR(MATCH(A1212,CONFIRM!$A$5:$A$53,0),0)</f>
        <v>0</v>
      </c>
      <c r="H1212" s="48" t="str">
        <f aca="false">STACK!F1212</f>
        <v>community health improvement services</v>
      </c>
      <c r="I1212" s="1" t="str">
        <f aca="false">IF(G1212&gt;0,IF(INDEX(CONFIRM!$I$5:$I$53,G1212)&lt;&gt;"",INDEX(CONFIRM!$I$5:$I$53,G1212),H1212),H1212)</f>
        <v>community health improvement services</v>
      </c>
      <c r="J1212" s="1" t="str">
        <f aca="false">IFERROR(INDEX(MAP!$F$7:$F$74,MATCH(TRIM(I1212),MAP!$E$7:$E$74,0)),"UNMAPPED")</f>
        <v>Community health education</v>
      </c>
      <c r="K1212" s="1" t="str">
        <f aca="false">IFERROR(INDEX(MAP!$G$7:$G$74,MATCH(TRIM(I1212),MAP!$E$7:$E$74,0)),"UNMAPPED")</f>
        <v>7e</v>
      </c>
      <c r="L1212" s="49" t="n">
        <f aca="false">STACK!G1212</f>
        <v>45962</v>
      </c>
      <c r="M1212" s="59" t="n">
        <f aca="false">IF(G1212&gt;0,IF(INDEX(CONFIRM!$G$5:$G$53,G1212)&lt;&gt;"",INDEX(CONFIRM!$G$5:$G$53,G1212),IF(ISNUMBER(L1212),L1212,IFERROR(DATEVALUE(L1212),""))),IF(ISNUMBER(L1212),L1212,IFERROR(DATEVALUE(L1212),"")))</f>
        <v>45962</v>
      </c>
      <c r="N1212" s="1" t="str">
        <f aca="false">IF(M1212="","Check",IF(AND(M1212&gt;=INPUTS!$C$6,M1212&lt;=INPUTS!$C$7),"Yes","No"))</f>
        <v>Yes</v>
      </c>
      <c r="O1212" s="48" t="str">
        <f aca="false">STACK!H1212</f>
        <v>EMS Paramedic</v>
      </c>
      <c r="P1212" s="1" t="str">
        <f aca="false">IF(G1212&gt;0,IF(INDEX(CONFIRM!$H$5:$H$53,G1212)&lt;&gt;"",INDEX(CONFIRM!$H$5:$H$53,G1212),IFERROR(INDEX(MAP!$B$7:$B$156,MATCH(TRIM(O1212),MAP!$A$7:$A$156,0)),"UNMAPPED")),IFERROR(INDEX(MAP!$B$7:$B$156,MATCH(TRIM(O1212),MAP!$A$7:$A$156,0)),"UNMAPPED"))</f>
        <v>Paramedic</v>
      </c>
      <c r="Q1212" s="48" t="n">
        <f aca="false">STACK!I1212</f>
        <v>3.75</v>
      </c>
      <c r="R1212" s="60" t="n">
        <f aca="false">IF(G1212&gt;0,IF(INDEX(CONFIRM!$F$5:$F$53,G1212)&lt;&gt;"",INDEX(CONFIRM!$F$5:$F$53,G1212),IF(ISNUMBER(Q1212),Q1212,IF(Q1212="","",IFERROR(VALUE(TRIM(SUBSTITUTE(SUBSTITUTE(LOWER(Q1212),"hrs",""),"hr",""))),"")))),IF(ISNUMBER(Q1212),Q1212,IF(Q1212="","",IFERROR(VALUE(TRIM(SUBSTITUTE(SUBSTITUTE(LOWER(Q1212),"hrs",""),"hr",""))),""))))</f>
        <v>3.75</v>
      </c>
      <c r="S1212" s="57" t="n">
        <f aca="false">IFERROR(INDEX(RATES!$E$6:$E$28,MATCH(P1212,RATES!$A$6:$A$28,0)),0)</f>
        <v>34.695</v>
      </c>
      <c r="T1212" s="61" t="n">
        <f aca="false">IF(ISNUMBER(R1212),R1212,0)*S1212</f>
        <v>130.10625</v>
      </c>
      <c r="U1212" s="61" t="n">
        <f aca="false">T1212*INDEX(INPUTS!$H$10:$H$14,MATCH(B1212,INPUTS!$A$10:$A$14,0))</f>
        <v>18.34498125</v>
      </c>
      <c r="V1212" s="61" t="n">
        <f aca="false">N(STACK!K1212)</f>
        <v>620</v>
      </c>
      <c r="W1212" s="61" t="n">
        <f aca="false">T1212+U1212+V1212</f>
        <v>768.45123125</v>
      </c>
      <c r="X1212" s="61" t="n">
        <f aca="false">N(STACK!L1212)</f>
        <v>500</v>
      </c>
      <c r="Y1212" s="61" t="n">
        <f aca="false">W1212-X1212</f>
        <v>268.45123125</v>
      </c>
      <c r="Z1212" s="1" t="n">
        <f aca="false">N(STACK!J1212)</f>
        <v>24</v>
      </c>
      <c r="AA1212" s="1" t="str">
        <f aca="false">TRIM(IF(D1212="UNMAPPED","Program not mapped. ","")&amp;IF(OR(K1212="UNMAPPED",K1212="UNASSIGNED"),"Category needs review. ","")&amp;IF(P1212="UNMAPPED","Title not mapped. ","")&amp;IF(AND(P1212&lt;&gt;"No staff time",R1212=""),"Missing hours. ","")&amp;IF(M1212="","Date not readable. ","")&amp;IF(N1212="No","Outside fiscal year. ","")&amp;IF(AND(F1212="Event",ISNUMBER(R1212)),IF(R1212&gt;12,"Event hours look high. ",""),"")&amp;IF(G1212&gt;0,"See CONFIRM sheet.",""))</f>
        <v/>
      </c>
      <c r="AB1212" s="1" t="n">
        <f aca="false">IF(N1212="No",0,IF(REVIEW!O1212=0,0,IF(G1212&gt;0,IF(INDEX(CONFIRM!$J$5:$J$53,G1212)&lt;&gt;"",INDEX(CONFIRM!$J$5:$J$53,G1212),1),1)))</f>
        <v>1</v>
      </c>
      <c r="AC1212" s="1" t="n">
        <f aca="false">IF(AB1212=1,IF(COUNTIFS($B$5:B1212,B1212,$D$5:D1212,D1212,$AB$5:AB1212,1)=1,1,0),0)</f>
        <v>0</v>
      </c>
    </row>
    <row r="1213" customFormat="false" ht="15" hidden="false" customHeight="false" outlineLevel="0" collapsed="false">
      <c r="A1213" s="48" t="str">
        <f aca="false">STACK!A1213</f>
        <v>WCH-0106</v>
      </c>
      <c r="B1213" s="48" t="str">
        <f aca="false">STACK!B1213</f>
        <v>WCH</v>
      </c>
      <c r="C1213" s="48" t="str">
        <f aca="false">STACK!E1213</f>
        <v>car seat check</v>
      </c>
      <c r="D1213" s="1" t="str">
        <f aca="false">IFERROR(INDEX(MAP!$J$7:$J$101,MATCH(TRIM(C1213),MAP!$I$7:$I$101,0)),"UNMAPPED")</f>
        <v>Car Seat Safety Checks</v>
      </c>
      <c r="E1213" s="1" t="str">
        <f aca="false">IFERROR(INDEX(MAP!$K$7:$K$101,MATCH(TRIM(C1213),MAP!$I$7:$I$101,0)),"")</f>
        <v>Maternal and child health</v>
      </c>
      <c r="F1213" s="1" t="str">
        <f aca="false">IFERROR(INDEX(MAP!$L$7:$L$101,MATCH(TRIM(C1213),MAP!$I$7:$I$101,0)),"")</f>
        <v>Event</v>
      </c>
      <c r="G1213" s="1" t="n">
        <f aca="false">IFERROR(MATCH(A1213,CONFIRM!$A$5:$A$53,0),0)</f>
        <v>0</v>
      </c>
      <c r="H1213" s="48" t="str">
        <f aca="false">STACK!F1213</f>
        <v>community health improvement services</v>
      </c>
      <c r="I1213" s="1" t="str">
        <f aca="false">IF(G1213&gt;0,IF(INDEX(CONFIRM!$I$5:$I$53,G1213)&lt;&gt;"",INDEX(CONFIRM!$I$5:$I$53,G1213),H1213),H1213)</f>
        <v>community health improvement services</v>
      </c>
      <c r="J1213" s="1" t="str">
        <f aca="false">IFERROR(INDEX(MAP!$F$7:$F$74,MATCH(TRIM(I1213),MAP!$E$7:$E$74,0)),"UNMAPPED")</f>
        <v>Community health education</v>
      </c>
      <c r="K1213" s="1" t="str">
        <f aca="false">IFERROR(INDEX(MAP!$G$7:$G$74,MATCH(TRIM(I1213),MAP!$E$7:$E$74,0)),"UNMAPPED")</f>
        <v>7e</v>
      </c>
      <c r="L1213" s="49" t="n">
        <f aca="false">STACK!G1213</f>
        <v>45962</v>
      </c>
      <c r="M1213" s="59" t="n">
        <f aca="false">IF(G1213&gt;0,IF(INDEX(CONFIRM!$G$5:$G$53,G1213)&lt;&gt;"",INDEX(CONFIRM!$G$5:$G$53,G1213),IF(ISNUMBER(L1213),L1213,IFERROR(DATEVALUE(L1213),""))),IF(ISNUMBER(L1213),L1213,IFERROR(DATEVALUE(L1213),"")))</f>
        <v>45962</v>
      </c>
      <c r="N1213" s="1" t="str">
        <f aca="false">IF(M1213="","Check",IF(AND(M1213&gt;=INPUTS!$C$6,M1213&lt;=INPUTS!$C$7),"Yes","No"))</f>
        <v>Yes</v>
      </c>
      <c r="O1213" s="48" t="str">
        <f aca="false">STACK!H1213</f>
        <v>RN - Outreach</v>
      </c>
      <c r="P1213" s="1" t="str">
        <f aca="false">IF(G1213&gt;0,IF(INDEX(CONFIRM!$H$5:$H$53,G1213)&lt;&gt;"",INDEX(CONFIRM!$H$5:$H$53,G1213),IFERROR(INDEX(MAP!$B$7:$B$156,MATCH(TRIM(O1213),MAP!$A$7:$A$156,0)),"UNMAPPED")),IFERROR(INDEX(MAP!$B$7:$B$156,MATCH(TRIM(O1213),MAP!$A$7:$A$156,0)),"UNMAPPED"))</f>
        <v>Registered Nurse</v>
      </c>
      <c r="Q1213" s="48" t="n">
        <f aca="false">STACK!I1213</f>
        <v>3.75</v>
      </c>
      <c r="R1213" s="60" t="n">
        <f aca="false">IF(G1213&gt;0,IF(INDEX(CONFIRM!$F$5:$F$53,G1213)&lt;&gt;"",INDEX(CONFIRM!$F$5:$F$53,G1213),IF(ISNUMBER(Q1213),Q1213,IF(Q1213="","",IFERROR(VALUE(TRIM(SUBSTITUTE(SUBSTITUTE(LOWER(Q1213),"hrs",""),"hr",""))),"")))),IF(ISNUMBER(Q1213),Q1213,IF(Q1213="","",IFERROR(VALUE(TRIM(SUBSTITUTE(SUBSTITUTE(LOWER(Q1213),"hrs",""),"hr",""))),""))))</f>
        <v>3.75</v>
      </c>
      <c r="S1213" s="57" t="n">
        <f aca="false">IFERROR(INDEX(RATES!$E$6:$E$28,MATCH(P1213,RATES!$A$6:$A$28,0)),0)</f>
        <v>55.8975</v>
      </c>
      <c r="T1213" s="61" t="n">
        <f aca="false">IF(ISNUMBER(R1213),R1213,0)*S1213</f>
        <v>209.615625</v>
      </c>
      <c r="U1213" s="61" t="n">
        <f aca="false">T1213*INDEX(INPUTS!$H$10:$H$14,MATCH(B1213,INPUTS!$A$10:$A$14,0))</f>
        <v>29.555803125</v>
      </c>
      <c r="V1213" s="61" t="n">
        <f aca="false">N(STACK!K1213)</f>
        <v>0</v>
      </c>
      <c r="W1213" s="61" t="n">
        <f aca="false">T1213+U1213+V1213</f>
        <v>239.171428125</v>
      </c>
      <c r="X1213" s="61" t="n">
        <f aca="false">N(STACK!L1213)</f>
        <v>0</v>
      </c>
      <c r="Y1213" s="61" t="n">
        <f aca="false">W1213-X1213</f>
        <v>239.171428125</v>
      </c>
      <c r="Z1213" s="1" t="n">
        <f aca="false">N(STACK!J1213)</f>
        <v>0</v>
      </c>
      <c r="AA1213" s="1" t="str">
        <f aca="false">TRIM(IF(D1213="UNMAPPED","Program not mapped. ","")&amp;IF(OR(K1213="UNMAPPED",K1213="UNASSIGNED"),"Category needs review. ","")&amp;IF(P1213="UNMAPPED","Title not mapped. ","")&amp;IF(AND(P1213&lt;&gt;"No staff time",R1213=""),"Missing hours. ","")&amp;IF(M1213="","Date not readable. ","")&amp;IF(N1213="No","Outside fiscal year. ","")&amp;IF(AND(F1213="Event",ISNUMBER(R1213)),IF(R1213&gt;12,"Event hours look high. ",""),"")&amp;IF(G1213&gt;0,"See CONFIRM sheet.",""))</f>
        <v/>
      </c>
      <c r="AB1213" s="1" t="n">
        <f aca="false">IF(N1213="No",0,IF(REVIEW!O1213=0,0,IF(G1213&gt;0,IF(INDEX(CONFIRM!$J$5:$J$53,G1213)&lt;&gt;"",INDEX(CONFIRM!$J$5:$J$53,G1213),1),1)))</f>
        <v>1</v>
      </c>
      <c r="AC1213" s="1" t="n">
        <f aca="false">IF(AB1213=1,IF(COUNTIFS($B$5:B1213,B1213,$D$5:D1213,D1213,$AB$5:AB1213,1)=1,1,0),0)</f>
        <v>0</v>
      </c>
    </row>
    <row r="1214" customFormat="false" ht="15" hidden="false" customHeight="false" outlineLevel="0" collapsed="false">
      <c r="A1214" s="48" t="str">
        <f aca="false">STACK!A1214</f>
        <v>WCH-0107</v>
      </c>
      <c r="B1214" s="48" t="str">
        <f aca="false">STACK!B1214</f>
        <v>WCH</v>
      </c>
      <c r="C1214" s="48" t="str">
        <f aca="false">STACK!E1214</f>
        <v>grief group</v>
      </c>
      <c r="D1214" s="1" t="str">
        <f aca="false">IFERROR(INDEX(MAP!$J$7:$J$101,MATCH(TRIM(C1214),MAP!$I$7:$I$101,0)),"UNMAPPED")</f>
        <v>Grief Support Group</v>
      </c>
      <c r="E1214" s="1" t="str">
        <f aca="false">IFERROR(INDEX(MAP!$K$7:$K$101,MATCH(TRIM(C1214),MAP!$I$7:$I$101,0)),"")</f>
        <v>Behavioral health</v>
      </c>
      <c r="F1214" s="1" t="str">
        <f aca="false">IFERROR(INDEX(MAP!$L$7:$L$101,MATCH(TRIM(C1214),MAP!$I$7:$I$101,0)),"")</f>
        <v>Event</v>
      </c>
      <c r="G1214" s="1" t="n">
        <f aca="false">IFERROR(MATCH(A1214,CONFIRM!$A$5:$A$53,0),0)</f>
        <v>0</v>
      </c>
      <c r="H1214" s="48" t="str">
        <f aca="false">STACK!F1214</f>
        <v>CHIS support</v>
      </c>
      <c r="I1214" s="1" t="str">
        <f aca="false">IF(G1214&gt;0,IF(INDEX(CONFIRM!$I$5:$I$53,G1214)&lt;&gt;"",INDEX(CONFIRM!$I$5:$I$53,G1214),H1214),H1214)</f>
        <v>CHIS support</v>
      </c>
      <c r="J1214" s="1" t="str">
        <f aca="false">IFERROR(INDEX(MAP!$F$7:$F$74,MATCH(TRIM(I1214),MAP!$E$7:$E$74,0)),"UNMAPPED")</f>
        <v>Health care support services</v>
      </c>
      <c r="K1214" s="1" t="str">
        <f aca="false">IFERROR(INDEX(MAP!$G$7:$G$74,MATCH(TRIM(I1214),MAP!$E$7:$E$74,0)),"UNMAPPED")</f>
        <v>7e</v>
      </c>
      <c r="L1214" s="49" t="str">
        <f aca="false">STACK!G1214</f>
        <v>11/6/25</v>
      </c>
      <c r="M1214" s="59" t="n">
        <f aca="false">IF(G1214&gt;0,IF(INDEX(CONFIRM!$G$5:$G$53,G1214)&lt;&gt;"",INDEX(CONFIRM!$G$5:$G$53,G1214),IF(ISNUMBER(L1214),L1214,IFERROR(DATEVALUE(L1214),""))),IF(ISNUMBER(L1214),L1214,IFERROR(DATEVALUE(L1214),"")))</f>
        <v>45967</v>
      </c>
      <c r="N1214" s="1" t="str">
        <f aca="false">IF(M1214="","Check",IF(AND(M1214&gt;=INPUTS!$C$6,M1214&lt;=INPUTS!$C$7),"Yes","No"))</f>
        <v>Yes</v>
      </c>
      <c r="O1214" s="48" t="str">
        <f aca="false">STACK!H1214</f>
        <v>Chaplain</v>
      </c>
      <c r="P1214" s="1" t="str">
        <f aca="false">IF(G1214&gt;0,IF(INDEX(CONFIRM!$H$5:$H$53,G1214)&lt;&gt;"",INDEX(CONFIRM!$H$5:$H$53,G1214),IFERROR(INDEX(MAP!$B$7:$B$156,MATCH(TRIM(O1214),MAP!$A$7:$A$156,0)),"UNMAPPED")),IFERROR(INDEX(MAP!$B$7:$B$156,MATCH(TRIM(O1214),MAP!$A$7:$A$156,0)),"UNMAPPED"))</f>
        <v>Chaplain</v>
      </c>
      <c r="Q1214" s="48" t="n">
        <f aca="false">STACK!I1214</f>
        <v>2.5</v>
      </c>
      <c r="R1214" s="60" t="n">
        <f aca="false">IF(G1214&gt;0,IF(INDEX(CONFIRM!$F$5:$F$53,G1214)&lt;&gt;"",INDEX(CONFIRM!$F$5:$F$53,G1214),IF(ISNUMBER(Q1214),Q1214,IF(Q1214="","",IFERROR(VALUE(TRIM(SUBSTITUTE(SUBSTITUTE(LOWER(Q1214),"hrs",""),"hr",""))),"")))),IF(ISNUMBER(Q1214),Q1214,IF(Q1214="","",IFERROR(VALUE(TRIM(SUBSTITUTE(SUBSTITUTE(LOWER(Q1214),"hrs",""),"hr",""))),""))))</f>
        <v>2.5</v>
      </c>
      <c r="S1214" s="57" t="n">
        <f aca="false">IFERROR(INDEX(RATES!$E$6:$E$28,MATCH(P1214,RATES!$A$6:$A$28,0)),0)</f>
        <v>39.835</v>
      </c>
      <c r="T1214" s="61" t="n">
        <f aca="false">IF(ISNUMBER(R1214),R1214,0)*S1214</f>
        <v>99.5875</v>
      </c>
      <c r="U1214" s="61" t="n">
        <f aca="false">T1214*INDEX(INPUTS!$H$10:$H$14,MATCH(B1214,INPUTS!$A$10:$A$14,0))</f>
        <v>14.0418375</v>
      </c>
      <c r="V1214" s="61" t="n">
        <f aca="false">N(STACK!K1214)</f>
        <v>20</v>
      </c>
      <c r="W1214" s="61" t="n">
        <f aca="false">T1214+U1214+V1214</f>
        <v>133.6293375</v>
      </c>
      <c r="X1214" s="61" t="n">
        <f aca="false">N(STACK!L1214)</f>
        <v>0</v>
      </c>
      <c r="Y1214" s="61" t="n">
        <f aca="false">W1214-X1214</f>
        <v>133.6293375</v>
      </c>
      <c r="Z1214" s="1" t="n">
        <f aca="false">N(STACK!J1214)</f>
        <v>9</v>
      </c>
      <c r="AA1214" s="1" t="str">
        <f aca="false">TRIM(IF(D1214="UNMAPPED","Program not mapped. ","")&amp;IF(OR(K1214="UNMAPPED",K1214="UNASSIGNED"),"Category needs review. ","")&amp;IF(P1214="UNMAPPED","Title not mapped. ","")&amp;IF(AND(P1214&lt;&gt;"No staff time",R1214=""),"Missing hours. ","")&amp;IF(M1214="","Date not readable. ","")&amp;IF(N1214="No","Outside fiscal year. ","")&amp;IF(AND(F1214="Event",ISNUMBER(R1214)),IF(R1214&gt;12,"Event hours look high. ",""),"")&amp;IF(G1214&gt;0,"See CONFIRM sheet.",""))</f>
        <v/>
      </c>
      <c r="AB1214" s="1" t="n">
        <f aca="false">IF(N1214="No",0,IF(REVIEW!O1214=0,0,IF(G1214&gt;0,IF(INDEX(CONFIRM!$J$5:$J$53,G1214)&lt;&gt;"",INDEX(CONFIRM!$J$5:$J$53,G1214),1),1)))</f>
        <v>1</v>
      </c>
      <c r="AC1214" s="1" t="n">
        <f aca="false">IF(AB1214=1,IF(COUNTIFS($B$5:B1214,B1214,$D$5:D1214,D1214,$AB$5:AB1214,1)=1,1,0),0)</f>
        <v>0</v>
      </c>
    </row>
    <row r="1215" customFormat="false" ht="15" hidden="false" customHeight="false" outlineLevel="0" collapsed="false">
      <c r="A1215" s="48" t="str">
        <f aca="false">STACK!A1215</f>
        <v>WCH-0108</v>
      </c>
      <c r="B1215" s="48" t="str">
        <f aca="false">STACK!B1215</f>
        <v>WCH</v>
      </c>
      <c r="C1215" s="48" t="str">
        <f aca="false">STACK!E1215</f>
        <v>grief group</v>
      </c>
      <c r="D1215" s="1" t="str">
        <f aca="false">IFERROR(INDEX(MAP!$J$7:$J$101,MATCH(TRIM(C1215),MAP!$I$7:$I$101,0)),"UNMAPPED")</f>
        <v>Grief Support Group</v>
      </c>
      <c r="E1215" s="1" t="str">
        <f aca="false">IFERROR(INDEX(MAP!$K$7:$K$101,MATCH(TRIM(C1215),MAP!$I$7:$I$101,0)),"")</f>
        <v>Behavioral health</v>
      </c>
      <c r="F1215" s="1" t="str">
        <f aca="false">IFERROR(INDEX(MAP!$L$7:$L$101,MATCH(TRIM(C1215),MAP!$I$7:$I$101,0)),"")</f>
        <v>Event</v>
      </c>
      <c r="G1215" s="1" t="n">
        <f aca="false">IFERROR(MATCH(A1215,CONFIRM!$A$5:$A$53,0),0)</f>
        <v>0</v>
      </c>
      <c r="H1215" s="48" t="str">
        <f aca="false">STACK!F1215</f>
        <v>CHIS support</v>
      </c>
      <c r="I1215" s="1" t="str">
        <f aca="false">IF(G1215&gt;0,IF(INDEX(CONFIRM!$I$5:$I$53,G1215)&lt;&gt;"",INDEX(CONFIRM!$I$5:$I$53,G1215),H1215),H1215)</f>
        <v>CHIS support</v>
      </c>
      <c r="J1215" s="1" t="str">
        <f aca="false">IFERROR(INDEX(MAP!$F$7:$F$74,MATCH(TRIM(I1215),MAP!$E$7:$E$74,0)),"UNMAPPED")</f>
        <v>Health care support services</v>
      </c>
      <c r="K1215" s="1" t="str">
        <f aca="false">IFERROR(INDEX(MAP!$G$7:$G$74,MATCH(TRIM(I1215),MAP!$E$7:$E$74,0)),"UNMAPPED")</f>
        <v>7e</v>
      </c>
      <c r="L1215" s="49" t="n">
        <f aca="false">STACK!G1215</f>
        <v>45967</v>
      </c>
      <c r="M1215" s="59" t="n">
        <f aca="false">IF(G1215&gt;0,IF(INDEX(CONFIRM!$G$5:$G$53,G1215)&lt;&gt;"",INDEX(CONFIRM!$G$5:$G$53,G1215),IF(ISNUMBER(L1215),L1215,IFERROR(DATEVALUE(L1215),""))),IF(ISNUMBER(L1215),L1215,IFERROR(DATEVALUE(L1215),"")))</f>
        <v>45967</v>
      </c>
      <c r="N1215" s="1" t="str">
        <f aca="false">IF(M1215="","Check",IF(AND(M1215&gt;=INPUTS!$C$6,M1215&lt;=INPUTS!$C$7),"Yes","No"))</f>
        <v>Yes</v>
      </c>
      <c r="O1215" s="48" t="str">
        <f aca="false">STACK!H1215</f>
        <v>LCSW</v>
      </c>
      <c r="P1215" s="1" t="str">
        <f aca="false">IF(G1215&gt;0,IF(INDEX(CONFIRM!$H$5:$H$53,G1215)&lt;&gt;"",INDEX(CONFIRM!$H$5:$H$53,G1215),IFERROR(INDEX(MAP!$B$7:$B$156,MATCH(TRIM(O1215),MAP!$A$7:$A$156,0)),"UNMAPPED")),IFERROR(INDEX(MAP!$B$7:$B$156,MATCH(TRIM(O1215),MAP!$A$7:$A$156,0)),"UNMAPPED"))</f>
        <v>Social Worker</v>
      </c>
      <c r="Q1215" s="48" t="n">
        <f aca="false">STACK!I1215</f>
        <v>1.5</v>
      </c>
      <c r="R1215" s="60" t="n">
        <f aca="false">IF(G1215&gt;0,IF(INDEX(CONFIRM!$F$5:$F$53,G1215)&lt;&gt;"",INDEX(CONFIRM!$F$5:$F$53,G1215),IF(ISNUMBER(Q1215),Q1215,IF(Q1215="","",IFERROR(VALUE(TRIM(SUBSTITUTE(SUBSTITUTE(LOWER(Q1215),"hrs",""),"hr",""))),"")))),IF(ISNUMBER(Q1215),Q1215,IF(Q1215="","",IFERROR(VALUE(TRIM(SUBSTITUTE(SUBSTITUTE(LOWER(Q1215),"hrs",""),"hr",""))),""))))</f>
        <v>1.5</v>
      </c>
      <c r="S1215" s="57" t="n">
        <f aca="false">IFERROR(INDEX(RATES!$E$6:$E$28,MATCH(P1215,RATES!$A$6:$A$28,0)),0)</f>
        <v>45.6175</v>
      </c>
      <c r="T1215" s="61" t="n">
        <f aca="false">IF(ISNUMBER(R1215),R1215,0)*S1215</f>
        <v>68.42625</v>
      </c>
      <c r="U1215" s="61" t="n">
        <f aca="false">T1215*INDEX(INPUTS!$H$10:$H$14,MATCH(B1215,INPUTS!$A$10:$A$14,0))</f>
        <v>9.64810125</v>
      </c>
      <c r="V1215" s="61" t="n">
        <f aca="false">N(STACK!K1215)</f>
        <v>0</v>
      </c>
      <c r="W1215" s="61" t="n">
        <f aca="false">T1215+U1215+V1215</f>
        <v>78.07435125</v>
      </c>
      <c r="X1215" s="61" t="n">
        <f aca="false">N(STACK!L1215)</f>
        <v>0</v>
      </c>
      <c r="Y1215" s="61" t="n">
        <f aca="false">W1215-X1215</f>
        <v>78.07435125</v>
      </c>
      <c r="Z1215" s="1" t="n">
        <f aca="false">N(STACK!J1215)</f>
        <v>0</v>
      </c>
      <c r="AA1215" s="1" t="str">
        <f aca="false">TRIM(IF(D1215="UNMAPPED","Program not mapped. ","")&amp;IF(OR(K1215="UNMAPPED",K1215="UNASSIGNED"),"Category needs review. ","")&amp;IF(P1215="UNMAPPED","Title not mapped. ","")&amp;IF(AND(P1215&lt;&gt;"No staff time",R1215=""),"Missing hours. ","")&amp;IF(M1215="","Date not readable. ","")&amp;IF(N1215="No","Outside fiscal year. ","")&amp;IF(AND(F1215="Event",ISNUMBER(R1215)),IF(R1215&gt;12,"Event hours look high. ",""),"")&amp;IF(G1215&gt;0,"See CONFIRM sheet.",""))</f>
        <v/>
      </c>
      <c r="AB1215" s="1" t="n">
        <f aca="false">IF(N1215="No",0,IF(REVIEW!O1215=0,0,IF(G1215&gt;0,IF(INDEX(CONFIRM!$J$5:$J$53,G1215)&lt;&gt;"",INDEX(CONFIRM!$J$5:$J$53,G1215),1),1)))</f>
        <v>1</v>
      </c>
      <c r="AC1215" s="1" t="n">
        <f aca="false">IF(AB1215=1,IF(COUNTIFS($B$5:B1215,B1215,$D$5:D1215,D1215,$AB$5:AB1215,1)=1,1,0),0)</f>
        <v>0</v>
      </c>
    </row>
    <row r="1216" customFormat="false" ht="15" hidden="false" customHeight="false" outlineLevel="0" collapsed="false">
      <c r="A1216" s="48" t="str">
        <f aca="false">STACK!A1216</f>
        <v>WCH-0109</v>
      </c>
      <c r="B1216" s="48" t="str">
        <f aca="false">STACK!B1216</f>
        <v>WCH</v>
      </c>
      <c r="C1216" s="48" t="str">
        <f aca="false">STACK!E1216</f>
        <v>diabetes prevention class</v>
      </c>
      <c r="D1216" s="1" t="str">
        <f aca="false">IFERROR(INDEX(MAP!$J$7:$J$101,MATCH(TRIM(C1216),MAP!$I$7:$I$101,0)),"UNMAPPED")</f>
        <v>Diabetes Prevention Classes</v>
      </c>
      <c r="E1216" s="1" t="str">
        <f aca="false">IFERROR(INDEX(MAP!$K$7:$K$101,MATCH(TRIM(C1216),MAP!$I$7:$I$101,0)),"")</f>
        <v>Chronic disease prevention</v>
      </c>
      <c r="F1216" s="1" t="str">
        <f aca="false">IFERROR(INDEX(MAP!$L$7:$L$101,MATCH(TRIM(C1216),MAP!$I$7:$I$101,0)),"")</f>
        <v>Event</v>
      </c>
      <c r="G1216" s="1" t="n">
        <f aca="false">IFERROR(MATCH(A1216,CONFIRM!$A$5:$A$53,0),0)</f>
        <v>0</v>
      </c>
      <c r="H1216" s="48" t="str">
        <f aca="false">STACK!F1216</f>
        <v>community health improvement services</v>
      </c>
      <c r="I1216" s="1" t="str">
        <f aca="false">IF(G1216&gt;0,IF(INDEX(CONFIRM!$I$5:$I$53,G1216)&lt;&gt;"",INDEX(CONFIRM!$I$5:$I$53,G1216),H1216),H1216)</f>
        <v>community health improvement services</v>
      </c>
      <c r="J1216" s="1" t="str">
        <f aca="false">IFERROR(INDEX(MAP!$F$7:$F$74,MATCH(TRIM(I1216),MAP!$E$7:$E$74,0)),"UNMAPPED")</f>
        <v>Community health education</v>
      </c>
      <c r="K1216" s="1" t="str">
        <f aca="false">IFERROR(INDEX(MAP!$G$7:$G$74,MATCH(TRIM(I1216),MAP!$E$7:$E$74,0)),"UNMAPPED")</f>
        <v>7e</v>
      </c>
      <c r="L1216" s="49" t="n">
        <f aca="false">STACK!G1216</f>
        <v>45972</v>
      </c>
      <c r="M1216" s="59" t="n">
        <f aca="false">IF(G1216&gt;0,IF(INDEX(CONFIRM!$G$5:$G$53,G1216)&lt;&gt;"",INDEX(CONFIRM!$G$5:$G$53,G1216),IF(ISNUMBER(L1216),L1216,IFERROR(DATEVALUE(L1216),""))),IF(ISNUMBER(L1216),L1216,IFERROR(DATEVALUE(L1216),"")))</f>
        <v>45972</v>
      </c>
      <c r="N1216" s="1" t="str">
        <f aca="false">IF(M1216="","Check",IF(AND(M1216&gt;=INPUTS!$C$6,M1216&lt;=INPUTS!$C$7),"Yes","No"))</f>
        <v>Yes</v>
      </c>
      <c r="O1216" s="48" t="str">
        <f aca="false">STACK!H1216</f>
        <v>CHES</v>
      </c>
      <c r="P1216" s="1" t="str">
        <f aca="false">IF(G1216&gt;0,IF(INDEX(CONFIRM!$H$5:$H$53,G1216)&lt;&gt;"",INDEX(CONFIRM!$H$5:$H$53,G1216),IFERROR(INDEX(MAP!$B$7:$B$156,MATCH(TRIM(O1216),MAP!$A$7:$A$156,0)),"UNMAPPED")),IFERROR(INDEX(MAP!$B$7:$B$156,MATCH(TRIM(O1216),MAP!$A$7:$A$156,0)),"UNMAPPED"))</f>
        <v>Health Educator</v>
      </c>
      <c r="Q1216" s="48" t="n">
        <f aca="false">STACK!I1216</f>
        <v>2.25</v>
      </c>
      <c r="R1216" s="60" t="n">
        <f aca="false">IF(G1216&gt;0,IF(INDEX(CONFIRM!$F$5:$F$53,G1216)&lt;&gt;"",INDEX(CONFIRM!$F$5:$F$53,G1216),IF(ISNUMBER(Q1216),Q1216,IF(Q1216="","",IFERROR(VALUE(TRIM(SUBSTITUTE(SUBSTITUTE(LOWER(Q1216),"hrs",""),"hr",""))),"")))),IF(ISNUMBER(Q1216),Q1216,IF(Q1216="","",IFERROR(VALUE(TRIM(SUBSTITUTE(SUBSTITUTE(LOWER(Q1216),"hrs",""),"hr",""))),""))))</f>
        <v>2.25</v>
      </c>
      <c r="S1216" s="57" t="n">
        <f aca="false">IFERROR(INDEX(RATES!$E$6:$E$28,MATCH(P1216,RATES!$A$6:$A$28,0)),0)</f>
        <v>37.265</v>
      </c>
      <c r="T1216" s="61" t="n">
        <f aca="false">IF(ISNUMBER(R1216),R1216,0)*S1216</f>
        <v>83.84625</v>
      </c>
      <c r="U1216" s="61" t="n">
        <f aca="false">T1216*INDEX(INPUTS!$H$10:$H$14,MATCH(B1216,INPUTS!$A$10:$A$14,0))</f>
        <v>11.82232125</v>
      </c>
      <c r="V1216" s="61" t="n">
        <f aca="false">N(STACK!K1216)</f>
        <v>150</v>
      </c>
      <c r="W1216" s="61" t="n">
        <f aca="false">T1216+U1216+V1216</f>
        <v>245.66857125</v>
      </c>
      <c r="X1216" s="61" t="n">
        <f aca="false">N(STACK!L1216)</f>
        <v>0</v>
      </c>
      <c r="Y1216" s="61" t="n">
        <f aca="false">W1216-X1216</f>
        <v>245.66857125</v>
      </c>
      <c r="Z1216" s="1" t="n">
        <f aca="false">N(STACK!J1216)</f>
        <v>12</v>
      </c>
      <c r="AA1216" s="1" t="str">
        <f aca="false">TRIM(IF(D1216="UNMAPPED","Program not mapped. ","")&amp;IF(OR(K1216="UNMAPPED",K1216="UNASSIGNED"),"Category needs review. ","")&amp;IF(P1216="UNMAPPED","Title not mapped. ","")&amp;IF(AND(P1216&lt;&gt;"No staff time",R1216=""),"Missing hours. ","")&amp;IF(M1216="","Date not readable. ","")&amp;IF(N1216="No","Outside fiscal year. ","")&amp;IF(AND(F1216="Event",ISNUMBER(R1216)),IF(R1216&gt;12,"Event hours look high. ",""),"")&amp;IF(G1216&gt;0,"See CONFIRM sheet.",""))</f>
        <v/>
      </c>
      <c r="AB1216" s="1" t="n">
        <f aca="false">IF(N1216="No",0,IF(REVIEW!O1216=0,0,IF(G1216&gt;0,IF(INDEX(CONFIRM!$J$5:$J$53,G1216)&lt;&gt;"",INDEX(CONFIRM!$J$5:$J$53,G1216),1),1)))</f>
        <v>1</v>
      </c>
      <c r="AC1216" s="1" t="n">
        <f aca="false">IF(AB1216=1,IF(COUNTIFS($B$5:B1216,B1216,$D$5:D1216,D1216,$AB$5:AB1216,1)=1,1,0),0)</f>
        <v>0</v>
      </c>
    </row>
    <row r="1217" customFormat="false" ht="15" hidden="false" customHeight="false" outlineLevel="0" collapsed="false">
      <c r="A1217" s="48" t="str">
        <f aca="false">STACK!A1217</f>
        <v>WCH-0110</v>
      </c>
      <c r="B1217" s="48" t="str">
        <f aca="false">STACK!B1217</f>
        <v>WCH</v>
      </c>
      <c r="C1217" s="48" t="str">
        <f aca="false">STACK!E1217</f>
        <v>diabetes prevention class</v>
      </c>
      <c r="D1217" s="1" t="str">
        <f aca="false">IFERROR(INDEX(MAP!$J$7:$J$101,MATCH(TRIM(C1217),MAP!$I$7:$I$101,0)),"UNMAPPED")</f>
        <v>Diabetes Prevention Classes</v>
      </c>
      <c r="E1217" s="1" t="str">
        <f aca="false">IFERROR(INDEX(MAP!$K$7:$K$101,MATCH(TRIM(C1217),MAP!$I$7:$I$101,0)),"")</f>
        <v>Chronic disease prevention</v>
      </c>
      <c r="F1217" s="1" t="str">
        <f aca="false">IFERROR(INDEX(MAP!$L$7:$L$101,MATCH(TRIM(C1217),MAP!$I$7:$I$101,0)),"")</f>
        <v>Event</v>
      </c>
      <c r="G1217" s="1" t="n">
        <f aca="false">IFERROR(MATCH(A1217,CONFIRM!$A$5:$A$53,0),0)</f>
        <v>0</v>
      </c>
      <c r="H1217" s="48" t="str">
        <f aca="false">STACK!F1217</f>
        <v>community health improvement services</v>
      </c>
      <c r="I1217" s="1" t="str">
        <f aca="false">IF(G1217&gt;0,IF(INDEX(CONFIRM!$I$5:$I$53,G1217)&lt;&gt;"",INDEX(CONFIRM!$I$5:$I$53,G1217),H1217),H1217)</f>
        <v>community health improvement services</v>
      </c>
      <c r="J1217" s="1" t="str">
        <f aca="false">IFERROR(INDEX(MAP!$F$7:$F$74,MATCH(TRIM(I1217),MAP!$E$7:$E$74,0)),"UNMAPPED")</f>
        <v>Community health education</v>
      </c>
      <c r="K1217" s="1" t="str">
        <f aca="false">IFERROR(INDEX(MAP!$G$7:$G$74,MATCH(TRIM(I1217),MAP!$E$7:$E$74,0)),"UNMAPPED")</f>
        <v>7e</v>
      </c>
      <c r="L1217" s="49" t="n">
        <f aca="false">STACK!G1217</f>
        <v>45972</v>
      </c>
      <c r="M1217" s="59" t="n">
        <f aca="false">IF(G1217&gt;0,IF(INDEX(CONFIRM!$G$5:$G$53,G1217)&lt;&gt;"",INDEX(CONFIRM!$G$5:$G$53,G1217),IF(ISNUMBER(L1217),L1217,IFERROR(DATEVALUE(L1217),""))),IF(ISNUMBER(L1217),L1217,IFERROR(DATEVALUE(L1217),"")))</f>
        <v>45972</v>
      </c>
      <c r="N1217" s="1" t="str">
        <f aca="false">IF(M1217="","Check",IF(AND(M1217&gt;=INPUTS!$C$6,M1217&lt;=INPUTS!$C$7),"Yes","No"))</f>
        <v>Yes</v>
      </c>
      <c r="O1217" s="48" t="str">
        <f aca="false">STACK!H1217</f>
        <v>RDN</v>
      </c>
      <c r="P1217" s="1" t="str">
        <f aca="false">IF(G1217&gt;0,IF(INDEX(CONFIRM!$H$5:$H$53,G1217)&lt;&gt;"",INDEX(CONFIRM!$H$5:$H$53,G1217),IFERROR(INDEX(MAP!$B$7:$B$156,MATCH(TRIM(O1217),MAP!$A$7:$A$156,0)),"UNMAPPED")),IFERROR(INDEX(MAP!$B$7:$B$156,MATCH(TRIM(O1217),MAP!$A$7:$A$156,0)),"UNMAPPED"))</f>
        <v>Registered Dietitian</v>
      </c>
      <c r="Q1217" s="48" t="n">
        <f aca="false">STACK!I1217</f>
        <v>1.75</v>
      </c>
      <c r="R1217" s="60" t="n">
        <f aca="false">IF(G1217&gt;0,IF(INDEX(CONFIRM!$F$5:$F$53,G1217)&lt;&gt;"",INDEX(CONFIRM!$F$5:$F$53,G1217),IF(ISNUMBER(Q1217),Q1217,IF(Q1217="","",IFERROR(VALUE(TRIM(SUBSTITUTE(SUBSTITUTE(LOWER(Q1217),"hrs",""),"hr",""))),"")))),IF(ISNUMBER(Q1217),Q1217,IF(Q1217="","",IFERROR(VALUE(TRIM(SUBSTITUTE(SUBSTITUTE(LOWER(Q1217),"hrs",""),"hr",""))),""))))</f>
        <v>1.75</v>
      </c>
      <c r="S1217" s="57" t="n">
        <f aca="false">IFERROR(INDEX(RATES!$E$6:$E$28,MATCH(P1217,RATES!$A$6:$A$28,0)),0)</f>
        <v>46.9025</v>
      </c>
      <c r="T1217" s="61" t="n">
        <f aca="false">IF(ISNUMBER(R1217),R1217,0)*S1217</f>
        <v>82.079375</v>
      </c>
      <c r="U1217" s="61" t="n">
        <f aca="false">T1217*INDEX(INPUTS!$H$10:$H$14,MATCH(B1217,INPUTS!$A$10:$A$14,0))</f>
        <v>11.573191875</v>
      </c>
      <c r="V1217" s="61" t="n">
        <f aca="false">N(STACK!K1217)</f>
        <v>0</v>
      </c>
      <c r="W1217" s="61" t="n">
        <f aca="false">T1217+U1217+V1217</f>
        <v>93.652566875</v>
      </c>
      <c r="X1217" s="61" t="n">
        <f aca="false">N(STACK!L1217)</f>
        <v>0</v>
      </c>
      <c r="Y1217" s="61" t="n">
        <f aca="false">W1217-X1217</f>
        <v>93.652566875</v>
      </c>
      <c r="Z1217" s="1" t="n">
        <f aca="false">N(STACK!J1217)</f>
        <v>0</v>
      </c>
      <c r="AA1217" s="1" t="str">
        <f aca="false">TRIM(IF(D1217="UNMAPPED","Program not mapped. ","")&amp;IF(OR(K1217="UNMAPPED",K1217="UNASSIGNED"),"Category needs review. ","")&amp;IF(P1217="UNMAPPED","Title not mapped. ","")&amp;IF(AND(P1217&lt;&gt;"No staff time",R1217=""),"Missing hours. ","")&amp;IF(M1217="","Date not readable. ","")&amp;IF(N1217="No","Outside fiscal year. ","")&amp;IF(AND(F1217="Event",ISNUMBER(R1217)),IF(R1217&gt;12,"Event hours look high. ",""),"")&amp;IF(G1217&gt;0,"See CONFIRM sheet.",""))</f>
        <v/>
      </c>
      <c r="AB1217" s="1" t="n">
        <f aca="false">IF(N1217="No",0,IF(REVIEW!O1217=0,0,IF(G1217&gt;0,IF(INDEX(CONFIRM!$J$5:$J$53,G1217)&lt;&gt;"",INDEX(CONFIRM!$J$5:$J$53,G1217),1),1)))</f>
        <v>1</v>
      </c>
      <c r="AC1217" s="1" t="n">
        <f aca="false">IF(AB1217=1,IF(COUNTIFS($B$5:B1217,B1217,$D$5:D1217,D1217,$AB$5:AB1217,1)=1,1,0),0)</f>
        <v>0</v>
      </c>
    </row>
    <row r="1218" customFormat="false" ht="15" hidden="false" customHeight="false" outlineLevel="0" collapsed="false">
      <c r="A1218" s="48" t="str">
        <f aca="false">STACK!A1218</f>
        <v>WCH-0111</v>
      </c>
      <c r="B1218" s="48" t="str">
        <f aca="false">STACK!B1218</f>
        <v>WCH</v>
      </c>
      <c r="C1218" s="48" t="str">
        <f aca="false">STACK!E1218</f>
        <v>mobile van screenings</v>
      </c>
      <c r="D1218" s="1" t="str">
        <f aca="false">IFERROR(INDEX(MAP!$J$7:$J$101,MATCH(TRIM(C1218),MAP!$I$7:$I$101,0)),"UNMAPPED")</f>
        <v>Mobile Health Screening Unit</v>
      </c>
      <c r="E1218" s="1" t="str">
        <f aca="false">IFERROR(INDEX(MAP!$K$7:$K$101,MATCH(TRIM(C1218),MAP!$I$7:$I$101,0)),"")</f>
        <v>Access to care</v>
      </c>
      <c r="F1218" s="1" t="str">
        <f aca="false">IFERROR(INDEX(MAP!$L$7:$L$101,MATCH(TRIM(C1218),MAP!$I$7:$I$101,0)),"")</f>
        <v>Monthly</v>
      </c>
      <c r="G1218" s="1" t="n">
        <f aca="false">IFERROR(MATCH(A1218,CONFIRM!$A$5:$A$53,0),0)</f>
        <v>0</v>
      </c>
      <c r="H1218" s="48" t="str">
        <f aca="false">STACK!F1218</f>
        <v>CHIS clinical</v>
      </c>
      <c r="I1218" s="1" t="str">
        <f aca="false">IF(G1218&gt;0,IF(INDEX(CONFIRM!$I$5:$I$53,G1218)&lt;&gt;"",INDEX(CONFIRM!$I$5:$I$53,G1218),H1218),H1218)</f>
        <v>CHIS clinical</v>
      </c>
      <c r="J1218" s="1" t="str">
        <f aca="false">IFERROR(INDEX(MAP!$F$7:$F$74,MATCH(TRIM(I1218),MAP!$E$7:$E$74,0)),"UNMAPPED")</f>
        <v>Community-based clinical services</v>
      </c>
      <c r="K1218" s="1" t="str">
        <f aca="false">IFERROR(INDEX(MAP!$G$7:$G$74,MATCH(TRIM(I1218),MAP!$E$7:$E$74,0)),"UNMAPPED")</f>
        <v>7e</v>
      </c>
      <c r="L1218" s="49" t="str">
        <f aca="false">STACK!G1218</f>
        <v>11/30/25</v>
      </c>
      <c r="M1218" s="59" t="n">
        <f aca="false">IF(G1218&gt;0,IF(INDEX(CONFIRM!$G$5:$G$53,G1218)&lt;&gt;"",INDEX(CONFIRM!$G$5:$G$53,G1218),IF(ISNUMBER(L1218),L1218,IFERROR(DATEVALUE(L1218),""))),IF(ISNUMBER(L1218),L1218,IFERROR(DATEVALUE(L1218),"")))</f>
        <v>45991</v>
      </c>
      <c r="N1218" s="1" t="str">
        <f aca="false">IF(M1218="","Check",IF(AND(M1218&gt;=INPUTS!$C$6,M1218&lt;=INPUTS!$C$7),"Yes","No"))</f>
        <v>Yes</v>
      </c>
      <c r="O1218" s="48" t="str">
        <f aca="false">STACK!H1218</f>
        <v>CHW II</v>
      </c>
      <c r="P1218" s="1" t="str">
        <f aca="false">IF(G1218&gt;0,IF(INDEX(CONFIRM!$H$5:$H$53,G1218)&lt;&gt;"",INDEX(CONFIRM!$H$5:$H$53,G1218),IFERROR(INDEX(MAP!$B$7:$B$156,MATCH(TRIM(O1218),MAP!$A$7:$A$156,0)),"UNMAPPED")),IFERROR(INDEX(MAP!$B$7:$B$156,MATCH(TRIM(O1218),MAP!$A$7:$A$156,0)),"UNMAPPED"))</f>
        <v>Community Health Worker</v>
      </c>
      <c r="Q1218" s="48" t="n">
        <f aca="false">STACK!I1218</f>
        <v>42.5</v>
      </c>
      <c r="R1218" s="60" t="n">
        <f aca="false">IF(G1218&gt;0,IF(INDEX(CONFIRM!$F$5:$F$53,G1218)&lt;&gt;"",INDEX(CONFIRM!$F$5:$F$53,G1218),IF(ISNUMBER(Q1218),Q1218,IF(Q1218="","",IFERROR(VALUE(TRIM(SUBSTITUTE(SUBSTITUTE(LOWER(Q1218),"hrs",""),"hr",""))),"")))),IF(ISNUMBER(Q1218),Q1218,IF(Q1218="","",IFERROR(VALUE(TRIM(SUBSTITUTE(SUBSTITUTE(LOWER(Q1218),"hrs",""),"hr",""))),""))))</f>
        <v>42.5</v>
      </c>
      <c r="S1218" s="57" t="n">
        <f aca="false">IFERROR(INDEX(RATES!$E$6:$E$28,MATCH(P1218,RATES!$A$6:$A$28,0)),0)</f>
        <v>27.6275</v>
      </c>
      <c r="T1218" s="61" t="n">
        <f aca="false">IF(ISNUMBER(R1218),R1218,0)*S1218</f>
        <v>1174.16875</v>
      </c>
      <c r="U1218" s="61" t="n">
        <f aca="false">T1218*INDEX(INPUTS!$H$10:$H$14,MATCH(B1218,INPUTS!$A$10:$A$14,0))</f>
        <v>165.55779375</v>
      </c>
      <c r="V1218" s="61" t="n">
        <f aca="false">N(STACK!K1218)</f>
        <v>0</v>
      </c>
      <c r="W1218" s="61" t="n">
        <f aca="false">T1218+U1218+V1218</f>
        <v>1339.72654375</v>
      </c>
      <c r="X1218" s="61" t="n">
        <f aca="false">N(STACK!L1218)</f>
        <v>0</v>
      </c>
      <c r="Y1218" s="61" t="n">
        <f aca="false">W1218-X1218</f>
        <v>1339.72654375</v>
      </c>
      <c r="Z1218" s="1" t="n">
        <f aca="false">N(STACK!J1218)</f>
        <v>0</v>
      </c>
      <c r="AA1218" s="1" t="str">
        <f aca="false">TRIM(IF(D1218="UNMAPPED","Program not mapped. ","")&amp;IF(OR(K1218="UNMAPPED",K1218="UNASSIGNED"),"Category needs review. ","")&amp;IF(P1218="UNMAPPED","Title not mapped. ","")&amp;IF(AND(P1218&lt;&gt;"No staff time",R1218=""),"Missing hours. ","")&amp;IF(M1218="","Date not readable. ","")&amp;IF(N1218="No","Outside fiscal year. ","")&amp;IF(AND(F1218="Event",ISNUMBER(R1218)),IF(R1218&gt;12,"Event hours look high. ",""),"")&amp;IF(G1218&gt;0,"See CONFIRM sheet.",""))</f>
        <v/>
      </c>
      <c r="AB1218" s="1" t="n">
        <f aca="false">IF(N1218="No",0,IF(REVIEW!O1218=0,0,IF(G1218&gt;0,IF(INDEX(CONFIRM!$J$5:$J$53,G1218)&lt;&gt;"",INDEX(CONFIRM!$J$5:$J$53,G1218),1),1)))</f>
        <v>1</v>
      </c>
      <c r="AC1218" s="1" t="n">
        <f aca="false">IF(AB1218=1,IF(COUNTIFS($B$5:B1218,B1218,$D$5:D1218,D1218,$AB$5:AB1218,1)=1,1,0),0)</f>
        <v>0</v>
      </c>
    </row>
    <row r="1219" customFormat="false" ht="15" hidden="false" customHeight="false" outlineLevel="0" collapsed="false">
      <c r="A1219" s="48" t="str">
        <f aca="false">STACK!A1219</f>
        <v>WCH-0112</v>
      </c>
      <c r="B1219" s="48" t="str">
        <f aca="false">STACK!B1219</f>
        <v>WCH</v>
      </c>
      <c r="C1219" s="48" t="str">
        <f aca="false">STACK!E1219</f>
        <v>mobile van screenings</v>
      </c>
      <c r="D1219" s="1" t="str">
        <f aca="false">IFERROR(INDEX(MAP!$J$7:$J$101,MATCH(TRIM(C1219),MAP!$I$7:$I$101,0)),"UNMAPPED")</f>
        <v>Mobile Health Screening Unit</v>
      </c>
      <c r="E1219" s="1" t="str">
        <f aca="false">IFERROR(INDEX(MAP!$K$7:$K$101,MATCH(TRIM(C1219),MAP!$I$7:$I$101,0)),"")</f>
        <v>Access to care</v>
      </c>
      <c r="F1219" s="1" t="str">
        <f aca="false">IFERROR(INDEX(MAP!$L$7:$L$101,MATCH(TRIM(C1219),MAP!$I$7:$I$101,0)),"")</f>
        <v>Monthly</v>
      </c>
      <c r="G1219" s="1" t="n">
        <f aca="false">IFERROR(MATCH(A1219,CONFIRM!$A$5:$A$53,0),0)</f>
        <v>0</v>
      </c>
      <c r="H1219" s="48" t="str">
        <f aca="false">STACK!F1219</f>
        <v>CHIS clinical</v>
      </c>
      <c r="I1219" s="1" t="str">
        <f aca="false">IF(G1219&gt;0,IF(INDEX(CONFIRM!$I$5:$I$53,G1219)&lt;&gt;"",INDEX(CONFIRM!$I$5:$I$53,G1219),H1219),H1219)</f>
        <v>CHIS clinical</v>
      </c>
      <c r="J1219" s="1" t="str">
        <f aca="false">IFERROR(INDEX(MAP!$F$7:$F$74,MATCH(TRIM(I1219),MAP!$E$7:$E$74,0)),"UNMAPPED")</f>
        <v>Community-based clinical services</v>
      </c>
      <c r="K1219" s="1" t="str">
        <f aca="false">IFERROR(INDEX(MAP!$G$7:$G$74,MATCH(TRIM(I1219),MAP!$E$7:$E$74,0)),"UNMAPPED")</f>
        <v>7e</v>
      </c>
      <c r="L1219" s="49" t="str">
        <f aca="false">STACK!G1219</f>
        <v>November 30, 2025</v>
      </c>
      <c r="M1219" s="59" t="n">
        <f aca="false">IF(G1219&gt;0,IF(INDEX(CONFIRM!$G$5:$G$53,G1219)&lt;&gt;"",INDEX(CONFIRM!$G$5:$G$53,G1219),IF(ISNUMBER(L1219),L1219,IFERROR(DATEVALUE(L1219),""))),IF(ISNUMBER(L1219),L1219,IFERROR(DATEVALUE(L1219),"")))</f>
        <v>45991</v>
      </c>
      <c r="N1219" s="1" t="str">
        <f aca="false">IF(M1219="","Check",IF(AND(M1219&gt;=INPUTS!$C$6,M1219&lt;=INPUTS!$C$7),"Yes","No"))</f>
        <v>Yes</v>
      </c>
      <c r="O1219" s="48" t="str">
        <f aca="false">STACK!H1219</f>
        <v>Med Asst</v>
      </c>
      <c r="P1219" s="1" t="str">
        <f aca="false">IF(G1219&gt;0,IF(INDEX(CONFIRM!$H$5:$H$53,G1219)&lt;&gt;"",INDEX(CONFIRM!$H$5:$H$53,G1219),IFERROR(INDEX(MAP!$B$7:$B$156,MATCH(TRIM(O1219),MAP!$A$7:$A$156,0)),"UNMAPPED")),IFERROR(INDEX(MAP!$B$7:$B$156,MATCH(TRIM(O1219),MAP!$A$7:$A$156,0)),"UNMAPPED"))</f>
        <v>Medical Assistant</v>
      </c>
      <c r="Q1219" s="48" t="n">
        <f aca="false">STACK!I1219</f>
        <v>65.75</v>
      </c>
      <c r="R1219" s="60" t="n">
        <f aca="false">IF(G1219&gt;0,IF(INDEX(CONFIRM!$F$5:$F$53,G1219)&lt;&gt;"",INDEX(CONFIRM!$F$5:$F$53,G1219),IF(ISNUMBER(Q1219),Q1219,IF(Q1219="","",IFERROR(VALUE(TRIM(SUBSTITUTE(SUBSTITUTE(LOWER(Q1219),"hrs",""),"hr",""))),"")))),IF(ISNUMBER(Q1219),Q1219,IF(Q1219="","",IFERROR(VALUE(TRIM(SUBSTITUTE(SUBSTITUTE(LOWER(Q1219),"hrs",""),"hr",""))),""))))</f>
        <v>65.75</v>
      </c>
      <c r="S1219" s="57" t="n">
        <f aca="false">IFERROR(INDEX(RATES!$E$6:$E$28,MATCH(P1219,RATES!$A$6:$A$28,0)),0)</f>
        <v>25.37875</v>
      </c>
      <c r="T1219" s="61" t="n">
        <f aca="false">IF(ISNUMBER(R1219),R1219,0)*S1219</f>
        <v>1668.6528125</v>
      </c>
      <c r="U1219" s="61" t="n">
        <f aca="false">T1219*INDEX(INPUTS!$H$10:$H$14,MATCH(B1219,INPUTS!$A$10:$A$14,0))</f>
        <v>235.2800465625</v>
      </c>
      <c r="V1219" s="61" t="n">
        <f aca="false">N(STACK!K1219)</f>
        <v>0</v>
      </c>
      <c r="W1219" s="61" t="n">
        <f aca="false">T1219+U1219+V1219</f>
        <v>1903.9328590625</v>
      </c>
      <c r="X1219" s="61" t="n">
        <f aca="false">N(STACK!L1219)</f>
        <v>0</v>
      </c>
      <c r="Y1219" s="61" t="n">
        <f aca="false">W1219-X1219</f>
        <v>1903.9328590625</v>
      </c>
      <c r="Z1219" s="1" t="n">
        <f aca="false">N(STACK!J1219)</f>
        <v>0</v>
      </c>
      <c r="AA1219" s="1" t="str">
        <f aca="false">TRIM(IF(D1219="UNMAPPED","Program not mapped. ","")&amp;IF(OR(K1219="UNMAPPED",K1219="UNASSIGNED"),"Category needs review. ","")&amp;IF(P1219="UNMAPPED","Title not mapped. ","")&amp;IF(AND(P1219&lt;&gt;"No staff time",R1219=""),"Missing hours. ","")&amp;IF(M1219="","Date not readable. ","")&amp;IF(N1219="No","Outside fiscal year. ","")&amp;IF(AND(F1219="Event",ISNUMBER(R1219)),IF(R1219&gt;12,"Event hours look high. ",""),"")&amp;IF(G1219&gt;0,"See CONFIRM sheet.",""))</f>
        <v/>
      </c>
      <c r="AB1219" s="1" t="n">
        <f aca="false">IF(N1219="No",0,IF(REVIEW!O1219=0,0,IF(G1219&gt;0,IF(INDEX(CONFIRM!$J$5:$J$53,G1219)&lt;&gt;"",INDEX(CONFIRM!$J$5:$J$53,G1219),1),1)))</f>
        <v>1</v>
      </c>
      <c r="AC1219" s="1" t="n">
        <f aca="false">IF(AB1219=1,IF(COUNTIFS($B$5:B1219,B1219,$D$5:D1219,D1219,$AB$5:AB1219,1)=1,1,0),0)</f>
        <v>0</v>
      </c>
    </row>
    <row r="1220" customFormat="false" ht="15" hidden="false" customHeight="false" outlineLevel="0" collapsed="false">
      <c r="A1220" s="48" t="str">
        <f aca="false">STACK!A1220</f>
        <v>WCH-0113</v>
      </c>
      <c r="B1220" s="48" t="str">
        <f aca="false">STACK!B1220</f>
        <v>WCH</v>
      </c>
      <c r="C1220" s="48" t="str">
        <f aca="false">STACK!E1220</f>
        <v>mobile van screenings</v>
      </c>
      <c r="D1220" s="1" t="str">
        <f aca="false">IFERROR(INDEX(MAP!$J$7:$J$101,MATCH(TRIM(C1220),MAP!$I$7:$I$101,0)),"UNMAPPED")</f>
        <v>Mobile Health Screening Unit</v>
      </c>
      <c r="E1220" s="1" t="str">
        <f aca="false">IFERROR(INDEX(MAP!$K$7:$K$101,MATCH(TRIM(C1220),MAP!$I$7:$I$101,0)),"")</f>
        <v>Access to care</v>
      </c>
      <c r="F1220" s="1" t="str">
        <f aca="false">IFERROR(INDEX(MAP!$L$7:$L$101,MATCH(TRIM(C1220),MAP!$I$7:$I$101,0)),"")</f>
        <v>Monthly</v>
      </c>
      <c r="G1220" s="1" t="n">
        <f aca="false">IFERROR(MATCH(A1220,CONFIRM!$A$5:$A$53,0),0)</f>
        <v>0</v>
      </c>
      <c r="H1220" s="48" t="str">
        <f aca="false">STACK!F1220</f>
        <v>CHIS clinical</v>
      </c>
      <c r="I1220" s="1" t="str">
        <f aca="false">IF(G1220&gt;0,IF(INDEX(CONFIRM!$I$5:$I$53,G1220)&lt;&gt;"",INDEX(CONFIRM!$I$5:$I$53,G1220),H1220),H1220)</f>
        <v>CHIS clinical</v>
      </c>
      <c r="J1220" s="1" t="str">
        <f aca="false">IFERROR(INDEX(MAP!$F$7:$F$74,MATCH(TRIM(I1220),MAP!$E$7:$E$74,0)),"UNMAPPED")</f>
        <v>Community-based clinical services</v>
      </c>
      <c r="K1220" s="1" t="str">
        <f aca="false">IFERROR(INDEX(MAP!$G$7:$G$74,MATCH(TRIM(I1220),MAP!$E$7:$E$74,0)),"UNMAPPED")</f>
        <v>7e</v>
      </c>
      <c r="L1220" s="49" t="str">
        <f aca="false">STACK!G1220</f>
        <v>11/30/25</v>
      </c>
      <c r="M1220" s="59" t="n">
        <f aca="false">IF(G1220&gt;0,IF(INDEX(CONFIRM!$G$5:$G$53,G1220)&lt;&gt;"",INDEX(CONFIRM!$G$5:$G$53,G1220),IF(ISNUMBER(L1220),L1220,IFERROR(DATEVALUE(L1220),""))),IF(ISNUMBER(L1220),L1220,IFERROR(DATEVALUE(L1220),"")))</f>
        <v>45991</v>
      </c>
      <c r="N1220" s="1" t="str">
        <f aca="false">IF(M1220="","Check",IF(AND(M1220&gt;=INPUTS!$C$6,M1220&lt;=INPUTS!$C$7),"Yes","No"))</f>
        <v>Yes</v>
      </c>
      <c r="O1220" s="48" t="str">
        <f aca="false">STACK!H1220</f>
        <v>Staff RN</v>
      </c>
      <c r="P1220" s="1" t="str">
        <f aca="false">IF(G1220&gt;0,IF(INDEX(CONFIRM!$H$5:$H$53,G1220)&lt;&gt;"",INDEX(CONFIRM!$H$5:$H$53,G1220),IFERROR(INDEX(MAP!$B$7:$B$156,MATCH(TRIM(O1220),MAP!$A$7:$A$156,0)),"UNMAPPED")),IFERROR(INDEX(MAP!$B$7:$B$156,MATCH(TRIM(O1220),MAP!$A$7:$A$156,0)),"UNMAPPED"))</f>
        <v>Registered Nurse</v>
      </c>
      <c r="Q1220" s="48" t="str">
        <f aca="false">STACK!I1220</f>
        <v>71 hr</v>
      </c>
      <c r="R1220" s="60" t="n">
        <f aca="false">IF(G1220&gt;0,IF(INDEX(CONFIRM!$F$5:$F$53,G1220)&lt;&gt;"",INDEX(CONFIRM!$F$5:$F$53,G1220),IF(ISNUMBER(Q1220),Q1220,IF(Q1220="","",IFERROR(VALUE(TRIM(SUBSTITUTE(SUBSTITUTE(LOWER(Q1220),"hrs",""),"hr",""))),"")))),IF(ISNUMBER(Q1220),Q1220,IF(Q1220="","",IFERROR(VALUE(TRIM(SUBSTITUTE(SUBSTITUTE(LOWER(Q1220),"hrs",""),"hr",""))),""))))</f>
        <v>71</v>
      </c>
      <c r="S1220" s="57" t="n">
        <f aca="false">IFERROR(INDEX(RATES!$E$6:$E$28,MATCH(P1220,RATES!$A$6:$A$28,0)),0)</f>
        <v>55.8975</v>
      </c>
      <c r="T1220" s="61" t="n">
        <f aca="false">IF(ISNUMBER(R1220),R1220,0)*S1220</f>
        <v>3968.7225</v>
      </c>
      <c r="U1220" s="61" t="n">
        <f aca="false">T1220*INDEX(INPUTS!$H$10:$H$14,MATCH(B1220,INPUTS!$A$10:$A$14,0))</f>
        <v>559.5898725</v>
      </c>
      <c r="V1220" s="61" t="n">
        <f aca="false">N(STACK!K1220)</f>
        <v>6750</v>
      </c>
      <c r="W1220" s="61" t="n">
        <f aca="false">T1220+U1220+V1220</f>
        <v>11278.3123725</v>
      </c>
      <c r="X1220" s="61" t="n">
        <f aca="false">N(STACK!L1220)</f>
        <v>0</v>
      </c>
      <c r="Y1220" s="61" t="n">
        <f aca="false">W1220-X1220</f>
        <v>11278.3123725</v>
      </c>
      <c r="Z1220" s="1" t="n">
        <f aca="false">N(STACK!J1220)</f>
        <v>115</v>
      </c>
      <c r="AA1220" s="1" t="str">
        <f aca="false">TRIM(IF(D1220="UNMAPPED","Program not mapped. ","")&amp;IF(OR(K1220="UNMAPPED",K1220="UNASSIGNED"),"Category needs review. ","")&amp;IF(P1220="UNMAPPED","Title not mapped. ","")&amp;IF(AND(P1220&lt;&gt;"No staff time",R1220=""),"Missing hours. ","")&amp;IF(M1220="","Date not readable. ","")&amp;IF(N1220="No","Outside fiscal year. ","")&amp;IF(AND(F1220="Event",ISNUMBER(R1220)),IF(R1220&gt;12,"Event hours look high. ",""),"")&amp;IF(G1220&gt;0,"See CONFIRM sheet.",""))</f>
        <v/>
      </c>
      <c r="AB1220" s="1" t="n">
        <f aca="false">IF(N1220="No",0,IF(REVIEW!O1220=0,0,IF(G1220&gt;0,IF(INDEX(CONFIRM!$J$5:$J$53,G1220)&lt;&gt;"",INDEX(CONFIRM!$J$5:$J$53,G1220),1),1)))</f>
        <v>1</v>
      </c>
      <c r="AC1220" s="1" t="n">
        <f aca="false">IF(AB1220=1,IF(COUNTIFS($B$5:B1220,B1220,$D$5:D1220,D1220,$AB$5:AB1220,1)=1,1,0),0)</f>
        <v>0</v>
      </c>
    </row>
    <row r="1221" customFormat="false" ht="15" hidden="false" customHeight="false" outlineLevel="0" collapsed="false">
      <c r="A1221" s="48" t="str">
        <f aca="false">STACK!A1221</f>
        <v>WCH-0114</v>
      </c>
      <c r="B1221" s="48" t="str">
        <f aca="false">STACK!B1221</f>
        <v>WCH</v>
      </c>
      <c r="C1221" s="48" t="str">
        <f aca="false">STACK!E1221</f>
        <v>chw outreach</v>
      </c>
      <c r="D1221" s="1" t="str">
        <f aca="false">IFERROR(INDEX(MAP!$J$7:$J$101,MATCH(TRIM(C1221),MAP!$I$7:$I$101,0)),"UNMAPPED")</f>
        <v>Community Health Worker Outreach</v>
      </c>
      <c r="E1221" s="1" t="str">
        <f aca="false">IFERROR(INDEX(MAP!$K$7:$K$101,MATCH(TRIM(C1221),MAP!$I$7:$I$101,0)),"")</f>
        <v>Access to care</v>
      </c>
      <c r="F1221" s="1" t="str">
        <f aca="false">IFERROR(INDEX(MAP!$L$7:$L$101,MATCH(TRIM(C1221),MAP!$I$7:$I$101,0)),"")</f>
        <v>Monthly</v>
      </c>
      <c r="G1221" s="1" t="n">
        <f aca="false">IFERROR(MATCH(A1221,CONFIRM!$A$5:$A$53,0),0)</f>
        <v>0</v>
      </c>
      <c r="H1221" s="48" t="str">
        <f aca="false">STACK!F1221</f>
        <v>CHIS support</v>
      </c>
      <c r="I1221" s="1" t="str">
        <f aca="false">IF(G1221&gt;0,IF(INDEX(CONFIRM!$I$5:$I$53,G1221)&lt;&gt;"",INDEX(CONFIRM!$I$5:$I$53,G1221),H1221),H1221)</f>
        <v>CHIS support</v>
      </c>
      <c r="J1221" s="1" t="str">
        <f aca="false">IFERROR(INDEX(MAP!$F$7:$F$74,MATCH(TRIM(I1221),MAP!$E$7:$E$74,0)),"UNMAPPED")</f>
        <v>Health care support services</v>
      </c>
      <c r="K1221" s="1" t="str">
        <f aca="false">IFERROR(INDEX(MAP!$G$7:$G$74,MATCH(TRIM(I1221),MAP!$E$7:$E$74,0)),"UNMAPPED")</f>
        <v>7e</v>
      </c>
      <c r="L1221" s="49" t="n">
        <f aca="false">STACK!G1221</f>
        <v>45991</v>
      </c>
      <c r="M1221" s="59" t="n">
        <f aca="false">IF(G1221&gt;0,IF(INDEX(CONFIRM!$G$5:$G$53,G1221)&lt;&gt;"",INDEX(CONFIRM!$G$5:$G$53,G1221),IF(ISNUMBER(L1221),L1221,IFERROR(DATEVALUE(L1221),""))),IF(ISNUMBER(L1221),L1221,IFERROR(DATEVALUE(L1221),"")))</f>
        <v>45991</v>
      </c>
      <c r="N1221" s="1" t="str">
        <f aca="false">IF(M1221="","Check",IF(AND(M1221&gt;=INPUTS!$C$6,M1221&lt;=INPUTS!$C$7),"Yes","No"))</f>
        <v>Yes</v>
      </c>
      <c r="O1221" s="48" t="str">
        <f aca="false">STACK!H1221</f>
        <v>Outreach Worker</v>
      </c>
      <c r="P1221" s="1" t="str">
        <f aca="false">IF(G1221&gt;0,IF(INDEX(CONFIRM!$H$5:$H$53,G1221)&lt;&gt;"",INDEX(CONFIRM!$H$5:$H$53,G1221),IFERROR(INDEX(MAP!$B$7:$B$156,MATCH(TRIM(O1221),MAP!$A$7:$A$156,0)),"UNMAPPED")),IFERROR(INDEX(MAP!$B$7:$B$156,MATCH(TRIM(O1221),MAP!$A$7:$A$156,0)),"UNMAPPED"))</f>
        <v>Community Health Worker</v>
      </c>
      <c r="Q1221" s="48" t="n">
        <f aca="false">STACK!I1221</f>
        <v>222</v>
      </c>
      <c r="R1221" s="60" t="n">
        <f aca="false">IF(G1221&gt;0,IF(INDEX(CONFIRM!$F$5:$F$53,G1221)&lt;&gt;"",INDEX(CONFIRM!$F$5:$F$53,G1221),IF(ISNUMBER(Q1221),Q1221,IF(Q1221="","",IFERROR(VALUE(TRIM(SUBSTITUTE(SUBSTITUTE(LOWER(Q1221),"hrs",""),"hr",""))),"")))),IF(ISNUMBER(Q1221),Q1221,IF(Q1221="","",IFERROR(VALUE(TRIM(SUBSTITUTE(SUBSTITUTE(LOWER(Q1221),"hrs",""),"hr",""))),""))))</f>
        <v>222</v>
      </c>
      <c r="S1221" s="57" t="n">
        <f aca="false">IFERROR(INDEX(RATES!$E$6:$E$28,MATCH(P1221,RATES!$A$6:$A$28,0)),0)</f>
        <v>27.6275</v>
      </c>
      <c r="T1221" s="61" t="n">
        <f aca="false">IF(ISNUMBER(R1221),R1221,0)*S1221</f>
        <v>6133.305</v>
      </c>
      <c r="U1221" s="61" t="n">
        <f aca="false">T1221*INDEX(INPUTS!$H$10:$H$14,MATCH(B1221,INPUTS!$A$10:$A$14,0))</f>
        <v>864.796005</v>
      </c>
      <c r="V1221" s="61" t="n">
        <f aca="false">N(STACK!K1221)</f>
        <v>930</v>
      </c>
      <c r="W1221" s="61" t="n">
        <f aca="false">T1221+U1221+V1221</f>
        <v>7928.101005</v>
      </c>
      <c r="X1221" s="61" t="n">
        <f aca="false">N(STACK!L1221)</f>
        <v>0</v>
      </c>
      <c r="Y1221" s="61" t="n">
        <f aca="false">W1221-X1221</f>
        <v>7928.101005</v>
      </c>
      <c r="Z1221" s="1" t="n">
        <f aca="false">N(STACK!J1221)</f>
        <v>227</v>
      </c>
      <c r="AA1221" s="1" t="str">
        <f aca="false">TRIM(IF(D1221="UNMAPPED","Program not mapped. ","")&amp;IF(OR(K1221="UNMAPPED",K1221="UNASSIGNED"),"Category needs review. ","")&amp;IF(P1221="UNMAPPED","Title not mapped. ","")&amp;IF(AND(P1221&lt;&gt;"No staff time",R1221=""),"Missing hours. ","")&amp;IF(M1221="","Date not readable. ","")&amp;IF(N1221="No","Outside fiscal year. ","")&amp;IF(AND(F1221="Event",ISNUMBER(R1221)),IF(R1221&gt;12,"Event hours look high. ",""),"")&amp;IF(G1221&gt;0,"See CONFIRM sheet.",""))</f>
        <v/>
      </c>
      <c r="AB1221" s="1" t="n">
        <f aca="false">IF(N1221="No",0,IF(REVIEW!O1221=0,0,IF(G1221&gt;0,IF(INDEX(CONFIRM!$J$5:$J$53,G1221)&lt;&gt;"",INDEX(CONFIRM!$J$5:$J$53,G1221),1),1)))</f>
        <v>1</v>
      </c>
      <c r="AC1221" s="1" t="n">
        <f aca="false">IF(AB1221=1,IF(COUNTIFS($B$5:B1221,B1221,$D$5:D1221,D1221,$AB$5:AB1221,1)=1,1,0),0)</f>
        <v>0</v>
      </c>
    </row>
    <row r="1222" customFormat="false" ht="15" hidden="false" customHeight="false" outlineLevel="0" collapsed="false">
      <c r="A1222" s="48" t="str">
        <f aca="false">STACK!A1222</f>
        <v>WCH-0115</v>
      </c>
      <c r="B1222" s="48" t="str">
        <f aca="false">STACK!B1222</f>
        <v>WCH</v>
      </c>
      <c r="C1222" s="48" t="str">
        <f aca="false">STACK!E1222</f>
        <v>chw outreach</v>
      </c>
      <c r="D1222" s="1" t="str">
        <f aca="false">IFERROR(INDEX(MAP!$J$7:$J$101,MATCH(TRIM(C1222),MAP!$I$7:$I$101,0)),"UNMAPPED")</f>
        <v>Community Health Worker Outreach</v>
      </c>
      <c r="E1222" s="1" t="str">
        <f aca="false">IFERROR(INDEX(MAP!$K$7:$K$101,MATCH(TRIM(C1222),MAP!$I$7:$I$101,0)),"")</f>
        <v>Access to care</v>
      </c>
      <c r="F1222" s="1" t="str">
        <f aca="false">IFERROR(INDEX(MAP!$L$7:$L$101,MATCH(TRIM(C1222),MAP!$I$7:$I$101,0)),"")</f>
        <v>Monthly</v>
      </c>
      <c r="G1222" s="1" t="n">
        <f aca="false">IFERROR(MATCH(A1222,CONFIRM!$A$5:$A$53,0),0)</f>
        <v>0</v>
      </c>
      <c r="H1222" s="48" t="str">
        <f aca="false">STACK!F1222</f>
        <v>CHIS support</v>
      </c>
      <c r="I1222" s="1" t="str">
        <f aca="false">IF(G1222&gt;0,IF(INDEX(CONFIRM!$I$5:$I$53,G1222)&lt;&gt;"",INDEX(CONFIRM!$I$5:$I$53,G1222),H1222),H1222)</f>
        <v>CHIS support</v>
      </c>
      <c r="J1222" s="1" t="str">
        <f aca="false">IFERROR(INDEX(MAP!$F$7:$F$74,MATCH(TRIM(I1222),MAP!$E$7:$E$74,0)),"UNMAPPED")</f>
        <v>Health care support services</v>
      </c>
      <c r="K1222" s="1" t="str">
        <f aca="false">IFERROR(INDEX(MAP!$G$7:$G$74,MATCH(TRIM(I1222),MAP!$E$7:$E$74,0)),"UNMAPPED")</f>
        <v>7e</v>
      </c>
      <c r="L1222" s="49" t="n">
        <f aca="false">STACK!G1222</f>
        <v>45991</v>
      </c>
      <c r="M1222" s="59" t="n">
        <f aca="false">IF(G1222&gt;0,IF(INDEX(CONFIRM!$G$5:$G$53,G1222)&lt;&gt;"",INDEX(CONFIRM!$G$5:$G$53,G1222),IF(ISNUMBER(L1222),L1222,IFERROR(DATEVALUE(L1222),""))),IF(ISNUMBER(L1222),L1222,IFERROR(DATEVALUE(L1222),"")))</f>
        <v>45991</v>
      </c>
      <c r="N1222" s="1" t="str">
        <f aca="false">IF(M1222="","Check",IF(AND(M1222&gt;=INPUTS!$C$6,M1222&lt;=INPUTS!$C$7),"Yes","No"))</f>
        <v>Yes</v>
      </c>
      <c r="O1222" s="48" t="str">
        <f aca="false">STACK!H1222</f>
        <v>Care Navigator</v>
      </c>
      <c r="P1222" s="1" t="str">
        <f aca="false">IF(G1222&gt;0,IF(INDEX(CONFIRM!$H$5:$H$53,G1222)&lt;&gt;"",INDEX(CONFIRM!$H$5:$H$53,G1222),IFERROR(INDEX(MAP!$B$7:$B$156,MATCH(TRIM(O1222),MAP!$A$7:$A$156,0)),"UNMAPPED")),IFERROR(INDEX(MAP!$B$7:$B$156,MATCH(TRIM(O1222),MAP!$A$7:$A$156,0)),"UNMAPPED"))</f>
        <v>Patient Navigator</v>
      </c>
      <c r="Q1222" s="48" t="n">
        <f aca="false">STACK!I1222</f>
        <v>104</v>
      </c>
      <c r="R1222" s="60" t="n">
        <f aca="false">IF(G1222&gt;0,IF(INDEX(CONFIRM!$F$5:$F$53,G1222)&lt;&gt;"",INDEX(CONFIRM!$F$5:$F$53,G1222),IF(ISNUMBER(Q1222),Q1222,IF(Q1222="","",IFERROR(VALUE(TRIM(SUBSTITUTE(SUBSTITUTE(LOWER(Q1222),"hrs",""),"hr",""))),"")))),IF(ISNUMBER(Q1222),Q1222,IF(Q1222="","",IFERROR(VALUE(TRIM(SUBSTITUTE(SUBSTITUTE(LOWER(Q1222),"hrs",""),"hr",""))),""))))</f>
        <v>104</v>
      </c>
      <c r="S1222" s="57" t="n">
        <f aca="false">IFERROR(INDEX(RATES!$E$6:$E$28,MATCH(P1222,RATES!$A$6:$A$28,0)),0)</f>
        <v>30.84</v>
      </c>
      <c r="T1222" s="61" t="n">
        <f aca="false">IF(ISNUMBER(R1222),R1222,0)*S1222</f>
        <v>3207.36</v>
      </c>
      <c r="U1222" s="61" t="n">
        <f aca="false">T1222*INDEX(INPUTS!$H$10:$H$14,MATCH(B1222,INPUTS!$A$10:$A$14,0))</f>
        <v>452.23776</v>
      </c>
      <c r="V1222" s="61" t="n">
        <f aca="false">N(STACK!K1222)</f>
        <v>0</v>
      </c>
      <c r="W1222" s="61" t="n">
        <f aca="false">T1222+U1222+V1222</f>
        <v>3659.59776</v>
      </c>
      <c r="X1222" s="61" t="n">
        <f aca="false">N(STACK!L1222)</f>
        <v>0</v>
      </c>
      <c r="Y1222" s="61" t="n">
        <f aca="false">W1222-X1222</f>
        <v>3659.59776</v>
      </c>
      <c r="Z1222" s="1" t="n">
        <f aca="false">N(STACK!J1222)</f>
        <v>0</v>
      </c>
      <c r="AA1222" s="1" t="str">
        <f aca="false">TRIM(IF(D1222="UNMAPPED","Program not mapped. ","")&amp;IF(OR(K1222="UNMAPPED",K1222="UNASSIGNED"),"Category needs review. ","")&amp;IF(P1222="UNMAPPED","Title not mapped. ","")&amp;IF(AND(P1222&lt;&gt;"No staff time",R1222=""),"Missing hours. ","")&amp;IF(M1222="","Date not readable. ","")&amp;IF(N1222="No","Outside fiscal year. ","")&amp;IF(AND(F1222="Event",ISNUMBER(R1222)),IF(R1222&gt;12,"Event hours look high. ",""),"")&amp;IF(G1222&gt;0,"See CONFIRM sheet.",""))</f>
        <v/>
      </c>
      <c r="AB1222" s="1" t="n">
        <f aca="false">IF(N1222="No",0,IF(REVIEW!O1222=0,0,IF(G1222&gt;0,IF(INDEX(CONFIRM!$J$5:$J$53,G1222)&lt;&gt;"",INDEX(CONFIRM!$J$5:$J$53,G1222),1),1)))</f>
        <v>1</v>
      </c>
      <c r="AC1222" s="1" t="n">
        <f aca="false">IF(AB1222=1,IF(COUNTIFS($B$5:B1222,B1222,$D$5:D1222,D1222,$AB$5:AB1222,1)=1,1,0),0)</f>
        <v>0</v>
      </c>
    </row>
    <row r="1223" customFormat="false" ht="15" hidden="false" customHeight="false" outlineLevel="0" collapsed="false">
      <c r="A1223" s="48" t="str">
        <f aca="false">STACK!A1223</f>
        <v>WCH-0116</v>
      </c>
      <c r="B1223" s="48" t="str">
        <f aca="false">STACK!B1223</f>
        <v>WCH</v>
      </c>
      <c r="C1223" s="48" t="str">
        <f aca="false">STACK!E1223</f>
        <v>produce prescription</v>
      </c>
      <c r="D1223" s="1" t="str">
        <f aca="false">IFERROR(INDEX(MAP!$J$7:$J$101,MATCH(TRIM(C1223),MAP!$I$7:$I$101,0)),"UNMAPPED")</f>
        <v>Produce Prescription Program</v>
      </c>
      <c r="E1223" s="1" t="str">
        <f aca="false">IFERROR(INDEX(MAP!$K$7:$K$101,MATCH(TRIM(C1223),MAP!$I$7:$I$101,0)),"")</f>
        <v>Food and housing security</v>
      </c>
      <c r="F1223" s="1" t="str">
        <f aca="false">IFERROR(INDEX(MAP!$L$7:$L$101,MATCH(TRIM(C1223),MAP!$I$7:$I$101,0)),"")</f>
        <v>Monthly</v>
      </c>
      <c r="G1223" s="1" t="n">
        <f aca="false">IFERROR(MATCH(A1223,CONFIRM!$A$5:$A$53,0),0)</f>
        <v>0</v>
      </c>
      <c r="H1223" s="48" t="str">
        <f aca="false">STACK!F1223</f>
        <v>CHIS support</v>
      </c>
      <c r="I1223" s="1" t="str">
        <f aca="false">IF(G1223&gt;0,IF(INDEX(CONFIRM!$I$5:$I$53,G1223)&lt;&gt;"",INDEX(CONFIRM!$I$5:$I$53,G1223),H1223),H1223)</f>
        <v>CHIS support</v>
      </c>
      <c r="J1223" s="1" t="str">
        <f aca="false">IFERROR(INDEX(MAP!$F$7:$F$74,MATCH(TRIM(I1223),MAP!$E$7:$E$74,0)),"UNMAPPED")</f>
        <v>Health care support services</v>
      </c>
      <c r="K1223" s="1" t="str">
        <f aca="false">IFERROR(INDEX(MAP!$G$7:$G$74,MATCH(TRIM(I1223),MAP!$E$7:$E$74,0)),"UNMAPPED")</f>
        <v>7e</v>
      </c>
      <c r="L1223" s="49" t="str">
        <f aca="false">STACK!G1223</f>
        <v>11/30/25</v>
      </c>
      <c r="M1223" s="59" t="n">
        <f aca="false">IF(G1223&gt;0,IF(INDEX(CONFIRM!$G$5:$G$53,G1223)&lt;&gt;"",INDEX(CONFIRM!$G$5:$G$53,G1223),IF(ISNUMBER(L1223),L1223,IFERROR(DATEVALUE(L1223),""))),IF(ISNUMBER(L1223),L1223,IFERROR(DATEVALUE(L1223),"")))</f>
        <v>45991</v>
      </c>
      <c r="N1223" s="1" t="str">
        <f aca="false">IF(M1223="","Check",IF(AND(M1223&gt;=INPUTS!$C$6,M1223&lt;=INPUTS!$C$7),"Yes","No"))</f>
        <v>Yes</v>
      </c>
      <c r="O1223" s="48" t="str">
        <f aca="false">STACK!H1223</f>
        <v>Promotora</v>
      </c>
      <c r="P1223" s="1" t="str">
        <f aca="false">IF(G1223&gt;0,IF(INDEX(CONFIRM!$H$5:$H$53,G1223)&lt;&gt;"",INDEX(CONFIRM!$H$5:$H$53,G1223),IFERROR(INDEX(MAP!$B$7:$B$156,MATCH(TRIM(O1223),MAP!$A$7:$A$156,0)),"UNMAPPED")),IFERROR(INDEX(MAP!$B$7:$B$156,MATCH(TRIM(O1223),MAP!$A$7:$A$156,0)),"UNMAPPED"))</f>
        <v>Community Health Worker</v>
      </c>
      <c r="Q1223" s="48" t="n">
        <f aca="false">STACK!I1223</f>
        <v>44.25</v>
      </c>
      <c r="R1223" s="60" t="n">
        <f aca="false">IF(G1223&gt;0,IF(INDEX(CONFIRM!$F$5:$F$53,G1223)&lt;&gt;"",INDEX(CONFIRM!$F$5:$F$53,G1223),IF(ISNUMBER(Q1223),Q1223,IF(Q1223="","",IFERROR(VALUE(TRIM(SUBSTITUTE(SUBSTITUTE(LOWER(Q1223),"hrs",""),"hr",""))),"")))),IF(ISNUMBER(Q1223),Q1223,IF(Q1223="","",IFERROR(VALUE(TRIM(SUBSTITUTE(SUBSTITUTE(LOWER(Q1223),"hrs",""),"hr",""))),""))))</f>
        <v>44.25</v>
      </c>
      <c r="S1223" s="57" t="n">
        <f aca="false">IFERROR(INDEX(RATES!$E$6:$E$28,MATCH(P1223,RATES!$A$6:$A$28,0)),0)</f>
        <v>27.6275</v>
      </c>
      <c r="T1223" s="61" t="n">
        <f aca="false">IF(ISNUMBER(R1223),R1223,0)*S1223</f>
        <v>1222.516875</v>
      </c>
      <c r="U1223" s="61" t="n">
        <f aca="false">T1223*INDEX(INPUTS!$H$10:$H$14,MATCH(B1223,INPUTS!$A$10:$A$14,0))</f>
        <v>172.374879375</v>
      </c>
      <c r="V1223" s="61" t="n">
        <f aca="false">N(STACK!K1223)</f>
        <v>0</v>
      </c>
      <c r="W1223" s="61" t="n">
        <f aca="false">T1223+U1223+V1223</f>
        <v>1394.891754375</v>
      </c>
      <c r="X1223" s="61" t="n">
        <f aca="false">N(STACK!L1223)</f>
        <v>0</v>
      </c>
      <c r="Y1223" s="61" t="n">
        <f aca="false">W1223-X1223</f>
        <v>1394.891754375</v>
      </c>
      <c r="Z1223" s="1" t="n">
        <f aca="false">N(STACK!J1223)</f>
        <v>0</v>
      </c>
      <c r="AA1223" s="1" t="str">
        <f aca="false">TRIM(IF(D1223="UNMAPPED","Program not mapped. ","")&amp;IF(OR(K1223="UNMAPPED",K1223="UNASSIGNED"),"Category needs review. ","")&amp;IF(P1223="UNMAPPED","Title not mapped. ","")&amp;IF(AND(P1223&lt;&gt;"No staff time",R1223=""),"Missing hours. ","")&amp;IF(M1223="","Date not readable. ","")&amp;IF(N1223="No","Outside fiscal year. ","")&amp;IF(AND(F1223="Event",ISNUMBER(R1223)),IF(R1223&gt;12,"Event hours look high. ",""),"")&amp;IF(G1223&gt;0,"See CONFIRM sheet.",""))</f>
        <v/>
      </c>
      <c r="AB1223" s="1" t="n">
        <f aca="false">IF(N1223="No",0,IF(REVIEW!O1223=0,0,IF(G1223&gt;0,IF(INDEX(CONFIRM!$J$5:$J$53,G1223)&lt;&gt;"",INDEX(CONFIRM!$J$5:$J$53,G1223),1),1)))</f>
        <v>1</v>
      </c>
      <c r="AC1223" s="1" t="n">
        <f aca="false">IF(AB1223=1,IF(COUNTIFS($B$5:B1223,B1223,$D$5:D1223,D1223,$AB$5:AB1223,1)=1,1,0),0)</f>
        <v>0</v>
      </c>
    </row>
    <row r="1224" customFormat="false" ht="15" hidden="false" customHeight="false" outlineLevel="0" collapsed="false">
      <c r="A1224" s="48" t="str">
        <f aca="false">STACK!A1224</f>
        <v>WCH-0117</v>
      </c>
      <c r="B1224" s="48" t="str">
        <f aca="false">STACK!B1224</f>
        <v>WCH</v>
      </c>
      <c r="C1224" s="48" t="str">
        <f aca="false">STACK!E1224</f>
        <v>produce prescription</v>
      </c>
      <c r="D1224" s="1" t="str">
        <f aca="false">IFERROR(INDEX(MAP!$J$7:$J$101,MATCH(TRIM(C1224),MAP!$I$7:$I$101,0)),"UNMAPPED")</f>
        <v>Produce Prescription Program</v>
      </c>
      <c r="E1224" s="1" t="str">
        <f aca="false">IFERROR(INDEX(MAP!$K$7:$K$101,MATCH(TRIM(C1224),MAP!$I$7:$I$101,0)),"")</f>
        <v>Food and housing security</v>
      </c>
      <c r="F1224" s="1" t="str">
        <f aca="false">IFERROR(INDEX(MAP!$L$7:$L$101,MATCH(TRIM(C1224),MAP!$I$7:$I$101,0)),"")</f>
        <v>Monthly</v>
      </c>
      <c r="G1224" s="1" t="n">
        <f aca="false">IFERROR(MATCH(A1224,CONFIRM!$A$5:$A$53,0),0)</f>
        <v>0</v>
      </c>
      <c r="H1224" s="48" t="str">
        <f aca="false">STACK!F1224</f>
        <v>CHIS support</v>
      </c>
      <c r="I1224" s="1" t="str">
        <f aca="false">IF(G1224&gt;0,IF(INDEX(CONFIRM!$I$5:$I$53,G1224)&lt;&gt;"",INDEX(CONFIRM!$I$5:$I$53,G1224),H1224),H1224)</f>
        <v>CHIS support</v>
      </c>
      <c r="J1224" s="1" t="str">
        <f aca="false">IFERROR(INDEX(MAP!$F$7:$F$74,MATCH(TRIM(I1224),MAP!$E$7:$E$74,0)),"UNMAPPED")</f>
        <v>Health care support services</v>
      </c>
      <c r="K1224" s="1" t="str">
        <f aca="false">IFERROR(INDEX(MAP!$G$7:$G$74,MATCH(TRIM(I1224),MAP!$E$7:$E$74,0)),"UNMAPPED")</f>
        <v>7e</v>
      </c>
      <c r="L1224" s="49" t="n">
        <f aca="false">STACK!G1224</f>
        <v>45991</v>
      </c>
      <c r="M1224" s="59" t="n">
        <f aca="false">IF(G1224&gt;0,IF(INDEX(CONFIRM!$G$5:$G$53,G1224)&lt;&gt;"",INDEX(CONFIRM!$G$5:$G$53,G1224),IF(ISNUMBER(L1224),L1224,IFERROR(DATEVALUE(L1224),""))),IF(ISNUMBER(L1224),L1224,IFERROR(DATEVALUE(L1224),"")))</f>
        <v>45991</v>
      </c>
      <c r="N1224" s="1" t="str">
        <f aca="false">IF(M1224="","Check",IF(AND(M1224&gt;=INPUTS!$C$6,M1224&lt;=INPUTS!$C$7),"Yes","No"))</f>
        <v>Yes</v>
      </c>
      <c r="O1224" s="48" t="str">
        <f aca="false">STACK!H1224</f>
        <v>Clinical Dietitian</v>
      </c>
      <c r="P1224" s="1" t="str">
        <f aca="false">IF(G1224&gt;0,IF(INDEX(CONFIRM!$H$5:$H$53,G1224)&lt;&gt;"",INDEX(CONFIRM!$H$5:$H$53,G1224),IFERROR(INDEX(MAP!$B$7:$B$156,MATCH(TRIM(O1224),MAP!$A$7:$A$156,0)),"UNMAPPED")),IFERROR(INDEX(MAP!$B$7:$B$156,MATCH(TRIM(O1224),MAP!$A$7:$A$156,0)),"UNMAPPED"))</f>
        <v>Registered Dietitian</v>
      </c>
      <c r="Q1224" s="48" t="n">
        <f aca="false">STACK!I1224</f>
        <v>19.25</v>
      </c>
      <c r="R1224" s="60" t="n">
        <f aca="false">IF(G1224&gt;0,IF(INDEX(CONFIRM!$F$5:$F$53,G1224)&lt;&gt;"",INDEX(CONFIRM!$F$5:$F$53,G1224),IF(ISNUMBER(Q1224),Q1224,IF(Q1224="","",IFERROR(VALUE(TRIM(SUBSTITUTE(SUBSTITUTE(LOWER(Q1224),"hrs",""),"hr",""))),"")))),IF(ISNUMBER(Q1224),Q1224,IF(Q1224="","",IFERROR(VALUE(TRIM(SUBSTITUTE(SUBSTITUTE(LOWER(Q1224),"hrs",""),"hr",""))),""))))</f>
        <v>19.25</v>
      </c>
      <c r="S1224" s="57" t="n">
        <f aca="false">IFERROR(INDEX(RATES!$E$6:$E$28,MATCH(P1224,RATES!$A$6:$A$28,0)),0)</f>
        <v>46.9025</v>
      </c>
      <c r="T1224" s="61" t="n">
        <f aca="false">IF(ISNUMBER(R1224),R1224,0)*S1224</f>
        <v>902.873125</v>
      </c>
      <c r="U1224" s="61" t="n">
        <f aca="false">T1224*INDEX(INPUTS!$H$10:$H$14,MATCH(B1224,INPUTS!$A$10:$A$14,0))</f>
        <v>127.305110625</v>
      </c>
      <c r="V1224" s="61" t="n">
        <f aca="false">N(STACK!K1224)</f>
        <v>8045</v>
      </c>
      <c r="W1224" s="61" t="n">
        <f aca="false">T1224+U1224+V1224</f>
        <v>9075.178235625</v>
      </c>
      <c r="X1224" s="61" t="n">
        <f aca="false">N(STACK!L1224)</f>
        <v>7130</v>
      </c>
      <c r="Y1224" s="61" t="n">
        <f aca="false">W1224-X1224</f>
        <v>1945.178235625</v>
      </c>
      <c r="Z1224" s="1" t="n">
        <f aca="false">N(STACK!J1224)</f>
        <v>140</v>
      </c>
      <c r="AA1224" s="1" t="str">
        <f aca="false">TRIM(IF(D1224="UNMAPPED","Program not mapped. ","")&amp;IF(OR(K1224="UNMAPPED",K1224="UNASSIGNED"),"Category needs review. ","")&amp;IF(P1224="UNMAPPED","Title not mapped. ","")&amp;IF(AND(P1224&lt;&gt;"No staff time",R1224=""),"Missing hours. ","")&amp;IF(M1224="","Date not readable. ","")&amp;IF(N1224="No","Outside fiscal year. ","")&amp;IF(AND(F1224="Event",ISNUMBER(R1224)),IF(R1224&gt;12,"Event hours look high. ",""),"")&amp;IF(G1224&gt;0,"See CONFIRM sheet.",""))</f>
        <v/>
      </c>
      <c r="AB1224" s="1" t="n">
        <f aca="false">IF(N1224="No",0,IF(REVIEW!O1224=0,0,IF(G1224&gt;0,IF(INDEX(CONFIRM!$J$5:$J$53,G1224)&lt;&gt;"",INDEX(CONFIRM!$J$5:$J$53,G1224),1),1)))</f>
        <v>1</v>
      </c>
      <c r="AC1224" s="1" t="n">
        <f aca="false">IF(AB1224=1,IF(COUNTIFS($B$5:B1224,B1224,$D$5:D1224,D1224,$AB$5:AB1224,1)=1,1,0),0)</f>
        <v>0</v>
      </c>
    </row>
    <row r="1225" customFormat="false" ht="15" hidden="false" customHeight="false" outlineLevel="0" collapsed="false">
      <c r="A1225" s="48" t="str">
        <f aca="false">STACK!A1225</f>
        <v>WCH-0118</v>
      </c>
      <c r="B1225" s="48" t="str">
        <f aca="false">STACK!B1225</f>
        <v>WCH</v>
      </c>
      <c r="C1225" s="48" t="str">
        <f aca="false">STACK!E1225</f>
        <v>cb admin</v>
      </c>
      <c r="D1225" s="1" t="str">
        <f aca="false">IFERROR(INDEX(MAP!$J$7:$J$101,MATCH(TRIM(C1225),MAP!$I$7:$I$101,0)),"UNMAPPED")</f>
        <v>Community Benefit Program Administration</v>
      </c>
      <c r="E1225" s="1" t="str">
        <f aca="false">IFERROR(INDEX(MAP!$K$7:$K$101,MATCH(TRIM(C1225),MAP!$I$7:$I$101,0)),"")</f>
        <v>Community benefit infrastructure</v>
      </c>
      <c r="F1225" s="1" t="str">
        <f aca="false">IFERROR(INDEX(MAP!$L$7:$L$101,MATCH(TRIM(C1225),MAP!$I$7:$I$101,0)),"")</f>
        <v>Monthly</v>
      </c>
      <c r="G1225" s="1" t="n">
        <f aca="false">IFERROR(MATCH(A1225,CONFIRM!$A$5:$A$53,0),0)</f>
        <v>0</v>
      </c>
      <c r="H1225" s="48" t="str">
        <f aca="false">STACK!F1225</f>
        <v>cb operations</v>
      </c>
      <c r="I1225" s="1" t="str">
        <f aca="false">IF(G1225&gt;0,IF(INDEX(CONFIRM!$I$5:$I$53,G1225)&lt;&gt;"",INDEX(CONFIRM!$I$5:$I$53,G1225),H1225),H1225)</f>
        <v>cb operations</v>
      </c>
      <c r="J1225" s="1" t="str">
        <f aca="false">IFERROR(INDEX(MAP!$F$7:$F$74,MATCH(TRIM(I1225),MAP!$E$7:$E$74,0)),"UNMAPPED")</f>
        <v>Community benefit operations</v>
      </c>
      <c r="K1225" s="1" t="str">
        <f aca="false">IFERROR(INDEX(MAP!$G$7:$G$74,MATCH(TRIM(I1225),MAP!$E$7:$E$74,0)),"UNMAPPED")</f>
        <v>7e</v>
      </c>
      <c r="L1225" s="49" t="str">
        <f aca="false">STACK!G1225</f>
        <v>November 30, 2025</v>
      </c>
      <c r="M1225" s="59" t="n">
        <f aca="false">IF(G1225&gt;0,IF(INDEX(CONFIRM!$G$5:$G$53,G1225)&lt;&gt;"",INDEX(CONFIRM!$G$5:$G$53,G1225),IF(ISNUMBER(L1225),L1225,IFERROR(DATEVALUE(L1225),""))),IF(ISNUMBER(L1225),L1225,IFERROR(DATEVALUE(L1225),"")))</f>
        <v>45991</v>
      </c>
      <c r="N1225" s="1" t="str">
        <f aca="false">IF(M1225="","Check",IF(AND(M1225&gt;=INPUTS!$C$6,M1225&lt;=INPUTS!$C$7),"Yes","No"))</f>
        <v>Yes</v>
      </c>
      <c r="O1225" s="48" t="str">
        <f aca="false">STACK!H1225</f>
        <v>Secretary</v>
      </c>
      <c r="P1225" s="1" t="str">
        <f aca="false">IF(G1225&gt;0,IF(INDEX(CONFIRM!$H$5:$H$53,G1225)&lt;&gt;"",INDEX(CONFIRM!$H$5:$H$53,G1225),IFERROR(INDEX(MAP!$B$7:$B$156,MATCH(TRIM(O1225),MAP!$A$7:$A$156,0)),"UNMAPPED")),IFERROR(INDEX(MAP!$B$7:$B$156,MATCH(TRIM(O1225),MAP!$A$7:$A$156,0)),"UNMAPPED"))</f>
        <v>Administrative Assistant</v>
      </c>
      <c r="Q1225" s="48" t="n">
        <f aca="false">STACK!I1225</f>
        <v>37.5</v>
      </c>
      <c r="R1225" s="60" t="n">
        <f aca="false">IF(G1225&gt;0,IF(INDEX(CONFIRM!$F$5:$F$53,G1225)&lt;&gt;"",INDEX(CONFIRM!$F$5:$F$53,G1225),IF(ISNUMBER(Q1225),Q1225,IF(Q1225="","",IFERROR(VALUE(TRIM(SUBSTITUTE(SUBSTITUTE(LOWER(Q1225),"hrs",""),"hr",""))),"")))),IF(ISNUMBER(Q1225),Q1225,IF(Q1225="","",IFERROR(VALUE(TRIM(SUBSTITUTE(SUBSTITUTE(LOWER(Q1225),"hrs",""),"hr",""))),""))))</f>
        <v>37.5</v>
      </c>
      <c r="S1225" s="57" t="n">
        <f aca="false">IFERROR(INDEX(RATES!$E$6:$E$28,MATCH(P1225,RATES!$A$6:$A$28,0)),0)</f>
        <v>26.985</v>
      </c>
      <c r="T1225" s="61" t="n">
        <f aca="false">IF(ISNUMBER(R1225),R1225,0)*S1225</f>
        <v>1011.9375</v>
      </c>
      <c r="U1225" s="61" t="n">
        <f aca="false">T1225*INDEX(INPUTS!$H$10:$H$14,MATCH(B1225,INPUTS!$A$10:$A$14,0))</f>
        <v>142.6831875</v>
      </c>
      <c r="V1225" s="61" t="n">
        <f aca="false">N(STACK!K1225)</f>
        <v>0</v>
      </c>
      <c r="W1225" s="61" t="n">
        <f aca="false">T1225+U1225+V1225</f>
        <v>1154.6206875</v>
      </c>
      <c r="X1225" s="61" t="n">
        <f aca="false">N(STACK!L1225)</f>
        <v>0</v>
      </c>
      <c r="Y1225" s="61" t="n">
        <f aca="false">W1225-X1225</f>
        <v>1154.6206875</v>
      </c>
      <c r="Z1225" s="1" t="n">
        <f aca="false">N(STACK!J1225)</f>
        <v>0</v>
      </c>
      <c r="AA1225" s="1" t="str">
        <f aca="false">TRIM(IF(D1225="UNMAPPED","Program not mapped. ","")&amp;IF(OR(K1225="UNMAPPED",K1225="UNASSIGNED"),"Category needs review. ","")&amp;IF(P1225="UNMAPPED","Title not mapped. ","")&amp;IF(AND(P1225&lt;&gt;"No staff time",R1225=""),"Missing hours. ","")&amp;IF(M1225="","Date not readable. ","")&amp;IF(N1225="No","Outside fiscal year. ","")&amp;IF(AND(F1225="Event",ISNUMBER(R1225)),IF(R1225&gt;12,"Event hours look high. ",""),"")&amp;IF(G1225&gt;0,"See CONFIRM sheet.",""))</f>
        <v/>
      </c>
      <c r="AB1225" s="1" t="n">
        <f aca="false">IF(N1225="No",0,IF(REVIEW!O1225=0,0,IF(G1225&gt;0,IF(INDEX(CONFIRM!$J$5:$J$53,G1225)&lt;&gt;"",INDEX(CONFIRM!$J$5:$J$53,G1225),1),1)))</f>
        <v>1</v>
      </c>
      <c r="AC1225" s="1" t="n">
        <f aca="false">IF(AB1225=1,IF(COUNTIFS($B$5:B1225,B1225,$D$5:D1225,D1225,$AB$5:AB1225,1)=1,1,0),0)</f>
        <v>0</v>
      </c>
    </row>
    <row r="1226" customFormat="false" ht="15" hidden="false" customHeight="false" outlineLevel="0" collapsed="false">
      <c r="A1226" s="48" t="str">
        <f aca="false">STACK!A1226</f>
        <v>WCH-0119</v>
      </c>
      <c r="B1226" s="48" t="str">
        <f aca="false">STACK!B1226</f>
        <v>WCH</v>
      </c>
      <c r="C1226" s="48" t="str">
        <f aca="false">STACK!E1226</f>
        <v>cb admin</v>
      </c>
      <c r="D1226" s="1" t="str">
        <f aca="false">IFERROR(INDEX(MAP!$J$7:$J$101,MATCH(TRIM(C1226),MAP!$I$7:$I$101,0)),"UNMAPPED")</f>
        <v>Community Benefit Program Administration</v>
      </c>
      <c r="E1226" s="1" t="str">
        <f aca="false">IFERROR(INDEX(MAP!$K$7:$K$101,MATCH(TRIM(C1226),MAP!$I$7:$I$101,0)),"")</f>
        <v>Community benefit infrastructure</v>
      </c>
      <c r="F1226" s="1" t="str">
        <f aca="false">IFERROR(INDEX(MAP!$L$7:$L$101,MATCH(TRIM(C1226),MAP!$I$7:$I$101,0)),"")</f>
        <v>Monthly</v>
      </c>
      <c r="G1226" s="1" t="n">
        <f aca="false">IFERROR(MATCH(A1226,CONFIRM!$A$5:$A$53,0),0)</f>
        <v>0</v>
      </c>
      <c r="H1226" s="48" t="str">
        <f aca="false">STACK!F1226</f>
        <v>cb operations</v>
      </c>
      <c r="I1226" s="1" t="str">
        <f aca="false">IF(G1226&gt;0,IF(INDEX(CONFIRM!$I$5:$I$53,G1226)&lt;&gt;"",INDEX(CONFIRM!$I$5:$I$53,G1226),H1226),H1226)</f>
        <v>cb operations</v>
      </c>
      <c r="J1226" s="1" t="str">
        <f aca="false">IFERROR(INDEX(MAP!$F$7:$F$74,MATCH(TRIM(I1226),MAP!$E$7:$E$74,0)),"UNMAPPED")</f>
        <v>Community benefit operations</v>
      </c>
      <c r="K1226" s="1" t="str">
        <f aca="false">IFERROR(INDEX(MAP!$G$7:$G$74,MATCH(TRIM(I1226),MAP!$E$7:$E$74,0)),"UNMAPPED")</f>
        <v>7e</v>
      </c>
      <c r="L1226" s="49" t="str">
        <f aca="false">STACK!G1226</f>
        <v>November 30, 2025</v>
      </c>
      <c r="M1226" s="59" t="n">
        <f aca="false">IF(G1226&gt;0,IF(INDEX(CONFIRM!$G$5:$G$53,G1226)&lt;&gt;"",INDEX(CONFIRM!$G$5:$G$53,G1226),IF(ISNUMBER(L1226),L1226,IFERROR(DATEVALUE(L1226),""))),IF(ISNUMBER(L1226),L1226,IFERROR(DATEVALUE(L1226),"")))</f>
        <v>45991</v>
      </c>
      <c r="N1226" s="1" t="str">
        <f aca="false">IF(M1226="","Check",IF(AND(M1226&gt;=INPUTS!$C$6,M1226&lt;=INPUTS!$C$7),"Yes","No"))</f>
        <v>Yes</v>
      </c>
      <c r="O1226" s="48" t="str">
        <f aca="false">STACK!H1226</f>
        <v>Manager Community Benefit</v>
      </c>
      <c r="P1226" s="1" t="str">
        <f aca="false">IF(G1226&gt;0,IF(INDEX(CONFIRM!$H$5:$H$53,G1226)&lt;&gt;"",INDEX(CONFIRM!$H$5:$H$53,G1226),IFERROR(INDEX(MAP!$B$7:$B$156,MATCH(TRIM(O1226),MAP!$A$7:$A$156,0)),"UNMAPPED")),IFERROR(INDEX(MAP!$B$7:$B$156,MATCH(TRIM(O1226),MAP!$A$7:$A$156,0)),"UNMAPPED"))</f>
        <v>Community Benefit Manager</v>
      </c>
      <c r="Q1226" s="48" t="n">
        <f aca="false">STACK!I1226</f>
        <v>43</v>
      </c>
      <c r="R1226" s="60" t="n">
        <f aca="false">IF(G1226&gt;0,IF(INDEX(CONFIRM!$F$5:$F$53,G1226)&lt;&gt;"",INDEX(CONFIRM!$F$5:$F$53,G1226),IF(ISNUMBER(Q1226),Q1226,IF(Q1226="","",IFERROR(VALUE(TRIM(SUBSTITUTE(SUBSTITUTE(LOWER(Q1226),"hrs",""),"hr",""))),"")))),IF(ISNUMBER(Q1226),Q1226,IF(Q1226="","",IFERROR(VALUE(TRIM(SUBSTITUTE(SUBSTITUTE(LOWER(Q1226),"hrs",""),"hr",""))),""))))</f>
        <v>43</v>
      </c>
      <c r="S1226" s="57" t="n">
        <f aca="false">IFERROR(INDEX(RATES!$E$6:$E$28,MATCH(P1226,RATES!$A$6:$A$28,0)),0)</f>
        <v>59.11</v>
      </c>
      <c r="T1226" s="61" t="n">
        <f aca="false">IF(ISNUMBER(R1226),R1226,0)*S1226</f>
        <v>2541.73</v>
      </c>
      <c r="U1226" s="61" t="n">
        <f aca="false">T1226*INDEX(INPUTS!$H$10:$H$14,MATCH(B1226,INPUTS!$A$10:$A$14,0))</f>
        <v>358.38393</v>
      </c>
      <c r="V1226" s="61" t="n">
        <f aca="false">N(STACK!K1226)</f>
        <v>435</v>
      </c>
      <c r="W1226" s="61" t="n">
        <f aca="false">T1226+U1226+V1226</f>
        <v>3335.11393</v>
      </c>
      <c r="X1226" s="61" t="n">
        <f aca="false">N(STACK!L1226)</f>
        <v>0</v>
      </c>
      <c r="Y1226" s="61" t="n">
        <f aca="false">W1226-X1226</f>
        <v>3335.11393</v>
      </c>
      <c r="Z1226" s="1" t="n">
        <f aca="false">N(STACK!J1226)</f>
        <v>0</v>
      </c>
      <c r="AA1226" s="1" t="str">
        <f aca="false">TRIM(IF(D1226="UNMAPPED","Program not mapped. ","")&amp;IF(OR(K1226="UNMAPPED",K1226="UNASSIGNED"),"Category needs review. ","")&amp;IF(P1226="UNMAPPED","Title not mapped. ","")&amp;IF(AND(P1226&lt;&gt;"No staff time",R1226=""),"Missing hours. ","")&amp;IF(M1226="","Date not readable. ","")&amp;IF(N1226="No","Outside fiscal year. ","")&amp;IF(AND(F1226="Event",ISNUMBER(R1226)),IF(R1226&gt;12,"Event hours look high. ",""),"")&amp;IF(G1226&gt;0,"See CONFIRM sheet.",""))</f>
        <v/>
      </c>
      <c r="AB1226" s="1" t="n">
        <f aca="false">IF(N1226="No",0,IF(REVIEW!O1226=0,0,IF(G1226&gt;0,IF(INDEX(CONFIRM!$J$5:$J$53,G1226)&lt;&gt;"",INDEX(CONFIRM!$J$5:$J$53,G1226),1),1)))</f>
        <v>1</v>
      </c>
      <c r="AC1226" s="1" t="n">
        <f aca="false">IF(AB1226=1,IF(COUNTIFS($B$5:B1226,B1226,$D$5:D1226,D1226,$AB$5:AB1226,1)=1,1,0),0)</f>
        <v>0</v>
      </c>
    </row>
    <row r="1227" customFormat="false" ht="15" hidden="false" customHeight="false" outlineLevel="0" collapsed="false">
      <c r="A1227" s="48" t="str">
        <f aca="false">STACK!A1227</f>
        <v>WCH-0120</v>
      </c>
      <c r="B1227" s="48" t="str">
        <f aca="false">STACK!B1227</f>
        <v>WCH</v>
      </c>
      <c r="C1227" s="48" t="str">
        <f aca="false">STACK!E1227</f>
        <v>community paramedic</v>
      </c>
      <c r="D1227" s="1" t="str">
        <f aca="false">IFERROR(INDEX(MAP!$J$7:$J$101,MATCH(TRIM(C1227),MAP!$I$7:$I$101,0)),"UNMAPPED")</f>
        <v>Community Paramedic Home Visits</v>
      </c>
      <c r="E1227" s="1" t="str">
        <f aca="false">IFERROR(INDEX(MAP!$K$7:$K$101,MATCH(TRIM(C1227),MAP!$I$7:$I$101,0)),"")</f>
        <v>Access to care</v>
      </c>
      <c r="F1227" s="1" t="str">
        <f aca="false">IFERROR(INDEX(MAP!$L$7:$L$101,MATCH(TRIM(C1227),MAP!$I$7:$I$101,0)),"")</f>
        <v>Monthly</v>
      </c>
      <c r="G1227" s="1" t="n">
        <f aca="false">IFERROR(MATCH(A1227,CONFIRM!$A$5:$A$53,0),0)</f>
        <v>0</v>
      </c>
      <c r="H1227" s="48" t="str">
        <f aca="false">STACK!F1227</f>
        <v>CHIS clinical</v>
      </c>
      <c r="I1227" s="1" t="str">
        <f aca="false">IF(G1227&gt;0,IF(INDEX(CONFIRM!$I$5:$I$53,G1227)&lt;&gt;"",INDEX(CONFIRM!$I$5:$I$53,G1227),H1227),H1227)</f>
        <v>CHIS clinical</v>
      </c>
      <c r="J1227" s="1" t="str">
        <f aca="false">IFERROR(INDEX(MAP!$F$7:$F$74,MATCH(TRIM(I1227),MAP!$E$7:$E$74,0)),"UNMAPPED")</f>
        <v>Community-based clinical services</v>
      </c>
      <c r="K1227" s="1" t="str">
        <f aca="false">IFERROR(INDEX(MAP!$G$7:$G$74,MATCH(TRIM(I1227),MAP!$E$7:$E$74,0)),"UNMAPPED")</f>
        <v>7e</v>
      </c>
      <c r="L1227" s="49" t="str">
        <f aca="false">STACK!G1227</f>
        <v>November 30, 2025</v>
      </c>
      <c r="M1227" s="59" t="n">
        <f aca="false">IF(G1227&gt;0,IF(INDEX(CONFIRM!$G$5:$G$53,G1227)&lt;&gt;"",INDEX(CONFIRM!$G$5:$G$53,G1227),IF(ISNUMBER(L1227),L1227,IFERROR(DATEVALUE(L1227),""))),IF(ISNUMBER(L1227),L1227,IFERROR(DATEVALUE(L1227),"")))</f>
        <v>45991</v>
      </c>
      <c r="N1227" s="1" t="str">
        <f aca="false">IF(M1227="","Check",IF(AND(M1227&gt;=INPUTS!$C$6,M1227&lt;=INPUTS!$C$7),"Yes","No"))</f>
        <v>Yes</v>
      </c>
      <c r="O1227" s="48" t="str">
        <f aca="false">STACK!H1227</f>
        <v>EMS Paramedic</v>
      </c>
      <c r="P1227" s="1" t="str">
        <f aca="false">IF(G1227&gt;0,IF(INDEX(CONFIRM!$H$5:$H$53,G1227)&lt;&gt;"",INDEX(CONFIRM!$H$5:$H$53,G1227),IFERROR(INDEX(MAP!$B$7:$B$156,MATCH(TRIM(O1227),MAP!$A$7:$A$156,0)),"UNMAPPED")),IFERROR(INDEX(MAP!$B$7:$B$156,MATCH(TRIM(O1227),MAP!$A$7:$A$156,0)),"UNMAPPED"))</f>
        <v>Paramedic</v>
      </c>
      <c r="Q1227" s="48" t="n">
        <f aca="false">STACK!I1227</f>
        <v>66</v>
      </c>
      <c r="R1227" s="60" t="n">
        <f aca="false">IF(G1227&gt;0,IF(INDEX(CONFIRM!$F$5:$F$53,G1227)&lt;&gt;"",INDEX(CONFIRM!$F$5:$F$53,G1227),IF(ISNUMBER(Q1227),Q1227,IF(Q1227="","",IFERROR(VALUE(TRIM(SUBSTITUTE(SUBSTITUTE(LOWER(Q1227),"hrs",""),"hr",""))),"")))),IF(ISNUMBER(Q1227),Q1227,IF(Q1227="","",IFERROR(VALUE(TRIM(SUBSTITUTE(SUBSTITUTE(LOWER(Q1227),"hrs",""),"hr",""))),""))))</f>
        <v>66</v>
      </c>
      <c r="S1227" s="57" t="n">
        <f aca="false">IFERROR(INDEX(RATES!$E$6:$E$28,MATCH(P1227,RATES!$A$6:$A$28,0)),0)</f>
        <v>34.695</v>
      </c>
      <c r="T1227" s="61" t="n">
        <f aca="false">IF(ISNUMBER(R1227),R1227,0)*S1227</f>
        <v>2289.87</v>
      </c>
      <c r="U1227" s="61" t="n">
        <f aca="false">T1227*INDEX(INPUTS!$H$10:$H$14,MATCH(B1227,INPUTS!$A$10:$A$14,0))</f>
        <v>322.87167</v>
      </c>
      <c r="V1227" s="61" t="n">
        <f aca="false">N(STACK!K1227)</f>
        <v>640</v>
      </c>
      <c r="W1227" s="61" t="n">
        <f aca="false">T1227+U1227+V1227</f>
        <v>3252.74167</v>
      </c>
      <c r="X1227" s="61" t="n">
        <f aca="false">N(STACK!L1227)</f>
        <v>0</v>
      </c>
      <c r="Y1227" s="61" t="n">
        <f aca="false">W1227-X1227</f>
        <v>3252.74167</v>
      </c>
      <c r="Z1227" s="1" t="n">
        <f aca="false">N(STACK!J1227)</f>
        <v>50</v>
      </c>
      <c r="AA1227" s="1" t="str">
        <f aca="false">TRIM(IF(D1227="UNMAPPED","Program not mapped. ","")&amp;IF(OR(K1227="UNMAPPED",K1227="UNASSIGNED"),"Category needs review. ","")&amp;IF(P1227="UNMAPPED","Title not mapped. ","")&amp;IF(AND(P1227&lt;&gt;"No staff time",R1227=""),"Missing hours. ","")&amp;IF(M1227="","Date not readable. ","")&amp;IF(N1227="No","Outside fiscal year. ","")&amp;IF(AND(F1227="Event",ISNUMBER(R1227)),IF(R1227&gt;12,"Event hours look high. ",""),"")&amp;IF(G1227&gt;0,"See CONFIRM sheet.",""))</f>
        <v/>
      </c>
      <c r="AB1227" s="1" t="n">
        <f aca="false">IF(N1227="No",0,IF(REVIEW!O1227=0,0,IF(G1227&gt;0,IF(INDEX(CONFIRM!$J$5:$J$53,G1227)&lt;&gt;"",INDEX(CONFIRM!$J$5:$J$53,G1227),1),1)))</f>
        <v>1</v>
      </c>
      <c r="AC1227" s="1" t="n">
        <f aca="false">IF(AB1227=1,IF(COUNTIFS($B$5:B1227,B1227,$D$5:D1227,D1227,$AB$5:AB1227,1)=1,1,0),0)</f>
        <v>0</v>
      </c>
    </row>
    <row r="1228" customFormat="false" ht="15" hidden="false" customHeight="false" outlineLevel="0" collapsed="false">
      <c r="A1228" s="48" t="str">
        <f aca="false">STACK!A1228</f>
        <v>WCH-0121</v>
      </c>
      <c r="B1228" s="48" t="str">
        <f aca="false">STACK!B1228</f>
        <v>WCH</v>
      </c>
      <c r="C1228" s="48" t="str">
        <f aca="false">STACK!E1228</f>
        <v>nursing students</v>
      </c>
      <c r="D1228" s="1" t="str">
        <f aca="false">IFERROR(INDEX(MAP!$J$7:$J$101,MATCH(TRIM(C1228),MAP!$I$7:$I$101,0)),"UNMAPPED")</f>
        <v>Nursing Student Clinical Rotations</v>
      </c>
      <c r="E1228" s="1" t="str">
        <f aca="false">IFERROR(INDEX(MAP!$K$7:$K$101,MATCH(TRIM(C1228),MAP!$I$7:$I$101,0)),"")</f>
        <v>Health workforce</v>
      </c>
      <c r="F1228" s="1" t="str">
        <f aca="false">IFERROR(INDEX(MAP!$L$7:$L$101,MATCH(TRIM(C1228),MAP!$I$7:$I$101,0)),"")</f>
        <v>Monthly</v>
      </c>
      <c r="G1228" s="1" t="n">
        <f aca="false">IFERROR(MATCH(A1228,CONFIRM!$A$5:$A$53,0),0)</f>
        <v>33</v>
      </c>
      <c r="H1228" s="48" t="str">
        <f aca="false">STACK!F1228</f>
        <v>health professions ed</v>
      </c>
      <c r="I1228" s="1" t="str">
        <f aca="false">IF(G1228&gt;0,IF(INDEX(CONFIRM!$I$5:$I$53,G1228)&lt;&gt;"",INDEX(CONFIRM!$I$5:$I$53,G1228),H1228),H1228)</f>
        <v>health professions ed</v>
      </c>
      <c r="J1228" s="1" t="str">
        <f aca="false">IFERROR(INDEX(MAP!$F$7:$F$74,MATCH(TRIM(I1228),MAP!$E$7:$E$74,0)),"UNMAPPED")</f>
        <v>Health professions education</v>
      </c>
      <c r="K1228" s="1" t="str">
        <f aca="false">IFERROR(INDEX(MAP!$G$7:$G$74,MATCH(TRIM(I1228),MAP!$E$7:$E$74,0)),"UNMAPPED")</f>
        <v>7f</v>
      </c>
      <c r="L1228" s="49" t="str">
        <f aca="false">STACK!G1228</f>
        <v>November 30, 2025</v>
      </c>
      <c r="M1228" s="59" t="n">
        <f aca="false">IF(G1228&gt;0,IF(INDEX(CONFIRM!$G$5:$G$53,G1228)&lt;&gt;"",INDEX(CONFIRM!$G$5:$G$53,G1228),IF(ISNUMBER(L1228),L1228,IFERROR(DATEVALUE(L1228),""))),IF(ISNUMBER(L1228),L1228,IFERROR(DATEVALUE(L1228),"")))</f>
        <v>45991</v>
      </c>
      <c r="N1228" s="1" t="str">
        <f aca="false">IF(M1228="","Check",IF(AND(M1228&gt;=INPUTS!$C$6,M1228&lt;=INPUTS!$C$7),"Yes","No"))</f>
        <v>Yes</v>
      </c>
      <c r="O1228" s="48" t="str">
        <f aca="false">STACK!H1228</f>
        <v>Clin Educator</v>
      </c>
      <c r="P1228" s="1" t="str">
        <f aca="false">IF(G1228&gt;0,IF(INDEX(CONFIRM!$H$5:$H$53,G1228)&lt;&gt;"",INDEX(CONFIRM!$H$5:$H$53,G1228),IFERROR(INDEX(MAP!$B$7:$B$156,MATCH(TRIM(O1228),MAP!$A$7:$A$156,0)),"UNMAPPED")),IFERROR(INDEX(MAP!$B$7:$B$156,MATCH(TRIM(O1228),MAP!$A$7:$A$156,0)),"UNMAPPED"))</f>
        <v>Clinical Nurse Educator</v>
      </c>
      <c r="Q1228" s="48" t="str">
        <f aca="false">STACK!I1228</f>
        <v/>
      </c>
      <c r="R1228" s="60" t="n">
        <f aca="false">IF(G1228&gt;0,IF(INDEX(CONFIRM!$F$5:$F$53,G1228)&lt;&gt;"",INDEX(CONFIRM!$F$5:$F$53,G1228),IF(ISNUMBER(Q1228),Q1228,IF(Q1228="","",IFERROR(VALUE(TRIM(SUBSTITUTE(SUBSTITUTE(LOWER(Q1228),"hrs",""),"hr",""))),"")))),IF(ISNUMBER(Q1228),Q1228,IF(Q1228="","",IFERROR(VALUE(TRIM(SUBSTITUTE(SUBSTITUTE(LOWER(Q1228),"hrs",""),"hr",""))),""))))</f>
        <v>82</v>
      </c>
      <c r="S1228" s="57" t="n">
        <f aca="false">IFERROR(INDEX(RATES!$E$6:$E$28,MATCH(P1228,RATES!$A$6:$A$28,0)),0)</f>
        <v>62.965</v>
      </c>
      <c r="T1228" s="61" t="n">
        <f aca="false">IF(ISNUMBER(R1228),R1228,0)*S1228</f>
        <v>5163.13</v>
      </c>
      <c r="U1228" s="61" t="n">
        <f aca="false">T1228*INDEX(INPUTS!$H$10:$H$14,MATCH(B1228,INPUTS!$A$10:$A$14,0))</f>
        <v>728.00133</v>
      </c>
      <c r="V1228" s="61" t="n">
        <f aca="false">N(STACK!K1228)</f>
        <v>575</v>
      </c>
      <c r="W1228" s="61" t="n">
        <f aca="false">T1228+U1228+V1228</f>
        <v>6466.13133</v>
      </c>
      <c r="X1228" s="61" t="n">
        <f aca="false">N(STACK!L1228)</f>
        <v>0</v>
      </c>
      <c r="Y1228" s="61" t="n">
        <f aca="false">W1228-X1228</f>
        <v>6466.13133</v>
      </c>
      <c r="Z1228" s="1" t="n">
        <f aca="false">N(STACK!J1228)</f>
        <v>21</v>
      </c>
      <c r="AA1228" s="1" t="str">
        <f aca="false">TRIM(IF(D1228="UNMAPPED","Program not mapped. ","")&amp;IF(OR(K1228="UNMAPPED",K1228="UNASSIGNED"),"Category needs review. ","")&amp;IF(P1228="UNMAPPED","Title not mapped. ","")&amp;IF(AND(P1228&lt;&gt;"No staff time",R1228=""),"Missing hours. ","")&amp;IF(M1228="","Date not readable. ","")&amp;IF(N1228="No","Outside fiscal year. ","")&amp;IF(AND(F1228="Event",ISNUMBER(R1228)),IF(R1228&gt;12,"Event hours look high. ",""),"")&amp;IF(G1228&gt;0,"See CONFIRM sheet.",""))</f>
        <v>See CONFIRM sheet.</v>
      </c>
      <c r="AB1228" s="1" t="n">
        <f aca="false">IF(N1228="No",0,IF(REVIEW!O1228=0,0,IF(G1228&gt;0,IF(INDEX(CONFIRM!$J$5:$J$53,G1228)&lt;&gt;"",INDEX(CONFIRM!$J$5:$J$53,G1228),1),1)))</f>
        <v>1</v>
      </c>
      <c r="AC1228" s="1" t="n">
        <f aca="false">IF(AB1228=1,IF(COUNTIFS($B$5:B1228,B1228,$D$5:D1228,D1228,$AB$5:AB1228,1)=1,1,0),0)</f>
        <v>0</v>
      </c>
    </row>
    <row r="1229" customFormat="false" ht="15" hidden="false" customHeight="false" outlineLevel="0" collapsed="false">
      <c r="A1229" s="48" t="str">
        <f aca="false">STACK!A1229</f>
        <v>WCH-0122</v>
      </c>
      <c r="B1229" s="48" t="str">
        <f aca="false">STACK!B1229</f>
        <v>WCH</v>
      </c>
      <c r="C1229" s="48" t="str">
        <f aca="false">STACK!E1229</f>
        <v>nursing students</v>
      </c>
      <c r="D1229" s="1" t="str">
        <f aca="false">IFERROR(INDEX(MAP!$J$7:$J$101,MATCH(TRIM(C1229),MAP!$I$7:$I$101,0)),"UNMAPPED")</f>
        <v>Nursing Student Clinical Rotations</v>
      </c>
      <c r="E1229" s="1" t="str">
        <f aca="false">IFERROR(INDEX(MAP!$K$7:$K$101,MATCH(TRIM(C1229),MAP!$I$7:$I$101,0)),"")</f>
        <v>Health workforce</v>
      </c>
      <c r="F1229" s="1" t="str">
        <f aca="false">IFERROR(INDEX(MAP!$L$7:$L$101,MATCH(TRIM(C1229),MAP!$I$7:$I$101,0)),"")</f>
        <v>Monthly</v>
      </c>
      <c r="G1229" s="1" t="n">
        <f aca="false">IFERROR(MATCH(A1229,CONFIRM!$A$5:$A$53,0),0)</f>
        <v>0</v>
      </c>
      <c r="H1229" s="48" t="str">
        <f aca="false">STACK!F1229</f>
        <v>health professions ed</v>
      </c>
      <c r="I1229" s="1" t="str">
        <f aca="false">IF(G1229&gt;0,IF(INDEX(CONFIRM!$I$5:$I$53,G1229)&lt;&gt;"",INDEX(CONFIRM!$I$5:$I$53,G1229),H1229),H1229)</f>
        <v>health professions ed</v>
      </c>
      <c r="J1229" s="1" t="str">
        <f aca="false">IFERROR(INDEX(MAP!$F$7:$F$74,MATCH(TRIM(I1229),MAP!$E$7:$E$74,0)),"UNMAPPED")</f>
        <v>Health professions education</v>
      </c>
      <c r="K1229" s="1" t="str">
        <f aca="false">IFERROR(INDEX(MAP!$G$7:$G$74,MATCH(TRIM(I1229),MAP!$E$7:$E$74,0)),"UNMAPPED")</f>
        <v>7f</v>
      </c>
      <c r="L1229" s="49" t="str">
        <f aca="false">STACK!G1229</f>
        <v>11/30/25</v>
      </c>
      <c r="M1229" s="59" t="n">
        <f aca="false">IF(G1229&gt;0,IF(INDEX(CONFIRM!$G$5:$G$53,G1229)&lt;&gt;"",INDEX(CONFIRM!$G$5:$G$53,G1229),IF(ISNUMBER(L1229),L1229,IFERROR(DATEVALUE(L1229),""))),IF(ISNUMBER(L1229),L1229,IFERROR(DATEVALUE(L1229),"")))</f>
        <v>45991</v>
      </c>
      <c r="N1229" s="1" t="str">
        <f aca="false">IF(M1229="","Check",IF(AND(M1229&gt;=INPUTS!$C$6,M1229&lt;=INPUTS!$C$7),"Yes","No"))</f>
        <v>Yes</v>
      </c>
      <c r="O1229" s="48" t="str">
        <f aca="false">STACK!H1229</f>
        <v>RN III</v>
      </c>
      <c r="P1229" s="1" t="str">
        <f aca="false">IF(G1229&gt;0,IF(INDEX(CONFIRM!$H$5:$H$53,G1229)&lt;&gt;"",INDEX(CONFIRM!$H$5:$H$53,G1229),IFERROR(INDEX(MAP!$B$7:$B$156,MATCH(TRIM(O1229),MAP!$A$7:$A$156,0)),"UNMAPPED")),IFERROR(INDEX(MAP!$B$7:$B$156,MATCH(TRIM(O1229),MAP!$A$7:$A$156,0)),"UNMAPPED"))</f>
        <v>Registered Nurse</v>
      </c>
      <c r="Q1229" s="48" t="n">
        <f aca="false">STACK!I1229</f>
        <v>153.25</v>
      </c>
      <c r="R1229" s="60" t="n">
        <f aca="false">IF(G1229&gt;0,IF(INDEX(CONFIRM!$F$5:$F$53,G1229)&lt;&gt;"",INDEX(CONFIRM!$F$5:$F$53,G1229),IF(ISNUMBER(Q1229),Q1229,IF(Q1229="","",IFERROR(VALUE(TRIM(SUBSTITUTE(SUBSTITUTE(LOWER(Q1229),"hrs",""),"hr",""))),"")))),IF(ISNUMBER(Q1229),Q1229,IF(Q1229="","",IFERROR(VALUE(TRIM(SUBSTITUTE(SUBSTITUTE(LOWER(Q1229),"hrs",""),"hr",""))),""))))</f>
        <v>153.25</v>
      </c>
      <c r="S1229" s="57" t="n">
        <f aca="false">IFERROR(INDEX(RATES!$E$6:$E$28,MATCH(P1229,RATES!$A$6:$A$28,0)),0)</f>
        <v>55.8975</v>
      </c>
      <c r="T1229" s="61" t="n">
        <f aca="false">IF(ISNUMBER(R1229),R1229,0)*S1229</f>
        <v>8566.291875</v>
      </c>
      <c r="U1229" s="61" t="n">
        <f aca="false">T1229*INDEX(INPUTS!$H$10:$H$14,MATCH(B1229,INPUTS!$A$10:$A$14,0))</f>
        <v>1207.847154375</v>
      </c>
      <c r="V1229" s="61" t="n">
        <f aca="false">N(STACK!K1229)</f>
        <v>0</v>
      </c>
      <c r="W1229" s="61" t="n">
        <f aca="false">T1229+U1229+V1229</f>
        <v>9774.139029375</v>
      </c>
      <c r="X1229" s="61" t="n">
        <f aca="false">N(STACK!L1229)</f>
        <v>0</v>
      </c>
      <c r="Y1229" s="61" t="n">
        <f aca="false">W1229-X1229</f>
        <v>9774.139029375</v>
      </c>
      <c r="Z1229" s="1" t="n">
        <f aca="false">N(STACK!J1229)</f>
        <v>0</v>
      </c>
      <c r="AA1229" s="1" t="str">
        <f aca="false">TRIM(IF(D1229="UNMAPPED","Program not mapped. ","")&amp;IF(OR(K1229="UNMAPPED",K1229="UNASSIGNED"),"Category needs review. ","")&amp;IF(P1229="UNMAPPED","Title not mapped. ","")&amp;IF(AND(P1229&lt;&gt;"No staff time",R1229=""),"Missing hours. ","")&amp;IF(M1229="","Date not readable. ","")&amp;IF(N1229="No","Outside fiscal year. ","")&amp;IF(AND(F1229="Event",ISNUMBER(R1229)),IF(R1229&gt;12,"Event hours look high. ",""),"")&amp;IF(G1229&gt;0,"See CONFIRM sheet.",""))</f>
        <v/>
      </c>
      <c r="AB1229" s="1" t="n">
        <f aca="false">IF(N1229="No",0,IF(REVIEW!O1229=0,0,IF(G1229&gt;0,IF(INDEX(CONFIRM!$J$5:$J$53,G1229)&lt;&gt;"",INDEX(CONFIRM!$J$5:$J$53,G1229),1),1)))</f>
        <v>1</v>
      </c>
      <c r="AC1229" s="1" t="n">
        <f aca="false">IF(AB1229=1,IF(COUNTIFS($B$5:B1229,B1229,$D$5:D1229,D1229,$AB$5:AB1229,1)=1,1,0),0)</f>
        <v>0</v>
      </c>
    </row>
    <row r="1230" customFormat="false" ht="15" hidden="false" customHeight="false" outlineLevel="0" collapsed="false">
      <c r="A1230" s="48" t="str">
        <f aca="false">STACK!A1230</f>
        <v>WCH-0123</v>
      </c>
      <c r="B1230" s="48" t="str">
        <f aca="false">STACK!B1230</f>
        <v>WCH</v>
      </c>
      <c r="C1230" s="48" t="str">
        <f aca="false">STACK!E1230</f>
        <v>paramedic students</v>
      </c>
      <c r="D1230" s="1" t="str">
        <f aca="false">IFERROR(INDEX(MAP!$J$7:$J$101,MATCH(TRIM(C1230),MAP!$I$7:$I$101,0)),"UNMAPPED")</f>
        <v>Paramedic Student Field Training</v>
      </c>
      <c r="E1230" s="1" t="str">
        <f aca="false">IFERROR(INDEX(MAP!$K$7:$K$101,MATCH(TRIM(C1230),MAP!$I$7:$I$101,0)),"")</f>
        <v>Health workforce</v>
      </c>
      <c r="F1230" s="1" t="str">
        <f aca="false">IFERROR(INDEX(MAP!$L$7:$L$101,MATCH(TRIM(C1230),MAP!$I$7:$I$101,0)),"")</f>
        <v>Monthly</v>
      </c>
      <c r="G1230" s="1" t="n">
        <f aca="false">IFERROR(MATCH(A1230,CONFIRM!$A$5:$A$53,0),0)</f>
        <v>0</v>
      </c>
      <c r="H1230" s="48" t="str">
        <f aca="false">STACK!F1230</f>
        <v>health professions ed</v>
      </c>
      <c r="I1230" s="1" t="str">
        <f aca="false">IF(G1230&gt;0,IF(INDEX(CONFIRM!$I$5:$I$53,G1230)&lt;&gt;"",INDEX(CONFIRM!$I$5:$I$53,G1230),H1230),H1230)</f>
        <v>health professions ed</v>
      </c>
      <c r="J1230" s="1" t="str">
        <f aca="false">IFERROR(INDEX(MAP!$F$7:$F$74,MATCH(TRIM(I1230),MAP!$E$7:$E$74,0)),"UNMAPPED")</f>
        <v>Health professions education</v>
      </c>
      <c r="K1230" s="1" t="str">
        <f aca="false">IFERROR(INDEX(MAP!$G$7:$G$74,MATCH(TRIM(I1230),MAP!$E$7:$E$74,0)),"UNMAPPED")</f>
        <v>7f</v>
      </c>
      <c r="L1230" s="49" t="str">
        <f aca="false">STACK!G1230</f>
        <v>11/30/25</v>
      </c>
      <c r="M1230" s="59" t="n">
        <f aca="false">IF(G1230&gt;0,IF(INDEX(CONFIRM!$G$5:$G$53,G1230)&lt;&gt;"",INDEX(CONFIRM!$G$5:$G$53,G1230),IF(ISNUMBER(L1230),L1230,IFERROR(DATEVALUE(L1230),""))),IF(ISNUMBER(L1230),L1230,IFERROR(DATEVALUE(L1230),"")))</f>
        <v>45991</v>
      </c>
      <c r="N1230" s="1" t="str">
        <f aca="false">IF(M1230="","Check",IF(AND(M1230&gt;=INPUTS!$C$6,M1230&lt;=INPUTS!$C$7),"Yes","No"))</f>
        <v>Yes</v>
      </c>
      <c r="O1230" s="48" t="str">
        <f aca="false">STACK!H1230</f>
        <v>Flight Paramedic</v>
      </c>
      <c r="P1230" s="1" t="str">
        <f aca="false">IF(G1230&gt;0,IF(INDEX(CONFIRM!$H$5:$H$53,G1230)&lt;&gt;"",INDEX(CONFIRM!$H$5:$H$53,G1230),IFERROR(INDEX(MAP!$B$7:$B$156,MATCH(TRIM(O1230),MAP!$A$7:$A$156,0)),"UNMAPPED")),IFERROR(INDEX(MAP!$B$7:$B$156,MATCH(TRIM(O1230),MAP!$A$7:$A$156,0)),"UNMAPPED"))</f>
        <v>Paramedic</v>
      </c>
      <c r="Q1230" s="48" t="n">
        <f aca="false">STACK!I1230</f>
        <v>41.25</v>
      </c>
      <c r="R1230" s="60" t="n">
        <f aca="false">IF(G1230&gt;0,IF(INDEX(CONFIRM!$F$5:$F$53,G1230)&lt;&gt;"",INDEX(CONFIRM!$F$5:$F$53,G1230),IF(ISNUMBER(Q1230),Q1230,IF(Q1230="","",IFERROR(VALUE(TRIM(SUBSTITUTE(SUBSTITUTE(LOWER(Q1230),"hrs",""),"hr",""))),"")))),IF(ISNUMBER(Q1230),Q1230,IF(Q1230="","",IFERROR(VALUE(TRIM(SUBSTITUTE(SUBSTITUTE(LOWER(Q1230),"hrs",""),"hr",""))),""))))</f>
        <v>41.25</v>
      </c>
      <c r="S1230" s="57" t="n">
        <f aca="false">IFERROR(INDEX(RATES!$E$6:$E$28,MATCH(P1230,RATES!$A$6:$A$28,0)),0)</f>
        <v>34.695</v>
      </c>
      <c r="T1230" s="61" t="n">
        <f aca="false">IF(ISNUMBER(R1230),R1230,0)*S1230</f>
        <v>1431.16875</v>
      </c>
      <c r="U1230" s="61" t="n">
        <f aca="false">T1230*INDEX(INPUTS!$H$10:$H$14,MATCH(B1230,INPUTS!$A$10:$A$14,0))</f>
        <v>201.79479375</v>
      </c>
      <c r="V1230" s="61" t="n">
        <f aca="false">N(STACK!K1230)</f>
        <v>25</v>
      </c>
      <c r="W1230" s="61" t="n">
        <f aca="false">T1230+U1230+V1230</f>
        <v>1657.96354375</v>
      </c>
      <c r="X1230" s="61" t="n">
        <f aca="false">N(STACK!L1230)</f>
        <v>0</v>
      </c>
      <c r="Y1230" s="61" t="n">
        <f aca="false">W1230-X1230</f>
        <v>1657.96354375</v>
      </c>
      <c r="Z1230" s="1" t="n">
        <f aca="false">N(STACK!J1230)</f>
        <v>3</v>
      </c>
      <c r="AA1230" s="1" t="str">
        <f aca="false">TRIM(IF(D1230="UNMAPPED","Program not mapped. ","")&amp;IF(OR(K1230="UNMAPPED",K1230="UNASSIGNED"),"Category needs review. ","")&amp;IF(P1230="UNMAPPED","Title not mapped. ","")&amp;IF(AND(P1230&lt;&gt;"No staff time",R1230=""),"Missing hours. ","")&amp;IF(M1230="","Date not readable. ","")&amp;IF(N1230="No","Outside fiscal year. ","")&amp;IF(AND(F1230="Event",ISNUMBER(R1230)),IF(R1230&gt;12,"Event hours look high. ",""),"")&amp;IF(G1230&gt;0,"See CONFIRM sheet.",""))</f>
        <v/>
      </c>
      <c r="AB1230" s="1" t="n">
        <f aca="false">IF(N1230="No",0,IF(REVIEW!O1230=0,0,IF(G1230&gt;0,IF(INDEX(CONFIRM!$J$5:$J$53,G1230)&lt;&gt;"",INDEX(CONFIRM!$J$5:$J$53,G1230),1),1)))</f>
        <v>1</v>
      </c>
      <c r="AC1230" s="1" t="n">
        <f aca="false">IF(AB1230=1,IF(COUNTIFS($B$5:B1230,B1230,$D$5:D1230,D1230,$AB$5:AB1230,1)=1,1,0),0)</f>
        <v>0</v>
      </c>
    </row>
    <row r="1231" customFormat="false" ht="15" hidden="false" customHeight="false" outlineLevel="0" collapsed="false">
      <c r="A1231" s="48" t="str">
        <f aca="false">STACK!A1231</f>
        <v>WCH-0124</v>
      </c>
      <c r="B1231" s="48" t="str">
        <f aca="false">STACK!B1231</f>
        <v>WCH</v>
      </c>
      <c r="C1231" s="48" t="str">
        <f aca="false">STACK!E1231</f>
        <v>rural maternal study</v>
      </c>
      <c r="D1231" s="1" t="str">
        <f aca="false">IFERROR(INDEX(MAP!$J$7:$J$101,MATCH(TRIM(C1231),MAP!$I$7:$I$101,0)),"UNMAPPED")</f>
        <v>Rural Maternal Outcomes Study</v>
      </c>
      <c r="E1231" s="1" t="str">
        <f aca="false">IFERROR(INDEX(MAP!$K$7:$K$101,MATCH(TRIM(C1231),MAP!$I$7:$I$101,0)),"")</f>
        <v>Maternal and child health</v>
      </c>
      <c r="F1231" s="1" t="str">
        <f aca="false">IFERROR(INDEX(MAP!$L$7:$L$101,MATCH(TRIM(C1231),MAP!$I$7:$I$101,0)),"")</f>
        <v>Monthly</v>
      </c>
      <c r="G1231" s="1" t="n">
        <f aca="false">IFERROR(MATCH(A1231,CONFIRM!$A$5:$A$53,0),0)</f>
        <v>0</v>
      </c>
      <c r="H1231" s="48" t="str">
        <f aca="false">STACK!F1231</f>
        <v>research</v>
      </c>
      <c r="I1231" s="1" t="str">
        <f aca="false">IF(G1231&gt;0,IF(INDEX(CONFIRM!$I$5:$I$53,G1231)&lt;&gt;"",INDEX(CONFIRM!$I$5:$I$53,G1231),H1231),H1231)</f>
        <v>research</v>
      </c>
      <c r="J1231" s="1" t="str">
        <f aca="false">IFERROR(INDEX(MAP!$F$7:$F$74,MATCH(TRIM(I1231),MAP!$E$7:$E$74,0)),"UNMAPPED")</f>
        <v>Research</v>
      </c>
      <c r="K1231" s="1" t="str">
        <f aca="false">IFERROR(INDEX(MAP!$G$7:$G$74,MATCH(TRIM(I1231),MAP!$E$7:$E$74,0)),"UNMAPPED")</f>
        <v>7h</v>
      </c>
      <c r="L1231" s="49" t="str">
        <f aca="false">STACK!G1231</f>
        <v>11/30/25</v>
      </c>
      <c r="M1231" s="59" t="n">
        <f aca="false">IF(G1231&gt;0,IF(INDEX(CONFIRM!$G$5:$G$53,G1231)&lt;&gt;"",INDEX(CONFIRM!$G$5:$G$53,G1231),IF(ISNUMBER(L1231),L1231,IFERROR(DATEVALUE(L1231),""))),IF(ISNUMBER(L1231),L1231,IFERROR(DATEVALUE(L1231),"")))</f>
        <v>45991</v>
      </c>
      <c r="N1231" s="1" t="str">
        <f aca="false">IF(M1231="","Check",IF(AND(M1231&gt;=INPUTS!$C$6,M1231&lt;=INPUTS!$C$7),"Yes","No"))</f>
        <v>Yes</v>
      </c>
      <c r="O1231" s="48" t="str">
        <f aca="false">STACK!H1231</f>
        <v>BI Analyst</v>
      </c>
      <c r="P1231" s="1" t="str">
        <f aca="false">IF(G1231&gt;0,IF(INDEX(CONFIRM!$H$5:$H$53,G1231)&lt;&gt;"",INDEX(CONFIRM!$H$5:$H$53,G1231),IFERROR(INDEX(MAP!$B$7:$B$156,MATCH(TRIM(O1231),MAP!$A$7:$A$156,0)),"UNMAPPED")),IFERROR(INDEX(MAP!$B$7:$B$156,MATCH(TRIM(O1231),MAP!$A$7:$A$156,0)),"UNMAPPED"))</f>
        <v>Data Analyst</v>
      </c>
      <c r="Q1231" s="48" t="n">
        <f aca="false">STACK!I1231</f>
        <v>13.25</v>
      </c>
      <c r="R1231" s="60" t="n">
        <f aca="false">IF(G1231&gt;0,IF(INDEX(CONFIRM!$F$5:$F$53,G1231)&lt;&gt;"",INDEX(CONFIRM!$F$5:$F$53,G1231),IF(ISNUMBER(Q1231),Q1231,IF(Q1231="","",IFERROR(VALUE(TRIM(SUBSTITUTE(SUBSTITUTE(LOWER(Q1231),"hrs",""),"hr",""))),"")))),IF(ISNUMBER(Q1231),Q1231,IF(Q1231="","",IFERROR(VALUE(TRIM(SUBSTITUTE(SUBSTITUTE(LOWER(Q1231),"hrs",""),"hr",""))),""))))</f>
        <v>13.25</v>
      </c>
      <c r="S1231" s="57" t="n">
        <f aca="false">IFERROR(INDEX(RATES!$E$6:$E$28,MATCH(P1231,RATES!$A$6:$A$28,0)),0)</f>
        <v>48.83</v>
      </c>
      <c r="T1231" s="61" t="n">
        <f aca="false">IF(ISNUMBER(R1231),R1231,0)*S1231</f>
        <v>646.9975</v>
      </c>
      <c r="U1231" s="61" t="n">
        <f aca="false">T1231*INDEX(INPUTS!$H$10:$H$14,MATCH(B1231,INPUTS!$A$10:$A$14,0))</f>
        <v>91.2266475</v>
      </c>
      <c r="V1231" s="61" t="n">
        <f aca="false">N(STACK!K1231)</f>
        <v>0</v>
      </c>
      <c r="W1231" s="61" t="n">
        <f aca="false">T1231+U1231+V1231</f>
        <v>738.2241475</v>
      </c>
      <c r="X1231" s="61" t="n">
        <f aca="false">N(STACK!L1231)</f>
        <v>0</v>
      </c>
      <c r="Y1231" s="61" t="n">
        <f aca="false">W1231-X1231</f>
        <v>738.2241475</v>
      </c>
      <c r="Z1231" s="1" t="n">
        <f aca="false">N(STACK!J1231)</f>
        <v>0</v>
      </c>
      <c r="AA1231" s="1" t="str">
        <f aca="false">TRIM(IF(D1231="UNMAPPED","Program not mapped. ","")&amp;IF(OR(K1231="UNMAPPED",K1231="UNASSIGNED"),"Category needs review. ","")&amp;IF(P1231="UNMAPPED","Title not mapped. ","")&amp;IF(AND(P1231&lt;&gt;"No staff time",R1231=""),"Missing hours. ","")&amp;IF(M1231="","Date not readable. ","")&amp;IF(N1231="No","Outside fiscal year. ","")&amp;IF(AND(F1231="Event",ISNUMBER(R1231)),IF(R1231&gt;12,"Event hours look high. ",""),"")&amp;IF(G1231&gt;0,"See CONFIRM sheet.",""))</f>
        <v/>
      </c>
      <c r="AB1231" s="1" t="n">
        <f aca="false">IF(N1231="No",0,IF(REVIEW!O1231=0,0,IF(G1231&gt;0,IF(INDEX(CONFIRM!$J$5:$J$53,G1231)&lt;&gt;"",INDEX(CONFIRM!$J$5:$J$53,G1231),1),1)))</f>
        <v>1</v>
      </c>
      <c r="AC1231" s="1" t="n">
        <f aca="false">IF(AB1231=1,IF(COUNTIFS($B$5:B1231,B1231,$D$5:D1231,D1231,$AB$5:AB1231,1)=1,1,0),0)</f>
        <v>0</v>
      </c>
    </row>
    <row r="1232" customFormat="false" ht="15" hidden="false" customHeight="false" outlineLevel="0" collapsed="false">
      <c r="A1232" s="48" t="str">
        <f aca="false">STACK!A1232</f>
        <v>WCH-0125</v>
      </c>
      <c r="B1232" s="48" t="str">
        <f aca="false">STACK!B1232</f>
        <v>WCH</v>
      </c>
      <c r="C1232" s="48" t="str">
        <f aca="false">STACK!E1232</f>
        <v>rural maternal study</v>
      </c>
      <c r="D1232" s="1" t="str">
        <f aca="false">IFERROR(INDEX(MAP!$J$7:$J$101,MATCH(TRIM(C1232),MAP!$I$7:$I$101,0)),"UNMAPPED")</f>
        <v>Rural Maternal Outcomes Study</v>
      </c>
      <c r="E1232" s="1" t="str">
        <f aca="false">IFERROR(INDEX(MAP!$K$7:$K$101,MATCH(TRIM(C1232),MAP!$I$7:$I$101,0)),"")</f>
        <v>Maternal and child health</v>
      </c>
      <c r="F1232" s="1" t="str">
        <f aca="false">IFERROR(INDEX(MAP!$L$7:$L$101,MATCH(TRIM(C1232),MAP!$I$7:$I$101,0)),"")</f>
        <v>Monthly</v>
      </c>
      <c r="G1232" s="1" t="n">
        <f aca="false">IFERROR(MATCH(A1232,CONFIRM!$A$5:$A$53,0),0)</f>
        <v>0</v>
      </c>
      <c r="H1232" s="48" t="str">
        <f aca="false">STACK!F1232</f>
        <v>research</v>
      </c>
      <c r="I1232" s="1" t="str">
        <f aca="false">IF(G1232&gt;0,IF(INDEX(CONFIRM!$I$5:$I$53,G1232)&lt;&gt;"",INDEX(CONFIRM!$I$5:$I$53,G1232),H1232),H1232)</f>
        <v>research</v>
      </c>
      <c r="J1232" s="1" t="str">
        <f aca="false">IFERROR(INDEX(MAP!$F$7:$F$74,MATCH(TRIM(I1232),MAP!$E$7:$E$74,0)),"UNMAPPED")</f>
        <v>Research</v>
      </c>
      <c r="K1232" s="1" t="str">
        <f aca="false">IFERROR(INDEX(MAP!$G$7:$G$74,MATCH(TRIM(I1232),MAP!$E$7:$E$74,0)),"UNMAPPED")</f>
        <v>7h</v>
      </c>
      <c r="L1232" s="49" t="n">
        <f aca="false">STACK!G1232</f>
        <v>45991</v>
      </c>
      <c r="M1232" s="59" t="n">
        <f aca="false">IF(G1232&gt;0,IF(INDEX(CONFIRM!$G$5:$G$53,G1232)&lt;&gt;"",INDEX(CONFIRM!$G$5:$G$53,G1232),IF(ISNUMBER(L1232),L1232,IFERROR(DATEVALUE(L1232),""))),IF(ISNUMBER(L1232),L1232,IFERROR(DATEVALUE(L1232),"")))</f>
        <v>45991</v>
      </c>
      <c r="N1232" s="1" t="str">
        <f aca="false">IF(M1232="","Check",IF(AND(M1232&gt;=INPUTS!$C$6,M1232&lt;=INPUTS!$C$7),"Yes","No"))</f>
        <v>Yes</v>
      </c>
      <c r="O1232" s="48" t="str">
        <f aca="false">STACK!H1232</f>
        <v>Research Nurse</v>
      </c>
      <c r="P1232" s="1" t="str">
        <f aca="false">IF(G1232&gt;0,IF(INDEX(CONFIRM!$H$5:$H$53,G1232)&lt;&gt;"",INDEX(CONFIRM!$H$5:$H$53,G1232),IFERROR(INDEX(MAP!$B$7:$B$156,MATCH(TRIM(O1232),MAP!$A$7:$A$156,0)),"UNMAPPED")),IFERROR(INDEX(MAP!$B$7:$B$156,MATCH(TRIM(O1232),MAP!$A$7:$A$156,0)),"UNMAPPED"))</f>
        <v>Research Coordinator</v>
      </c>
      <c r="Q1232" s="48" t="n">
        <f aca="false">STACK!I1232</f>
        <v>47.25</v>
      </c>
      <c r="R1232" s="60" t="n">
        <f aca="false">IF(G1232&gt;0,IF(INDEX(CONFIRM!$F$5:$F$53,G1232)&lt;&gt;"",INDEX(CONFIRM!$F$5:$F$53,G1232),IF(ISNUMBER(Q1232),Q1232,IF(Q1232="","",IFERROR(VALUE(TRIM(SUBSTITUTE(SUBSTITUTE(LOWER(Q1232),"hrs",""),"hr",""))),"")))),IF(ISNUMBER(Q1232),Q1232,IF(Q1232="","",IFERROR(VALUE(TRIM(SUBSTITUTE(SUBSTITUTE(LOWER(Q1232),"hrs",""),"hr",""))),""))))</f>
        <v>47.25</v>
      </c>
      <c r="S1232" s="57" t="n">
        <f aca="false">IFERROR(INDEX(RATES!$E$6:$E$28,MATCH(P1232,RATES!$A$6:$A$28,0)),0)</f>
        <v>42.405</v>
      </c>
      <c r="T1232" s="61" t="n">
        <f aca="false">IF(ISNUMBER(R1232),R1232,0)*S1232</f>
        <v>2003.63625</v>
      </c>
      <c r="U1232" s="61" t="n">
        <f aca="false">T1232*INDEX(INPUTS!$H$10:$H$14,MATCH(B1232,INPUTS!$A$10:$A$14,0))</f>
        <v>282.51271125</v>
      </c>
      <c r="V1232" s="61" t="n">
        <f aca="false">N(STACK!K1232)</f>
        <v>1270</v>
      </c>
      <c r="W1232" s="61" t="n">
        <f aca="false">T1232+U1232+V1232</f>
        <v>3556.14896125</v>
      </c>
      <c r="X1232" s="61" t="n">
        <f aca="false">N(STACK!L1232)</f>
        <v>3930</v>
      </c>
      <c r="Y1232" s="61" t="n">
        <f aca="false">W1232-X1232</f>
        <v>-373.85103875</v>
      </c>
      <c r="Z1232" s="1" t="n">
        <f aca="false">N(STACK!J1232)</f>
        <v>12</v>
      </c>
      <c r="AA1232" s="1" t="str">
        <f aca="false">TRIM(IF(D1232="UNMAPPED","Program not mapped. ","")&amp;IF(OR(K1232="UNMAPPED",K1232="UNASSIGNED"),"Category needs review. ","")&amp;IF(P1232="UNMAPPED","Title not mapped. ","")&amp;IF(AND(P1232&lt;&gt;"No staff time",R1232=""),"Missing hours. ","")&amp;IF(M1232="","Date not readable. ","")&amp;IF(N1232="No","Outside fiscal year. ","")&amp;IF(AND(F1232="Event",ISNUMBER(R1232)),IF(R1232&gt;12,"Event hours look high. ",""),"")&amp;IF(G1232&gt;0,"See CONFIRM sheet.",""))</f>
        <v/>
      </c>
      <c r="AB1232" s="1" t="n">
        <f aca="false">IF(N1232="No",0,IF(REVIEW!O1232=0,0,IF(G1232&gt;0,IF(INDEX(CONFIRM!$J$5:$J$53,G1232)&lt;&gt;"",INDEX(CONFIRM!$J$5:$J$53,G1232),1),1)))</f>
        <v>1</v>
      </c>
      <c r="AC1232" s="1" t="n">
        <f aca="false">IF(AB1232=1,IF(COUNTIFS($B$5:B1232,B1232,$D$5:D1232,D1232,$AB$5:AB1232,1)=1,1,0),0)</f>
        <v>0</v>
      </c>
    </row>
    <row r="1233" customFormat="false" ht="15" hidden="false" customHeight="false" outlineLevel="0" collapsed="false">
      <c r="A1233" s="48" t="str">
        <f aca="false">STACK!A1233</f>
        <v>WCH-0126</v>
      </c>
      <c r="B1233" s="48" t="str">
        <f aca="false">STACK!B1233</f>
        <v>WCH</v>
      </c>
      <c r="C1233" s="48" t="str">
        <f aca="false">STACK!E1233</f>
        <v>youth pathway</v>
      </c>
      <c r="D1233" s="1" t="str">
        <f aca="false">IFERROR(INDEX(MAP!$J$7:$J$101,MATCH(TRIM(C1233),MAP!$I$7:$I$101,0)),"UNMAPPED")</f>
        <v>Youth Health Careers Pathway</v>
      </c>
      <c r="E1233" s="1" t="str">
        <f aca="false">IFERROR(INDEX(MAP!$K$7:$K$101,MATCH(TRIM(C1233),MAP!$I$7:$I$101,0)),"")</f>
        <v>Health workforce</v>
      </c>
      <c r="F1233" s="1" t="str">
        <f aca="false">IFERROR(INDEX(MAP!$L$7:$L$101,MATCH(TRIM(C1233),MAP!$I$7:$I$101,0)),"")</f>
        <v>Event</v>
      </c>
      <c r="G1233" s="1" t="n">
        <f aca="false">IFERROR(MATCH(A1233,CONFIRM!$A$5:$A$53,0),0)</f>
        <v>34</v>
      </c>
      <c r="H1233" s="48" t="str">
        <f aca="false">STACK!F1233</f>
        <v>community building</v>
      </c>
      <c r="I1233" s="1" t="str">
        <f aca="false">IF(G1233&gt;0,IF(INDEX(CONFIRM!$I$5:$I$53,G1233)&lt;&gt;"",INDEX(CONFIRM!$I$5:$I$53,G1233),H1233),H1233)</f>
        <v>Community building: workforce development</v>
      </c>
      <c r="J1233" s="1" t="str">
        <f aca="false">IFERROR(INDEX(MAP!$F$7:$F$74,MATCH(TRIM(I1233),MAP!$E$7:$E$74,0)),"UNMAPPED")</f>
        <v>Community building: workforce development</v>
      </c>
      <c r="K1233" s="1" t="str">
        <f aca="false">IFERROR(INDEX(MAP!$G$7:$G$74,MATCH(TRIM(I1233),MAP!$E$7:$E$74,0)),"UNMAPPED")</f>
        <v>II-8</v>
      </c>
      <c r="L1233" s="49" t="str">
        <f aca="false">STACK!G1233</f>
        <v>12/6/25</v>
      </c>
      <c r="M1233" s="59" t="n">
        <f aca="false">IF(G1233&gt;0,IF(INDEX(CONFIRM!$G$5:$G$53,G1233)&lt;&gt;"",INDEX(CONFIRM!$G$5:$G$53,G1233),IF(ISNUMBER(L1233),L1233,IFERROR(DATEVALUE(L1233),""))),IF(ISNUMBER(L1233),L1233,IFERROR(DATEVALUE(L1233),"")))</f>
        <v>45997</v>
      </c>
      <c r="N1233" s="1" t="str">
        <f aca="false">IF(M1233="","Check",IF(AND(M1233&gt;=INPUTS!$C$6,M1233&lt;=INPUTS!$C$7),"Yes","No"))</f>
        <v>Yes</v>
      </c>
      <c r="O1233" s="48" t="str">
        <f aca="false">STACK!H1233</f>
        <v>Clin Educator</v>
      </c>
      <c r="P1233" s="1" t="str">
        <f aca="false">IF(G1233&gt;0,IF(INDEX(CONFIRM!$H$5:$H$53,G1233)&lt;&gt;"",INDEX(CONFIRM!$H$5:$H$53,G1233),IFERROR(INDEX(MAP!$B$7:$B$156,MATCH(TRIM(O1233),MAP!$A$7:$A$156,0)),"UNMAPPED")),IFERROR(INDEX(MAP!$B$7:$B$156,MATCH(TRIM(O1233),MAP!$A$7:$A$156,0)),"UNMAPPED"))</f>
        <v>Clinical Nurse Educator</v>
      </c>
      <c r="Q1233" s="48" t="n">
        <f aca="false">STACK!I1233</f>
        <v>4</v>
      </c>
      <c r="R1233" s="60" t="n">
        <f aca="false">IF(G1233&gt;0,IF(INDEX(CONFIRM!$F$5:$F$53,G1233)&lt;&gt;"",INDEX(CONFIRM!$F$5:$F$53,G1233),IF(ISNUMBER(Q1233),Q1233,IF(Q1233="","",IFERROR(VALUE(TRIM(SUBSTITUTE(SUBSTITUTE(LOWER(Q1233),"hrs",""),"hr",""))),"")))),IF(ISNUMBER(Q1233),Q1233,IF(Q1233="","",IFERROR(VALUE(TRIM(SUBSTITUTE(SUBSTITUTE(LOWER(Q1233),"hrs",""),"hr",""))),""))))</f>
        <v>4</v>
      </c>
      <c r="S1233" s="57" t="n">
        <f aca="false">IFERROR(INDEX(RATES!$E$6:$E$28,MATCH(P1233,RATES!$A$6:$A$28,0)),0)</f>
        <v>62.965</v>
      </c>
      <c r="T1233" s="61" t="n">
        <f aca="false">IF(ISNUMBER(R1233),R1233,0)*S1233</f>
        <v>251.86</v>
      </c>
      <c r="U1233" s="61" t="n">
        <f aca="false">T1233*INDEX(INPUTS!$H$10:$H$14,MATCH(B1233,INPUTS!$A$10:$A$14,0))</f>
        <v>35.51226</v>
      </c>
      <c r="V1233" s="61" t="n">
        <f aca="false">N(STACK!K1233)</f>
        <v>0</v>
      </c>
      <c r="W1233" s="61" t="n">
        <f aca="false">T1233+U1233+V1233</f>
        <v>287.37226</v>
      </c>
      <c r="X1233" s="61" t="n">
        <f aca="false">N(STACK!L1233)</f>
        <v>0</v>
      </c>
      <c r="Y1233" s="61" t="n">
        <f aca="false">W1233-X1233</f>
        <v>287.37226</v>
      </c>
      <c r="Z1233" s="1" t="n">
        <f aca="false">N(STACK!J1233)</f>
        <v>0</v>
      </c>
      <c r="AA1233" s="1" t="str">
        <f aca="false">TRIM(IF(D1233="UNMAPPED","Program not mapped. ","")&amp;IF(OR(K1233="UNMAPPED",K1233="UNASSIGNED"),"Category needs review. ","")&amp;IF(P1233="UNMAPPED","Title not mapped. ","")&amp;IF(AND(P1233&lt;&gt;"No staff time",R1233=""),"Missing hours. ","")&amp;IF(M1233="","Date not readable. ","")&amp;IF(N1233="No","Outside fiscal year. ","")&amp;IF(AND(F1233="Event",ISNUMBER(R1233)),IF(R1233&gt;12,"Event hours look high. ",""),"")&amp;IF(G1233&gt;0,"See CONFIRM sheet.",""))</f>
        <v>See CONFIRM sheet.</v>
      </c>
      <c r="AB1233" s="1" t="n">
        <f aca="false">IF(N1233="No",0,IF(REVIEW!O1233=0,0,IF(G1233&gt;0,IF(INDEX(CONFIRM!$J$5:$J$53,G1233)&lt;&gt;"",INDEX(CONFIRM!$J$5:$J$53,G1233),1),1)))</f>
        <v>1</v>
      </c>
      <c r="AC1233" s="1" t="n">
        <f aca="false">IF(AB1233=1,IF(COUNTIFS($B$5:B1233,B1233,$D$5:D1233,D1233,$AB$5:AB1233,1)=1,1,0),0)</f>
        <v>0</v>
      </c>
    </row>
    <row r="1234" customFormat="false" ht="15" hidden="false" customHeight="false" outlineLevel="0" collapsed="false">
      <c r="A1234" s="48" t="str">
        <f aca="false">STACK!A1234</f>
        <v>WCH-0127</v>
      </c>
      <c r="B1234" s="48" t="str">
        <f aca="false">STACK!B1234</f>
        <v>WCH</v>
      </c>
      <c r="C1234" s="48" t="str">
        <f aca="false">STACK!E1234</f>
        <v>youth pathway</v>
      </c>
      <c r="D1234" s="1" t="str">
        <f aca="false">IFERROR(INDEX(MAP!$J$7:$J$101,MATCH(TRIM(C1234),MAP!$I$7:$I$101,0)),"UNMAPPED")</f>
        <v>Youth Health Careers Pathway</v>
      </c>
      <c r="E1234" s="1" t="str">
        <f aca="false">IFERROR(INDEX(MAP!$K$7:$K$101,MATCH(TRIM(C1234),MAP!$I$7:$I$101,0)),"")</f>
        <v>Health workforce</v>
      </c>
      <c r="F1234" s="1" t="str">
        <f aca="false">IFERROR(INDEX(MAP!$L$7:$L$101,MATCH(TRIM(C1234),MAP!$I$7:$I$101,0)),"")</f>
        <v>Event</v>
      </c>
      <c r="G1234" s="1" t="n">
        <f aca="false">IFERROR(MATCH(A1234,CONFIRM!$A$5:$A$53,0),0)</f>
        <v>35</v>
      </c>
      <c r="H1234" s="48" t="str">
        <f aca="false">STACK!F1234</f>
        <v>community building</v>
      </c>
      <c r="I1234" s="1" t="str">
        <f aca="false">IF(G1234&gt;0,IF(INDEX(CONFIRM!$I$5:$I$53,G1234)&lt;&gt;"",INDEX(CONFIRM!$I$5:$I$53,G1234),H1234),H1234)</f>
        <v>Community building: workforce development</v>
      </c>
      <c r="J1234" s="1" t="str">
        <f aca="false">IFERROR(INDEX(MAP!$F$7:$F$74,MATCH(TRIM(I1234),MAP!$E$7:$E$74,0)),"UNMAPPED")</f>
        <v>Community building: workforce development</v>
      </c>
      <c r="K1234" s="1" t="str">
        <f aca="false">IFERROR(INDEX(MAP!$G$7:$G$74,MATCH(TRIM(I1234),MAP!$E$7:$E$74,0)),"UNMAPPED")</f>
        <v>II-8</v>
      </c>
      <c r="L1234" s="49" t="str">
        <f aca="false">STACK!G1234</f>
        <v>December 6, 2025</v>
      </c>
      <c r="M1234" s="59" t="n">
        <f aca="false">IF(G1234&gt;0,IF(INDEX(CONFIRM!$G$5:$G$53,G1234)&lt;&gt;"",INDEX(CONFIRM!$G$5:$G$53,G1234),IF(ISNUMBER(L1234),L1234,IFERROR(DATEVALUE(L1234),""))),IF(ISNUMBER(L1234),L1234,IFERROR(DATEVALUE(L1234),"")))</f>
        <v>45997</v>
      </c>
      <c r="N1234" s="1" t="str">
        <f aca="false">IF(M1234="","Check",IF(AND(M1234&gt;=INPUTS!$C$6,M1234&lt;=INPUTS!$C$7),"Yes","No"))</f>
        <v>Yes</v>
      </c>
      <c r="O1234" s="48" t="str">
        <f aca="false">STACK!H1234</f>
        <v>Outreach Coordinator</v>
      </c>
      <c r="P1234" s="1" t="str">
        <f aca="false">IF(G1234&gt;0,IF(INDEX(CONFIRM!$H$5:$H$53,G1234)&lt;&gt;"",INDEX(CONFIRM!$H$5:$H$53,G1234),IFERROR(INDEX(MAP!$B$7:$B$156,MATCH(TRIM(O1234),MAP!$A$7:$A$156,0)),"UNMAPPED")),IFERROR(INDEX(MAP!$B$7:$B$156,MATCH(TRIM(O1234),MAP!$A$7:$A$156,0)),"UNMAPPED"))</f>
        <v>Program Coordinator</v>
      </c>
      <c r="Q1234" s="48" t="n">
        <f aca="false">STACK!I1234</f>
        <v>7</v>
      </c>
      <c r="R1234" s="60" t="n">
        <f aca="false">IF(G1234&gt;0,IF(INDEX(CONFIRM!$F$5:$F$53,G1234)&lt;&gt;"",INDEX(CONFIRM!$F$5:$F$53,G1234),IF(ISNUMBER(Q1234),Q1234,IF(Q1234="","",IFERROR(VALUE(TRIM(SUBSTITUTE(SUBSTITUTE(LOWER(Q1234),"hrs",""),"hr",""))),"")))),IF(ISNUMBER(Q1234),Q1234,IF(Q1234="","",IFERROR(VALUE(TRIM(SUBSTITUTE(SUBSTITUTE(LOWER(Q1234),"hrs",""),"hr",""))),""))))</f>
        <v>7</v>
      </c>
      <c r="S1234" s="57" t="n">
        <f aca="false">IFERROR(INDEX(RATES!$E$6:$E$28,MATCH(P1234,RATES!$A$6:$A$28,0)),0)</f>
        <v>35.3375</v>
      </c>
      <c r="T1234" s="61" t="n">
        <f aca="false">IF(ISNUMBER(R1234),R1234,0)*S1234</f>
        <v>247.3625</v>
      </c>
      <c r="U1234" s="61" t="n">
        <f aca="false">T1234*INDEX(INPUTS!$H$10:$H$14,MATCH(B1234,INPUTS!$A$10:$A$14,0))</f>
        <v>34.8781125</v>
      </c>
      <c r="V1234" s="61" t="n">
        <f aca="false">N(STACK!K1234)</f>
        <v>1515</v>
      </c>
      <c r="W1234" s="61" t="n">
        <f aca="false">T1234+U1234+V1234</f>
        <v>1797.2406125</v>
      </c>
      <c r="X1234" s="61" t="n">
        <f aca="false">N(STACK!L1234)</f>
        <v>0</v>
      </c>
      <c r="Y1234" s="61" t="n">
        <f aca="false">W1234-X1234</f>
        <v>1797.2406125</v>
      </c>
      <c r="Z1234" s="1" t="n">
        <f aca="false">N(STACK!J1234)</f>
        <v>37</v>
      </c>
      <c r="AA1234" s="1" t="str">
        <f aca="false">TRIM(IF(D1234="UNMAPPED","Program not mapped. ","")&amp;IF(OR(K1234="UNMAPPED",K1234="UNASSIGNED"),"Category needs review. ","")&amp;IF(P1234="UNMAPPED","Title not mapped. ","")&amp;IF(AND(P1234&lt;&gt;"No staff time",R1234=""),"Missing hours. ","")&amp;IF(M1234="","Date not readable. ","")&amp;IF(N1234="No","Outside fiscal year. ","")&amp;IF(AND(F1234="Event",ISNUMBER(R1234)),IF(R1234&gt;12,"Event hours look high. ",""),"")&amp;IF(G1234&gt;0,"See CONFIRM sheet.",""))</f>
        <v>See CONFIRM sheet.</v>
      </c>
      <c r="AB1234" s="1" t="n">
        <f aca="false">IF(N1234="No",0,IF(REVIEW!O1234=0,0,IF(G1234&gt;0,IF(INDEX(CONFIRM!$J$5:$J$53,G1234)&lt;&gt;"",INDEX(CONFIRM!$J$5:$J$53,G1234),1),1)))</f>
        <v>1</v>
      </c>
      <c r="AC1234" s="1" t="n">
        <f aca="false">IF(AB1234=1,IF(COUNTIFS($B$5:B1234,B1234,$D$5:D1234,D1234,$AB$5:AB1234,1)=1,1,0),0)</f>
        <v>0</v>
      </c>
    </row>
    <row r="1235" customFormat="false" ht="15" hidden="false" customHeight="false" outlineLevel="0" collapsed="false">
      <c r="A1235" s="48" t="str">
        <f aca="false">STACK!A1235</f>
        <v>WCH-0128</v>
      </c>
      <c r="B1235" s="48" t="str">
        <f aca="false">STACK!B1235</f>
        <v>WCH</v>
      </c>
      <c r="C1235" s="48" t="str">
        <f aca="false">STACK!E1235</f>
        <v>bp check</v>
      </c>
      <c r="D1235" s="1" t="str">
        <f aca="false">IFERROR(INDEX(MAP!$J$7:$J$101,MATCH(TRIM(C1235),MAP!$I$7:$I$101,0)),"UNMAPPED")</f>
        <v>Community Blood Pressure Checks</v>
      </c>
      <c r="E1235" s="1" t="str">
        <f aca="false">IFERROR(INDEX(MAP!$K$7:$K$101,MATCH(TRIM(C1235),MAP!$I$7:$I$101,0)),"")</f>
        <v>Chronic disease prevention</v>
      </c>
      <c r="F1235" s="1" t="str">
        <f aca="false">IFERROR(INDEX(MAP!$L$7:$L$101,MATCH(TRIM(C1235),MAP!$I$7:$I$101,0)),"")</f>
        <v>Event</v>
      </c>
      <c r="G1235" s="1" t="n">
        <f aca="false">IFERROR(MATCH(A1235,CONFIRM!$A$5:$A$53,0),0)</f>
        <v>0</v>
      </c>
      <c r="H1235" s="48" t="str">
        <f aca="false">STACK!F1235</f>
        <v>CHIS clinical</v>
      </c>
      <c r="I1235" s="1" t="str">
        <f aca="false">IF(G1235&gt;0,IF(INDEX(CONFIRM!$I$5:$I$53,G1235)&lt;&gt;"",INDEX(CONFIRM!$I$5:$I$53,G1235),H1235),H1235)</f>
        <v>CHIS clinical</v>
      </c>
      <c r="J1235" s="1" t="str">
        <f aca="false">IFERROR(INDEX(MAP!$F$7:$F$74,MATCH(TRIM(I1235),MAP!$E$7:$E$74,0)),"UNMAPPED")</f>
        <v>Community-based clinical services</v>
      </c>
      <c r="K1235" s="1" t="str">
        <f aca="false">IFERROR(INDEX(MAP!$G$7:$G$74,MATCH(TRIM(I1235),MAP!$E$7:$E$74,0)),"UNMAPPED")</f>
        <v>7e</v>
      </c>
      <c r="L1235" s="49" t="str">
        <f aca="false">STACK!G1235</f>
        <v>12/8/25</v>
      </c>
      <c r="M1235" s="59" t="n">
        <f aca="false">IF(G1235&gt;0,IF(INDEX(CONFIRM!$G$5:$G$53,G1235)&lt;&gt;"",INDEX(CONFIRM!$G$5:$G$53,G1235),IF(ISNUMBER(L1235),L1235,IFERROR(DATEVALUE(L1235),""))),IF(ISNUMBER(L1235),L1235,IFERROR(DATEVALUE(L1235),"")))</f>
        <v>45999</v>
      </c>
      <c r="N1235" s="1" t="str">
        <f aca="false">IF(M1235="","Check",IF(AND(M1235&gt;=INPUTS!$C$6,M1235&lt;=INPUTS!$C$7),"Yes","No"))</f>
        <v>Yes</v>
      </c>
      <c r="O1235" s="48" t="str">
        <f aca="false">STACK!H1235</f>
        <v>Charge RN</v>
      </c>
      <c r="P1235" s="1" t="str">
        <f aca="false">IF(G1235&gt;0,IF(INDEX(CONFIRM!$H$5:$H$53,G1235)&lt;&gt;"",INDEX(CONFIRM!$H$5:$H$53,G1235),IFERROR(INDEX(MAP!$B$7:$B$156,MATCH(TRIM(O1235),MAP!$A$7:$A$156,0)),"UNMAPPED")),IFERROR(INDEX(MAP!$B$7:$B$156,MATCH(TRIM(O1235),MAP!$A$7:$A$156,0)),"UNMAPPED"))</f>
        <v>Registered Nurse</v>
      </c>
      <c r="Q1235" s="48" t="n">
        <f aca="false">STACK!I1235</f>
        <v>3.5</v>
      </c>
      <c r="R1235" s="60" t="n">
        <f aca="false">IF(G1235&gt;0,IF(INDEX(CONFIRM!$F$5:$F$53,G1235)&lt;&gt;"",INDEX(CONFIRM!$F$5:$F$53,G1235),IF(ISNUMBER(Q1235),Q1235,IF(Q1235="","",IFERROR(VALUE(TRIM(SUBSTITUTE(SUBSTITUTE(LOWER(Q1235),"hrs",""),"hr",""))),"")))),IF(ISNUMBER(Q1235),Q1235,IF(Q1235="","",IFERROR(VALUE(TRIM(SUBSTITUTE(SUBSTITUTE(LOWER(Q1235),"hrs",""),"hr",""))),""))))</f>
        <v>3.5</v>
      </c>
      <c r="S1235" s="57" t="n">
        <f aca="false">IFERROR(INDEX(RATES!$E$6:$E$28,MATCH(P1235,RATES!$A$6:$A$28,0)),0)</f>
        <v>55.8975</v>
      </c>
      <c r="T1235" s="61" t="n">
        <f aca="false">IF(ISNUMBER(R1235),R1235,0)*S1235</f>
        <v>195.64125</v>
      </c>
      <c r="U1235" s="61" t="n">
        <f aca="false">T1235*INDEX(INPUTS!$H$10:$H$14,MATCH(B1235,INPUTS!$A$10:$A$14,0))</f>
        <v>27.58541625</v>
      </c>
      <c r="V1235" s="61" t="n">
        <f aca="false">N(STACK!K1235)</f>
        <v>65</v>
      </c>
      <c r="W1235" s="61" t="n">
        <f aca="false">T1235+U1235+V1235</f>
        <v>288.22666625</v>
      </c>
      <c r="X1235" s="61" t="n">
        <f aca="false">N(STACK!L1235)</f>
        <v>0</v>
      </c>
      <c r="Y1235" s="61" t="n">
        <f aca="false">W1235-X1235</f>
        <v>288.22666625</v>
      </c>
      <c r="Z1235" s="1" t="n">
        <f aca="false">N(STACK!J1235)</f>
        <v>71</v>
      </c>
      <c r="AA1235" s="1" t="str">
        <f aca="false">TRIM(IF(D1235="UNMAPPED","Program not mapped. ","")&amp;IF(OR(K1235="UNMAPPED",K1235="UNASSIGNED"),"Category needs review. ","")&amp;IF(P1235="UNMAPPED","Title not mapped. ","")&amp;IF(AND(P1235&lt;&gt;"No staff time",R1235=""),"Missing hours. ","")&amp;IF(M1235="","Date not readable. ","")&amp;IF(N1235="No","Outside fiscal year. ","")&amp;IF(AND(F1235="Event",ISNUMBER(R1235)),IF(R1235&gt;12,"Event hours look high. ",""),"")&amp;IF(G1235&gt;0,"See CONFIRM sheet.",""))</f>
        <v/>
      </c>
      <c r="AB1235" s="1" t="n">
        <f aca="false">IF(N1235="No",0,IF(REVIEW!O1235=0,0,IF(G1235&gt;0,IF(INDEX(CONFIRM!$J$5:$J$53,G1235)&lt;&gt;"",INDEX(CONFIRM!$J$5:$J$53,G1235),1),1)))</f>
        <v>1</v>
      </c>
      <c r="AC1235" s="1" t="n">
        <f aca="false">IF(AB1235=1,IF(COUNTIFS($B$5:B1235,B1235,$D$5:D1235,D1235,$AB$5:AB1235,1)=1,1,0),0)</f>
        <v>0</v>
      </c>
    </row>
    <row r="1236" customFormat="false" ht="15" hidden="false" customHeight="false" outlineLevel="0" collapsed="false">
      <c r="A1236" s="48" t="str">
        <f aca="false">STACK!A1236</f>
        <v>WCH-0129</v>
      </c>
      <c r="B1236" s="48" t="str">
        <f aca="false">STACK!B1236</f>
        <v>WCH</v>
      </c>
      <c r="C1236" s="48" t="str">
        <f aca="false">STACK!E1236</f>
        <v>diabetes prevention class</v>
      </c>
      <c r="D1236" s="1" t="str">
        <f aca="false">IFERROR(INDEX(MAP!$J$7:$J$101,MATCH(TRIM(C1236),MAP!$I$7:$I$101,0)),"UNMAPPED")</f>
        <v>Diabetes Prevention Classes</v>
      </c>
      <c r="E1236" s="1" t="str">
        <f aca="false">IFERROR(INDEX(MAP!$K$7:$K$101,MATCH(TRIM(C1236),MAP!$I$7:$I$101,0)),"")</f>
        <v>Chronic disease prevention</v>
      </c>
      <c r="F1236" s="1" t="str">
        <f aca="false">IFERROR(INDEX(MAP!$L$7:$L$101,MATCH(TRIM(C1236),MAP!$I$7:$I$101,0)),"")</f>
        <v>Event</v>
      </c>
      <c r="G1236" s="1" t="n">
        <f aca="false">IFERROR(MATCH(A1236,CONFIRM!$A$5:$A$53,0),0)</f>
        <v>0</v>
      </c>
      <c r="H1236" s="48" t="str">
        <f aca="false">STACK!F1236</f>
        <v>community health improvement services</v>
      </c>
      <c r="I1236" s="1" t="str">
        <f aca="false">IF(G1236&gt;0,IF(INDEX(CONFIRM!$I$5:$I$53,G1236)&lt;&gt;"",INDEX(CONFIRM!$I$5:$I$53,G1236),H1236),H1236)</f>
        <v>community health improvement services</v>
      </c>
      <c r="J1236" s="1" t="str">
        <f aca="false">IFERROR(INDEX(MAP!$F$7:$F$74,MATCH(TRIM(I1236),MAP!$E$7:$E$74,0)),"UNMAPPED")</f>
        <v>Community health education</v>
      </c>
      <c r="K1236" s="1" t="str">
        <f aca="false">IFERROR(INDEX(MAP!$G$7:$G$74,MATCH(TRIM(I1236),MAP!$E$7:$E$74,0)),"UNMAPPED")</f>
        <v>7e</v>
      </c>
      <c r="L1236" s="49" t="str">
        <f aca="false">STACK!G1236</f>
        <v>December 20, 2025</v>
      </c>
      <c r="M1236" s="59" t="n">
        <f aca="false">IF(G1236&gt;0,IF(INDEX(CONFIRM!$G$5:$G$53,G1236)&lt;&gt;"",INDEX(CONFIRM!$G$5:$G$53,G1236),IF(ISNUMBER(L1236),L1236,IFERROR(DATEVALUE(L1236),""))),IF(ISNUMBER(L1236),L1236,IFERROR(DATEVALUE(L1236),"")))</f>
        <v>46011</v>
      </c>
      <c r="N1236" s="1" t="str">
        <f aca="false">IF(M1236="","Check",IF(AND(M1236&gt;=INPUTS!$C$6,M1236&lt;=INPUTS!$C$7),"Yes","No"))</f>
        <v>Yes</v>
      </c>
      <c r="O1236" s="48" t="str">
        <f aca="false">STACK!H1236</f>
        <v>Health Ed</v>
      </c>
      <c r="P1236" s="1" t="str">
        <f aca="false">IF(G1236&gt;0,IF(INDEX(CONFIRM!$H$5:$H$53,G1236)&lt;&gt;"",INDEX(CONFIRM!$H$5:$H$53,G1236),IFERROR(INDEX(MAP!$B$7:$B$156,MATCH(TRIM(O1236),MAP!$A$7:$A$156,0)),"UNMAPPED")),IFERROR(INDEX(MAP!$B$7:$B$156,MATCH(TRIM(O1236),MAP!$A$7:$A$156,0)),"UNMAPPED"))</f>
        <v>Health Educator</v>
      </c>
      <c r="Q1236" s="48" t="n">
        <f aca="false">STACK!I1236</f>
        <v>2.25</v>
      </c>
      <c r="R1236" s="60" t="n">
        <f aca="false">IF(G1236&gt;0,IF(INDEX(CONFIRM!$F$5:$F$53,G1236)&lt;&gt;"",INDEX(CONFIRM!$F$5:$F$53,G1236),IF(ISNUMBER(Q1236),Q1236,IF(Q1236="","",IFERROR(VALUE(TRIM(SUBSTITUTE(SUBSTITUTE(LOWER(Q1236),"hrs",""),"hr",""))),"")))),IF(ISNUMBER(Q1236),Q1236,IF(Q1236="","",IFERROR(VALUE(TRIM(SUBSTITUTE(SUBSTITUTE(LOWER(Q1236),"hrs",""),"hr",""))),""))))</f>
        <v>2.25</v>
      </c>
      <c r="S1236" s="57" t="n">
        <f aca="false">IFERROR(INDEX(RATES!$E$6:$E$28,MATCH(P1236,RATES!$A$6:$A$28,0)),0)</f>
        <v>37.265</v>
      </c>
      <c r="T1236" s="61" t="n">
        <f aca="false">IF(ISNUMBER(R1236),R1236,0)*S1236</f>
        <v>83.84625</v>
      </c>
      <c r="U1236" s="61" t="n">
        <f aca="false">T1236*INDEX(INPUTS!$H$10:$H$14,MATCH(B1236,INPUTS!$A$10:$A$14,0))</f>
        <v>11.82232125</v>
      </c>
      <c r="V1236" s="61" t="n">
        <f aca="false">N(STACK!K1236)</f>
        <v>155</v>
      </c>
      <c r="W1236" s="61" t="n">
        <f aca="false">T1236+U1236+V1236</f>
        <v>250.66857125</v>
      </c>
      <c r="X1236" s="61" t="n">
        <f aca="false">N(STACK!L1236)</f>
        <v>0</v>
      </c>
      <c r="Y1236" s="61" t="n">
        <f aca="false">W1236-X1236</f>
        <v>250.66857125</v>
      </c>
      <c r="Z1236" s="1" t="n">
        <f aca="false">N(STACK!J1236)</f>
        <v>18</v>
      </c>
      <c r="AA1236" s="1" t="str">
        <f aca="false">TRIM(IF(D1236="UNMAPPED","Program not mapped. ","")&amp;IF(OR(K1236="UNMAPPED",K1236="UNASSIGNED"),"Category needs review. ","")&amp;IF(P1236="UNMAPPED","Title not mapped. ","")&amp;IF(AND(P1236&lt;&gt;"No staff time",R1236=""),"Missing hours. ","")&amp;IF(M1236="","Date not readable. ","")&amp;IF(N1236="No","Outside fiscal year. ","")&amp;IF(AND(F1236="Event",ISNUMBER(R1236)),IF(R1236&gt;12,"Event hours look high. ",""),"")&amp;IF(G1236&gt;0,"See CONFIRM sheet.",""))</f>
        <v/>
      </c>
      <c r="AB1236" s="1" t="n">
        <f aca="false">IF(N1236="No",0,IF(REVIEW!O1236=0,0,IF(G1236&gt;0,IF(INDEX(CONFIRM!$J$5:$J$53,G1236)&lt;&gt;"",INDEX(CONFIRM!$J$5:$J$53,G1236),1),1)))</f>
        <v>1</v>
      </c>
      <c r="AC1236" s="1" t="n">
        <f aca="false">IF(AB1236=1,IF(COUNTIFS($B$5:B1236,B1236,$D$5:D1236,D1236,$AB$5:AB1236,1)=1,1,0),0)</f>
        <v>0</v>
      </c>
    </row>
    <row r="1237" customFormat="false" ht="15" hidden="false" customHeight="false" outlineLevel="0" collapsed="false">
      <c r="A1237" s="48" t="str">
        <f aca="false">STACK!A1237</f>
        <v>WCH-0130</v>
      </c>
      <c r="B1237" s="48" t="str">
        <f aca="false">STACK!B1237</f>
        <v>WCH</v>
      </c>
      <c r="C1237" s="48" t="str">
        <f aca="false">STACK!E1237</f>
        <v>diabetes prevention class</v>
      </c>
      <c r="D1237" s="1" t="str">
        <f aca="false">IFERROR(INDEX(MAP!$J$7:$J$101,MATCH(TRIM(C1237),MAP!$I$7:$I$101,0)),"UNMAPPED")</f>
        <v>Diabetes Prevention Classes</v>
      </c>
      <c r="E1237" s="1" t="str">
        <f aca="false">IFERROR(INDEX(MAP!$K$7:$K$101,MATCH(TRIM(C1237),MAP!$I$7:$I$101,0)),"")</f>
        <v>Chronic disease prevention</v>
      </c>
      <c r="F1237" s="1" t="str">
        <f aca="false">IFERROR(INDEX(MAP!$L$7:$L$101,MATCH(TRIM(C1237),MAP!$I$7:$I$101,0)),"")</f>
        <v>Event</v>
      </c>
      <c r="G1237" s="1" t="n">
        <f aca="false">IFERROR(MATCH(A1237,CONFIRM!$A$5:$A$53,0),0)</f>
        <v>0</v>
      </c>
      <c r="H1237" s="48" t="str">
        <f aca="false">STACK!F1237</f>
        <v>community health improvement services</v>
      </c>
      <c r="I1237" s="1" t="str">
        <f aca="false">IF(G1237&gt;0,IF(INDEX(CONFIRM!$I$5:$I$53,G1237)&lt;&gt;"",INDEX(CONFIRM!$I$5:$I$53,G1237),H1237),H1237)</f>
        <v>community health improvement services</v>
      </c>
      <c r="J1237" s="1" t="str">
        <f aca="false">IFERROR(INDEX(MAP!$F$7:$F$74,MATCH(TRIM(I1237),MAP!$E$7:$E$74,0)),"UNMAPPED")</f>
        <v>Community health education</v>
      </c>
      <c r="K1237" s="1" t="str">
        <f aca="false">IFERROR(INDEX(MAP!$G$7:$G$74,MATCH(TRIM(I1237),MAP!$E$7:$E$74,0)),"UNMAPPED")</f>
        <v>7e</v>
      </c>
      <c r="L1237" s="49" t="n">
        <f aca="false">STACK!G1237</f>
        <v>46011</v>
      </c>
      <c r="M1237" s="59" t="n">
        <f aca="false">IF(G1237&gt;0,IF(INDEX(CONFIRM!$G$5:$G$53,G1237)&lt;&gt;"",INDEX(CONFIRM!$G$5:$G$53,G1237),IF(ISNUMBER(L1237),L1237,IFERROR(DATEVALUE(L1237),""))),IF(ISNUMBER(L1237),L1237,IFERROR(DATEVALUE(L1237),"")))</f>
        <v>46011</v>
      </c>
      <c r="N1237" s="1" t="str">
        <f aca="false">IF(M1237="","Check",IF(AND(M1237&gt;=INPUTS!$C$6,M1237&lt;=INPUTS!$C$7),"Yes","No"))</f>
        <v>Yes</v>
      </c>
      <c r="O1237" s="48" t="str">
        <f aca="false">STACK!H1237</f>
        <v>Dietitian</v>
      </c>
      <c r="P1237" s="1" t="str">
        <f aca="false">IF(G1237&gt;0,IF(INDEX(CONFIRM!$H$5:$H$53,G1237)&lt;&gt;"",INDEX(CONFIRM!$H$5:$H$53,G1237),IFERROR(INDEX(MAP!$B$7:$B$156,MATCH(TRIM(O1237),MAP!$A$7:$A$156,0)),"UNMAPPED")),IFERROR(INDEX(MAP!$B$7:$B$156,MATCH(TRIM(O1237),MAP!$A$7:$A$156,0)),"UNMAPPED"))</f>
        <v>Registered Dietitian</v>
      </c>
      <c r="Q1237" s="48" t="n">
        <f aca="false">STACK!I1237</f>
        <v>1.75</v>
      </c>
      <c r="R1237" s="60" t="n">
        <f aca="false">IF(G1237&gt;0,IF(INDEX(CONFIRM!$F$5:$F$53,G1237)&lt;&gt;"",INDEX(CONFIRM!$F$5:$F$53,G1237),IF(ISNUMBER(Q1237),Q1237,IF(Q1237="","",IFERROR(VALUE(TRIM(SUBSTITUTE(SUBSTITUTE(LOWER(Q1237),"hrs",""),"hr",""))),"")))),IF(ISNUMBER(Q1237),Q1237,IF(Q1237="","",IFERROR(VALUE(TRIM(SUBSTITUTE(SUBSTITUTE(LOWER(Q1237),"hrs",""),"hr",""))),""))))</f>
        <v>1.75</v>
      </c>
      <c r="S1237" s="57" t="n">
        <f aca="false">IFERROR(INDEX(RATES!$E$6:$E$28,MATCH(P1237,RATES!$A$6:$A$28,0)),0)</f>
        <v>46.9025</v>
      </c>
      <c r="T1237" s="61" t="n">
        <f aca="false">IF(ISNUMBER(R1237),R1237,0)*S1237</f>
        <v>82.079375</v>
      </c>
      <c r="U1237" s="61" t="n">
        <f aca="false">T1237*INDEX(INPUTS!$H$10:$H$14,MATCH(B1237,INPUTS!$A$10:$A$14,0))</f>
        <v>11.573191875</v>
      </c>
      <c r="V1237" s="61" t="n">
        <f aca="false">N(STACK!K1237)</f>
        <v>0</v>
      </c>
      <c r="W1237" s="61" t="n">
        <f aca="false">T1237+U1237+V1237</f>
        <v>93.652566875</v>
      </c>
      <c r="X1237" s="61" t="n">
        <f aca="false">N(STACK!L1237)</f>
        <v>0</v>
      </c>
      <c r="Y1237" s="61" t="n">
        <f aca="false">W1237-X1237</f>
        <v>93.652566875</v>
      </c>
      <c r="Z1237" s="1" t="n">
        <f aca="false">N(STACK!J1237)</f>
        <v>0</v>
      </c>
      <c r="AA1237" s="1" t="str">
        <f aca="false">TRIM(IF(D1237="UNMAPPED","Program not mapped. ","")&amp;IF(OR(K1237="UNMAPPED",K1237="UNASSIGNED"),"Category needs review. ","")&amp;IF(P1237="UNMAPPED","Title not mapped. ","")&amp;IF(AND(P1237&lt;&gt;"No staff time",R1237=""),"Missing hours. ","")&amp;IF(M1237="","Date not readable. ","")&amp;IF(N1237="No","Outside fiscal year. ","")&amp;IF(AND(F1237="Event",ISNUMBER(R1237)),IF(R1237&gt;12,"Event hours look high. ",""),"")&amp;IF(G1237&gt;0,"See CONFIRM sheet.",""))</f>
        <v/>
      </c>
      <c r="AB1237" s="1" t="n">
        <f aca="false">IF(N1237="No",0,IF(REVIEW!O1237=0,0,IF(G1237&gt;0,IF(INDEX(CONFIRM!$J$5:$J$53,G1237)&lt;&gt;"",INDEX(CONFIRM!$J$5:$J$53,G1237),1),1)))</f>
        <v>1</v>
      </c>
      <c r="AC1237" s="1" t="n">
        <f aca="false">IF(AB1237=1,IF(COUNTIFS($B$5:B1237,B1237,$D$5:D1237,D1237,$AB$5:AB1237,1)=1,1,0),0)</f>
        <v>0</v>
      </c>
    </row>
    <row r="1238" customFormat="false" ht="15" hidden="false" customHeight="false" outlineLevel="0" collapsed="false">
      <c r="A1238" s="48" t="str">
        <f aca="false">STACK!A1238</f>
        <v>WCH-0131</v>
      </c>
      <c r="B1238" s="48" t="str">
        <f aca="false">STACK!B1238</f>
        <v>WCH</v>
      </c>
      <c r="C1238" s="48" t="str">
        <f aca="false">STACK!E1238</f>
        <v>health coalition</v>
      </c>
      <c r="D1238" s="1" t="str">
        <f aca="false">IFERROR(INDEX(MAP!$J$7:$J$101,MATCH(TRIM(C1238),MAP!$I$7:$I$101,0)),"UNMAPPED")</f>
        <v>Regional Health Coalition</v>
      </c>
      <c r="E1238" s="1" t="str">
        <f aca="false">IFERROR(INDEX(MAP!$K$7:$K$101,MATCH(TRIM(C1238),MAP!$I$7:$I$101,0)),"")</f>
        <v>Community benefit infrastructure</v>
      </c>
      <c r="F1238" s="1" t="str">
        <f aca="false">IFERROR(INDEX(MAP!$L$7:$L$101,MATCH(TRIM(C1238),MAP!$I$7:$I$101,0)),"")</f>
        <v>Event</v>
      </c>
      <c r="G1238" s="1" t="n">
        <f aca="false">IFERROR(MATCH(A1238,CONFIRM!$A$5:$A$53,0),0)</f>
        <v>36</v>
      </c>
      <c r="H1238" s="48" t="str">
        <f aca="false">STACK!F1238</f>
        <v>community building</v>
      </c>
      <c r="I1238" s="1" t="str">
        <f aca="false">IF(G1238&gt;0,IF(INDEX(CONFIRM!$I$5:$I$53,G1238)&lt;&gt;"",INDEX(CONFIRM!$I$5:$I$53,G1238),H1238),H1238)</f>
        <v>Community building: coalition building</v>
      </c>
      <c r="J1238" s="1" t="str">
        <f aca="false">IFERROR(INDEX(MAP!$F$7:$F$74,MATCH(TRIM(I1238),MAP!$E$7:$E$74,0)),"UNMAPPED")</f>
        <v>Community building: coalition building</v>
      </c>
      <c r="K1238" s="1" t="str">
        <f aca="false">IFERROR(INDEX(MAP!$G$7:$G$74,MATCH(TRIM(I1238),MAP!$E$7:$E$74,0)),"UNMAPPED")</f>
        <v>II-6</v>
      </c>
      <c r="L1238" s="49" t="str">
        <f aca="false">STACK!G1238</f>
        <v>12/23/25</v>
      </c>
      <c r="M1238" s="59" t="n">
        <f aca="false">IF(G1238&gt;0,IF(INDEX(CONFIRM!$G$5:$G$53,G1238)&lt;&gt;"",INDEX(CONFIRM!$G$5:$G$53,G1238),IF(ISNUMBER(L1238),L1238,IFERROR(DATEVALUE(L1238),""))),IF(ISNUMBER(L1238),L1238,IFERROR(DATEVALUE(L1238),"")))</f>
        <v>46014</v>
      </c>
      <c r="N1238" s="1" t="str">
        <f aca="false">IF(M1238="","Check",IF(AND(M1238&gt;=INPUTS!$C$6,M1238&lt;=INPUTS!$C$7),"Yes","No"))</f>
        <v>Yes</v>
      </c>
      <c r="O1238" s="48" t="str">
        <f aca="false">STACK!H1238</f>
        <v>Manager Community Benefit</v>
      </c>
      <c r="P1238" s="1" t="str">
        <f aca="false">IF(G1238&gt;0,IF(INDEX(CONFIRM!$H$5:$H$53,G1238)&lt;&gt;"",INDEX(CONFIRM!$H$5:$H$53,G1238),IFERROR(INDEX(MAP!$B$7:$B$156,MATCH(TRIM(O1238),MAP!$A$7:$A$156,0)),"UNMAPPED")),IFERROR(INDEX(MAP!$B$7:$B$156,MATCH(TRIM(O1238),MAP!$A$7:$A$156,0)),"UNMAPPED"))</f>
        <v>Community Benefit Manager</v>
      </c>
      <c r="Q1238" s="48" t="n">
        <f aca="false">STACK!I1238</f>
        <v>2.25</v>
      </c>
      <c r="R1238" s="60" t="n">
        <f aca="false">IF(G1238&gt;0,IF(INDEX(CONFIRM!$F$5:$F$53,G1238)&lt;&gt;"",INDEX(CONFIRM!$F$5:$F$53,G1238),IF(ISNUMBER(Q1238),Q1238,IF(Q1238="","",IFERROR(VALUE(TRIM(SUBSTITUTE(SUBSTITUTE(LOWER(Q1238),"hrs",""),"hr",""))),"")))),IF(ISNUMBER(Q1238),Q1238,IF(Q1238="","",IFERROR(VALUE(TRIM(SUBSTITUTE(SUBSTITUTE(LOWER(Q1238),"hrs",""),"hr",""))),""))))</f>
        <v>2.25</v>
      </c>
      <c r="S1238" s="57" t="n">
        <f aca="false">IFERROR(INDEX(RATES!$E$6:$E$28,MATCH(P1238,RATES!$A$6:$A$28,0)),0)</f>
        <v>59.11</v>
      </c>
      <c r="T1238" s="61" t="n">
        <f aca="false">IF(ISNUMBER(R1238),R1238,0)*S1238</f>
        <v>132.9975</v>
      </c>
      <c r="U1238" s="61" t="n">
        <f aca="false">T1238*INDEX(INPUTS!$H$10:$H$14,MATCH(B1238,INPUTS!$A$10:$A$14,0))</f>
        <v>18.7526475</v>
      </c>
      <c r="V1238" s="61" t="n">
        <f aca="false">N(STACK!K1238)</f>
        <v>0</v>
      </c>
      <c r="W1238" s="61" t="n">
        <f aca="false">T1238+U1238+V1238</f>
        <v>151.7501475</v>
      </c>
      <c r="X1238" s="61" t="n">
        <f aca="false">N(STACK!L1238)</f>
        <v>0</v>
      </c>
      <c r="Y1238" s="61" t="n">
        <f aca="false">W1238-X1238</f>
        <v>151.7501475</v>
      </c>
      <c r="Z1238" s="1" t="n">
        <f aca="false">N(STACK!J1238)</f>
        <v>0</v>
      </c>
      <c r="AA1238" s="1" t="str">
        <f aca="false">TRIM(IF(D1238="UNMAPPED","Program not mapped. ","")&amp;IF(OR(K1238="UNMAPPED",K1238="UNASSIGNED"),"Category needs review. ","")&amp;IF(P1238="UNMAPPED","Title not mapped. ","")&amp;IF(AND(P1238&lt;&gt;"No staff time",R1238=""),"Missing hours. ","")&amp;IF(M1238="","Date not readable. ","")&amp;IF(N1238="No","Outside fiscal year. ","")&amp;IF(AND(F1238="Event",ISNUMBER(R1238)),IF(R1238&gt;12,"Event hours look high. ",""),"")&amp;IF(G1238&gt;0,"See CONFIRM sheet.",""))</f>
        <v>See CONFIRM sheet.</v>
      </c>
      <c r="AB1238" s="1" t="n">
        <f aca="false">IF(N1238="No",0,IF(REVIEW!O1238=0,0,IF(G1238&gt;0,IF(INDEX(CONFIRM!$J$5:$J$53,G1238)&lt;&gt;"",INDEX(CONFIRM!$J$5:$J$53,G1238),1),1)))</f>
        <v>1</v>
      </c>
      <c r="AC1238" s="1" t="n">
        <f aca="false">IF(AB1238=1,IF(COUNTIFS($B$5:B1238,B1238,$D$5:D1238,D1238,$AB$5:AB1238,1)=1,1,0),0)</f>
        <v>0</v>
      </c>
    </row>
    <row r="1239" customFormat="false" ht="15" hidden="false" customHeight="false" outlineLevel="0" collapsed="false">
      <c r="A1239" s="48" t="str">
        <f aca="false">STACK!A1239</f>
        <v>WCH-0132</v>
      </c>
      <c r="B1239" s="48" t="str">
        <f aca="false">STACK!B1239</f>
        <v>WCH</v>
      </c>
      <c r="C1239" s="48" t="str">
        <f aca="false">STACK!E1239</f>
        <v>health coalition</v>
      </c>
      <c r="D1239" s="1" t="str">
        <f aca="false">IFERROR(INDEX(MAP!$J$7:$J$101,MATCH(TRIM(C1239),MAP!$I$7:$I$101,0)),"UNMAPPED")</f>
        <v>Regional Health Coalition</v>
      </c>
      <c r="E1239" s="1" t="str">
        <f aca="false">IFERROR(INDEX(MAP!$K$7:$K$101,MATCH(TRIM(C1239),MAP!$I$7:$I$101,0)),"")</f>
        <v>Community benefit infrastructure</v>
      </c>
      <c r="F1239" s="1" t="str">
        <f aca="false">IFERROR(INDEX(MAP!$L$7:$L$101,MATCH(TRIM(C1239),MAP!$I$7:$I$101,0)),"")</f>
        <v>Event</v>
      </c>
      <c r="G1239" s="1" t="n">
        <f aca="false">IFERROR(MATCH(A1239,CONFIRM!$A$5:$A$53,0),0)</f>
        <v>37</v>
      </c>
      <c r="H1239" s="48" t="str">
        <f aca="false">STACK!F1239</f>
        <v>community building</v>
      </c>
      <c r="I1239" s="1" t="str">
        <f aca="false">IF(G1239&gt;0,IF(INDEX(CONFIRM!$I$5:$I$53,G1239)&lt;&gt;"",INDEX(CONFIRM!$I$5:$I$53,G1239),H1239),H1239)</f>
        <v>Community building: coalition building</v>
      </c>
      <c r="J1239" s="1" t="str">
        <f aca="false">IFERROR(INDEX(MAP!$F$7:$F$74,MATCH(TRIM(I1239),MAP!$E$7:$E$74,0)),"UNMAPPED")</f>
        <v>Community building: coalition building</v>
      </c>
      <c r="K1239" s="1" t="str">
        <f aca="false">IFERROR(INDEX(MAP!$G$7:$G$74,MATCH(TRIM(I1239),MAP!$E$7:$E$74,0)),"UNMAPPED")</f>
        <v>II-6</v>
      </c>
      <c r="L1239" s="49" t="n">
        <f aca="false">STACK!G1239</f>
        <v>46014</v>
      </c>
      <c r="M1239" s="59" t="n">
        <f aca="false">IF(G1239&gt;0,IF(INDEX(CONFIRM!$G$5:$G$53,G1239)&lt;&gt;"",INDEX(CONFIRM!$G$5:$G$53,G1239),IF(ISNUMBER(L1239),L1239,IFERROR(DATEVALUE(L1239),""))),IF(ISNUMBER(L1239),L1239,IFERROR(DATEVALUE(L1239),"")))</f>
        <v>46014</v>
      </c>
      <c r="N1239" s="1" t="str">
        <f aca="false">IF(M1239="","Check",IF(AND(M1239&gt;=INPUTS!$C$6,M1239&lt;=INPUTS!$C$7),"Yes","No"))</f>
        <v>Yes</v>
      </c>
      <c r="O1239" s="48" t="str">
        <f aca="false">STACK!H1239</f>
        <v>VP</v>
      </c>
      <c r="P1239" s="1" t="str">
        <f aca="false">IF(G1239&gt;0,IF(INDEX(CONFIRM!$H$5:$H$53,G1239)&lt;&gt;"",INDEX(CONFIRM!$H$5:$H$53,G1239),IFERROR(INDEX(MAP!$B$7:$B$156,MATCH(TRIM(O1239),MAP!$A$7:$A$156,0)),"UNMAPPED")),IFERROR(INDEX(MAP!$B$7:$B$156,MATCH(TRIM(O1239),MAP!$A$7:$A$156,0)),"UNMAPPED"))</f>
        <v>Director</v>
      </c>
      <c r="Q1239" s="48" t="str">
        <f aca="false">STACK!I1239</f>
        <v>2.5 hr</v>
      </c>
      <c r="R1239" s="60" t="n">
        <f aca="false">IF(G1239&gt;0,IF(INDEX(CONFIRM!$F$5:$F$53,G1239)&lt;&gt;"",INDEX(CONFIRM!$F$5:$F$53,G1239),IF(ISNUMBER(Q1239),Q1239,IF(Q1239="","",IFERROR(VALUE(TRIM(SUBSTITUTE(SUBSTITUTE(LOWER(Q1239),"hrs",""),"hr",""))),"")))),IF(ISNUMBER(Q1239),Q1239,IF(Q1239="","",IFERROR(VALUE(TRIM(SUBSTITUTE(SUBSTITUTE(LOWER(Q1239),"hrs",""),"hr",""))),""))))</f>
        <v>2.5</v>
      </c>
      <c r="S1239" s="57" t="n">
        <f aca="false">IFERROR(INDEX(RATES!$E$6:$E$28,MATCH(P1239,RATES!$A$6:$A$28,0)),0)</f>
        <v>92.52</v>
      </c>
      <c r="T1239" s="61" t="n">
        <f aca="false">IF(ISNUMBER(R1239),R1239,0)*S1239</f>
        <v>231.3</v>
      </c>
      <c r="U1239" s="61" t="n">
        <f aca="false">T1239*INDEX(INPUTS!$H$10:$H$14,MATCH(B1239,INPUTS!$A$10:$A$14,0))</f>
        <v>32.6133</v>
      </c>
      <c r="V1239" s="61" t="n">
        <f aca="false">N(STACK!K1239)</f>
        <v>70</v>
      </c>
      <c r="W1239" s="61" t="n">
        <f aca="false">T1239+U1239+V1239</f>
        <v>333.9133</v>
      </c>
      <c r="X1239" s="61" t="n">
        <f aca="false">N(STACK!L1239)</f>
        <v>0</v>
      </c>
      <c r="Y1239" s="61" t="n">
        <f aca="false">W1239-X1239</f>
        <v>333.9133</v>
      </c>
      <c r="Z1239" s="1" t="n">
        <f aca="false">N(STACK!J1239)</f>
        <v>0</v>
      </c>
      <c r="AA1239" s="1" t="str">
        <f aca="false">TRIM(IF(D1239="UNMAPPED","Program not mapped. ","")&amp;IF(OR(K1239="UNMAPPED",K1239="UNASSIGNED"),"Category needs review. ","")&amp;IF(P1239="UNMAPPED","Title not mapped. ","")&amp;IF(AND(P1239&lt;&gt;"No staff time",R1239=""),"Missing hours. ","")&amp;IF(M1239="","Date not readable. ","")&amp;IF(N1239="No","Outside fiscal year. ","")&amp;IF(AND(F1239="Event",ISNUMBER(R1239)),IF(R1239&gt;12,"Event hours look high. ",""),"")&amp;IF(G1239&gt;0,"See CONFIRM sheet.",""))</f>
        <v>See CONFIRM sheet.</v>
      </c>
      <c r="AB1239" s="1" t="n">
        <f aca="false">IF(N1239="No",0,IF(REVIEW!O1239=0,0,IF(G1239&gt;0,IF(INDEX(CONFIRM!$J$5:$J$53,G1239)&lt;&gt;"",INDEX(CONFIRM!$J$5:$J$53,G1239),1),1)))</f>
        <v>1</v>
      </c>
      <c r="AC1239" s="1" t="n">
        <f aca="false">IF(AB1239=1,IF(COUNTIFS($B$5:B1239,B1239,$D$5:D1239,D1239,$AB$5:AB1239,1)=1,1,0),0)</f>
        <v>0</v>
      </c>
    </row>
    <row r="1240" customFormat="false" ht="15" hidden="false" customHeight="false" outlineLevel="0" collapsed="false">
      <c r="A1240" s="48" t="str">
        <f aca="false">STACK!A1240</f>
        <v>WCH-0133</v>
      </c>
      <c r="B1240" s="48" t="str">
        <f aca="false">STACK!B1240</f>
        <v>WCH</v>
      </c>
      <c r="C1240" s="48" t="str">
        <f aca="false">STACK!E1240</f>
        <v>mobile van screenings</v>
      </c>
      <c r="D1240" s="1" t="str">
        <f aca="false">IFERROR(INDEX(MAP!$J$7:$J$101,MATCH(TRIM(C1240),MAP!$I$7:$I$101,0)),"UNMAPPED")</f>
        <v>Mobile Health Screening Unit</v>
      </c>
      <c r="E1240" s="1" t="str">
        <f aca="false">IFERROR(INDEX(MAP!$K$7:$K$101,MATCH(TRIM(C1240),MAP!$I$7:$I$101,0)),"")</f>
        <v>Access to care</v>
      </c>
      <c r="F1240" s="1" t="str">
        <f aca="false">IFERROR(INDEX(MAP!$L$7:$L$101,MATCH(TRIM(C1240),MAP!$I$7:$I$101,0)),"")</f>
        <v>Monthly</v>
      </c>
      <c r="G1240" s="1" t="n">
        <f aca="false">IFERROR(MATCH(A1240,CONFIRM!$A$5:$A$53,0),0)</f>
        <v>0</v>
      </c>
      <c r="H1240" s="48" t="str">
        <f aca="false">STACK!F1240</f>
        <v>CHIS clinical</v>
      </c>
      <c r="I1240" s="1" t="str">
        <f aca="false">IF(G1240&gt;0,IF(INDEX(CONFIRM!$I$5:$I$53,G1240)&lt;&gt;"",INDEX(CONFIRM!$I$5:$I$53,G1240),H1240),H1240)</f>
        <v>CHIS clinical</v>
      </c>
      <c r="J1240" s="1" t="str">
        <f aca="false">IFERROR(INDEX(MAP!$F$7:$F$74,MATCH(TRIM(I1240),MAP!$E$7:$E$74,0)),"UNMAPPED")</f>
        <v>Community-based clinical services</v>
      </c>
      <c r="K1240" s="1" t="str">
        <f aca="false">IFERROR(INDEX(MAP!$G$7:$G$74,MATCH(TRIM(I1240),MAP!$E$7:$E$74,0)),"UNMAPPED")</f>
        <v>7e</v>
      </c>
      <c r="L1240" s="49" t="n">
        <f aca="false">STACK!G1240</f>
        <v>46022</v>
      </c>
      <c r="M1240" s="59" t="n">
        <f aca="false">IF(G1240&gt;0,IF(INDEX(CONFIRM!$G$5:$G$53,G1240)&lt;&gt;"",INDEX(CONFIRM!$G$5:$G$53,G1240),IF(ISNUMBER(L1240),L1240,IFERROR(DATEVALUE(L1240),""))),IF(ISNUMBER(L1240),L1240,IFERROR(DATEVALUE(L1240),"")))</f>
        <v>46022</v>
      </c>
      <c r="N1240" s="1" t="str">
        <f aca="false">IF(M1240="","Check",IF(AND(M1240&gt;=INPUTS!$C$6,M1240&lt;=INPUTS!$C$7),"Yes","No"))</f>
        <v>Yes</v>
      </c>
      <c r="O1240" s="48" t="str">
        <f aca="false">STACK!H1240</f>
        <v>Comm Health Worker</v>
      </c>
      <c r="P1240" s="1" t="str">
        <f aca="false">IF(G1240&gt;0,IF(INDEX(CONFIRM!$H$5:$H$53,G1240)&lt;&gt;"",INDEX(CONFIRM!$H$5:$H$53,G1240),IFERROR(INDEX(MAP!$B$7:$B$156,MATCH(TRIM(O1240),MAP!$A$7:$A$156,0)),"UNMAPPED")),IFERROR(INDEX(MAP!$B$7:$B$156,MATCH(TRIM(O1240),MAP!$A$7:$A$156,0)),"UNMAPPED"))</f>
        <v>Community Health Worker</v>
      </c>
      <c r="Q1240" s="48" t="n">
        <f aca="false">STACK!I1240</f>
        <v>37.25</v>
      </c>
      <c r="R1240" s="60" t="n">
        <f aca="false">IF(G1240&gt;0,IF(INDEX(CONFIRM!$F$5:$F$53,G1240)&lt;&gt;"",INDEX(CONFIRM!$F$5:$F$53,G1240),IF(ISNUMBER(Q1240),Q1240,IF(Q1240="","",IFERROR(VALUE(TRIM(SUBSTITUTE(SUBSTITUTE(LOWER(Q1240),"hrs",""),"hr",""))),"")))),IF(ISNUMBER(Q1240),Q1240,IF(Q1240="","",IFERROR(VALUE(TRIM(SUBSTITUTE(SUBSTITUTE(LOWER(Q1240),"hrs",""),"hr",""))),""))))</f>
        <v>37.25</v>
      </c>
      <c r="S1240" s="57" t="n">
        <f aca="false">IFERROR(INDEX(RATES!$E$6:$E$28,MATCH(P1240,RATES!$A$6:$A$28,0)),0)</f>
        <v>27.6275</v>
      </c>
      <c r="T1240" s="61" t="n">
        <f aca="false">IF(ISNUMBER(R1240),R1240,0)*S1240</f>
        <v>1029.124375</v>
      </c>
      <c r="U1240" s="61" t="n">
        <f aca="false">T1240*INDEX(INPUTS!$H$10:$H$14,MATCH(B1240,INPUTS!$A$10:$A$14,0))</f>
        <v>145.106536875</v>
      </c>
      <c r="V1240" s="61" t="n">
        <f aca="false">N(STACK!K1240)</f>
        <v>0</v>
      </c>
      <c r="W1240" s="61" t="n">
        <f aca="false">T1240+U1240+V1240</f>
        <v>1174.230911875</v>
      </c>
      <c r="X1240" s="61" t="n">
        <f aca="false">N(STACK!L1240)</f>
        <v>0</v>
      </c>
      <c r="Y1240" s="61" t="n">
        <f aca="false">W1240-X1240</f>
        <v>1174.230911875</v>
      </c>
      <c r="Z1240" s="1" t="n">
        <f aca="false">N(STACK!J1240)</f>
        <v>0</v>
      </c>
      <c r="AA1240" s="1" t="str">
        <f aca="false">TRIM(IF(D1240="UNMAPPED","Program not mapped. ","")&amp;IF(OR(K1240="UNMAPPED",K1240="UNASSIGNED"),"Category needs review. ","")&amp;IF(P1240="UNMAPPED","Title not mapped. ","")&amp;IF(AND(P1240&lt;&gt;"No staff time",R1240=""),"Missing hours. ","")&amp;IF(M1240="","Date not readable. ","")&amp;IF(N1240="No","Outside fiscal year. ","")&amp;IF(AND(F1240="Event",ISNUMBER(R1240)),IF(R1240&gt;12,"Event hours look high. ",""),"")&amp;IF(G1240&gt;0,"See CONFIRM sheet.",""))</f>
        <v/>
      </c>
      <c r="AB1240" s="1" t="n">
        <f aca="false">IF(N1240="No",0,IF(REVIEW!O1240=0,0,IF(G1240&gt;0,IF(INDEX(CONFIRM!$J$5:$J$53,G1240)&lt;&gt;"",INDEX(CONFIRM!$J$5:$J$53,G1240),1),1)))</f>
        <v>1</v>
      </c>
      <c r="AC1240" s="1" t="n">
        <f aca="false">IF(AB1240=1,IF(COUNTIFS($B$5:B1240,B1240,$D$5:D1240,D1240,$AB$5:AB1240,1)=1,1,0),0)</f>
        <v>0</v>
      </c>
    </row>
    <row r="1241" customFormat="false" ht="15" hidden="false" customHeight="false" outlineLevel="0" collapsed="false">
      <c r="A1241" s="48" t="str">
        <f aca="false">STACK!A1241</f>
        <v>WCH-0134</v>
      </c>
      <c r="B1241" s="48" t="str">
        <f aca="false">STACK!B1241</f>
        <v>WCH</v>
      </c>
      <c r="C1241" s="48" t="str">
        <f aca="false">STACK!E1241</f>
        <v>mobile van screenings</v>
      </c>
      <c r="D1241" s="1" t="str">
        <f aca="false">IFERROR(INDEX(MAP!$J$7:$J$101,MATCH(TRIM(C1241),MAP!$I$7:$I$101,0)),"UNMAPPED")</f>
        <v>Mobile Health Screening Unit</v>
      </c>
      <c r="E1241" s="1" t="str">
        <f aca="false">IFERROR(INDEX(MAP!$K$7:$K$101,MATCH(TRIM(C1241),MAP!$I$7:$I$101,0)),"")</f>
        <v>Access to care</v>
      </c>
      <c r="F1241" s="1" t="str">
        <f aca="false">IFERROR(INDEX(MAP!$L$7:$L$101,MATCH(TRIM(C1241),MAP!$I$7:$I$101,0)),"")</f>
        <v>Monthly</v>
      </c>
      <c r="G1241" s="1" t="n">
        <f aca="false">IFERROR(MATCH(A1241,CONFIRM!$A$5:$A$53,0),0)</f>
        <v>0</v>
      </c>
      <c r="H1241" s="48" t="str">
        <f aca="false">STACK!F1241</f>
        <v>CHIS clinical</v>
      </c>
      <c r="I1241" s="1" t="str">
        <f aca="false">IF(G1241&gt;0,IF(INDEX(CONFIRM!$I$5:$I$53,G1241)&lt;&gt;"",INDEX(CONFIRM!$I$5:$I$53,G1241),H1241),H1241)</f>
        <v>CHIS clinical</v>
      </c>
      <c r="J1241" s="1" t="str">
        <f aca="false">IFERROR(INDEX(MAP!$F$7:$F$74,MATCH(TRIM(I1241),MAP!$E$7:$E$74,0)),"UNMAPPED")</f>
        <v>Community-based clinical services</v>
      </c>
      <c r="K1241" s="1" t="str">
        <f aca="false">IFERROR(INDEX(MAP!$G$7:$G$74,MATCH(TRIM(I1241),MAP!$E$7:$E$74,0)),"UNMAPPED")</f>
        <v>7e</v>
      </c>
      <c r="L1241" s="49" t="n">
        <f aca="false">STACK!G1241</f>
        <v>46022</v>
      </c>
      <c r="M1241" s="59" t="n">
        <f aca="false">IF(G1241&gt;0,IF(INDEX(CONFIRM!$G$5:$G$53,G1241)&lt;&gt;"",INDEX(CONFIRM!$G$5:$G$53,G1241),IF(ISNUMBER(L1241),L1241,IFERROR(DATEVALUE(L1241),""))),IF(ISNUMBER(L1241),L1241,IFERROR(DATEVALUE(L1241),"")))</f>
        <v>46022</v>
      </c>
      <c r="N1241" s="1" t="str">
        <f aca="false">IF(M1241="","Check",IF(AND(M1241&gt;=INPUTS!$C$6,M1241&lt;=INPUTS!$C$7),"Yes","No"))</f>
        <v>Yes</v>
      </c>
      <c r="O1241" s="48" t="str">
        <f aca="false">STACK!H1241</f>
        <v>CMA</v>
      </c>
      <c r="P1241" s="1" t="str">
        <f aca="false">IF(G1241&gt;0,IF(INDEX(CONFIRM!$H$5:$H$53,G1241)&lt;&gt;"",INDEX(CONFIRM!$H$5:$H$53,G1241),IFERROR(INDEX(MAP!$B$7:$B$156,MATCH(TRIM(O1241),MAP!$A$7:$A$156,0)),"UNMAPPED")),IFERROR(INDEX(MAP!$B$7:$B$156,MATCH(TRIM(O1241),MAP!$A$7:$A$156,0)),"UNMAPPED"))</f>
        <v>Medical Assistant</v>
      </c>
      <c r="Q1241" s="48" t="n">
        <f aca="false">STACK!I1241</f>
        <v>63</v>
      </c>
      <c r="R1241" s="60" t="n">
        <f aca="false">IF(G1241&gt;0,IF(INDEX(CONFIRM!$F$5:$F$53,G1241)&lt;&gt;"",INDEX(CONFIRM!$F$5:$F$53,G1241),IF(ISNUMBER(Q1241),Q1241,IF(Q1241="","",IFERROR(VALUE(TRIM(SUBSTITUTE(SUBSTITUTE(LOWER(Q1241),"hrs",""),"hr",""))),"")))),IF(ISNUMBER(Q1241),Q1241,IF(Q1241="","",IFERROR(VALUE(TRIM(SUBSTITUTE(SUBSTITUTE(LOWER(Q1241),"hrs",""),"hr",""))),""))))</f>
        <v>63</v>
      </c>
      <c r="S1241" s="57" t="n">
        <f aca="false">IFERROR(INDEX(RATES!$E$6:$E$28,MATCH(P1241,RATES!$A$6:$A$28,0)),0)</f>
        <v>25.37875</v>
      </c>
      <c r="T1241" s="61" t="n">
        <f aca="false">IF(ISNUMBER(R1241),R1241,0)*S1241</f>
        <v>1598.86125</v>
      </c>
      <c r="U1241" s="61" t="n">
        <f aca="false">T1241*INDEX(INPUTS!$H$10:$H$14,MATCH(B1241,INPUTS!$A$10:$A$14,0))</f>
        <v>225.43943625</v>
      </c>
      <c r="V1241" s="61" t="n">
        <f aca="false">N(STACK!K1241)</f>
        <v>0</v>
      </c>
      <c r="W1241" s="61" t="n">
        <f aca="false">T1241+U1241+V1241</f>
        <v>1824.30068625</v>
      </c>
      <c r="X1241" s="61" t="n">
        <f aca="false">N(STACK!L1241)</f>
        <v>0</v>
      </c>
      <c r="Y1241" s="61" t="n">
        <f aca="false">W1241-X1241</f>
        <v>1824.30068625</v>
      </c>
      <c r="Z1241" s="1" t="n">
        <f aca="false">N(STACK!J1241)</f>
        <v>0</v>
      </c>
      <c r="AA1241" s="1" t="str">
        <f aca="false">TRIM(IF(D1241="UNMAPPED","Program not mapped. ","")&amp;IF(OR(K1241="UNMAPPED",K1241="UNASSIGNED"),"Category needs review. ","")&amp;IF(P1241="UNMAPPED","Title not mapped. ","")&amp;IF(AND(P1241&lt;&gt;"No staff time",R1241=""),"Missing hours. ","")&amp;IF(M1241="","Date not readable. ","")&amp;IF(N1241="No","Outside fiscal year. ","")&amp;IF(AND(F1241="Event",ISNUMBER(R1241)),IF(R1241&gt;12,"Event hours look high. ",""),"")&amp;IF(G1241&gt;0,"See CONFIRM sheet.",""))</f>
        <v/>
      </c>
      <c r="AB1241" s="1" t="n">
        <f aca="false">IF(N1241="No",0,IF(REVIEW!O1241=0,0,IF(G1241&gt;0,IF(INDEX(CONFIRM!$J$5:$J$53,G1241)&lt;&gt;"",INDEX(CONFIRM!$J$5:$J$53,G1241),1),1)))</f>
        <v>1</v>
      </c>
      <c r="AC1241" s="1" t="n">
        <f aca="false">IF(AB1241=1,IF(COUNTIFS($B$5:B1241,B1241,$D$5:D1241,D1241,$AB$5:AB1241,1)=1,1,0),0)</f>
        <v>0</v>
      </c>
    </row>
    <row r="1242" customFormat="false" ht="15" hidden="false" customHeight="false" outlineLevel="0" collapsed="false">
      <c r="A1242" s="48" t="str">
        <f aca="false">STACK!A1242</f>
        <v>WCH-0135</v>
      </c>
      <c r="B1242" s="48" t="str">
        <f aca="false">STACK!B1242</f>
        <v>WCH</v>
      </c>
      <c r="C1242" s="48" t="str">
        <f aca="false">STACK!E1242</f>
        <v>mobile van screenings</v>
      </c>
      <c r="D1242" s="1" t="str">
        <f aca="false">IFERROR(INDEX(MAP!$J$7:$J$101,MATCH(TRIM(C1242),MAP!$I$7:$I$101,0)),"UNMAPPED")</f>
        <v>Mobile Health Screening Unit</v>
      </c>
      <c r="E1242" s="1" t="str">
        <f aca="false">IFERROR(INDEX(MAP!$K$7:$K$101,MATCH(TRIM(C1242),MAP!$I$7:$I$101,0)),"")</f>
        <v>Access to care</v>
      </c>
      <c r="F1242" s="1" t="str">
        <f aca="false">IFERROR(INDEX(MAP!$L$7:$L$101,MATCH(TRIM(C1242),MAP!$I$7:$I$101,0)),"")</f>
        <v>Monthly</v>
      </c>
      <c r="G1242" s="1" t="n">
        <f aca="false">IFERROR(MATCH(A1242,CONFIRM!$A$5:$A$53,0),0)</f>
        <v>0</v>
      </c>
      <c r="H1242" s="48" t="str">
        <f aca="false">STACK!F1242</f>
        <v>CHIS clinical</v>
      </c>
      <c r="I1242" s="1" t="str">
        <f aca="false">IF(G1242&gt;0,IF(INDEX(CONFIRM!$I$5:$I$53,G1242)&lt;&gt;"",INDEX(CONFIRM!$I$5:$I$53,G1242),H1242),H1242)</f>
        <v>CHIS clinical</v>
      </c>
      <c r="J1242" s="1" t="str">
        <f aca="false">IFERROR(INDEX(MAP!$F$7:$F$74,MATCH(TRIM(I1242),MAP!$E$7:$E$74,0)),"UNMAPPED")</f>
        <v>Community-based clinical services</v>
      </c>
      <c r="K1242" s="1" t="str">
        <f aca="false">IFERROR(INDEX(MAP!$G$7:$G$74,MATCH(TRIM(I1242),MAP!$E$7:$E$74,0)),"UNMAPPED")</f>
        <v>7e</v>
      </c>
      <c r="L1242" s="49" t="str">
        <f aca="false">STACK!G1242</f>
        <v>12/31/25</v>
      </c>
      <c r="M1242" s="59" t="n">
        <f aca="false">IF(G1242&gt;0,IF(INDEX(CONFIRM!$G$5:$G$53,G1242)&lt;&gt;"",INDEX(CONFIRM!$G$5:$G$53,G1242),IF(ISNUMBER(L1242),L1242,IFERROR(DATEVALUE(L1242),""))),IF(ISNUMBER(L1242),L1242,IFERROR(DATEVALUE(L1242),"")))</f>
        <v>46022</v>
      </c>
      <c r="N1242" s="1" t="str">
        <f aca="false">IF(M1242="","Check",IF(AND(M1242&gt;=INPUTS!$C$6,M1242&lt;=INPUTS!$C$7),"Yes","No"))</f>
        <v>Yes</v>
      </c>
      <c r="O1242" s="48" t="str">
        <f aca="false">STACK!H1242</f>
        <v>Clinical RN</v>
      </c>
      <c r="P1242" s="1" t="str">
        <f aca="false">IF(G1242&gt;0,IF(INDEX(CONFIRM!$H$5:$H$53,G1242)&lt;&gt;"",INDEX(CONFIRM!$H$5:$H$53,G1242),IFERROR(INDEX(MAP!$B$7:$B$156,MATCH(TRIM(O1242),MAP!$A$7:$A$156,0)),"UNMAPPED")),IFERROR(INDEX(MAP!$B$7:$B$156,MATCH(TRIM(O1242),MAP!$A$7:$A$156,0)),"UNMAPPED"))</f>
        <v>Registered Nurse</v>
      </c>
      <c r="Q1242" s="48" t="n">
        <f aca="false">STACK!I1242</f>
        <v>44.5</v>
      </c>
      <c r="R1242" s="60" t="n">
        <f aca="false">IF(G1242&gt;0,IF(INDEX(CONFIRM!$F$5:$F$53,G1242)&lt;&gt;"",INDEX(CONFIRM!$F$5:$F$53,G1242),IF(ISNUMBER(Q1242),Q1242,IF(Q1242="","",IFERROR(VALUE(TRIM(SUBSTITUTE(SUBSTITUTE(LOWER(Q1242),"hrs",""),"hr",""))),"")))),IF(ISNUMBER(Q1242),Q1242,IF(Q1242="","",IFERROR(VALUE(TRIM(SUBSTITUTE(SUBSTITUTE(LOWER(Q1242),"hrs",""),"hr",""))),""))))</f>
        <v>44.5</v>
      </c>
      <c r="S1242" s="57" t="n">
        <f aca="false">IFERROR(INDEX(RATES!$E$6:$E$28,MATCH(P1242,RATES!$A$6:$A$28,0)),0)</f>
        <v>55.8975</v>
      </c>
      <c r="T1242" s="61" t="n">
        <f aca="false">IF(ISNUMBER(R1242),R1242,0)*S1242</f>
        <v>2487.43875</v>
      </c>
      <c r="U1242" s="61" t="n">
        <f aca="false">T1242*INDEX(INPUTS!$H$10:$H$14,MATCH(B1242,INPUTS!$A$10:$A$14,0))</f>
        <v>350.72886375</v>
      </c>
      <c r="V1242" s="61" t="n">
        <f aca="false">N(STACK!K1242)</f>
        <v>4985</v>
      </c>
      <c r="W1242" s="61" t="n">
        <f aca="false">T1242+U1242+V1242</f>
        <v>7823.16761375</v>
      </c>
      <c r="X1242" s="61" t="n">
        <f aca="false">N(STACK!L1242)</f>
        <v>0</v>
      </c>
      <c r="Y1242" s="61" t="n">
        <f aca="false">W1242-X1242</f>
        <v>7823.16761375</v>
      </c>
      <c r="Z1242" s="1" t="n">
        <f aca="false">N(STACK!J1242)</f>
        <v>103</v>
      </c>
      <c r="AA1242" s="1" t="str">
        <f aca="false">TRIM(IF(D1242="UNMAPPED","Program not mapped. ","")&amp;IF(OR(K1242="UNMAPPED",K1242="UNASSIGNED"),"Category needs review. ","")&amp;IF(P1242="UNMAPPED","Title not mapped. ","")&amp;IF(AND(P1242&lt;&gt;"No staff time",R1242=""),"Missing hours. ","")&amp;IF(M1242="","Date not readable. ","")&amp;IF(N1242="No","Outside fiscal year. ","")&amp;IF(AND(F1242="Event",ISNUMBER(R1242)),IF(R1242&gt;12,"Event hours look high. ",""),"")&amp;IF(G1242&gt;0,"See CONFIRM sheet.",""))</f>
        <v/>
      </c>
      <c r="AB1242" s="1" t="n">
        <f aca="false">IF(N1242="No",0,IF(REVIEW!O1242=0,0,IF(G1242&gt;0,IF(INDEX(CONFIRM!$J$5:$J$53,G1242)&lt;&gt;"",INDEX(CONFIRM!$J$5:$J$53,G1242),1),1)))</f>
        <v>1</v>
      </c>
      <c r="AC1242" s="1" t="n">
        <f aca="false">IF(AB1242=1,IF(COUNTIFS($B$5:B1242,B1242,$D$5:D1242,D1242,$AB$5:AB1242,1)=1,1,0),0)</f>
        <v>0</v>
      </c>
    </row>
    <row r="1243" customFormat="false" ht="15" hidden="false" customHeight="false" outlineLevel="0" collapsed="false">
      <c r="A1243" s="48" t="str">
        <f aca="false">STACK!A1243</f>
        <v>WCH-0136</v>
      </c>
      <c r="B1243" s="48" t="str">
        <f aca="false">STACK!B1243</f>
        <v>WCH</v>
      </c>
      <c r="C1243" s="48" t="str">
        <f aca="false">STACK!E1243</f>
        <v>chw outreach</v>
      </c>
      <c r="D1243" s="1" t="str">
        <f aca="false">IFERROR(INDEX(MAP!$J$7:$J$101,MATCH(TRIM(C1243),MAP!$I$7:$I$101,0)),"UNMAPPED")</f>
        <v>Community Health Worker Outreach</v>
      </c>
      <c r="E1243" s="1" t="str">
        <f aca="false">IFERROR(INDEX(MAP!$K$7:$K$101,MATCH(TRIM(C1243),MAP!$I$7:$I$101,0)),"")</f>
        <v>Access to care</v>
      </c>
      <c r="F1243" s="1" t="str">
        <f aca="false">IFERROR(INDEX(MAP!$L$7:$L$101,MATCH(TRIM(C1243),MAP!$I$7:$I$101,0)),"")</f>
        <v>Monthly</v>
      </c>
      <c r="G1243" s="1" t="n">
        <f aca="false">IFERROR(MATCH(A1243,CONFIRM!$A$5:$A$53,0),0)</f>
        <v>0</v>
      </c>
      <c r="H1243" s="48" t="str">
        <f aca="false">STACK!F1243</f>
        <v>CHIS support</v>
      </c>
      <c r="I1243" s="1" t="str">
        <f aca="false">IF(G1243&gt;0,IF(INDEX(CONFIRM!$I$5:$I$53,G1243)&lt;&gt;"",INDEX(CONFIRM!$I$5:$I$53,G1243),H1243),H1243)</f>
        <v>CHIS support</v>
      </c>
      <c r="J1243" s="1" t="str">
        <f aca="false">IFERROR(INDEX(MAP!$F$7:$F$74,MATCH(TRIM(I1243),MAP!$E$7:$E$74,0)),"UNMAPPED")</f>
        <v>Health care support services</v>
      </c>
      <c r="K1243" s="1" t="str">
        <f aca="false">IFERROR(INDEX(MAP!$G$7:$G$74,MATCH(TRIM(I1243),MAP!$E$7:$E$74,0)),"UNMAPPED")</f>
        <v>7e</v>
      </c>
      <c r="L1243" s="49" t="str">
        <f aca="false">STACK!G1243</f>
        <v>12/31/25</v>
      </c>
      <c r="M1243" s="59" t="n">
        <f aca="false">IF(G1243&gt;0,IF(INDEX(CONFIRM!$G$5:$G$53,G1243)&lt;&gt;"",INDEX(CONFIRM!$G$5:$G$53,G1243),IF(ISNUMBER(L1243),L1243,IFERROR(DATEVALUE(L1243),""))),IF(ISNUMBER(L1243),L1243,IFERROR(DATEVALUE(L1243),"")))</f>
        <v>46022</v>
      </c>
      <c r="N1243" s="1" t="str">
        <f aca="false">IF(M1243="","Check",IF(AND(M1243&gt;=INPUTS!$C$6,M1243&lt;=INPUTS!$C$7),"Yes","No"))</f>
        <v>Yes</v>
      </c>
      <c r="O1243" s="48" t="str">
        <f aca="false">STACK!H1243</f>
        <v>Comm Health Worker</v>
      </c>
      <c r="P1243" s="1" t="str">
        <f aca="false">IF(G1243&gt;0,IF(INDEX(CONFIRM!$H$5:$H$53,G1243)&lt;&gt;"",INDEX(CONFIRM!$H$5:$H$53,G1243),IFERROR(INDEX(MAP!$B$7:$B$156,MATCH(TRIM(O1243),MAP!$A$7:$A$156,0)),"UNMAPPED")),IFERROR(INDEX(MAP!$B$7:$B$156,MATCH(TRIM(O1243),MAP!$A$7:$A$156,0)),"UNMAPPED"))</f>
        <v>Community Health Worker</v>
      </c>
      <c r="Q1243" s="48" t="n">
        <f aca="false">STACK!I1243</f>
        <v>197.25</v>
      </c>
      <c r="R1243" s="60" t="n">
        <f aca="false">IF(G1243&gt;0,IF(INDEX(CONFIRM!$F$5:$F$53,G1243)&lt;&gt;"",INDEX(CONFIRM!$F$5:$F$53,G1243),IF(ISNUMBER(Q1243),Q1243,IF(Q1243="","",IFERROR(VALUE(TRIM(SUBSTITUTE(SUBSTITUTE(LOWER(Q1243),"hrs",""),"hr",""))),"")))),IF(ISNUMBER(Q1243),Q1243,IF(Q1243="","",IFERROR(VALUE(TRIM(SUBSTITUTE(SUBSTITUTE(LOWER(Q1243),"hrs",""),"hr",""))),""))))</f>
        <v>197.25</v>
      </c>
      <c r="S1243" s="57" t="n">
        <f aca="false">IFERROR(INDEX(RATES!$E$6:$E$28,MATCH(P1243,RATES!$A$6:$A$28,0)),0)</f>
        <v>27.6275</v>
      </c>
      <c r="T1243" s="61" t="n">
        <f aca="false">IF(ISNUMBER(R1243),R1243,0)*S1243</f>
        <v>5449.524375</v>
      </c>
      <c r="U1243" s="61" t="n">
        <f aca="false">T1243*INDEX(INPUTS!$H$10:$H$14,MATCH(B1243,INPUTS!$A$10:$A$14,0))</f>
        <v>768.382936875</v>
      </c>
      <c r="V1243" s="61" t="n">
        <f aca="false">N(STACK!K1243)</f>
        <v>845</v>
      </c>
      <c r="W1243" s="61" t="n">
        <f aca="false">T1243+U1243+V1243</f>
        <v>7062.907311875</v>
      </c>
      <c r="X1243" s="61" t="n">
        <f aca="false">N(STACK!L1243)</f>
        <v>0</v>
      </c>
      <c r="Y1243" s="61" t="n">
        <f aca="false">W1243-X1243</f>
        <v>7062.907311875</v>
      </c>
      <c r="Z1243" s="1" t="n">
        <f aca="false">N(STACK!J1243)</f>
        <v>168</v>
      </c>
      <c r="AA1243" s="1" t="str">
        <f aca="false">TRIM(IF(D1243="UNMAPPED","Program not mapped. ","")&amp;IF(OR(K1243="UNMAPPED",K1243="UNASSIGNED"),"Category needs review. ","")&amp;IF(P1243="UNMAPPED","Title not mapped. ","")&amp;IF(AND(P1243&lt;&gt;"No staff time",R1243=""),"Missing hours. ","")&amp;IF(M1243="","Date not readable. ","")&amp;IF(N1243="No","Outside fiscal year. ","")&amp;IF(AND(F1243="Event",ISNUMBER(R1243)),IF(R1243&gt;12,"Event hours look high. ",""),"")&amp;IF(G1243&gt;0,"See CONFIRM sheet.",""))</f>
        <v/>
      </c>
      <c r="AB1243" s="1" t="n">
        <f aca="false">IF(N1243="No",0,IF(REVIEW!O1243=0,0,IF(G1243&gt;0,IF(INDEX(CONFIRM!$J$5:$J$53,G1243)&lt;&gt;"",INDEX(CONFIRM!$J$5:$J$53,G1243),1),1)))</f>
        <v>1</v>
      </c>
      <c r="AC1243" s="1" t="n">
        <f aca="false">IF(AB1243=1,IF(COUNTIFS($B$5:B1243,B1243,$D$5:D1243,D1243,$AB$5:AB1243,1)=1,1,0),0)</f>
        <v>0</v>
      </c>
    </row>
    <row r="1244" customFormat="false" ht="15" hidden="false" customHeight="false" outlineLevel="0" collapsed="false">
      <c r="A1244" s="48" t="str">
        <f aca="false">STACK!A1244</f>
        <v>WCH-0137</v>
      </c>
      <c r="B1244" s="48" t="str">
        <f aca="false">STACK!B1244</f>
        <v>WCH</v>
      </c>
      <c r="C1244" s="48" t="str">
        <f aca="false">STACK!E1244</f>
        <v>chw outreach</v>
      </c>
      <c r="D1244" s="1" t="str">
        <f aca="false">IFERROR(INDEX(MAP!$J$7:$J$101,MATCH(TRIM(C1244),MAP!$I$7:$I$101,0)),"UNMAPPED")</f>
        <v>Community Health Worker Outreach</v>
      </c>
      <c r="E1244" s="1" t="str">
        <f aca="false">IFERROR(INDEX(MAP!$K$7:$K$101,MATCH(TRIM(C1244),MAP!$I$7:$I$101,0)),"")</f>
        <v>Access to care</v>
      </c>
      <c r="F1244" s="1" t="str">
        <f aca="false">IFERROR(INDEX(MAP!$L$7:$L$101,MATCH(TRIM(C1244),MAP!$I$7:$I$101,0)),"")</f>
        <v>Monthly</v>
      </c>
      <c r="G1244" s="1" t="n">
        <f aca="false">IFERROR(MATCH(A1244,CONFIRM!$A$5:$A$53,0),0)</f>
        <v>0</v>
      </c>
      <c r="H1244" s="48" t="str">
        <f aca="false">STACK!F1244</f>
        <v>CHIS support</v>
      </c>
      <c r="I1244" s="1" t="str">
        <f aca="false">IF(G1244&gt;0,IF(INDEX(CONFIRM!$I$5:$I$53,G1244)&lt;&gt;"",INDEX(CONFIRM!$I$5:$I$53,G1244),H1244),H1244)</f>
        <v>CHIS support</v>
      </c>
      <c r="J1244" s="1" t="str">
        <f aca="false">IFERROR(INDEX(MAP!$F$7:$F$74,MATCH(TRIM(I1244),MAP!$E$7:$E$74,0)),"UNMAPPED")</f>
        <v>Health care support services</v>
      </c>
      <c r="K1244" s="1" t="str">
        <f aca="false">IFERROR(INDEX(MAP!$G$7:$G$74,MATCH(TRIM(I1244),MAP!$E$7:$E$74,0)),"UNMAPPED")</f>
        <v>7e</v>
      </c>
      <c r="L1244" s="49" t="n">
        <f aca="false">STACK!G1244</f>
        <v>46022</v>
      </c>
      <c r="M1244" s="59" t="n">
        <f aca="false">IF(G1244&gt;0,IF(INDEX(CONFIRM!$G$5:$G$53,G1244)&lt;&gt;"",INDEX(CONFIRM!$G$5:$G$53,G1244),IF(ISNUMBER(L1244),L1244,IFERROR(DATEVALUE(L1244),""))),IF(ISNUMBER(L1244),L1244,IFERROR(DATEVALUE(L1244),"")))</f>
        <v>46022</v>
      </c>
      <c r="N1244" s="1" t="str">
        <f aca="false">IF(M1244="","Check",IF(AND(M1244&gt;=INPUTS!$C$6,M1244&lt;=INPUTS!$C$7),"Yes","No"))</f>
        <v>Yes</v>
      </c>
      <c r="O1244" s="48" t="str">
        <f aca="false">STACK!H1244</f>
        <v>NAVIGATOR </v>
      </c>
      <c r="P1244" s="1" t="str">
        <f aca="false">IF(G1244&gt;0,IF(INDEX(CONFIRM!$H$5:$H$53,G1244)&lt;&gt;"",INDEX(CONFIRM!$H$5:$H$53,G1244),IFERROR(INDEX(MAP!$B$7:$B$156,MATCH(TRIM(O1244),MAP!$A$7:$A$156,0)),"UNMAPPED")),IFERROR(INDEX(MAP!$B$7:$B$156,MATCH(TRIM(O1244),MAP!$A$7:$A$156,0)),"UNMAPPED"))</f>
        <v>Patient Navigator</v>
      </c>
      <c r="Q1244" s="48" t="n">
        <f aca="false">STACK!I1244</f>
        <v>105.75</v>
      </c>
      <c r="R1244" s="60" t="n">
        <f aca="false">IF(G1244&gt;0,IF(INDEX(CONFIRM!$F$5:$F$53,G1244)&lt;&gt;"",INDEX(CONFIRM!$F$5:$F$53,G1244),IF(ISNUMBER(Q1244),Q1244,IF(Q1244="","",IFERROR(VALUE(TRIM(SUBSTITUTE(SUBSTITUTE(LOWER(Q1244),"hrs",""),"hr",""))),"")))),IF(ISNUMBER(Q1244),Q1244,IF(Q1244="","",IFERROR(VALUE(TRIM(SUBSTITUTE(SUBSTITUTE(LOWER(Q1244),"hrs",""),"hr",""))),""))))</f>
        <v>105.75</v>
      </c>
      <c r="S1244" s="57" t="n">
        <f aca="false">IFERROR(INDEX(RATES!$E$6:$E$28,MATCH(P1244,RATES!$A$6:$A$28,0)),0)</f>
        <v>30.84</v>
      </c>
      <c r="T1244" s="61" t="n">
        <f aca="false">IF(ISNUMBER(R1244),R1244,0)*S1244</f>
        <v>3261.33</v>
      </c>
      <c r="U1244" s="61" t="n">
        <f aca="false">T1244*INDEX(INPUTS!$H$10:$H$14,MATCH(B1244,INPUTS!$A$10:$A$14,0))</f>
        <v>459.84753</v>
      </c>
      <c r="V1244" s="61" t="n">
        <f aca="false">N(STACK!K1244)</f>
        <v>0</v>
      </c>
      <c r="W1244" s="61" t="n">
        <f aca="false">T1244+U1244+V1244</f>
        <v>3721.17753</v>
      </c>
      <c r="X1244" s="61" t="n">
        <f aca="false">N(STACK!L1244)</f>
        <v>0</v>
      </c>
      <c r="Y1244" s="61" t="n">
        <f aca="false">W1244-X1244</f>
        <v>3721.17753</v>
      </c>
      <c r="Z1244" s="1" t="n">
        <f aca="false">N(STACK!J1244)</f>
        <v>0</v>
      </c>
      <c r="AA1244" s="1" t="str">
        <f aca="false">TRIM(IF(D1244="UNMAPPED","Program not mapped. ","")&amp;IF(OR(K1244="UNMAPPED",K1244="UNASSIGNED"),"Category needs review. ","")&amp;IF(P1244="UNMAPPED","Title not mapped. ","")&amp;IF(AND(P1244&lt;&gt;"No staff time",R1244=""),"Missing hours. ","")&amp;IF(M1244="","Date not readable. ","")&amp;IF(N1244="No","Outside fiscal year. ","")&amp;IF(AND(F1244="Event",ISNUMBER(R1244)),IF(R1244&gt;12,"Event hours look high. ",""),"")&amp;IF(G1244&gt;0,"See CONFIRM sheet.",""))</f>
        <v/>
      </c>
      <c r="AB1244" s="1" t="n">
        <f aca="false">IF(N1244="No",0,IF(REVIEW!O1244=0,0,IF(G1244&gt;0,IF(INDEX(CONFIRM!$J$5:$J$53,G1244)&lt;&gt;"",INDEX(CONFIRM!$J$5:$J$53,G1244),1),1)))</f>
        <v>1</v>
      </c>
      <c r="AC1244" s="1" t="n">
        <f aca="false">IF(AB1244=1,IF(COUNTIFS($B$5:B1244,B1244,$D$5:D1244,D1244,$AB$5:AB1244,1)=1,1,0),0)</f>
        <v>0</v>
      </c>
    </row>
    <row r="1245" customFormat="false" ht="15" hidden="false" customHeight="false" outlineLevel="0" collapsed="false">
      <c r="A1245" s="48" t="str">
        <f aca="false">STACK!A1245</f>
        <v>WCH-0138</v>
      </c>
      <c r="B1245" s="48" t="str">
        <f aca="false">STACK!B1245</f>
        <v>WCH</v>
      </c>
      <c r="C1245" s="48" t="str">
        <f aca="false">STACK!E1245</f>
        <v>produce prescription</v>
      </c>
      <c r="D1245" s="1" t="str">
        <f aca="false">IFERROR(INDEX(MAP!$J$7:$J$101,MATCH(TRIM(C1245),MAP!$I$7:$I$101,0)),"UNMAPPED")</f>
        <v>Produce Prescription Program</v>
      </c>
      <c r="E1245" s="1" t="str">
        <f aca="false">IFERROR(INDEX(MAP!$K$7:$K$101,MATCH(TRIM(C1245),MAP!$I$7:$I$101,0)),"")</f>
        <v>Food and housing security</v>
      </c>
      <c r="F1245" s="1" t="str">
        <f aca="false">IFERROR(INDEX(MAP!$L$7:$L$101,MATCH(TRIM(C1245),MAP!$I$7:$I$101,0)),"")</f>
        <v>Monthly</v>
      </c>
      <c r="G1245" s="1" t="n">
        <f aca="false">IFERROR(MATCH(A1245,CONFIRM!$A$5:$A$53,0),0)</f>
        <v>0</v>
      </c>
      <c r="H1245" s="48" t="str">
        <f aca="false">STACK!F1245</f>
        <v>CHIS support</v>
      </c>
      <c r="I1245" s="1" t="str">
        <f aca="false">IF(G1245&gt;0,IF(INDEX(CONFIRM!$I$5:$I$53,G1245)&lt;&gt;"",INDEX(CONFIRM!$I$5:$I$53,G1245),H1245),H1245)</f>
        <v>CHIS support</v>
      </c>
      <c r="J1245" s="1" t="str">
        <f aca="false">IFERROR(INDEX(MAP!$F$7:$F$74,MATCH(TRIM(I1245),MAP!$E$7:$E$74,0)),"UNMAPPED")</f>
        <v>Health care support services</v>
      </c>
      <c r="K1245" s="1" t="str">
        <f aca="false">IFERROR(INDEX(MAP!$G$7:$G$74,MATCH(TRIM(I1245),MAP!$E$7:$E$74,0)),"UNMAPPED")</f>
        <v>7e</v>
      </c>
      <c r="L1245" s="49" t="n">
        <f aca="false">STACK!G1245</f>
        <v>46022</v>
      </c>
      <c r="M1245" s="59" t="n">
        <f aca="false">IF(G1245&gt;0,IF(INDEX(CONFIRM!$G$5:$G$53,G1245)&lt;&gt;"",INDEX(CONFIRM!$G$5:$G$53,G1245),IF(ISNUMBER(L1245),L1245,IFERROR(DATEVALUE(L1245),""))),IF(ISNUMBER(L1245),L1245,IFERROR(DATEVALUE(L1245),"")))</f>
        <v>46022</v>
      </c>
      <c r="N1245" s="1" t="str">
        <f aca="false">IF(M1245="","Check",IF(AND(M1245&gt;=INPUTS!$C$6,M1245&lt;=INPUTS!$C$7),"Yes","No"))</f>
        <v>Yes</v>
      </c>
      <c r="O1245" s="48" t="str">
        <f aca="false">STACK!H1245</f>
        <v>Comm Health Worker</v>
      </c>
      <c r="P1245" s="1" t="str">
        <f aca="false">IF(G1245&gt;0,IF(INDEX(CONFIRM!$H$5:$H$53,G1245)&lt;&gt;"",INDEX(CONFIRM!$H$5:$H$53,G1245),IFERROR(INDEX(MAP!$B$7:$B$156,MATCH(TRIM(O1245),MAP!$A$7:$A$156,0)),"UNMAPPED")),IFERROR(INDEX(MAP!$B$7:$B$156,MATCH(TRIM(O1245),MAP!$A$7:$A$156,0)),"UNMAPPED"))</f>
        <v>Community Health Worker</v>
      </c>
      <c r="Q1245" s="48" t="n">
        <f aca="false">STACK!I1245</f>
        <v>30.25</v>
      </c>
      <c r="R1245" s="60" t="n">
        <f aca="false">IF(G1245&gt;0,IF(INDEX(CONFIRM!$F$5:$F$53,G1245)&lt;&gt;"",INDEX(CONFIRM!$F$5:$F$53,G1245),IF(ISNUMBER(Q1245),Q1245,IF(Q1245="","",IFERROR(VALUE(TRIM(SUBSTITUTE(SUBSTITUTE(LOWER(Q1245),"hrs",""),"hr",""))),"")))),IF(ISNUMBER(Q1245),Q1245,IF(Q1245="","",IFERROR(VALUE(TRIM(SUBSTITUTE(SUBSTITUTE(LOWER(Q1245),"hrs",""),"hr",""))),""))))</f>
        <v>30.25</v>
      </c>
      <c r="S1245" s="57" t="n">
        <f aca="false">IFERROR(INDEX(RATES!$E$6:$E$28,MATCH(P1245,RATES!$A$6:$A$28,0)),0)</f>
        <v>27.6275</v>
      </c>
      <c r="T1245" s="61" t="n">
        <f aca="false">IF(ISNUMBER(R1245),R1245,0)*S1245</f>
        <v>835.731875</v>
      </c>
      <c r="U1245" s="61" t="n">
        <f aca="false">T1245*INDEX(INPUTS!$H$10:$H$14,MATCH(B1245,INPUTS!$A$10:$A$14,0))</f>
        <v>117.838194375</v>
      </c>
      <c r="V1245" s="61" t="n">
        <f aca="false">N(STACK!K1245)</f>
        <v>0</v>
      </c>
      <c r="W1245" s="61" t="n">
        <f aca="false">T1245+U1245+V1245</f>
        <v>953.570069375</v>
      </c>
      <c r="X1245" s="61" t="n">
        <f aca="false">N(STACK!L1245)</f>
        <v>0</v>
      </c>
      <c r="Y1245" s="61" t="n">
        <f aca="false">W1245-X1245</f>
        <v>953.570069375</v>
      </c>
      <c r="Z1245" s="1" t="n">
        <f aca="false">N(STACK!J1245)</f>
        <v>0</v>
      </c>
      <c r="AA1245" s="1" t="str">
        <f aca="false">TRIM(IF(D1245="UNMAPPED","Program not mapped. ","")&amp;IF(OR(K1245="UNMAPPED",K1245="UNASSIGNED"),"Category needs review. ","")&amp;IF(P1245="UNMAPPED","Title not mapped. ","")&amp;IF(AND(P1245&lt;&gt;"No staff time",R1245=""),"Missing hours. ","")&amp;IF(M1245="","Date not readable. ","")&amp;IF(N1245="No","Outside fiscal year. ","")&amp;IF(AND(F1245="Event",ISNUMBER(R1245)),IF(R1245&gt;12,"Event hours look high. ",""),"")&amp;IF(G1245&gt;0,"See CONFIRM sheet.",""))</f>
        <v/>
      </c>
      <c r="AB1245" s="1" t="n">
        <f aca="false">IF(N1245="No",0,IF(REVIEW!O1245=0,0,IF(G1245&gt;0,IF(INDEX(CONFIRM!$J$5:$J$53,G1245)&lt;&gt;"",INDEX(CONFIRM!$J$5:$J$53,G1245),1),1)))</f>
        <v>1</v>
      </c>
      <c r="AC1245" s="1" t="n">
        <f aca="false">IF(AB1245=1,IF(COUNTIFS($B$5:B1245,B1245,$D$5:D1245,D1245,$AB$5:AB1245,1)=1,1,0),0)</f>
        <v>0</v>
      </c>
    </row>
    <row r="1246" customFormat="false" ht="15" hidden="false" customHeight="false" outlineLevel="0" collapsed="false">
      <c r="A1246" s="48" t="str">
        <f aca="false">STACK!A1246</f>
        <v>WCH-0139</v>
      </c>
      <c r="B1246" s="48" t="str">
        <f aca="false">STACK!B1246</f>
        <v>WCH</v>
      </c>
      <c r="C1246" s="48" t="str">
        <f aca="false">STACK!E1246</f>
        <v>produce prescription</v>
      </c>
      <c r="D1246" s="1" t="str">
        <f aca="false">IFERROR(INDEX(MAP!$J$7:$J$101,MATCH(TRIM(C1246),MAP!$I$7:$I$101,0)),"UNMAPPED")</f>
        <v>Produce Prescription Program</v>
      </c>
      <c r="E1246" s="1" t="str">
        <f aca="false">IFERROR(INDEX(MAP!$K$7:$K$101,MATCH(TRIM(C1246),MAP!$I$7:$I$101,0)),"")</f>
        <v>Food and housing security</v>
      </c>
      <c r="F1246" s="1" t="str">
        <f aca="false">IFERROR(INDEX(MAP!$L$7:$L$101,MATCH(TRIM(C1246),MAP!$I$7:$I$101,0)),"")</f>
        <v>Monthly</v>
      </c>
      <c r="G1246" s="1" t="n">
        <f aca="false">IFERROR(MATCH(A1246,CONFIRM!$A$5:$A$53,0),0)</f>
        <v>0</v>
      </c>
      <c r="H1246" s="48" t="str">
        <f aca="false">STACK!F1246</f>
        <v>CHIS support</v>
      </c>
      <c r="I1246" s="1" t="str">
        <f aca="false">IF(G1246&gt;0,IF(INDEX(CONFIRM!$I$5:$I$53,G1246)&lt;&gt;"",INDEX(CONFIRM!$I$5:$I$53,G1246),H1246),H1246)</f>
        <v>CHIS support</v>
      </c>
      <c r="J1246" s="1" t="str">
        <f aca="false">IFERROR(INDEX(MAP!$F$7:$F$74,MATCH(TRIM(I1246),MAP!$E$7:$E$74,0)),"UNMAPPED")</f>
        <v>Health care support services</v>
      </c>
      <c r="K1246" s="1" t="str">
        <f aca="false">IFERROR(INDEX(MAP!$G$7:$G$74,MATCH(TRIM(I1246),MAP!$E$7:$E$74,0)),"UNMAPPED")</f>
        <v>7e</v>
      </c>
      <c r="L1246" s="49" t="n">
        <f aca="false">STACK!G1246</f>
        <v>46022</v>
      </c>
      <c r="M1246" s="59" t="n">
        <f aca="false">IF(G1246&gt;0,IF(INDEX(CONFIRM!$G$5:$G$53,G1246)&lt;&gt;"",INDEX(CONFIRM!$G$5:$G$53,G1246),IF(ISNUMBER(L1246),L1246,IFERROR(DATEVALUE(L1246),""))),IF(ISNUMBER(L1246),L1246,IFERROR(DATEVALUE(L1246),"")))</f>
        <v>46022</v>
      </c>
      <c r="N1246" s="1" t="str">
        <f aca="false">IF(M1246="","Check",IF(AND(M1246&gt;=INPUTS!$C$6,M1246&lt;=INPUTS!$C$7),"Yes","No"))</f>
        <v>Yes</v>
      </c>
      <c r="O1246" s="48" t="str">
        <f aca="false">STACK!H1246</f>
        <v>Nutritionist</v>
      </c>
      <c r="P1246" s="1" t="str">
        <f aca="false">IF(G1246&gt;0,IF(INDEX(CONFIRM!$H$5:$H$53,G1246)&lt;&gt;"",INDEX(CONFIRM!$H$5:$H$53,G1246),IFERROR(INDEX(MAP!$B$7:$B$156,MATCH(TRIM(O1246),MAP!$A$7:$A$156,0)),"UNMAPPED")),IFERROR(INDEX(MAP!$B$7:$B$156,MATCH(TRIM(O1246),MAP!$A$7:$A$156,0)),"UNMAPPED"))</f>
        <v>Registered Dietitian</v>
      </c>
      <c r="Q1246" s="48" t="n">
        <f aca="false">STACK!I1246</f>
        <v>20.75</v>
      </c>
      <c r="R1246" s="60" t="n">
        <f aca="false">IF(G1246&gt;0,IF(INDEX(CONFIRM!$F$5:$F$53,G1246)&lt;&gt;"",INDEX(CONFIRM!$F$5:$F$53,G1246),IF(ISNUMBER(Q1246),Q1246,IF(Q1246="","",IFERROR(VALUE(TRIM(SUBSTITUTE(SUBSTITUTE(LOWER(Q1246),"hrs",""),"hr",""))),"")))),IF(ISNUMBER(Q1246),Q1246,IF(Q1246="","",IFERROR(VALUE(TRIM(SUBSTITUTE(SUBSTITUTE(LOWER(Q1246),"hrs",""),"hr",""))),""))))</f>
        <v>20.75</v>
      </c>
      <c r="S1246" s="57" t="n">
        <f aca="false">IFERROR(INDEX(RATES!$E$6:$E$28,MATCH(P1246,RATES!$A$6:$A$28,0)),0)</f>
        <v>46.9025</v>
      </c>
      <c r="T1246" s="61" t="n">
        <f aca="false">IF(ISNUMBER(R1246),R1246,0)*S1246</f>
        <v>973.226875</v>
      </c>
      <c r="U1246" s="61" t="n">
        <f aca="false">T1246*INDEX(INPUTS!$H$10:$H$14,MATCH(B1246,INPUTS!$A$10:$A$14,0))</f>
        <v>137.224989375</v>
      </c>
      <c r="V1246" s="61" t="n">
        <f aca="false">N(STACK!K1246)</f>
        <v>6370</v>
      </c>
      <c r="W1246" s="61" t="n">
        <f aca="false">T1246+U1246+V1246</f>
        <v>7480.451864375</v>
      </c>
      <c r="X1246" s="61" t="n">
        <f aca="false">N(STACK!L1246)</f>
        <v>3925</v>
      </c>
      <c r="Y1246" s="61" t="n">
        <f aca="false">W1246-X1246</f>
        <v>3555.451864375</v>
      </c>
      <c r="Z1246" s="1" t="n">
        <f aca="false">N(STACK!J1246)</f>
        <v>139</v>
      </c>
      <c r="AA1246" s="1" t="str">
        <f aca="false">TRIM(IF(D1246="UNMAPPED","Program not mapped. ","")&amp;IF(OR(K1246="UNMAPPED",K1246="UNASSIGNED"),"Category needs review. ","")&amp;IF(P1246="UNMAPPED","Title not mapped. ","")&amp;IF(AND(P1246&lt;&gt;"No staff time",R1246=""),"Missing hours. ","")&amp;IF(M1246="","Date not readable. ","")&amp;IF(N1246="No","Outside fiscal year. ","")&amp;IF(AND(F1246="Event",ISNUMBER(R1246)),IF(R1246&gt;12,"Event hours look high. ",""),"")&amp;IF(G1246&gt;0,"See CONFIRM sheet.",""))</f>
        <v/>
      </c>
      <c r="AB1246" s="1" t="n">
        <f aca="false">IF(N1246="No",0,IF(REVIEW!O1246=0,0,IF(G1246&gt;0,IF(INDEX(CONFIRM!$J$5:$J$53,G1246)&lt;&gt;"",INDEX(CONFIRM!$J$5:$J$53,G1246),1),1)))</f>
        <v>1</v>
      </c>
      <c r="AC1246" s="1" t="n">
        <f aca="false">IF(AB1246=1,IF(COUNTIFS($B$5:B1246,B1246,$D$5:D1246,D1246,$AB$5:AB1246,1)=1,1,0),0)</f>
        <v>0</v>
      </c>
    </row>
    <row r="1247" customFormat="false" ht="15" hidden="false" customHeight="false" outlineLevel="0" collapsed="false">
      <c r="A1247" s="48" t="str">
        <f aca="false">STACK!A1247</f>
        <v>WCH-0140</v>
      </c>
      <c r="B1247" s="48" t="str">
        <f aca="false">STACK!B1247</f>
        <v>WCH</v>
      </c>
      <c r="C1247" s="48" t="str">
        <f aca="false">STACK!E1247</f>
        <v>cb admin</v>
      </c>
      <c r="D1247" s="1" t="str">
        <f aca="false">IFERROR(INDEX(MAP!$J$7:$J$101,MATCH(TRIM(C1247),MAP!$I$7:$I$101,0)),"UNMAPPED")</f>
        <v>Community Benefit Program Administration</v>
      </c>
      <c r="E1247" s="1" t="str">
        <f aca="false">IFERROR(INDEX(MAP!$K$7:$K$101,MATCH(TRIM(C1247),MAP!$I$7:$I$101,0)),"")</f>
        <v>Community benefit infrastructure</v>
      </c>
      <c r="F1247" s="1" t="str">
        <f aca="false">IFERROR(INDEX(MAP!$L$7:$L$101,MATCH(TRIM(C1247),MAP!$I$7:$I$101,0)),"")</f>
        <v>Monthly</v>
      </c>
      <c r="G1247" s="1" t="n">
        <f aca="false">IFERROR(MATCH(A1247,CONFIRM!$A$5:$A$53,0),0)</f>
        <v>0</v>
      </c>
      <c r="H1247" s="48" t="str">
        <f aca="false">STACK!F1247</f>
        <v>cb operations</v>
      </c>
      <c r="I1247" s="1" t="str">
        <f aca="false">IF(G1247&gt;0,IF(INDEX(CONFIRM!$I$5:$I$53,G1247)&lt;&gt;"",INDEX(CONFIRM!$I$5:$I$53,G1247),H1247),H1247)</f>
        <v>cb operations</v>
      </c>
      <c r="J1247" s="1" t="str">
        <f aca="false">IFERROR(INDEX(MAP!$F$7:$F$74,MATCH(TRIM(I1247),MAP!$E$7:$E$74,0)),"UNMAPPED")</f>
        <v>Community benefit operations</v>
      </c>
      <c r="K1247" s="1" t="str">
        <f aca="false">IFERROR(INDEX(MAP!$G$7:$G$74,MATCH(TRIM(I1247),MAP!$E$7:$E$74,0)),"UNMAPPED")</f>
        <v>7e</v>
      </c>
      <c r="L1247" s="49" t="n">
        <f aca="false">STACK!G1247</f>
        <v>46022</v>
      </c>
      <c r="M1247" s="59" t="n">
        <f aca="false">IF(G1247&gt;0,IF(INDEX(CONFIRM!$G$5:$G$53,G1247)&lt;&gt;"",INDEX(CONFIRM!$G$5:$G$53,G1247),IF(ISNUMBER(L1247),L1247,IFERROR(DATEVALUE(L1247),""))),IF(ISNUMBER(L1247),L1247,IFERROR(DATEVALUE(L1247),"")))</f>
        <v>46022</v>
      </c>
      <c r="N1247" s="1" t="str">
        <f aca="false">IF(M1247="","Check",IF(AND(M1247&gt;=INPUTS!$C$6,M1247&lt;=INPUTS!$C$7),"Yes","No"))</f>
        <v>Yes</v>
      </c>
      <c r="O1247" s="48" t="str">
        <f aca="false">STACK!H1247</f>
        <v>Admin </v>
      </c>
      <c r="P1247" s="1" t="str">
        <f aca="false">IF(G1247&gt;0,IF(INDEX(CONFIRM!$H$5:$H$53,G1247)&lt;&gt;"",INDEX(CONFIRM!$H$5:$H$53,G1247),IFERROR(INDEX(MAP!$B$7:$B$156,MATCH(TRIM(O1247),MAP!$A$7:$A$156,0)),"UNMAPPED")),IFERROR(INDEX(MAP!$B$7:$B$156,MATCH(TRIM(O1247),MAP!$A$7:$A$156,0)),"UNMAPPED"))</f>
        <v>Administrative Assistant</v>
      </c>
      <c r="Q1247" s="48" t="n">
        <f aca="false">STACK!I1247</f>
        <v>21</v>
      </c>
      <c r="R1247" s="60" t="n">
        <f aca="false">IF(G1247&gt;0,IF(INDEX(CONFIRM!$F$5:$F$53,G1247)&lt;&gt;"",INDEX(CONFIRM!$F$5:$F$53,G1247),IF(ISNUMBER(Q1247),Q1247,IF(Q1247="","",IFERROR(VALUE(TRIM(SUBSTITUTE(SUBSTITUTE(LOWER(Q1247),"hrs",""),"hr",""))),"")))),IF(ISNUMBER(Q1247),Q1247,IF(Q1247="","",IFERROR(VALUE(TRIM(SUBSTITUTE(SUBSTITUTE(LOWER(Q1247),"hrs",""),"hr",""))),""))))</f>
        <v>21</v>
      </c>
      <c r="S1247" s="57" t="n">
        <f aca="false">IFERROR(INDEX(RATES!$E$6:$E$28,MATCH(P1247,RATES!$A$6:$A$28,0)),0)</f>
        <v>26.985</v>
      </c>
      <c r="T1247" s="61" t="n">
        <f aca="false">IF(ISNUMBER(R1247),R1247,0)*S1247</f>
        <v>566.685</v>
      </c>
      <c r="U1247" s="61" t="n">
        <f aca="false">T1247*INDEX(INPUTS!$H$10:$H$14,MATCH(B1247,INPUTS!$A$10:$A$14,0))</f>
        <v>79.902585</v>
      </c>
      <c r="V1247" s="61" t="n">
        <f aca="false">N(STACK!K1247)</f>
        <v>0</v>
      </c>
      <c r="W1247" s="61" t="n">
        <f aca="false">T1247+U1247+V1247</f>
        <v>646.587585</v>
      </c>
      <c r="X1247" s="61" t="n">
        <f aca="false">N(STACK!L1247)</f>
        <v>0</v>
      </c>
      <c r="Y1247" s="61" t="n">
        <f aca="false">W1247-X1247</f>
        <v>646.587585</v>
      </c>
      <c r="Z1247" s="1" t="n">
        <f aca="false">N(STACK!J1247)</f>
        <v>0</v>
      </c>
      <c r="AA1247" s="1" t="str">
        <f aca="false">TRIM(IF(D1247="UNMAPPED","Program not mapped. ","")&amp;IF(OR(K1247="UNMAPPED",K1247="UNASSIGNED"),"Category needs review. ","")&amp;IF(P1247="UNMAPPED","Title not mapped. ","")&amp;IF(AND(P1247&lt;&gt;"No staff time",R1247=""),"Missing hours. ","")&amp;IF(M1247="","Date not readable. ","")&amp;IF(N1247="No","Outside fiscal year. ","")&amp;IF(AND(F1247="Event",ISNUMBER(R1247)),IF(R1247&gt;12,"Event hours look high. ",""),"")&amp;IF(G1247&gt;0,"See CONFIRM sheet.",""))</f>
        <v/>
      </c>
      <c r="AB1247" s="1" t="n">
        <f aca="false">IF(N1247="No",0,IF(REVIEW!O1247=0,0,IF(G1247&gt;0,IF(INDEX(CONFIRM!$J$5:$J$53,G1247)&lt;&gt;"",INDEX(CONFIRM!$J$5:$J$53,G1247),1),1)))</f>
        <v>1</v>
      </c>
      <c r="AC1247" s="1" t="n">
        <f aca="false">IF(AB1247=1,IF(COUNTIFS($B$5:B1247,B1247,$D$5:D1247,D1247,$AB$5:AB1247,1)=1,1,0),0)</f>
        <v>0</v>
      </c>
    </row>
    <row r="1248" customFormat="false" ht="15" hidden="false" customHeight="false" outlineLevel="0" collapsed="false">
      <c r="A1248" s="48" t="str">
        <f aca="false">STACK!A1248</f>
        <v>WCH-0141</v>
      </c>
      <c r="B1248" s="48" t="str">
        <f aca="false">STACK!B1248</f>
        <v>WCH</v>
      </c>
      <c r="C1248" s="48" t="str">
        <f aca="false">STACK!E1248</f>
        <v>cb admin</v>
      </c>
      <c r="D1248" s="1" t="str">
        <f aca="false">IFERROR(INDEX(MAP!$J$7:$J$101,MATCH(TRIM(C1248),MAP!$I$7:$I$101,0)),"UNMAPPED")</f>
        <v>Community Benefit Program Administration</v>
      </c>
      <c r="E1248" s="1" t="str">
        <f aca="false">IFERROR(INDEX(MAP!$K$7:$K$101,MATCH(TRIM(C1248),MAP!$I$7:$I$101,0)),"")</f>
        <v>Community benefit infrastructure</v>
      </c>
      <c r="F1248" s="1" t="str">
        <f aca="false">IFERROR(INDEX(MAP!$L$7:$L$101,MATCH(TRIM(C1248),MAP!$I$7:$I$101,0)),"")</f>
        <v>Monthly</v>
      </c>
      <c r="G1248" s="1" t="n">
        <f aca="false">IFERROR(MATCH(A1248,CONFIRM!$A$5:$A$53,0),0)</f>
        <v>0</v>
      </c>
      <c r="H1248" s="48" t="str">
        <f aca="false">STACK!F1248</f>
        <v>cb operations</v>
      </c>
      <c r="I1248" s="1" t="str">
        <f aca="false">IF(G1248&gt;0,IF(INDEX(CONFIRM!$I$5:$I$53,G1248)&lt;&gt;"",INDEX(CONFIRM!$I$5:$I$53,G1248),H1248),H1248)</f>
        <v>cb operations</v>
      </c>
      <c r="J1248" s="1" t="str">
        <f aca="false">IFERROR(INDEX(MAP!$F$7:$F$74,MATCH(TRIM(I1248),MAP!$E$7:$E$74,0)),"UNMAPPED")</f>
        <v>Community benefit operations</v>
      </c>
      <c r="K1248" s="1" t="str">
        <f aca="false">IFERROR(INDEX(MAP!$G$7:$G$74,MATCH(TRIM(I1248),MAP!$E$7:$E$74,0)),"UNMAPPED")</f>
        <v>7e</v>
      </c>
      <c r="L1248" s="49" t="n">
        <f aca="false">STACK!G1248</f>
        <v>46022</v>
      </c>
      <c r="M1248" s="59" t="n">
        <f aca="false">IF(G1248&gt;0,IF(INDEX(CONFIRM!$G$5:$G$53,G1248)&lt;&gt;"",INDEX(CONFIRM!$G$5:$G$53,G1248),IF(ISNUMBER(L1248),L1248,IFERROR(DATEVALUE(L1248),""))),IF(ISNUMBER(L1248),L1248,IFERROR(DATEVALUE(L1248),"")))</f>
        <v>46022</v>
      </c>
      <c r="N1248" s="1" t="str">
        <f aca="false">IF(M1248="","Check",IF(AND(M1248&gt;=INPUTS!$C$6,M1248&lt;=INPUTS!$C$7),"Yes","No"))</f>
        <v>Yes</v>
      </c>
      <c r="O1248" s="48" t="str">
        <f aca="false">STACK!H1248</f>
        <v>Community Health Manager</v>
      </c>
      <c r="P1248" s="1" t="str">
        <f aca="false">IF(G1248&gt;0,IF(INDEX(CONFIRM!$H$5:$H$53,G1248)&lt;&gt;"",INDEX(CONFIRM!$H$5:$H$53,G1248),IFERROR(INDEX(MAP!$B$7:$B$156,MATCH(TRIM(O1248),MAP!$A$7:$A$156,0)),"UNMAPPED")),IFERROR(INDEX(MAP!$B$7:$B$156,MATCH(TRIM(O1248),MAP!$A$7:$A$156,0)),"UNMAPPED"))</f>
        <v>Community Benefit Manager</v>
      </c>
      <c r="Q1248" s="48" t="n">
        <f aca="false">STACK!I1248</f>
        <v>55</v>
      </c>
      <c r="R1248" s="60" t="n">
        <f aca="false">IF(G1248&gt;0,IF(INDEX(CONFIRM!$F$5:$F$53,G1248)&lt;&gt;"",INDEX(CONFIRM!$F$5:$F$53,G1248),IF(ISNUMBER(Q1248),Q1248,IF(Q1248="","",IFERROR(VALUE(TRIM(SUBSTITUTE(SUBSTITUTE(LOWER(Q1248),"hrs",""),"hr",""))),"")))),IF(ISNUMBER(Q1248),Q1248,IF(Q1248="","",IFERROR(VALUE(TRIM(SUBSTITUTE(SUBSTITUTE(LOWER(Q1248),"hrs",""),"hr",""))),""))))</f>
        <v>55</v>
      </c>
      <c r="S1248" s="57" t="n">
        <f aca="false">IFERROR(INDEX(RATES!$E$6:$E$28,MATCH(P1248,RATES!$A$6:$A$28,0)),0)</f>
        <v>59.11</v>
      </c>
      <c r="T1248" s="61" t="n">
        <f aca="false">IF(ISNUMBER(R1248),R1248,0)*S1248</f>
        <v>3251.05</v>
      </c>
      <c r="U1248" s="61" t="n">
        <f aca="false">T1248*INDEX(INPUTS!$H$10:$H$14,MATCH(B1248,INPUTS!$A$10:$A$14,0))</f>
        <v>458.39805</v>
      </c>
      <c r="V1248" s="61" t="n">
        <f aca="false">N(STACK!K1248)</f>
        <v>505</v>
      </c>
      <c r="W1248" s="61" t="n">
        <f aca="false">T1248+U1248+V1248</f>
        <v>4214.44805</v>
      </c>
      <c r="X1248" s="61" t="n">
        <f aca="false">N(STACK!L1248)</f>
        <v>0</v>
      </c>
      <c r="Y1248" s="61" t="n">
        <f aca="false">W1248-X1248</f>
        <v>4214.44805</v>
      </c>
      <c r="Z1248" s="1" t="n">
        <f aca="false">N(STACK!J1248)</f>
        <v>0</v>
      </c>
      <c r="AA1248" s="1" t="str">
        <f aca="false">TRIM(IF(D1248="UNMAPPED","Program not mapped. ","")&amp;IF(OR(K1248="UNMAPPED",K1248="UNASSIGNED"),"Category needs review. ","")&amp;IF(P1248="UNMAPPED","Title not mapped. ","")&amp;IF(AND(P1248&lt;&gt;"No staff time",R1248=""),"Missing hours. ","")&amp;IF(M1248="","Date not readable. ","")&amp;IF(N1248="No","Outside fiscal year. ","")&amp;IF(AND(F1248="Event",ISNUMBER(R1248)),IF(R1248&gt;12,"Event hours look high. ",""),"")&amp;IF(G1248&gt;0,"See CONFIRM sheet.",""))</f>
        <v/>
      </c>
      <c r="AB1248" s="1" t="n">
        <f aca="false">IF(N1248="No",0,IF(REVIEW!O1248=0,0,IF(G1248&gt;0,IF(INDEX(CONFIRM!$J$5:$J$53,G1248)&lt;&gt;"",INDEX(CONFIRM!$J$5:$J$53,G1248),1),1)))</f>
        <v>1</v>
      </c>
      <c r="AC1248" s="1" t="n">
        <f aca="false">IF(AB1248=1,IF(COUNTIFS($B$5:B1248,B1248,$D$5:D1248,D1248,$AB$5:AB1248,1)=1,1,0),0)</f>
        <v>0</v>
      </c>
    </row>
    <row r="1249" customFormat="false" ht="15" hidden="false" customHeight="false" outlineLevel="0" collapsed="false">
      <c r="A1249" s="48" t="str">
        <f aca="false">STACK!A1249</f>
        <v>WCH-0142</v>
      </c>
      <c r="B1249" s="48" t="str">
        <f aca="false">STACK!B1249</f>
        <v>WCH</v>
      </c>
      <c r="C1249" s="48" t="str">
        <f aca="false">STACK!E1249</f>
        <v>community paramedic</v>
      </c>
      <c r="D1249" s="1" t="str">
        <f aca="false">IFERROR(INDEX(MAP!$J$7:$J$101,MATCH(TRIM(C1249),MAP!$I$7:$I$101,0)),"UNMAPPED")</f>
        <v>Community Paramedic Home Visits</v>
      </c>
      <c r="E1249" s="1" t="str">
        <f aca="false">IFERROR(INDEX(MAP!$K$7:$K$101,MATCH(TRIM(C1249),MAP!$I$7:$I$101,0)),"")</f>
        <v>Access to care</v>
      </c>
      <c r="F1249" s="1" t="str">
        <f aca="false">IFERROR(INDEX(MAP!$L$7:$L$101,MATCH(TRIM(C1249),MAP!$I$7:$I$101,0)),"")</f>
        <v>Monthly</v>
      </c>
      <c r="G1249" s="1" t="n">
        <f aca="false">IFERROR(MATCH(A1249,CONFIRM!$A$5:$A$53,0),0)</f>
        <v>0</v>
      </c>
      <c r="H1249" s="48" t="str">
        <f aca="false">STACK!F1249</f>
        <v>CHIS clinical</v>
      </c>
      <c r="I1249" s="1" t="str">
        <f aca="false">IF(G1249&gt;0,IF(INDEX(CONFIRM!$I$5:$I$53,G1249)&lt;&gt;"",INDEX(CONFIRM!$I$5:$I$53,G1249),H1249),H1249)</f>
        <v>CHIS clinical</v>
      </c>
      <c r="J1249" s="1" t="str">
        <f aca="false">IFERROR(INDEX(MAP!$F$7:$F$74,MATCH(TRIM(I1249),MAP!$E$7:$E$74,0)),"UNMAPPED")</f>
        <v>Community-based clinical services</v>
      </c>
      <c r="K1249" s="1" t="str">
        <f aca="false">IFERROR(INDEX(MAP!$G$7:$G$74,MATCH(TRIM(I1249),MAP!$E$7:$E$74,0)),"UNMAPPED")</f>
        <v>7e</v>
      </c>
      <c r="L1249" s="49" t="str">
        <f aca="false">STACK!G1249</f>
        <v>12/31/25</v>
      </c>
      <c r="M1249" s="59" t="n">
        <f aca="false">IF(G1249&gt;0,IF(INDEX(CONFIRM!$G$5:$G$53,G1249)&lt;&gt;"",INDEX(CONFIRM!$G$5:$G$53,G1249),IF(ISNUMBER(L1249),L1249,IFERROR(DATEVALUE(L1249),""))),IF(ISNUMBER(L1249),L1249,IFERROR(DATEVALUE(L1249),"")))</f>
        <v>46022</v>
      </c>
      <c r="N1249" s="1" t="str">
        <f aca="false">IF(M1249="","Check",IF(AND(M1249&gt;=INPUTS!$C$6,M1249&lt;=INPUTS!$C$7),"Yes","No"))</f>
        <v>Yes</v>
      </c>
      <c r="O1249" s="48" t="str">
        <f aca="false">STACK!H1249</f>
        <v>EMS Paramedic</v>
      </c>
      <c r="P1249" s="1" t="str">
        <f aca="false">IF(G1249&gt;0,IF(INDEX(CONFIRM!$H$5:$H$53,G1249)&lt;&gt;"",INDEX(CONFIRM!$H$5:$H$53,G1249),IFERROR(INDEX(MAP!$B$7:$B$156,MATCH(TRIM(O1249),MAP!$A$7:$A$156,0)),"UNMAPPED")),IFERROR(INDEX(MAP!$B$7:$B$156,MATCH(TRIM(O1249),MAP!$A$7:$A$156,0)),"UNMAPPED"))</f>
        <v>Paramedic</v>
      </c>
      <c r="Q1249" s="48" t="n">
        <f aca="false">STACK!I1249</f>
        <v>57.5</v>
      </c>
      <c r="R1249" s="60" t="n">
        <f aca="false">IF(G1249&gt;0,IF(INDEX(CONFIRM!$F$5:$F$53,G1249)&lt;&gt;"",INDEX(CONFIRM!$F$5:$F$53,G1249),IF(ISNUMBER(Q1249),Q1249,IF(Q1249="","",IFERROR(VALUE(TRIM(SUBSTITUTE(SUBSTITUTE(LOWER(Q1249),"hrs",""),"hr",""))),"")))),IF(ISNUMBER(Q1249),Q1249,IF(Q1249="","",IFERROR(VALUE(TRIM(SUBSTITUTE(SUBSTITUTE(LOWER(Q1249),"hrs",""),"hr",""))),""))))</f>
        <v>57.5</v>
      </c>
      <c r="S1249" s="57" t="n">
        <f aca="false">IFERROR(INDEX(RATES!$E$6:$E$28,MATCH(P1249,RATES!$A$6:$A$28,0)),0)</f>
        <v>34.695</v>
      </c>
      <c r="T1249" s="61" t="n">
        <f aca="false">IF(ISNUMBER(R1249),R1249,0)*S1249</f>
        <v>1994.9625</v>
      </c>
      <c r="U1249" s="61" t="n">
        <f aca="false">T1249*INDEX(INPUTS!$H$10:$H$14,MATCH(B1249,INPUTS!$A$10:$A$14,0))</f>
        <v>281.2897125</v>
      </c>
      <c r="V1249" s="61" t="n">
        <f aca="false">N(STACK!K1249)</f>
        <v>440</v>
      </c>
      <c r="W1249" s="61" t="n">
        <f aca="false">T1249+U1249+V1249</f>
        <v>2716.2522125</v>
      </c>
      <c r="X1249" s="61" t="n">
        <f aca="false">N(STACK!L1249)</f>
        <v>0</v>
      </c>
      <c r="Y1249" s="61" t="n">
        <f aca="false">W1249-X1249</f>
        <v>2716.2522125</v>
      </c>
      <c r="Z1249" s="1" t="n">
        <f aca="false">N(STACK!J1249)</f>
        <v>47</v>
      </c>
      <c r="AA1249" s="1" t="str">
        <f aca="false">TRIM(IF(D1249="UNMAPPED","Program not mapped. ","")&amp;IF(OR(K1249="UNMAPPED",K1249="UNASSIGNED"),"Category needs review. ","")&amp;IF(P1249="UNMAPPED","Title not mapped. ","")&amp;IF(AND(P1249&lt;&gt;"No staff time",R1249=""),"Missing hours. ","")&amp;IF(M1249="","Date not readable. ","")&amp;IF(N1249="No","Outside fiscal year. ","")&amp;IF(AND(F1249="Event",ISNUMBER(R1249)),IF(R1249&gt;12,"Event hours look high. ",""),"")&amp;IF(G1249&gt;0,"See CONFIRM sheet.",""))</f>
        <v/>
      </c>
      <c r="AB1249" s="1" t="n">
        <f aca="false">IF(N1249="No",0,IF(REVIEW!O1249=0,0,IF(G1249&gt;0,IF(INDEX(CONFIRM!$J$5:$J$53,G1249)&lt;&gt;"",INDEX(CONFIRM!$J$5:$J$53,G1249),1),1)))</f>
        <v>1</v>
      </c>
      <c r="AC1249" s="1" t="n">
        <f aca="false">IF(AB1249=1,IF(COUNTIFS($B$5:B1249,B1249,$D$5:D1249,D1249,$AB$5:AB1249,1)=1,1,0),0)</f>
        <v>0</v>
      </c>
    </row>
    <row r="1250" customFormat="false" ht="15" hidden="false" customHeight="false" outlineLevel="0" collapsed="false">
      <c r="A1250" s="48" t="str">
        <f aca="false">STACK!A1250</f>
        <v>WCH-0143</v>
      </c>
      <c r="B1250" s="48" t="str">
        <f aca="false">STACK!B1250</f>
        <v>WCH</v>
      </c>
      <c r="C1250" s="48" t="str">
        <f aca="false">STACK!E1250</f>
        <v>nursing students</v>
      </c>
      <c r="D1250" s="1" t="str">
        <f aca="false">IFERROR(INDEX(MAP!$J$7:$J$101,MATCH(TRIM(C1250),MAP!$I$7:$I$101,0)),"UNMAPPED")</f>
        <v>Nursing Student Clinical Rotations</v>
      </c>
      <c r="E1250" s="1" t="str">
        <f aca="false">IFERROR(INDEX(MAP!$K$7:$K$101,MATCH(TRIM(C1250),MAP!$I$7:$I$101,0)),"")</f>
        <v>Health workforce</v>
      </c>
      <c r="F1250" s="1" t="str">
        <f aca="false">IFERROR(INDEX(MAP!$L$7:$L$101,MATCH(TRIM(C1250),MAP!$I$7:$I$101,0)),"")</f>
        <v>Monthly</v>
      </c>
      <c r="G1250" s="1" t="n">
        <f aca="false">IFERROR(MATCH(A1250,CONFIRM!$A$5:$A$53,0),0)</f>
        <v>0</v>
      </c>
      <c r="H1250" s="48" t="str">
        <f aca="false">STACK!F1250</f>
        <v>health professions ed</v>
      </c>
      <c r="I1250" s="1" t="str">
        <f aca="false">IF(G1250&gt;0,IF(INDEX(CONFIRM!$I$5:$I$53,G1250)&lt;&gt;"",INDEX(CONFIRM!$I$5:$I$53,G1250),H1250),H1250)</f>
        <v>health professions ed</v>
      </c>
      <c r="J1250" s="1" t="str">
        <f aca="false">IFERROR(INDEX(MAP!$F$7:$F$74,MATCH(TRIM(I1250),MAP!$E$7:$E$74,0)),"UNMAPPED")</f>
        <v>Health professions education</v>
      </c>
      <c r="K1250" s="1" t="str">
        <f aca="false">IFERROR(INDEX(MAP!$G$7:$G$74,MATCH(TRIM(I1250),MAP!$E$7:$E$74,0)),"UNMAPPED")</f>
        <v>7f</v>
      </c>
      <c r="L1250" s="49" t="str">
        <f aca="false">STACK!G1250</f>
        <v>12/31/25</v>
      </c>
      <c r="M1250" s="59" t="n">
        <f aca="false">IF(G1250&gt;0,IF(INDEX(CONFIRM!$G$5:$G$53,G1250)&lt;&gt;"",INDEX(CONFIRM!$G$5:$G$53,G1250),IF(ISNUMBER(L1250),L1250,IFERROR(DATEVALUE(L1250),""))),IF(ISNUMBER(L1250),L1250,IFERROR(DATEVALUE(L1250),"")))</f>
        <v>46022</v>
      </c>
      <c r="N1250" s="1" t="str">
        <f aca="false">IF(M1250="","Check",IF(AND(M1250&gt;=INPUTS!$C$6,M1250&lt;=INPUTS!$C$7),"Yes","No"))</f>
        <v>Yes</v>
      </c>
      <c r="O1250" s="48" t="str">
        <f aca="false">STACK!H1250</f>
        <v>Nurse Educator</v>
      </c>
      <c r="P1250" s="1" t="str">
        <f aca="false">IF(G1250&gt;0,IF(INDEX(CONFIRM!$H$5:$H$53,G1250)&lt;&gt;"",INDEX(CONFIRM!$H$5:$H$53,G1250),IFERROR(INDEX(MAP!$B$7:$B$156,MATCH(TRIM(O1250),MAP!$A$7:$A$156,0)),"UNMAPPED")),IFERROR(INDEX(MAP!$B$7:$B$156,MATCH(TRIM(O1250),MAP!$A$7:$A$156,0)),"UNMAPPED"))</f>
        <v>Clinical Nurse Educator</v>
      </c>
      <c r="Q1250" s="48" t="n">
        <f aca="false">STACK!I1250</f>
        <v>40.5</v>
      </c>
      <c r="R1250" s="60" t="n">
        <f aca="false">IF(G1250&gt;0,IF(INDEX(CONFIRM!$F$5:$F$53,G1250)&lt;&gt;"",INDEX(CONFIRM!$F$5:$F$53,G1250),IF(ISNUMBER(Q1250),Q1250,IF(Q1250="","",IFERROR(VALUE(TRIM(SUBSTITUTE(SUBSTITUTE(LOWER(Q1250),"hrs",""),"hr",""))),"")))),IF(ISNUMBER(Q1250),Q1250,IF(Q1250="","",IFERROR(VALUE(TRIM(SUBSTITUTE(SUBSTITUTE(LOWER(Q1250),"hrs",""),"hr",""))),""))))</f>
        <v>40.5</v>
      </c>
      <c r="S1250" s="57" t="n">
        <f aca="false">IFERROR(INDEX(RATES!$E$6:$E$28,MATCH(P1250,RATES!$A$6:$A$28,0)),0)</f>
        <v>62.965</v>
      </c>
      <c r="T1250" s="61" t="n">
        <f aca="false">IF(ISNUMBER(R1250),R1250,0)*S1250</f>
        <v>2550.0825</v>
      </c>
      <c r="U1250" s="61" t="n">
        <f aca="false">T1250*INDEX(INPUTS!$H$10:$H$14,MATCH(B1250,INPUTS!$A$10:$A$14,0))</f>
        <v>359.5616325</v>
      </c>
      <c r="V1250" s="61" t="n">
        <f aca="false">N(STACK!K1250)</f>
        <v>95</v>
      </c>
      <c r="W1250" s="61" t="n">
        <f aca="false">T1250+U1250+V1250</f>
        <v>3004.6441325</v>
      </c>
      <c r="X1250" s="61" t="n">
        <f aca="false">N(STACK!L1250)</f>
        <v>0</v>
      </c>
      <c r="Y1250" s="61" t="n">
        <f aca="false">W1250-X1250</f>
        <v>3004.6441325</v>
      </c>
      <c r="Z1250" s="1" t="n">
        <f aca="false">N(STACK!J1250)</f>
        <v>10</v>
      </c>
      <c r="AA1250" s="1" t="str">
        <f aca="false">TRIM(IF(D1250="UNMAPPED","Program not mapped. ","")&amp;IF(OR(K1250="UNMAPPED",K1250="UNASSIGNED"),"Category needs review. ","")&amp;IF(P1250="UNMAPPED","Title not mapped. ","")&amp;IF(AND(P1250&lt;&gt;"No staff time",R1250=""),"Missing hours. ","")&amp;IF(M1250="","Date not readable. ","")&amp;IF(N1250="No","Outside fiscal year. ","")&amp;IF(AND(F1250="Event",ISNUMBER(R1250)),IF(R1250&gt;12,"Event hours look high. ",""),"")&amp;IF(G1250&gt;0,"See CONFIRM sheet.",""))</f>
        <v/>
      </c>
      <c r="AB1250" s="1" t="n">
        <f aca="false">IF(N1250="No",0,IF(REVIEW!O1250=0,0,IF(G1250&gt;0,IF(INDEX(CONFIRM!$J$5:$J$53,G1250)&lt;&gt;"",INDEX(CONFIRM!$J$5:$J$53,G1250),1),1)))</f>
        <v>1</v>
      </c>
      <c r="AC1250" s="1" t="n">
        <f aca="false">IF(AB1250=1,IF(COUNTIFS($B$5:B1250,B1250,$D$5:D1250,D1250,$AB$5:AB1250,1)=1,1,0),0)</f>
        <v>0</v>
      </c>
    </row>
    <row r="1251" customFormat="false" ht="15" hidden="false" customHeight="false" outlineLevel="0" collapsed="false">
      <c r="A1251" s="48" t="str">
        <f aca="false">STACK!A1251</f>
        <v>WCH-0144</v>
      </c>
      <c r="B1251" s="48" t="str">
        <f aca="false">STACK!B1251</f>
        <v>WCH</v>
      </c>
      <c r="C1251" s="48" t="str">
        <f aca="false">STACK!E1251</f>
        <v>nursing students</v>
      </c>
      <c r="D1251" s="1" t="str">
        <f aca="false">IFERROR(INDEX(MAP!$J$7:$J$101,MATCH(TRIM(C1251),MAP!$I$7:$I$101,0)),"UNMAPPED")</f>
        <v>Nursing Student Clinical Rotations</v>
      </c>
      <c r="E1251" s="1" t="str">
        <f aca="false">IFERROR(INDEX(MAP!$K$7:$K$101,MATCH(TRIM(C1251),MAP!$I$7:$I$101,0)),"")</f>
        <v>Health workforce</v>
      </c>
      <c r="F1251" s="1" t="str">
        <f aca="false">IFERROR(INDEX(MAP!$L$7:$L$101,MATCH(TRIM(C1251),MAP!$I$7:$I$101,0)),"")</f>
        <v>Monthly</v>
      </c>
      <c r="G1251" s="1" t="n">
        <f aca="false">IFERROR(MATCH(A1251,CONFIRM!$A$5:$A$53,0),0)</f>
        <v>0</v>
      </c>
      <c r="H1251" s="48" t="str">
        <f aca="false">STACK!F1251</f>
        <v>health professions ed</v>
      </c>
      <c r="I1251" s="1" t="str">
        <f aca="false">IF(G1251&gt;0,IF(INDEX(CONFIRM!$I$5:$I$53,G1251)&lt;&gt;"",INDEX(CONFIRM!$I$5:$I$53,G1251),H1251),H1251)</f>
        <v>health professions ed</v>
      </c>
      <c r="J1251" s="1" t="str">
        <f aca="false">IFERROR(INDEX(MAP!$F$7:$F$74,MATCH(TRIM(I1251),MAP!$E$7:$E$74,0)),"UNMAPPED")</f>
        <v>Health professions education</v>
      </c>
      <c r="K1251" s="1" t="str">
        <f aca="false">IFERROR(INDEX(MAP!$G$7:$G$74,MATCH(TRIM(I1251),MAP!$E$7:$E$74,0)),"UNMAPPED")</f>
        <v>7f</v>
      </c>
      <c r="L1251" s="49" t="str">
        <f aca="false">STACK!G1251</f>
        <v>December 31, 2025</v>
      </c>
      <c r="M1251" s="59" t="n">
        <f aca="false">IF(G1251&gt;0,IF(INDEX(CONFIRM!$G$5:$G$53,G1251)&lt;&gt;"",INDEX(CONFIRM!$G$5:$G$53,G1251),IF(ISNUMBER(L1251),L1251,IFERROR(DATEVALUE(L1251),""))),IF(ISNUMBER(L1251),L1251,IFERROR(DATEVALUE(L1251),"")))</f>
        <v>46022</v>
      </c>
      <c r="N1251" s="1" t="str">
        <f aca="false">IF(M1251="","Check",IF(AND(M1251&gt;=INPUTS!$C$6,M1251&lt;=INPUTS!$C$7),"Yes","No"))</f>
        <v>Yes</v>
      </c>
      <c r="O1251" s="48" t="str">
        <f aca="false">STACK!H1251</f>
        <v>RN III</v>
      </c>
      <c r="P1251" s="1" t="str">
        <f aca="false">IF(G1251&gt;0,IF(INDEX(CONFIRM!$H$5:$H$53,G1251)&lt;&gt;"",INDEX(CONFIRM!$H$5:$H$53,G1251),IFERROR(INDEX(MAP!$B$7:$B$156,MATCH(TRIM(O1251),MAP!$A$7:$A$156,0)),"UNMAPPED")),IFERROR(INDEX(MAP!$B$7:$B$156,MATCH(TRIM(O1251),MAP!$A$7:$A$156,0)),"UNMAPPED"))</f>
        <v>Registered Nurse</v>
      </c>
      <c r="Q1251" s="48" t="n">
        <f aca="false">STACK!I1251</f>
        <v>45.75</v>
      </c>
      <c r="R1251" s="60" t="n">
        <f aca="false">IF(G1251&gt;0,IF(INDEX(CONFIRM!$F$5:$F$53,G1251)&lt;&gt;"",INDEX(CONFIRM!$F$5:$F$53,G1251),IF(ISNUMBER(Q1251),Q1251,IF(Q1251="","",IFERROR(VALUE(TRIM(SUBSTITUTE(SUBSTITUTE(LOWER(Q1251),"hrs",""),"hr",""))),"")))),IF(ISNUMBER(Q1251),Q1251,IF(Q1251="","",IFERROR(VALUE(TRIM(SUBSTITUTE(SUBSTITUTE(LOWER(Q1251),"hrs",""),"hr",""))),""))))</f>
        <v>45.75</v>
      </c>
      <c r="S1251" s="57" t="n">
        <f aca="false">IFERROR(INDEX(RATES!$E$6:$E$28,MATCH(P1251,RATES!$A$6:$A$28,0)),0)</f>
        <v>55.8975</v>
      </c>
      <c r="T1251" s="61" t="n">
        <f aca="false">IF(ISNUMBER(R1251),R1251,0)*S1251</f>
        <v>2557.310625</v>
      </c>
      <c r="U1251" s="61" t="n">
        <f aca="false">T1251*INDEX(INPUTS!$H$10:$H$14,MATCH(B1251,INPUTS!$A$10:$A$14,0))</f>
        <v>360.580798125</v>
      </c>
      <c r="V1251" s="61" t="n">
        <f aca="false">N(STACK!K1251)</f>
        <v>0</v>
      </c>
      <c r="W1251" s="61" t="n">
        <f aca="false">T1251+U1251+V1251</f>
        <v>2917.891423125</v>
      </c>
      <c r="X1251" s="61" t="n">
        <f aca="false">N(STACK!L1251)</f>
        <v>0</v>
      </c>
      <c r="Y1251" s="61" t="n">
        <f aca="false">W1251-X1251</f>
        <v>2917.891423125</v>
      </c>
      <c r="Z1251" s="1" t="n">
        <f aca="false">N(STACK!J1251)</f>
        <v>0</v>
      </c>
      <c r="AA1251" s="1" t="str">
        <f aca="false">TRIM(IF(D1251="UNMAPPED","Program not mapped. ","")&amp;IF(OR(K1251="UNMAPPED",K1251="UNASSIGNED"),"Category needs review. ","")&amp;IF(P1251="UNMAPPED","Title not mapped. ","")&amp;IF(AND(P1251&lt;&gt;"No staff time",R1251=""),"Missing hours. ","")&amp;IF(M1251="","Date not readable. ","")&amp;IF(N1251="No","Outside fiscal year. ","")&amp;IF(AND(F1251="Event",ISNUMBER(R1251)),IF(R1251&gt;12,"Event hours look high. ",""),"")&amp;IF(G1251&gt;0,"See CONFIRM sheet.",""))</f>
        <v/>
      </c>
      <c r="AB1251" s="1" t="n">
        <f aca="false">IF(N1251="No",0,IF(REVIEW!O1251=0,0,IF(G1251&gt;0,IF(INDEX(CONFIRM!$J$5:$J$53,G1251)&lt;&gt;"",INDEX(CONFIRM!$J$5:$J$53,G1251),1),1)))</f>
        <v>1</v>
      </c>
      <c r="AC1251" s="1" t="n">
        <f aca="false">IF(AB1251=1,IF(COUNTIFS($B$5:B1251,B1251,$D$5:D1251,D1251,$AB$5:AB1251,1)=1,1,0),0)</f>
        <v>0</v>
      </c>
    </row>
    <row r="1252" customFormat="false" ht="15" hidden="false" customHeight="false" outlineLevel="0" collapsed="false">
      <c r="A1252" s="48" t="str">
        <f aca="false">STACK!A1252</f>
        <v>WCH-0145</v>
      </c>
      <c r="B1252" s="48" t="str">
        <f aca="false">STACK!B1252</f>
        <v>WCH</v>
      </c>
      <c r="C1252" s="48" t="str">
        <f aca="false">STACK!E1252</f>
        <v>paramedic students</v>
      </c>
      <c r="D1252" s="1" t="str">
        <f aca="false">IFERROR(INDEX(MAP!$J$7:$J$101,MATCH(TRIM(C1252),MAP!$I$7:$I$101,0)),"UNMAPPED")</f>
        <v>Paramedic Student Field Training</v>
      </c>
      <c r="E1252" s="1" t="str">
        <f aca="false">IFERROR(INDEX(MAP!$K$7:$K$101,MATCH(TRIM(C1252),MAP!$I$7:$I$101,0)),"")</f>
        <v>Health workforce</v>
      </c>
      <c r="F1252" s="1" t="str">
        <f aca="false">IFERROR(INDEX(MAP!$L$7:$L$101,MATCH(TRIM(C1252),MAP!$I$7:$I$101,0)),"")</f>
        <v>Monthly</v>
      </c>
      <c r="G1252" s="1" t="n">
        <f aca="false">IFERROR(MATCH(A1252,CONFIRM!$A$5:$A$53,0),0)</f>
        <v>0</v>
      </c>
      <c r="H1252" s="48" t="str">
        <f aca="false">STACK!F1252</f>
        <v>health professions ed</v>
      </c>
      <c r="I1252" s="1" t="str">
        <f aca="false">IF(G1252&gt;0,IF(INDEX(CONFIRM!$I$5:$I$53,G1252)&lt;&gt;"",INDEX(CONFIRM!$I$5:$I$53,G1252),H1252),H1252)</f>
        <v>health professions ed</v>
      </c>
      <c r="J1252" s="1" t="str">
        <f aca="false">IFERROR(INDEX(MAP!$F$7:$F$74,MATCH(TRIM(I1252),MAP!$E$7:$E$74,0)),"UNMAPPED")</f>
        <v>Health professions education</v>
      </c>
      <c r="K1252" s="1" t="str">
        <f aca="false">IFERROR(INDEX(MAP!$G$7:$G$74,MATCH(TRIM(I1252),MAP!$E$7:$E$74,0)),"UNMAPPED")</f>
        <v>7f</v>
      </c>
      <c r="L1252" s="49" t="n">
        <f aca="false">STACK!G1252</f>
        <v>46022</v>
      </c>
      <c r="M1252" s="59" t="n">
        <f aca="false">IF(G1252&gt;0,IF(INDEX(CONFIRM!$G$5:$G$53,G1252)&lt;&gt;"",INDEX(CONFIRM!$G$5:$G$53,G1252),IF(ISNUMBER(L1252),L1252,IFERROR(DATEVALUE(L1252),""))),IF(ISNUMBER(L1252),L1252,IFERROR(DATEVALUE(L1252),"")))</f>
        <v>46022</v>
      </c>
      <c r="N1252" s="1" t="str">
        <f aca="false">IF(M1252="","Check",IF(AND(M1252&gt;=INPUTS!$C$6,M1252&lt;=INPUTS!$C$7),"Yes","No"))</f>
        <v>Yes</v>
      </c>
      <c r="O1252" s="48" t="str">
        <f aca="false">STACK!H1252</f>
        <v>Flight Paramedic</v>
      </c>
      <c r="P1252" s="1" t="str">
        <f aca="false">IF(G1252&gt;0,IF(INDEX(CONFIRM!$H$5:$H$53,G1252)&lt;&gt;"",INDEX(CONFIRM!$H$5:$H$53,G1252),IFERROR(INDEX(MAP!$B$7:$B$156,MATCH(TRIM(O1252),MAP!$A$7:$A$156,0)),"UNMAPPED")),IFERROR(INDEX(MAP!$B$7:$B$156,MATCH(TRIM(O1252),MAP!$A$7:$A$156,0)),"UNMAPPED"))</f>
        <v>Paramedic</v>
      </c>
      <c r="Q1252" s="48" t="n">
        <f aca="false">STACK!I1252</f>
        <v>54</v>
      </c>
      <c r="R1252" s="60" t="n">
        <f aca="false">IF(G1252&gt;0,IF(INDEX(CONFIRM!$F$5:$F$53,G1252)&lt;&gt;"",INDEX(CONFIRM!$F$5:$F$53,G1252),IF(ISNUMBER(Q1252),Q1252,IF(Q1252="","",IFERROR(VALUE(TRIM(SUBSTITUTE(SUBSTITUTE(LOWER(Q1252),"hrs",""),"hr",""))),"")))),IF(ISNUMBER(Q1252),Q1252,IF(Q1252="","",IFERROR(VALUE(TRIM(SUBSTITUTE(SUBSTITUTE(LOWER(Q1252),"hrs",""),"hr",""))),""))))</f>
        <v>54</v>
      </c>
      <c r="S1252" s="57" t="n">
        <f aca="false">IFERROR(INDEX(RATES!$E$6:$E$28,MATCH(P1252,RATES!$A$6:$A$28,0)),0)</f>
        <v>34.695</v>
      </c>
      <c r="T1252" s="61" t="n">
        <f aca="false">IF(ISNUMBER(R1252),R1252,0)*S1252</f>
        <v>1873.53</v>
      </c>
      <c r="U1252" s="61" t="n">
        <f aca="false">T1252*INDEX(INPUTS!$H$10:$H$14,MATCH(B1252,INPUTS!$A$10:$A$14,0))</f>
        <v>264.16773</v>
      </c>
      <c r="V1252" s="61" t="n">
        <f aca="false">N(STACK!K1252)</f>
        <v>70</v>
      </c>
      <c r="W1252" s="61" t="n">
        <f aca="false">T1252+U1252+V1252</f>
        <v>2207.69773</v>
      </c>
      <c r="X1252" s="61" t="n">
        <f aca="false">N(STACK!L1252)</f>
        <v>0</v>
      </c>
      <c r="Y1252" s="61" t="n">
        <f aca="false">W1252-X1252</f>
        <v>2207.69773</v>
      </c>
      <c r="Z1252" s="1" t="n">
        <f aca="false">N(STACK!J1252)</f>
        <v>3</v>
      </c>
      <c r="AA1252" s="1" t="str">
        <f aca="false">TRIM(IF(D1252="UNMAPPED","Program not mapped. ","")&amp;IF(OR(K1252="UNMAPPED",K1252="UNASSIGNED"),"Category needs review. ","")&amp;IF(P1252="UNMAPPED","Title not mapped. ","")&amp;IF(AND(P1252&lt;&gt;"No staff time",R1252=""),"Missing hours. ","")&amp;IF(M1252="","Date not readable. ","")&amp;IF(N1252="No","Outside fiscal year. ","")&amp;IF(AND(F1252="Event",ISNUMBER(R1252)),IF(R1252&gt;12,"Event hours look high. ",""),"")&amp;IF(G1252&gt;0,"See CONFIRM sheet.",""))</f>
        <v/>
      </c>
      <c r="AB1252" s="1" t="n">
        <f aca="false">IF(N1252="No",0,IF(REVIEW!O1252=0,0,IF(G1252&gt;0,IF(INDEX(CONFIRM!$J$5:$J$53,G1252)&lt;&gt;"",INDEX(CONFIRM!$J$5:$J$53,G1252),1),1)))</f>
        <v>1</v>
      </c>
      <c r="AC1252" s="1" t="n">
        <f aca="false">IF(AB1252=1,IF(COUNTIFS($B$5:B1252,B1252,$D$5:D1252,D1252,$AB$5:AB1252,1)=1,1,0),0)</f>
        <v>0</v>
      </c>
    </row>
    <row r="1253" customFormat="false" ht="15" hidden="false" customHeight="false" outlineLevel="0" collapsed="false">
      <c r="A1253" s="48" t="str">
        <f aca="false">STACK!A1253</f>
        <v>WCH-0146</v>
      </c>
      <c r="B1253" s="48" t="str">
        <f aca="false">STACK!B1253</f>
        <v>WCH</v>
      </c>
      <c r="C1253" s="48" t="str">
        <f aca="false">STACK!E1253</f>
        <v>rural maternal study</v>
      </c>
      <c r="D1253" s="1" t="str">
        <f aca="false">IFERROR(INDEX(MAP!$J$7:$J$101,MATCH(TRIM(C1253),MAP!$I$7:$I$101,0)),"UNMAPPED")</f>
        <v>Rural Maternal Outcomes Study</v>
      </c>
      <c r="E1253" s="1" t="str">
        <f aca="false">IFERROR(INDEX(MAP!$K$7:$K$101,MATCH(TRIM(C1253),MAP!$I$7:$I$101,0)),"")</f>
        <v>Maternal and child health</v>
      </c>
      <c r="F1253" s="1" t="str">
        <f aca="false">IFERROR(INDEX(MAP!$L$7:$L$101,MATCH(TRIM(C1253),MAP!$I$7:$I$101,0)),"")</f>
        <v>Monthly</v>
      </c>
      <c r="G1253" s="1" t="n">
        <f aca="false">IFERROR(MATCH(A1253,CONFIRM!$A$5:$A$53,0),0)</f>
        <v>0</v>
      </c>
      <c r="H1253" s="48" t="str">
        <f aca="false">STACK!F1253</f>
        <v>research</v>
      </c>
      <c r="I1253" s="1" t="str">
        <f aca="false">IF(G1253&gt;0,IF(INDEX(CONFIRM!$I$5:$I$53,G1253)&lt;&gt;"",INDEX(CONFIRM!$I$5:$I$53,G1253),H1253),H1253)</f>
        <v>research</v>
      </c>
      <c r="J1253" s="1" t="str">
        <f aca="false">IFERROR(INDEX(MAP!$F$7:$F$74,MATCH(TRIM(I1253),MAP!$E$7:$E$74,0)),"UNMAPPED")</f>
        <v>Research</v>
      </c>
      <c r="K1253" s="1" t="str">
        <f aca="false">IFERROR(INDEX(MAP!$G$7:$G$74,MATCH(TRIM(I1253),MAP!$E$7:$E$74,0)),"UNMAPPED")</f>
        <v>7h</v>
      </c>
      <c r="L1253" s="49" t="str">
        <f aca="false">STACK!G1253</f>
        <v>12/31/25</v>
      </c>
      <c r="M1253" s="59" t="n">
        <f aca="false">IF(G1253&gt;0,IF(INDEX(CONFIRM!$G$5:$G$53,G1253)&lt;&gt;"",INDEX(CONFIRM!$G$5:$G$53,G1253),IF(ISNUMBER(L1253),L1253,IFERROR(DATEVALUE(L1253),""))),IF(ISNUMBER(L1253),L1253,IFERROR(DATEVALUE(L1253),"")))</f>
        <v>46022</v>
      </c>
      <c r="N1253" s="1" t="str">
        <f aca="false">IF(M1253="","Check",IF(AND(M1253&gt;=INPUTS!$C$6,M1253&lt;=INPUTS!$C$7),"Yes","No"))</f>
        <v>Yes</v>
      </c>
      <c r="O1253" s="48" t="str">
        <f aca="false">STACK!H1253</f>
        <v>Decision Support Analyst</v>
      </c>
      <c r="P1253" s="1" t="str">
        <f aca="false">IF(G1253&gt;0,IF(INDEX(CONFIRM!$H$5:$H$53,G1253)&lt;&gt;"",INDEX(CONFIRM!$H$5:$H$53,G1253),IFERROR(INDEX(MAP!$B$7:$B$156,MATCH(TRIM(O1253),MAP!$A$7:$A$156,0)),"UNMAPPED")),IFERROR(INDEX(MAP!$B$7:$B$156,MATCH(TRIM(O1253),MAP!$A$7:$A$156,0)),"UNMAPPED"))</f>
        <v>Data Analyst</v>
      </c>
      <c r="Q1253" s="48" t="n">
        <f aca="false">STACK!I1253</f>
        <v>11.75</v>
      </c>
      <c r="R1253" s="60" t="n">
        <f aca="false">IF(G1253&gt;0,IF(INDEX(CONFIRM!$F$5:$F$53,G1253)&lt;&gt;"",INDEX(CONFIRM!$F$5:$F$53,G1253),IF(ISNUMBER(Q1253),Q1253,IF(Q1253="","",IFERROR(VALUE(TRIM(SUBSTITUTE(SUBSTITUTE(LOWER(Q1253),"hrs",""),"hr",""))),"")))),IF(ISNUMBER(Q1253),Q1253,IF(Q1253="","",IFERROR(VALUE(TRIM(SUBSTITUTE(SUBSTITUTE(LOWER(Q1253),"hrs",""),"hr",""))),""))))</f>
        <v>11.75</v>
      </c>
      <c r="S1253" s="57" t="n">
        <f aca="false">IFERROR(INDEX(RATES!$E$6:$E$28,MATCH(P1253,RATES!$A$6:$A$28,0)),0)</f>
        <v>48.83</v>
      </c>
      <c r="T1253" s="61" t="n">
        <f aca="false">IF(ISNUMBER(R1253),R1253,0)*S1253</f>
        <v>573.7525</v>
      </c>
      <c r="U1253" s="61" t="n">
        <f aca="false">T1253*INDEX(INPUTS!$H$10:$H$14,MATCH(B1253,INPUTS!$A$10:$A$14,0))</f>
        <v>80.8991025</v>
      </c>
      <c r="V1253" s="61" t="n">
        <f aca="false">N(STACK!K1253)</f>
        <v>0</v>
      </c>
      <c r="W1253" s="61" t="n">
        <f aca="false">T1253+U1253+V1253</f>
        <v>654.6516025</v>
      </c>
      <c r="X1253" s="61" t="n">
        <f aca="false">N(STACK!L1253)</f>
        <v>0</v>
      </c>
      <c r="Y1253" s="61" t="n">
        <f aca="false">W1253-X1253</f>
        <v>654.6516025</v>
      </c>
      <c r="Z1253" s="1" t="n">
        <f aca="false">N(STACK!J1253)</f>
        <v>0</v>
      </c>
      <c r="AA1253" s="1" t="str">
        <f aca="false">TRIM(IF(D1253="UNMAPPED","Program not mapped. ","")&amp;IF(OR(K1253="UNMAPPED",K1253="UNASSIGNED"),"Category needs review. ","")&amp;IF(P1253="UNMAPPED","Title not mapped. ","")&amp;IF(AND(P1253&lt;&gt;"No staff time",R1253=""),"Missing hours. ","")&amp;IF(M1253="","Date not readable. ","")&amp;IF(N1253="No","Outside fiscal year. ","")&amp;IF(AND(F1253="Event",ISNUMBER(R1253)),IF(R1253&gt;12,"Event hours look high. ",""),"")&amp;IF(G1253&gt;0,"See CONFIRM sheet.",""))</f>
        <v/>
      </c>
      <c r="AB1253" s="1" t="n">
        <f aca="false">IF(N1253="No",0,IF(REVIEW!O1253=0,0,IF(G1253&gt;0,IF(INDEX(CONFIRM!$J$5:$J$53,G1253)&lt;&gt;"",INDEX(CONFIRM!$J$5:$J$53,G1253),1),1)))</f>
        <v>1</v>
      </c>
      <c r="AC1253" s="1" t="n">
        <f aca="false">IF(AB1253=1,IF(COUNTIFS($B$5:B1253,B1253,$D$5:D1253,D1253,$AB$5:AB1253,1)=1,1,0),0)</f>
        <v>0</v>
      </c>
    </row>
    <row r="1254" customFormat="false" ht="15" hidden="false" customHeight="false" outlineLevel="0" collapsed="false">
      <c r="A1254" s="48" t="str">
        <f aca="false">STACK!A1254</f>
        <v>WCH-0147</v>
      </c>
      <c r="B1254" s="48" t="str">
        <f aca="false">STACK!B1254</f>
        <v>WCH</v>
      </c>
      <c r="C1254" s="48" t="str">
        <f aca="false">STACK!E1254</f>
        <v>rural maternal study</v>
      </c>
      <c r="D1254" s="1" t="str">
        <f aca="false">IFERROR(INDEX(MAP!$J$7:$J$101,MATCH(TRIM(C1254),MAP!$I$7:$I$101,0)),"UNMAPPED")</f>
        <v>Rural Maternal Outcomes Study</v>
      </c>
      <c r="E1254" s="1" t="str">
        <f aca="false">IFERROR(INDEX(MAP!$K$7:$K$101,MATCH(TRIM(C1254),MAP!$I$7:$I$101,0)),"")</f>
        <v>Maternal and child health</v>
      </c>
      <c r="F1254" s="1" t="str">
        <f aca="false">IFERROR(INDEX(MAP!$L$7:$L$101,MATCH(TRIM(C1254),MAP!$I$7:$I$101,0)),"")</f>
        <v>Monthly</v>
      </c>
      <c r="G1254" s="1" t="n">
        <f aca="false">IFERROR(MATCH(A1254,CONFIRM!$A$5:$A$53,0),0)</f>
        <v>0</v>
      </c>
      <c r="H1254" s="48" t="str">
        <f aca="false">STACK!F1254</f>
        <v>research</v>
      </c>
      <c r="I1254" s="1" t="str">
        <f aca="false">IF(G1254&gt;0,IF(INDEX(CONFIRM!$I$5:$I$53,G1254)&lt;&gt;"",INDEX(CONFIRM!$I$5:$I$53,G1254),H1254),H1254)</f>
        <v>research</v>
      </c>
      <c r="J1254" s="1" t="str">
        <f aca="false">IFERROR(INDEX(MAP!$F$7:$F$74,MATCH(TRIM(I1254),MAP!$E$7:$E$74,0)),"UNMAPPED")</f>
        <v>Research</v>
      </c>
      <c r="K1254" s="1" t="str">
        <f aca="false">IFERROR(INDEX(MAP!$G$7:$G$74,MATCH(TRIM(I1254),MAP!$E$7:$E$74,0)),"UNMAPPED")</f>
        <v>7h</v>
      </c>
      <c r="L1254" s="49" t="n">
        <f aca="false">STACK!G1254</f>
        <v>46022</v>
      </c>
      <c r="M1254" s="59" t="n">
        <f aca="false">IF(G1254&gt;0,IF(INDEX(CONFIRM!$G$5:$G$53,G1254)&lt;&gt;"",INDEX(CONFIRM!$G$5:$G$53,G1254),IF(ISNUMBER(L1254),L1254,IFERROR(DATEVALUE(L1254),""))),IF(ISNUMBER(L1254),L1254,IFERROR(DATEVALUE(L1254),"")))</f>
        <v>46022</v>
      </c>
      <c r="N1254" s="1" t="str">
        <f aca="false">IF(M1254="","Check",IF(AND(M1254&gt;=INPUTS!$C$6,M1254&lt;=INPUTS!$C$7),"Yes","No"))</f>
        <v>Yes</v>
      </c>
      <c r="O1254" s="48" t="str">
        <f aca="false">STACK!H1254</f>
        <v>Study Coordinator</v>
      </c>
      <c r="P1254" s="1" t="str">
        <f aca="false">IF(G1254&gt;0,IF(INDEX(CONFIRM!$H$5:$H$53,G1254)&lt;&gt;"",INDEX(CONFIRM!$H$5:$H$53,G1254),IFERROR(INDEX(MAP!$B$7:$B$156,MATCH(TRIM(O1254),MAP!$A$7:$A$156,0)),"UNMAPPED")),IFERROR(INDEX(MAP!$B$7:$B$156,MATCH(TRIM(O1254),MAP!$A$7:$A$156,0)),"UNMAPPED"))</f>
        <v>Research Coordinator</v>
      </c>
      <c r="Q1254" s="48" t="n">
        <f aca="false">STACK!I1254</f>
        <v>47.75</v>
      </c>
      <c r="R1254" s="60" t="n">
        <f aca="false">IF(G1254&gt;0,IF(INDEX(CONFIRM!$F$5:$F$53,G1254)&lt;&gt;"",INDEX(CONFIRM!$F$5:$F$53,G1254),IF(ISNUMBER(Q1254),Q1254,IF(Q1254="","",IFERROR(VALUE(TRIM(SUBSTITUTE(SUBSTITUTE(LOWER(Q1254),"hrs",""),"hr",""))),"")))),IF(ISNUMBER(Q1254),Q1254,IF(Q1254="","",IFERROR(VALUE(TRIM(SUBSTITUTE(SUBSTITUTE(LOWER(Q1254),"hrs",""),"hr",""))),""))))</f>
        <v>47.75</v>
      </c>
      <c r="S1254" s="57" t="n">
        <f aca="false">IFERROR(INDEX(RATES!$E$6:$E$28,MATCH(P1254,RATES!$A$6:$A$28,0)),0)</f>
        <v>42.405</v>
      </c>
      <c r="T1254" s="61" t="n">
        <f aca="false">IF(ISNUMBER(R1254),R1254,0)*S1254</f>
        <v>2024.83875</v>
      </c>
      <c r="U1254" s="61" t="n">
        <f aca="false">T1254*INDEX(INPUTS!$H$10:$H$14,MATCH(B1254,INPUTS!$A$10:$A$14,0))</f>
        <v>285.50226375</v>
      </c>
      <c r="V1254" s="61" t="n">
        <f aca="false">N(STACK!K1254)</f>
        <v>1700</v>
      </c>
      <c r="W1254" s="61" t="n">
        <f aca="false">T1254+U1254+V1254</f>
        <v>4010.34101375</v>
      </c>
      <c r="X1254" s="61" t="n">
        <f aca="false">N(STACK!L1254)</f>
        <v>4140</v>
      </c>
      <c r="Y1254" s="61" t="n">
        <f aca="false">W1254-X1254</f>
        <v>-129.65898625</v>
      </c>
      <c r="Z1254" s="1" t="n">
        <f aca="false">N(STACK!J1254)</f>
        <v>7</v>
      </c>
      <c r="AA1254" s="1" t="str">
        <f aca="false">TRIM(IF(D1254="UNMAPPED","Program not mapped. ","")&amp;IF(OR(K1254="UNMAPPED",K1254="UNASSIGNED"),"Category needs review. ","")&amp;IF(P1254="UNMAPPED","Title not mapped. ","")&amp;IF(AND(P1254&lt;&gt;"No staff time",R1254=""),"Missing hours. ","")&amp;IF(M1254="","Date not readable. ","")&amp;IF(N1254="No","Outside fiscal year. ","")&amp;IF(AND(F1254="Event",ISNUMBER(R1254)),IF(R1254&gt;12,"Event hours look high. ",""),"")&amp;IF(G1254&gt;0,"See CONFIRM sheet.",""))</f>
        <v/>
      </c>
      <c r="AB1254" s="1" t="n">
        <f aca="false">IF(N1254="No",0,IF(REVIEW!O1254=0,0,IF(G1254&gt;0,IF(INDEX(CONFIRM!$J$5:$J$53,G1254)&lt;&gt;"",INDEX(CONFIRM!$J$5:$J$53,G1254),1),1)))</f>
        <v>1</v>
      </c>
      <c r="AC1254" s="1" t="n">
        <f aca="false">IF(AB1254=1,IF(COUNTIFS($B$5:B1254,B1254,$D$5:D1254,D1254,$AB$5:AB1254,1)=1,1,0),0)</f>
        <v>0</v>
      </c>
    </row>
    <row r="1255" customFormat="false" ht="15" hidden="false" customHeight="false" outlineLevel="0" collapsed="false">
      <c r="A1255" s="48" t="str">
        <f aca="false">STACK!A1255</f>
        <v>WCH-0148</v>
      </c>
      <c r="B1255" s="48" t="str">
        <f aca="false">STACK!B1255</f>
        <v>WCH</v>
      </c>
      <c r="C1255" s="48" t="str">
        <f aca="false">STACK!E1255</f>
        <v>youth pathway</v>
      </c>
      <c r="D1255" s="1" t="str">
        <f aca="false">IFERROR(INDEX(MAP!$J$7:$J$101,MATCH(TRIM(C1255),MAP!$I$7:$I$101,0)),"UNMAPPED")</f>
        <v>Youth Health Careers Pathway</v>
      </c>
      <c r="E1255" s="1" t="str">
        <f aca="false">IFERROR(INDEX(MAP!$K$7:$K$101,MATCH(TRIM(C1255),MAP!$I$7:$I$101,0)),"")</f>
        <v>Health workforce</v>
      </c>
      <c r="F1255" s="1" t="str">
        <f aca="false">IFERROR(INDEX(MAP!$L$7:$L$101,MATCH(TRIM(C1255),MAP!$I$7:$I$101,0)),"")</f>
        <v>Event</v>
      </c>
      <c r="G1255" s="1" t="n">
        <f aca="false">IFERROR(MATCH(A1255,CONFIRM!$A$5:$A$53,0),0)</f>
        <v>38</v>
      </c>
      <c r="H1255" s="48" t="str">
        <f aca="false">STACK!F1255</f>
        <v>community building</v>
      </c>
      <c r="I1255" s="1" t="str">
        <f aca="false">IF(G1255&gt;0,IF(INDEX(CONFIRM!$I$5:$I$53,G1255)&lt;&gt;"",INDEX(CONFIRM!$I$5:$I$53,G1255),H1255),H1255)</f>
        <v>Community building: workforce development</v>
      </c>
      <c r="J1255" s="1" t="str">
        <f aca="false">IFERROR(INDEX(MAP!$F$7:$F$74,MATCH(TRIM(I1255),MAP!$E$7:$E$74,0)),"UNMAPPED")</f>
        <v>Community building: workforce development</v>
      </c>
      <c r="K1255" s="1" t="str">
        <f aca="false">IFERROR(INDEX(MAP!$G$7:$G$74,MATCH(TRIM(I1255),MAP!$E$7:$E$74,0)),"UNMAPPED")</f>
        <v>II-8</v>
      </c>
      <c r="L1255" s="49" t="str">
        <f aca="false">STACK!G1255</f>
        <v>1/3/26</v>
      </c>
      <c r="M1255" s="59" t="n">
        <f aca="false">IF(G1255&gt;0,IF(INDEX(CONFIRM!$G$5:$G$53,G1255)&lt;&gt;"",INDEX(CONFIRM!$G$5:$G$53,G1255),IF(ISNUMBER(L1255),L1255,IFERROR(DATEVALUE(L1255),""))),IF(ISNUMBER(L1255),L1255,IFERROR(DATEVALUE(L1255),"")))</f>
        <v>46025</v>
      </c>
      <c r="N1255" s="1" t="str">
        <f aca="false">IF(M1255="","Check",IF(AND(M1255&gt;=INPUTS!$C$6,M1255&lt;=INPUTS!$C$7),"Yes","No"))</f>
        <v>Yes</v>
      </c>
      <c r="O1255" s="48" t="str">
        <f aca="false">STACK!H1255</f>
        <v>Clin Educator</v>
      </c>
      <c r="P1255" s="1" t="str">
        <f aca="false">IF(G1255&gt;0,IF(INDEX(CONFIRM!$H$5:$H$53,G1255)&lt;&gt;"",INDEX(CONFIRM!$H$5:$H$53,G1255),IFERROR(INDEX(MAP!$B$7:$B$156,MATCH(TRIM(O1255),MAP!$A$7:$A$156,0)),"UNMAPPED")),IFERROR(INDEX(MAP!$B$7:$B$156,MATCH(TRIM(O1255),MAP!$A$7:$A$156,0)),"UNMAPPED"))</f>
        <v>Clinical Nurse Educator</v>
      </c>
      <c r="Q1255" s="48" t="n">
        <f aca="false">STACK!I1255</f>
        <v>4</v>
      </c>
      <c r="R1255" s="60" t="n">
        <f aca="false">IF(G1255&gt;0,IF(INDEX(CONFIRM!$F$5:$F$53,G1255)&lt;&gt;"",INDEX(CONFIRM!$F$5:$F$53,G1255),IF(ISNUMBER(Q1255),Q1255,IF(Q1255="","",IFERROR(VALUE(TRIM(SUBSTITUTE(SUBSTITUTE(LOWER(Q1255),"hrs",""),"hr",""))),"")))),IF(ISNUMBER(Q1255),Q1255,IF(Q1255="","",IFERROR(VALUE(TRIM(SUBSTITUTE(SUBSTITUTE(LOWER(Q1255),"hrs",""),"hr",""))),""))))</f>
        <v>4</v>
      </c>
      <c r="S1255" s="57" t="n">
        <f aca="false">IFERROR(INDEX(RATES!$E$6:$E$28,MATCH(P1255,RATES!$A$6:$A$28,0)),0)</f>
        <v>62.965</v>
      </c>
      <c r="T1255" s="61" t="n">
        <f aca="false">IF(ISNUMBER(R1255),R1255,0)*S1255</f>
        <v>251.86</v>
      </c>
      <c r="U1255" s="61" t="n">
        <f aca="false">T1255*INDEX(INPUTS!$H$10:$H$14,MATCH(B1255,INPUTS!$A$10:$A$14,0))</f>
        <v>35.51226</v>
      </c>
      <c r="V1255" s="61" t="n">
        <f aca="false">N(STACK!K1255)</f>
        <v>0</v>
      </c>
      <c r="W1255" s="61" t="n">
        <f aca="false">T1255+U1255+V1255</f>
        <v>287.37226</v>
      </c>
      <c r="X1255" s="61" t="n">
        <f aca="false">N(STACK!L1255)</f>
        <v>0</v>
      </c>
      <c r="Y1255" s="61" t="n">
        <f aca="false">W1255-X1255</f>
        <v>287.37226</v>
      </c>
      <c r="Z1255" s="1" t="n">
        <f aca="false">N(STACK!J1255)</f>
        <v>0</v>
      </c>
      <c r="AA1255" s="1" t="str">
        <f aca="false">TRIM(IF(D1255="UNMAPPED","Program not mapped. ","")&amp;IF(OR(K1255="UNMAPPED",K1255="UNASSIGNED"),"Category needs review. ","")&amp;IF(P1255="UNMAPPED","Title not mapped. ","")&amp;IF(AND(P1255&lt;&gt;"No staff time",R1255=""),"Missing hours. ","")&amp;IF(M1255="","Date not readable. ","")&amp;IF(N1255="No","Outside fiscal year. ","")&amp;IF(AND(F1255="Event",ISNUMBER(R1255)),IF(R1255&gt;12,"Event hours look high. ",""),"")&amp;IF(G1255&gt;0,"See CONFIRM sheet.",""))</f>
        <v>See CONFIRM sheet.</v>
      </c>
      <c r="AB1255" s="1" t="n">
        <f aca="false">IF(N1255="No",0,IF(REVIEW!O1255=0,0,IF(G1255&gt;0,IF(INDEX(CONFIRM!$J$5:$J$53,G1255)&lt;&gt;"",INDEX(CONFIRM!$J$5:$J$53,G1255),1),1)))</f>
        <v>1</v>
      </c>
      <c r="AC1255" s="1" t="n">
        <f aca="false">IF(AB1255=1,IF(COUNTIFS($B$5:B1255,B1255,$D$5:D1255,D1255,$AB$5:AB1255,1)=1,1,0),0)</f>
        <v>0</v>
      </c>
    </row>
    <row r="1256" customFormat="false" ht="15" hidden="false" customHeight="false" outlineLevel="0" collapsed="false">
      <c r="A1256" s="48" t="str">
        <f aca="false">STACK!A1256</f>
        <v>WCH-0149</v>
      </c>
      <c r="B1256" s="48" t="str">
        <f aca="false">STACK!B1256</f>
        <v>WCH</v>
      </c>
      <c r="C1256" s="48" t="str">
        <f aca="false">STACK!E1256</f>
        <v>youth pathway</v>
      </c>
      <c r="D1256" s="1" t="str">
        <f aca="false">IFERROR(INDEX(MAP!$J$7:$J$101,MATCH(TRIM(C1256),MAP!$I$7:$I$101,0)),"UNMAPPED")</f>
        <v>Youth Health Careers Pathway</v>
      </c>
      <c r="E1256" s="1" t="str">
        <f aca="false">IFERROR(INDEX(MAP!$K$7:$K$101,MATCH(TRIM(C1256),MAP!$I$7:$I$101,0)),"")</f>
        <v>Health workforce</v>
      </c>
      <c r="F1256" s="1" t="str">
        <f aca="false">IFERROR(INDEX(MAP!$L$7:$L$101,MATCH(TRIM(C1256),MAP!$I$7:$I$101,0)),"")</f>
        <v>Event</v>
      </c>
      <c r="G1256" s="1" t="n">
        <f aca="false">IFERROR(MATCH(A1256,CONFIRM!$A$5:$A$53,0),0)</f>
        <v>39</v>
      </c>
      <c r="H1256" s="48" t="str">
        <f aca="false">STACK!F1256</f>
        <v>community building</v>
      </c>
      <c r="I1256" s="1" t="str">
        <f aca="false">IF(G1256&gt;0,IF(INDEX(CONFIRM!$I$5:$I$53,G1256)&lt;&gt;"",INDEX(CONFIRM!$I$5:$I$53,G1256),H1256),H1256)</f>
        <v>Community building: workforce development</v>
      </c>
      <c r="J1256" s="1" t="str">
        <f aca="false">IFERROR(INDEX(MAP!$F$7:$F$74,MATCH(TRIM(I1256),MAP!$E$7:$E$74,0)),"UNMAPPED")</f>
        <v>Community building: workforce development</v>
      </c>
      <c r="K1256" s="1" t="str">
        <f aca="false">IFERROR(INDEX(MAP!$G$7:$G$74,MATCH(TRIM(I1256),MAP!$E$7:$E$74,0)),"UNMAPPED")</f>
        <v>II-8</v>
      </c>
      <c r="L1256" s="49" t="n">
        <f aca="false">STACK!G1256</f>
        <v>46025</v>
      </c>
      <c r="M1256" s="59" t="n">
        <f aca="false">IF(G1256&gt;0,IF(INDEX(CONFIRM!$G$5:$G$53,G1256)&lt;&gt;"",INDEX(CONFIRM!$G$5:$G$53,G1256),IF(ISNUMBER(L1256),L1256,IFERROR(DATEVALUE(L1256),""))),IF(ISNUMBER(L1256),L1256,IFERROR(DATEVALUE(L1256),"")))</f>
        <v>46025</v>
      </c>
      <c r="N1256" s="1" t="str">
        <f aca="false">IF(M1256="","Check",IF(AND(M1256&gt;=INPUTS!$C$6,M1256&lt;=INPUTS!$C$7),"Yes","No"))</f>
        <v>Yes</v>
      </c>
      <c r="O1256" s="48" t="str">
        <f aca="false">STACK!H1256</f>
        <v> Residency Coordinator</v>
      </c>
      <c r="P1256" s="1" t="str">
        <f aca="false">IF(G1256&gt;0,IF(INDEX(CONFIRM!$H$5:$H$53,G1256)&lt;&gt;"",INDEX(CONFIRM!$H$5:$H$53,G1256),IFERROR(INDEX(MAP!$B$7:$B$156,MATCH(TRIM(O1256),MAP!$A$7:$A$156,0)),"UNMAPPED")),IFERROR(INDEX(MAP!$B$7:$B$156,MATCH(TRIM(O1256),MAP!$A$7:$A$156,0)),"UNMAPPED"))</f>
        <v>Program Coordinator</v>
      </c>
      <c r="Q1256" s="48" t="str">
        <f aca="false">STACK!I1256</f>
        <v>6.75 hr</v>
      </c>
      <c r="R1256" s="60" t="n">
        <f aca="false">IF(G1256&gt;0,IF(INDEX(CONFIRM!$F$5:$F$53,G1256)&lt;&gt;"",INDEX(CONFIRM!$F$5:$F$53,G1256),IF(ISNUMBER(Q1256),Q1256,IF(Q1256="","",IFERROR(VALUE(TRIM(SUBSTITUTE(SUBSTITUTE(LOWER(Q1256),"hrs",""),"hr",""))),"")))),IF(ISNUMBER(Q1256),Q1256,IF(Q1256="","",IFERROR(VALUE(TRIM(SUBSTITUTE(SUBSTITUTE(LOWER(Q1256),"hrs",""),"hr",""))),""))))</f>
        <v>6.75</v>
      </c>
      <c r="S1256" s="57" t="n">
        <f aca="false">IFERROR(INDEX(RATES!$E$6:$E$28,MATCH(P1256,RATES!$A$6:$A$28,0)),0)</f>
        <v>35.3375</v>
      </c>
      <c r="T1256" s="61" t="n">
        <f aca="false">IF(ISNUMBER(R1256),R1256,0)*S1256</f>
        <v>238.528125</v>
      </c>
      <c r="U1256" s="61" t="n">
        <f aca="false">T1256*INDEX(INPUTS!$H$10:$H$14,MATCH(B1256,INPUTS!$A$10:$A$14,0))</f>
        <v>33.632465625</v>
      </c>
      <c r="V1256" s="61" t="n">
        <f aca="false">N(STACK!K1256)</f>
        <v>1030</v>
      </c>
      <c r="W1256" s="61" t="n">
        <f aca="false">T1256+U1256+V1256</f>
        <v>1302.160590625</v>
      </c>
      <c r="X1256" s="61" t="n">
        <f aca="false">N(STACK!L1256)</f>
        <v>0</v>
      </c>
      <c r="Y1256" s="61" t="n">
        <f aca="false">W1256-X1256</f>
        <v>1302.160590625</v>
      </c>
      <c r="Z1256" s="1" t="n">
        <f aca="false">N(STACK!J1256)</f>
        <v>35</v>
      </c>
      <c r="AA1256" s="1" t="str">
        <f aca="false">TRIM(IF(D1256="UNMAPPED","Program not mapped. ","")&amp;IF(OR(K1256="UNMAPPED",K1256="UNASSIGNED"),"Category needs review. ","")&amp;IF(P1256="UNMAPPED","Title not mapped. ","")&amp;IF(AND(P1256&lt;&gt;"No staff time",R1256=""),"Missing hours. ","")&amp;IF(M1256="","Date not readable. ","")&amp;IF(N1256="No","Outside fiscal year. ","")&amp;IF(AND(F1256="Event",ISNUMBER(R1256)),IF(R1256&gt;12,"Event hours look high. ",""),"")&amp;IF(G1256&gt;0,"See CONFIRM sheet.",""))</f>
        <v>See CONFIRM sheet.</v>
      </c>
      <c r="AB1256" s="1" t="n">
        <f aca="false">IF(N1256="No",0,IF(REVIEW!O1256=0,0,IF(G1256&gt;0,IF(INDEX(CONFIRM!$J$5:$J$53,G1256)&lt;&gt;"",INDEX(CONFIRM!$J$5:$J$53,G1256),1),1)))</f>
        <v>1</v>
      </c>
      <c r="AC1256" s="1" t="n">
        <f aca="false">IF(AB1256=1,IF(COUNTIFS($B$5:B1256,B1256,$D$5:D1256,D1256,$AB$5:AB1256,1)=1,1,0),0)</f>
        <v>0</v>
      </c>
    </row>
    <row r="1257" customFormat="false" ht="15" hidden="false" customHeight="false" outlineLevel="0" collapsed="false">
      <c r="A1257" s="48" t="str">
        <f aca="false">STACK!A1257</f>
        <v>WCH-0150</v>
      </c>
      <c r="B1257" s="48" t="str">
        <f aca="false">STACK!B1257</f>
        <v>WCH</v>
      </c>
      <c r="C1257" s="48" t="str">
        <f aca="false">STACK!E1257</f>
        <v>bp check</v>
      </c>
      <c r="D1257" s="1" t="str">
        <f aca="false">IFERROR(INDEX(MAP!$J$7:$J$101,MATCH(TRIM(C1257),MAP!$I$7:$I$101,0)),"UNMAPPED")</f>
        <v>Community Blood Pressure Checks</v>
      </c>
      <c r="E1257" s="1" t="str">
        <f aca="false">IFERROR(INDEX(MAP!$K$7:$K$101,MATCH(TRIM(C1257),MAP!$I$7:$I$101,0)),"")</f>
        <v>Chronic disease prevention</v>
      </c>
      <c r="F1257" s="1" t="str">
        <f aca="false">IFERROR(INDEX(MAP!$L$7:$L$101,MATCH(TRIM(C1257),MAP!$I$7:$I$101,0)),"")</f>
        <v>Event</v>
      </c>
      <c r="G1257" s="1" t="n">
        <f aca="false">IFERROR(MATCH(A1257,CONFIRM!$A$5:$A$53,0),0)</f>
        <v>0</v>
      </c>
      <c r="H1257" s="48" t="str">
        <f aca="false">STACK!F1257</f>
        <v>CHIS clinical</v>
      </c>
      <c r="I1257" s="1" t="str">
        <f aca="false">IF(G1257&gt;0,IF(INDEX(CONFIRM!$I$5:$I$53,G1257)&lt;&gt;"",INDEX(CONFIRM!$I$5:$I$53,G1257),H1257),H1257)</f>
        <v>CHIS clinical</v>
      </c>
      <c r="J1257" s="1" t="str">
        <f aca="false">IFERROR(INDEX(MAP!$F$7:$F$74,MATCH(TRIM(I1257),MAP!$E$7:$E$74,0)),"UNMAPPED")</f>
        <v>Community-based clinical services</v>
      </c>
      <c r="K1257" s="1" t="str">
        <f aca="false">IFERROR(INDEX(MAP!$G$7:$G$74,MATCH(TRIM(I1257),MAP!$E$7:$E$74,0)),"UNMAPPED")</f>
        <v>7e</v>
      </c>
      <c r="L1257" s="49" t="n">
        <f aca="false">STACK!G1257</f>
        <v>46030</v>
      </c>
      <c r="M1257" s="59" t="n">
        <f aca="false">IF(G1257&gt;0,IF(INDEX(CONFIRM!$G$5:$G$53,G1257)&lt;&gt;"",INDEX(CONFIRM!$G$5:$G$53,G1257),IF(ISNUMBER(L1257),L1257,IFERROR(DATEVALUE(L1257),""))),IF(ISNUMBER(L1257),L1257,IFERROR(DATEVALUE(L1257),"")))</f>
        <v>46030</v>
      </c>
      <c r="N1257" s="1" t="str">
        <f aca="false">IF(M1257="","Check",IF(AND(M1257&gt;=INPUTS!$C$6,M1257&lt;=INPUTS!$C$7),"Yes","No"))</f>
        <v>Yes</v>
      </c>
      <c r="O1257" s="48" t="str">
        <f aca="false">STACK!H1257</f>
        <v>RN III</v>
      </c>
      <c r="P1257" s="1" t="str">
        <f aca="false">IF(G1257&gt;0,IF(INDEX(CONFIRM!$H$5:$H$53,G1257)&lt;&gt;"",INDEX(CONFIRM!$H$5:$H$53,G1257),IFERROR(INDEX(MAP!$B$7:$B$156,MATCH(TRIM(O1257),MAP!$A$7:$A$156,0)),"UNMAPPED")),IFERROR(INDEX(MAP!$B$7:$B$156,MATCH(TRIM(O1257),MAP!$A$7:$A$156,0)),"UNMAPPED"))</f>
        <v>Registered Nurse</v>
      </c>
      <c r="Q1257" s="48" t="n">
        <f aca="false">STACK!I1257</f>
        <v>4.5</v>
      </c>
      <c r="R1257" s="60" t="n">
        <f aca="false">IF(G1257&gt;0,IF(INDEX(CONFIRM!$F$5:$F$53,G1257)&lt;&gt;"",INDEX(CONFIRM!$F$5:$F$53,G1257),IF(ISNUMBER(Q1257),Q1257,IF(Q1257="","",IFERROR(VALUE(TRIM(SUBSTITUTE(SUBSTITUTE(LOWER(Q1257),"hrs",""),"hr",""))),"")))),IF(ISNUMBER(Q1257),Q1257,IF(Q1257="","",IFERROR(VALUE(TRIM(SUBSTITUTE(SUBSTITUTE(LOWER(Q1257),"hrs",""),"hr",""))),""))))</f>
        <v>4.5</v>
      </c>
      <c r="S1257" s="57" t="n">
        <f aca="false">IFERROR(INDEX(RATES!$E$6:$E$28,MATCH(P1257,RATES!$A$6:$A$28,0)),0)</f>
        <v>55.8975</v>
      </c>
      <c r="T1257" s="61" t="n">
        <f aca="false">IF(ISNUMBER(R1257),R1257,0)*S1257</f>
        <v>251.53875</v>
      </c>
      <c r="U1257" s="61" t="n">
        <f aca="false">T1257*INDEX(INPUTS!$H$10:$H$14,MATCH(B1257,INPUTS!$A$10:$A$14,0))</f>
        <v>35.46696375</v>
      </c>
      <c r="V1257" s="61" t="n">
        <f aca="false">N(STACK!K1257)</f>
        <v>55</v>
      </c>
      <c r="W1257" s="61" t="n">
        <f aca="false">T1257+U1257+V1257</f>
        <v>342.00571375</v>
      </c>
      <c r="X1257" s="61" t="n">
        <f aca="false">N(STACK!L1257)</f>
        <v>0</v>
      </c>
      <c r="Y1257" s="61" t="n">
        <f aca="false">W1257-X1257</f>
        <v>342.00571375</v>
      </c>
      <c r="Z1257" s="1" t="n">
        <f aca="false">N(STACK!J1257)</f>
        <v>55</v>
      </c>
      <c r="AA1257" s="1" t="str">
        <f aca="false">TRIM(IF(D1257="UNMAPPED","Program not mapped. ","")&amp;IF(OR(K1257="UNMAPPED",K1257="UNASSIGNED"),"Category needs review. ","")&amp;IF(P1257="UNMAPPED","Title not mapped. ","")&amp;IF(AND(P1257&lt;&gt;"No staff time",R1257=""),"Missing hours. ","")&amp;IF(M1257="","Date not readable. ","")&amp;IF(N1257="No","Outside fiscal year. ","")&amp;IF(AND(F1257="Event",ISNUMBER(R1257)),IF(R1257&gt;12,"Event hours look high. ",""),"")&amp;IF(G1257&gt;0,"See CONFIRM sheet.",""))</f>
        <v/>
      </c>
      <c r="AB1257" s="1" t="n">
        <f aca="false">IF(N1257="No",0,IF(REVIEW!O1257=0,0,IF(G1257&gt;0,IF(INDEX(CONFIRM!$J$5:$J$53,G1257)&lt;&gt;"",INDEX(CONFIRM!$J$5:$J$53,G1257),1),1)))</f>
        <v>1</v>
      </c>
      <c r="AC1257" s="1" t="n">
        <f aca="false">IF(AB1257=1,IF(COUNTIFS($B$5:B1257,B1257,$D$5:D1257,D1257,$AB$5:AB1257,1)=1,1,0),0)</f>
        <v>0</v>
      </c>
    </row>
    <row r="1258" customFormat="false" ht="15" hidden="false" customHeight="false" outlineLevel="0" collapsed="false">
      <c r="A1258" s="48" t="str">
        <f aca="false">STACK!A1258</f>
        <v>WCH-0151</v>
      </c>
      <c r="B1258" s="48" t="str">
        <f aca="false">STACK!B1258</f>
        <v>WCH</v>
      </c>
      <c r="C1258" s="48" t="str">
        <f aca="false">STACK!E1258</f>
        <v>bp check</v>
      </c>
      <c r="D1258" s="1" t="str">
        <f aca="false">IFERROR(INDEX(MAP!$J$7:$J$101,MATCH(TRIM(C1258),MAP!$I$7:$I$101,0)),"UNMAPPED")</f>
        <v>Community Blood Pressure Checks</v>
      </c>
      <c r="E1258" s="1" t="str">
        <f aca="false">IFERROR(INDEX(MAP!$K$7:$K$101,MATCH(TRIM(C1258),MAP!$I$7:$I$101,0)),"")</f>
        <v>Chronic disease prevention</v>
      </c>
      <c r="F1258" s="1" t="str">
        <f aca="false">IFERROR(INDEX(MAP!$L$7:$L$101,MATCH(TRIM(C1258),MAP!$I$7:$I$101,0)),"")</f>
        <v>Event</v>
      </c>
      <c r="G1258" s="1" t="n">
        <f aca="false">IFERROR(MATCH(A1258,CONFIRM!$A$5:$A$53,0),0)</f>
        <v>0</v>
      </c>
      <c r="H1258" s="48" t="str">
        <f aca="false">STACK!F1258</f>
        <v>CHIS clinical</v>
      </c>
      <c r="I1258" s="1" t="str">
        <f aca="false">IF(G1258&gt;0,IF(INDEX(CONFIRM!$I$5:$I$53,G1258)&lt;&gt;"",INDEX(CONFIRM!$I$5:$I$53,G1258),H1258),H1258)</f>
        <v>CHIS clinical</v>
      </c>
      <c r="J1258" s="1" t="str">
        <f aca="false">IFERROR(INDEX(MAP!$F$7:$F$74,MATCH(TRIM(I1258),MAP!$E$7:$E$74,0)),"UNMAPPED")</f>
        <v>Community-based clinical services</v>
      </c>
      <c r="K1258" s="1" t="str">
        <f aca="false">IFERROR(INDEX(MAP!$G$7:$G$74,MATCH(TRIM(I1258),MAP!$E$7:$E$74,0)),"UNMAPPED")</f>
        <v>7e</v>
      </c>
      <c r="L1258" s="49" t="n">
        <f aca="false">STACK!G1258</f>
        <v>46031</v>
      </c>
      <c r="M1258" s="59" t="n">
        <f aca="false">IF(G1258&gt;0,IF(INDEX(CONFIRM!$G$5:$G$53,G1258)&lt;&gt;"",INDEX(CONFIRM!$G$5:$G$53,G1258),IF(ISNUMBER(L1258),L1258,IFERROR(DATEVALUE(L1258),""))),IF(ISNUMBER(L1258),L1258,IFERROR(DATEVALUE(L1258),"")))</f>
        <v>46031</v>
      </c>
      <c r="N1258" s="1" t="str">
        <f aca="false">IF(M1258="","Check",IF(AND(M1258&gt;=INPUTS!$C$6,M1258&lt;=INPUTS!$C$7),"Yes","No"))</f>
        <v>Yes</v>
      </c>
      <c r="O1258" s="48" t="str">
        <f aca="false">STACK!H1258</f>
        <v>RN III</v>
      </c>
      <c r="P1258" s="1" t="str">
        <f aca="false">IF(G1258&gt;0,IF(INDEX(CONFIRM!$H$5:$H$53,G1258)&lt;&gt;"",INDEX(CONFIRM!$H$5:$H$53,G1258),IFERROR(INDEX(MAP!$B$7:$B$156,MATCH(TRIM(O1258),MAP!$A$7:$A$156,0)),"UNMAPPED")),IFERROR(INDEX(MAP!$B$7:$B$156,MATCH(TRIM(O1258),MAP!$A$7:$A$156,0)),"UNMAPPED"))</f>
        <v>Registered Nurse</v>
      </c>
      <c r="Q1258" s="48" t="n">
        <f aca="false">STACK!I1258</f>
        <v>3.5</v>
      </c>
      <c r="R1258" s="60" t="n">
        <f aca="false">IF(G1258&gt;0,IF(INDEX(CONFIRM!$F$5:$F$53,G1258)&lt;&gt;"",INDEX(CONFIRM!$F$5:$F$53,G1258),IF(ISNUMBER(Q1258),Q1258,IF(Q1258="","",IFERROR(VALUE(TRIM(SUBSTITUTE(SUBSTITUTE(LOWER(Q1258),"hrs",""),"hr",""))),"")))),IF(ISNUMBER(Q1258),Q1258,IF(Q1258="","",IFERROR(VALUE(TRIM(SUBSTITUTE(SUBSTITUTE(LOWER(Q1258),"hrs",""),"hr",""))),""))))</f>
        <v>3.5</v>
      </c>
      <c r="S1258" s="57" t="n">
        <f aca="false">IFERROR(INDEX(RATES!$E$6:$E$28,MATCH(P1258,RATES!$A$6:$A$28,0)),0)</f>
        <v>55.8975</v>
      </c>
      <c r="T1258" s="61" t="n">
        <f aca="false">IF(ISNUMBER(R1258),R1258,0)*S1258</f>
        <v>195.64125</v>
      </c>
      <c r="U1258" s="61" t="n">
        <f aca="false">T1258*INDEX(INPUTS!$H$10:$H$14,MATCH(B1258,INPUTS!$A$10:$A$14,0))</f>
        <v>27.58541625</v>
      </c>
      <c r="V1258" s="61" t="n">
        <f aca="false">N(STACK!K1258)</f>
        <v>90</v>
      </c>
      <c r="W1258" s="61" t="n">
        <f aca="false">T1258+U1258+V1258</f>
        <v>313.22666625</v>
      </c>
      <c r="X1258" s="61" t="n">
        <f aca="false">N(STACK!L1258)</f>
        <v>0</v>
      </c>
      <c r="Y1258" s="61" t="n">
        <f aca="false">W1258-X1258</f>
        <v>313.22666625</v>
      </c>
      <c r="Z1258" s="1" t="n">
        <f aca="false">N(STACK!J1258)</f>
        <v>41</v>
      </c>
      <c r="AA1258" s="1" t="str">
        <f aca="false">TRIM(IF(D1258="UNMAPPED","Program not mapped. ","")&amp;IF(OR(K1258="UNMAPPED",K1258="UNASSIGNED"),"Category needs review. ","")&amp;IF(P1258="UNMAPPED","Title not mapped. ","")&amp;IF(AND(P1258&lt;&gt;"No staff time",R1258=""),"Missing hours. ","")&amp;IF(M1258="","Date not readable. ","")&amp;IF(N1258="No","Outside fiscal year. ","")&amp;IF(AND(F1258="Event",ISNUMBER(R1258)),IF(R1258&gt;12,"Event hours look high. ",""),"")&amp;IF(G1258&gt;0,"See CONFIRM sheet.",""))</f>
        <v/>
      </c>
      <c r="AB1258" s="1" t="n">
        <f aca="false">IF(N1258="No",0,IF(REVIEW!O1258=0,0,IF(G1258&gt;0,IF(INDEX(CONFIRM!$J$5:$J$53,G1258)&lt;&gt;"",INDEX(CONFIRM!$J$5:$J$53,G1258),1),1)))</f>
        <v>1</v>
      </c>
      <c r="AC1258" s="1" t="n">
        <f aca="false">IF(AB1258=1,IF(COUNTIFS($B$5:B1258,B1258,$D$5:D1258,D1258,$AB$5:AB1258,1)=1,1,0),0)</f>
        <v>0</v>
      </c>
    </row>
    <row r="1259" customFormat="false" ht="15" hidden="false" customHeight="false" outlineLevel="0" collapsed="false">
      <c r="A1259" s="48" t="str">
        <f aca="false">STACK!A1259</f>
        <v>WCH-0152</v>
      </c>
      <c r="B1259" s="48" t="str">
        <f aca="false">STACK!B1259</f>
        <v>WCH</v>
      </c>
      <c r="C1259" s="48" t="str">
        <f aca="false">STACK!E1259</f>
        <v>food bank donation</v>
      </c>
      <c r="D1259" s="1" t="str">
        <f aca="false">IFERROR(INDEX(MAP!$J$7:$J$101,MATCH(TRIM(C1259),MAP!$I$7:$I$101,0)),"UNMAPPED")</f>
        <v>Regional Food Bank Contribution</v>
      </c>
      <c r="E1259" s="1" t="str">
        <f aca="false">IFERROR(INDEX(MAP!$K$7:$K$101,MATCH(TRIM(C1259),MAP!$I$7:$I$101,0)),"")</f>
        <v>Food and housing security</v>
      </c>
      <c r="F1259" s="1" t="str">
        <f aca="false">IFERROR(INDEX(MAP!$L$7:$L$101,MATCH(TRIM(C1259),MAP!$I$7:$I$101,0)),"")</f>
        <v>Contribution</v>
      </c>
      <c r="G1259" s="1" t="n">
        <f aca="false">IFERROR(MATCH(A1259,CONFIRM!$A$5:$A$53,0),0)</f>
        <v>0</v>
      </c>
      <c r="H1259" s="48" t="str">
        <f aca="false">STACK!F1259</f>
        <v>cash/in-kind</v>
      </c>
      <c r="I1259" s="1" t="str">
        <f aca="false">IF(G1259&gt;0,IF(INDEX(CONFIRM!$I$5:$I$53,G1259)&lt;&gt;"",INDEX(CONFIRM!$I$5:$I$53,G1259),H1259),H1259)</f>
        <v>cash/in-kind</v>
      </c>
      <c r="J1259" s="1" t="str">
        <f aca="false">IFERROR(INDEX(MAP!$F$7:$F$74,MATCH(TRIM(I1259),MAP!$E$7:$E$74,0)),"UNMAPPED")</f>
        <v>Cash and in-kind contributions</v>
      </c>
      <c r="K1259" s="1" t="str">
        <f aca="false">IFERROR(INDEX(MAP!$G$7:$G$74,MATCH(TRIM(I1259),MAP!$E$7:$E$74,0)),"UNMAPPED")</f>
        <v>7i</v>
      </c>
      <c r="L1259" s="49" t="str">
        <f aca="false">STACK!G1259</f>
        <v>1/11/26</v>
      </c>
      <c r="M1259" s="59" t="n">
        <f aca="false">IF(G1259&gt;0,IF(INDEX(CONFIRM!$G$5:$G$53,G1259)&lt;&gt;"",INDEX(CONFIRM!$G$5:$G$53,G1259),IF(ISNUMBER(L1259),L1259,IFERROR(DATEVALUE(L1259),""))),IF(ISNUMBER(L1259),L1259,IFERROR(DATEVALUE(L1259),"")))</f>
        <v>46033</v>
      </c>
      <c r="N1259" s="1" t="str">
        <f aca="false">IF(M1259="","Check",IF(AND(M1259&gt;=INPUTS!$C$6,M1259&lt;=INPUTS!$C$7),"Yes","No"))</f>
        <v>Yes</v>
      </c>
      <c r="O1259" s="48" t="str">
        <f aca="false">STACK!H1259</f>
        <v>n.a.</v>
      </c>
      <c r="P1259" s="1" t="str">
        <f aca="false">IF(G1259&gt;0,IF(INDEX(CONFIRM!$H$5:$H$53,G1259)&lt;&gt;"",INDEX(CONFIRM!$H$5:$H$53,G1259),IFERROR(INDEX(MAP!$B$7:$B$156,MATCH(TRIM(O1259),MAP!$A$7:$A$156,0)),"UNMAPPED")),IFERROR(INDEX(MAP!$B$7:$B$156,MATCH(TRIM(O1259),MAP!$A$7:$A$156,0)),"UNMAPPED"))</f>
        <v>No staff time</v>
      </c>
      <c r="Q1259" s="48" t="str">
        <f aca="false">STACK!I1259</f>
        <v/>
      </c>
      <c r="R1259" s="60" t="str">
        <f aca="false">IF(G1259&gt;0,IF(INDEX(CONFIRM!$F$5:$F$53,G1259)&lt;&gt;"",INDEX(CONFIRM!$F$5:$F$53,G1259),IF(ISNUMBER(Q1259),Q1259,IF(Q1259="","",IFERROR(VALUE(TRIM(SUBSTITUTE(SUBSTITUTE(LOWER(Q1259),"hrs",""),"hr",""))),"")))),IF(ISNUMBER(Q1259),Q1259,IF(Q1259="","",IFERROR(VALUE(TRIM(SUBSTITUTE(SUBSTITUTE(LOWER(Q1259),"hrs",""),"hr",""))),""))))</f>
        <v/>
      </c>
      <c r="S1259" s="57" t="n">
        <f aca="false">IFERROR(INDEX(RATES!$E$6:$E$28,MATCH(P1259,RATES!$A$6:$A$28,0)),0)</f>
        <v>0</v>
      </c>
      <c r="T1259" s="61" t="n">
        <f aca="false">IF(ISNUMBER(R1259),R1259,0)*S1259</f>
        <v>0</v>
      </c>
      <c r="U1259" s="61" t="n">
        <f aca="false">T1259*INDEX(INPUTS!$H$10:$H$14,MATCH(B1259,INPUTS!$A$10:$A$14,0))</f>
        <v>0</v>
      </c>
      <c r="V1259" s="61" t="n">
        <f aca="false">N(STACK!K1259)</f>
        <v>32145</v>
      </c>
      <c r="W1259" s="61" t="n">
        <f aca="false">T1259+U1259+V1259</f>
        <v>32145</v>
      </c>
      <c r="X1259" s="61" t="n">
        <f aca="false">N(STACK!L1259)</f>
        <v>0</v>
      </c>
      <c r="Y1259" s="61" t="n">
        <f aca="false">W1259-X1259</f>
        <v>32145</v>
      </c>
      <c r="Z1259" s="1" t="n">
        <f aca="false">N(STACK!J1259)</f>
        <v>0</v>
      </c>
      <c r="AA1259" s="1" t="str">
        <f aca="false">TRIM(IF(D1259="UNMAPPED","Program not mapped. ","")&amp;IF(OR(K1259="UNMAPPED",K1259="UNASSIGNED"),"Category needs review. ","")&amp;IF(P1259="UNMAPPED","Title not mapped. ","")&amp;IF(AND(P1259&lt;&gt;"No staff time",R1259=""),"Missing hours. ","")&amp;IF(M1259="","Date not readable. ","")&amp;IF(N1259="No","Outside fiscal year. ","")&amp;IF(AND(F1259="Event",ISNUMBER(R1259)),IF(R1259&gt;12,"Event hours look high. ",""),"")&amp;IF(G1259&gt;0,"See CONFIRM sheet.",""))</f>
        <v/>
      </c>
      <c r="AB1259" s="1" t="n">
        <f aca="false">IF(N1259="No",0,IF(REVIEW!O1259=0,0,IF(G1259&gt;0,IF(INDEX(CONFIRM!$J$5:$J$53,G1259)&lt;&gt;"",INDEX(CONFIRM!$J$5:$J$53,G1259),1),1)))</f>
        <v>1</v>
      </c>
      <c r="AC1259" s="1" t="n">
        <f aca="false">IF(AB1259=1,IF(COUNTIFS($B$5:B1259,B1259,$D$5:D1259,D1259,$AB$5:AB1259,1)=1,1,0),0)</f>
        <v>1</v>
      </c>
    </row>
    <row r="1260" customFormat="false" ht="15" hidden="false" customHeight="false" outlineLevel="0" collapsed="false">
      <c r="A1260" s="48" t="str">
        <f aca="false">STACK!A1260</f>
        <v>WCH-0153</v>
      </c>
      <c r="B1260" s="48" t="str">
        <f aca="false">STACK!B1260</f>
        <v>WCH</v>
      </c>
      <c r="C1260" s="48" t="str">
        <f aca="false">STACK!E1260</f>
        <v>bp check</v>
      </c>
      <c r="D1260" s="1" t="str">
        <f aca="false">IFERROR(INDEX(MAP!$J$7:$J$101,MATCH(TRIM(C1260),MAP!$I$7:$I$101,0)),"UNMAPPED")</f>
        <v>Community Blood Pressure Checks</v>
      </c>
      <c r="E1260" s="1" t="str">
        <f aca="false">IFERROR(INDEX(MAP!$K$7:$K$101,MATCH(TRIM(C1260),MAP!$I$7:$I$101,0)),"")</f>
        <v>Chronic disease prevention</v>
      </c>
      <c r="F1260" s="1" t="str">
        <f aca="false">IFERROR(INDEX(MAP!$L$7:$L$101,MATCH(TRIM(C1260),MAP!$I$7:$I$101,0)),"")</f>
        <v>Event</v>
      </c>
      <c r="G1260" s="1" t="n">
        <f aca="false">IFERROR(MATCH(A1260,CONFIRM!$A$5:$A$53,0),0)</f>
        <v>0</v>
      </c>
      <c r="H1260" s="48" t="str">
        <f aca="false">STACK!F1260</f>
        <v>CHIS clinical</v>
      </c>
      <c r="I1260" s="1" t="str">
        <f aca="false">IF(G1260&gt;0,IF(INDEX(CONFIRM!$I$5:$I$53,G1260)&lt;&gt;"",INDEX(CONFIRM!$I$5:$I$53,G1260),H1260),H1260)</f>
        <v>CHIS clinical</v>
      </c>
      <c r="J1260" s="1" t="str">
        <f aca="false">IFERROR(INDEX(MAP!$F$7:$F$74,MATCH(TRIM(I1260),MAP!$E$7:$E$74,0)),"UNMAPPED")</f>
        <v>Community-based clinical services</v>
      </c>
      <c r="K1260" s="1" t="str">
        <f aca="false">IFERROR(INDEX(MAP!$G$7:$G$74,MATCH(TRIM(I1260),MAP!$E$7:$E$74,0)),"UNMAPPED")</f>
        <v>7e</v>
      </c>
      <c r="L1260" s="49" t="n">
        <f aca="false">STACK!G1260</f>
        <v>46052</v>
      </c>
      <c r="M1260" s="59" t="n">
        <f aca="false">IF(G1260&gt;0,IF(INDEX(CONFIRM!$G$5:$G$53,G1260)&lt;&gt;"",INDEX(CONFIRM!$G$5:$G$53,G1260),IF(ISNUMBER(L1260),L1260,IFERROR(DATEVALUE(L1260),""))),IF(ISNUMBER(L1260),L1260,IFERROR(DATEVALUE(L1260),"")))</f>
        <v>46052</v>
      </c>
      <c r="N1260" s="1" t="str">
        <f aca="false">IF(M1260="","Check",IF(AND(M1260&gt;=INPUTS!$C$6,M1260&lt;=INPUTS!$C$7),"Yes","No"))</f>
        <v>Yes</v>
      </c>
      <c r="O1260" s="48" t="str">
        <f aca="false">STACK!H1260</f>
        <v>RN</v>
      </c>
      <c r="P1260" s="1" t="str">
        <f aca="false">IF(G1260&gt;0,IF(INDEX(CONFIRM!$H$5:$H$53,G1260)&lt;&gt;"",INDEX(CONFIRM!$H$5:$H$53,G1260),IFERROR(INDEX(MAP!$B$7:$B$156,MATCH(TRIM(O1260),MAP!$A$7:$A$156,0)),"UNMAPPED")),IFERROR(INDEX(MAP!$B$7:$B$156,MATCH(TRIM(O1260),MAP!$A$7:$A$156,0)),"UNMAPPED"))</f>
        <v>Registered Nurse</v>
      </c>
      <c r="Q1260" s="48" t="n">
        <f aca="false">STACK!I1260</f>
        <v>3.5</v>
      </c>
      <c r="R1260" s="60" t="n">
        <f aca="false">IF(G1260&gt;0,IF(INDEX(CONFIRM!$F$5:$F$53,G1260)&lt;&gt;"",INDEX(CONFIRM!$F$5:$F$53,G1260),IF(ISNUMBER(Q1260),Q1260,IF(Q1260="","",IFERROR(VALUE(TRIM(SUBSTITUTE(SUBSTITUTE(LOWER(Q1260),"hrs",""),"hr",""))),"")))),IF(ISNUMBER(Q1260),Q1260,IF(Q1260="","",IFERROR(VALUE(TRIM(SUBSTITUTE(SUBSTITUTE(LOWER(Q1260),"hrs",""),"hr",""))),""))))</f>
        <v>3.5</v>
      </c>
      <c r="S1260" s="57" t="n">
        <f aca="false">IFERROR(INDEX(RATES!$E$6:$E$28,MATCH(P1260,RATES!$A$6:$A$28,0)),0)</f>
        <v>55.8975</v>
      </c>
      <c r="T1260" s="61" t="n">
        <f aca="false">IF(ISNUMBER(R1260),R1260,0)*S1260</f>
        <v>195.64125</v>
      </c>
      <c r="U1260" s="61" t="n">
        <f aca="false">T1260*INDEX(INPUTS!$H$10:$H$14,MATCH(B1260,INPUTS!$A$10:$A$14,0))</f>
        <v>27.58541625</v>
      </c>
      <c r="V1260" s="61" t="n">
        <f aca="false">N(STACK!K1260)</f>
        <v>60</v>
      </c>
      <c r="W1260" s="61" t="n">
        <f aca="false">T1260+U1260+V1260</f>
        <v>283.22666625</v>
      </c>
      <c r="X1260" s="61" t="n">
        <f aca="false">N(STACK!L1260)</f>
        <v>0</v>
      </c>
      <c r="Y1260" s="61" t="n">
        <f aca="false">W1260-X1260</f>
        <v>283.22666625</v>
      </c>
      <c r="Z1260" s="1" t="n">
        <f aca="false">N(STACK!J1260)</f>
        <v>45</v>
      </c>
      <c r="AA1260" s="1" t="str">
        <f aca="false">TRIM(IF(D1260="UNMAPPED","Program not mapped. ","")&amp;IF(OR(K1260="UNMAPPED",K1260="UNASSIGNED"),"Category needs review. ","")&amp;IF(P1260="UNMAPPED","Title not mapped. ","")&amp;IF(AND(P1260&lt;&gt;"No staff time",R1260=""),"Missing hours. ","")&amp;IF(M1260="","Date not readable. ","")&amp;IF(N1260="No","Outside fiscal year. ","")&amp;IF(AND(F1260="Event",ISNUMBER(R1260)),IF(R1260&gt;12,"Event hours look high. ",""),"")&amp;IF(G1260&gt;0,"See CONFIRM sheet.",""))</f>
        <v/>
      </c>
      <c r="AB1260" s="1" t="n">
        <f aca="false">IF(N1260="No",0,IF(REVIEW!O1260=0,0,IF(G1260&gt;0,IF(INDEX(CONFIRM!$J$5:$J$53,G1260)&lt;&gt;"",INDEX(CONFIRM!$J$5:$J$53,G1260),1),1)))</f>
        <v>1</v>
      </c>
      <c r="AC1260" s="1" t="n">
        <f aca="false">IF(AB1260=1,IF(COUNTIFS($B$5:B1260,B1260,$D$5:D1260,D1260,$AB$5:AB1260,1)=1,1,0),0)</f>
        <v>0</v>
      </c>
    </row>
    <row r="1261" customFormat="false" ht="15" hidden="false" customHeight="false" outlineLevel="0" collapsed="false">
      <c r="A1261" s="48" t="str">
        <f aca="false">STACK!A1261</f>
        <v>WCH-0154</v>
      </c>
      <c r="B1261" s="48" t="str">
        <f aca="false">STACK!B1261</f>
        <v>WCH</v>
      </c>
      <c r="C1261" s="48" t="str">
        <f aca="false">STACK!E1261</f>
        <v>mobile van screenings</v>
      </c>
      <c r="D1261" s="1" t="str">
        <f aca="false">IFERROR(INDEX(MAP!$J$7:$J$101,MATCH(TRIM(C1261),MAP!$I$7:$I$101,0)),"UNMAPPED")</f>
        <v>Mobile Health Screening Unit</v>
      </c>
      <c r="E1261" s="1" t="str">
        <f aca="false">IFERROR(INDEX(MAP!$K$7:$K$101,MATCH(TRIM(C1261),MAP!$I$7:$I$101,0)),"")</f>
        <v>Access to care</v>
      </c>
      <c r="F1261" s="1" t="str">
        <f aca="false">IFERROR(INDEX(MAP!$L$7:$L$101,MATCH(TRIM(C1261),MAP!$I$7:$I$101,0)),"")</f>
        <v>Monthly</v>
      </c>
      <c r="G1261" s="1" t="n">
        <f aca="false">IFERROR(MATCH(A1261,CONFIRM!$A$5:$A$53,0),0)</f>
        <v>0</v>
      </c>
      <c r="H1261" s="48" t="str">
        <f aca="false">STACK!F1261</f>
        <v>CHIS clinical</v>
      </c>
      <c r="I1261" s="1" t="str">
        <f aca="false">IF(G1261&gt;0,IF(INDEX(CONFIRM!$I$5:$I$53,G1261)&lt;&gt;"",INDEX(CONFIRM!$I$5:$I$53,G1261),H1261),H1261)</f>
        <v>CHIS clinical</v>
      </c>
      <c r="J1261" s="1" t="str">
        <f aca="false">IFERROR(INDEX(MAP!$F$7:$F$74,MATCH(TRIM(I1261),MAP!$E$7:$E$74,0)),"UNMAPPED")</f>
        <v>Community-based clinical services</v>
      </c>
      <c r="K1261" s="1" t="str">
        <f aca="false">IFERROR(INDEX(MAP!$G$7:$G$74,MATCH(TRIM(I1261),MAP!$E$7:$E$74,0)),"UNMAPPED")</f>
        <v>7e</v>
      </c>
      <c r="L1261" s="49" t="str">
        <f aca="false">STACK!G1261</f>
        <v>1/31/26</v>
      </c>
      <c r="M1261" s="59" t="n">
        <f aca="false">IF(G1261&gt;0,IF(INDEX(CONFIRM!$G$5:$G$53,G1261)&lt;&gt;"",INDEX(CONFIRM!$G$5:$G$53,G1261),IF(ISNUMBER(L1261),L1261,IFERROR(DATEVALUE(L1261),""))),IF(ISNUMBER(L1261),L1261,IFERROR(DATEVALUE(L1261),"")))</f>
        <v>46053</v>
      </c>
      <c r="N1261" s="1" t="str">
        <f aca="false">IF(M1261="","Check",IF(AND(M1261&gt;=INPUTS!$C$6,M1261&lt;=INPUTS!$C$7),"Yes","No"))</f>
        <v>Yes</v>
      </c>
      <c r="O1261" s="48" t="str">
        <f aca="false">STACK!H1261</f>
        <v>Comm Health Worker</v>
      </c>
      <c r="P1261" s="1" t="str">
        <f aca="false">IF(G1261&gt;0,IF(INDEX(CONFIRM!$H$5:$H$53,G1261)&lt;&gt;"",INDEX(CONFIRM!$H$5:$H$53,G1261),IFERROR(INDEX(MAP!$B$7:$B$156,MATCH(TRIM(O1261),MAP!$A$7:$A$156,0)),"UNMAPPED")),IFERROR(INDEX(MAP!$B$7:$B$156,MATCH(TRIM(O1261),MAP!$A$7:$A$156,0)),"UNMAPPED"))</f>
        <v>Community Health Worker</v>
      </c>
      <c r="Q1261" s="48" t="n">
        <f aca="false">STACK!I1261</f>
        <v>33.5</v>
      </c>
      <c r="R1261" s="60" t="n">
        <f aca="false">IF(G1261&gt;0,IF(INDEX(CONFIRM!$F$5:$F$53,G1261)&lt;&gt;"",INDEX(CONFIRM!$F$5:$F$53,G1261),IF(ISNUMBER(Q1261),Q1261,IF(Q1261="","",IFERROR(VALUE(TRIM(SUBSTITUTE(SUBSTITUTE(LOWER(Q1261),"hrs",""),"hr",""))),"")))),IF(ISNUMBER(Q1261),Q1261,IF(Q1261="","",IFERROR(VALUE(TRIM(SUBSTITUTE(SUBSTITUTE(LOWER(Q1261),"hrs",""),"hr",""))),""))))</f>
        <v>33.5</v>
      </c>
      <c r="S1261" s="57" t="n">
        <f aca="false">IFERROR(INDEX(RATES!$E$6:$E$28,MATCH(P1261,RATES!$A$6:$A$28,0)),0)</f>
        <v>27.6275</v>
      </c>
      <c r="T1261" s="61" t="n">
        <f aca="false">IF(ISNUMBER(R1261),R1261,0)*S1261</f>
        <v>925.52125</v>
      </c>
      <c r="U1261" s="61" t="n">
        <f aca="false">T1261*INDEX(INPUTS!$H$10:$H$14,MATCH(B1261,INPUTS!$A$10:$A$14,0))</f>
        <v>130.49849625</v>
      </c>
      <c r="V1261" s="61" t="n">
        <f aca="false">N(STACK!K1261)</f>
        <v>0</v>
      </c>
      <c r="W1261" s="61" t="n">
        <f aca="false">T1261+U1261+V1261</f>
        <v>1056.01974625</v>
      </c>
      <c r="X1261" s="61" t="n">
        <f aca="false">N(STACK!L1261)</f>
        <v>0</v>
      </c>
      <c r="Y1261" s="61" t="n">
        <f aca="false">W1261-X1261</f>
        <v>1056.01974625</v>
      </c>
      <c r="Z1261" s="1" t="n">
        <f aca="false">N(STACK!J1261)</f>
        <v>0</v>
      </c>
      <c r="AA1261" s="1" t="str">
        <f aca="false">TRIM(IF(D1261="UNMAPPED","Program not mapped. ","")&amp;IF(OR(K1261="UNMAPPED",K1261="UNASSIGNED"),"Category needs review. ","")&amp;IF(P1261="UNMAPPED","Title not mapped. ","")&amp;IF(AND(P1261&lt;&gt;"No staff time",R1261=""),"Missing hours. ","")&amp;IF(M1261="","Date not readable. ","")&amp;IF(N1261="No","Outside fiscal year. ","")&amp;IF(AND(F1261="Event",ISNUMBER(R1261)),IF(R1261&gt;12,"Event hours look high. ",""),"")&amp;IF(G1261&gt;0,"See CONFIRM sheet.",""))</f>
        <v/>
      </c>
      <c r="AB1261" s="1" t="n">
        <f aca="false">IF(N1261="No",0,IF(REVIEW!O1261=0,0,IF(G1261&gt;0,IF(INDEX(CONFIRM!$J$5:$J$53,G1261)&lt;&gt;"",INDEX(CONFIRM!$J$5:$J$53,G1261),1),1)))</f>
        <v>1</v>
      </c>
      <c r="AC1261" s="1" t="n">
        <f aca="false">IF(AB1261=1,IF(COUNTIFS($B$5:B1261,B1261,$D$5:D1261,D1261,$AB$5:AB1261,1)=1,1,0),0)</f>
        <v>0</v>
      </c>
    </row>
    <row r="1262" customFormat="false" ht="15" hidden="false" customHeight="false" outlineLevel="0" collapsed="false">
      <c r="A1262" s="48" t="str">
        <f aca="false">STACK!A1262</f>
        <v>WCH-0155</v>
      </c>
      <c r="B1262" s="48" t="str">
        <f aca="false">STACK!B1262</f>
        <v>WCH</v>
      </c>
      <c r="C1262" s="48" t="str">
        <f aca="false">STACK!E1262</f>
        <v>mobile van screenings</v>
      </c>
      <c r="D1262" s="1" t="str">
        <f aca="false">IFERROR(INDEX(MAP!$J$7:$J$101,MATCH(TRIM(C1262),MAP!$I$7:$I$101,0)),"UNMAPPED")</f>
        <v>Mobile Health Screening Unit</v>
      </c>
      <c r="E1262" s="1" t="str">
        <f aca="false">IFERROR(INDEX(MAP!$K$7:$K$101,MATCH(TRIM(C1262),MAP!$I$7:$I$101,0)),"")</f>
        <v>Access to care</v>
      </c>
      <c r="F1262" s="1" t="str">
        <f aca="false">IFERROR(INDEX(MAP!$L$7:$L$101,MATCH(TRIM(C1262),MAP!$I$7:$I$101,0)),"")</f>
        <v>Monthly</v>
      </c>
      <c r="G1262" s="1" t="n">
        <f aca="false">IFERROR(MATCH(A1262,CONFIRM!$A$5:$A$53,0),0)</f>
        <v>0</v>
      </c>
      <c r="H1262" s="48" t="str">
        <f aca="false">STACK!F1262</f>
        <v>CHIS clinical</v>
      </c>
      <c r="I1262" s="1" t="str">
        <f aca="false">IF(G1262&gt;0,IF(INDEX(CONFIRM!$I$5:$I$53,G1262)&lt;&gt;"",INDEX(CONFIRM!$I$5:$I$53,G1262),H1262),H1262)</f>
        <v>CHIS clinical</v>
      </c>
      <c r="J1262" s="1" t="str">
        <f aca="false">IFERROR(INDEX(MAP!$F$7:$F$74,MATCH(TRIM(I1262),MAP!$E$7:$E$74,0)),"UNMAPPED")</f>
        <v>Community-based clinical services</v>
      </c>
      <c r="K1262" s="1" t="str">
        <f aca="false">IFERROR(INDEX(MAP!$G$7:$G$74,MATCH(TRIM(I1262),MAP!$E$7:$E$74,0)),"UNMAPPED")</f>
        <v>7e</v>
      </c>
      <c r="L1262" s="49" t="str">
        <f aca="false">STACK!G1262</f>
        <v>1/31/26</v>
      </c>
      <c r="M1262" s="59" t="n">
        <f aca="false">IF(G1262&gt;0,IF(INDEX(CONFIRM!$G$5:$G$53,G1262)&lt;&gt;"",INDEX(CONFIRM!$G$5:$G$53,G1262),IF(ISNUMBER(L1262),L1262,IFERROR(DATEVALUE(L1262),""))),IF(ISNUMBER(L1262),L1262,IFERROR(DATEVALUE(L1262),"")))</f>
        <v>46053</v>
      </c>
      <c r="N1262" s="1" t="str">
        <f aca="false">IF(M1262="","Check",IF(AND(M1262&gt;=INPUTS!$C$6,M1262&lt;=INPUTS!$C$7),"Yes","No"))</f>
        <v>Yes</v>
      </c>
      <c r="O1262" s="48" t="str">
        <f aca="false">STACK!H1262</f>
        <v>Medical Assistant</v>
      </c>
      <c r="P1262" s="1" t="str">
        <f aca="false">IF(G1262&gt;0,IF(INDEX(CONFIRM!$H$5:$H$53,G1262)&lt;&gt;"",INDEX(CONFIRM!$H$5:$H$53,G1262),IFERROR(INDEX(MAP!$B$7:$B$156,MATCH(TRIM(O1262),MAP!$A$7:$A$156,0)),"UNMAPPED")),IFERROR(INDEX(MAP!$B$7:$B$156,MATCH(TRIM(O1262),MAP!$A$7:$A$156,0)),"UNMAPPED"))</f>
        <v>Medical Assistant</v>
      </c>
      <c r="Q1262" s="48" t="n">
        <f aca="false">STACK!I1262</f>
        <v>64</v>
      </c>
      <c r="R1262" s="60" t="n">
        <f aca="false">IF(G1262&gt;0,IF(INDEX(CONFIRM!$F$5:$F$53,G1262)&lt;&gt;"",INDEX(CONFIRM!$F$5:$F$53,G1262),IF(ISNUMBER(Q1262),Q1262,IF(Q1262="","",IFERROR(VALUE(TRIM(SUBSTITUTE(SUBSTITUTE(LOWER(Q1262),"hrs",""),"hr",""))),"")))),IF(ISNUMBER(Q1262),Q1262,IF(Q1262="","",IFERROR(VALUE(TRIM(SUBSTITUTE(SUBSTITUTE(LOWER(Q1262),"hrs",""),"hr",""))),""))))</f>
        <v>64</v>
      </c>
      <c r="S1262" s="57" t="n">
        <f aca="false">IFERROR(INDEX(RATES!$E$6:$E$28,MATCH(P1262,RATES!$A$6:$A$28,0)),0)</f>
        <v>25.37875</v>
      </c>
      <c r="T1262" s="61" t="n">
        <f aca="false">IF(ISNUMBER(R1262),R1262,0)*S1262</f>
        <v>1624.24</v>
      </c>
      <c r="U1262" s="61" t="n">
        <f aca="false">T1262*INDEX(INPUTS!$H$10:$H$14,MATCH(B1262,INPUTS!$A$10:$A$14,0))</f>
        <v>229.01784</v>
      </c>
      <c r="V1262" s="61" t="n">
        <f aca="false">N(STACK!K1262)</f>
        <v>0</v>
      </c>
      <c r="W1262" s="61" t="n">
        <f aca="false">T1262+U1262+V1262</f>
        <v>1853.25784</v>
      </c>
      <c r="X1262" s="61" t="n">
        <f aca="false">N(STACK!L1262)</f>
        <v>0</v>
      </c>
      <c r="Y1262" s="61" t="n">
        <f aca="false">W1262-X1262</f>
        <v>1853.25784</v>
      </c>
      <c r="Z1262" s="1" t="n">
        <f aca="false">N(STACK!J1262)</f>
        <v>0</v>
      </c>
      <c r="AA1262" s="1" t="str">
        <f aca="false">TRIM(IF(D1262="UNMAPPED","Program not mapped. ","")&amp;IF(OR(K1262="UNMAPPED",K1262="UNASSIGNED"),"Category needs review. ","")&amp;IF(P1262="UNMAPPED","Title not mapped. ","")&amp;IF(AND(P1262&lt;&gt;"No staff time",R1262=""),"Missing hours. ","")&amp;IF(M1262="","Date not readable. ","")&amp;IF(N1262="No","Outside fiscal year. ","")&amp;IF(AND(F1262="Event",ISNUMBER(R1262)),IF(R1262&gt;12,"Event hours look high. ",""),"")&amp;IF(G1262&gt;0,"See CONFIRM sheet.",""))</f>
        <v/>
      </c>
      <c r="AB1262" s="1" t="n">
        <f aca="false">IF(N1262="No",0,IF(REVIEW!O1262=0,0,IF(G1262&gt;0,IF(INDEX(CONFIRM!$J$5:$J$53,G1262)&lt;&gt;"",INDEX(CONFIRM!$J$5:$J$53,G1262),1),1)))</f>
        <v>1</v>
      </c>
      <c r="AC1262" s="1" t="n">
        <f aca="false">IF(AB1262=1,IF(COUNTIFS($B$5:B1262,B1262,$D$5:D1262,D1262,$AB$5:AB1262,1)=1,1,0),0)</f>
        <v>0</v>
      </c>
    </row>
    <row r="1263" customFormat="false" ht="15" hidden="false" customHeight="false" outlineLevel="0" collapsed="false">
      <c r="A1263" s="48" t="str">
        <f aca="false">STACK!A1263</f>
        <v>WCH-0156</v>
      </c>
      <c r="B1263" s="48" t="str">
        <f aca="false">STACK!B1263</f>
        <v>WCH</v>
      </c>
      <c r="C1263" s="48" t="str">
        <f aca="false">STACK!E1263</f>
        <v>mobile van screenings</v>
      </c>
      <c r="D1263" s="1" t="str">
        <f aca="false">IFERROR(INDEX(MAP!$J$7:$J$101,MATCH(TRIM(C1263),MAP!$I$7:$I$101,0)),"UNMAPPED")</f>
        <v>Mobile Health Screening Unit</v>
      </c>
      <c r="E1263" s="1" t="str">
        <f aca="false">IFERROR(INDEX(MAP!$K$7:$K$101,MATCH(TRIM(C1263),MAP!$I$7:$I$101,0)),"")</f>
        <v>Access to care</v>
      </c>
      <c r="F1263" s="1" t="str">
        <f aca="false">IFERROR(INDEX(MAP!$L$7:$L$101,MATCH(TRIM(C1263),MAP!$I$7:$I$101,0)),"")</f>
        <v>Monthly</v>
      </c>
      <c r="G1263" s="1" t="n">
        <f aca="false">IFERROR(MATCH(A1263,CONFIRM!$A$5:$A$53,0),0)</f>
        <v>0</v>
      </c>
      <c r="H1263" s="48" t="str">
        <f aca="false">STACK!F1263</f>
        <v>CHIS clinical</v>
      </c>
      <c r="I1263" s="1" t="str">
        <f aca="false">IF(G1263&gt;0,IF(INDEX(CONFIRM!$I$5:$I$53,G1263)&lt;&gt;"",INDEX(CONFIRM!$I$5:$I$53,G1263),H1263),H1263)</f>
        <v>CHIS clinical</v>
      </c>
      <c r="J1263" s="1" t="str">
        <f aca="false">IFERROR(INDEX(MAP!$F$7:$F$74,MATCH(TRIM(I1263),MAP!$E$7:$E$74,0)),"UNMAPPED")</f>
        <v>Community-based clinical services</v>
      </c>
      <c r="K1263" s="1" t="str">
        <f aca="false">IFERROR(INDEX(MAP!$G$7:$G$74,MATCH(TRIM(I1263),MAP!$E$7:$E$74,0)),"UNMAPPED")</f>
        <v>7e</v>
      </c>
      <c r="L1263" s="49" t="str">
        <f aca="false">STACK!G1263</f>
        <v>1/31/26</v>
      </c>
      <c r="M1263" s="59" t="n">
        <f aca="false">IF(G1263&gt;0,IF(INDEX(CONFIRM!$G$5:$G$53,G1263)&lt;&gt;"",INDEX(CONFIRM!$G$5:$G$53,G1263),IF(ISNUMBER(L1263),L1263,IFERROR(DATEVALUE(L1263),""))),IF(ISNUMBER(L1263),L1263,IFERROR(DATEVALUE(L1263),"")))</f>
        <v>46053</v>
      </c>
      <c r="N1263" s="1" t="str">
        <f aca="false">IF(M1263="","Check",IF(AND(M1263&gt;=INPUTS!$C$6,M1263&lt;=INPUTS!$C$7),"Yes","No"))</f>
        <v>Yes</v>
      </c>
      <c r="O1263" s="48" t="str">
        <f aca="false">STACK!H1263</f>
        <v>RN II</v>
      </c>
      <c r="P1263" s="1" t="str">
        <f aca="false">IF(G1263&gt;0,IF(INDEX(CONFIRM!$H$5:$H$53,G1263)&lt;&gt;"",INDEX(CONFIRM!$H$5:$H$53,G1263),IFERROR(INDEX(MAP!$B$7:$B$156,MATCH(TRIM(O1263),MAP!$A$7:$A$156,0)),"UNMAPPED")),IFERROR(INDEX(MAP!$B$7:$B$156,MATCH(TRIM(O1263),MAP!$A$7:$A$156,0)),"UNMAPPED"))</f>
        <v>Registered Nurse</v>
      </c>
      <c r="Q1263" s="48" t="n">
        <f aca="false">STACK!I1263</f>
        <v>47.5</v>
      </c>
      <c r="R1263" s="60" t="n">
        <f aca="false">IF(G1263&gt;0,IF(INDEX(CONFIRM!$F$5:$F$53,G1263)&lt;&gt;"",INDEX(CONFIRM!$F$5:$F$53,G1263),IF(ISNUMBER(Q1263),Q1263,IF(Q1263="","",IFERROR(VALUE(TRIM(SUBSTITUTE(SUBSTITUTE(LOWER(Q1263),"hrs",""),"hr",""))),"")))),IF(ISNUMBER(Q1263),Q1263,IF(Q1263="","",IFERROR(VALUE(TRIM(SUBSTITUTE(SUBSTITUTE(LOWER(Q1263),"hrs",""),"hr",""))),""))))</f>
        <v>47.5</v>
      </c>
      <c r="S1263" s="57" t="n">
        <f aca="false">IFERROR(INDEX(RATES!$E$6:$E$28,MATCH(P1263,RATES!$A$6:$A$28,0)),0)</f>
        <v>55.8975</v>
      </c>
      <c r="T1263" s="61" t="n">
        <f aca="false">IF(ISNUMBER(R1263),R1263,0)*S1263</f>
        <v>2655.13125</v>
      </c>
      <c r="U1263" s="61" t="n">
        <f aca="false">T1263*INDEX(INPUTS!$H$10:$H$14,MATCH(B1263,INPUTS!$A$10:$A$14,0))</f>
        <v>374.37350625</v>
      </c>
      <c r="V1263" s="61" t="n">
        <f aca="false">N(STACK!K1263)</f>
        <v>4970</v>
      </c>
      <c r="W1263" s="61" t="n">
        <f aca="false">T1263+U1263+V1263</f>
        <v>7999.50475625</v>
      </c>
      <c r="X1263" s="61" t="n">
        <f aca="false">N(STACK!L1263)</f>
        <v>0</v>
      </c>
      <c r="Y1263" s="61" t="n">
        <f aca="false">W1263-X1263</f>
        <v>7999.50475625</v>
      </c>
      <c r="Z1263" s="1" t="n">
        <f aca="false">N(STACK!J1263)</f>
        <v>153</v>
      </c>
      <c r="AA1263" s="1" t="str">
        <f aca="false">TRIM(IF(D1263="UNMAPPED","Program not mapped. ","")&amp;IF(OR(K1263="UNMAPPED",K1263="UNASSIGNED"),"Category needs review. ","")&amp;IF(P1263="UNMAPPED","Title not mapped. ","")&amp;IF(AND(P1263&lt;&gt;"No staff time",R1263=""),"Missing hours. ","")&amp;IF(M1263="","Date not readable. ","")&amp;IF(N1263="No","Outside fiscal year. ","")&amp;IF(AND(F1263="Event",ISNUMBER(R1263)),IF(R1263&gt;12,"Event hours look high. ",""),"")&amp;IF(G1263&gt;0,"See CONFIRM sheet.",""))</f>
        <v/>
      </c>
      <c r="AB1263" s="1" t="n">
        <f aca="false">IF(N1263="No",0,IF(REVIEW!O1263=0,0,IF(G1263&gt;0,IF(INDEX(CONFIRM!$J$5:$J$53,G1263)&lt;&gt;"",INDEX(CONFIRM!$J$5:$J$53,G1263),1),1)))</f>
        <v>1</v>
      </c>
      <c r="AC1263" s="1" t="n">
        <f aca="false">IF(AB1263=1,IF(COUNTIFS($B$5:B1263,B1263,$D$5:D1263,D1263,$AB$5:AB1263,1)=1,1,0),0)</f>
        <v>0</v>
      </c>
    </row>
    <row r="1264" customFormat="false" ht="15" hidden="false" customHeight="false" outlineLevel="0" collapsed="false">
      <c r="A1264" s="48" t="str">
        <f aca="false">STACK!A1264</f>
        <v>WCH-0157</v>
      </c>
      <c r="B1264" s="48" t="str">
        <f aca="false">STACK!B1264</f>
        <v>WCH</v>
      </c>
      <c r="C1264" s="48" t="str">
        <f aca="false">STACK!E1264</f>
        <v>chw outreach</v>
      </c>
      <c r="D1264" s="1" t="str">
        <f aca="false">IFERROR(INDEX(MAP!$J$7:$J$101,MATCH(TRIM(C1264),MAP!$I$7:$I$101,0)),"UNMAPPED")</f>
        <v>Community Health Worker Outreach</v>
      </c>
      <c r="E1264" s="1" t="str">
        <f aca="false">IFERROR(INDEX(MAP!$K$7:$K$101,MATCH(TRIM(C1264),MAP!$I$7:$I$101,0)),"")</f>
        <v>Access to care</v>
      </c>
      <c r="F1264" s="1" t="str">
        <f aca="false">IFERROR(INDEX(MAP!$L$7:$L$101,MATCH(TRIM(C1264),MAP!$I$7:$I$101,0)),"")</f>
        <v>Monthly</v>
      </c>
      <c r="G1264" s="1" t="n">
        <f aca="false">IFERROR(MATCH(A1264,CONFIRM!$A$5:$A$53,0),0)</f>
        <v>0</v>
      </c>
      <c r="H1264" s="48" t="str">
        <f aca="false">STACK!F1264</f>
        <v>CHIS support</v>
      </c>
      <c r="I1264" s="1" t="str">
        <f aca="false">IF(G1264&gt;0,IF(INDEX(CONFIRM!$I$5:$I$53,G1264)&lt;&gt;"",INDEX(CONFIRM!$I$5:$I$53,G1264),H1264),H1264)</f>
        <v>CHIS support</v>
      </c>
      <c r="J1264" s="1" t="str">
        <f aca="false">IFERROR(INDEX(MAP!$F$7:$F$74,MATCH(TRIM(I1264),MAP!$E$7:$E$74,0)),"UNMAPPED")</f>
        <v>Health care support services</v>
      </c>
      <c r="K1264" s="1" t="str">
        <f aca="false">IFERROR(INDEX(MAP!$G$7:$G$74,MATCH(TRIM(I1264),MAP!$E$7:$E$74,0)),"UNMAPPED")</f>
        <v>7e</v>
      </c>
      <c r="L1264" s="49" t="str">
        <f aca="false">STACK!G1264</f>
        <v>January 31, 2026</v>
      </c>
      <c r="M1264" s="59" t="n">
        <f aca="false">IF(G1264&gt;0,IF(INDEX(CONFIRM!$G$5:$G$53,G1264)&lt;&gt;"",INDEX(CONFIRM!$G$5:$G$53,G1264),IF(ISNUMBER(L1264),L1264,IFERROR(DATEVALUE(L1264),""))),IF(ISNUMBER(L1264),L1264,IFERROR(DATEVALUE(L1264),"")))</f>
        <v>46053</v>
      </c>
      <c r="N1264" s="1" t="str">
        <f aca="false">IF(M1264="","Check",IF(AND(M1264&gt;=INPUTS!$C$6,M1264&lt;=INPUTS!$C$7),"Yes","No"))</f>
        <v>Yes</v>
      </c>
      <c r="O1264" s="48" t="str">
        <f aca="false">STACK!H1264</f>
        <v>Outreach Worker</v>
      </c>
      <c r="P1264" s="1" t="str">
        <f aca="false">IF(G1264&gt;0,IF(INDEX(CONFIRM!$H$5:$H$53,G1264)&lt;&gt;"",INDEX(CONFIRM!$H$5:$H$53,G1264),IFERROR(INDEX(MAP!$B$7:$B$156,MATCH(TRIM(O1264),MAP!$A$7:$A$156,0)),"UNMAPPED")),IFERROR(INDEX(MAP!$B$7:$B$156,MATCH(TRIM(O1264),MAP!$A$7:$A$156,0)),"UNMAPPED"))</f>
        <v>Community Health Worker</v>
      </c>
      <c r="Q1264" s="48" t="n">
        <f aca="false">STACK!I1264</f>
        <v>197</v>
      </c>
      <c r="R1264" s="60" t="n">
        <f aca="false">IF(G1264&gt;0,IF(INDEX(CONFIRM!$F$5:$F$53,G1264)&lt;&gt;"",INDEX(CONFIRM!$F$5:$F$53,G1264),IF(ISNUMBER(Q1264),Q1264,IF(Q1264="","",IFERROR(VALUE(TRIM(SUBSTITUTE(SUBSTITUTE(LOWER(Q1264),"hrs",""),"hr",""))),"")))),IF(ISNUMBER(Q1264),Q1264,IF(Q1264="","",IFERROR(VALUE(TRIM(SUBSTITUTE(SUBSTITUTE(LOWER(Q1264),"hrs",""),"hr",""))),""))))</f>
        <v>197</v>
      </c>
      <c r="S1264" s="57" t="n">
        <f aca="false">IFERROR(INDEX(RATES!$E$6:$E$28,MATCH(P1264,RATES!$A$6:$A$28,0)),0)</f>
        <v>27.6275</v>
      </c>
      <c r="T1264" s="61" t="n">
        <f aca="false">IF(ISNUMBER(R1264),R1264,0)*S1264</f>
        <v>5442.6175</v>
      </c>
      <c r="U1264" s="61" t="n">
        <f aca="false">T1264*INDEX(INPUTS!$H$10:$H$14,MATCH(B1264,INPUTS!$A$10:$A$14,0))</f>
        <v>767.4090675</v>
      </c>
      <c r="V1264" s="61" t="n">
        <f aca="false">N(STACK!K1264)</f>
        <v>710</v>
      </c>
      <c r="W1264" s="61" t="n">
        <f aca="false">T1264+U1264+V1264</f>
        <v>6920.0265675</v>
      </c>
      <c r="X1264" s="61" t="n">
        <f aca="false">N(STACK!L1264)</f>
        <v>0</v>
      </c>
      <c r="Y1264" s="61" t="n">
        <f aca="false">W1264-X1264</f>
        <v>6920.0265675</v>
      </c>
      <c r="Z1264" s="1" t="n">
        <f aca="false">N(STACK!J1264)</f>
        <v>259</v>
      </c>
      <c r="AA1264" s="1" t="str">
        <f aca="false">TRIM(IF(D1264="UNMAPPED","Program not mapped. ","")&amp;IF(OR(K1264="UNMAPPED",K1264="UNASSIGNED"),"Category needs review. ","")&amp;IF(P1264="UNMAPPED","Title not mapped. ","")&amp;IF(AND(P1264&lt;&gt;"No staff time",R1264=""),"Missing hours. ","")&amp;IF(M1264="","Date not readable. ","")&amp;IF(N1264="No","Outside fiscal year. ","")&amp;IF(AND(F1264="Event",ISNUMBER(R1264)),IF(R1264&gt;12,"Event hours look high. ",""),"")&amp;IF(G1264&gt;0,"See CONFIRM sheet.",""))</f>
        <v/>
      </c>
      <c r="AB1264" s="1" t="n">
        <f aca="false">IF(N1264="No",0,IF(REVIEW!O1264=0,0,IF(G1264&gt;0,IF(INDEX(CONFIRM!$J$5:$J$53,G1264)&lt;&gt;"",INDEX(CONFIRM!$J$5:$J$53,G1264),1),1)))</f>
        <v>1</v>
      </c>
      <c r="AC1264" s="1" t="n">
        <f aca="false">IF(AB1264=1,IF(COUNTIFS($B$5:B1264,B1264,$D$5:D1264,D1264,$AB$5:AB1264,1)=1,1,0),0)</f>
        <v>0</v>
      </c>
    </row>
    <row r="1265" customFormat="false" ht="15" hidden="false" customHeight="false" outlineLevel="0" collapsed="false">
      <c r="A1265" s="48" t="str">
        <f aca="false">STACK!A1265</f>
        <v>WCH-0158</v>
      </c>
      <c r="B1265" s="48" t="str">
        <f aca="false">STACK!B1265</f>
        <v>WCH</v>
      </c>
      <c r="C1265" s="48" t="str">
        <f aca="false">STACK!E1265</f>
        <v>chw outreach</v>
      </c>
      <c r="D1265" s="1" t="str">
        <f aca="false">IFERROR(INDEX(MAP!$J$7:$J$101,MATCH(TRIM(C1265),MAP!$I$7:$I$101,0)),"UNMAPPED")</f>
        <v>Community Health Worker Outreach</v>
      </c>
      <c r="E1265" s="1" t="str">
        <f aca="false">IFERROR(INDEX(MAP!$K$7:$K$101,MATCH(TRIM(C1265),MAP!$I$7:$I$101,0)),"")</f>
        <v>Access to care</v>
      </c>
      <c r="F1265" s="1" t="str">
        <f aca="false">IFERROR(INDEX(MAP!$L$7:$L$101,MATCH(TRIM(C1265),MAP!$I$7:$I$101,0)),"")</f>
        <v>Monthly</v>
      </c>
      <c r="G1265" s="1" t="n">
        <f aca="false">IFERROR(MATCH(A1265,CONFIRM!$A$5:$A$53,0),0)</f>
        <v>0</v>
      </c>
      <c r="H1265" s="48" t="str">
        <f aca="false">STACK!F1265</f>
        <v>CHIS support</v>
      </c>
      <c r="I1265" s="1" t="str">
        <f aca="false">IF(G1265&gt;0,IF(INDEX(CONFIRM!$I$5:$I$53,G1265)&lt;&gt;"",INDEX(CONFIRM!$I$5:$I$53,G1265),H1265),H1265)</f>
        <v>CHIS support</v>
      </c>
      <c r="J1265" s="1" t="str">
        <f aca="false">IFERROR(INDEX(MAP!$F$7:$F$74,MATCH(TRIM(I1265),MAP!$E$7:$E$74,0)),"UNMAPPED")</f>
        <v>Health care support services</v>
      </c>
      <c r="K1265" s="1" t="str">
        <f aca="false">IFERROR(INDEX(MAP!$G$7:$G$74,MATCH(TRIM(I1265),MAP!$E$7:$E$74,0)),"UNMAPPED")</f>
        <v>7e</v>
      </c>
      <c r="L1265" s="49" t="n">
        <f aca="false">STACK!G1265</f>
        <v>46053</v>
      </c>
      <c r="M1265" s="59" t="n">
        <f aca="false">IF(G1265&gt;0,IF(INDEX(CONFIRM!$G$5:$G$53,G1265)&lt;&gt;"",INDEX(CONFIRM!$G$5:$G$53,G1265),IF(ISNUMBER(L1265),L1265,IFERROR(DATEVALUE(L1265),""))),IF(ISNUMBER(L1265),L1265,IFERROR(DATEVALUE(L1265),"")))</f>
        <v>46053</v>
      </c>
      <c r="N1265" s="1" t="str">
        <f aca="false">IF(M1265="","Check",IF(AND(M1265&gt;=INPUTS!$C$6,M1265&lt;=INPUTS!$C$7),"Yes","No"))</f>
        <v>Yes</v>
      </c>
      <c r="O1265" s="48" t="str">
        <f aca="false">STACK!H1265</f>
        <v>Care Navigator</v>
      </c>
      <c r="P1265" s="1" t="str">
        <f aca="false">IF(G1265&gt;0,IF(INDEX(CONFIRM!$H$5:$H$53,G1265)&lt;&gt;"",INDEX(CONFIRM!$H$5:$H$53,G1265),IFERROR(INDEX(MAP!$B$7:$B$156,MATCH(TRIM(O1265),MAP!$A$7:$A$156,0)),"UNMAPPED")),IFERROR(INDEX(MAP!$B$7:$B$156,MATCH(TRIM(O1265),MAP!$A$7:$A$156,0)),"UNMAPPED"))</f>
        <v>Patient Navigator</v>
      </c>
      <c r="Q1265" s="48" t="n">
        <f aca="false">STACK!I1265</f>
        <v>90.25</v>
      </c>
      <c r="R1265" s="60" t="n">
        <f aca="false">IF(G1265&gt;0,IF(INDEX(CONFIRM!$F$5:$F$53,G1265)&lt;&gt;"",INDEX(CONFIRM!$F$5:$F$53,G1265),IF(ISNUMBER(Q1265),Q1265,IF(Q1265="","",IFERROR(VALUE(TRIM(SUBSTITUTE(SUBSTITUTE(LOWER(Q1265),"hrs",""),"hr",""))),"")))),IF(ISNUMBER(Q1265),Q1265,IF(Q1265="","",IFERROR(VALUE(TRIM(SUBSTITUTE(SUBSTITUTE(LOWER(Q1265),"hrs",""),"hr",""))),""))))</f>
        <v>90.25</v>
      </c>
      <c r="S1265" s="57" t="n">
        <f aca="false">IFERROR(INDEX(RATES!$E$6:$E$28,MATCH(P1265,RATES!$A$6:$A$28,0)),0)</f>
        <v>30.84</v>
      </c>
      <c r="T1265" s="61" t="n">
        <f aca="false">IF(ISNUMBER(R1265),R1265,0)*S1265</f>
        <v>2783.31</v>
      </c>
      <c r="U1265" s="61" t="n">
        <f aca="false">T1265*INDEX(INPUTS!$H$10:$H$14,MATCH(B1265,INPUTS!$A$10:$A$14,0))</f>
        <v>392.44671</v>
      </c>
      <c r="V1265" s="61" t="n">
        <f aca="false">N(STACK!K1265)</f>
        <v>0</v>
      </c>
      <c r="W1265" s="61" t="n">
        <f aca="false">T1265+U1265+V1265</f>
        <v>3175.75671</v>
      </c>
      <c r="X1265" s="61" t="n">
        <f aca="false">N(STACK!L1265)</f>
        <v>0</v>
      </c>
      <c r="Y1265" s="61" t="n">
        <f aca="false">W1265-X1265</f>
        <v>3175.75671</v>
      </c>
      <c r="Z1265" s="1" t="n">
        <f aca="false">N(STACK!J1265)</f>
        <v>0</v>
      </c>
      <c r="AA1265" s="1" t="str">
        <f aca="false">TRIM(IF(D1265="UNMAPPED","Program not mapped. ","")&amp;IF(OR(K1265="UNMAPPED",K1265="UNASSIGNED"),"Category needs review. ","")&amp;IF(P1265="UNMAPPED","Title not mapped. ","")&amp;IF(AND(P1265&lt;&gt;"No staff time",R1265=""),"Missing hours. ","")&amp;IF(M1265="","Date not readable. ","")&amp;IF(N1265="No","Outside fiscal year. ","")&amp;IF(AND(F1265="Event",ISNUMBER(R1265)),IF(R1265&gt;12,"Event hours look high. ",""),"")&amp;IF(G1265&gt;0,"See CONFIRM sheet.",""))</f>
        <v/>
      </c>
      <c r="AB1265" s="1" t="n">
        <f aca="false">IF(N1265="No",0,IF(REVIEW!O1265=0,0,IF(G1265&gt;0,IF(INDEX(CONFIRM!$J$5:$J$53,G1265)&lt;&gt;"",INDEX(CONFIRM!$J$5:$J$53,G1265),1),1)))</f>
        <v>1</v>
      </c>
      <c r="AC1265" s="1" t="n">
        <f aca="false">IF(AB1265=1,IF(COUNTIFS($B$5:B1265,B1265,$D$5:D1265,D1265,$AB$5:AB1265,1)=1,1,0),0)</f>
        <v>0</v>
      </c>
    </row>
    <row r="1266" customFormat="false" ht="15" hidden="false" customHeight="false" outlineLevel="0" collapsed="false">
      <c r="A1266" s="48" t="str">
        <f aca="false">STACK!A1266</f>
        <v>WCH-0159</v>
      </c>
      <c r="B1266" s="48" t="str">
        <f aca="false">STACK!B1266</f>
        <v>WCH</v>
      </c>
      <c r="C1266" s="48" t="str">
        <f aca="false">STACK!E1266</f>
        <v>produce prescription</v>
      </c>
      <c r="D1266" s="1" t="str">
        <f aca="false">IFERROR(INDEX(MAP!$J$7:$J$101,MATCH(TRIM(C1266),MAP!$I$7:$I$101,0)),"UNMAPPED")</f>
        <v>Produce Prescription Program</v>
      </c>
      <c r="E1266" s="1" t="str">
        <f aca="false">IFERROR(INDEX(MAP!$K$7:$K$101,MATCH(TRIM(C1266),MAP!$I$7:$I$101,0)),"")</f>
        <v>Food and housing security</v>
      </c>
      <c r="F1266" s="1" t="str">
        <f aca="false">IFERROR(INDEX(MAP!$L$7:$L$101,MATCH(TRIM(C1266),MAP!$I$7:$I$101,0)),"")</f>
        <v>Monthly</v>
      </c>
      <c r="G1266" s="1" t="n">
        <f aca="false">IFERROR(MATCH(A1266,CONFIRM!$A$5:$A$53,0),0)</f>
        <v>0</v>
      </c>
      <c r="H1266" s="48" t="str">
        <f aca="false">STACK!F1266</f>
        <v>CHIS support</v>
      </c>
      <c r="I1266" s="1" t="str">
        <f aca="false">IF(G1266&gt;0,IF(INDEX(CONFIRM!$I$5:$I$53,G1266)&lt;&gt;"",INDEX(CONFIRM!$I$5:$I$53,G1266),H1266),H1266)</f>
        <v>CHIS support</v>
      </c>
      <c r="J1266" s="1" t="str">
        <f aca="false">IFERROR(INDEX(MAP!$F$7:$F$74,MATCH(TRIM(I1266),MAP!$E$7:$E$74,0)),"UNMAPPED")</f>
        <v>Health care support services</v>
      </c>
      <c r="K1266" s="1" t="str">
        <f aca="false">IFERROR(INDEX(MAP!$G$7:$G$74,MATCH(TRIM(I1266),MAP!$E$7:$E$74,0)),"UNMAPPED")</f>
        <v>7e</v>
      </c>
      <c r="L1266" s="49" t="n">
        <f aca="false">STACK!G1266</f>
        <v>46053</v>
      </c>
      <c r="M1266" s="59" t="n">
        <f aca="false">IF(G1266&gt;0,IF(INDEX(CONFIRM!$G$5:$G$53,G1266)&lt;&gt;"",INDEX(CONFIRM!$G$5:$G$53,G1266),IF(ISNUMBER(L1266),L1266,IFERROR(DATEVALUE(L1266),""))),IF(ISNUMBER(L1266),L1266,IFERROR(DATEVALUE(L1266),"")))</f>
        <v>46053</v>
      </c>
      <c r="N1266" s="1" t="str">
        <f aca="false">IF(M1266="","Check",IF(AND(M1266&gt;=INPUTS!$C$6,M1266&lt;=INPUTS!$C$7),"Yes","No"))</f>
        <v>Yes</v>
      </c>
      <c r="O1266" s="48" t="str">
        <f aca="false">STACK!H1266</f>
        <v>Comm Health Worker</v>
      </c>
      <c r="P1266" s="1" t="str">
        <f aca="false">IF(G1266&gt;0,IF(INDEX(CONFIRM!$H$5:$H$53,G1266)&lt;&gt;"",INDEX(CONFIRM!$H$5:$H$53,G1266),IFERROR(INDEX(MAP!$B$7:$B$156,MATCH(TRIM(O1266),MAP!$A$7:$A$156,0)),"UNMAPPED")),IFERROR(INDEX(MAP!$B$7:$B$156,MATCH(TRIM(O1266),MAP!$A$7:$A$156,0)),"UNMAPPED"))</f>
        <v>Community Health Worker</v>
      </c>
      <c r="Q1266" s="48" t="n">
        <f aca="false">STACK!I1266</f>
        <v>46</v>
      </c>
      <c r="R1266" s="60" t="n">
        <f aca="false">IF(G1266&gt;0,IF(INDEX(CONFIRM!$F$5:$F$53,G1266)&lt;&gt;"",INDEX(CONFIRM!$F$5:$F$53,G1266),IF(ISNUMBER(Q1266),Q1266,IF(Q1266="","",IFERROR(VALUE(TRIM(SUBSTITUTE(SUBSTITUTE(LOWER(Q1266),"hrs",""),"hr",""))),"")))),IF(ISNUMBER(Q1266),Q1266,IF(Q1266="","",IFERROR(VALUE(TRIM(SUBSTITUTE(SUBSTITUTE(LOWER(Q1266),"hrs",""),"hr",""))),""))))</f>
        <v>46</v>
      </c>
      <c r="S1266" s="57" t="n">
        <f aca="false">IFERROR(INDEX(RATES!$E$6:$E$28,MATCH(P1266,RATES!$A$6:$A$28,0)),0)</f>
        <v>27.6275</v>
      </c>
      <c r="T1266" s="61" t="n">
        <f aca="false">IF(ISNUMBER(R1266),R1266,0)*S1266</f>
        <v>1270.865</v>
      </c>
      <c r="U1266" s="61" t="n">
        <f aca="false">T1266*INDEX(INPUTS!$H$10:$H$14,MATCH(B1266,INPUTS!$A$10:$A$14,0))</f>
        <v>179.191965</v>
      </c>
      <c r="V1266" s="61" t="n">
        <f aca="false">N(STACK!K1266)</f>
        <v>0</v>
      </c>
      <c r="W1266" s="61" t="n">
        <f aca="false">T1266+U1266+V1266</f>
        <v>1450.056965</v>
      </c>
      <c r="X1266" s="61" t="n">
        <f aca="false">N(STACK!L1266)</f>
        <v>0</v>
      </c>
      <c r="Y1266" s="61" t="n">
        <f aca="false">W1266-X1266</f>
        <v>1450.056965</v>
      </c>
      <c r="Z1266" s="1" t="n">
        <f aca="false">N(STACK!J1266)</f>
        <v>0</v>
      </c>
      <c r="AA1266" s="1" t="str">
        <f aca="false">TRIM(IF(D1266="UNMAPPED","Program not mapped. ","")&amp;IF(OR(K1266="UNMAPPED",K1266="UNASSIGNED"),"Category needs review. ","")&amp;IF(P1266="UNMAPPED","Title not mapped. ","")&amp;IF(AND(P1266&lt;&gt;"No staff time",R1266=""),"Missing hours. ","")&amp;IF(M1266="","Date not readable. ","")&amp;IF(N1266="No","Outside fiscal year. ","")&amp;IF(AND(F1266="Event",ISNUMBER(R1266)),IF(R1266&gt;12,"Event hours look high. ",""),"")&amp;IF(G1266&gt;0,"See CONFIRM sheet.",""))</f>
        <v/>
      </c>
      <c r="AB1266" s="1" t="n">
        <f aca="false">IF(N1266="No",0,IF(REVIEW!O1266=0,0,IF(G1266&gt;0,IF(INDEX(CONFIRM!$J$5:$J$53,G1266)&lt;&gt;"",INDEX(CONFIRM!$J$5:$J$53,G1266),1),1)))</f>
        <v>1</v>
      </c>
      <c r="AC1266" s="1" t="n">
        <f aca="false">IF(AB1266=1,IF(COUNTIFS($B$5:B1266,B1266,$D$5:D1266,D1266,$AB$5:AB1266,1)=1,1,0),0)</f>
        <v>0</v>
      </c>
    </row>
    <row r="1267" customFormat="false" ht="15" hidden="false" customHeight="false" outlineLevel="0" collapsed="false">
      <c r="A1267" s="48" t="str">
        <f aca="false">STACK!A1267</f>
        <v>WCH-0160</v>
      </c>
      <c r="B1267" s="48" t="str">
        <f aca="false">STACK!B1267</f>
        <v>WCH</v>
      </c>
      <c r="C1267" s="48" t="str">
        <f aca="false">STACK!E1267</f>
        <v>produce prescription</v>
      </c>
      <c r="D1267" s="1" t="str">
        <f aca="false">IFERROR(INDEX(MAP!$J$7:$J$101,MATCH(TRIM(C1267),MAP!$I$7:$I$101,0)),"UNMAPPED")</f>
        <v>Produce Prescription Program</v>
      </c>
      <c r="E1267" s="1" t="str">
        <f aca="false">IFERROR(INDEX(MAP!$K$7:$K$101,MATCH(TRIM(C1267),MAP!$I$7:$I$101,0)),"")</f>
        <v>Food and housing security</v>
      </c>
      <c r="F1267" s="1" t="str">
        <f aca="false">IFERROR(INDEX(MAP!$L$7:$L$101,MATCH(TRIM(C1267),MAP!$I$7:$I$101,0)),"")</f>
        <v>Monthly</v>
      </c>
      <c r="G1267" s="1" t="n">
        <f aca="false">IFERROR(MATCH(A1267,CONFIRM!$A$5:$A$53,0),0)</f>
        <v>40</v>
      </c>
      <c r="H1267" s="48" t="str">
        <f aca="false">STACK!F1267</f>
        <v>CHIS support</v>
      </c>
      <c r="I1267" s="1" t="str">
        <f aca="false">IF(G1267&gt;0,IF(INDEX(CONFIRM!$I$5:$I$53,G1267)&lt;&gt;"",INDEX(CONFIRM!$I$5:$I$53,G1267),H1267),H1267)</f>
        <v>CHIS support</v>
      </c>
      <c r="J1267" s="1" t="str">
        <f aca="false">IFERROR(INDEX(MAP!$F$7:$F$74,MATCH(TRIM(I1267),MAP!$E$7:$E$74,0)),"UNMAPPED")</f>
        <v>Health care support services</v>
      </c>
      <c r="K1267" s="1" t="str">
        <f aca="false">IFERROR(INDEX(MAP!$G$7:$G$74,MATCH(TRIM(I1267),MAP!$E$7:$E$74,0)),"UNMAPPED")</f>
        <v>7e</v>
      </c>
      <c r="L1267" s="49" t="n">
        <f aca="false">STACK!G1267</f>
        <v>46053</v>
      </c>
      <c r="M1267" s="59" t="n">
        <f aca="false">IF(G1267&gt;0,IF(INDEX(CONFIRM!$G$5:$G$53,G1267)&lt;&gt;"",INDEX(CONFIRM!$G$5:$G$53,G1267),IF(ISNUMBER(L1267),L1267,IFERROR(DATEVALUE(L1267),""))),IF(ISNUMBER(L1267),L1267,IFERROR(DATEVALUE(L1267),"")))</f>
        <v>46053</v>
      </c>
      <c r="N1267" s="1" t="str">
        <f aca="false">IF(M1267="","Check",IF(AND(M1267&gt;=INPUTS!$C$6,M1267&lt;=INPUTS!$C$7),"Yes","No"))</f>
        <v>Yes</v>
      </c>
      <c r="O1267" s="48" t="str">
        <f aca="false">STACK!H1267</f>
        <v>Dietitian</v>
      </c>
      <c r="P1267" s="1" t="str">
        <f aca="false">IF(G1267&gt;0,IF(INDEX(CONFIRM!$H$5:$H$53,G1267)&lt;&gt;"",INDEX(CONFIRM!$H$5:$H$53,G1267),IFERROR(INDEX(MAP!$B$7:$B$156,MATCH(TRIM(O1267),MAP!$A$7:$A$156,0)),"UNMAPPED")),IFERROR(INDEX(MAP!$B$7:$B$156,MATCH(TRIM(O1267),MAP!$A$7:$A$156,0)),"UNMAPPED"))</f>
        <v>Registered Dietitian</v>
      </c>
      <c r="Q1267" s="48" t="str">
        <f aca="false">STACK!I1267</f>
        <v/>
      </c>
      <c r="R1267" s="60" t="n">
        <f aca="false">IF(G1267&gt;0,IF(INDEX(CONFIRM!$F$5:$F$53,G1267)&lt;&gt;"",INDEX(CONFIRM!$F$5:$F$53,G1267),IF(ISNUMBER(Q1267),Q1267,IF(Q1267="","",IFERROR(VALUE(TRIM(SUBSTITUTE(SUBSTITUTE(LOWER(Q1267),"hrs",""),"hr",""))),"")))),IF(ISNUMBER(Q1267),Q1267,IF(Q1267="","",IFERROR(VALUE(TRIM(SUBSTITUTE(SUBSTITUTE(LOWER(Q1267),"hrs",""),"hr",""))),""))))</f>
        <v>15.75</v>
      </c>
      <c r="S1267" s="57" t="n">
        <f aca="false">IFERROR(INDEX(RATES!$E$6:$E$28,MATCH(P1267,RATES!$A$6:$A$28,0)),0)</f>
        <v>46.9025</v>
      </c>
      <c r="T1267" s="61" t="n">
        <f aca="false">IF(ISNUMBER(R1267),R1267,0)*S1267</f>
        <v>738.714375</v>
      </c>
      <c r="U1267" s="61" t="n">
        <f aca="false">T1267*INDEX(INPUTS!$H$10:$H$14,MATCH(B1267,INPUTS!$A$10:$A$14,0))</f>
        <v>104.158726875</v>
      </c>
      <c r="V1267" s="61" t="n">
        <f aca="false">N(STACK!K1267)</f>
        <v>11410</v>
      </c>
      <c r="W1267" s="61" t="n">
        <f aca="false">T1267+U1267+V1267</f>
        <v>12252.873101875</v>
      </c>
      <c r="X1267" s="61" t="n">
        <f aca="false">N(STACK!L1267)</f>
        <v>3095</v>
      </c>
      <c r="Y1267" s="61" t="n">
        <f aca="false">W1267-X1267</f>
        <v>9157.873101875</v>
      </c>
      <c r="Z1267" s="1" t="n">
        <f aca="false">N(STACK!J1267)</f>
        <v>89</v>
      </c>
      <c r="AA1267" s="1" t="str">
        <f aca="false">TRIM(IF(D1267="UNMAPPED","Program not mapped. ","")&amp;IF(OR(K1267="UNMAPPED",K1267="UNASSIGNED"),"Category needs review. ","")&amp;IF(P1267="UNMAPPED","Title not mapped. ","")&amp;IF(AND(P1267&lt;&gt;"No staff time",R1267=""),"Missing hours. ","")&amp;IF(M1267="","Date not readable. ","")&amp;IF(N1267="No","Outside fiscal year. ","")&amp;IF(AND(F1267="Event",ISNUMBER(R1267)),IF(R1267&gt;12,"Event hours look high. ",""),"")&amp;IF(G1267&gt;0,"See CONFIRM sheet.",""))</f>
        <v>See CONFIRM sheet.</v>
      </c>
      <c r="AB1267" s="1" t="n">
        <f aca="false">IF(N1267="No",0,IF(REVIEW!O1267=0,0,IF(G1267&gt;0,IF(INDEX(CONFIRM!$J$5:$J$53,G1267)&lt;&gt;"",INDEX(CONFIRM!$J$5:$J$53,G1267),1),1)))</f>
        <v>1</v>
      </c>
      <c r="AC1267" s="1" t="n">
        <f aca="false">IF(AB1267=1,IF(COUNTIFS($B$5:B1267,B1267,$D$5:D1267,D1267,$AB$5:AB1267,1)=1,1,0),0)</f>
        <v>0</v>
      </c>
    </row>
    <row r="1268" customFormat="false" ht="15" hidden="false" customHeight="false" outlineLevel="0" collapsed="false">
      <c r="A1268" s="48" t="str">
        <f aca="false">STACK!A1268</f>
        <v>WCH-0161</v>
      </c>
      <c r="B1268" s="48" t="str">
        <f aca="false">STACK!B1268</f>
        <v>WCH</v>
      </c>
      <c r="C1268" s="48" t="str">
        <f aca="false">STACK!E1268</f>
        <v>cb admin</v>
      </c>
      <c r="D1268" s="1" t="str">
        <f aca="false">IFERROR(INDEX(MAP!$J$7:$J$101,MATCH(TRIM(C1268),MAP!$I$7:$I$101,0)),"UNMAPPED")</f>
        <v>Community Benefit Program Administration</v>
      </c>
      <c r="E1268" s="1" t="str">
        <f aca="false">IFERROR(INDEX(MAP!$K$7:$K$101,MATCH(TRIM(C1268),MAP!$I$7:$I$101,0)),"")</f>
        <v>Community benefit infrastructure</v>
      </c>
      <c r="F1268" s="1" t="str">
        <f aca="false">IFERROR(INDEX(MAP!$L$7:$L$101,MATCH(TRIM(C1268),MAP!$I$7:$I$101,0)),"")</f>
        <v>Monthly</v>
      </c>
      <c r="G1268" s="1" t="n">
        <f aca="false">IFERROR(MATCH(A1268,CONFIRM!$A$5:$A$53,0),0)</f>
        <v>0</v>
      </c>
      <c r="H1268" s="48" t="str">
        <f aca="false">STACK!F1268</f>
        <v>cb operations</v>
      </c>
      <c r="I1268" s="1" t="str">
        <f aca="false">IF(G1268&gt;0,IF(INDEX(CONFIRM!$I$5:$I$53,G1268)&lt;&gt;"",INDEX(CONFIRM!$I$5:$I$53,G1268),H1268),H1268)</f>
        <v>cb operations</v>
      </c>
      <c r="J1268" s="1" t="str">
        <f aca="false">IFERROR(INDEX(MAP!$F$7:$F$74,MATCH(TRIM(I1268),MAP!$E$7:$E$74,0)),"UNMAPPED")</f>
        <v>Community benefit operations</v>
      </c>
      <c r="K1268" s="1" t="str">
        <f aca="false">IFERROR(INDEX(MAP!$G$7:$G$74,MATCH(TRIM(I1268),MAP!$E$7:$E$74,0)),"UNMAPPED")</f>
        <v>7e</v>
      </c>
      <c r="L1268" s="49" t="n">
        <f aca="false">STACK!G1268</f>
        <v>46053</v>
      </c>
      <c r="M1268" s="59" t="n">
        <f aca="false">IF(G1268&gt;0,IF(INDEX(CONFIRM!$G$5:$G$53,G1268)&lt;&gt;"",INDEX(CONFIRM!$G$5:$G$53,G1268),IF(ISNUMBER(L1268),L1268,IFERROR(DATEVALUE(L1268),""))),IF(ISNUMBER(L1268),L1268,IFERROR(DATEVALUE(L1268),"")))</f>
        <v>46053</v>
      </c>
      <c r="N1268" s="1" t="str">
        <f aca="false">IF(M1268="","Check",IF(AND(M1268&gt;=INPUTS!$C$6,M1268&lt;=INPUTS!$C$7),"Yes","No"))</f>
        <v>Yes</v>
      </c>
      <c r="O1268" s="48" t="str">
        <f aca="false">STACK!H1268</f>
        <v>Admin</v>
      </c>
      <c r="P1268" s="1" t="str">
        <f aca="false">IF(G1268&gt;0,IF(INDEX(CONFIRM!$H$5:$H$53,G1268)&lt;&gt;"",INDEX(CONFIRM!$H$5:$H$53,G1268),IFERROR(INDEX(MAP!$B$7:$B$156,MATCH(TRIM(O1268),MAP!$A$7:$A$156,0)),"UNMAPPED")),IFERROR(INDEX(MAP!$B$7:$B$156,MATCH(TRIM(O1268),MAP!$A$7:$A$156,0)),"UNMAPPED"))</f>
        <v>Administrative Assistant</v>
      </c>
      <c r="Q1268" s="48" t="n">
        <f aca="false">STACK!I1268</f>
        <v>33.5</v>
      </c>
      <c r="R1268" s="60" t="n">
        <f aca="false">IF(G1268&gt;0,IF(INDEX(CONFIRM!$F$5:$F$53,G1268)&lt;&gt;"",INDEX(CONFIRM!$F$5:$F$53,G1268),IF(ISNUMBER(Q1268),Q1268,IF(Q1268="","",IFERROR(VALUE(TRIM(SUBSTITUTE(SUBSTITUTE(LOWER(Q1268),"hrs",""),"hr",""))),"")))),IF(ISNUMBER(Q1268),Q1268,IF(Q1268="","",IFERROR(VALUE(TRIM(SUBSTITUTE(SUBSTITUTE(LOWER(Q1268),"hrs",""),"hr",""))),""))))</f>
        <v>33.5</v>
      </c>
      <c r="S1268" s="57" t="n">
        <f aca="false">IFERROR(INDEX(RATES!$E$6:$E$28,MATCH(P1268,RATES!$A$6:$A$28,0)),0)</f>
        <v>26.985</v>
      </c>
      <c r="T1268" s="61" t="n">
        <f aca="false">IF(ISNUMBER(R1268),R1268,0)*S1268</f>
        <v>903.9975</v>
      </c>
      <c r="U1268" s="61" t="n">
        <f aca="false">T1268*INDEX(INPUTS!$H$10:$H$14,MATCH(B1268,INPUTS!$A$10:$A$14,0))</f>
        <v>127.4636475</v>
      </c>
      <c r="V1268" s="61" t="n">
        <f aca="false">N(STACK!K1268)</f>
        <v>0</v>
      </c>
      <c r="W1268" s="61" t="n">
        <f aca="false">T1268+U1268+V1268</f>
        <v>1031.4611475</v>
      </c>
      <c r="X1268" s="61" t="n">
        <f aca="false">N(STACK!L1268)</f>
        <v>0</v>
      </c>
      <c r="Y1268" s="61" t="n">
        <f aca="false">W1268-X1268</f>
        <v>1031.4611475</v>
      </c>
      <c r="Z1268" s="1" t="n">
        <f aca="false">N(STACK!J1268)</f>
        <v>0</v>
      </c>
      <c r="AA1268" s="1" t="str">
        <f aca="false">TRIM(IF(D1268="UNMAPPED","Program not mapped. ","")&amp;IF(OR(K1268="UNMAPPED",K1268="UNASSIGNED"),"Category needs review. ","")&amp;IF(P1268="UNMAPPED","Title not mapped. ","")&amp;IF(AND(P1268&lt;&gt;"No staff time",R1268=""),"Missing hours. ","")&amp;IF(M1268="","Date not readable. ","")&amp;IF(N1268="No","Outside fiscal year. ","")&amp;IF(AND(F1268="Event",ISNUMBER(R1268)),IF(R1268&gt;12,"Event hours look high. ",""),"")&amp;IF(G1268&gt;0,"See CONFIRM sheet.",""))</f>
        <v/>
      </c>
      <c r="AB1268" s="1" t="n">
        <f aca="false">IF(N1268="No",0,IF(REVIEW!O1268=0,0,IF(G1268&gt;0,IF(INDEX(CONFIRM!$J$5:$J$53,G1268)&lt;&gt;"",INDEX(CONFIRM!$J$5:$J$53,G1268),1),1)))</f>
        <v>1</v>
      </c>
      <c r="AC1268" s="1" t="n">
        <f aca="false">IF(AB1268=1,IF(COUNTIFS($B$5:B1268,B1268,$D$5:D1268,D1268,$AB$5:AB1268,1)=1,1,0),0)</f>
        <v>0</v>
      </c>
    </row>
    <row r="1269" customFormat="false" ht="15" hidden="false" customHeight="false" outlineLevel="0" collapsed="false">
      <c r="A1269" s="48" t="str">
        <f aca="false">STACK!A1269</f>
        <v>WCH-0162</v>
      </c>
      <c r="B1269" s="48" t="str">
        <f aca="false">STACK!B1269</f>
        <v>WCH</v>
      </c>
      <c r="C1269" s="48" t="str">
        <f aca="false">STACK!E1269</f>
        <v>cb admin</v>
      </c>
      <c r="D1269" s="1" t="str">
        <f aca="false">IFERROR(INDEX(MAP!$J$7:$J$101,MATCH(TRIM(C1269),MAP!$I$7:$I$101,0)),"UNMAPPED")</f>
        <v>Community Benefit Program Administration</v>
      </c>
      <c r="E1269" s="1" t="str">
        <f aca="false">IFERROR(INDEX(MAP!$K$7:$K$101,MATCH(TRIM(C1269),MAP!$I$7:$I$101,0)),"")</f>
        <v>Community benefit infrastructure</v>
      </c>
      <c r="F1269" s="1" t="str">
        <f aca="false">IFERROR(INDEX(MAP!$L$7:$L$101,MATCH(TRIM(C1269),MAP!$I$7:$I$101,0)),"")</f>
        <v>Monthly</v>
      </c>
      <c r="G1269" s="1" t="n">
        <f aca="false">IFERROR(MATCH(A1269,CONFIRM!$A$5:$A$53,0),0)</f>
        <v>0</v>
      </c>
      <c r="H1269" s="48" t="str">
        <f aca="false">STACK!F1269</f>
        <v>cb operations</v>
      </c>
      <c r="I1269" s="1" t="str">
        <f aca="false">IF(G1269&gt;0,IF(INDEX(CONFIRM!$I$5:$I$53,G1269)&lt;&gt;"",INDEX(CONFIRM!$I$5:$I$53,G1269),H1269),H1269)</f>
        <v>cb operations</v>
      </c>
      <c r="J1269" s="1" t="str">
        <f aca="false">IFERROR(INDEX(MAP!$F$7:$F$74,MATCH(TRIM(I1269),MAP!$E$7:$E$74,0)),"UNMAPPED")</f>
        <v>Community benefit operations</v>
      </c>
      <c r="K1269" s="1" t="str">
        <f aca="false">IFERROR(INDEX(MAP!$G$7:$G$74,MATCH(TRIM(I1269),MAP!$E$7:$E$74,0)),"UNMAPPED")</f>
        <v>7e</v>
      </c>
      <c r="L1269" s="49" t="n">
        <f aca="false">STACK!G1269</f>
        <v>46053</v>
      </c>
      <c r="M1269" s="59" t="n">
        <f aca="false">IF(G1269&gt;0,IF(INDEX(CONFIRM!$G$5:$G$53,G1269)&lt;&gt;"",INDEX(CONFIRM!$G$5:$G$53,G1269),IF(ISNUMBER(L1269),L1269,IFERROR(DATEVALUE(L1269),""))),IF(ISNUMBER(L1269),L1269,IFERROR(DATEVALUE(L1269),"")))</f>
        <v>46053</v>
      </c>
      <c r="N1269" s="1" t="str">
        <f aca="false">IF(M1269="","Check",IF(AND(M1269&gt;=INPUTS!$C$6,M1269&lt;=INPUTS!$C$7),"Yes","No"))</f>
        <v>Yes</v>
      </c>
      <c r="O1269" s="48" t="str">
        <f aca="false">STACK!H1269</f>
        <v>CB Manager</v>
      </c>
      <c r="P1269" s="1" t="str">
        <f aca="false">IF(G1269&gt;0,IF(INDEX(CONFIRM!$H$5:$H$53,G1269)&lt;&gt;"",INDEX(CONFIRM!$H$5:$H$53,G1269),IFERROR(INDEX(MAP!$B$7:$B$156,MATCH(TRIM(O1269),MAP!$A$7:$A$156,0)),"UNMAPPED")),IFERROR(INDEX(MAP!$B$7:$B$156,MATCH(TRIM(O1269),MAP!$A$7:$A$156,0)),"UNMAPPED"))</f>
        <v>Community Benefit Manager</v>
      </c>
      <c r="Q1269" s="48" t="n">
        <f aca="false">STACK!I1269</f>
        <v>41.75</v>
      </c>
      <c r="R1269" s="60" t="n">
        <f aca="false">IF(G1269&gt;0,IF(INDEX(CONFIRM!$F$5:$F$53,G1269)&lt;&gt;"",INDEX(CONFIRM!$F$5:$F$53,G1269),IF(ISNUMBER(Q1269),Q1269,IF(Q1269="","",IFERROR(VALUE(TRIM(SUBSTITUTE(SUBSTITUTE(LOWER(Q1269),"hrs",""),"hr",""))),"")))),IF(ISNUMBER(Q1269),Q1269,IF(Q1269="","",IFERROR(VALUE(TRIM(SUBSTITUTE(SUBSTITUTE(LOWER(Q1269),"hrs",""),"hr",""))),""))))</f>
        <v>41.75</v>
      </c>
      <c r="S1269" s="57" t="n">
        <f aca="false">IFERROR(INDEX(RATES!$E$6:$E$28,MATCH(P1269,RATES!$A$6:$A$28,0)),0)</f>
        <v>59.11</v>
      </c>
      <c r="T1269" s="61" t="n">
        <f aca="false">IF(ISNUMBER(R1269),R1269,0)*S1269</f>
        <v>2467.8425</v>
      </c>
      <c r="U1269" s="61" t="n">
        <f aca="false">T1269*INDEX(INPUTS!$H$10:$H$14,MATCH(B1269,INPUTS!$A$10:$A$14,0))</f>
        <v>347.9657925</v>
      </c>
      <c r="V1269" s="61" t="n">
        <f aca="false">N(STACK!K1269)</f>
        <v>210</v>
      </c>
      <c r="W1269" s="61" t="n">
        <f aca="false">T1269+U1269+V1269</f>
        <v>3025.8082925</v>
      </c>
      <c r="X1269" s="61" t="n">
        <f aca="false">N(STACK!L1269)</f>
        <v>0</v>
      </c>
      <c r="Y1269" s="61" t="n">
        <f aca="false">W1269-X1269</f>
        <v>3025.8082925</v>
      </c>
      <c r="Z1269" s="1" t="n">
        <f aca="false">N(STACK!J1269)</f>
        <v>0</v>
      </c>
      <c r="AA1269" s="1" t="str">
        <f aca="false">TRIM(IF(D1269="UNMAPPED","Program not mapped. ","")&amp;IF(OR(K1269="UNMAPPED",K1269="UNASSIGNED"),"Category needs review. ","")&amp;IF(P1269="UNMAPPED","Title not mapped. ","")&amp;IF(AND(P1269&lt;&gt;"No staff time",R1269=""),"Missing hours. ","")&amp;IF(M1269="","Date not readable. ","")&amp;IF(N1269="No","Outside fiscal year. ","")&amp;IF(AND(F1269="Event",ISNUMBER(R1269)),IF(R1269&gt;12,"Event hours look high. ",""),"")&amp;IF(G1269&gt;0,"See CONFIRM sheet.",""))</f>
        <v/>
      </c>
      <c r="AB1269" s="1" t="n">
        <f aca="false">IF(N1269="No",0,IF(REVIEW!O1269=0,0,IF(G1269&gt;0,IF(INDEX(CONFIRM!$J$5:$J$53,G1269)&lt;&gt;"",INDEX(CONFIRM!$J$5:$J$53,G1269),1),1)))</f>
        <v>1</v>
      </c>
      <c r="AC1269" s="1" t="n">
        <f aca="false">IF(AB1269=1,IF(COUNTIFS($B$5:B1269,B1269,$D$5:D1269,D1269,$AB$5:AB1269,1)=1,1,0),0)</f>
        <v>0</v>
      </c>
    </row>
    <row r="1270" customFormat="false" ht="15" hidden="false" customHeight="false" outlineLevel="0" collapsed="false">
      <c r="A1270" s="48" t="str">
        <f aca="false">STACK!A1270</f>
        <v>WCH-0163</v>
      </c>
      <c r="B1270" s="48" t="str">
        <f aca="false">STACK!B1270</f>
        <v>WCH</v>
      </c>
      <c r="C1270" s="48" t="str">
        <f aca="false">STACK!E1270</f>
        <v>narcan training</v>
      </c>
      <c r="D1270" s="1" t="str">
        <f aca="false">IFERROR(INDEX(MAP!$J$7:$J$101,MATCH(TRIM(C1270),MAP!$I$7:$I$101,0)),"UNMAPPED")</f>
        <v>Naloxone Training and Distribution</v>
      </c>
      <c r="E1270" s="1" t="str">
        <f aca="false">IFERROR(INDEX(MAP!$K$7:$K$101,MATCH(TRIM(C1270),MAP!$I$7:$I$101,0)),"")</f>
        <v>Behavioral health</v>
      </c>
      <c r="F1270" s="1" t="str">
        <f aca="false">IFERROR(INDEX(MAP!$L$7:$L$101,MATCH(TRIM(C1270),MAP!$I$7:$I$101,0)),"")</f>
        <v>Event</v>
      </c>
      <c r="G1270" s="1" t="n">
        <f aca="false">IFERROR(MATCH(A1270,CONFIRM!$A$5:$A$53,0),0)</f>
        <v>0</v>
      </c>
      <c r="H1270" s="48" t="str">
        <f aca="false">STACK!F1270</f>
        <v>community health improvement services</v>
      </c>
      <c r="I1270" s="1" t="str">
        <f aca="false">IF(G1270&gt;0,IF(INDEX(CONFIRM!$I$5:$I$53,G1270)&lt;&gt;"",INDEX(CONFIRM!$I$5:$I$53,G1270),H1270),H1270)</f>
        <v>community health improvement services</v>
      </c>
      <c r="J1270" s="1" t="str">
        <f aca="false">IFERROR(INDEX(MAP!$F$7:$F$74,MATCH(TRIM(I1270),MAP!$E$7:$E$74,0)),"UNMAPPED")</f>
        <v>Community health education</v>
      </c>
      <c r="K1270" s="1" t="str">
        <f aca="false">IFERROR(INDEX(MAP!$G$7:$G$74,MATCH(TRIM(I1270),MAP!$E$7:$E$74,0)),"UNMAPPED")</f>
        <v>7e</v>
      </c>
      <c r="L1270" s="49" t="str">
        <f aca="false">STACK!G1270</f>
        <v>1/31/26</v>
      </c>
      <c r="M1270" s="59" t="n">
        <f aca="false">IF(G1270&gt;0,IF(INDEX(CONFIRM!$G$5:$G$53,G1270)&lt;&gt;"",INDEX(CONFIRM!$G$5:$G$53,G1270),IF(ISNUMBER(L1270),L1270,IFERROR(DATEVALUE(L1270),""))),IF(ISNUMBER(L1270),L1270,IFERROR(DATEVALUE(L1270),"")))</f>
        <v>46053</v>
      </c>
      <c r="N1270" s="1" t="str">
        <f aca="false">IF(M1270="","Check",IF(AND(M1270&gt;=INPUTS!$C$6,M1270&lt;=INPUTS!$C$7),"Yes","No"))</f>
        <v>Yes</v>
      </c>
      <c r="O1270" s="48" t="str">
        <f aca="false">STACK!H1270</f>
        <v>Hlth Educator</v>
      </c>
      <c r="P1270" s="1" t="str">
        <f aca="false">IF(G1270&gt;0,IF(INDEX(CONFIRM!$H$5:$H$53,G1270)&lt;&gt;"",INDEX(CONFIRM!$H$5:$H$53,G1270),IFERROR(INDEX(MAP!$B$7:$B$156,MATCH(TRIM(O1270),MAP!$A$7:$A$156,0)),"UNMAPPED")),IFERROR(INDEX(MAP!$B$7:$B$156,MATCH(TRIM(O1270),MAP!$A$7:$A$156,0)),"UNMAPPED"))</f>
        <v>Health Educator</v>
      </c>
      <c r="Q1270" s="48" t="n">
        <f aca="false">STACK!I1270</f>
        <v>2.5</v>
      </c>
      <c r="R1270" s="60" t="n">
        <f aca="false">IF(G1270&gt;0,IF(INDEX(CONFIRM!$F$5:$F$53,G1270)&lt;&gt;"",INDEX(CONFIRM!$F$5:$F$53,G1270),IF(ISNUMBER(Q1270),Q1270,IF(Q1270="","",IFERROR(VALUE(TRIM(SUBSTITUTE(SUBSTITUTE(LOWER(Q1270),"hrs",""),"hr",""))),"")))),IF(ISNUMBER(Q1270),Q1270,IF(Q1270="","",IFERROR(VALUE(TRIM(SUBSTITUTE(SUBSTITUTE(LOWER(Q1270),"hrs",""),"hr",""))),""))))</f>
        <v>2.5</v>
      </c>
      <c r="S1270" s="57" t="n">
        <f aca="false">IFERROR(INDEX(RATES!$E$6:$E$28,MATCH(P1270,RATES!$A$6:$A$28,0)),0)</f>
        <v>37.265</v>
      </c>
      <c r="T1270" s="61" t="n">
        <f aca="false">IF(ISNUMBER(R1270),R1270,0)*S1270</f>
        <v>93.1625</v>
      </c>
      <c r="U1270" s="61" t="n">
        <f aca="false">T1270*INDEX(INPUTS!$H$10:$H$14,MATCH(B1270,INPUTS!$A$10:$A$14,0))</f>
        <v>13.1359125</v>
      </c>
      <c r="V1270" s="61" t="n">
        <f aca="false">N(STACK!K1270)</f>
        <v>0</v>
      </c>
      <c r="W1270" s="61" t="n">
        <f aca="false">T1270+U1270+V1270</f>
        <v>106.2984125</v>
      </c>
      <c r="X1270" s="61" t="n">
        <f aca="false">N(STACK!L1270)</f>
        <v>0</v>
      </c>
      <c r="Y1270" s="61" t="n">
        <f aca="false">W1270-X1270</f>
        <v>106.2984125</v>
      </c>
      <c r="Z1270" s="1" t="n">
        <f aca="false">N(STACK!J1270)</f>
        <v>0</v>
      </c>
      <c r="AA1270" s="1" t="str">
        <f aca="false">TRIM(IF(D1270="UNMAPPED","Program not mapped. ","")&amp;IF(OR(K1270="UNMAPPED",K1270="UNASSIGNED"),"Category needs review. ","")&amp;IF(P1270="UNMAPPED","Title not mapped. ","")&amp;IF(AND(P1270&lt;&gt;"No staff time",R1270=""),"Missing hours. ","")&amp;IF(M1270="","Date not readable. ","")&amp;IF(N1270="No","Outside fiscal year. ","")&amp;IF(AND(F1270="Event",ISNUMBER(R1270)),IF(R1270&gt;12,"Event hours look high. ",""),"")&amp;IF(G1270&gt;0,"See CONFIRM sheet.",""))</f>
        <v/>
      </c>
      <c r="AB1270" s="1" t="n">
        <f aca="false">IF(N1270="No",0,IF(REVIEW!O1270=0,0,IF(G1270&gt;0,IF(INDEX(CONFIRM!$J$5:$J$53,G1270)&lt;&gt;"",INDEX(CONFIRM!$J$5:$J$53,G1270),1),1)))</f>
        <v>1</v>
      </c>
      <c r="AC1270" s="1" t="n">
        <f aca="false">IF(AB1270=1,IF(COUNTIFS($B$5:B1270,B1270,$D$5:D1270,D1270,$AB$5:AB1270,1)=1,1,0),0)</f>
        <v>0</v>
      </c>
    </row>
    <row r="1271" customFormat="false" ht="15" hidden="false" customHeight="false" outlineLevel="0" collapsed="false">
      <c r="A1271" s="48" t="str">
        <f aca="false">STACK!A1271</f>
        <v>WCH-0164</v>
      </c>
      <c r="B1271" s="48" t="str">
        <f aca="false">STACK!B1271</f>
        <v>WCH</v>
      </c>
      <c r="C1271" s="48" t="str">
        <f aca="false">STACK!E1271</f>
        <v>narcan training</v>
      </c>
      <c r="D1271" s="1" t="str">
        <f aca="false">IFERROR(INDEX(MAP!$J$7:$J$101,MATCH(TRIM(C1271),MAP!$I$7:$I$101,0)),"UNMAPPED")</f>
        <v>Naloxone Training and Distribution</v>
      </c>
      <c r="E1271" s="1" t="str">
        <f aca="false">IFERROR(INDEX(MAP!$K$7:$K$101,MATCH(TRIM(C1271),MAP!$I$7:$I$101,0)),"")</f>
        <v>Behavioral health</v>
      </c>
      <c r="F1271" s="1" t="str">
        <f aca="false">IFERROR(INDEX(MAP!$L$7:$L$101,MATCH(TRIM(C1271),MAP!$I$7:$I$101,0)),"")</f>
        <v>Event</v>
      </c>
      <c r="G1271" s="1" t="n">
        <f aca="false">IFERROR(MATCH(A1271,CONFIRM!$A$5:$A$53,0),0)</f>
        <v>0</v>
      </c>
      <c r="H1271" s="48" t="str">
        <f aca="false">STACK!F1271</f>
        <v>community health improvement services</v>
      </c>
      <c r="I1271" s="1" t="str">
        <f aca="false">IF(G1271&gt;0,IF(INDEX(CONFIRM!$I$5:$I$53,G1271)&lt;&gt;"",INDEX(CONFIRM!$I$5:$I$53,G1271),H1271),H1271)</f>
        <v>community health improvement services</v>
      </c>
      <c r="J1271" s="1" t="str">
        <f aca="false">IFERROR(INDEX(MAP!$F$7:$F$74,MATCH(TRIM(I1271),MAP!$E$7:$E$74,0)),"UNMAPPED")</f>
        <v>Community health education</v>
      </c>
      <c r="K1271" s="1" t="str">
        <f aca="false">IFERROR(INDEX(MAP!$G$7:$G$74,MATCH(TRIM(I1271),MAP!$E$7:$E$74,0)),"UNMAPPED")</f>
        <v>7e</v>
      </c>
      <c r="L1271" s="49" t="str">
        <f aca="false">STACK!G1271</f>
        <v>1/31/26</v>
      </c>
      <c r="M1271" s="59" t="n">
        <f aca="false">IF(G1271&gt;0,IF(INDEX(CONFIRM!$G$5:$G$53,G1271)&lt;&gt;"",INDEX(CONFIRM!$G$5:$G$53,G1271),IF(ISNUMBER(L1271),L1271,IFERROR(DATEVALUE(L1271),""))),IF(ISNUMBER(L1271),L1271,IFERROR(DATEVALUE(L1271),"")))</f>
        <v>46053</v>
      </c>
      <c r="N1271" s="1" t="str">
        <f aca="false">IF(M1271="","Check",IF(AND(M1271&gt;=INPUTS!$C$6,M1271&lt;=INPUTS!$C$7),"Yes","No"))</f>
        <v>Yes</v>
      </c>
      <c r="O1271" s="48" t="str">
        <f aca="false">STACK!H1271</f>
        <v>Pharm.D.</v>
      </c>
      <c r="P1271" s="1" t="str">
        <f aca="false">IF(G1271&gt;0,IF(INDEX(CONFIRM!$H$5:$H$53,G1271)&lt;&gt;"",INDEX(CONFIRM!$H$5:$H$53,G1271),IFERROR(INDEX(MAP!$B$7:$B$156,MATCH(TRIM(O1271),MAP!$A$7:$A$156,0)),"UNMAPPED")),IFERROR(INDEX(MAP!$B$7:$B$156,MATCH(TRIM(O1271),MAP!$A$7:$A$156,0)),"UNMAPPED"))</f>
        <v>Pharmacist</v>
      </c>
      <c r="Q1271" s="48" t="n">
        <f aca="false">STACK!I1271</f>
        <v>2.5</v>
      </c>
      <c r="R1271" s="60" t="n">
        <f aca="false">IF(G1271&gt;0,IF(INDEX(CONFIRM!$F$5:$F$53,G1271)&lt;&gt;"",INDEX(CONFIRM!$F$5:$F$53,G1271),IF(ISNUMBER(Q1271),Q1271,IF(Q1271="","",IFERROR(VALUE(TRIM(SUBSTITUTE(SUBSTITUTE(LOWER(Q1271),"hrs",""),"hr",""))),"")))),IF(ISNUMBER(Q1271),Q1271,IF(Q1271="","",IFERROR(VALUE(TRIM(SUBSTITUTE(SUBSTITUTE(LOWER(Q1271),"hrs",""),"hr",""))),""))))</f>
        <v>2.5</v>
      </c>
      <c r="S1271" s="57" t="n">
        <f aca="false">IFERROR(INDEX(RATES!$E$6:$E$28,MATCH(P1271,RATES!$A$6:$A$28,0)),0)</f>
        <v>84.81</v>
      </c>
      <c r="T1271" s="61" t="n">
        <f aca="false">IF(ISNUMBER(R1271),R1271,0)*S1271</f>
        <v>212.025</v>
      </c>
      <c r="U1271" s="61" t="n">
        <f aca="false">T1271*INDEX(INPUTS!$H$10:$H$14,MATCH(B1271,INPUTS!$A$10:$A$14,0))</f>
        <v>29.895525</v>
      </c>
      <c r="V1271" s="61" t="n">
        <f aca="false">N(STACK!K1271)</f>
        <v>1360</v>
      </c>
      <c r="W1271" s="61" t="n">
        <f aca="false">T1271+U1271+V1271</f>
        <v>1601.920525</v>
      </c>
      <c r="X1271" s="61" t="n">
        <f aca="false">N(STACK!L1271)</f>
        <v>655</v>
      </c>
      <c r="Y1271" s="61" t="n">
        <f aca="false">W1271-X1271</f>
        <v>946.920525</v>
      </c>
      <c r="Z1271" s="1" t="n">
        <f aca="false">N(STACK!J1271)</f>
        <v>19</v>
      </c>
      <c r="AA1271" s="1" t="str">
        <f aca="false">TRIM(IF(D1271="UNMAPPED","Program not mapped. ","")&amp;IF(OR(K1271="UNMAPPED",K1271="UNASSIGNED"),"Category needs review. ","")&amp;IF(P1271="UNMAPPED","Title not mapped. ","")&amp;IF(AND(P1271&lt;&gt;"No staff time",R1271=""),"Missing hours. ","")&amp;IF(M1271="","Date not readable. ","")&amp;IF(N1271="No","Outside fiscal year. ","")&amp;IF(AND(F1271="Event",ISNUMBER(R1271)),IF(R1271&gt;12,"Event hours look high. ",""),"")&amp;IF(G1271&gt;0,"See CONFIRM sheet.",""))</f>
        <v/>
      </c>
      <c r="AB1271" s="1" t="n">
        <f aca="false">IF(N1271="No",0,IF(REVIEW!O1271=0,0,IF(G1271&gt;0,IF(INDEX(CONFIRM!$J$5:$J$53,G1271)&lt;&gt;"",INDEX(CONFIRM!$J$5:$J$53,G1271),1),1)))</f>
        <v>1</v>
      </c>
      <c r="AC1271" s="1" t="n">
        <f aca="false">IF(AB1271=1,IF(COUNTIFS($B$5:B1271,B1271,$D$5:D1271,D1271,$AB$5:AB1271,1)=1,1,0),0)</f>
        <v>0</v>
      </c>
    </row>
    <row r="1272" customFormat="false" ht="15" hidden="false" customHeight="false" outlineLevel="0" collapsed="false">
      <c r="A1272" s="48" t="str">
        <f aca="false">STACK!A1272</f>
        <v>WCH-0165</v>
      </c>
      <c r="B1272" s="48" t="str">
        <f aca="false">STACK!B1272</f>
        <v>WCH</v>
      </c>
      <c r="C1272" s="48" t="str">
        <f aca="false">STACK!E1272</f>
        <v>community paramedic</v>
      </c>
      <c r="D1272" s="1" t="str">
        <f aca="false">IFERROR(INDEX(MAP!$J$7:$J$101,MATCH(TRIM(C1272),MAP!$I$7:$I$101,0)),"UNMAPPED")</f>
        <v>Community Paramedic Home Visits</v>
      </c>
      <c r="E1272" s="1" t="str">
        <f aca="false">IFERROR(INDEX(MAP!$K$7:$K$101,MATCH(TRIM(C1272),MAP!$I$7:$I$101,0)),"")</f>
        <v>Access to care</v>
      </c>
      <c r="F1272" s="1" t="str">
        <f aca="false">IFERROR(INDEX(MAP!$L$7:$L$101,MATCH(TRIM(C1272),MAP!$I$7:$I$101,0)),"")</f>
        <v>Monthly</v>
      </c>
      <c r="G1272" s="1" t="n">
        <f aca="false">IFERROR(MATCH(A1272,CONFIRM!$A$5:$A$53,0),0)</f>
        <v>0</v>
      </c>
      <c r="H1272" s="48" t="str">
        <f aca="false">STACK!F1272</f>
        <v>CHIS clinical</v>
      </c>
      <c r="I1272" s="1" t="str">
        <f aca="false">IF(G1272&gt;0,IF(INDEX(CONFIRM!$I$5:$I$53,G1272)&lt;&gt;"",INDEX(CONFIRM!$I$5:$I$53,G1272),H1272),H1272)</f>
        <v>CHIS clinical</v>
      </c>
      <c r="J1272" s="1" t="str">
        <f aca="false">IFERROR(INDEX(MAP!$F$7:$F$74,MATCH(TRIM(I1272),MAP!$E$7:$E$74,0)),"UNMAPPED")</f>
        <v>Community-based clinical services</v>
      </c>
      <c r="K1272" s="1" t="str">
        <f aca="false">IFERROR(INDEX(MAP!$G$7:$G$74,MATCH(TRIM(I1272),MAP!$E$7:$E$74,0)),"UNMAPPED")</f>
        <v>7e</v>
      </c>
      <c r="L1272" s="49" t="str">
        <f aca="false">STACK!G1272</f>
        <v>1/31/26</v>
      </c>
      <c r="M1272" s="59" t="n">
        <f aca="false">IF(G1272&gt;0,IF(INDEX(CONFIRM!$G$5:$G$53,G1272)&lt;&gt;"",INDEX(CONFIRM!$G$5:$G$53,G1272),IF(ISNUMBER(L1272),L1272,IFERROR(DATEVALUE(L1272),""))),IF(ISNUMBER(L1272),L1272,IFERROR(DATEVALUE(L1272),"")))</f>
        <v>46053</v>
      </c>
      <c r="N1272" s="1" t="str">
        <f aca="false">IF(M1272="","Check",IF(AND(M1272&gt;=INPUTS!$C$6,M1272&lt;=INPUTS!$C$7),"Yes","No"))</f>
        <v>Yes</v>
      </c>
      <c r="O1272" s="48" t="str">
        <f aca="false">STACK!H1272</f>
        <v>Flight Paramedic</v>
      </c>
      <c r="P1272" s="1" t="str">
        <f aca="false">IF(G1272&gt;0,IF(INDEX(CONFIRM!$H$5:$H$53,G1272)&lt;&gt;"",INDEX(CONFIRM!$H$5:$H$53,G1272),IFERROR(INDEX(MAP!$B$7:$B$156,MATCH(TRIM(O1272),MAP!$A$7:$A$156,0)),"UNMAPPED")),IFERROR(INDEX(MAP!$B$7:$B$156,MATCH(TRIM(O1272),MAP!$A$7:$A$156,0)),"UNMAPPED"))</f>
        <v>Paramedic</v>
      </c>
      <c r="Q1272" s="48" t="str">
        <f aca="false">STACK!I1272</f>
        <v>53.25 hr</v>
      </c>
      <c r="R1272" s="60" t="n">
        <f aca="false">IF(G1272&gt;0,IF(INDEX(CONFIRM!$F$5:$F$53,G1272)&lt;&gt;"",INDEX(CONFIRM!$F$5:$F$53,G1272),IF(ISNUMBER(Q1272),Q1272,IF(Q1272="","",IFERROR(VALUE(TRIM(SUBSTITUTE(SUBSTITUTE(LOWER(Q1272),"hrs",""),"hr",""))),"")))),IF(ISNUMBER(Q1272),Q1272,IF(Q1272="","",IFERROR(VALUE(TRIM(SUBSTITUTE(SUBSTITUTE(LOWER(Q1272),"hrs",""),"hr",""))),""))))</f>
        <v>53.25</v>
      </c>
      <c r="S1272" s="57" t="n">
        <f aca="false">IFERROR(INDEX(RATES!$E$6:$E$28,MATCH(P1272,RATES!$A$6:$A$28,0)),0)</f>
        <v>34.695</v>
      </c>
      <c r="T1272" s="61" t="n">
        <f aca="false">IF(ISNUMBER(R1272),R1272,0)*S1272</f>
        <v>1847.50875</v>
      </c>
      <c r="U1272" s="61" t="n">
        <f aca="false">T1272*INDEX(INPUTS!$H$10:$H$14,MATCH(B1272,INPUTS!$A$10:$A$14,0))</f>
        <v>260.49873375</v>
      </c>
      <c r="V1272" s="61" t="n">
        <f aca="false">N(STACK!K1272)</f>
        <v>505</v>
      </c>
      <c r="W1272" s="61" t="n">
        <f aca="false">T1272+U1272+V1272</f>
        <v>2613.00748375</v>
      </c>
      <c r="X1272" s="61" t="n">
        <f aca="false">N(STACK!L1272)</f>
        <v>0</v>
      </c>
      <c r="Y1272" s="61" t="n">
        <f aca="false">W1272-X1272</f>
        <v>2613.00748375</v>
      </c>
      <c r="Z1272" s="1" t="n">
        <f aca="false">N(STACK!J1272)</f>
        <v>37</v>
      </c>
      <c r="AA1272" s="1" t="str">
        <f aca="false">TRIM(IF(D1272="UNMAPPED","Program not mapped. ","")&amp;IF(OR(K1272="UNMAPPED",K1272="UNASSIGNED"),"Category needs review. ","")&amp;IF(P1272="UNMAPPED","Title not mapped. ","")&amp;IF(AND(P1272&lt;&gt;"No staff time",R1272=""),"Missing hours. ","")&amp;IF(M1272="","Date not readable. ","")&amp;IF(N1272="No","Outside fiscal year. ","")&amp;IF(AND(F1272="Event",ISNUMBER(R1272)),IF(R1272&gt;12,"Event hours look high. ",""),"")&amp;IF(G1272&gt;0,"See CONFIRM sheet.",""))</f>
        <v/>
      </c>
      <c r="AB1272" s="1" t="n">
        <f aca="false">IF(N1272="No",0,IF(REVIEW!O1272=0,0,IF(G1272&gt;0,IF(INDEX(CONFIRM!$J$5:$J$53,G1272)&lt;&gt;"",INDEX(CONFIRM!$J$5:$J$53,G1272),1),1)))</f>
        <v>1</v>
      </c>
      <c r="AC1272" s="1" t="n">
        <f aca="false">IF(AB1272=1,IF(COUNTIFS($B$5:B1272,B1272,$D$5:D1272,D1272,$AB$5:AB1272,1)=1,1,0),0)</f>
        <v>0</v>
      </c>
    </row>
    <row r="1273" customFormat="false" ht="15" hidden="false" customHeight="false" outlineLevel="0" collapsed="false">
      <c r="A1273" s="48" t="str">
        <f aca="false">STACK!A1273</f>
        <v>WCH-0166</v>
      </c>
      <c r="B1273" s="48" t="str">
        <f aca="false">STACK!B1273</f>
        <v>WCH</v>
      </c>
      <c r="C1273" s="48" t="str">
        <f aca="false">STACK!E1273</f>
        <v>nursing students</v>
      </c>
      <c r="D1273" s="1" t="str">
        <f aca="false">IFERROR(INDEX(MAP!$J$7:$J$101,MATCH(TRIM(C1273),MAP!$I$7:$I$101,0)),"UNMAPPED")</f>
        <v>Nursing Student Clinical Rotations</v>
      </c>
      <c r="E1273" s="1" t="str">
        <f aca="false">IFERROR(INDEX(MAP!$K$7:$K$101,MATCH(TRIM(C1273),MAP!$I$7:$I$101,0)),"")</f>
        <v>Health workforce</v>
      </c>
      <c r="F1273" s="1" t="str">
        <f aca="false">IFERROR(INDEX(MAP!$L$7:$L$101,MATCH(TRIM(C1273),MAP!$I$7:$I$101,0)),"")</f>
        <v>Monthly</v>
      </c>
      <c r="G1273" s="1" t="n">
        <f aca="false">IFERROR(MATCH(A1273,CONFIRM!$A$5:$A$53,0),0)</f>
        <v>0</v>
      </c>
      <c r="H1273" s="48" t="str">
        <f aca="false">STACK!F1273</f>
        <v>health professions ed</v>
      </c>
      <c r="I1273" s="1" t="str">
        <f aca="false">IF(G1273&gt;0,IF(INDEX(CONFIRM!$I$5:$I$53,G1273)&lt;&gt;"",INDEX(CONFIRM!$I$5:$I$53,G1273),H1273),H1273)</f>
        <v>health professions ed</v>
      </c>
      <c r="J1273" s="1" t="str">
        <f aca="false">IFERROR(INDEX(MAP!$F$7:$F$74,MATCH(TRIM(I1273),MAP!$E$7:$E$74,0)),"UNMAPPED")</f>
        <v>Health professions education</v>
      </c>
      <c r="K1273" s="1" t="str">
        <f aca="false">IFERROR(INDEX(MAP!$G$7:$G$74,MATCH(TRIM(I1273),MAP!$E$7:$E$74,0)),"UNMAPPED")</f>
        <v>7f</v>
      </c>
      <c r="L1273" s="49" t="n">
        <f aca="false">STACK!G1273</f>
        <v>46053</v>
      </c>
      <c r="M1273" s="59" t="n">
        <f aca="false">IF(G1273&gt;0,IF(INDEX(CONFIRM!$G$5:$G$53,G1273)&lt;&gt;"",INDEX(CONFIRM!$G$5:$G$53,G1273),IF(ISNUMBER(L1273),L1273,IFERROR(DATEVALUE(L1273),""))),IF(ISNUMBER(L1273),L1273,IFERROR(DATEVALUE(L1273),"")))</f>
        <v>46053</v>
      </c>
      <c r="N1273" s="1" t="str">
        <f aca="false">IF(M1273="","Check",IF(AND(M1273&gt;=INPUTS!$C$6,M1273&lt;=INPUTS!$C$7),"Yes","No"))</f>
        <v>Yes</v>
      </c>
      <c r="O1273" s="48" t="str">
        <f aca="false">STACK!H1273</f>
        <v>Preceptor RN</v>
      </c>
      <c r="P1273" s="1" t="str">
        <f aca="false">IF(G1273&gt;0,IF(INDEX(CONFIRM!$H$5:$H$53,G1273)&lt;&gt;"",INDEX(CONFIRM!$H$5:$H$53,G1273),IFERROR(INDEX(MAP!$B$7:$B$156,MATCH(TRIM(O1273),MAP!$A$7:$A$156,0)),"UNMAPPED")),IFERROR(INDEX(MAP!$B$7:$B$156,MATCH(TRIM(O1273),MAP!$A$7:$A$156,0)),"UNMAPPED"))</f>
        <v>Clinical Nurse Educator</v>
      </c>
      <c r="Q1273" s="48" t="n">
        <f aca="false">STACK!I1273</f>
        <v>89.75</v>
      </c>
      <c r="R1273" s="60" t="n">
        <f aca="false">IF(G1273&gt;0,IF(INDEX(CONFIRM!$F$5:$F$53,G1273)&lt;&gt;"",INDEX(CONFIRM!$F$5:$F$53,G1273),IF(ISNUMBER(Q1273),Q1273,IF(Q1273="","",IFERROR(VALUE(TRIM(SUBSTITUTE(SUBSTITUTE(LOWER(Q1273),"hrs",""),"hr",""))),"")))),IF(ISNUMBER(Q1273),Q1273,IF(Q1273="","",IFERROR(VALUE(TRIM(SUBSTITUTE(SUBSTITUTE(LOWER(Q1273),"hrs",""),"hr",""))),""))))</f>
        <v>89.75</v>
      </c>
      <c r="S1273" s="57" t="n">
        <f aca="false">IFERROR(INDEX(RATES!$E$6:$E$28,MATCH(P1273,RATES!$A$6:$A$28,0)),0)</f>
        <v>62.965</v>
      </c>
      <c r="T1273" s="61" t="n">
        <f aca="false">IF(ISNUMBER(R1273),R1273,0)*S1273</f>
        <v>5651.10875</v>
      </c>
      <c r="U1273" s="61" t="n">
        <f aca="false">T1273*INDEX(INPUTS!$H$10:$H$14,MATCH(B1273,INPUTS!$A$10:$A$14,0))</f>
        <v>796.80633375</v>
      </c>
      <c r="V1273" s="61" t="n">
        <f aca="false">N(STACK!K1273)</f>
        <v>240</v>
      </c>
      <c r="W1273" s="61" t="n">
        <f aca="false">T1273+U1273+V1273</f>
        <v>6687.91508375</v>
      </c>
      <c r="X1273" s="61" t="n">
        <f aca="false">N(STACK!L1273)</f>
        <v>0</v>
      </c>
      <c r="Y1273" s="61" t="n">
        <f aca="false">W1273-X1273</f>
        <v>6687.91508375</v>
      </c>
      <c r="Z1273" s="1" t="n">
        <f aca="false">N(STACK!J1273)</f>
        <v>31</v>
      </c>
      <c r="AA1273" s="1" t="str">
        <f aca="false">TRIM(IF(D1273="UNMAPPED","Program not mapped. ","")&amp;IF(OR(K1273="UNMAPPED",K1273="UNASSIGNED"),"Category needs review. ","")&amp;IF(P1273="UNMAPPED","Title not mapped. ","")&amp;IF(AND(P1273&lt;&gt;"No staff time",R1273=""),"Missing hours. ","")&amp;IF(M1273="","Date not readable. ","")&amp;IF(N1273="No","Outside fiscal year. ","")&amp;IF(AND(F1273="Event",ISNUMBER(R1273)),IF(R1273&gt;12,"Event hours look high. ",""),"")&amp;IF(G1273&gt;0,"See CONFIRM sheet.",""))</f>
        <v/>
      </c>
      <c r="AB1273" s="1" t="n">
        <f aca="false">IF(N1273="No",0,IF(REVIEW!O1273=0,0,IF(G1273&gt;0,IF(INDEX(CONFIRM!$J$5:$J$53,G1273)&lt;&gt;"",INDEX(CONFIRM!$J$5:$J$53,G1273),1),1)))</f>
        <v>1</v>
      </c>
      <c r="AC1273" s="1" t="n">
        <f aca="false">IF(AB1273=1,IF(COUNTIFS($B$5:B1273,B1273,$D$5:D1273,D1273,$AB$5:AB1273,1)=1,1,0),0)</f>
        <v>0</v>
      </c>
    </row>
    <row r="1274" customFormat="false" ht="15" hidden="false" customHeight="false" outlineLevel="0" collapsed="false">
      <c r="A1274" s="48" t="str">
        <f aca="false">STACK!A1274</f>
        <v>WCH-0167</v>
      </c>
      <c r="B1274" s="48" t="str">
        <f aca="false">STACK!B1274</f>
        <v>WCH</v>
      </c>
      <c r="C1274" s="48" t="str">
        <f aca="false">STACK!E1274</f>
        <v>nursing students</v>
      </c>
      <c r="D1274" s="1" t="str">
        <f aca="false">IFERROR(INDEX(MAP!$J$7:$J$101,MATCH(TRIM(C1274),MAP!$I$7:$I$101,0)),"UNMAPPED")</f>
        <v>Nursing Student Clinical Rotations</v>
      </c>
      <c r="E1274" s="1" t="str">
        <f aca="false">IFERROR(INDEX(MAP!$K$7:$K$101,MATCH(TRIM(C1274),MAP!$I$7:$I$101,0)),"")</f>
        <v>Health workforce</v>
      </c>
      <c r="F1274" s="1" t="str">
        <f aca="false">IFERROR(INDEX(MAP!$L$7:$L$101,MATCH(TRIM(C1274),MAP!$I$7:$I$101,0)),"")</f>
        <v>Monthly</v>
      </c>
      <c r="G1274" s="1" t="n">
        <f aca="false">IFERROR(MATCH(A1274,CONFIRM!$A$5:$A$53,0),0)</f>
        <v>0</v>
      </c>
      <c r="H1274" s="48" t="str">
        <f aca="false">STACK!F1274</f>
        <v>health professions ed</v>
      </c>
      <c r="I1274" s="1" t="str">
        <f aca="false">IF(G1274&gt;0,IF(INDEX(CONFIRM!$I$5:$I$53,G1274)&lt;&gt;"",INDEX(CONFIRM!$I$5:$I$53,G1274),H1274),H1274)</f>
        <v>health professions ed</v>
      </c>
      <c r="J1274" s="1" t="str">
        <f aca="false">IFERROR(INDEX(MAP!$F$7:$F$74,MATCH(TRIM(I1274),MAP!$E$7:$E$74,0)),"UNMAPPED")</f>
        <v>Health professions education</v>
      </c>
      <c r="K1274" s="1" t="str">
        <f aca="false">IFERROR(INDEX(MAP!$G$7:$G$74,MATCH(TRIM(I1274),MAP!$E$7:$E$74,0)),"UNMAPPED")</f>
        <v>7f</v>
      </c>
      <c r="L1274" s="49" t="n">
        <f aca="false">STACK!G1274</f>
        <v>46053</v>
      </c>
      <c r="M1274" s="59" t="n">
        <f aca="false">IF(G1274&gt;0,IF(INDEX(CONFIRM!$G$5:$G$53,G1274)&lt;&gt;"",INDEX(CONFIRM!$G$5:$G$53,G1274),IF(ISNUMBER(L1274),L1274,IFERROR(DATEVALUE(L1274),""))),IF(ISNUMBER(L1274),L1274,IFERROR(DATEVALUE(L1274),"")))</f>
        <v>46053</v>
      </c>
      <c r="N1274" s="1" t="str">
        <f aca="false">IF(M1274="","Check",IF(AND(M1274&gt;=INPUTS!$C$6,M1274&lt;=INPUTS!$C$7),"Yes","No"))</f>
        <v>Yes</v>
      </c>
      <c r="O1274" s="48" t="str">
        <f aca="false">STACK!H1274</f>
        <v> Charge RN</v>
      </c>
      <c r="P1274" s="1" t="str">
        <f aca="false">IF(G1274&gt;0,IF(INDEX(CONFIRM!$H$5:$H$53,G1274)&lt;&gt;"",INDEX(CONFIRM!$H$5:$H$53,G1274),IFERROR(INDEX(MAP!$B$7:$B$156,MATCH(TRIM(O1274),MAP!$A$7:$A$156,0)),"UNMAPPED")),IFERROR(INDEX(MAP!$B$7:$B$156,MATCH(TRIM(O1274),MAP!$A$7:$A$156,0)),"UNMAPPED"))</f>
        <v>Registered Nurse</v>
      </c>
      <c r="Q1274" s="48" t="n">
        <f aca="false">STACK!I1274</f>
        <v>179</v>
      </c>
      <c r="R1274" s="60" t="n">
        <f aca="false">IF(G1274&gt;0,IF(INDEX(CONFIRM!$F$5:$F$53,G1274)&lt;&gt;"",INDEX(CONFIRM!$F$5:$F$53,G1274),IF(ISNUMBER(Q1274),Q1274,IF(Q1274="","",IFERROR(VALUE(TRIM(SUBSTITUTE(SUBSTITUTE(LOWER(Q1274),"hrs",""),"hr",""))),"")))),IF(ISNUMBER(Q1274),Q1274,IF(Q1274="","",IFERROR(VALUE(TRIM(SUBSTITUTE(SUBSTITUTE(LOWER(Q1274),"hrs",""),"hr",""))),""))))</f>
        <v>179</v>
      </c>
      <c r="S1274" s="57" t="n">
        <f aca="false">IFERROR(INDEX(RATES!$E$6:$E$28,MATCH(P1274,RATES!$A$6:$A$28,0)),0)</f>
        <v>55.8975</v>
      </c>
      <c r="T1274" s="61" t="n">
        <f aca="false">IF(ISNUMBER(R1274),R1274,0)*S1274</f>
        <v>10005.6525</v>
      </c>
      <c r="U1274" s="61" t="n">
        <f aca="false">T1274*INDEX(INPUTS!$H$10:$H$14,MATCH(B1274,INPUTS!$A$10:$A$14,0))</f>
        <v>1410.7970025</v>
      </c>
      <c r="V1274" s="61" t="n">
        <f aca="false">N(STACK!K1274)</f>
        <v>0</v>
      </c>
      <c r="W1274" s="61" t="n">
        <f aca="false">T1274+U1274+V1274</f>
        <v>11416.4495025</v>
      </c>
      <c r="X1274" s="61" t="n">
        <f aca="false">N(STACK!L1274)</f>
        <v>0</v>
      </c>
      <c r="Y1274" s="61" t="n">
        <f aca="false">W1274-X1274</f>
        <v>11416.4495025</v>
      </c>
      <c r="Z1274" s="1" t="n">
        <f aca="false">N(STACK!J1274)</f>
        <v>0</v>
      </c>
      <c r="AA1274" s="1" t="str">
        <f aca="false">TRIM(IF(D1274="UNMAPPED","Program not mapped. ","")&amp;IF(OR(K1274="UNMAPPED",K1274="UNASSIGNED"),"Category needs review. ","")&amp;IF(P1274="UNMAPPED","Title not mapped. ","")&amp;IF(AND(P1274&lt;&gt;"No staff time",R1274=""),"Missing hours. ","")&amp;IF(M1274="","Date not readable. ","")&amp;IF(N1274="No","Outside fiscal year. ","")&amp;IF(AND(F1274="Event",ISNUMBER(R1274)),IF(R1274&gt;12,"Event hours look high. ",""),"")&amp;IF(G1274&gt;0,"See CONFIRM sheet.",""))</f>
        <v/>
      </c>
      <c r="AB1274" s="1" t="n">
        <f aca="false">IF(N1274="No",0,IF(REVIEW!O1274=0,0,IF(G1274&gt;0,IF(INDEX(CONFIRM!$J$5:$J$53,G1274)&lt;&gt;"",INDEX(CONFIRM!$J$5:$J$53,G1274),1),1)))</f>
        <v>1</v>
      </c>
      <c r="AC1274" s="1" t="n">
        <f aca="false">IF(AB1274=1,IF(COUNTIFS($B$5:B1274,B1274,$D$5:D1274,D1274,$AB$5:AB1274,1)=1,1,0),0)</f>
        <v>0</v>
      </c>
    </row>
    <row r="1275" customFormat="false" ht="15" hidden="false" customHeight="false" outlineLevel="0" collapsed="false">
      <c r="A1275" s="48" t="str">
        <f aca="false">STACK!A1275</f>
        <v>WCH-0168</v>
      </c>
      <c r="B1275" s="48" t="str">
        <f aca="false">STACK!B1275</f>
        <v>WCH</v>
      </c>
      <c r="C1275" s="48" t="str">
        <f aca="false">STACK!E1275</f>
        <v>paramedic students</v>
      </c>
      <c r="D1275" s="1" t="str">
        <f aca="false">IFERROR(INDEX(MAP!$J$7:$J$101,MATCH(TRIM(C1275),MAP!$I$7:$I$101,0)),"UNMAPPED")</f>
        <v>Paramedic Student Field Training</v>
      </c>
      <c r="E1275" s="1" t="str">
        <f aca="false">IFERROR(INDEX(MAP!$K$7:$K$101,MATCH(TRIM(C1275),MAP!$I$7:$I$101,0)),"")</f>
        <v>Health workforce</v>
      </c>
      <c r="F1275" s="1" t="str">
        <f aca="false">IFERROR(INDEX(MAP!$L$7:$L$101,MATCH(TRIM(C1275),MAP!$I$7:$I$101,0)),"")</f>
        <v>Monthly</v>
      </c>
      <c r="G1275" s="1" t="n">
        <f aca="false">IFERROR(MATCH(A1275,CONFIRM!$A$5:$A$53,0),0)</f>
        <v>0</v>
      </c>
      <c r="H1275" s="48" t="str">
        <f aca="false">STACK!F1275</f>
        <v>health professions ed</v>
      </c>
      <c r="I1275" s="1" t="str">
        <f aca="false">IF(G1275&gt;0,IF(INDEX(CONFIRM!$I$5:$I$53,G1275)&lt;&gt;"",INDEX(CONFIRM!$I$5:$I$53,G1275),H1275),H1275)</f>
        <v>health professions ed</v>
      </c>
      <c r="J1275" s="1" t="str">
        <f aca="false">IFERROR(INDEX(MAP!$F$7:$F$74,MATCH(TRIM(I1275),MAP!$E$7:$E$74,0)),"UNMAPPED")</f>
        <v>Health professions education</v>
      </c>
      <c r="K1275" s="1" t="str">
        <f aca="false">IFERROR(INDEX(MAP!$G$7:$G$74,MATCH(TRIM(I1275),MAP!$E$7:$E$74,0)),"UNMAPPED")</f>
        <v>7f</v>
      </c>
      <c r="L1275" s="49" t="n">
        <f aca="false">STACK!G1275</f>
        <v>46053</v>
      </c>
      <c r="M1275" s="59" t="n">
        <f aca="false">IF(G1275&gt;0,IF(INDEX(CONFIRM!$G$5:$G$53,G1275)&lt;&gt;"",INDEX(CONFIRM!$G$5:$G$53,G1275),IF(ISNUMBER(L1275),L1275,IFERROR(DATEVALUE(L1275),""))),IF(ISNUMBER(L1275),L1275,IFERROR(DATEVALUE(L1275),"")))</f>
        <v>46053</v>
      </c>
      <c r="N1275" s="1" t="str">
        <f aca="false">IF(M1275="","Check",IF(AND(M1275&gt;=INPUTS!$C$6,M1275&lt;=INPUTS!$C$7),"Yes","No"))</f>
        <v>Yes</v>
      </c>
      <c r="O1275" s="48" t="str">
        <f aca="false">STACK!H1275</f>
        <v>Flight Paramedic</v>
      </c>
      <c r="P1275" s="1" t="str">
        <f aca="false">IF(G1275&gt;0,IF(INDEX(CONFIRM!$H$5:$H$53,G1275)&lt;&gt;"",INDEX(CONFIRM!$H$5:$H$53,G1275),IFERROR(INDEX(MAP!$B$7:$B$156,MATCH(TRIM(O1275),MAP!$A$7:$A$156,0)),"UNMAPPED")),IFERROR(INDEX(MAP!$B$7:$B$156,MATCH(TRIM(O1275),MAP!$A$7:$A$156,0)),"UNMAPPED"))</f>
        <v>Paramedic</v>
      </c>
      <c r="Q1275" s="48" t="n">
        <f aca="false">STACK!I1275</f>
        <v>59</v>
      </c>
      <c r="R1275" s="60" t="n">
        <f aca="false">IF(G1275&gt;0,IF(INDEX(CONFIRM!$F$5:$F$53,G1275)&lt;&gt;"",INDEX(CONFIRM!$F$5:$F$53,G1275),IF(ISNUMBER(Q1275),Q1275,IF(Q1275="","",IFERROR(VALUE(TRIM(SUBSTITUTE(SUBSTITUTE(LOWER(Q1275),"hrs",""),"hr",""))),"")))),IF(ISNUMBER(Q1275),Q1275,IF(Q1275="","",IFERROR(VALUE(TRIM(SUBSTITUTE(SUBSTITUTE(LOWER(Q1275),"hrs",""),"hr",""))),""))))</f>
        <v>59</v>
      </c>
      <c r="S1275" s="57" t="n">
        <f aca="false">IFERROR(INDEX(RATES!$E$6:$E$28,MATCH(P1275,RATES!$A$6:$A$28,0)),0)</f>
        <v>34.695</v>
      </c>
      <c r="T1275" s="61" t="n">
        <f aca="false">IF(ISNUMBER(R1275),R1275,0)*S1275</f>
        <v>2047.005</v>
      </c>
      <c r="U1275" s="61" t="n">
        <f aca="false">T1275*INDEX(INPUTS!$H$10:$H$14,MATCH(B1275,INPUTS!$A$10:$A$14,0))</f>
        <v>288.627705</v>
      </c>
      <c r="V1275" s="61" t="n">
        <f aca="false">N(STACK!K1275)</f>
        <v>85</v>
      </c>
      <c r="W1275" s="61" t="n">
        <f aca="false">T1275+U1275+V1275</f>
        <v>2420.632705</v>
      </c>
      <c r="X1275" s="61" t="n">
        <f aca="false">N(STACK!L1275)</f>
        <v>0</v>
      </c>
      <c r="Y1275" s="61" t="n">
        <f aca="false">W1275-X1275</f>
        <v>2420.632705</v>
      </c>
      <c r="Z1275" s="1" t="n">
        <f aca="false">N(STACK!J1275)</f>
        <v>3</v>
      </c>
      <c r="AA1275" s="1" t="str">
        <f aca="false">TRIM(IF(D1275="UNMAPPED","Program not mapped. ","")&amp;IF(OR(K1275="UNMAPPED",K1275="UNASSIGNED"),"Category needs review. ","")&amp;IF(P1275="UNMAPPED","Title not mapped. ","")&amp;IF(AND(P1275&lt;&gt;"No staff time",R1275=""),"Missing hours. ","")&amp;IF(M1275="","Date not readable. ","")&amp;IF(N1275="No","Outside fiscal year. ","")&amp;IF(AND(F1275="Event",ISNUMBER(R1275)),IF(R1275&gt;12,"Event hours look high. ",""),"")&amp;IF(G1275&gt;0,"See CONFIRM sheet.",""))</f>
        <v/>
      </c>
      <c r="AB1275" s="1" t="n">
        <f aca="false">IF(N1275="No",0,IF(REVIEW!O1275=0,0,IF(G1275&gt;0,IF(INDEX(CONFIRM!$J$5:$J$53,G1275)&lt;&gt;"",INDEX(CONFIRM!$J$5:$J$53,G1275),1),1)))</f>
        <v>1</v>
      </c>
      <c r="AC1275" s="1" t="n">
        <f aca="false">IF(AB1275=1,IF(COUNTIFS($B$5:B1275,B1275,$D$5:D1275,D1275,$AB$5:AB1275,1)=1,1,0),0)</f>
        <v>0</v>
      </c>
    </row>
    <row r="1276" customFormat="false" ht="15" hidden="false" customHeight="false" outlineLevel="0" collapsed="false">
      <c r="A1276" s="48" t="str">
        <f aca="false">STACK!A1276</f>
        <v>WCH-0169</v>
      </c>
      <c r="B1276" s="48" t="str">
        <f aca="false">STACK!B1276</f>
        <v>WCH</v>
      </c>
      <c r="C1276" s="48" t="str">
        <f aca="false">STACK!E1276</f>
        <v>rural maternal study</v>
      </c>
      <c r="D1276" s="1" t="str">
        <f aca="false">IFERROR(INDEX(MAP!$J$7:$J$101,MATCH(TRIM(C1276),MAP!$I$7:$I$101,0)),"UNMAPPED")</f>
        <v>Rural Maternal Outcomes Study</v>
      </c>
      <c r="E1276" s="1" t="str">
        <f aca="false">IFERROR(INDEX(MAP!$K$7:$K$101,MATCH(TRIM(C1276),MAP!$I$7:$I$101,0)),"")</f>
        <v>Maternal and child health</v>
      </c>
      <c r="F1276" s="1" t="str">
        <f aca="false">IFERROR(INDEX(MAP!$L$7:$L$101,MATCH(TRIM(C1276),MAP!$I$7:$I$101,0)),"")</f>
        <v>Monthly</v>
      </c>
      <c r="G1276" s="1" t="n">
        <f aca="false">IFERROR(MATCH(A1276,CONFIRM!$A$5:$A$53,0),0)</f>
        <v>0</v>
      </c>
      <c r="H1276" s="48" t="str">
        <f aca="false">STACK!F1276</f>
        <v>research</v>
      </c>
      <c r="I1276" s="1" t="str">
        <f aca="false">IF(G1276&gt;0,IF(INDEX(CONFIRM!$I$5:$I$53,G1276)&lt;&gt;"",INDEX(CONFIRM!$I$5:$I$53,G1276),H1276),H1276)</f>
        <v>research</v>
      </c>
      <c r="J1276" s="1" t="str">
        <f aca="false">IFERROR(INDEX(MAP!$F$7:$F$74,MATCH(TRIM(I1276),MAP!$E$7:$E$74,0)),"UNMAPPED")</f>
        <v>Research</v>
      </c>
      <c r="K1276" s="1" t="str">
        <f aca="false">IFERROR(INDEX(MAP!$G$7:$G$74,MATCH(TRIM(I1276),MAP!$E$7:$E$74,0)),"UNMAPPED")</f>
        <v>7h</v>
      </c>
      <c r="L1276" s="49" t="str">
        <f aca="false">STACK!G1276</f>
        <v>January 31, 2026</v>
      </c>
      <c r="M1276" s="59" t="n">
        <f aca="false">IF(G1276&gt;0,IF(INDEX(CONFIRM!$G$5:$G$53,G1276)&lt;&gt;"",INDEX(CONFIRM!$G$5:$G$53,G1276),IF(ISNUMBER(L1276),L1276,IFERROR(DATEVALUE(L1276),""))),IF(ISNUMBER(L1276),L1276,IFERROR(DATEVALUE(L1276),"")))</f>
        <v>46053</v>
      </c>
      <c r="N1276" s="1" t="str">
        <f aca="false">IF(M1276="","Check",IF(AND(M1276&gt;=INPUTS!$C$6,M1276&lt;=INPUTS!$C$7),"Yes","No"))</f>
        <v>Yes</v>
      </c>
      <c r="O1276" s="48" t="str">
        <f aca="false">STACK!H1276</f>
        <v>Decision Support Analyst</v>
      </c>
      <c r="P1276" s="1" t="str">
        <f aca="false">IF(G1276&gt;0,IF(INDEX(CONFIRM!$H$5:$H$53,G1276)&lt;&gt;"",INDEX(CONFIRM!$H$5:$H$53,G1276),IFERROR(INDEX(MAP!$B$7:$B$156,MATCH(TRIM(O1276),MAP!$A$7:$A$156,0)),"UNMAPPED")),IFERROR(INDEX(MAP!$B$7:$B$156,MATCH(TRIM(O1276),MAP!$A$7:$A$156,0)),"UNMAPPED"))</f>
        <v>Data Analyst</v>
      </c>
      <c r="Q1276" s="48" t="n">
        <f aca="false">STACK!I1276</f>
        <v>12.75</v>
      </c>
      <c r="R1276" s="60" t="n">
        <f aca="false">IF(G1276&gt;0,IF(INDEX(CONFIRM!$F$5:$F$53,G1276)&lt;&gt;"",INDEX(CONFIRM!$F$5:$F$53,G1276),IF(ISNUMBER(Q1276),Q1276,IF(Q1276="","",IFERROR(VALUE(TRIM(SUBSTITUTE(SUBSTITUTE(LOWER(Q1276),"hrs",""),"hr",""))),"")))),IF(ISNUMBER(Q1276),Q1276,IF(Q1276="","",IFERROR(VALUE(TRIM(SUBSTITUTE(SUBSTITUTE(LOWER(Q1276),"hrs",""),"hr",""))),""))))</f>
        <v>12.75</v>
      </c>
      <c r="S1276" s="57" t="n">
        <f aca="false">IFERROR(INDEX(RATES!$E$6:$E$28,MATCH(P1276,RATES!$A$6:$A$28,0)),0)</f>
        <v>48.83</v>
      </c>
      <c r="T1276" s="61" t="n">
        <f aca="false">IF(ISNUMBER(R1276),R1276,0)*S1276</f>
        <v>622.5825</v>
      </c>
      <c r="U1276" s="61" t="n">
        <f aca="false">T1276*INDEX(INPUTS!$H$10:$H$14,MATCH(B1276,INPUTS!$A$10:$A$14,0))</f>
        <v>87.7841325</v>
      </c>
      <c r="V1276" s="61" t="n">
        <f aca="false">N(STACK!K1276)</f>
        <v>0</v>
      </c>
      <c r="W1276" s="61" t="n">
        <f aca="false">T1276+U1276+V1276</f>
        <v>710.3666325</v>
      </c>
      <c r="X1276" s="61" t="n">
        <f aca="false">N(STACK!L1276)</f>
        <v>0</v>
      </c>
      <c r="Y1276" s="61" t="n">
        <f aca="false">W1276-X1276</f>
        <v>710.3666325</v>
      </c>
      <c r="Z1276" s="1" t="n">
        <f aca="false">N(STACK!J1276)</f>
        <v>0</v>
      </c>
      <c r="AA1276" s="1" t="str">
        <f aca="false">TRIM(IF(D1276="UNMAPPED","Program not mapped. ","")&amp;IF(OR(K1276="UNMAPPED",K1276="UNASSIGNED"),"Category needs review. ","")&amp;IF(P1276="UNMAPPED","Title not mapped. ","")&amp;IF(AND(P1276&lt;&gt;"No staff time",R1276=""),"Missing hours. ","")&amp;IF(M1276="","Date not readable. ","")&amp;IF(N1276="No","Outside fiscal year. ","")&amp;IF(AND(F1276="Event",ISNUMBER(R1276)),IF(R1276&gt;12,"Event hours look high. ",""),"")&amp;IF(G1276&gt;0,"See CONFIRM sheet.",""))</f>
        <v/>
      </c>
      <c r="AB1276" s="1" t="n">
        <f aca="false">IF(N1276="No",0,IF(REVIEW!O1276=0,0,IF(G1276&gt;0,IF(INDEX(CONFIRM!$J$5:$J$53,G1276)&lt;&gt;"",INDEX(CONFIRM!$J$5:$J$53,G1276),1),1)))</f>
        <v>1</v>
      </c>
      <c r="AC1276" s="1" t="n">
        <f aca="false">IF(AB1276=1,IF(COUNTIFS($B$5:B1276,B1276,$D$5:D1276,D1276,$AB$5:AB1276,1)=1,1,0),0)</f>
        <v>0</v>
      </c>
    </row>
    <row r="1277" customFormat="false" ht="15" hidden="false" customHeight="false" outlineLevel="0" collapsed="false">
      <c r="A1277" s="48" t="str">
        <f aca="false">STACK!A1277</f>
        <v>WCH-0170</v>
      </c>
      <c r="B1277" s="48" t="str">
        <f aca="false">STACK!B1277</f>
        <v>WCH</v>
      </c>
      <c r="C1277" s="48" t="str">
        <f aca="false">STACK!E1277</f>
        <v>rural maternal study</v>
      </c>
      <c r="D1277" s="1" t="str">
        <f aca="false">IFERROR(INDEX(MAP!$J$7:$J$101,MATCH(TRIM(C1277),MAP!$I$7:$I$101,0)),"UNMAPPED")</f>
        <v>Rural Maternal Outcomes Study</v>
      </c>
      <c r="E1277" s="1" t="str">
        <f aca="false">IFERROR(INDEX(MAP!$K$7:$K$101,MATCH(TRIM(C1277),MAP!$I$7:$I$101,0)),"")</f>
        <v>Maternal and child health</v>
      </c>
      <c r="F1277" s="1" t="str">
        <f aca="false">IFERROR(INDEX(MAP!$L$7:$L$101,MATCH(TRIM(C1277),MAP!$I$7:$I$101,0)),"")</f>
        <v>Monthly</v>
      </c>
      <c r="G1277" s="1" t="n">
        <f aca="false">IFERROR(MATCH(A1277,CONFIRM!$A$5:$A$53,0),0)</f>
        <v>0</v>
      </c>
      <c r="H1277" s="48" t="str">
        <f aca="false">STACK!F1277</f>
        <v>research</v>
      </c>
      <c r="I1277" s="1" t="str">
        <f aca="false">IF(G1277&gt;0,IF(INDEX(CONFIRM!$I$5:$I$53,G1277)&lt;&gt;"",INDEX(CONFIRM!$I$5:$I$53,G1277),H1277),H1277)</f>
        <v>research</v>
      </c>
      <c r="J1277" s="1" t="str">
        <f aca="false">IFERROR(INDEX(MAP!$F$7:$F$74,MATCH(TRIM(I1277),MAP!$E$7:$E$74,0)),"UNMAPPED")</f>
        <v>Research</v>
      </c>
      <c r="K1277" s="1" t="str">
        <f aca="false">IFERROR(INDEX(MAP!$G$7:$G$74,MATCH(TRIM(I1277),MAP!$E$7:$E$74,0)),"UNMAPPED")</f>
        <v>7h</v>
      </c>
      <c r="L1277" s="49" t="n">
        <f aca="false">STACK!G1277</f>
        <v>46053</v>
      </c>
      <c r="M1277" s="59" t="n">
        <f aca="false">IF(G1277&gt;0,IF(INDEX(CONFIRM!$G$5:$G$53,G1277)&lt;&gt;"",INDEX(CONFIRM!$G$5:$G$53,G1277),IF(ISNUMBER(L1277),L1277,IFERROR(DATEVALUE(L1277),""))),IF(ISNUMBER(L1277),L1277,IFERROR(DATEVALUE(L1277),"")))</f>
        <v>46053</v>
      </c>
      <c r="N1277" s="1" t="str">
        <f aca="false">IF(M1277="","Check",IF(AND(M1277&gt;=INPUTS!$C$6,M1277&lt;=INPUTS!$C$7),"Yes","No"))</f>
        <v>Yes</v>
      </c>
      <c r="O1277" s="48" t="str">
        <f aca="false">STACK!H1277</f>
        <v>research nurse</v>
      </c>
      <c r="P1277" s="1" t="str">
        <f aca="false">IF(G1277&gt;0,IF(INDEX(CONFIRM!$H$5:$H$53,G1277)&lt;&gt;"",INDEX(CONFIRM!$H$5:$H$53,G1277),IFERROR(INDEX(MAP!$B$7:$B$156,MATCH(TRIM(O1277),MAP!$A$7:$A$156,0)),"UNMAPPED")),IFERROR(INDEX(MAP!$B$7:$B$156,MATCH(TRIM(O1277),MAP!$A$7:$A$156,0)),"UNMAPPED"))</f>
        <v>Research Coordinator</v>
      </c>
      <c r="Q1277" s="48" t="n">
        <f aca="false">STACK!I1277</f>
        <v>54</v>
      </c>
      <c r="R1277" s="60" t="n">
        <f aca="false">IF(G1277&gt;0,IF(INDEX(CONFIRM!$F$5:$F$53,G1277)&lt;&gt;"",INDEX(CONFIRM!$F$5:$F$53,G1277),IF(ISNUMBER(Q1277),Q1277,IF(Q1277="","",IFERROR(VALUE(TRIM(SUBSTITUTE(SUBSTITUTE(LOWER(Q1277),"hrs",""),"hr",""))),"")))),IF(ISNUMBER(Q1277),Q1277,IF(Q1277="","",IFERROR(VALUE(TRIM(SUBSTITUTE(SUBSTITUTE(LOWER(Q1277),"hrs",""),"hr",""))),""))))</f>
        <v>54</v>
      </c>
      <c r="S1277" s="57" t="n">
        <f aca="false">IFERROR(INDEX(RATES!$E$6:$E$28,MATCH(P1277,RATES!$A$6:$A$28,0)),0)</f>
        <v>42.405</v>
      </c>
      <c r="T1277" s="61" t="n">
        <f aca="false">IF(ISNUMBER(R1277),R1277,0)*S1277</f>
        <v>2289.87</v>
      </c>
      <c r="U1277" s="61" t="n">
        <f aca="false">T1277*INDEX(INPUTS!$H$10:$H$14,MATCH(B1277,INPUTS!$A$10:$A$14,0))</f>
        <v>322.87167</v>
      </c>
      <c r="V1277" s="61" t="n">
        <f aca="false">N(STACK!K1277)</f>
        <v>1645</v>
      </c>
      <c r="W1277" s="61" t="n">
        <f aca="false">T1277+U1277+V1277</f>
        <v>4257.74167</v>
      </c>
      <c r="X1277" s="61" t="n">
        <f aca="false">N(STACK!L1277)</f>
        <v>4450</v>
      </c>
      <c r="Y1277" s="61" t="n">
        <f aca="false">W1277-X1277</f>
        <v>-192.258330000001</v>
      </c>
      <c r="Z1277" s="1" t="n">
        <f aca="false">N(STACK!J1277)</f>
        <v>9</v>
      </c>
      <c r="AA1277" s="1" t="str">
        <f aca="false">TRIM(IF(D1277="UNMAPPED","Program not mapped. ","")&amp;IF(OR(K1277="UNMAPPED",K1277="UNASSIGNED"),"Category needs review. ","")&amp;IF(P1277="UNMAPPED","Title not mapped. ","")&amp;IF(AND(P1277&lt;&gt;"No staff time",R1277=""),"Missing hours. ","")&amp;IF(M1277="","Date not readable. ","")&amp;IF(N1277="No","Outside fiscal year. ","")&amp;IF(AND(F1277="Event",ISNUMBER(R1277)),IF(R1277&gt;12,"Event hours look high. ",""),"")&amp;IF(G1277&gt;0,"See CONFIRM sheet.",""))</f>
        <v/>
      </c>
      <c r="AB1277" s="1" t="n">
        <f aca="false">IF(N1277="No",0,IF(REVIEW!O1277=0,0,IF(G1277&gt;0,IF(INDEX(CONFIRM!$J$5:$J$53,G1277)&lt;&gt;"",INDEX(CONFIRM!$J$5:$J$53,G1277),1),1)))</f>
        <v>1</v>
      </c>
      <c r="AC1277" s="1" t="n">
        <f aca="false">IF(AB1277=1,IF(COUNTIFS($B$5:B1277,B1277,$D$5:D1277,D1277,$AB$5:AB1277,1)=1,1,0),0)</f>
        <v>0</v>
      </c>
    </row>
    <row r="1278" customFormat="false" ht="15" hidden="false" customHeight="false" outlineLevel="0" collapsed="false">
      <c r="A1278" s="48" t="str">
        <f aca="false">STACK!A1278</f>
        <v>WCH-0171</v>
      </c>
      <c r="B1278" s="48" t="str">
        <f aca="false">STACK!B1278</f>
        <v>WCH</v>
      </c>
      <c r="C1278" s="48" t="str">
        <f aca="false">STACK!E1278</f>
        <v>narcan training</v>
      </c>
      <c r="D1278" s="1" t="str">
        <f aca="false">IFERROR(INDEX(MAP!$J$7:$J$101,MATCH(TRIM(C1278),MAP!$I$7:$I$101,0)),"UNMAPPED")</f>
        <v>Naloxone Training and Distribution</v>
      </c>
      <c r="E1278" s="1" t="str">
        <f aca="false">IFERROR(INDEX(MAP!$K$7:$K$101,MATCH(TRIM(C1278),MAP!$I$7:$I$101,0)),"")</f>
        <v>Behavioral health</v>
      </c>
      <c r="F1278" s="1" t="str">
        <f aca="false">IFERROR(INDEX(MAP!$L$7:$L$101,MATCH(TRIM(C1278),MAP!$I$7:$I$101,0)),"")</f>
        <v>Event</v>
      </c>
      <c r="G1278" s="1" t="n">
        <f aca="false">IFERROR(MATCH(A1278,CONFIRM!$A$5:$A$53,0),0)</f>
        <v>0</v>
      </c>
      <c r="H1278" s="48" t="str">
        <f aca="false">STACK!F1278</f>
        <v>community health improvement services</v>
      </c>
      <c r="I1278" s="1" t="str">
        <f aca="false">IF(G1278&gt;0,IF(INDEX(CONFIRM!$I$5:$I$53,G1278)&lt;&gt;"",INDEX(CONFIRM!$I$5:$I$53,G1278),H1278),H1278)</f>
        <v>community health improvement services</v>
      </c>
      <c r="J1278" s="1" t="str">
        <f aca="false">IFERROR(INDEX(MAP!$F$7:$F$74,MATCH(TRIM(I1278),MAP!$E$7:$E$74,0)),"UNMAPPED")</f>
        <v>Community health education</v>
      </c>
      <c r="K1278" s="1" t="str">
        <f aca="false">IFERROR(INDEX(MAP!$G$7:$G$74,MATCH(TRIM(I1278),MAP!$E$7:$E$74,0)),"UNMAPPED")</f>
        <v>7e</v>
      </c>
      <c r="L1278" s="49" t="str">
        <f aca="false">STACK!G1278</f>
        <v>2/14/26</v>
      </c>
      <c r="M1278" s="59" t="n">
        <f aca="false">IF(G1278&gt;0,IF(INDEX(CONFIRM!$G$5:$G$53,G1278)&lt;&gt;"",INDEX(CONFIRM!$G$5:$G$53,G1278),IF(ISNUMBER(L1278),L1278,IFERROR(DATEVALUE(L1278),""))),IF(ISNUMBER(L1278),L1278,IFERROR(DATEVALUE(L1278),"")))</f>
        <v>46067</v>
      </c>
      <c r="N1278" s="1" t="str">
        <f aca="false">IF(M1278="","Check",IF(AND(M1278&gt;=INPUTS!$C$6,M1278&lt;=INPUTS!$C$7),"Yes","No"))</f>
        <v>Yes</v>
      </c>
      <c r="O1278" s="48" t="str">
        <f aca="false">STACK!H1278</f>
        <v>Health Ed</v>
      </c>
      <c r="P1278" s="1" t="str">
        <f aca="false">IF(G1278&gt;0,IF(INDEX(CONFIRM!$H$5:$H$53,G1278)&lt;&gt;"",INDEX(CONFIRM!$H$5:$H$53,G1278),IFERROR(INDEX(MAP!$B$7:$B$156,MATCH(TRIM(O1278),MAP!$A$7:$A$156,0)),"UNMAPPED")),IFERROR(INDEX(MAP!$B$7:$B$156,MATCH(TRIM(O1278),MAP!$A$7:$A$156,0)),"UNMAPPED"))</f>
        <v>Health Educator</v>
      </c>
      <c r="Q1278" s="48" t="n">
        <f aca="false">STACK!I1278</f>
        <v>2.25</v>
      </c>
      <c r="R1278" s="60" t="n">
        <f aca="false">IF(G1278&gt;0,IF(INDEX(CONFIRM!$F$5:$F$53,G1278)&lt;&gt;"",INDEX(CONFIRM!$F$5:$F$53,G1278),IF(ISNUMBER(Q1278),Q1278,IF(Q1278="","",IFERROR(VALUE(TRIM(SUBSTITUTE(SUBSTITUTE(LOWER(Q1278),"hrs",""),"hr",""))),"")))),IF(ISNUMBER(Q1278),Q1278,IF(Q1278="","",IFERROR(VALUE(TRIM(SUBSTITUTE(SUBSTITUTE(LOWER(Q1278),"hrs",""),"hr",""))),""))))</f>
        <v>2.25</v>
      </c>
      <c r="S1278" s="57" t="n">
        <f aca="false">IFERROR(INDEX(RATES!$E$6:$E$28,MATCH(P1278,RATES!$A$6:$A$28,0)),0)</f>
        <v>37.265</v>
      </c>
      <c r="T1278" s="61" t="n">
        <f aca="false">IF(ISNUMBER(R1278),R1278,0)*S1278</f>
        <v>83.84625</v>
      </c>
      <c r="U1278" s="61" t="n">
        <f aca="false">T1278*INDEX(INPUTS!$H$10:$H$14,MATCH(B1278,INPUTS!$A$10:$A$14,0))</f>
        <v>11.82232125</v>
      </c>
      <c r="V1278" s="61" t="n">
        <f aca="false">N(STACK!K1278)</f>
        <v>0</v>
      </c>
      <c r="W1278" s="61" t="n">
        <f aca="false">T1278+U1278+V1278</f>
        <v>95.66857125</v>
      </c>
      <c r="X1278" s="61" t="n">
        <f aca="false">N(STACK!L1278)</f>
        <v>0</v>
      </c>
      <c r="Y1278" s="61" t="n">
        <f aca="false">W1278-X1278</f>
        <v>95.66857125</v>
      </c>
      <c r="Z1278" s="1" t="n">
        <f aca="false">N(STACK!J1278)</f>
        <v>0</v>
      </c>
      <c r="AA1278" s="1" t="str">
        <f aca="false">TRIM(IF(D1278="UNMAPPED","Program not mapped. ","")&amp;IF(OR(K1278="UNMAPPED",K1278="UNASSIGNED"),"Category needs review. ","")&amp;IF(P1278="UNMAPPED","Title not mapped. ","")&amp;IF(AND(P1278&lt;&gt;"No staff time",R1278=""),"Missing hours. ","")&amp;IF(M1278="","Date not readable. ","")&amp;IF(N1278="No","Outside fiscal year. ","")&amp;IF(AND(F1278="Event",ISNUMBER(R1278)),IF(R1278&gt;12,"Event hours look high. ",""),"")&amp;IF(G1278&gt;0,"See CONFIRM sheet.",""))</f>
        <v/>
      </c>
      <c r="AB1278" s="1" t="n">
        <f aca="false">IF(N1278="No",0,IF(REVIEW!O1278=0,0,IF(G1278&gt;0,IF(INDEX(CONFIRM!$J$5:$J$53,G1278)&lt;&gt;"",INDEX(CONFIRM!$J$5:$J$53,G1278),1),1)))</f>
        <v>1</v>
      </c>
      <c r="AC1278" s="1" t="n">
        <f aca="false">IF(AB1278=1,IF(COUNTIFS($B$5:B1278,B1278,$D$5:D1278,D1278,$AB$5:AB1278,1)=1,1,0),0)</f>
        <v>0</v>
      </c>
    </row>
    <row r="1279" customFormat="false" ht="15" hidden="false" customHeight="false" outlineLevel="0" collapsed="false">
      <c r="A1279" s="48" t="str">
        <f aca="false">STACK!A1279</f>
        <v>WCH-0172</v>
      </c>
      <c r="B1279" s="48" t="str">
        <f aca="false">STACK!B1279</f>
        <v>WCH</v>
      </c>
      <c r="C1279" s="48" t="str">
        <f aca="false">STACK!E1279</f>
        <v>narcan training</v>
      </c>
      <c r="D1279" s="1" t="str">
        <f aca="false">IFERROR(INDEX(MAP!$J$7:$J$101,MATCH(TRIM(C1279),MAP!$I$7:$I$101,0)),"UNMAPPED")</f>
        <v>Naloxone Training and Distribution</v>
      </c>
      <c r="E1279" s="1" t="str">
        <f aca="false">IFERROR(INDEX(MAP!$K$7:$K$101,MATCH(TRIM(C1279),MAP!$I$7:$I$101,0)),"")</f>
        <v>Behavioral health</v>
      </c>
      <c r="F1279" s="1" t="str">
        <f aca="false">IFERROR(INDEX(MAP!$L$7:$L$101,MATCH(TRIM(C1279),MAP!$I$7:$I$101,0)),"")</f>
        <v>Event</v>
      </c>
      <c r="G1279" s="1" t="n">
        <f aca="false">IFERROR(MATCH(A1279,CONFIRM!$A$5:$A$53,0),0)</f>
        <v>0</v>
      </c>
      <c r="H1279" s="48" t="str">
        <f aca="false">STACK!F1279</f>
        <v>community health improvement services</v>
      </c>
      <c r="I1279" s="1" t="str">
        <f aca="false">IF(G1279&gt;0,IF(INDEX(CONFIRM!$I$5:$I$53,G1279)&lt;&gt;"",INDEX(CONFIRM!$I$5:$I$53,G1279),H1279),H1279)</f>
        <v>community health improvement services</v>
      </c>
      <c r="J1279" s="1" t="str">
        <f aca="false">IFERROR(INDEX(MAP!$F$7:$F$74,MATCH(TRIM(I1279),MAP!$E$7:$E$74,0)),"UNMAPPED")</f>
        <v>Community health education</v>
      </c>
      <c r="K1279" s="1" t="str">
        <f aca="false">IFERROR(INDEX(MAP!$G$7:$G$74,MATCH(TRIM(I1279),MAP!$E$7:$E$74,0)),"UNMAPPED")</f>
        <v>7e</v>
      </c>
      <c r="L1279" s="49" t="str">
        <f aca="false">STACK!G1279</f>
        <v>2/14/26</v>
      </c>
      <c r="M1279" s="59" t="n">
        <f aca="false">IF(G1279&gt;0,IF(INDEX(CONFIRM!$G$5:$G$53,G1279)&lt;&gt;"",INDEX(CONFIRM!$G$5:$G$53,G1279),IF(ISNUMBER(L1279),L1279,IFERROR(DATEVALUE(L1279),""))),IF(ISNUMBER(L1279),L1279,IFERROR(DATEVALUE(L1279),"")))</f>
        <v>46067</v>
      </c>
      <c r="N1279" s="1" t="str">
        <f aca="false">IF(M1279="","Check",IF(AND(M1279&gt;=INPUTS!$C$6,M1279&lt;=INPUTS!$C$7),"Yes","No"))</f>
        <v>Yes</v>
      </c>
      <c r="O1279" s="48" t="str">
        <f aca="false">STACK!H1279</f>
        <v>Health Ed</v>
      </c>
      <c r="P1279" s="1" t="str">
        <f aca="false">IF(G1279&gt;0,IF(INDEX(CONFIRM!$H$5:$H$53,G1279)&lt;&gt;"",INDEX(CONFIRM!$H$5:$H$53,G1279),IFERROR(INDEX(MAP!$B$7:$B$156,MATCH(TRIM(O1279),MAP!$A$7:$A$156,0)),"UNMAPPED")),IFERROR(INDEX(MAP!$B$7:$B$156,MATCH(TRIM(O1279),MAP!$A$7:$A$156,0)),"UNMAPPED"))</f>
        <v>Health Educator</v>
      </c>
      <c r="Q1279" s="48" t="n">
        <f aca="false">STACK!I1279</f>
        <v>2.5</v>
      </c>
      <c r="R1279" s="60" t="n">
        <f aca="false">IF(G1279&gt;0,IF(INDEX(CONFIRM!$F$5:$F$53,G1279)&lt;&gt;"",INDEX(CONFIRM!$F$5:$F$53,G1279),IF(ISNUMBER(Q1279),Q1279,IF(Q1279="","",IFERROR(VALUE(TRIM(SUBSTITUTE(SUBSTITUTE(LOWER(Q1279),"hrs",""),"hr",""))),"")))),IF(ISNUMBER(Q1279),Q1279,IF(Q1279="","",IFERROR(VALUE(TRIM(SUBSTITUTE(SUBSTITUTE(LOWER(Q1279),"hrs",""),"hr",""))),""))))</f>
        <v>2.5</v>
      </c>
      <c r="S1279" s="57" t="n">
        <f aca="false">IFERROR(INDEX(RATES!$E$6:$E$28,MATCH(P1279,RATES!$A$6:$A$28,0)),0)</f>
        <v>37.265</v>
      </c>
      <c r="T1279" s="61" t="n">
        <f aca="false">IF(ISNUMBER(R1279),R1279,0)*S1279</f>
        <v>93.1625</v>
      </c>
      <c r="U1279" s="61" t="n">
        <f aca="false">T1279*INDEX(INPUTS!$H$10:$H$14,MATCH(B1279,INPUTS!$A$10:$A$14,0))</f>
        <v>13.1359125</v>
      </c>
      <c r="V1279" s="61" t="n">
        <f aca="false">N(STACK!K1279)</f>
        <v>0</v>
      </c>
      <c r="W1279" s="61" t="n">
        <f aca="false">T1279+U1279+V1279</f>
        <v>106.2984125</v>
      </c>
      <c r="X1279" s="61" t="n">
        <f aca="false">N(STACK!L1279)</f>
        <v>0</v>
      </c>
      <c r="Y1279" s="61" t="n">
        <f aca="false">W1279-X1279</f>
        <v>106.2984125</v>
      </c>
      <c r="Z1279" s="1" t="n">
        <f aca="false">N(STACK!J1279)</f>
        <v>0</v>
      </c>
      <c r="AA1279" s="1" t="str">
        <f aca="false">TRIM(IF(D1279="UNMAPPED","Program not mapped. ","")&amp;IF(OR(K1279="UNMAPPED",K1279="UNASSIGNED"),"Category needs review. ","")&amp;IF(P1279="UNMAPPED","Title not mapped. ","")&amp;IF(AND(P1279&lt;&gt;"No staff time",R1279=""),"Missing hours. ","")&amp;IF(M1279="","Date not readable. ","")&amp;IF(N1279="No","Outside fiscal year. ","")&amp;IF(AND(F1279="Event",ISNUMBER(R1279)),IF(R1279&gt;12,"Event hours look high. ",""),"")&amp;IF(G1279&gt;0,"See CONFIRM sheet.",""))</f>
        <v/>
      </c>
      <c r="AB1279" s="1" t="n">
        <f aca="false">IF(N1279="No",0,IF(REVIEW!O1279=0,0,IF(G1279&gt;0,IF(INDEX(CONFIRM!$J$5:$J$53,G1279)&lt;&gt;"",INDEX(CONFIRM!$J$5:$J$53,G1279),1),1)))</f>
        <v>1</v>
      </c>
      <c r="AC1279" s="1" t="n">
        <f aca="false">IF(AB1279=1,IF(COUNTIFS($B$5:B1279,B1279,$D$5:D1279,D1279,$AB$5:AB1279,1)=1,1,0),0)</f>
        <v>0</v>
      </c>
    </row>
    <row r="1280" customFormat="false" ht="15" hidden="false" customHeight="false" outlineLevel="0" collapsed="false">
      <c r="A1280" s="48" t="str">
        <f aca="false">STACK!A1280</f>
        <v>WCH-0173</v>
      </c>
      <c r="B1280" s="48" t="str">
        <f aca="false">STACK!B1280</f>
        <v>WCH</v>
      </c>
      <c r="C1280" s="48" t="str">
        <f aca="false">STACK!E1280</f>
        <v>narcan training</v>
      </c>
      <c r="D1280" s="1" t="str">
        <f aca="false">IFERROR(INDEX(MAP!$J$7:$J$101,MATCH(TRIM(C1280),MAP!$I$7:$I$101,0)),"UNMAPPED")</f>
        <v>Naloxone Training and Distribution</v>
      </c>
      <c r="E1280" s="1" t="str">
        <f aca="false">IFERROR(INDEX(MAP!$K$7:$K$101,MATCH(TRIM(C1280),MAP!$I$7:$I$101,0)),"")</f>
        <v>Behavioral health</v>
      </c>
      <c r="F1280" s="1" t="str">
        <f aca="false">IFERROR(INDEX(MAP!$L$7:$L$101,MATCH(TRIM(C1280),MAP!$I$7:$I$101,0)),"")</f>
        <v>Event</v>
      </c>
      <c r="G1280" s="1" t="n">
        <f aca="false">IFERROR(MATCH(A1280,CONFIRM!$A$5:$A$53,0),0)</f>
        <v>0</v>
      </c>
      <c r="H1280" s="48" t="str">
        <f aca="false">STACK!F1280</f>
        <v>community health improvement services</v>
      </c>
      <c r="I1280" s="1" t="str">
        <f aca="false">IF(G1280&gt;0,IF(INDEX(CONFIRM!$I$5:$I$53,G1280)&lt;&gt;"",INDEX(CONFIRM!$I$5:$I$53,G1280),H1280),H1280)</f>
        <v>community health improvement services</v>
      </c>
      <c r="J1280" s="1" t="str">
        <f aca="false">IFERROR(INDEX(MAP!$F$7:$F$74,MATCH(TRIM(I1280),MAP!$E$7:$E$74,0)),"UNMAPPED")</f>
        <v>Community health education</v>
      </c>
      <c r="K1280" s="1" t="str">
        <f aca="false">IFERROR(INDEX(MAP!$G$7:$G$74,MATCH(TRIM(I1280),MAP!$E$7:$E$74,0)),"UNMAPPED")</f>
        <v>7e</v>
      </c>
      <c r="L1280" s="49" t="n">
        <f aca="false">STACK!G1280</f>
        <v>46067</v>
      </c>
      <c r="M1280" s="59" t="n">
        <f aca="false">IF(G1280&gt;0,IF(INDEX(CONFIRM!$G$5:$G$53,G1280)&lt;&gt;"",INDEX(CONFIRM!$G$5:$G$53,G1280),IF(ISNUMBER(L1280),L1280,IFERROR(DATEVALUE(L1280),""))),IF(ISNUMBER(L1280),L1280,IFERROR(DATEVALUE(L1280),"")))</f>
        <v>46067</v>
      </c>
      <c r="N1280" s="1" t="str">
        <f aca="false">IF(M1280="","Check",IF(AND(M1280&gt;=INPUTS!$C$6,M1280&lt;=INPUTS!$C$7),"Yes","No"))</f>
        <v>Yes</v>
      </c>
      <c r="O1280" s="48" t="str">
        <f aca="false">STACK!H1280</f>
        <v>RPh</v>
      </c>
      <c r="P1280" s="1" t="str">
        <f aca="false">IF(G1280&gt;0,IF(INDEX(CONFIRM!$H$5:$H$53,G1280)&lt;&gt;"",INDEX(CONFIRM!$H$5:$H$53,G1280),IFERROR(INDEX(MAP!$B$7:$B$156,MATCH(TRIM(O1280),MAP!$A$7:$A$156,0)),"UNMAPPED")),IFERROR(INDEX(MAP!$B$7:$B$156,MATCH(TRIM(O1280),MAP!$A$7:$A$156,0)),"UNMAPPED"))</f>
        <v>Pharmacist</v>
      </c>
      <c r="Q1280" s="48" t="n">
        <f aca="false">STACK!I1280</f>
        <v>3</v>
      </c>
      <c r="R1280" s="60" t="n">
        <f aca="false">IF(G1280&gt;0,IF(INDEX(CONFIRM!$F$5:$F$53,G1280)&lt;&gt;"",INDEX(CONFIRM!$F$5:$F$53,G1280),IF(ISNUMBER(Q1280),Q1280,IF(Q1280="","",IFERROR(VALUE(TRIM(SUBSTITUTE(SUBSTITUTE(LOWER(Q1280),"hrs",""),"hr",""))),"")))),IF(ISNUMBER(Q1280),Q1280,IF(Q1280="","",IFERROR(VALUE(TRIM(SUBSTITUTE(SUBSTITUTE(LOWER(Q1280),"hrs",""),"hr",""))),""))))</f>
        <v>3</v>
      </c>
      <c r="S1280" s="57" t="n">
        <f aca="false">IFERROR(INDEX(RATES!$E$6:$E$28,MATCH(P1280,RATES!$A$6:$A$28,0)),0)</f>
        <v>84.81</v>
      </c>
      <c r="T1280" s="61" t="n">
        <f aca="false">IF(ISNUMBER(R1280),R1280,0)*S1280</f>
        <v>254.43</v>
      </c>
      <c r="U1280" s="61" t="n">
        <f aca="false">T1280*INDEX(INPUTS!$H$10:$H$14,MATCH(B1280,INPUTS!$A$10:$A$14,0))</f>
        <v>35.87463</v>
      </c>
      <c r="V1280" s="61" t="n">
        <f aca="false">N(STACK!K1280)</f>
        <v>1980</v>
      </c>
      <c r="W1280" s="61" t="n">
        <f aca="false">T1280+U1280+V1280</f>
        <v>2270.30463</v>
      </c>
      <c r="X1280" s="61" t="n">
        <f aca="false">N(STACK!L1280)</f>
        <v>1565</v>
      </c>
      <c r="Y1280" s="61" t="n">
        <f aca="false">W1280-X1280</f>
        <v>705.30463</v>
      </c>
      <c r="Z1280" s="1" t="n">
        <f aca="false">N(STACK!J1280)</f>
        <v>32</v>
      </c>
      <c r="AA1280" s="1" t="str">
        <f aca="false">TRIM(IF(D1280="UNMAPPED","Program not mapped. ","")&amp;IF(OR(K1280="UNMAPPED",K1280="UNASSIGNED"),"Category needs review. ","")&amp;IF(P1280="UNMAPPED","Title not mapped. ","")&amp;IF(AND(P1280&lt;&gt;"No staff time",R1280=""),"Missing hours. ","")&amp;IF(M1280="","Date not readable. ","")&amp;IF(N1280="No","Outside fiscal year. ","")&amp;IF(AND(F1280="Event",ISNUMBER(R1280)),IF(R1280&gt;12,"Event hours look high. ",""),"")&amp;IF(G1280&gt;0,"See CONFIRM sheet.",""))</f>
        <v/>
      </c>
      <c r="AB1280" s="1" t="n">
        <f aca="false">IF(N1280="No",0,IF(REVIEW!O1280=0,0,IF(G1280&gt;0,IF(INDEX(CONFIRM!$J$5:$J$53,G1280)&lt;&gt;"",INDEX(CONFIRM!$J$5:$J$53,G1280),1),1)))</f>
        <v>1</v>
      </c>
      <c r="AC1280" s="1" t="n">
        <f aca="false">IF(AB1280=1,IF(COUNTIFS($B$5:B1280,B1280,$D$5:D1280,D1280,$AB$5:AB1280,1)=1,1,0),0)</f>
        <v>0</v>
      </c>
    </row>
    <row r="1281" customFormat="false" ht="15" hidden="false" customHeight="false" outlineLevel="0" collapsed="false">
      <c r="A1281" s="48" t="str">
        <f aca="false">STACK!A1281</f>
        <v>WCH-0174</v>
      </c>
      <c r="B1281" s="48" t="str">
        <f aca="false">STACK!B1281</f>
        <v>WCH</v>
      </c>
      <c r="C1281" s="48" t="str">
        <f aca="false">STACK!E1281</f>
        <v>narcan training</v>
      </c>
      <c r="D1281" s="1" t="str">
        <f aca="false">IFERROR(INDEX(MAP!$J$7:$J$101,MATCH(TRIM(C1281),MAP!$I$7:$I$101,0)),"UNMAPPED")</f>
        <v>Naloxone Training and Distribution</v>
      </c>
      <c r="E1281" s="1" t="str">
        <f aca="false">IFERROR(INDEX(MAP!$K$7:$K$101,MATCH(TRIM(C1281),MAP!$I$7:$I$101,0)),"")</f>
        <v>Behavioral health</v>
      </c>
      <c r="F1281" s="1" t="str">
        <f aca="false">IFERROR(INDEX(MAP!$L$7:$L$101,MATCH(TRIM(C1281),MAP!$I$7:$I$101,0)),"")</f>
        <v>Event</v>
      </c>
      <c r="G1281" s="1" t="n">
        <f aca="false">IFERROR(MATCH(A1281,CONFIRM!$A$5:$A$53,0),0)</f>
        <v>0</v>
      </c>
      <c r="H1281" s="48" t="str">
        <f aca="false">STACK!F1281</f>
        <v>community health improvement services</v>
      </c>
      <c r="I1281" s="1" t="str">
        <f aca="false">IF(G1281&gt;0,IF(INDEX(CONFIRM!$I$5:$I$53,G1281)&lt;&gt;"",INDEX(CONFIRM!$I$5:$I$53,G1281),H1281),H1281)</f>
        <v>community health improvement services</v>
      </c>
      <c r="J1281" s="1" t="str">
        <f aca="false">IFERROR(INDEX(MAP!$F$7:$F$74,MATCH(TRIM(I1281),MAP!$E$7:$E$74,0)),"UNMAPPED")</f>
        <v>Community health education</v>
      </c>
      <c r="K1281" s="1" t="str">
        <f aca="false">IFERROR(INDEX(MAP!$G$7:$G$74,MATCH(TRIM(I1281),MAP!$E$7:$E$74,0)),"UNMAPPED")</f>
        <v>7e</v>
      </c>
      <c r="L1281" s="49" t="str">
        <f aca="false">STACK!G1281</f>
        <v>2/14/26</v>
      </c>
      <c r="M1281" s="59" t="n">
        <f aca="false">IF(G1281&gt;0,IF(INDEX(CONFIRM!$G$5:$G$53,G1281)&lt;&gt;"",INDEX(CONFIRM!$G$5:$G$53,G1281),IF(ISNUMBER(L1281),L1281,IFERROR(DATEVALUE(L1281),""))),IF(ISNUMBER(L1281),L1281,IFERROR(DATEVALUE(L1281),"")))</f>
        <v>46067</v>
      </c>
      <c r="N1281" s="1" t="str">
        <f aca="false">IF(M1281="","Check",IF(AND(M1281&gt;=INPUTS!$C$6,M1281&lt;=INPUTS!$C$7),"Yes","No"))</f>
        <v>Yes</v>
      </c>
      <c r="O1281" s="48" t="str">
        <f aca="false">STACK!H1281</f>
        <v>Clinical Pharmacist</v>
      </c>
      <c r="P1281" s="1" t="str">
        <f aca="false">IF(G1281&gt;0,IF(INDEX(CONFIRM!$H$5:$H$53,G1281)&lt;&gt;"",INDEX(CONFIRM!$H$5:$H$53,G1281),IFERROR(INDEX(MAP!$B$7:$B$156,MATCH(TRIM(O1281),MAP!$A$7:$A$156,0)),"UNMAPPED")),IFERROR(INDEX(MAP!$B$7:$B$156,MATCH(TRIM(O1281),MAP!$A$7:$A$156,0)),"UNMAPPED"))</f>
        <v>Pharmacist</v>
      </c>
      <c r="Q1281" s="48" t="n">
        <f aca="false">STACK!I1281</f>
        <v>2.75</v>
      </c>
      <c r="R1281" s="60" t="n">
        <f aca="false">IF(G1281&gt;0,IF(INDEX(CONFIRM!$F$5:$F$53,G1281)&lt;&gt;"",INDEX(CONFIRM!$F$5:$F$53,G1281),IF(ISNUMBER(Q1281),Q1281,IF(Q1281="","",IFERROR(VALUE(TRIM(SUBSTITUTE(SUBSTITUTE(LOWER(Q1281),"hrs",""),"hr",""))),"")))),IF(ISNUMBER(Q1281),Q1281,IF(Q1281="","",IFERROR(VALUE(TRIM(SUBSTITUTE(SUBSTITUTE(LOWER(Q1281),"hrs",""),"hr",""))),""))))</f>
        <v>2.75</v>
      </c>
      <c r="S1281" s="57" t="n">
        <f aca="false">IFERROR(INDEX(RATES!$E$6:$E$28,MATCH(P1281,RATES!$A$6:$A$28,0)),0)</f>
        <v>84.81</v>
      </c>
      <c r="T1281" s="61" t="n">
        <f aca="false">IF(ISNUMBER(R1281),R1281,0)*S1281</f>
        <v>233.2275</v>
      </c>
      <c r="U1281" s="61" t="n">
        <f aca="false">T1281*INDEX(INPUTS!$H$10:$H$14,MATCH(B1281,INPUTS!$A$10:$A$14,0))</f>
        <v>32.8850775</v>
      </c>
      <c r="V1281" s="61" t="n">
        <f aca="false">N(STACK!K1281)</f>
        <v>1175</v>
      </c>
      <c r="W1281" s="61" t="n">
        <f aca="false">T1281+U1281+V1281</f>
        <v>1441.1125775</v>
      </c>
      <c r="X1281" s="61" t="n">
        <f aca="false">N(STACK!L1281)</f>
        <v>1505</v>
      </c>
      <c r="Y1281" s="61" t="n">
        <f aca="false">W1281-X1281</f>
        <v>-63.8874225</v>
      </c>
      <c r="Z1281" s="1" t="n">
        <f aca="false">N(STACK!J1281)</f>
        <v>24</v>
      </c>
      <c r="AA1281" s="1" t="str">
        <f aca="false">TRIM(IF(D1281="UNMAPPED","Program not mapped. ","")&amp;IF(OR(K1281="UNMAPPED",K1281="UNASSIGNED"),"Category needs review. ","")&amp;IF(P1281="UNMAPPED","Title not mapped. ","")&amp;IF(AND(P1281&lt;&gt;"No staff time",R1281=""),"Missing hours. ","")&amp;IF(M1281="","Date not readable. ","")&amp;IF(N1281="No","Outside fiscal year. ","")&amp;IF(AND(F1281="Event",ISNUMBER(R1281)),IF(R1281&gt;12,"Event hours look high. ",""),"")&amp;IF(G1281&gt;0,"See CONFIRM sheet.",""))</f>
        <v/>
      </c>
      <c r="AB1281" s="1" t="n">
        <f aca="false">IF(N1281="No",0,IF(REVIEW!O1281=0,0,IF(G1281&gt;0,IF(INDEX(CONFIRM!$J$5:$J$53,G1281)&lt;&gt;"",INDEX(CONFIRM!$J$5:$J$53,G1281),1),1)))</f>
        <v>1</v>
      </c>
      <c r="AC1281" s="1" t="n">
        <f aca="false">IF(AB1281=1,IF(COUNTIFS($B$5:B1281,B1281,$D$5:D1281,D1281,$AB$5:AB1281,1)=1,1,0),0)</f>
        <v>0</v>
      </c>
    </row>
    <row r="1282" customFormat="false" ht="15" hidden="false" customHeight="false" outlineLevel="0" collapsed="false">
      <c r="A1282" s="48" t="str">
        <f aca="false">STACK!A1282</f>
        <v>WCH-0175</v>
      </c>
      <c r="B1282" s="48" t="str">
        <f aca="false">STACK!B1282</f>
        <v>WCH</v>
      </c>
      <c r="C1282" s="48" t="str">
        <f aca="false">STACK!E1282</f>
        <v>grief group</v>
      </c>
      <c r="D1282" s="1" t="str">
        <f aca="false">IFERROR(INDEX(MAP!$J$7:$J$101,MATCH(TRIM(C1282),MAP!$I$7:$I$101,0)),"UNMAPPED")</f>
        <v>Grief Support Group</v>
      </c>
      <c r="E1282" s="1" t="str">
        <f aca="false">IFERROR(INDEX(MAP!$K$7:$K$101,MATCH(TRIM(C1282),MAP!$I$7:$I$101,0)),"")</f>
        <v>Behavioral health</v>
      </c>
      <c r="F1282" s="1" t="str">
        <f aca="false">IFERROR(INDEX(MAP!$L$7:$L$101,MATCH(TRIM(C1282),MAP!$I$7:$I$101,0)),"")</f>
        <v>Event</v>
      </c>
      <c r="G1282" s="1" t="n">
        <f aca="false">IFERROR(MATCH(A1282,CONFIRM!$A$5:$A$53,0),0)</f>
        <v>0</v>
      </c>
      <c r="H1282" s="48" t="str">
        <f aca="false">STACK!F1282</f>
        <v>CHIS support</v>
      </c>
      <c r="I1282" s="1" t="str">
        <f aca="false">IF(G1282&gt;0,IF(INDEX(CONFIRM!$I$5:$I$53,G1282)&lt;&gt;"",INDEX(CONFIRM!$I$5:$I$53,G1282),H1282),H1282)</f>
        <v>CHIS support</v>
      </c>
      <c r="J1282" s="1" t="str">
        <f aca="false">IFERROR(INDEX(MAP!$F$7:$F$74,MATCH(TRIM(I1282),MAP!$E$7:$E$74,0)),"UNMAPPED")</f>
        <v>Health care support services</v>
      </c>
      <c r="K1282" s="1" t="str">
        <f aca="false">IFERROR(INDEX(MAP!$G$7:$G$74,MATCH(TRIM(I1282),MAP!$E$7:$E$74,0)),"UNMAPPED")</f>
        <v>7e</v>
      </c>
      <c r="L1282" s="49" t="str">
        <f aca="false">STACK!G1282</f>
        <v>2/26/26</v>
      </c>
      <c r="M1282" s="59" t="n">
        <f aca="false">IF(G1282&gt;0,IF(INDEX(CONFIRM!$G$5:$G$53,G1282)&lt;&gt;"",INDEX(CONFIRM!$G$5:$G$53,G1282),IF(ISNUMBER(L1282),L1282,IFERROR(DATEVALUE(L1282),""))),IF(ISNUMBER(L1282),L1282,IFERROR(DATEVALUE(L1282),"")))</f>
        <v>46079</v>
      </c>
      <c r="N1282" s="1" t="str">
        <f aca="false">IF(M1282="","Check",IF(AND(M1282&gt;=INPUTS!$C$6,M1282&lt;=INPUTS!$C$7),"Yes","No"))</f>
        <v>Yes</v>
      </c>
      <c r="O1282" s="48" t="str">
        <f aca="false">STACK!H1282</f>
        <v>Chaplain Resident</v>
      </c>
      <c r="P1282" s="1" t="str">
        <f aca="false">IF(G1282&gt;0,IF(INDEX(CONFIRM!$H$5:$H$53,G1282)&lt;&gt;"",INDEX(CONFIRM!$H$5:$H$53,G1282),IFERROR(INDEX(MAP!$B$7:$B$156,MATCH(TRIM(O1282),MAP!$A$7:$A$156,0)),"UNMAPPED")),IFERROR(INDEX(MAP!$B$7:$B$156,MATCH(TRIM(O1282),MAP!$A$7:$A$156,0)),"UNMAPPED"))</f>
        <v>Chaplain</v>
      </c>
      <c r="Q1282" s="48" t="n">
        <f aca="false">STACK!I1282</f>
        <v>2.25</v>
      </c>
      <c r="R1282" s="60" t="n">
        <f aca="false">IF(G1282&gt;0,IF(INDEX(CONFIRM!$F$5:$F$53,G1282)&lt;&gt;"",INDEX(CONFIRM!$F$5:$F$53,G1282),IF(ISNUMBER(Q1282),Q1282,IF(Q1282="","",IFERROR(VALUE(TRIM(SUBSTITUTE(SUBSTITUTE(LOWER(Q1282),"hrs",""),"hr",""))),"")))),IF(ISNUMBER(Q1282),Q1282,IF(Q1282="","",IFERROR(VALUE(TRIM(SUBSTITUTE(SUBSTITUTE(LOWER(Q1282),"hrs",""),"hr",""))),""))))</f>
        <v>2.25</v>
      </c>
      <c r="S1282" s="57" t="n">
        <f aca="false">IFERROR(INDEX(RATES!$E$6:$E$28,MATCH(P1282,RATES!$A$6:$A$28,0)),0)</f>
        <v>39.835</v>
      </c>
      <c r="T1282" s="61" t="n">
        <f aca="false">IF(ISNUMBER(R1282),R1282,0)*S1282</f>
        <v>89.62875</v>
      </c>
      <c r="U1282" s="61" t="n">
        <f aca="false">T1282*INDEX(INPUTS!$H$10:$H$14,MATCH(B1282,INPUTS!$A$10:$A$14,0))</f>
        <v>12.63765375</v>
      </c>
      <c r="V1282" s="61" t="n">
        <f aca="false">N(STACK!K1282)</f>
        <v>30</v>
      </c>
      <c r="W1282" s="61" t="n">
        <f aca="false">T1282+U1282+V1282</f>
        <v>132.26640375</v>
      </c>
      <c r="X1282" s="61" t="n">
        <f aca="false">N(STACK!L1282)</f>
        <v>0</v>
      </c>
      <c r="Y1282" s="61" t="n">
        <f aca="false">W1282-X1282</f>
        <v>132.26640375</v>
      </c>
      <c r="Z1282" s="1" t="n">
        <f aca="false">N(STACK!J1282)</f>
        <v>7</v>
      </c>
      <c r="AA1282" s="1" t="str">
        <f aca="false">TRIM(IF(D1282="UNMAPPED","Program not mapped. ","")&amp;IF(OR(K1282="UNMAPPED",K1282="UNASSIGNED"),"Category needs review. ","")&amp;IF(P1282="UNMAPPED","Title not mapped. ","")&amp;IF(AND(P1282&lt;&gt;"No staff time",R1282=""),"Missing hours. ","")&amp;IF(M1282="","Date not readable. ","")&amp;IF(N1282="No","Outside fiscal year. ","")&amp;IF(AND(F1282="Event",ISNUMBER(R1282)),IF(R1282&gt;12,"Event hours look high. ",""),"")&amp;IF(G1282&gt;0,"See CONFIRM sheet.",""))</f>
        <v/>
      </c>
      <c r="AB1282" s="1" t="n">
        <f aca="false">IF(N1282="No",0,IF(REVIEW!O1282=0,0,IF(G1282&gt;0,IF(INDEX(CONFIRM!$J$5:$J$53,G1282)&lt;&gt;"",INDEX(CONFIRM!$J$5:$J$53,G1282),1),1)))</f>
        <v>1</v>
      </c>
      <c r="AC1282" s="1" t="n">
        <f aca="false">IF(AB1282=1,IF(COUNTIFS($B$5:B1282,B1282,$D$5:D1282,D1282,$AB$5:AB1282,1)=1,1,0),0)</f>
        <v>0</v>
      </c>
    </row>
    <row r="1283" customFormat="false" ht="15" hidden="false" customHeight="false" outlineLevel="0" collapsed="false">
      <c r="A1283" s="48" t="str">
        <f aca="false">STACK!A1283</f>
        <v>WCH-0176</v>
      </c>
      <c r="B1283" s="48" t="str">
        <f aca="false">STACK!B1283</f>
        <v>WCH</v>
      </c>
      <c r="C1283" s="48" t="str">
        <f aca="false">STACK!E1283</f>
        <v>grief group</v>
      </c>
      <c r="D1283" s="1" t="str">
        <f aca="false">IFERROR(INDEX(MAP!$J$7:$J$101,MATCH(TRIM(C1283),MAP!$I$7:$I$101,0)),"UNMAPPED")</f>
        <v>Grief Support Group</v>
      </c>
      <c r="E1283" s="1" t="str">
        <f aca="false">IFERROR(INDEX(MAP!$K$7:$K$101,MATCH(TRIM(C1283),MAP!$I$7:$I$101,0)),"")</f>
        <v>Behavioral health</v>
      </c>
      <c r="F1283" s="1" t="str">
        <f aca="false">IFERROR(INDEX(MAP!$L$7:$L$101,MATCH(TRIM(C1283),MAP!$I$7:$I$101,0)),"")</f>
        <v>Event</v>
      </c>
      <c r="G1283" s="1" t="n">
        <f aca="false">IFERROR(MATCH(A1283,CONFIRM!$A$5:$A$53,0),0)</f>
        <v>0</v>
      </c>
      <c r="H1283" s="48" t="str">
        <f aca="false">STACK!F1283</f>
        <v>CHIS support</v>
      </c>
      <c r="I1283" s="1" t="str">
        <f aca="false">IF(G1283&gt;0,IF(INDEX(CONFIRM!$I$5:$I$53,G1283)&lt;&gt;"",INDEX(CONFIRM!$I$5:$I$53,G1283),H1283),H1283)</f>
        <v>CHIS support</v>
      </c>
      <c r="J1283" s="1" t="str">
        <f aca="false">IFERROR(INDEX(MAP!$F$7:$F$74,MATCH(TRIM(I1283),MAP!$E$7:$E$74,0)),"UNMAPPED")</f>
        <v>Health care support services</v>
      </c>
      <c r="K1283" s="1" t="str">
        <f aca="false">IFERROR(INDEX(MAP!$G$7:$G$74,MATCH(TRIM(I1283),MAP!$E$7:$E$74,0)),"UNMAPPED")</f>
        <v>7e</v>
      </c>
      <c r="L1283" s="49" t="str">
        <f aca="false">STACK!G1283</f>
        <v>2/26/26</v>
      </c>
      <c r="M1283" s="59" t="n">
        <f aca="false">IF(G1283&gt;0,IF(INDEX(CONFIRM!$G$5:$G$53,G1283)&lt;&gt;"",INDEX(CONFIRM!$G$5:$G$53,G1283),IF(ISNUMBER(L1283),L1283,IFERROR(DATEVALUE(L1283),""))),IF(ISNUMBER(L1283),L1283,IFERROR(DATEVALUE(L1283),"")))</f>
        <v>46079</v>
      </c>
      <c r="N1283" s="1" t="str">
        <f aca="false">IF(M1283="","Check",IF(AND(M1283&gt;=INPUTS!$C$6,M1283&lt;=INPUTS!$C$7),"Yes","No"))</f>
        <v>Yes</v>
      </c>
      <c r="O1283" s="48" t="str">
        <f aca="false">STACK!H1283</f>
        <v>LMSW</v>
      </c>
      <c r="P1283" s="1" t="str">
        <f aca="false">IF(G1283&gt;0,IF(INDEX(CONFIRM!$H$5:$H$53,G1283)&lt;&gt;"",INDEX(CONFIRM!$H$5:$H$53,G1283),IFERROR(INDEX(MAP!$B$7:$B$156,MATCH(TRIM(O1283),MAP!$A$7:$A$156,0)),"UNMAPPED")),IFERROR(INDEX(MAP!$B$7:$B$156,MATCH(TRIM(O1283),MAP!$A$7:$A$156,0)),"UNMAPPED"))</f>
        <v>Social Worker</v>
      </c>
      <c r="Q1283" s="48" t="str">
        <f aca="false">STACK!I1283</f>
        <v>1.5 hr</v>
      </c>
      <c r="R1283" s="60" t="n">
        <f aca="false">IF(G1283&gt;0,IF(INDEX(CONFIRM!$F$5:$F$53,G1283)&lt;&gt;"",INDEX(CONFIRM!$F$5:$F$53,G1283),IF(ISNUMBER(Q1283),Q1283,IF(Q1283="","",IFERROR(VALUE(TRIM(SUBSTITUTE(SUBSTITUTE(LOWER(Q1283),"hrs",""),"hr",""))),"")))),IF(ISNUMBER(Q1283),Q1283,IF(Q1283="","",IFERROR(VALUE(TRIM(SUBSTITUTE(SUBSTITUTE(LOWER(Q1283),"hrs",""),"hr",""))),""))))</f>
        <v>1.5</v>
      </c>
      <c r="S1283" s="57" t="n">
        <f aca="false">IFERROR(INDEX(RATES!$E$6:$E$28,MATCH(P1283,RATES!$A$6:$A$28,0)),0)</f>
        <v>45.6175</v>
      </c>
      <c r="T1283" s="61" t="n">
        <f aca="false">IF(ISNUMBER(R1283),R1283,0)*S1283</f>
        <v>68.42625</v>
      </c>
      <c r="U1283" s="61" t="n">
        <f aca="false">T1283*INDEX(INPUTS!$H$10:$H$14,MATCH(B1283,INPUTS!$A$10:$A$14,0))</f>
        <v>9.64810125</v>
      </c>
      <c r="V1283" s="61" t="n">
        <f aca="false">N(STACK!K1283)</f>
        <v>0</v>
      </c>
      <c r="W1283" s="61" t="n">
        <f aca="false">T1283+U1283+V1283</f>
        <v>78.07435125</v>
      </c>
      <c r="X1283" s="61" t="n">
        <f aca="false">N(STACK!L1283)</f>
        <v>0</v>
      </c>
      <c r="Y1283" s="61" t="n">
        <f aca="false">W1283-X1283</f>
        <v>78.07435125</v>
      </c>
      <c r="Z1283" s="1" t="n">
        <f aca="false">N(STACK!J1283)</f>
        <v>0</v>
      </c>
      <c r="AA1283" s="1" t="str">
        <f aca="false">TRIM(IF(D1283="UNMAPPED","Program not mapped. ","")&amp;IF(OR(K1283="UNMAPPED",K1283="UNASSIGNED"),"Category needs review. ","")&amp;IF(P1283="UNMAPPED","Title not mapped. ","")&amp;IF(AND(P1283&lt;&gt;"No staff time",R1283=""),"Missing hours. ","")&amp;IF(M1283="","Date not readable. ","")&amp;IF(N1283="No","Outside fiscal year. ","")&amp;IF(AND(F1283="Event",ISNUMBER(R1283)),IF(R1283&gt;12,"Event hours look high. ",""),"")&amp;IF(G1283&gt;0,"See CONFIRM sheet.",""))</f>
        <v/>
      </c>
      <c r="AB1283" s="1" t="n">
        <f aca="false">IF(N1283="No",0,IF(REVIEW!O1283=0,0,IF(G1283&gt;0,IF(INDEX(CONFIRM!$J$5:$J$53,G1283)&lt;&gt;"",INDEX(CONFIRM!$J$5:$J$53,G1283),1),1)))</f>
        <v>1</v>
      </c>
      <c r="AC1283" s="1" t="n">
        <f aca="false">IF(AB1283=1,IF(COUNTIFS($B$5:B1283,B1283,$D$5:D1283,D1283,$AB$5:AB1283,1)=1,1,0),0)</f>
        <v>0</v>
      </c>
    </row>
    <row r="1284" customFormat="false" ht="15" hidden="false" customHeight="false" outlineLevel="0" collapsed="false">
      <c r="A1284" s="48" t="str">
        <f aca="false">STACK!A1284</f>
        <v>WCH-0177</v>
      </c>
      <c r="B1284" s="48" t="str">
        <f aca="false">STACK!B1284</f>
        <v>WCH</v>
      </c>
      <c r="C1284" s="48" t="str">
        <f aca="false">STACK!E1284</f>
        <v>mobile van screenings</v>
      </c>
      <c r="D1284" s="1" t="str">
        <f aca="false">IFERROR(INDEX(MAP!$J$7:$J$101,MATCH(TRIM(C1284),MAP!$I$7:$I$101,0)),"UNMAPPED")</f>
        <v>Mobile Health Screening Unit</v>
      </c>
      <c r="E1284" s="1" t="str">
        <f aca="false">IFERROR(INDEX(MAP!$K$7:$K$101,MATCH(TRIM(C1284),MAP!$I$7:$I$101,0)),"")</f>
        <v>Access to care</v>
      </c>
      <c r="F1284" s="1" t="str">
        <f aca="false">IFERROR(INDEX(MAP!$L$7:$L$101,MATCH(TRIM(C1284),MAP!$I$7:$I$101,0)),"")</f>
        <v>Monthly</v>
      </c>
      <c r="G1284" s="1" t="n">
        <f aca="false">IFERROR(MATCH(A1284,CONFIRM!$A$5:$A$53,0),0)</f>
        <v>0</v>
      </c>
      <c r="H1284" s="48" t="str">
        <f aca="false">STACK!F1284</f>
        <v>CHIS clinical</v>
      </c>
      <c r="I1284" s="1" t="str">
        <f aca="false">IF(G1284&gt;0,IF(INDEX(CONFIRM!$I$5:$I$53,G1284)&lt;&gt;"",INDEX(CONFIRM!$I$5:$I$53,G1284),H1284),H1284)</f>
        <v>CHIS clinical</v>
      </c>
      <c r="J1284" s="1" t="str">
        <f aca="false">IFERROR(INDEX(MAP!$F$7:$F$74,MATCH(TRIM(I1284),MAP!$E$7:$E$74,0)),"UNMAPPED")</f>
        <v>Community-based clinical services</v>
      </c>
      <c r="K1284" s="1" t="str">
        <f aca="false">IFERROR(INDEX(MAP!$G$7:$G$74,MATCH(TRIM(I1284),MAP!$E$7:$E$74,0)),"UNMAPPED")</f>
        <v>7e</v>
      </c>
      <c r="L1284" s="49" t="n">
        <f aca="false">STACK!G1284</f>
        <v>46081</v>
      </c>
      <c r="M1284" s="59" t="n">
        <f aca="false">IF(G1284&gt;0,IF(INDEX(CONFIRM!$G$5:$G$53,G1284)&lt;&gt;"",INDEX(CONFIRM!$G$5:$G$53,G1284),IF(ISNUMBER(L1284),L1284,IFERROR(DATEVALUE(L1284),""))),IF(ISNUMBER(L1284),L1284,IFERROR(DATEVALUE(L1284),"")))</f>
        <v>46081</v>
      </c>
      <c r="N1284" s="1" t="str">
        <f aca="false">IF(M1284="","Check",IF(AND(M1284&gt;=INPUTS!$C$6,M1284&lt;=INPUTS!$C$7),"Yes","No"))</f>
        <v>Yes</v>
      </c>
      <c r="O1284" s="48" t="str">
        <f aca="false">STACK!H1284</f>
        <v>Comm Health Worker</v>
      </c>
      <c r="P1284" s="1" t="str">
        <f aca="false">IF(G1284&gt;0,IF(INDEX(CONFIRM!$H$5:$H$53,G1284)&lt;&gt;"",INDEX(CONFIRM!$H$5:$H$53,G1284),IFERROR(INDEX(MAP!$B$7:$B$156,MATCH(TRIM(O1284),MAP!$A$7:$A$156,0)),"UNMAPPED")),IFERROR(INDEX(MAP!$B$7:$B$156,MATCH(TRIM(O1284),MAP!$A$7:$A$156,0)),"UNMAPPED"))</f>
        <v>Community Health Worker</v>
      </c>
      <c r="Q1284" s="48" t="n">
        <f aca="false">STACK!I1284</f>
        <v>61.5</v>
      </c>
      <c r="R1284" s="60" t="n">
        <f aca="false">IF(G1284&gt;0,IF(INDEX(CONFIRM!$F$5:$F$53,G1284)&lt;&gt;"",INDEX(CONFIRM!$F$5:$F$53,G1284),IF(ISNUMBER(Q1284),Q1284,IF(Q1284="","",IFERROR(VALUE(TRIM(SUBSTITUTE(SUBSTITUTE(LOWER(Q1284),"hrs",""),"hr",""))),"")))),IF(ISNUMBER(Q1284),Q1284,IF(Q1284="","",IFERROR(VALUE(TRIM(SUBSTITUTE(SUBSTITUTE(LOWER(Q1284),"hrs",""),"hr",""))),""))))</f>
        <v>61.5</v>
      </c>
      <c r="S1284" s="57" t="n">
        <f aca="false">IFERROR(INDEX(RATES!$E$6:$E$28,MATCH(P1284,RATES!$A$6:$A$28,0)),0)</f>
        <v>27.6275</v>
      </c>
      <c r="T1284" s="61" t="n">
        <f aca="false">IF(ISNUMBER(R1284),R1284,0)*S1284</f>
        <v>1699.09125</v>
      </c>
      <c r="U1284" s="61" t="n">
        <f aca="false">T1284*INDEX(INPUTS!$H$10:$H$14,MATCH(B1284,INPUTS!$A$10:$A$14,0))</f>
        <v>239.57186625</v>
      </c>
      <c r="V1284" s="61" t="n">
        <f aca="false">N(STACK!K1284)</f>
        <v>0</v>
      </c>
      <c r="W1284" s="61" t="n">
        <f aca="false">T1284+U1284+V1284</f>
        <v>1938.66311625</v>
      </c>
      <c r="X1284" s="61" t="n">
        <f aca="false">N(STACK!L1284)</f>
        <v>0</v>
      </c>
      <c r="Y1284" s="61" t="n">
        <f aca="false">W1284-X1284</f>
        <v>1938.66311625</v>
      </c>
      <c r="Z1284" s="1" t="n">
        <f aca="false">N(STACK!J1284)</f>
        <v>0</v>
      </c>
      <c r="AA1284" s="1" t="str">
        <f aca="false">TRIM(IF(D1284="UNMAPPED","Program not mapped. ","")&amp;IF(OR(K1284="UNMAPPED",K1284="UNASSIGNED"),"Category needs review. ","")&amp;IF(P1284="UNMAPPED","Title not mapped. ","")&amp;IF(AND(P1284&lt;&gt;"No staff time",R1284=""),"Missing hours. ","")&amp;IF(M1284="","Date not readable. ","")&amp;IF(N1284="No","Outside fiscal year. ","")&amp;IF(AND(F1284="Event",ISNUMBER(R1284)),IF(R1284&gt;12,"Event hours look high. ",""),"")&amp;IF(G1284&gt;0,"See CONFIRM sheet.",""))</f>
        <v/>
      </c>
      <c r="AB1284" s="1" t="n">
        <f aca="false">IF(N1284="No",0,IF(REVIEW!O1284=0,0,IF(G1284&gt;0,IF(INDEX(CONFIRM!$J$5:$J$53,G1284)&lt;&gt;"",INDEX(CONFIRM!$J$5:$J$53,G1284),1),1)))</f>
        <v>1</v>
      </c>
      <c r="AC1284" s="1" t="n">
        <f aca="false">IF(AB1284=1,IF(COUNTIFS($B$5:B1284,B1284,$D$5:D1284,D1284,$AB$5:AB1284,1)=1,1,0),0)</f>
        <v>0</v>
      </c>
    </row>
    <row r="1285" customFormat="false" ht="15" hidden="false" customHeight="false" outlineLevel="0" collapsed="false">
      <c r="A1285" s="48" t="str">
        <f aca="false">STACK!A1285</f>
        <v>WCH-0178</v>
      </c>
      <c r="B1285" s="48" t="str">
        <f aca="false">STACK!B1285</f>
        <v>WCH</v>
      </c>
      <c r="C1285" s="48" t="str">
        <f aca="false">STACK!E1285</f>
        <v>mobile van screenings</v>
      </c>
      <c r="D1285" s="1" t="str">
        <f aca="false">IFERROR(INDEX(MAP!$J$7:$J$101,MATCH(TRIM(C1285),MAP!$I$7:$I$101,0)),"UNMAPPED")</f>
        <v>Mobile Health Screening Unit</v>
      </c>
      <c r="E1285" s="1" t="str">
        <f aca="false">IFERROR(INDEX(MAP!$K$7:$K$101,MATCH(TRIM(C1285),MAP!$I$7:$I$101,0)),"")</f>
        <v>Access to care</v>
      </c>
      <c r="F1285" s="1" t="str">
        <f aca="false">IFERROR(INDEX(MAP!$L$7:$L$101,MATCH(TRIM(C1285),MAP!$I$7:$I$101,0)),"")</f>
        <v>Monthly</v>
      </c>
      <c r="G1285" s="1" t="n">
        <f aca="false">IFERROR(MATCH(A1285,CONFIRM!$A$5:$A$53,0),0)</f>
        <v>0</v>
      </c>
      <c r="H1285" s="48" t="str">
        <f aca="false">STACK!F1285</f>
        <v>CHIS clinical</v>
      </c>
      <c r="I1285" s="1" t="str">
        <f aca="false">IF(G1285&gt;0,IF(INDEX(CONFIRM!$I$5:$I$53,G1285)&lt;&gt;"",INDEX(CONFIRM!$I$5:$I$53,G1285),H1285),H1285)</f>
        <v>CHIS clinical</v>
      </c>
      <c r="J1285" s="1" t="str">
        <f aca="false">IFERROR(INDEX(MAP!$F$7:$F$74,MATCH(TRIM(I1285),MAP!$E$7:$E$74,0)),"UNMAPPED")</f>
        <v>Community-based clinical services</v>
      </c>
      <c r="K1285" s="1" t="str">
        <f aca="false">IFERROR(INDEX(MAP!$G$7:$G$74,MATCH(TRIM(I1285),MAP!$E$7:$E$74,0)),"UNMAPPED")</f>
        <v>7e</v>
      </c>
      <c r="L1285" s="49" t="str">
        <f aca="false">STACK!G1285</f>
        <v>2/28/26</v>
      </c>
      <c r="M1285" s="59" t="n">
        <f aca="false">IF(G1285&gt;0,IF(INDEX(CONFIRM!$G$5:$G$53,G1285)&lt;&gt;"",INDEX(CONFIRM!$G$5:$G$53,G1285),IF(ISNUMBER(L1285),L1285,IFERROR(DATEVALUE(L1285),""))),IF(ISNUMBER(L1285),L1285,IFERROR(DATEVALUE(L1285),"")))</f>
        <v>46081</v>
      </c>
      <c r="N1285" s="1" t="str">
        <f aca="false">IF(M1285="","Check",IF(AND(M1285&gt;=INPUTS!$C$6,M1285&lt;=INPUTS!$C$7),"Yes","No"))</f>
        <v>Yes</v>
      </c>
      <c r="O1285" s="48" t="str">
        <f aca="false">STACK!H1285</f>
        <v> Med Asst</v>
      </c>
      <c r="P1285" s="1" t="str">
        <f aca="false">IF(G1285&gt;0,IF(INDEX(CONFIRM!$H$5:$H$53,G1285)&lt;&gt;"",INDEX(CONFIRM!$H$5:$H$53,G1285),IFERROR(INDEX(MAP!$B$7:$B$156,MATCH(TRIM(O1285),MAP!$A$7:$A$156,0)),"UNMAPPED")),IFERROR(INDEX(MAP!$B$7:$B$156,MATCH(TRIM(O1285),MAP!$A$7:$A$156,0)),"UNMAPPED"))</f>
        <v>Medical Assistant</v>
      </c>
      <c r="Q1285" s="48" t="n">
        <f aca="false">STACK!I1285</f>
        <v>75.25</v>
      </c>
      <c r="R1285" s="60" t="n">
        <f aca="false">IF(G1285&gt;0,IF(INDEX(CONFIRM!$F$5:$F$53,G1285)&lt;&gt;"",INDEX(CONFIRM!$F$5:$F$53,G1285),IF(ISNUMBER(Q1285),Q1285,IF(Q1285="","",IFERROR(VALUE(TRIM(SUBSTITUTE(SUBSTITUTE(LOWER(Q1285),"hrs",""),"hr",""))),"")))),IF(ISNUMBER(Q1285),Q1285,IF(Q1285="","",IFERROR(VALUE(TRIM(SUBSTITUTE(SUBSTITUTE(LOWER(Q1285),"hrs",""),"hr",""))),""))))</f>
        <v>75.25</v>
      </c>
      <c r="S1285" s="57" t="n">
        <f aca="false">IFERROR(INDEX(RATES!$E$6:$E$28,MATCH(P1285,RATES!$A$6:$A$28,0)),0)</f>
        <v>25.37875</v>
      </c>
      <c r="T1285" s="61" t="n">
        <f aca="false">IF(ISNUMBER(R1285),R1285,0)*S1285</f>
        <v>1909.7509375</v>
      </c>
      <c r="U1285" s="61" t="n">
        <f aca="false">T1285*INDEX(INPUTS!$H$10:$H$14,MATCH(B1285,INPUTS!$A$10:$A$14,0))</f>
        <v>269.2748821875</v>
      </c>
      <c r="V1285" s="61" t="n">
        <f aca="false">N(STACK!K1285)</f>
        <v>0</v>
      </c>
      <c r="W1285" s="61" t="n">
        <f aca="false">T1285+U1285+V1285</f>
        <v>2179.0258196875</v>
      </c>
      <c r="X1285" s="61" t="n">
        <f aca="false">N(STACK!L1285)</f>
        <v>0</v>
      </c>
      <c r="Y1285" s="61" t="n">
        <f aca="false">W1285-X1285</f>
        <v>2179.0258196875</v>
      </c>
      <c r="Z1285" s="1" t="n">
        <f aca="false">N(STACK!J1285)</f>
        <v>0</v>
      </c>
      <c r="AA1285" s="1" t="str">
        <f aca="false">TRIM(IF(D1285="UNMAPPED","Program not mapped. ","")&amp;IF(OR(K1285="UNMAPPED",K1285="UNASSIGNED"),"Category needs review. ","")&amp;IF(P1285="UNMAPPED","Title not mapped. ","")&amp;IF(AND(P1285&lt;&gt;"No staff time",R1285=""),"Missing hours. ","")&amp;IF(M1285="","Date not readable. ","")&amp;IF(N1285="No","Outside fiscal year. ","")&amp;IF(AND(F1285="Event",ISNUMBER(R1285)),IF(R1285&gt;12,"Event hours look high. ",""),"")&amp;IF(G1285&gt;0,"See CONFIRM sheet.",""))</f>
        <v/>
      </c>
      <c r="AB1285" s="1" t="n">
        <f aca="false">IF(N1285="No",0,IF(REVIEW!O1285=0,0,IF(G1285&gt;0,IF(INDEX(CONFIRM!$J$5:$J$53,G1285)&lt;&gt;"",INDEX(CONFIRM!$J$5:$J$53,G1285),1),1)))</f>
        <v>1</v>
      </c>
      <c r="AC1285" s="1" t="n">
        <f aca="false">IF(AB1285=1,IF(COUNTIFS($B$5:B1285,B1285,$D$5:D1285,D1285,$AB$5:AB1285,1)=1,1,0),0)</f>
        <v>0</v>
      </c>
    </row>
    <row r="1286" customFormat="false" ht="15" hidden="false" customHeight="false" outlineLevel="0" collapsed="false">
      <c r="A1286" s="48" t="str">
        <f aca="false">STACK!A1286</f>
        <v>WCH-0179</v>
      </c>
      <c r="B1286" s="48" t="str">
        <f aca="false">STACK!B1286</f>
        <v>WCH</v>
      </c>
      <c r="C1286" s="48" t="str">
        <f aca="false">STACK!E1286</f>
        <v>mobile van screenings</v>
      </c>
      <c r="D1286" s="1" t="str">
        <f aca="false">IFERROR(INDEX(MAP!$J$7:$J$101,MATCH(TRIM(C1286),MAP!$I$7:$I$101,0)),"UNMAPPED")</f>
        <v>Mobile Health Screening Unit</v>
      </c>
      <c r="E1286" s="1" t="str">
        <f aca="false">IFERROR(INDEX(MAP!$K$7:$K$101,MATCH(TRIM(C1286),MAP!$I$7:$I$101,0)),"")</f>
        <v>Access to care</v>
      </c>
      <c r="F1286" s="1" t="str">
        <f aca="false">IFERROR(INDEX(MAP!$L$7:$L$101,MATCH(TRIM(C1286),MAP!$I$7:$I$101,0)),"")</f>
        <v>Monthly</v>
      </c>
      <c r="G1286" s="1" t="n">
        <f aca="false">IFERROR(MATCH(A1286,CONFIRM!$A$5:$A$53,0),0)</f>
        <v>0</v>
      </c>
      <c r="H1286" s="48" t="str">
        <f aca="false">STACK!F1286</f>
        <v>CHIS clinical</v>
      </c>
      <c r="I1286" s="1" t="str">
        <f aca="false">IF(G1286&gt;0,IF(INDEX(CONFIRM!$I$5:$I$53,G1286)&lt;&gt;"",INDEX(CONFIRM!$I$5:$I$53,G1286),H1286),H1286)</f>
        <v>CHIS clinical</v>
      </c>
      <c r="J1286" s="1" t="str">
        <f aca="false">IFERROR(INDEX(MAP!$F$7:$F$74,MATCH(TRIM(I1286),MAP!$E$7:$E$74,0)),"UNMAPPED")</f>
        <v>Community-based clinical services</v>
      </c>
      <c r="K1286" s="1" t="str">
        <f aca="false">IFERROR(INDEX(MAP!$G$7:$G$74,MATCH(TRIM(I1286),MAP!$E$7:$E$74,0)),"UNMAPPED")</f>
        <v>7e</v>
      </c>
      <c r="L1286" s="49" t="n">
        <f aca="false">STACK!G1286</f>
        <v>46081</v>
      </c>
      <c r="M1286" s="59" t="n">
        <f aca="false">IF(G1286&gt;0,IF(INDEX(CONFIRM!$G$5:$G$53,G1286)&lt;&gt;"",INDEX(CONFIRM!$G$5:$G$53,G1286),IF(ISNUMBER(L1286),L1286,IFERROR(DATEVALUE(L1286),""))),IF(ISNUMBER(L1286),L1286,IFERROR(DATEVALUE(L1286),"")))</f>
        <v>46081</v>
      </c>
      <c r="N1286" s="1" t="str">
        <f aca="false">IF(M1286="","Check",IF(AND(M1286&gt;=INPUTS!$C$6,M1286&lt;=INPUTS!$C$7),"Yes","No"))</f>
        <v>Yes</v>
      </c>
      <c r="O1286" s="48" t="str">
        <f aca="false">STACK!H1286</f>
        <v>RN II</v>
      </c>
      <c r="P1286" s="1" t="str">
        <f aca="false">IF(G1286&gt;0,IF(INDEX(CONFIRM!$H$5:$H$53,G1286)&lt;&gt;"",INDEX(CONFIRM!$H$5:$H$53,G1286),IFERROR(INDEX(MAP!$B$7:$B$156,MATCH(TRIM(O1286),MAP!$A$7:$A$156,0)),"UNMAPPED")),IFERROR(INDEX(MAP!$B$7:$B$156,MATCH(TRIM(O1286),MAP!$A$7:$A$156,0)),"UNMAPPED"))</f>
        <v>Registered Nurse</v>
      </c>
      <c r="Q1286" s="48" t="n">
        <f aca="false">STACK!I1286</f>
        <v>71.75</v>
      </c>
      <c r="R1286" s="60" t="n">
        <f aca="false">IF(G1286&gt;0,IF(INDEX(CONFIRM!$F$5:$F$53,G1286)&lt;&gt;"",INDEX(CONFIRM!$F$5:$F$53,G1286),IF(ISNUMBER(Q1286),Q1286,IF(Q1286="","",IFERROR(VALUE(TRIM(SUBSTITUTE(SUBSTITUTE(LOWER(Q1286),"hrs",""),"hr",""))),"")))),IF(ISNUMBER(Q1286),Q1286,IF(Q1286="","",IFERROR(VALUE(TRIM(SUBSTITUTE(SUBSTITUTE(LOWER(Q1286),"hrs",""),"hr",""))),""))))</f>
        <v>71.75</v>
      </c>
      <c r="S1286" s="57" t="n">
        <f aca="false">IFERROR(INDEX(RATES!$E$6:$E$28,MATCH(P1286,RATES!$A$6:$A$28,0)),0)</f>
        <v>55.8975</v>
      </c>
      <c r="T1286" s="61" t="n">
        <f aca="false">IF(ISNUMBER(R1286),R1286,0)*S1286</f>
        <v>4010.645625</v>
      </c>
      <c r="U1286" s="61" t="n">
        <f aca="false">T1286*INDEX(INPUTS!$H$10:$H$14,MATCH(B1286,INPUTS!$A$10:$A$14,0))</f>
        <v>565.501033125</v>
      </c>
      <c r="V1286" s="61" t="n">
        <f aca="false">N(STACK!K1286)</f>
        <v>4475</v>
      </c>
      <c r="W1286" s="61" t="n">
        <f aca="false">T1286+U1286+V1286</f>
        <v>9051.146658125</v>
      </c>
      <c r="X1286" s="61" t="n">
        <f aca="false">N(STACK!L1286)</f>
        <v>0</v>
      </c>
      <c r="Y1286" s="61" t="n">
        <f aca="false">W1286-X1286</f>
        <v>9051.146658125</v>
      </c>
      <c r="Z1286" s="1" t="n">
        <f aca="false">N(STACK!J1286)</f>
        <v>119</v>
      </c>
      <c r="AA1286" s="1" t="str">
        <f aca="false">TRIM(IF(D1286="UNMAPPED","Program not mapped. ","")&amp;IF(OR(K1286="UNMAPPED",K1286="UNASSIGNED"),"Category needs review. ","")&amp;IF(P1286="UNMAPPED","Title not mapped. ","")&amp;IF(AND(P1286&lt;&gt;"No staff time",R1286=""),"Missing hours. ","")&amp;IF(M1286="","Date not readable. ","")&amp;IF(N1286="No","Outside fiscal year. ","")&amp;IF(AND(F1286="Event",ISNUMBER(R1286)),IF(R1286&gt;12,"Event hours look high. ",""),"")&amp;IF(G1286&gt;0,"See CONFIRM sheet.",""))</f>
        <v/>
      </c>
      <c r="AB1286" s="1" t="n">
        <f aca="false">IF(N1286="No",0,IF(REVIEW!O1286=0,0,IF(G1286&gt;0,IF(INDEX(CONFIRM!$J$5:$J$53,G1286)&lt;&gt;"",INDEX(CONFIRM!$J$5:$J$53,G1286),1),1)))</f>
        <v>1</v>
      </c>
      <c r="AC1286" s="1" t="n">
        <f aca="false">IF(AB1286=1,IF(COUNTIFS($B$5:B1286,B1286,$D$5:D1286,D1286,$AB$5:AB1286,1)=1,1,0),0)</f>
        <v>0</v>
      </c>
    </row>
    <row r="1287" customFormat="false" ht="15" hidden="false" customHeight="false" outlineLevel="0" collapsed="false">
      <c r="A1287" s="48" t="str">
        <f aca="false">STACK!A1287</f>
        <v>WCH-0180</v>
      </c>
      <c r="B1287" s="48" t="str">
        <f aca="false">STACK!B1287</f>
        <v>WCH</v>
      </c>
      <c r="C1287" s="48" t="str">
        <f aca="false">STACK!E1287</f>
        <v>chw outreach</v>
      </c>
      <c r="D1287" s="1" t="str">
        <f aca="false">IFERROR(INDEX(MAP!$J$7:$J$101,MATCH(TRIM(C1287),MAP!$I$7:$I$101,0)),"UNMAPPED")</f>
        <v>Community Health Worker Outreach</v>
      </c>
      <c r="E1287" s="1" t="str">
        <f aca="false">IFERROR(INDEX(MAP!$K$7:$K$101,MATCH(TRIM(C1287),MAP!$I$7:$I$101,0)),"")</f>
        <v>Access to care</v>
      </c>
      <c r="F1287" s="1" t="str">
        <f aca="false">IFERROR(INDEX(MAP!$L$7:$L$101,MATCH(TRIM(C1287),MAP!$I$7:$I$101,0)),"")</f>
        <v>Monthly</v>
      </c>
      <c r="G1287" s="1" t="n">
        <f aca="false">IFERROR(MATCH(A1287,CONFIRM!$A$5:$A$53,0),0)</f>
        <v>41</v>
      </c>
      <c r="H1287" s="48" t="str">
        <f aca="false">STACK!F1287</f>
        <v>CHIS support</v>
      </c>
      <c r="I1287" s="1" t="str">
        <f aca="false">IF(G1287&gt;0,IF(INDEX(CONFIRM!$I$5:$I$53,G1287)&lt;&gt;"",INDEX(CONFIRM!$I$5:$I$53,G1287),H1287),H1287)</f>
        <v>CHIS support</v>
      </c>
      <c r="J1287" s="1" t="str">
        <f aca="false">IFERROR(INDEX(MAP!$F$7:$F$74,MATCH(TRIM(I1287),MAP!$E$7:$E$74,0)),"UNMAPPED")</f>
        <v>Health care support services</v>
      </c>
      <c r="K1287" s="1" t="str">
        <f aca="false">IFERROR(INDEX(MAP!$G$7:$G$74,MATCH(TRIM(I1287),MAP!$E$7:$E$74,0)),"UNMAPPED")</f>
        <v>7e</v>
      </c>
      <c r="L1287" s="49" t="str">
        <f aca="false">STACK!G1287</f>
        <v>2/28/26</v>
      </c>
      <c r="M1287" s="59" t="n">
        <f aca="false">IF(G1287&gt;0,IF(INDEX(CONFIRM!$G$5:$G$53,G1287)&lt;&gt;"",INDEX(CONFIRM!$G$5:$G$53,G1287),IF(ISNUMBER(L1287),L1287,IFERROR(DATEVALUE(L1287),""))),IF(ISNUMBER(L1287),L1287,IFERROR(DATEVALUE(L1287),"")))</f>
        <v>46081</v>
      </c>
      <c r="N1287" s="1" t="str">
        <f aca="false">IF(M1287="","Check",IF(AND(M1287&gt;=INPUTS!$C$6,M1287&lt;=INPUTS!$C$7),"Yes","No"))</f>
        <v>Yes</v>
      </c>
      <c r="O1287" s="48" t="str">
        <f aca="false">STACK!H1287</f>
        <v>Staff</v>
      </c>
      <c r="P1287" s="1" t="str">
        <f aca="false">IF(G1287&gt;0,IF(INDEX(CONFIRM!$H$5:$H$53,G1287)&lt;&gt;"",INDEX(CONFIRM!$H$5:$H$53,G1287),IFERROR(INDEX(MAP!$B$7:$B$156,MATCH(TRIM(O1287),MAP!$A$7:$A$156,0)),"UNMAPPED")),IFERROR(INDEX(MAP!$B$7:$B$156,MATCH(TRIM(O1287),MAP!$A$7:$A$156,0)),"UNMAPPED"))</f>
        <v>Community Health Worker</v>
      </c>
      <c r="Q1287" s="48" t="n">
        <f aca="false">STACK!I1287</f>
        <v>248.75</v>
      </c>
      <c r="R1287" s="60" t="n">
        <f aca="false">IF(G1287&gt;0,IF(INDEX(CONFIRM!$F$5:$F$53,G1287)&lt;&gt;"",INDEX(CONFIRM!$F$5:$F$53,G1287),IF(ISNUMBER(Q1287),Q1287,IF(Q1287="","",IFERROR(VALUE(TRIM(SUBSTITUTE(SUBSTITUTE(LOWER(Q1287),"hrs",""),"hr",""))),"")))),IF(ISNUMBER(Q1287),Q1287,IF(Q1287="","",IFERROR(VALUE(TRIM(SUBSTITUTE(SUBSTITUTE(LOWER(Q1287),"hrs",""),"hr",""))),""))))</f>
        <v>248.75</v>
      </c>
      <c r="S1287" s="57" t="n">
        <f aca="false">IFERROR(INDEX(RATES!$E$6:$E$28,MATCH(P1287,RATES!$A$6:$A$28,0)),0)</f>
        <v>27.6275</v>
      </c>
      <c r="T1287" s="61" t="n">
        <f aca="false">IF(ISNUMBER(R1287),R1287,0)*S1287</f>
        <v>6872.340625</v>
      </c>
      <c r="U1287" s="61" t="n">
        <f aca="false">T1287*INDEX(INPUTS!$H$10:$H$14,MATCH(B1287,INPUTS!$A$10:$A$14,0))</f>
        <v>969.000028125</v>
      </c>
      <c r="V1287" s="61" t="n">
        <f aca="false">N(STACK!K1287)</f>
        <v>735</v>
      </c>
      <c r="W1287" s="61" t="n">
        <f aca="false">T1287+U1287+V1287</f>
        <v>8576.340653125</v>
      </c>
      <c r="X1287" s="61" t="n">
        <f aca="false">N(STACK!L1287)</f>
        <v>0</v>
      </c>
      <c r="Y1287" s="61" t="n">
        <f aca="false">W1287-X1287</f>
        <v>8576.340653125</v>
      </c>
      <c r="Z1287" s="1" t="n">
        <f aca="false">N(STACK!J1287)</f>
        <v>235</v>
      </c>
      <c r="AA1287" s="1" t="str">
        <f aca="false">TRIM(IF(D1287="UNMAPPED","Program not mapped. ","")&amp;IF(OR(K1287="UNMAPPED",K1287="UNASSIGNED"),"Category needs review. ","")&amp;IF(P1287="UNMAPPED","Title not mapped. ","")&amp;IF(AND(P1287&lt;&gt;"No staff time",R1287=""),"Missing hours. ","")&amp;IF(M1287="","Date not readable. ","")&amp;IF(N1287="No","Outside fiscal year. ","")&amp;IF(AND(F1287="Event",ISNUMBER(R1287)),IF(R1287&gt;12,"Event hours look high. ",""),"")&amp;IF(G1287&gt;0,"See CONFIRM sheet.",""))</f>
        <v>See CONFIRM sheet.</v>
      </c>
      <c r="AB1287" s="1" t="n">
        <f aca="false">IF(N1287="No",0,IF(REVIEW!O1287=0,0,IF(G1287&gt;0,IF(INDEX(CONFIRM!$J$5:$J$53,G1287)&lt;&gt;"",INDEX(CONFIRM!$J$5:$J$53,G1287),1),1)))</f>
        <v>1</v>
      </c>
      <c r="AC1287" s="1" t="n">
        <f aca="false">IF(AB1287=1,IF(COUNTIFS($B$5:B1287,B1287,$D$5:D1287,D1287,$AB$5:AB1287,1)=1,1,0),0)</f>
        <v>0</v>
      </c>
    </row>
    <row r="1288" customFormat="false" ht="15" hidden="false" customHeight="false" outlineLevel="0" collapsed="false">
      <c r="A1288" s="48" t="str">
        <f aca="false">STACK!A1288</f>
        <v>WCH-0181</v>
      </c>
      <c r="B1288" s="48" t="str">
        <f aca="false">STACK!B1288</f>
        <v>WCH</v>
      </c>
      <c r="C1288" s="48" t="str">
        <f aca="false">STACK!E1288</f>
        <v>chw outreach</v>
      </c>
      <c r="D1288" s="1" t="str">
        <f aca="false">IFERROR(INDEX(MAP!$J$7:$J$101,MATCH(TRIM(C1288),MAP!$I$7:$I$101,0)),"UNMAPPED")</f>
        <v>Community Health Worker Outreach</v>
      </c>
      <c r="E1288" s="1" t="str">
        <f aca="false">IFERROR(INDEX(MAP!$K$7:$K$101,MATCH(TRIM(C1288),MAP!$I$7:$I$101,0)),"")</f>
        <v>Access to care</v>
      </c>
      <c r="F1288" s="1" t="str">
        <f aca="false">IFERROR(INDEX(MAP!$L$7:$L$101,MATCH(TRIM(C1288),MAP!$I$7:$I$101,0)),"")</f>
        <v>Monthly</v>
      </c>
      <c r="G1288" s="1" t="n">
        <f aca="false">IFERROR(MATCH(A1288,CONFIRM!$A$5:$A$53,0),0)</f>
        <v>0</v>
      </c>
      <c r="H1288" s="48" t="str">
        <f aca="false">STACK!F1288</f>
        <v>CHIS support</v>
      </c>
      <c r="I1288" s="1" t="str">
        <f aca="false">IF(G1288&gt;0,IF(INDEX(CONFIRM!$I$5:$I$53,G1288)&lt;&gt;"",INDEX(CONFIRM!$I$5:$I$53,G1288),H1288),H1288)</f>
        <v>CHIS support</v>
      </c>
      <c r="J1288" s="1" t="str">
        <f aca="false">IFERROR(INDEX(MAP!$F$7:$F$74,MATCH(TRIM(I1288),MAP!$E$7:$E$74,0)),"UNMAPPED")</f>
        <v>Health care support services</v>
      </c>
      <c r="K1288" s="1" t="str">
        <f aca="false">IFERROR(INDEX(MAP!$G$7:$G$74,MATCH(TRIM(I1288),MAP!$E$7:$E$74,0)),"UNMAPPED")</f>
        <v>7e</v>
      </c>
      <c r="L1288" s="49" t="n">
        <f aca="false">STACK!G1288</f>
        <v>46081</v>
      </c>
      <c r="M1288" s="59" t="n">
        <f aca="false">IF(G1288&gt;0,IF(INDEX(CONFIRM!$G$5:$G$53,G1288)&lt;&gt;"",INDEX(CONFIRM!$G$5:$G$53,G1288),IF(ISNUMBER(L1288),L1288,IFERROR(DATEVALUE(L1288),""))),IF(ISNUMBER(L1288),L1288,IFERROR(DATEVALUE(L1288),"")))</f>
        <v>46081</v>
      </c>
      <c r="N1288" s="1" t="str">
        <f aca="false">IF(M1288="","Check",IF(AND(M1288&gt;=INPUTS!$C$6,M1288&lt;=INPUTS!$C$7),"Yes","No"))</f>
        <v>Yes</v>
      </c>
      <c r="O1288" s="48" t="str">
        <f aca="false">STACK!H1288</f>
        <v>Financial Navigator</v>
      </c>
      <c r="P1288" s="1" t="str">
        <f aca="false">IF(G1288&gt;0,IF(INDEX(CONFIRM!$H$5:$H$53,G1288)&lt;&gt;"",INDEX(CONFIRM!$H$5:$H$53,G1288),IFERROR(INDEX(MAP!$B$7:$B$156,MATCH(TRIM(O1288),MAP!$A$7:$A$156,0)),"UNMAPPED")),IFERROR(INDEX(MAP!$B$7:$B$156,MATCH(TRIM(O1288),MAP!$A$7:$A$156,0)),"UNMAPPED"))</f>
        <v>Patient Navigator</v>
      </c>
      <c r="Q1288" s="48" t="n">
        <f aca="false">STACK!I1288</f>
        <v>93.25</v>
      </c>
      <c r="R1288" s="60" t="n">
        <f aca="false">IF(G1288&gt;0,IF(INDEX(CONFIRM!$F$5:$F$53,G1288)&lt;&gt;"",INDEX(CONFIRM!$F$5:$F$53,G1288),IF(ISNUMBER(Q1288),Q1288,IF(Q1288="","",IFERROR(VALUE(TRIM(SUBSTITUTE(SUBSTITUTE(LOWER(Q1288),"hrs",""),"hr",""))),"")))),IF(ISNUMBER(Q1288),Q1288,IF(Q1288="","",IFERROR(VALUE(TRIM(SUBSTITUTE(SUBSTITUTE(LOWER(Q1288),"hrs",""),"hr",""))),""))))</f>
        <v>93.25</v>
      </c>
      <c r="S1288" s="57" t="n">
        <f aca="false">IFERROR(INDEX(RATES!$E$6:$E$28,MATCH(P1288,RATES!$A$6:$A$28,0)),0)</f>
        <v>30.84</v>
      </c>
      <c r="T1288" s="61" t="n">
        <f aca="false">IF(ISNUMBER(R1288),R1288,0)*S1288</f>
        <v>2875.83</v>
      </c>
      <c r="U1288" s="61" t="n">
        <f aca="false">T1288*INDEX(INPUTS!$H$10:$H$14,MATCH(B1288,INPUTS!$A$10:$A$14,0))</f>
        <v>405.49203</v>
      </c>
      <c r="V1288" s="61" t="n">
        <f aca="false">N(STACK!K1288)</f>
        <v>0</v>
      </c>
      <c r="W1288" s="61" t="n">
        <f aca="false">T1288+U1288+V1288</f>
        <v>3281.32203</v>
      </c>
      <c r="X1288" s="61" t="n">
        <f aca="false">N(STACK!L1288)</f>
        <v>0</v>
      </c>
      <c r="Y1288" s="61" t="n">
        <f aca="false">W1288-X1288</f>
        <v>3281.32203</v>
      </c>
      <c r="Z1288" s="1" t="n">
        <f aca="false">N(STACK!J1288)</f>
        <v>0</v>
      </c>
      <c r="AA1288" s="1" t="str">
        <f aca="false">TRIM(IF(D1288="UNMAPPED","Program not mapped. ","")&amp;IF(OR(K1288="UNMAPPED",K1288="UNASSIGNED"),"Category needs review. ","")&amp;IF(P1288="UNMAPPED","Title not mapped. ","")&amp;IF(AND(P1288&lt;&gt;"No staff time",R1288=""),"Missing hours. ","")&amp;IF(M1288="","Date not readable. ","")&amp;IF(N1288="No","Outside fiscal year. ","")&amp;IF(AND(F1288="Event",ISNUMBER(R1288)),IF(R1288&gt;12,"Event hours look high. ",""),"")&amp;IF(G1288&gt;0,"See CONFIRM sheet.",""))</f>
        <v/>
      </c>
      <c r="AB1288" s="1" t="n">
        <f aca="false">IF(N1288="No",0,IF(REVIEW!O1288=0,0,IF(G1288&gt;0,IF(INDEX(CONFIRM!$J$5:$J$53,G1288)&lt;&gt;"",INDEX(CONFIRM!$J$5:$J$53,G1288),1),1)))</f>
        <v>1</v>
      </c>
      <c r="AC1288" s="1" t="n">
        <f aca="false">IF(AB1288=1,IF(COUNTIFS($B$5:B1288,B1288,$D$5:D1288,D1288,$AB$5:AB1288,1)=1,1,0),0)</f>
        <v>0</v>
      </c>
    </row>
    <row r="1289" customFormat="false" ht="15" hidden="false" customHeight="false" outlineLevel="0" collapsed="false">
      <c r="A1289" s="48" t="str">
        <f aca="false">STACK!A1289</f>
        <v>WCH-0182</v>
      </c>
      <c r="B1289" s="48" t="str">
        <f aca="false">STACK!B1289</f>
        <v>WCH</v>
      </c>
      <c r="C1289" s="48" t="str">
        <f aca="false">STACK!E1289</f>
        <v>produce prescription</v>
      </c>
      <c r="D1289" s="1" t="str">
        <f aca="false">IFERROR(INDEX(MAP!$J$7:$J$101,MATCH(TRIM(C1289),MAP!$I$7:$I$101,0)),"UNMAPPED")</f>
        <v>Produce Prescription Program</v>
      </c>
      <c r="E1289" s="1" t="str">
        <f aca="false">IFERROR(INDEX(MAP!$K$7:$K$101,MATCH(TRIM(C1289),MAP!$I$7:$I$101,0)),"")</f>
        <v>Food and housing security</v>
      </c>
      <c r="F1289" s="1" t="str">
        <f aca="false">IFERROR(INDEX(MAP!$L$7:$L$101,MATCH(TRIM(C1289),MAP!$I$7:$I$101,0)),"")</f>
        <v>Monthly</v>
      </c>
      <c r="G1289" s="1" t="n">
        <f aca="false">IFERROR(MATCH(A1289,CONFIRM!$A$5:$A$53,0),0)</f>
        <v>0</v>
      </c>
      <c r="H1289" s="48" t="str">
        <f aca="false">STACK!F1289</f>
        <v>CHIS support</v>
      </c>
      <c r="I1289" s="1" t="str">
        <f aca="false">IF(G1289&gt;0,IF(INDEX(CONFIRM!$I$5:$I$53,G1289)&lt;&gt;"",INDEX(CONFIRM!$I$5:$I$53,G1289),H1289),H1289)</f>
        <v>CHIS support</v>
      </c>
      <c r="J1289" s="1" t="str">
        <f aca="false">IFERROR(INDEX(MAP!$F$7:$F$74,MATCH(TRIM(I1289),MAP!$E$7:$E$74,0)),"UNMAPPED")</f>
        <v>Health care support services</v>
      </c>
      <c r="K1289" s="1" t="str">
        <f aca="false">IFERROR(INDEX(MAP!$G$7:$G$74,MATCH(TRIM(I1289),MAP!$E$7:$E$74,0)),"UNMAPPED")</f>
        <v>7e</v>
      </c>
      <c r="L1289" s="49" t="str">
        <f aca="false">STACK!G1289</f>
        <v>February 28, 2026</v>
      </c>
      <c r="M1289" s="59" t="n">
        <f aca="false">IF(G1289&gt;0,IF(INDEX(CONFIRM!$G$5:$G$53,G1289)&lt;&gt;"",INDEX(CONFIRM!$G$5:$G$53,G1289),IF(ISNUMBER(L1289),L1289,IFERROR(DATEVALUE(L1289),""))),IF(ISNUMBER(L1289),L1289,IFERROR(DATEVALUE(L1289),"")))</f>
        <v>46081</v>
      </c>
      <c r="N1289" s="1" t="str">
        <f aca="false">IF(M1289="","Check",IF(AND(M1289&gt;=INPUTS!$C$6,M1289&lt;=INPUTS!$C$7),"Yes","No"))</f>
        <v>Yes</v>
      </c>
      <c r="O1289" s="48" t="str">
        <f aca="false">STACK!H1289</f>
        <v>Comm Health Worker</v>
      </c>
      <c r="P1289" s="1" t="str">
        <f aca="false">IF(G1289&gt;0,IF(INDEX(CONFIRM!$H$5:$H$53,G1289)&lt;&gt;"",INDEX(CONFIRM!$H$5:$H$53,G1289),IFERROR(INDEX(MAP!$B$7:$B$156,MATCH(TRIM(O1289),MAP!$A$7:$A$156,0)),"UNMAPPED")),IFERROR(INDEX(MAP!$B$7:$B$156,MATCH(TRIM(O1289),MAP!$A$7:$A$156,0)),"UNMAPPED"))</f>
        <v>Community Health Worker</v>
      </c>
      <c r="Q1289" s="48" t="str">
        <f aca="false">STACK!I1289</f>
        <v>34 hr</v>
      </c>
      <c r="R1289" s="60" t="n">
        <f aca="false">IF(G1289&gt;0,IF(INDEX(CONFIRM!$F$5:$F$53,G1289)&lt;&gt;"",INDEX(CONFIRM!$F$5:$F$53,G1289),IF(ISNUMBER(Q1289),Q1289,IF(Q1289="","",IFERROR(VALUE(TRIM(SUBSTITUTE(SUBSTITUTE(LOWER(Q1289),"hrs",""),"hr",""))),"")))),IF(ISNUMBER(Q1289),Q1289,IF(Q1289="","",IFERROR(VALUE(TRIM(SUBSTITUTE(SUBSTITUTE(LOWER(Q1289),"hrs",""),"hr",""))),""))))</f>
        <v>34</v>
      </c>
      <c r="S1289" s="57" t="n">
        <f aca="false">IFERROR(INDEX(RATES!$E$6:$E$28,MATCH(P1289,RATES!$A$6:$A$28,0)),0)</f>
        <v>27.6275</v>
      </c>
      <c r="T1289" s="61" t="n">
        <f aca="false">IF(ISNUMBER(R1289),R1289,0)*S1289</f>
        <v>939.335</v>
      </c>
      <c r="U1289" s="61" t="n">
        <f aca="false">T1289*INDEX(INPUTS!$H$10:$H$14,MATCH(B1289,INPUTS!$A$10:$A$14,0))</f>
        <v>132.446235</v>
      </c>
      <c r="V1289" s="61" t="n">
        <f aca="false">N(STACK!K1289)</f>
        <v>0</v>
      </c>
      <c r="W1289" s="61" t="n">
        <f aca="false">T1289+U1289+V1289</f>
        <v>1071.781235</v>
      </c>
      <c r="X1289" s="61" t="n">
        <f aca="false">N(STACK!L1289)</f>
        <v>0</v>
      </c>
      <c r="Y1289" s="61" t="n">
        <f aca="false">W1289-X1289</f>
        <v>1071.781235</v>
      </c>
      <c r="Z1289" s="1" t="n">
        <f aca="false">N(STACK!J1289)</f>
        <v>0</v>
      </c>
      <c r="AA1289" s="1" t="str">
        <f aca="false">TRIM(IF(D1289="UNMAPPED","Program not mapped. ","")&amp;IF(OR(K1289="UNMAPPED",K1289="UNASSIGNED"),"Category needs review. ","")&amp;IF(P1289="UNMAPPED","Title not mapped. ","")&amp;IF(AND(P1289&lt;&gt;"No staff time",R1289=""),"Missing hours. ","")&amp;IF(M1289="","Date not readable. ","")&amp;IF(N1289="No","Outside fiscal year. ","")&amp;IF(AND(F1289="Event",ISNUMBER(R1289)),IF(R1289&gt;12,"Event hours look high. ",""),"")&amp;IF(G1289&gt;0,"See CONFIRM sheet.",""))</f>
        <v/>
      </c>
      <c r="AB1289" s="1" t="n">
        <f aca="false">IF(N1289="No",0,IF(REVIEW!O1289=0,0,IF(G1289&gt;0,IF(INDEX(CONFIRM!$J$5:$J$53,G1289)&lt;&gt;"",INDEX(CONFIRM!$J$5:$J$53,G1289),1),1)))</f>
        <v>1</v>
      </c>
      <c r="AC1289" s="1" t="n">
        <f aca="false">IF(AB1289=1,IF(COUNTIFS($B$5:B1289,B1289,$D$5:D1289,D1289,$AB$5:AB1289,1)=1,1,0),0)</f>
        <v>0</v>
      </c>
    </row>
    <row r="1290" customFormat="false" ht="15" hidden="false" customHeight="false" outlineLevel="0" collapsed="false">
      <c r="A1290" s="48" t="str">
        <f aca="false">STACK!A1290</f>
        <v>WCH-0183</v>
      </c>
      <c r="B1290" s="48" t="str">
        <f aca="false">STACK!B1290</f>
        <v>WCH</v>
      </c>
      <c r="C1290" s="48" t="str">
        <f aca="false">STACK!E1290</f>
        <v>produce prescription</v>
      </c>
      <c r="D1290" s="1" t="str">
        <f aca="false">IFERROR(INDEX(MAP!$J$7:$J$101,MATCH(TRIM(C1290),MAP!$I$7:$I$101,0)),"UNMAPPED")</f>
        <v>Produce Prescription Program</v>
      </c>
      <c r="E1290" s="1" t="str">
        <f aca="false">IFERROR(INDEX(MAP!$K$7:$K$101,MATCH(TRIM(C1290),MAP!$I$7:$I$101,0)),"")</f>
        <v>Food and housing security</v>
      </c>
      <c r="F1290" s="1" t="str">
        <f aca="false">IFERROR(INDEX(MAP!$L$7:$L$101,MATCH(TRIM(C1290),MAP!$I$7:$I$101,0)),"")</f>
        <v>Monthly</v>
      </c>
      <c r="G1290" s="1" t="n">
        <f aca="false">IFERROR(MATCH(A1290,CONFIRM!$A$5:$A$53,0),0)</f>
        <v>0</v>
      </c>
      <c r="H1290" s="48" t="str">
        <f aca="false">STACK!F1290</f>
        <v>CHIS support</v>
      </c>
      <c r="I1290" s="1" t="str">
        <f aca="false">IF(G1290&gt;0,IF(INDEX(CONFIRM!$I$5:$I$53,G1290)&lt;&gt;"",INDEX(CONFIRM!$I$5:$I$53,G1290),H1290),H1290)</f>
        <v>CHIS support</v>
      </c>
      <c r="J1290" s="1" t="str">
        <f aca="false">IFERROR(INDEX(MAP!$F$7:$F$74,MATCH(TRIM(I1290),MAP!$E$7:$E$74,0)),"UNMAPPED")</f>
        <v>Health care support services</v>
      </c>
      <c r="K1290" s="1" t="str">
        <f aca="false">IFERROR(INDEX(MAP!$G$7:$G$74,MATCH(TRIM(I1290),MAP!$E$7:$E$74,0)),"UNMAPPED")</f>
        <v>7e</v>
      </c>
      <c r="L1290" s="49" t="n">
        <f aca="false">STACK!G1290</f>
        <v>46081</v>
      </c>
      <c r="M1290" s="59" t="n">
        <f aca="false">IF(G1290&gt;0,IF(INDEX(CONFIRM!$G$5:$G$53,G1290)&lt;&gt;"",INDEX(CONFIRM!$G$5:$G$53,G1290),IF(ISNUMBER(L1290),L1290,IFERROR(DATEVALUE(L1290),""))),IF(ISNUMBER(L1290),L1290,IFERROR(DATEVALUE(L1290),"")))</f>
        <v>46081</v>
      </c>
      <c r="N1290" s="1" t="str">
        <f aca="false">IF(M1290="","Check",IF(AND(M1290&gt;=INPUTS!$C$6,M1290&lt;=INPUTS!$C$7),"Yes","No"))</f>
        <v>Yes</v>
      </c>
      <c r="O1290" s="48" t="str">
        <f aca="false">STACK!H1290</f>
        <v>RDN</v>
      </c>
      <c r="P1290" s="1" t="str">
        <f aca="false">IF(G1290&gt;0,IF(INDEX(CONFIRM!$H$5:$H$53,G1290)&lt;&gt;"",INDEX(CONFIRM!$H$5:$H$53,G1290),IFERROR(INDEX(MAP!$B$7:$B$156,MATCH(TRIM(O1290),MAP!$A$7:$A$156,0)),"UNMAPPED")),IFERROR(INDEX(MAP!$B$7:$B$156,MATCH(TRIM(O1290),MAP!$A$7:$A$156,0)),"UNMAPPED"))</f>
        <v>Registered Dietitian</v>
      </c>
      <c r="Q1290" s="48" t="n">
        <f aca="false">STACK!I1290</f>
        <v>16</v>
      </c>
      <c r="R1290" s="60" t="n">
        <f aca="false">IF(G1290&gt;0,IF(INDEX(CONFIRM!$F$5:$F$53,G1290)&lt;&gt;"",INDEX(CONFIRM!$F$5:$F$53,G1290),IF(ISNUMBER(Q1290),Q1290,IF(Q1290="","",IFERROR(VALUE(TRIM(SUBSTITUTE(SUBSTITUTE(LOWER(Q1290),"hrs",""),"hr",""))),"")))),IF(ISNUMBER(Q1290),Q1290,IF(Q1290="","",IFERROR(VALUE(TRIM(SUBSTITUTE(SUBSTITUTE(LOWER(Q1290),"hrs",""),"hr",""))),""))))</f>
        <v>16</v>
      </c>
      <c r="S1290" s="57" t="n">
        <f aca="false">IFERROR(INDEX(RATES!$E$6:$E$28,MATCH(P1290,RATES!$A$6:$A$28,0)),0)</f>
        <v>46.9025</v>
      </c>
      <c r="T1290" s="61" t="n">
        <f aca="false">IF(ISNUMBER(R1290),R1290,0)*S1290</f>
        <v>750.44</v>
      </c>
      <c r="U1290" s="61" t="n">
        <f aca="false">T1290*INDEX(INPUTS!$H$10:$H$14,MATCH(B1290,INPUTS!$A$10:$A$14,0))</f>
        <v>105.81204</v>
      </c>
      <c r="V1290" s="61" t="n">
        <f aca="false">N(STACK!K1290)</f>
        <v>6490</v>
      </c>
      <c r="W1290" s="61" t="n">
        <f aca="false">T1290+U1290+V1290</f>
        <v>7346.25204</v>
      </c>
      <c r="X1290" s="61" t="n">
        <f aca="false">N(STACK!L1290)</f>
        <v>3335</v>
      </c>
      <c r="Y1290" s="61" t="n">
        <f aca="false">W1290-X1290</f>
        <v>4011.25204</v>
      </c>
      <c r="Z1290" s="1" t="n">
        <f aca="false">N(STACK!J1290)</f>
        <v>136</v>
      </c>
      <c r="AA1290" s="1" t="str">
        <f aca="false">TRIM(IF(D1290="UNMAPPED","Program not mapped. ","")&amp;IF(OR(K1290="UNMAPPED",K1290="UNASSIGNED"),"Category needs review. ","")&amp;IF(P1290="UNMAPPED","Title not mapped. ","")&amp;IF(AND(P1290&lt;&gt;"No staff time",R1290=""),"Missing hours. ","")&amp;IF(M1290="","Date not readable. ","")&amp;IF(N1290="No","Outside fiscal year. ","")&amp;IF(AND(F1290="Event",ISNUMBER(R1290)),IF(R1290&gt;12,"Event hours look high. ",""),"")&amp;IF(G1290&gt;0,"See CONFIRM sheet.",""))</f>
        <v/>
      </c>
      <c r="AB1290" s="1" t="n">
        <f aca="false">IF(N1290="No",0,IF(REVIEW!O1290=0,0,IF(G1290&gt;0,IF(INDEX(CONFIRM!$J$5:$J$53,G1290)&lt;&gt;"",INDEX(CONFIRM!$J$5:$J$53,G1290),1),1)))</f>
        <v>1</v>
      </c>
      <c r="AC1290" s="1" t="n">
        <f aca="false">IF(AB1290=1,IF(COUNTIFS($B$5:B1290,B1290,$D$5:D1290,D1290,$AB$5:AB1290,1)=1,1,0),0)</f>
        <v>0</v>
      </c>
    </row>
    <row r="1291" customFormat="false" ht="15" hidden="false" customHeight="false" outlineLevel="0" collapsed="false">
      <c r="A1291" s="48" t="str">
        <f aca="false">STACK!A1291</f>
        <v>WCH-0184</v>
      </c>
      <c r="B1291" s="48" t="str">
        <f aca="false">STACK!B1291</f>
        <v>WCH</v>
      </c>
      <c r="C1291" s="48" t="str">
        <f aca="false">STACK!E1291</f>
        <v>cb admin</v>
      </c>
      <c r="D1291" s="1" t="str">
        <f aca="false">IFERROR(INDEX(MAP!$J$7:$J$101,MATCH(TRIM(C1291),MAP!$I$7:$I$101,0)),"UNMAPPED")</f>
        <v>Community Benefit Program Administration</v>
      </c>
      <c r="E1291" s="1" t="str">
        <f aca="false">IFERROR(INDEX(MAP!$K$7:$K$101,MATCH(TRIM(C1291),MAP!$I$7:$I$101,0)),"")</f>
        <v>Community benefit infrastructure</v>
      </c>
      <c r="F1291" s="1" t="str">
        <f aca="false">IFERROR(INDEX(MAP!$L$7:$L$101,MATCH(TRIM(C1291),MAP!$I$7:$I$101,0)),"")</f>
        <v>Monthly</v>
      </c>
      <c r="G1291" s="1" t="n">
        <f aca="false">IFERROR(MATCH(A1291,CONFIRM!$A$5:$A$53,0),0)</f>
        <v>0</v>
      </c>
      <c r="H1291" s="48" t="str">
        <f aca="false">STACK!F1291</f>
        <v>cb operations</v>
      </c>
      <c r="I1291" s="1" t="str">
        <f aca="false">IF(G1291&gt;0,IF(INDEX(CONFIRM!$I$5:$I$53,G1291)&lt;&gt;"",INDEX(CONFIRM!$I$5:$I$53,G1291),H1291),H1291)</f>
        <v>cb operations</v>
      </c>
      <c r="J1291" s="1" t="str">
        <f aca="false">IFERROR(INDEX(MAP!$F$7:$F$74,MATCH(TRIM(I1291),MAP!$E$7:$E$74,0)),"UNMAPPED")</f>
        <v>Community benefit operations</v>
      </c>
      <c r="K1291" s="1" t="str">
        <f aca="false">IFERROR(INDEX(MAP!$G$7:$G$74,MATCH(TRIM(I1291),MAP!$E$7:$E$74,0)),"UNMAPPED")</f>
        <v>7e</v>
      </c>
      <c r="L1291" s="49" t="str">
        <f aca="false">STACK!G1291</f>
        <v>2/28/26</v>
      </c>
      <c r="M1291" s="59" t="n">
        <f aca="false">IF(G1291&gt;0,IF(INDEX(CONFIRM!$G$5:$G$53,G1291)&lt;&gt;"",INDEX(CONFIRM!$G$5:$G$53,G1291),IF(ISNUMBER(L1291),L1291,IFERROR(DATEVALUE(L1291),""))),IF(ISNUMBER(L1291),L1291,IFERROR(DATEVALUE(L1291),"")))</f>
        <v>46081</v>
      </c>
      <c r="N1291" s="1" t="str">
        <f aca="false">IF(M1291="","Check",IF(AND(M1291&gt;=INPUTS!$C$6,M1291&lt;=INPUTS!$C$7),"Yes","No"))</f>
        <v>Yes</v>
      </c>
      <c r="O1291" s="48" t="str">
        <f aca="false">STACK!H1291</f>
        <v>Secretary</v>
      </c>
      <c r="P1291" s="1" t="str">
        <f aca="false">IF(G1291&gt;0,IF(INDEX(CONFIRM!$H$5:$H$53,G1291)&lt;&gt;"",INDEX(CONFIRM!$H$5:$H$53,G1291),IFERROR(INDEX(MAP!$B$7:$B$156,MATCH(TRIM(O1291),MAP!$A$7:$A$156,0)),"UNMAPPED")),IFERROR(INDEX(MAP!$B$7:$B$156,MATCH(TRIM(O1291),MAP!$A$7:$A$156,0)),"UNMAPPED"))</f>
        <v>Administrative Assistant</v>
      </c>
      <c r="Q1291" s="48" t="n">
        <f aca="false">STACK!I1291</f>
        <v>21.25</v>
      </c>
      <c r="R1291" s="60" t="n">
        <f aca="false">IF(G1291&gt;0,IF(INDEX(CONFIRM!$F$5:$F$53,G1291)&lt;&gt;"",INDEX(CONFIRM!$F$5:$F$53,G1291),IF(ISNUMBER(Q1291),Q1291,IF(Q1291="","",IFERROR(VALUE(TRIM(SUBSTITUTE(SUBSTITUTE(LOWER(Q1291),"hrs",""),"hr",""))),"")))),IF(ISNUMBER(Q1291),Q1291,IF(Q1291="","",IFERROR(VALUE(TRIM(SUBSTITUTE(SUBSTITUTE(LOWER(Q1291),"hrs",""),"hr",""))),""))))</f>
        <v>21.25</v>
      </c>
      <c r="S1291" s="57" t="n">
        <f aca="false">IFERROR(INDEX(RATES!$E$6:$E$28,MATCH(P1291,RATES!$A$6:$A$28,0)),0)</f>
        <v>26.985</v>
      </c>
      <c r="T1291" s="61" t="n">
        <f aca="false">IF(ISNUMBER(R1291),R1291,0)*S1291</f>
        <v>573.43125</v>
      </c>
      <c r="U1291" s="61" t="n">
        <f aca="false">T1291*INDEX(INPUTS!$H$10:$H$14,MATCH(B1291,INPUTS!$A$10:$A$14,0))</f>
        <v>80.85380625</v>
      </c>
      <c r="V1291" s="61" t="n">
        <f aca="false">N(STACK!K1291)</f>
        <v>0</v>
      </c>
      <c r="W1291" s="61" t="n">
        <f aca="false">T1291+U1291+V1291</f>
        <v>654.28505625</v>
      </c>
      <c r="X1291" s="61" t="n">
        <f aca="false">N(STACK!L1291)</f>
        <v>0</v>
      </c>
      <c r="Y1291" s="61" t="n">
        <f aca="false">W1291-X1291</f>
        <v>654.28505625</v>
      </c>
      <c r="Z1291" s="1" t="n">
        <f aca="false">N(STACK!J1291)</f>
        <v>0</v>
      </c>
      <c r="AA1291" s="1" t="str">
        <f aca="false">TRIM(IF(D1291="UNMAPPED","Program not mapped. ","")&amp;IF(OR(K1291="UNMAPPED",K1291="UNASSIGNED"),"Category needs review. ","")&amp;IF(P1291="UNMAPPED","Title not mapped. ","")&amp;IF(AND(P1291&lt;&gt;"No staff time",R1291=""),"Missing hours. ","")&amp;IF(M1291="","Date not readable. ","")&amp;IF(N1291="No","Outside fiscal year. ","")&amp;IF(AND(F1291="Event",ISNUMBER(R1291)),IF(R1291&gt;12,"Event hours look high. ",""),"")&amp;IF(G1291&gt;0,"See CONFIRM sheet.",""))</f>
        <v/>
      </c>
      <c r="AB1291" s="1" t="n">
        <f aca="false">IF(N1291="No",0,IF(REVIEW!O1291=0,0,IF(G1291&gt;0,IF(INDEX(CONFIRM!$J$5:$J$53,G1291)&lt;&gt;"",INDEX(CONFIRM!$J$5:$J$53,G1291),1),1)))</f>
        <v>1</v>
      </c>
      <c r="AC1291" s="1" t="n">
        <f aca="false">IF(AB1291=1,IF(COUNTIFS($B$5:B1291,B1291,$D$5:D1291,D1291,$AB$5:AB1291,1)=1,1,0),0)</f>
        <v>0</v>
      </c>
    </row>
    <row r="1292" customFormat="false" ht="15" hidden="false" customHeight="false" outlineLevel="0" collapsed="false">
      <c r="A1292" s="48" t="str">
        <f aca="false">STACK!A1292</f>
        <v>WCH-0185</v>
      </c>
      <c r="B1292" s="48" t="str">
        <f aca="false">STACK!B1292</f>
        <v>WCH</v>
      </c>
      <c r="C1292" s="48" t="str">
        <f aca="false">STACK!E1292</f>
        <v>cb admin</v>
      </c>
      <c r="D1292" s="1" t="str">
        <f aca="false">IFERROR(INDEX(MAP!$J$7:$J$101,MATCH(TRIM(C1292),MAP!$I$7:$I$101,0)),"UNMAPPED")</f>
        <v>Community Benefit Program Administration</v>
      </c>
      <c r="E1292" s="1" t="str">
        <f aca="false">IFERROR(INDEX(MAP!$K$7:$K$101,MATCH(TRIM(C1292),MAP!$I$7:$I$101,0)),"")</f>
        <v>Community benefit infrastructure</v>
      </c>
      <c r="F1292" s="1" t="str">
        <f aca="false">IFERROR(INDEX(MAP!$L$7:$L$101,MATCH(TRIM(C1292),MAP!$I$7:$I$101,0)),"")</f>
        <v>Monthly</v>
      </c>
      <c r="G1292" s="1" t="n">
        <f aca="false">IFERROR(MATCH(A1292,CONFIRM!$A$5:$A$53,0),0)</f>
        <v>0</v>
      </c>
      <c r="H1292" s="48" t="str">
        <f aca="false">STACK!F1292</f>
        <v>cb operations</v>
      </c>
      <c r="I1292" s="1" t="str">
        <f aca="false">IF(G1292&gt;0,IF(INDEX(CONFIRM!$I$5:$I$53,G1292)&lt;&gt;"",INDEX(CONFIRM!$I$5:$I$53,G1292),H1292),H1292)</f>
        <v>cb operations</v>
      </c>
      <c r="J1292" s="1" t="str">
        <f aca="false">IFERROR(INDEX(MAP!$F$7:$F$74,MATCH(TRIM(I1292),MAP!$E$7:$E$74,0)),"UNMAPPED")</f>
        <v>Community benefit operations</v>
      </c>
      <c r="K1292" s="1" t="str">
        <f aca="false">IFERROR(INDEX(MAP!$G$7:$G$74,MATCH(TRIM(I1292),MAP!$E$7:$E$74,0)),"UNMAPPED")</f>
        <v>7e</v>
      </c>
      <c r="L1292" s="49" t="str">
        <f aca="false">STACK!G1292</f>
        <v>February 28, 2026</v>
      </c>
      <c r="M1292" s="59" t="n">
        <f aca="false">IF(G1292&gt;0,IF(INDEX(CONFIRM!$G$5:$G$53,G1292)&lt;&gt;"",INDEX(CONFIRM!$G$5:$G$53,G1292),IF(ISNUMBER(L1292),L1292,IFERROR(DATEVALUE(L1292),""))),IF(ISNUMBER(L1292),L1292,IFERROR(DATEVALUE(L1292),"")))</f>
        <v>46081</v>
      </c>
      <c r="N1292" s="1" t="str">
        <f aca="false">IF(M1292="","Check",IF(AND(M1292&gt;=INPUTS!$C$6,M1292&lt;=INPUTS!$C$7),"Yes","No"))</f>
        <v>Yes</v>
      </c>
      <c r="O1292" s="48" t="str">
        <f aca="false">STACK!H1292</f>
        <v>Manager Community Benefit</v>
      </c>
      <c r="P1292" s="1" t="str">
        <f aca="false">IF(G1292&gt;0,IF(INDEX(CONFIRM!$H$5:$H$53,G1292)&lt;&gt;"",INDEX(CONFIRM!$H$5:$H$53,G1292),IFERROR(INDEX(MAP!$B$7:$B$156,MATCH(TRIM(O1292),MAP!$A$7:$A$156,0)),"UNMAPPED")),IFERROR(INDEX(MAP!$B$7:$B$156,MATCH(TRIM(O1292),MAP!$A$7:$A$156,0)),"UNMAPPED"))</f>
        <v>Community Benefit Manager</v>
      </c>
      <c r="Q1292" s="48" t="n">
        <f aca="false">STACK!I1292</f>
        <v>55.25</v>
      </c>
      <c r="R1292" s="60" t="n">
        <f aca="false">IF(G1292&gt;0,IF(INDEX(CONFIRM!$F$5:$F$53,G1292)&lt;&gt;"",INDEX(CONFIRM!$F$5:$F$53,G1292),IF(ISNUMBER(Q1292),Q1292,IF(Q1292="","",IFERROR(VALUE(TRIM(SUBSTITUTE(SUBSTITUTE(LOWER(Q1292),"hrs",""),"hr",""))),"")))),IF(ISNUMBER(Q1292),Q1292,IF(Q1292="","",IFERROR(VALUE(TRIM(SUBSTITUTE(SUBSTITUTE(LOWER(Q1292),"hrs",""),"hr",""))),""))))</f>
        <v>55.25</v>
      </c>
      <c r="S1292" s="57" t="n">
        <f aca="false">IFERROR(INDEX(RATES!$E$6:$E$28,MATCH(P1292,RATES!$A$6:$A$28,0)),0)</f>
        <v>59.11</v>
      </c>
      <c r="T1292" s="61" t="n">
        <f aca="false">IF(ISNUMBER(R1292),R1292,0)*S1292</f>
        <v>3265.8275</v>
      </c>
      <c r="U1292" s="61" t="n">
        <f aca="false">T1292*INDEX(INPUTS!$H$10:$H$14,MATCH(B1292,INPUTS!$A$10:$A$14,0))</f>
        <v>460.4816775</v>
      </c>
      <c r="V1292" s="61" t="n">
        <f aca="false">N(STACK!K1292)</f>
        <v>550</v>
      </c>
      <c r="W1292" s="61" t="n">
        <f aca="false">T1292+U1292+V1292</f>
        <v>4276.3091775</v>
      </c>
      <c r="X1292" s="61" t="n">
        <f aca="false">N(STACK!L1292)</f>
        <v>0</v>
      </c>
      <c r="Y1292" s="61" t="n">
        <f aca="false">W1292-X1292</f>
        <v>4276.3091775</v>
      </c>
      <c r="Z1292" s="1" t="n">
        <f aca="false">N(STACK!J1292)</f>
        <v>0</v>
      </c>
      <c r="AA1292" s="1" t="str">
        <f aca="false">TRIM(IF(D1292="UNMAPPED","Program not mapped. ","")&amp;IF(OR(K1292="UNMAPPED",K1292="UNASSIGNED"),"Category needs review. ","")&amp;IF(P1292="UNMAPPED","Title not mapped. ","")&amp;IF(AND(P1292&lt;&gt;"No staff time",R1292=""),"Missing hours. ","")&amp;IF(M1292="","Date not readable. ","")&amp;IF(N1292="No","Outside fiscal year. ","")&amp;IF(AND(F1292="Event",ISNUMBER(R1292)),IF(R1292&gt;12,"Event hours look high. ",""),"")&amp;IF(G1292&gt;0,"See CONFIRM sheet.",""))</f>
        <v/>
      </c>
      <c r="AB1292" s="1" t="n">
        <f aca="false">IF(N1292="No",0,IF(REVIEW!O1292=0,0,IF(G1292&gt;0,IF(INDEX(CONFIRM!$J$5:$J$53,G1292)&lt;&gt;"",INDEX(CONFIRM!$J$5:$J$53,G1292),1),1)))</f>
        <v>1</v>
      </c>
      <c r="AC1292" s="1" t="n">
        <f aca="false">IF(AB1292=1,IF(COUNTIFS($B$5:B1292,B1292,$D$5:D1292,D1292,$AB$5:AB1292,1)=1,1,0),0)</f>
        <v>0</v>
      </c>
    </row>
    <row r="1293" customFormat="false" ht="15" hidden="false" customHeight="false" outlineLevel="0" collapsed="false">
      <c r="A1293" s="48" t="str">
        <f aca="false">STACK!A1293</f>
        <v>WCH-0186</v>
      </c>
      <c r="B1293" s="48" t="str">
        <f aca="false">STACK!B1293</f>
        <v>WCH</v>
      </c>
      <c r="C1293" s="48" t="str">
        <f aca="false">STACK!E1293</f>
        <v>community paramedic</v>
      </c>
      <c r="D1293" s="1" t="str">
        <f aca="false">IFERROR(INDEX(MAP!$J$7:$J$101,MATCH(TRIM(C1293),MAP!$I$7:$I$101,0)),"UNMAPPED")</f>
        <v>Community Paramedic Home Visits</v>
      </c>
      <c r="E1293" s="1" t="str">
        <f aca="false">IFERROR(INDEX(MAP!$K$7:$K$101,MATCH(TRIM(C1293),MAP!$I$7:$I$101,0)),"")</f>
        <v>Access to care</v>
      </c>
      <c r="F1293" s="1" t="str">
        <f aca="false">IFERROR(INDEX(MAP!$L$7:$L$101,MATCH(TRIM(C1293),MAP!$I$7:$I$101,0)),"")</f>
        <v>Monthly</v>
      </c>
      <c r="G1293" s="1" t="n">
        <f aca="false">IFERROR(MATCH(A1293,CONFIRM!$A$5:$A$53,0),0)</f>
        <v>0</v>
      </c>
      <c r="H1293" s="48" t="str">
        <f aca="false">STACK!F1293</f>
        <v>CHIS clinical</v>
      </c>
      <c r="I1293" s="1" t="str">
        <f aca="false">IF(G1293&gt;0,IF(INDEX(CONFIRM!$I$5:$I$53,G1293)&lt;&gt;"",INDEX(CONFIRM!$I$5:$I$53,G1293),H1293),H1293)</f>
        <v>CHIS clinical</v>
      </c>
      <c r="J1293" s="1" t="str">
        <f aca="false">IFERROR(INDEX(MAP!$F$7:$F$74,MATCH(TRIM(I1293),MAP!$E$7:$E$74,0)),"UNMAPPED")</f>
        <v>Community-based clinical services</v>
      </c>
      <c r="K1293" s="1" t="str">
        <f aca="false">IFERROR(INDEX(MAP!$G$7:$G$74,MATCH(TRIM(I1293),MAP!$E$7:$E$74,0)),"UNMAPPED")</f>
        <v>7e</v>
      </c>
      <c r="L1293" s="49" t="str">
        <f aca="false">STACK!G1293</f>
        <v>February 28, 2026</v>
      </c>
      <c r="M1293" s="59" t="n">
        <f aca="false">IF(G1293&gt;0,IF(INDEX(CONFIRM!$G$5:$G$53,G1293)&lt;&gt;"",INDEX(CONFIRM!$G$5:$G$53,G1293),IF(ISNUMBER(L1293),L1293,IFERROR(DATEVALUE(L1293),""))),IF(ISNUMBER(L1293),L1293,IFERROR(DATEVALUE(L1293),"")))</f>
        <v>46081</v>
      </c>
      <c r="N1293" s="1" t="str">
        <f aca="false">IF(M1293="","Check",IF(AND(M1293&gt;=INPUTS!$C$6,M1293&lt;=INPUTS!$C$7),"Yes","No"))</f>
        <v>Yes</v>
      </c>
      <c r="O1293" s="48" t="str">
        <f aca="false">STACK!H1293</f>
        <v>EMT</v>
      </c>
      <c r="P1293" s="1" t="str">
        <f aca="false">IF(G1293&gt;0,IF(INDEX(CONFIRM!$H$5:$H$53,G1293)&lt;&gt;"",INDEX(CONFIRM!$H$5:$H$53,G1293),IFERROR(INDEX(MAP!$B$7:$B$156,MATCH(TRIM(O1293),MAP!$A$7:$A$156,0)),"UNMAPPED")),IFERROR(INDEX(MAP!$B$7:$B$156,MATCH(TRIM(O1293),MAP!$A$7:$A$156,0)),"UNMAPPED"))</f>
        <v>Paramedic</v>
      </c>
      <c r="Q1293" s="48" t="n">
        <f aca="false">STACK!I1293</f>
        <v>63.75</v>
      </c>
      <c r="R1293" s="60" t="n">
        <f aca="false">IF(G1293&gt;0,IF(INDEX(CONFIRM!$F$5:$F$53,G1293)&lt;&gt;"",INDEX(CONFIRM!$F$5:$F$53,G1293),IF(ISNUMBER(Q1293),Q1293,IF(Q1293="","",IFERROR(VALUE(TRIM(SUBSTITUTE(SUBSTITUTE(LOWER(Q1293),"hrs",""),"hr",""))),"")))),IF(ISNUMBER(Q1293),Q1293,IF(Q1293="","",IFERROR(VALUE(TRIM(SUBSTITUTE(SUBSTITUTE(LOWER(Q1293),"hrs",""),"hr",""))),""))))</f>
        <v>63.75</v>
      </c>
      <c r="S1293" s="57" t="n">
        <f aca="false">IFERROR(INDEX(RATES!$E$6:$E$28,MATCH(P1293,RATES!$A$6:$A$28,0)),0)</f>
        <v>34.695</v>
      </c>
      <c r="T1293" s="61" t="n">
        <f aca="false">IF(ISNUMBER(R1293),R1293,0)*S1293</f>
        <v>2211.80625</v>
      </c>
      <c r="U1293" s="61" t="n">
        <f aca="false">T1293*INDEX(INPUTS!$H$10:$H$14,MATCH(B1293,INPUTS!$A$10:$A$14,0))</f>
        <v>311.86468125</v>
      </c>
      <c r="V1293" s="61" t="n">
        <f aca="false">N(STACK!K1293)</f>
        <v>560</v>
      </c>
      <c r="W1293" s="61" t="n">
        <f aca="false">T1293+U1293+V1293</f>
        <v>3083.67093125</v>
      </c>
      <c r="X1293" s="61" t="n">
        <f aca="false">N(STACK!L1293)</f>
        <v>0</v>
      </c>
      <c r="Y1293" s="61" t="n">
        <f aca="false">W1293-X1293</f>
        <v>3083.67093125</v>
      </c>
      <c r="Z1293" s="1" t="n">
        <f aca="false">N(STACK!J1293)</f>
        <v>36</v>
      </c>
      <c r="AA1293" s="1" t="str">
        <f aca="false">TRIM(IF(D1293="UNMAPPED","Program not mapped. ","")&amp;IF(OR(K1293="UNMAPPED",K1293="UNASSIGNED"),"Category needs review. ","")&amp;IF(P1293="UNMAPPED","Title not mapped. ","")&amp;IF(AND(P1293&lt;&gt;"No staff time",R1293=""),"Missing hours. ","")&amp;IF(M1293="","Date not readable. ","")&amp;IF(N1293="No","Outside fiscal year. ","")&amp;IF(AND(F1293="Event",ISNUMBER(R1293)),IF(R1293&gt;12,"Event hours look high. ",""),"")&amp;IF(G1293&gt;0,"See CONFIRM sheet.",""))</f>
        <v/>
      </c>
      <c r="AB1293" s="1" t="n">
        <f aca="false">IF(N1293="No",0,IF(REVIEW!O1293=0,0,IF(G1293&gt;0,IF(INDEX(CONFIRM!$J$5:$J$53,G1293)&lt;&gt;"",INDEX(CONFIRM!$J$5:$J$53,G1293),1),1)))</f>
        <v>1</v>
      </c>
      <c r="AC1293" s="1" t="n">
        <f aca="false">IF(AB1293=1,IF(COUNTIFS($B$5:B1293,B1293,$D$5:D1293,D1293,$AB$5:AB1293,1)=1,1,0),0)</f>
        <v>0</v>
      </c>
    </row>
    <row r="1294" customFormat="false" ht="15" hidden="false" customHeight="false" outlineLevel="0" collapsed="false">
      <c r="A1294" s="48" t="str">
        <f aca="false">STACK!A1294</f>
        <v>WCH-0187</v>
      </c>
      <c r="B1294" s="48" t="str">
        <f aca="false">STACK!B1294</f>
        <v>WCH</v>
      </c>
      <c r="C1294" s="48" t="str">
        <f aca="false">STACK!E1294</f>
        <v>nursing students</v>
      </c>
      <c r="D1294" s="1" t="str">
        <f aca="false">IFERROR(INDEX(MAP!$J$7:$J$101,MATCH(TRIM(C1294),MAP!$I$7:$I$101,0)),"UNMAPPED")</f>
        <v>Nursing Student Clinical Rotations</v>
      </c>
      <c r="E1294" s="1" t="str">
        <f aca="false">IFERROR(INDEX(MAP!$K$7:$K$101,MATCH(TRIM(C1294),MAP!$I$7:$I$101,0)),"")</f>
        <v>Health workforce</v>
      </c>
      <c r="F1294" s="1" t="str">
        <f aca="false">IFERROR(INDEX(MAP!$L$7:$L$101,MATCH(TRIM(C1294),MAP!$I$7:$I$101,0)),"")</f>
        <v>Monthly</v>
      </c>
      <c r="G1294" s="1" t="n">
        <f aca="false">IFERROR(MATCH(A1294,CONFIRM!$A$5:$A$53,0),0)</f>
        <v>0</v>
      </c>
      <c r="H1294" s="48" t="str">
        <f aca="false">STACK!F1294</f>
        <v>health professions ed</v>
      </c>
      <c r="I1294" s="1" t="str">
        <f aca="false">IF(G1294&gt;0,IF(INDEX(CONFIRM!$I$5:$I$53,G1294)&lt;&gt;"",INDEX(CONFIRM!$I$5:$I$53,G1294),H1294),H1294)</f>
        <v>health professions ed</v>
      </c>
      <c r="J1294" s="1" t="str">
        <f aca="false">IFERROR(INDEX(MAP!$F$7:$F$74,MATCH(TRIM(I1294),MAP!$E$7:$E$74,0)),"UNMAPPED")</f>
        <v>Health professions education</v>
      </c>
      <c r="K1294" s="1" t="str">
        <f aca="false">IFERROR(INDEX(MAP!$G$7:$G$74,MATCH(TRIM(I1294),MAP!$E$7:$E$74,0)),"UNMAPPED")</f>
        <v>7f</v>
      </c>
      <c r="L1294" s="49" t="str">
        <f aca="false">STACK!G1294</f>
        <v>2/28/26</v>
      </c>
      <c r="M1294" s="59" t="n">
        <f aca="false">IF(G1294&gt;0,IF(INDEX(CONFIRM!$G$5:$G$53,G1294)&lt;&gt;"",INDEX(CONFIRM!$G$5:$G$53,G1294),IF(ISNUMBER(L1294),L1294,IFERROR(DATEVALUE(L1294),""))),IF(ISNUMBER(L1294),L1294,IFERROR(DATEVALUE(L1294),"")))</f>
        <v>46081</v>
      </c>
      <c r="N1294" s="1" t="str">
        <f aca="false">IF(M1294="","Check",IF(AND(M1294&gt;=INPUTS!$C$6,M1294&lt;=INPUTS!$C$7),"Yes","No"))</f>
        <v>Yes</v>
      </c>
      <c r="O1294" s="48" t="str">
        <f aca="false">STACK!H1294</f>
        <v>Clin Educator</v>
      </c>
      <c r="P1294" s="1" t="str">
        <f aca="false">IF(G1294&gt;0,IF(INDEX(CONFIRM!$H$5:$H$53,G1294)&lt;&gt;"",INDEX(CONFIRM!$H$5:$H$53,G1294),IFERROR(INDEX(MAP!$B$7:$B$156,MATCH(TRIM(O1294),MAP!$A$7:$A$156,0)),"UNMAPPED")),IFERROR(INDEX(MAP!$B$7:$B$156,MATCH(TRIM(O1294),MAP!$A$7:$A$156,0)),"UNMAPPED"))</f>
        <v>Clinical Nurse Educator</v>
      </c>
      <c r="Q1294" s="48" t="n">
        <f aca="false">STACK!I1294</f>
        <v>83</v>
      </c>
      <c r="R1294" s="60" t="n">
        <f aca="false">IF(G1294&gt;0,IF(INDEX(CONFIRM!$F$5:$F$53,G1294)&lt;&gt;"",INDEX(CONFIRM!$F$5:$F$53,G1294),IF(ISNUMBER(Q1294),Q1294,IF(Q1294="","",IFERROR(VALUE(TRIM(SUBSTITUTE(SUBSTITUTE(LOWER(Q1294),"hrs",""),"hr",""))),"")))),IF(ISNUMBER(Q1294),Q1294,IF(Q1294="","",IFERROR(VALUE(TRIM(SUBSTITUTE(SUBSTITUTE(LOWER(Q1294),"hrs",""),"hr",""))),""))))</f>
        <v>83</v>
      </c>
      <c r="S1294" s="57" t="n">
        <f aca="false">IFERROR(INDEX(RATES!$E$6:$E$28,MATCH(P1294,RATES!$A$6:$A$28,0)),0)</f>
        <v>62.965</v>
      </c>
      <c r="T1294" s="61" t="n">
        <f aca="false">IF(ISNUMBER(R1294),R1294,0)*S1294</f>
        <v>5226.095</v>
      </c>
      <c r="U1294" s="61" t="n">
        <f aca="false">T1294*INDEX(INPUTS!$H$10:$H$14,MATCH(B1294,INPUTS!$A$10:$A$14,0))</f>
        <v>736.879395</v>
      </c>
      <c r="V1294" s="61" t="n">
        <f aca="false">N(STACK!K1294)</f>
        <v>390</v>
      </c>
      <c r="W1294" s="61" t="n">
        <f aca="false">T1294+U1294+V1294</f>
        <v>6352.974395</v>
      </c>
      <c r="X1294" s="61" t="n">
        <f aca="false">N(STACK!L1294)</f>
        <v>0</v>
      </c>
      <c r="Y1294" s="61" t="n">
        <f aca="false">W1294-X1294</f>
        <v>6352.974395</v>
      </c>
      <c r="Z1294" s="1" t="n">
        <f aca="false">N(STACK!J1294)</f>
        <v>21</v>
      </c>
      <c r="AA1294" s="1" t="str">
        <f aca="false">TRIM(IF(D1294="UNMAPPED","Program not mapped. ","")&amp;IF(OR(K1294="UNMAPPED",K1294="UNASSIGNED"),"Category needs review. ","")&amp;IF(P1294="UNMAPPED","Title not mapped. ","")&amp;IF(AND(P1294&lt;&gt;"No staff time",R1294=""),"Missing hours. ","")&amp;IF(M1294="","Date not readable. ","")&amp;IF(N1294="No","Outside fiscal year. ","")&amp;IF(AND(F1294="Event",ISNUMBER(R1294)),IF(R1294&gt;12,"Event hours look high. ",""),"")&amp;IF(G1294&gt;0,"See CONFIRM sheet.",""))</f>
        <v/>
      </c>
      <c r="AB1294" s="1" t="n">
        <f aca="false">IF(N1294="No",0,IF(REVIEW!O1294=0,0,IF(G1294&gt;0,IF(INDEX(CONFIRM!$J$5:$J$53,G1294)&lt;&gt;"",INDEX(CONFIRM!$J$5:$J$53,G1294),1),1)))</f>
        <v>1</v>
      </c>
      <c r="AC1294" s="1" t="n">
        <f aca="false">IF(AB1294=1,IF(COUNTIFS($B$5:B1294,B1294,$D$5:D1294,D1294,$AB$5:AB1294,1)=1,1,0),0)</f>
        <v>0</v>
      </c>
    </row>
    <row r="1295" customFormat="false" ht="15" hidden="false" customHeight="false" outlineLevel="0" collapsed="false">
      <c r="A1295" s="48" t="str">
        <f aca="false">STACK!A1295</f>
        <v>WCH-0188</v>
      </c>
      <c r="B1295" s="48" t="str">
        <f aca="false">STACK!B1295</f>
        <v>WCH</v>
      </c>
      <c r="C1295" s="48" t="str">
        <f aca="false">STACK!E1295</f>
        <v>nursing students</v>
      </c>
      <c r="D1295" s="1" t="str">
        <f aca="false">IFERROR(INDEX(MAP!$J$7:$J$101,MATCH(TRIM(C1295),MAP!$I$7:$I$101,0)),"UNMAPPED")</f>
        <v>Nursing Student Clinical Rotations</v>
      </c>
      <c r="E1295" s="1" t="str">
        <f aca="false">IFERROR(INDEX(MAP!$K$7:$K$101,MATCH(TRIM(C1295),MAP!$I$7:$I$101,0)),"")</f>
        <v>Health workforce</v>
      </c>
      <c r="F1295" s="1" t="str">
        <f aca="false">IFERROR(INDEX(MAP!$L$7:$L$101,MATCH(TRIM(C1295),MAP!$I$7:$I$101,0)),"")</f>
        <v>Monthly</v>
      </c>
      <c r="G1295" s="1" t="n">
        <f aca="false">IFERROR(MATCH(A1295,CONFIRM!$A$5:$A$53,0),0)</f>
        <v>0</v>
      </c>
      <c r="H1295" s="48" t="str">
        <f aca="false">STACK!F1295</f>
        <v>health professions ed</v>
      </c>
      <c r="I1295" s="1" t="str">
        <f aca="false">IF(G1295&gt;0,IF(INDEX(CONFIRM!$I$5:$I$53,G1295)&lt;&gt;"",INDEX(CONFIRM!$I$5:$I$53,G1295),H1295),H1295)</f>
        <v>health professions ed</v>
      </c>
      <c r="J1295" s="1" t="str">
        <f aca="false">IFERROR(INDEX(MAP!$F$7:$F$74,MATCH(TRIM(I1295),MAP!$E$7:$E$74,0)),"UNMAPPED")</f>
        <v>Health professions education</v>
      </c>
      <c r="K1295" s="1" t="str">
        <f aca="false">IFERROR(INDEX(MAP!$G$7:$G$74,MATCH(TRIM(I1295),MAP!$E$7:$E$74,0)),"UNMAPPED")</f>
        <v>7f</v>
      </c>
      <c r="L1295" s="49" t="str">
        <f aca="false">STACK!G1295</f>
        <v>2/28/26</v>
      </c>
      <c r="M1295" s="59" t="n">
        <f aca="false">IF(G1295&gt;0,IF(INDEX(CONFIRM!$G$5:$G$53,G1295)&lt;&gt;"",INDEX(CONFIRM!$G$5:$G$53,G1295),IF(ISNUMBER(L1295),L1295,IFERROR(DATEVALUE(L1295),""))),IF(ISNUMBER(L1295),L1295,IFERROR(DATEVALUE(L1295),"")))</f>
        <v>46081</v>
      </c>
      <c r="N1295" s="1" t="str">
        <f aca="false">IF(M1295="","Check",IF(AND(M1295&gt;=INPUTS!$C$6,M1295&lt;=INPUTS!$C$7),"Yes","No"))</f>
        <v>Yes</v>
      </c>
      <c r="O1295" s="48" t="str">
        <f aca="false">STACK!H1295</f>
        <v>RN - Outreach</v>
      </c>
      <c r="P1295" s="1" t="str">
        <f aca="false">IF(G1295&gt;0,IF(INDEX(CONFIRM!$H$5:$H$53,G1295)&lt;&gt;"",INDEX(CONFIRM!$H$5:$H$53,G1295),IFERROR(INDEX(MAP!$B$7:$B$156,MATCH(TRIM(O1295),MAP!$A$7:$A$156,0)),"UNMAPPED")),IFERROR(INDEX(MAP!$B$7:$B$156,MATCH(TRIM(O1295),MAP!$A$7:$A$156,0)),"UNMAPPED"))</f>
        <v>Registered Nurse</v>
      </c>
      <c r="Q1295" s="48" t="n">
        <f aca="false">STACK!I1295</f>
        <v>179</v>
      </c>
      <c r="R1295" s="60" t="n">
        <f aca="false">IF(G1295&gt;0,IF(INDEX(CONFIRM!$F$5:$F$53,G1295)&lt;&gt;"",INDEX(CONFIRM!$F$5:$F$53,G1295),IF(ISNUMBER(Q1295),Q1295,IF(Q1295="","",IFERROR(VALUE(TRIM(SUBSTITUTE(SUBSTITUTE(LOWER(Q1295),"hrs",""),"hr",""))),"")))),IF(ISNUMBER(Q1295),Q1295,IF(Q1295="","",IFERROR(VALUE(TRIM(SUBSTITUTE(SUBSTITUTE(LOWER(Q1295),"hrs",""),"hr",""))),""))))</f>
        <v>179</v>
      </c>
      <c r="S1295" s="57" t="n">
        <f aca="false">IFERROR(INDEX(RATES!$E$6:$E$28,MATCH(P1295,RATES!$A$6:$A$28,0)),0)</f>
        <v>55.8975</v>
      </c>
      <c r="T1295" s="61" t="n">
        <f aca="false">IF(ISNUMBER(R1295),R1295,0)*S1295</f>
        <v>10005.6525</v>
      </c>
      <c r="U1295" s="61" t="n">
        <f aca="false">T1295*INDEX(INPUTS!$H$10:$H$14,MATCH(B1295,INPUTS!$A$10:$A$14,0))</f>
        <v>1410.7970025</v>
      </c>
      <c r="V1295" s="61" t="n">
        <f aca="false">N(STACK!K1295)</f>
        <v>0</v>
      </c>
      <c r="W1295" s="61" t="n">
        <f aca="false">T1295+U1295+V1295</f>
        <v>11416.4495025</v>
      </c>
      <c r="X1295" s="61" t="n">
        <f aca="false">N(STACK!L1295)</f>
        <v>0</v>
      </c>
      <c r="Y1295" s="61" t="n">
        <f aca="false">W1295-X1295</f>
        <v>11416.4495025</v>
      </c>
      <c r="Z1295" s="1" t="n">
        <f aca="false">N(STACK!J1295)</f>
        <v>0</v>
      </c>
      <c r="AA1295" s="1" t="str">
        <f aca="false">TRIM(IF(D1295="UNMAPPED","Program not mapped. ","")&amp;IF(OR(K1295="UNMAPPED",K1295="UNASSIGNED"),"Category needs review. ","")&amp;IF(P1295="UNMAPPED","Title not mapped. ","")&amp;IF(AND(P1295&lt;&gt;"No staff time",R1295=""),"Missing hours. ","")&amp;IF(M1295="","Date not readable. ","")&amp;IF(N1295="No","Outside fiscal year. ","")&amp;IF(AND(F1295="Event",ISNUMBER(R1295)),IF(R1295&gt;12,"Event hours look high. ",""),"")&amp;IF(G1295&gt;0,"See CONFIRM sheet.",""))</f>
        <v/>
      </c>
      <c r="AB1295" s="1" t="n">
        <f aca="false">IF(N1295="No",0,IF(REVIEW!O1295=0,0,IF(G1295&gt;0,IF(INDEX(CONFIRM!$J$5:$J$53,G1295)&lt;&gt;"",INDEX(CONFIRM!$J$5:$J$53,G1295),1),1)))</f>
        <v>1</v>
      </c>
      <c r="AC1295" s="1" t="n">
        <f aca="false">IF(AB1295=1,IF(COUNTIFS($B$5:B1295,B1295,$D$5:D1295,D1295,$AB$5:AB1295,1)=1,1,0),0)</f>
        <v>0</v>
      </c>
    </row>
    <row r="1296" customFormat="false" ht="15" hidden="false" customHeight="false" outlineLevel="0" collapsed="false">
      <c r="A1296" s="48" t="str">
        <f aca="false">STACK!A1296</f>
        <v>WCH-0189</v>
      </c>
      <c r="B1296" s="48" t="str">
        <f aca="false">STACK!B1296</f>
        <v>WCH</v>
      </c>
      <c r="C1296" s="48" t="str">
        <f aca="false">STACK!E1296</f>
        <v>paramedic students</v>
      </c>
      <c r="D1296" s="1" t="str">
        <f aca="false">IFERROR(INDEX(MAP!$J$7:$J$101,MATCH(TRIM(C1296),MAP!$I$7:$I$101,0)),"UNMAPPED")</f>
        <v>Paramedic Student Field Training</v>
      </c>
      <c r="E1296" s="1" t="str">
        <f aca="false">IFERROR(INDEX(MAP!$K$7:$K$101,MATCH(TRIM(C1296),MAP!$I$7:$I$101,0)),"")</f>
        <v>Health workforce</v>
      </c>
      <c r="F1296" s="1" t="str">
        <f aca="false">IFERROR(INDEX(MAP!$L$7:$L$101,MATCH(TRIM(C1296),MAP!$I$7:$I$101,0)),"")</f>
        <v>Monthly</v>
      </c>
      <c r="G1296" s="1" t="n">
        <f aca="false">IFERROR(MATCH(A1296,CONFIRM!$A$5:$A$53,0),0)</f>
        <v>0</v>
      </c>
      <c r="H1296" s="48" t="str">
        <f aca="false">STACK!F1296</f>
        <v>health professions ed</v>
      </c>
      <c r="I1296" s="1" t="str">
        <f aca="false">IF(G1296&gt;0,IF(INDEX(CONFIRM!$I$5:$I$53,G1296)&lt;&gt;"",INDEX(CONFIRM!$I$5:$I$53,G1296),H1296),H1296)</f>
        <v>health professions ed</v>
      </c>
      <c r="J1296" s="1" t="str">
        <f aca="false">IFERROR(INDEX(MAP!$F$7:$F$74,MATCH(TRIM(I1296),MAP!$E$7:$E$74,0)),"UNMAPPED")</f>
        <v>Health professions education</v>
      </c>
      <c r="K1296" s="1" t="str">
        <f aca="false">IFERROR(INDEX(MAP!$G$7:$G$74,MATCH(TRIM(I1296),MAP!$E$7:$E$74,0)),"UNMAPPED")</f>
        <v>7f</v>
      </c>
      <c r="L1296" s="49" t="str">
        <f aca="false">STACK!G1296</f>
        <v>2/28/26</v>
      </c>
      <c r="M1296" s="59" t="n">
        <f aca="false">IF(G1296&gt;0,IF(INDEX(CONFIRM!$G$5:$G$53,G1296)&lt;&gt;"",INDEX(CONFIRM!$G$5:$G$53,G1296),IF(ISNUMBER(L1296),L1296,IFERROR(DATEVALUE(L1296),""))),IF(ISNUMBER(L1296),L1296,IFERROR(DATEVALUE(L1296),"")))</f>
        <v>46081</v>
      </c>
      <c r="N1296" s="1" t="str">
        <f aca="false">IF(M1296="","Check",IF(AND(M1296&gt;=INPUTS!$C$6,M1296&lt;=INPUTS!$C$7),"Yes","No"))</f>
        <v>Yes</v>
      </c>
      <c r="O1296" s="48" t="str">
        <f aca="false">STACK!H1296</f>
        <v>Flight Paramedic</v>
      </c>
      <c r="P1296" s="1" t="str">
        <f aca="false">IF(G1296&gt;0,IF(INDEX(CONFIRM!$H$5:$H$53,G1296)&lt;&gt;"",INDEX(CONFIRM!$H$5:$H$53,G1296),IFERROR(INDEX(MAP!$B$7:$B$156,MATCH(TRIM(O1296),MAP!$A$7:$A$156,0)),"UNMAPPED")),IFERROR(INDEX(MAP!$B$7:$B$156,MATCH(TRIM(O1296),MAP!$A$7:$A$156,0)),"UNMAPPED"))</f>
        <v>Paramedic</v>
      </c>
      <c r="Q1296" s="48" t="n">
        <f aca="false">STACK!I1296</f>
        <v>49.25</v>
      </c>
      <c r="R1296" s="60" t="n">
        <f aca="false">IF(G1296&gt;0,IF(INDEX(CONFIRM!$F$5:$F$53,G1296)&lt;&gt;"",INDEX(CONFIRM!$F$5:$F$53,G1296),IF(ISNUMBER(Q1296),Q1296,IF(Q1296="","",IFERROR(VALUE(TRIM(SUBSTITUTE(SUBSTITUTE(LOWER(Q1296),"hrs",""),"hr",""))),"")))),IF(ISNUMBER(Q1296),Q1296,IF(Q1296="","",IFERROR(VALUE(TRIM(SUBSTITUTE(SUBSTITUTE(LOWER(Q1296),"hrs",""),"hr",""))),""))))</f>
        <v>49.25</v>
      </c>
      <c r="S1296" s="57" t="n">
        <f aca="false">IFERROR(INDEX(RATES!$E$6:$E$28,MATCH(P1296,RATES!$A$6:$A$28,0)),0)</f>
        <v>34.695</v>
      </c>
      <c r="T1296" s="61" t="n">
        <f aca="false">IF(ISNUMBER(R1296),R1296,0)*S1296</f>
        <v>1708.72875</v>
      </c>
      <c r="U1296" s="61" t="n">
        <f aca="false">T1296*INDEX(INPUTS!$H$10:$H$14,MATCH(B1296,INPUTS!$A$10:$A$14,0))</f>
        <v>240.93075375</v>
      </c>
      <c r="V1296" s="61" t="n">
        <f aca="false">N(STACK!K1296)</f>
        <v>85</v>
      </c>
      <c r="W1296" s="61" t="n">
        <f aca="false">T1296+U1296+V1296</f>
        <v>2034.65950375</v>
      </c>
      <c r="X1296" s="61" t="n">
        <f aca="false">N(STACK!L1296)</f>
        <v>0</v>
      </c>
      <c r="Y1296" s="61" t="n">
        <f aca="false">W1296-X1296</f>
        <v>2034.65950375</v>
      </c>
      <c r="Z1296" s="1" t="n">
        <f aca="false">N(STACK!J1296)</f>
        <v>3</v>
      </c>
      <c r="AA1296" s="1" t="str">
        <f aca="false">TRIM(IF(D1296="UNMAPPED","Program not mapped. ","")&amp;IF(OR(K1296="UNMAPPED",K1296="UNASSIGNED"),"Category needs review. ","")&amp;IF(P1296="UNMAPPED","Title not mapped. ","")&amp;IF(AND(P1296&lt;&gt;"No staff time",R1296=""),"Missing hours. ","")&amp;IF(M1296="","Date not readable. ","")&amp;IF(N1296="No","Outside fiscal year. ","")&amp;IF(AND(F1296="Event",ISNUMBER(R1296)),IF(R1296&gt;12,"Event hours look high. ",""),"")&amp;IF(G1296&gt;0,"See CONFIRM sheet.",""))</f>
        <v/>
      </c>
      <c r="AB1296" s="1" t="n">
        <f aca="false">IF(N1296="No",0,IF(REVIEW!O1296=0,0,IF(G1296&gt;0,IF(INDEX(CONFIRM!$J$5:$J$53,G1296)&lt;&gt;"",INDEX(CONFIRM!$J$5:$J$53,G1296),1),1)))</f>
        <v>1</v>
      </c>
      <c r="AC1296" s="1" t="n">
        <f aca="false">IF(AB1296=1,IF(COUNTIFS($B$5:B1296,B1296,$D$5:D1296,D1296,$AB$5:AB1296,1)=1,1,0),0)</f>
        <v>0</v>
      </c>
    </row>
    <row r="1297" customFormat="false" ht="15" hidden="false" customHeight="false" outlineLevel="0" collapsed="false">
      <c r="A1297" s="48" t="str">
        <f aca="false">STACK!A1297</f>
        <v>WCH-0190</v>
      </c>
      <c r="B1297" s="48" t="str">
        <f aca="false">STACK!B1297</f>
        <v>WCH</v>
      </c>
      <c r="C1297" s="48" t="str">
        <f aca="false">STACK!E1297</f>
        <v>rural maternal study</v>
      </c>
      <c r="D1297" s="1" t="str">
        <f aca="false">IFERROR(INDEX(MAP!$J$7:$J$101,MATCH(TRIM(C1297),MAP!$I$7:$I$101,0)),"UNMAPPED")</f>
        <v>Rural Maternal Outcomes Study</v>
      </c>
      <c r="E1297" s="1" t="str">
        <f aca="false">IFERROR(INDEX(MAP!$K$7:$K$101,MATCH(TRIM(C1297),MAP!$I$7:$I$101,0)),"")</f>
        <v>Maternal and child health</v>
      </c>
      <c r="F1297" s="1" t="str">
        <f aca="false">IFERROR(INDEX(MAP!$L$7:$L$101,MATCH(TRIM(C1297),MAP!$I$7:$I$101,0)),"")</f>
        <v>Monthly</v>
      </c>
      <c r="G1297" s="1" t="n">
        <f aca="false">IFERROR(MATCH(A1297,CONFIRM!$A$5:$A$53,0),0)</f>
        <v>0</v>
      </c>
      <c r="H1297" s="48" t="str">
        <f aca="false">STACK!F1297</f>
        <v>research</v>
      </c>
      <c r="I1297" s="1" t="str">
        <f aca="false">IF(G1297&gt;0,IF(INDEX(CONFIRM!$I$5:$I$53,G1297)&lt;&gt;"",INDEX(CONFIRM!$I$5:$I$53,G1297),H1297),H1297)</f>
        <v>research</v>
      </c>
      <c r="J1297" s="1" t="str">
        <f aca="false">IFERROR(INDEX(MAP!$F$7:$F$74,MATCH(TRIM(I1297),MAP!$E$7:$E$74,0)),"UNMAPPED")</f>
        <v>Research</v>
      </c>
      <c r="K1297" s="1" t="str">
        <f aca="false">IFERROR(INDEX(MAP!$G$7:$G$74,MATCH(TRIM(I1297),MAP!$E$7:$E$74,0)),"UNMAPPED")</f>
        <v>7h</v>
      </c>
      <c r="L1297" s="49" t="n">
        <f aca="false">STACK!G1297</f>
        <v>46081</v>
      </c>
      <c r="M1297" s="59" t="n">
        <f aca="false">IF(G1297&gt;0,IF(INDEX(CONFIRM!$G$5:$G$53,G1297)&lt;&gt;"",INDEX(CONFIRM!$G$5:$G$53,G1297),IF(ISNUMBER(L1297),L1297,IFERROR(DATEVALUE(L1297),""))),IF(ISNUMBER(L1297),L1297,IFERROR(DATEVALUE(L1297),"")))</f>
        <v>46081</v>
      </c>
      <c r="N1297" s="1" t="str">
        <f aca="false">IF(M1297="","Check",IF(AND(M1297&gt;=INPUTS!$C$6,M1297&lt;=INPUTS!$C$7),"Yes","No"))</f>
        <v>Yes</v>
      </c>
      <c r="O1297" s="48" t="str">
        <f aca="false">STACK!H1297</f>
        <v>BI Analyst</v>
      </c>
      <c r="P1297" s="1" t="str">
        <f aca="false">IF(G1297&gt;0,IF(INDEX(CONFIRM!$H$5:$H$53,G1297)&lt;&gt;"",INDEX(CONFIRM!$H$5:$H$53,G1297),IFERROR(INDEX(MAP!$B$7:$B$156,MATCH(TRIM(O1297),MAP!$A$7:$A$156,0)),"UNMAPPED")),IFERROR(INDEX(MAP!$B$7:$B$156,MATCH(TRIM(O1297),MAP!$A$7:$A$156,0)),"UNMAPPED"))</f>
        <v>Data Analyst</v>
      </c>
      <c r="Q1297" s="48" t="n">
        <f aca="false">STACK!I1297</f>
        <v>12.25</v>
      </c>
      <c r="R1297" s="60" t="n">
        <f aca="false">IF(G1297&gt;0,IF(INDEX(CONFIRM!$F$5:$F$53,G1297)&lt;&gt;"",INDEX(CONFIRM!$F$5:$F$53,G1297),IF(ISNUMBER(Q1297),Q1297,IF(Q1297="","",IFERROR(VALUE(TRIM(SUBSTITUTE(SUBSTITUTE(LOWER(Q1297),"hrs",""),"hr",""))),"")))),IF(ISNUMBER(Q1297),Q1297,IF(Q1297="","",IFERROR(VALUE(TRIM(SUBSTITUTE(SUBSTITUTE(LOWER(Q1297),"hrs",""),"hr",""))),""))))</f>
        <v>12.25</v>
      </c>
      <c r="S1297" s="57" t="n">
        <f aca="false">IFERROR(INDEX(RATES!$E$6:$E$28,MATCH(P1297,RATES!$A$6:$A$28,0)),0)</f>
        <v>48.83</v>
      </c>
      <c r="T1297" s="61" t="n">
        <f aca="false">IF(ISNUMBER(R1297),R1297,0)*S1297</f>
        <v>598.1675</v>
      </c>
      <c r="U1297" s="61" t="n">
        <f aca="false">T1297*INDEX(INPUTS!$H$10:$H$14,MATCH(B1297,INPUTS!$A$10:$A$14,0))</f>
        <v>84.3416175</v>
      </c>
      <c r="V1297" s="61" t="n">
        <f aca="false">N(STACK!K1297)</f>
        <v>0</v>
      </c>
      <c r="W1297" s="61" t="n">
        <f aca="false">T1297+U1297+V1297</f>
        <v>682.5091175</v>
      </c>
      <c r="X1297" s="61" t="n">
        <f aca="false">N(STACK!L1297)</f>
        <v>0</v>
      </c>
      <c r="Y1297" s="61" t="n">
        <f aca="false">W1297-X1297</f>
        <v>682.5091175</v>
      </c>
      <c r="Z1297" s="1" t="n">
        <f aca="false">N(STACK!J1297)</f>
        <v>0</v>
      </c>
      <c r="AA1297" s="1" t="str">
        <f aca="false">TRIM(IF(D1297="UNMAPPED","Program not mapped. ","")&amp;IF(OR(K1297="UNMAPPED",K1297="UNASSIGNED"),"Category needs review. ","")&amp;IF(P1297="UNMAPPED","Title not mapped. ","")&amp;IF(AND(P1297&lt;&gt;"No staff time",R1297=""),"Missing hours. ","")&amp;IF(M1297="","Date not readable. ","")&amp;IF(N1297="No","Outside fiscal year. ","")&amp;IF(AND(F1297="Event",ISNUMBER(R1297)),IF(R1297&gt;12,"Event hours look high. ",""),"")&amp;IF(G1297&gt;0,"See CONFIRM sheet.",""))</f>
        <v/>
      </c>
      <c r="AB1297" s="1" t="n">
        <f aca="false">IF(N1297="No",0,IF(REVIEW!O1297=0,0,IF(G1297&gt;0,IF(INDEX(CONFIRM!$J$5:$J$53,G1297)&lt;&gt;"",INDEX(CONFIRM!$J$5:$J$53,G1297),1),1)))</f>
        <v>1</v>
      </c>
      <c r="AC1297" s="1" t="n">
        <f aca="false">IF(AB1297=1,IF(COUNTIFS($B$5:B1297,B1297,$D$5:D1297,D1297,$AB$5:AB1297,1)=1,1,0),0)</f>
        <v>0</v>
      </c>
    </row>
    <row r="1298" customFormat="false" ht="15" hidden="false" customHeight="false" outlineLevel="0" collapsed="false">
      <c r="A1298" s="48" t="str">
        <f aca="false">STACK!A1298</f>
        <v>WCH-0191</v>
      </c>
      <c r="B1298" s="48" t="str">
        <f aca="false">STACK!B1298</f>
        <v>WCH</v>
      </c>
      <c r="C1298" s="48" t="str">
        <f aca="false">STACK!E1298</f>
        <v>rural maternal study</v>
      </c>
      <c r="D1298" s="1" t="str">
        <f aca="false">IFERROR(INDEX(MAP!$J$7:$J$101,MATCH(TRIM(C1298),MAP!$I$7:$I$101,0)),"UNMAPPED")</f>
        <v>Rural Maternal Outcomes Study</v>
      </c>
      <c r="E1298" s="1" t="str">
        <f aca="false">IFERROR(INDEX(MAP!$K$7:$K$101,MATCH(TRIM(C1298),MAP!$I$7:$I$101,0)),"")</f>
        <v>Maternal and child health</v>
      </c>
      <c r="F1298" s="1" t="str">
        <f aca="false">IFERROR(INDEX(MAP!$L$7:$L$101,MATCH(TRIM(C1298),MAP!$I$7:$I$101,0)),"")</f>
        <v>Monthly</v>
      </c>
      <c r="G1298" s="1" t="n">
        <f aca="false">IFERROR(MATCH(A1298,CONFIRM!$A$5:$A$53,0),0)</f>
        <v>0</v>
      </c>
      <c r="H1298" s="48" t="str">
        <f aca="false">STACK!F1298</f>
        <v>research</v>
      </c>
      <c r="I1298" s="1" t="str">
        <f aca="false">IF(G1298&gt;0,IF(INDEX(CONFIRM!$I$5:$I$53,G1298)&lt;&gt;"",INDEX(CONFIRM!$I$5:$I$53,G1298),H1298),H1298)</f>
        <v>research</v>
      </c>
      <c r="J1298" s="1" t="str">
        <f aca="false">IFERROR(INDEX(MAP!$F$7:$F$74,MATCH(TRIM(I1298),MAP!$E$7:$E$74,0)),"UNMAPPED")</f>
        <v>Research</v>
      </c>
      <c r="K1298" s="1" t="str">
        <f aca="false">IFERROR(INDEX(MAP!$G$7:$G$74,MATCH(TRIM(I1298),MAP!$E$7:$E$74,0)),"UNMAPPED")</f>
        <v>7h</v>
      </c>
      <c r="L1298" s="49" t="n">
        <f aca="false">STACK!G1298</f>
        <v>46081</v>
      </c>
      <c r="M1298" s="59" t="n">
        <f aca="false">IF(G1298&gt;0,IF(INDEX(CONFIRM!$G$5:$G$53,G1298)&lt;&gt;"",INDEX(CONFIRM!$G$5:$G$53,G1298),IF(ISNUMBER(L1298),L1298,IFERROR(DATEVALUE(L1298),""))),IF(ISNUMBER(L1298),L1298,IFERROR(DATEVALUE(L1298),"")))</f>
        <v>46081</v>
      </c>
      <c r="N1298" s="1" t="str">
        <f aca="false">IF(M1298="","Check",IF(AND(M1298&gt;=INPUTS!$C$6,M1298&lt;=INPUTS!$C$7),"Yes","No"))</f>
        <v>Yes</v>
      </c>
      <c r="O1298" s="48" t="str">
        <f aca="false">STACK!H1298</f>
        <v>Research Nurse</v>
      </c>
      <c r="P1298" s="1" t="str">
        <f aca="false">IF(G1298&gt;0,IF(INDEX(CONFIRM!$H$5:$H$53,G1298)&lt;&gt;"",INDEX(CONFIRM!$H$5:$H$53,G1298),IFERROR(INDEX(MAP!$B$7:$B$156,MATCH(TRIM(O1298),MAP!$A$7:$A$156,0)),"UNMAPPED")),IFERROR(INDEX(MAP!$B$7:$B$156,MATCH(TRIM(O1298),MAP!$A$7:$A$156,0)),"UNMAPPED"))</f>
        <v>Research Coordinator</v>
      </c>
      <c r="Q1298" s="48" t="n">
        <f aca="false">STACK!I1298</f>
        <v>35.5</v>
      </c>
      <c r="R1298" s="60" t="n">
        <f aca="false">IF(G1298&gt;0,IF(INDEX(CONFIRM!$F$5:$F$53,G1298)&lt;&gt;"",INDEX(CONFIRM!$F$5:$F$53,G1298),IF(ISNUMBER(Q1298),Q1298,IF(Q1298="","",IFERROR(VALUE(TRIM(SUBSTITUTE(SUBSTITUTE(LOWER(Q1298),"hrs",""),"hr",""))),"")))),IF(ISNUMBER(Q1298),Q1298,IF(Q1298="","",IFERROR(VALUE(TRIM(SUBSTITUTE(SUBSTITUTE(LOWER(Q1298),"hrs",""),"hr",""))),""))))</f>
        <v>35.5</v>
      </c>
      <c r="S1298" s="57" t="n">
        <f aca="false">IFERROR(INDEX(RATES!$E$6:$E$28,MATCH(P1298,RATES!$A$6:$A$28,0)),0)</f>
        <v>42.405</v>
      </c>
      <c r="T1298" s="61" t="n">
        <f aca="false">IF(ISNUMBER(R1298),R1298,0)*S1298</f>
        <v>1505.3775</v>
      </c>
      <c r="U1298" s="61" t="n">
        <f aca="false">T1298*INDEX(INPUTS!$H$10:$H$14,MATCH(B1298,INPUTS!$A$10:$A$14,0))</f>
        <v>212.2582275</v>
      </c>
      <c r="V1298" s="61" t="n">
        <f aca="false">N(STACK!K1298)</f>
        <v>1500</v>
      </c>
      <c r="W1298" s="61" t="n">
        <f aca="false">T1298+U1298+V1298</f>
        <v>3217.6357275</v>
      </c>
      <c r="X1298" s="61" t="n">
        <f aca="false">N(STACK!L1298)</f>
        <v>5170</v>
      </c>
      <c r="Y1298" s="61" t="n">
        <f aca="false">W1298-X1298</f>
        <v>-1952.3642725</v>
      </c>
      <c r="Z1298" s="1" t="n">
        <f aca="false">N(STACK!J1298)</f>
        <v>9</v>
      </c>
      <c r="AA1298" s="1" t="str">
        <f aca="false">TRIM(IF(D1298="UNMAPPED","Program not mapped. ","")&amp;IF(OR(K1298="UNMAPPED",K1298="UNASSIGNED"),"Category needs review. ","")&amp;IF(P1298="UNMAPPED","Title not mapped. ","")&amp;IF(AND(P1298&lt;&gt;"No staff time",R1298=""),"Missing hours. ","")&amp;IF(M1298="","Date not readable. ","")&amp;IF(N1298="No","Outside fiscal year. ","")&amp;IF(AND(F1298="Event",ISNUMBER(R1298)),IF(R1298&gt;12,"Event hours look high. ",""),"")&amp;IF(G1298&gt;0,"See CONFIRM sheet.",""))</f>
        <v/>
      </c>
      <c r="AB1298" s="1" t="n">
        <f aca="false">IF(N1298="No",0,IF(REVIEW!O1298=0,0,IF(G1298&gt;0,IF(INDEX(CONFIRM!$J$5:$J$53,G1298)&lt;&gt;"",INDEX(CONFIRM!$J$5:$J$53,G1298),1),1)))</f>
        <v>1</v>
      </c>
      <c r="AC1298" s="1" t="n">
        <f aca="false">IF(AB1298=1,IF(COUNTIFS($B$5:B1298,B1298,$D$5:D1298,D1298,$AB$5:AB1298,1)=1,1,0),0)</f>
        <v>0</v>
      </c>
    </row>
    <row r="1299" customFormat="false" ht="15" hidden="false" customHeight="false" outlineLevel="0" collapsed="false">
      <c r="A1299" s="48" t="str">
        <f aca="false">STACK!A1299</f>
        <v>WCH-0192</v>
      </c>
      <c r="B1299" s="48" t="str">
        <f aca="false">STACK!B1299</f>
        <v>WCH</v>
      </c>
      <c r="C1299" s="48" t="str">
        <f aca="false">STACK!E1299</f>
        <v>narcan training</v>
      </c>
      <c r="D1299" s="1" t="str">
        <f aca="false">IFERROR(INDEX(MAP!$J$7:$J$101,MATCH(TRIM(C1299),MAP!$I$7:$I$101,0)),"UNMAPPED")</f>
        <v>Naloxone Training and Distribution</v>
      </c>
      <c r="E1299" s="1" t="str">
        <f aca="false">IFERROR(INDEX(MAP!$K$7:$K$101,MATCH(TRIM(C1299),MAP!$I$7:$I$101,0)),"")</f>
        <v>Behavioral health</v>
      </c>
      <c r="F1299" s="1" t="str">
        <f aca="false">IFERROR(INDEX(MAP!$L$7:$L$101,MATCH(TRIM(C1299),MAP!$I$7:$I$101,0)),"")</f>
        <v>Event</v>
      </c>
      <c r="G1299" s="1" t="n">
        <f aca="false">IFERROR(MATCH(A1299,CONFIRM!$A$5:$A$53,0),0)</f>
        <v>0</v>
      </c>
      <c r="H1299" s="48" t="str">
        <f aca="false">STACK!F1299</f>
        <v>community health improvement services</v>
      </c>
      <c r="I1299" s="1" t="str">
        <f aca="false">IF(G1299&gt;0,IF(INDEX(CONFIRM!$I$5:$I$53,G1299)&lt;&gt;"",INDEX(CONFIRM!$I$5:$I$53,G1299),H1299),H1299)</f>
        <v>community health improvement services</v>
      </c>
      <c r="J1299" s="1" t="str">
        <f aca="false">IFERROR(INDEX(MAP!$F$7:$F$74,MATCH(TRIM(I1299),MAP!$E$7:$E$74,0)),"UNMAPPED")</f>
        <v>Community health education</v>
      </c>
      <c r="K1299" s="1" t="str">
        <f aca="false">IFERROR(INDEX(MAP!$G$7:$G$74,MATCH(TRIM(I1299),MAP!$E$7:$E$74,0)),"UNMAPPED")</f>
        <v>7e</v>
      </c>
      <c r="L1299" s="49" t="str">
        <f aca="false">STACK!G1299</f>
        <v>3/7/26</v>
      </c>
      <c r="M1299" s="59" t="n">
        <f aca="false">IF(G1299&gt;0,IF(INDEX(CONFIRM!$G$5:$G$53,G1299)&lt;&gt;"",INDEX(CONFIRM!$G$5:$G$53,G1299),IF(ISNUMBER(L1299),L1299,IFERROR(DATEVALUE(L1299),""))),IF(ISNUMBER(L1299),L1299,IFERROR(DATEVALUE(L1299),"")))</f>
        <v>46088</v>
      </c>
      <c r="N1299" s="1" t="str">
        <f aca="false">IF(M1299="","Check",IF(AND(M1299&gt;=INPUTS!$C$6,M1299&lt;=INPUTS!$C$7),"Yes","No"))</f>
        <v>Yes</v>
      </c>
      <c r="O1299" s="48" t="str">
        <f aca="false">STACK!H1299</f>
        <v>Hlth Educator</v>
      </c>
      <c r="P1299" s="1" t="str">
        <f aca="false">IF(G1299&gt;0,IF(INDEX(CONFIRM!$H$5:$H$53,G1299)&lt;&gt;"",INDEX(CONFIRM!$H$5:$H$53,G1299),IFERROR(INDEX(MAP!$B$7:$B$156,MATCH(TRIM(O1299),MAP!$A$7:$A$156,0)),"UNMAPPED")),IFERROR(INDEX(MAP!$B$7:$B$156,MATCH(TRIM(O1299),MAP!$A$7:$A$156,0)),"UNMAPPED"))</f>
        <v>Health Educator</v>
      </c>
      <c r="Q1299" s="48" t="n">
        <f aca="false">STACK!I1299</f>
        <v>2.25</v>
      </c>
      <c r="R1299" s="60" t="n">
        <f aca="false">IF(G1299&gt;0,IF(INDEX(CONFIRM!$F$5:$F$53,G1299)&lt;&gt;"",INDEX(CONFIRM!$F$5:$F$53,G1299),IF(ISNUMBER(Q1299),Q1299,IF(Q1299="","",IFERROR(VALUE(TRIM(SUBSTITUTE(SUBSTITUTE(LOWER(Q1299),"hrs",""),"hr",""))),"")))),IF(ISNUMBER(Q1299),Q1299,IF(Q1299="","",IFERROR(VALUE(TRIM(SUBSTITUTE(SUBSTITUTE(LOWER(Q1299),"hrs",""),"hr",""))),""))))</f>
        <v>2.25</v>
      </c>
      <c r="S1299" s="57" t="n">
        <f aca="false">IFERROR(INDEX(RATES!$E$6:$E$28,MATCH(P1299,RATES!$A$6:$A$28,0)),0)</f>
        <v>37.265</v>
      </c>
      <c r="T1299" s="61" t="n">
        <f aca="false">IF(ISNUMBER(R1299),R1299,0)*S1299</f>
        <v>83.84625</v>
      </c>
      <c r="U1299" s="61" t="n">
        <f aca="false">T1299*INDEX(INPUTS!$H$10:$H$14,MATCH(B1299,INPUTS!$A$10:$A$14,0))</f>
        <v>11.82232125</v>
      </c>
      <c r="V1299" s="61" t="n">
        <f aca="false">N(STACK!K1299)</f>
        <v>0</v>
      </c>
      <c r="W1299" s="61" t="n">
        <f aca="false">T1299+U1299+V1299</f>
        <v>95.66857125</v>
      </c>
      <c r="X1299" s="61" t="n">
        <f aca="false">N(STACK!L1299)</f>
        <v>0</v>
      </c>
      <c r="Y1299" s="61" t="n">
        <f aca="false">W1299-X1299</f>
        <v>95.66857125</v>
      </c>
      <c r="Z1299" s="1" t="n">
        <f aca="false">N(STACK!J1299)</f>
        <v>0</v>
      </c>
      <c r="AA1299" s="1" t="str">
        <f aca="false">TRIM(IF(D1299="UNMAPPED","Program not mapped. ","")&amp;IF(OR(K1299="UNMAPPED",K1299="UNASSIGNED"),"Category needs review. ","")&amp;IF(P1299="UNMAPPED","Title not mapped. ","")&amp;IF(AND(P1299&lt;&gt;"No staff time",R1299=""),"Missing hours. ","")&amp;IF(M1299="","Date not readable. ","")&amp;IF(N1299="No","Outside fiscal year. ","")&amp;IF(AND(F1299="Event",ISNUMBER(R1299)),IF(R1299&gt;12,"Event hours look high. ",""),"")&amp;IF(G1299&gt;0,"See CONFIRM sheet.",""))</f>
        <v/>
      </c>
      <c r="AB1299" s="1" t="n">
        <f aca="false">IF(N1299="No",0,IF(REVIEW!O1299=0,0,IF(G1299&gt;0,IF(INDEX(CONFIRM!$J$5:$J$53,G1299)&lt;&gt;"",INDEX(CONFIRM!$J$5:$J$53,G1299),1),1)))</f>
        <v>1</v>
      </c>
      <c r="AC1299" s="1" t="n">
        <f aca="false">IF(AB1299=1,IF(COUNTIFS($B$5:B1299,B1299,$D$5:D1299,D1299,$AB$5:AB1299,1)=1,1,0),0)</f>
        <v>0</v>
      </c>
    </row>
    <row r="1300" customFormat="false" ht="15" hidden="false" customHeight="false" outlineLevel="0" collapsed="false">
      <c r="A1300" s="48" t="str">
        <f aca="false">STACK!A1300</f>
        <v>WCH-0193</v>
      </c>
      <c r="B1300" s="48" t="str">
        <f aca="false">STACK!B1300</f>
        <v>WCH</v>
      </c>
      <c r="C1300" s="48" t="str">
        <f aca="false">STACK!E1300</f>
        <v>narcan training</v>
      </c>
      <c r="D1300" s="1" t="str">
        <f aca="false">IFERROR(INDEX(MAP!$J$7:$J$101,MATCH(TRIM(C1300),MAP!$I$7:$I$101,0)),"UNMAPPED")</f>
        <v>Naloxone Training and Distribution</v>
      </c>
      <c r="E1300" s="1" t="str">
        <f aca="false">IFERROR(INDEX(MAP!$K$7:$K$101,MATCH(TRIM(C1300),MAP!$I$7:$I$101,0)),"")</f>
        <v>Behavioral health</v>
      </c>
      <c r="F1300" s="1" t="str">
        <f aca="false">IFERROR(INDEX(MAP!$L$7:$L$101,MATCH(TRIM(C1300),MAP!$I$7:$I$101,0)),"")</f>
        <v>Event</v>
      </c>
      <c r="G1300" s="1" t="n">
        <f aca="false">IFERROR(MATCH(A1300,CONFIRM!$A$5:$A$53,0),0)</f>
        <v>0</v>
      </c>
      <c r="H1300" s="48" t="str">
        <f aca="false">STACK!F1300</f>
        <v>community health improvement services</v>
      </c>
      <c r="I1300" s="1" t="str">
        <f aca="false">IF(G1300&gt;0,IF(INDEX(CONFIRM!$I$5:$I$53,G1300)&lt;&gt;"",INDEX(CONFIRM!$I$5:$I$53,G1300),H1300),H1300)</f>
        <v>community health improvement services</v>
      </c>
      <c r="J1300" s="1" t="str">
        <f aca="false">IFERROR(INDEX(MAP!$F$7:$F$74,MATCH(TRIM(I1300),MAP!$E$7:$E$74,0)),"UNMAPPED")</f>
        <v>Community health education</v>
      </c>
      <c r="K1300" s="1" t="str">
        <f aca="false">IFERROR(INDEX(MAP!$G$7:$G$74,MATCH(TRIM(I1300),MAP!$E$7:$E$74,0)),"UNMAPPED")</f>
        <v>7e</v>
      </c>
      <c r="L1300" s="49" t="str">
        <f aca="false">STACK!G1300</f>
        <v>3/7/26</v>
      </c>
      <c r="M1300" s="59" t="n">
        <f aca="false">IF(G1300&gt;0,IF(INDEX(CONFIRM!$G$5:$G$53,G1300)&lt;&gt;"",INDEX(CONFIRM!$G$5:$G$53,G1300),IF(ISNUMBER(L1300),L1300,IFERROR(DATEVALUE(L1300),""))),IF(ISNUMBER(L1300),L1300,IFERROR(DATEVALUE(L1300),"")))</f>
        <v>46088</v>
      </c>
      <c r="N1300" s="1" t="str">
        <f aca="false">IF(M1300="","Check",IF(AND(M1300&gt;=INPUTS!$C$6,M1300&lt;=INPUTS!$C$7),"Yes","No"))</f>
        <v>Yes</v>
      </c>
      <c r="O1300" s="48" t="str">
        <f aca="false">STACK!H1300</f>
        <v>Staff Pharmacist </v>
      </c>
      <c r="P1300" s="1" t="str">
        <f aca="false">IF(G1300&gt;0,IF(INDEX(CONFIRM!$H$5:$H$53,G1300)&lt;&gt;"",INDEX(CONFIRM!$H$5:$H$53,G1300),IFERROR(INDEX(MAP!$B$7:$B$156,MATCH(TRIM(O1300),MAP!$A$7:$A$156,0)),"UNMAPPED")),IFERROR(INDEX(MAP!$B$7:$B$156,MATCH(TRIM(O1300),MAP!$A$7:$A$156,0)),"UNMAPPED"))</f>
        <v>Pharmacist</v>
      </c>
      <c r="Q1300" s="48" t="n">
        <f aca="false">STACK!I1300</f>
        <v>2.5</v>
      </c>
      <c r="R1300" s="60" t="n">
        <f aca="false">IF(G1300&gt;0,IF(INDEX(CONFIRM!$F$5:$F$53,G1300)&lt;&gt;"",INDEX(CONFIRM!$F$5:$F$53,G1300),IF(ISNUMBER(Q1300),Q1300,IF(Q1300="","",IFERROR(VALUE(TRIM(SUBSTITUTE(SUBSTITUTE(LOWER(Q1300),"hrs",""),"hr",""))),"")))),IF(ISNUMBER(Q1300),Q1300,IF(Q1300="","",IFERROR(VALUE(TRIM(SUBSTITUTE(SUBSTITUTE(LOWER(Q1300),"hrs",""),"hr",""))),""))))</f>
        <v>2.5</v>
      </c>
      <c r="S1300" s="57" t="n">
        <f aca="false">IFERROR(INDEX(RATES!$E$6:$E$28,MATCH(P1300,RATES!$A$6:$A$28,0)),0)</f>
        <v>84.81</v>
      </c>
      <c r="T1300" s="61" t="n">
        <f aca="false">IF(ISNUMBER(R1300),R1300,0)*S1300</f>
        <v>212.025</v>
      </c>
      <c r="U1300" s="61" t="n">
        <f aca="false">T1300*INDEX(INPUTS!$H$10:$H$14,MATCH(B1300,INPUTS!$A$10:$A$14,0))</f>
        <v>29.895525</v>
      </c>
      <c r="V1300" s="61" t="n">
        <f aca="false">N(STACK!K1300)</f>
        <v>1695</v>
      </c>
      <c r="W1300" s="61" t="n">
        <f aca="false">T1300+U1300+V1300</f>
        <v>1936.920525</v>
      </c>
      <c r="X1300" s="61" t="n">
        <f aca="false">N(STACK!L1300)</f>
        <v>1795</v>
      </c>
      <c r="Y1300" s="61" t="n">
        <f aca="false">W1300-X1300</f>
        <v>141.920525</v>
      </c>
      <c r="Z1300" s="1" t="n">
        <f aca="false">N(STACK!J1300)</f>
        <v>44</v>
      </c>
      <c r="AA1300" s="1" t="str">
        <f aca="false">TRIM(IF(D1300="UNMAPPED","Program not mapped. ","")&amp;IF(OR(K1300="UNMAPPED",K1300="UNASSIGNED"),"Category needs review. ","")&amp;IF(P1300="UNMAPPED","Title not mapped. ","")&amp;IF(AND(P1300&lt;&gt;"No staff time",R1300=""),"Missing hours. ","")&amp;IF(M1300="","Date not readable. ","")&amp;IF(N1300="No","Outside fiscal year. ","")&amp;IF(AND(F1300="Event",ISNUMBER(R1300)),IF(R1300&gt;12,"Event hours look high. ",""),"")&amp;IF(G1300&gt;0,"See CONFIRM sheet.",""))</f>
        <v/>
      </c>
      <c r="AB1300" s="1" t="n">
        <f aca="false">IF(N1300="No",0,IF(REVIEW!O1300=0,0,IF(G1300&gt;0,IF(INDEX(CONFIRM!$J$5:$J$53,G1300)&lt;&gt;"",INDEX(CONFIRM!$J$5:$J$53,G1300),1),1)))</f>
        <v>1</v>
      </c>
      <c r="AC1300" s="1" t="n">
        <f aca="false">IF(AB1300=1,IF(COUNTIFS($B$5:B1300,B1300,$D$5:D1300,D1300,$AB$5:AB1300,1)=1,1,0),0)</f>
        <v>0</v>
      </c>
    </row>
    <row r="1301" customFormat="false" ht="15" hidden="false" customHeight="false" outlineLevel="0" collapsed="false">
      <c r="A1301" s="48" t="str">
        <f aca="false">STACK!A1301</f>
        <v>WCH-0194</v>
      </c>
      <c r="B1301" s="48" t="str">
        <f aca="false">STACK!B1301</f>
        <v>WCH</v>
      </c>
      <c r="C1301" s="48" t="str">
        <f aca="false">STACK!E1301</f>
        <v>sports physicals</v>
      </c>
      <c r="D1301" s="1" t="str">
        <f aca="false">IFERROR(INDEX(MAP!$J$7:$J$101,MATCH(TRIM(C1301),MAP!$I$7:$I$101,0)),"UNMAPPED")</f>
        <v>Free Sports Physicals</v>
      </c>
      <c r="E1301" s="1" t="str">
        <f aca="false">IFERROR(INDEX(MAP!$K$7:$K$101,MATCH(TRIM(C1301),MAP!$I$7:$I$101,0)),"")</f>
        <v>Maternal and child health</v>
      </c>
      <c r="F1301" s="1" t="str">
        <f aca="false">IFERROR(INDEX(MAP!$L$7:$L$101,MATCH(TRIM(C1301),MAP!$I$7:$I$101,0)),"")</f>
        <v>Event</v>
      </c>
      <c r="G1301" s="1" t="n">
        <f aca="false">IFERROR(MATCH(A1301,CONFIRM!$A$5:$A$53,0),0)</f>
        <v>0</v>
      </c>
      <c r="H1301" s="48" t="str">
        <f aca="false">STACK!F1301</f>
        <v>CHIS clinical</v>
      </c>
      <c r="I1301" s="1" t="str">
        <f aca="false">IF(G1301&gt;0,IF(INDEX(CONFIRM!$I$5:$I$53,G1301)&lt;&gt;"",INDEX(CONFIRM!$I$5:$I$53,G1301),H1301),H1301)</f>
        <v>CHIS clinical</v>
      </c>
      <c r="J1301" s="1" t="str">
        <f aca="false">IFERROR(INDEX(MAP!$F$7:$F$74,MATCH(TRIM(I1301),MAP!$E$7:$E$74,0)),"UNMAPPED")</f>
        <v>Community-based clinical services</v>
      </c>
      <c r="K1301" s="1" t="str">
        <f aca="false">IFERROR(INDEX(MAP!$G$7:$G$74,MATCH(TRIM(I1301),MAP!$E$7:$E$74,0)),"UNMAPPED")</f>
        <v>7e</v>
      </c>
      <c r="L1301" s="49" t="str">
        <f aca="false">STACK!G1301</f>
        <v>3/11/26</v>
      </c>
      <c r="M1301" s="59" t="n">
        <f aca="false">IF(G1301&gt;0,IF(INDEX(CONFIRM!$G$5:$G$53,G1301)&lt;&gt;"",INDEX(CONFIRM!$G$5:$G$53,G1301),IF(ISNUMBER(L1301),L1301,IFERROR(DATEVALUE(L1301),""))),IF(ISNUMBER(L1301),L1301,IFERROR(DATEVALUE(L1301),"")))</f>
        <v>46092</v>
      </c>
      <c r="N1301" s="1" t="str">
        <f aca="false">IF(M1301="","Check",IF(AND(M1301&gt;=INPUTS!$C$6,M1301&lt;=INPUTS!$C$7),"Yes","No"))</f>
        <v>Yes</v>
      </c>
      <c r="O1301" s="48" t="str">
        <f aca="false">STACK!H1301</f>
        <v>Med Asst</v>
      </c>
      <c r="P1301" s="1" t="str">
        <f aca="false">IF(G1301&gt;0,IF(INDEX(CONFIRM!$H$5:$H$53,G1301)&lt;&gt;"",INDEX(CONFIRM!$H$5:$H$53,G1301),IFERROR(INDEX(MAP!$B$7:$B$156,MATCH(TRIM(O1301),MAP!$A$7:$A$156,0)),"UNMAPPED")),IFERROR(INDEX(MAP!$B$7:$B$156,MATCH(TRIM(O1301),MAP!$A$7:$A$156,0)),"UNMAPPED"))</f>
        <v>Medical Assistant</v>
      </c>
      <c r="Q1301" s="48" t="n">
        <f aca="false">STACK!I1301</f>
        <v>4.5</v>
      </c>
      <c r="R1301" s="60" t="n">
        <f aca="false">IF(G1301&gt;0,IF(INDEX(CONFIRM!$F$5:$F$53,G1301)&lt;&gt;"",INDEX(CONFIRM!$F$5:$F$53,G1301),IF(ISNUMBER(Q1301),Q1301,IF(Q1301="","",IFERROR(VALUE(TRIM(SUBSTITUTE(SUBSTITUTE(LOWER(Q1301),"hrs",""),"hr",""))),"")))),IF(ISNUMBER(Q1301),Q1301,IF(Q1301="","",IFERROR(VALUE(TRIM(SUBSTITUTE(SUBSTITUTE(LOWER(Q1301),"hrs",""),"hr",""))),""))))</f>
        <v>4.5</v>
      </c>
      <c r="S1301" s="57" t="n">
        <f aca="false">IFERROR(INDEX(RATES!$E$6:$E$28,MATCH(P1301,RATES!$A$6:$A$28,0)),0)</f>
        <v>25.37875</v>
      </c>
      <c r="T1301" s="61" t="n">
        <f aca="false">IF(ISNUMBER(R1301),R1301,0)*S1301</f>
        <v>114.204375</v>
      </c>
      <c r="U1301" s="61" t="n">
        <f aca="false">T1301*INDEX(INPUTS!$H$10:$H$14,MATCH(B1301,INPUTS!$A$10:$A$14,0))</f>
        <v>16.102816875</v>
      </c>
      <c r="V1301" s="61" t="n">
        <f aca="false">N(STACK!K1301)</f>
        <v>0</v>
      </c>
      <c r="W1301" s="61" t="n">
        <f aca="false">T1301+U1301+V1301</f>
        <v>130.307191875</v>
      </c>
      <c r="X1301" s="61" t="n">
        <f aca="false">N(STACK!L1301)</f>
        <v>0</v>
      </c>
      <c r="Y1301" s="61" t="n">
        <f aca="false">W1301-X1301</f>
        <v>130.307191875</v>
      </c>
      <c r="Z1301" s="1" t="n">
        <f aca="false">N(STACK!J1301)</f>
        <v>0</v>
      </c>
      <c r="AA1301" s="1" t="str">
        <f aca="false">TRIM(IF(D1301="UNMAPPED","Program not mapped. ","")&amp;IF(OR(K1301="UNMAPPED",K1301="UNASSIGNED"),"Category needs review. ","")&amp;IF(P1301="UNMAPPED","Title not mapped. ","")&amp;IF(AND(P1301&lt;&gt;"No staff time",R1301=""),"Missing hours. ","")&amp;IF(M1301="","Date not readable. ","")&amp;IF(N1301="No","Outside fiscal year. ","")&amp;IF(AND(F1301="Event",ISNUMBER(R1301)),IF(R1301&gt;12,"Event hours look high. ",""),"")&amp;IF(G1301&gt;0,"See CONFIRM sheet.",""))</f>
        <v/>
      </c>
      <c r="AB1301" s="1" t="n">
        <f aca="false">IF(N1301="No",0,IF(REVIEW!O1301=0,0,IF(G1301&gt;0,IF(INDEX(CONFIRM!$J$5:$J$53,G1301)&lt;&gt;"",INDEX(CONFIRM!$J$5:$J$53,G1301),1),1)))</f>
        <v>1</v>
      </c>
      <c r="AC1301" s="1" t="n">
        <f aca="false">IF(AB1301=1,IF(COUNTIFS($B$5:B1301,B1301,$D$5:D1301,D1301,$AB$5:AB1301,1)=1,1,0),0)</f>
        <v>0</v>
      </c>
    </row>
    <row r="1302" customFormat="false" ht="15" hidden="false" customHeight="false" outlineLevel="0" collapsed="false">
      <c r="A1302" s="48" t="str">
        <f aca="false">STACK!A1302</f>
        <v>WCH-0195</v>
      </c>
      <c r="B1302" s="48" t="str">
        <f aca="false">STACK!B1302</f>
        <v>WCH</v>
      </c>
      <c r="C1302" s="48" t="str">
        <f aca="false">STACK!E1302</f>
        <v>sports physicals</v>
      </c>
      <c r="D1302" s="1" t="str">
        <f aca="false">IFERROR(INDEX(MAP!$J$7:$J$101,MATCH(TRIM(C1302),MAP!$I$7:$I$101,0)),"UNMAPPED")</f>
        <v>Free Sports Physicals</v>
      </c>
      <c r="E1302" s="1" t="str">
        <f aca="false">IFERROR(INDEX(MAP!$K$7:$K$101,MATCH(TRIM(C1302),MAP!$I$7:$I$101,0)),"")</f>
        <v>Maternal and child health</v>
      </c>
      <c r="F1302" s="1" t="str">
        <f aca="false">IFERROR(INDEX(MAP!$L$7:$L$101,MATCH(TRIM(C1302),MAP!$I$7:$I$101,0)),"")</f>
        <v>Event</v>
      </c>
      <c r="G1302" s="1" t="n">
        <f aca="false">IFERROR(MATCH(A1302,CONFIRM!$A$5:$A$53,0),0)</f>
        <v>0</v>
      </c>
      <c r="H1302" s="48" t="str">
        <f aca="false">STACK!F1302</f>
        <v>CHIS clinical</v>
      </c>
      <c r="I1302" s="1" t="str">
        <f aca="false">IF(G1302&gt;0,IF(INDEX(CONFIRM!$I$5:$I$53,G1302)&lt;&gt;"",INDEX(CONFIRM!$I$5:$I$53,G1302),H1302),H1302)</f>
        <v>CHIS clinical</v>
      </c>
      <c r="J1302" s="1" t="str">
        <f aca="false">IFERROR(INDEX(MAP!$F$7:$F$74,MATCH(TRIM(I1302),MAP!$E$7:$E$74,0)),"UNMAPPED")</f>
        <v>Community-based clinical services</v>
      </c>
      <c r="K1302" s="1" t="str">
        <f aca="false">IFERROR(INDEX(MAP!$G$7:$G$74,MATCH(TRIM(I1302),MAP!$E$7:$E$74,0)),"UNMAPPED")</f>
        <v>7e</v>
      </c>
      <c r="L1302" s="49" t="str">
        <f aca="false">STACK!G1302</f>
        <v>March 11, 2026</v>
      </c>
      <c r="M1302" s="59" t="n">
        <f aca="false">IF(G1302&gt;0,IF(INDEX(CONFIRM!$G$5:$G$53,G1302)&lt;&gt;"",INDEX(CONFIRM!$G$5:$G$53,G1302),IF(ISNUMBER(L1302),L1302,IFERROR(DATEVALUE(L1302),""))),IF(ISNUMBER(L1302),L1302,IFERROR(DATEVALUE(L1302),"")))</f>
        <v>46092</v>
      </c>
      <c r="N1302" s="1" t="str">
        <f aca="false">IF(M1302="","Check",IF(AND(M1302&gt;=INPUTS!$C$6,M1302&lt;=INPUTS!$C$7),"Yes","No"))</f>
        <v>Yes</v>
      </c>
      <c r="O1302" s="48" t="str">
        <f aca="false">STACK!H1302</f>
        <v>N.P.</v>
      </c>
      <c r="P1302" s="1" t="str">
        <f aca="false">IF(G1302&gt;0,IF(INDEX(CONFIRM!$H$5:$H$53,G1302)&lt;&gt;"",INDEX(CONFIRM!$H$5:$H$53,G1302),IFERROR(INDEX(MAP!$B$7:$B$156,MATCH(TRIM(O1302),MAP!$A$7:$A$156,0)),"UNMAPPED")),IFERROR(INDEX(MAP!$B$7:$B$156,MATCH(TRIM(O1302),MAP!$A$7:$A$156,0)),"UNMAPPED"))</f>
        <v>Nurse Practitioner</v>
      </c>
      <c r="Q1302" s="48" t="n">
        <f aca="false">STACK!I1302</f>
        <v>4.25</v>
      </c>
      <c r="R1302" s="60" t="n">
        <f aca="false">IF(G1302&gt;0,IF(INDEX(CONFIRM!$F$5:$F$53,G1302)&lt;&gt;"",INDEX(CONFIRM!$F$5:$F$53,G1302),IF(ISNUMBER(Q1302),Q1302,IF(Q1302="","",IFERROR(VALUE(TRIM(SUBSTITUTE(SUBSTITUTE(LOWER(Q1302),"hrs",""),"hr",""))),"")))),IF(ISNUMBER(Q1302),Q1302,IF(Q1302="","",IFERROR(VALUE(TRIM(SUBSTITUTE(SUBSTITUTE(LOWER(Q1302),"hrs",""),"hr",""))),""))))</f>
        <v>4.25</v>
      </c>
      <c r="S1302" s="57" t="n">
        <f aca="false">IFERROR(INDEX(RATES!$E$6:$E$28,MATCH(P1302,RATES!$A$6:$A$28,0)),0)</f>
        <v>79.67</v>
      </c>
      <c r="T1302" s="61" t="n">
        <f aca="false">IF(ISNUMBER(R1302),R1302,0)*S1302</f>
        <v>338.5975</v>
      </c>
      <c r="U1302" s="61" t="n">
        <f aca="false">T1302*INDEX(INPUTS!$H$10:$H$14,MATCH(B1302,INPUTS!$A$10:$A$14,0))</f>
        <v>47.7422475</v>
      </c>
      <c r="V1302" s="61" t="n">
        <f aca="false">N(STACK!K1302)</f>
        <v>0</v>
      </c>
      <c r="W1302" s="61" t="n">
        <f aca="false">T1302+U1302+V1302</f>
        <v>386.3397475</v>
      </c>
      <c r="X1302" s="61" t="n">
        <f aca="false">N(STACK!L1302)</f>
        <v>0</v>
      </c>
      <c r="Y1302" s="61" t="n">
        <f aca="false">W1302-X1302</f>
        <v>386.3397475</v>
      </c>
      <c r="Z1302" s="1" t="n">
        <f aca="false">N(STACK!J1302)</f>
        <v>0</v>
      </c>
      <c r="AA1302" s="1" t="str">
        <f aca="false">TRIM(IF(D1302="UNMAPPED","Program not mapped. ","")&amp;IF(OR(K1302="UNMAPPED",K1302="UNASSIGNED"),"Category needs review. ","")&amp;IF(P1302="UNMAPPED","Title not mapped. ","")&amp;IF(AND(P1302&lt;&gt;"No staff time",R1302=""),"Missing hours. ","")&amp;IF(M1302="","Date not readable. ","")&amp;IF(N1302="No","Outside fiscal year. ","")&amp;IF(AND(F1302="Event",ISNUMBER(R1302)),IF(R1302&gt;12,"Event hours look high. ",""),"")&amp;IF(G1302&gt;0,"See CONFIRM sheet.",""))</f>
        <v/>
      </c>
      <c r="AB1302" s="1" t="n">
        <f aca="false">IF(N1302="No",0,IF(REVIEW!O1302=0,0,IF(G1302&gt;0,IF(INDEX(CONFIRM!$J$5:$J$53,G1302)&lt;&gt;"",INDEX(CONFIRM!$J$5:$J$53,G1302),1),1)))</f>
        <v>1</v>
      </c>
      <c r="AC1302" s="1" t="n">
        <f aca="false">IF(AB1302=1,IF(COUNTIFS($B$5:B1302,B1302,$D$5:D1302,D1302,$AB$5:AB1302,1)=1,1,0),0)</f>
        <v>0</v>
      </c>
    </row>
    <row r="1303" customFormat="false" ht="15" hidden="false" customHeight="false" outlineLevel="0" collapsed="false">
      <c r="A1303" s="48" t="str">
        <f aca="false">STACK!A1303</f>
        <v>WCH-0196</v>
      </c>
      <c r="B1303" s="48" t="str">
        <f aca="false">STACK!B1303</f>
        <v>WCH</v>
      </c>
      <c r="C1303" s="48" t="str">
        <f aca="false">STACK!E1303</f>
        <v>sports physicals</v>
      </c>
      <c r="D1303" s="1" t="str">
        <f aca="false">IFERROR(INDEX(MAP!$J$7:$J$101,MATCH(TRIM(C1303),MAP!$I$7:$I$101,0)),"UNMAPPED")</f>
        <v>Free Sports Physicals</v>
      </c>
      <c r="E1303" s="1" t="str">
        <f aca="false">IFERROR(INDEX(MAP!$K$7:$K$101,MATCH(TRIM(C1303),MAP!$I$7:$I$101,0)),"")</f>
        <v>Maternal and child health</v>
      </c>
      <c r="F1303" s="1" t="str">
        <f aca="false">IFERROR(INDEX(MAP!$L$7:$L$101,MATCH(TRIM(C1303),MAP!$I$7:$I$101,0)),"")</f>
        <v>Event</v>
      </c>
      <c r="G1303" s="1" t="n">
        <f aca="false">IFERROR(MATCH(A1303,CONFIRM!$A$5:$A$53,0),0)</f>
        <v>0</v>
      </c>
      <c r="H1303" s="48" t="str">
        <f aca="false">STACK!F1303</f>
        <v>CHIS clinical</v>
      </c>
      <c r="I1303" s="1" t="str">
        <f aca="false">IF(G1303&gt;0,IF(INDEX(CONFIRM!$I$5:$I$53,G1303)&lt;&gt;"",INDEX(CONFIRM!$I$5:$I$53,G1303),H1303),H1303)</f>
        <v>CHIS clinical</v>
      </c>
      <c r="J1303" s="1" t="str">
        <f aca="false">IFERROR(INDEX(MAP!$F$7:$F$74,MATCH(TRIM(I1303),MAP!$E$7:$E$74,0)),"UNMAPPED")</f>
        <v>Community-based clinical services</v>
      </c>
      <c r="K1303" s="1" t="str">
        <f aca="false">IFERROR(INDEX(MAP!$G$7:$G$74,MATCH(TRIM(I1303),MAP!$E$7:$E$74,0)),"UNMAPPED")</f>
        <v>7e</v>
      </c>
      <c r="L1303" s="49" t="n">
        <f aca="false">STACK!G1303</f>
        <v>46092</v>
      </c>
      <c r="M1303" s="59" t="n">
        <f aca="false">IF(G1303&gt;0,IF(INDEX(CONFIRM!$G$5:$G$53,G1303)&lt;&gt;"",INDEX(CONFIRM!$G$5:$G$53,G1303),IF(ISNUMBER(L1303),L1303,IFERROR(DATEVALUE(L1303),""))),IF(ISNUMBER(L1303),L1303,IFERROR(DATEVALUE(L1303),"")))</f>
        <v>46092</v>
      </c>
      <c r="N1303" s="1" t="str">
        <f aca="false">IF(M1303="","Check",IF(AND(M1303&gt;=INPUTS!$C$6,M1303&lt;=INPUTS!$C$7),"Yes","No"))</f>
        <v>Yes</v>
      </c>
      <c r="O1303" s="48" t="str">
        <f aca="false">STACK!H1303</f>
        <v>Attending Physician</v>
      </c>
      <c r="P1303" s="1" t="str">
        <f aca="false">IF(G1303&gt;0,IF(INDEX(CONFIRM!$H$5:$H$53,G1303)&lt;&gt;"",INDEX(CONFIRM!$H$5:$H$53,G1303),IFERROR(INDEX(MAP!$B$7:$B$156,MATCH(TRIM(O1303),MAP!$A$7:$A$156,0)),"UNMAPPED")),IFERROR(INDEX(MAP!$B$7:$B$156,MATCH(TRIM(O1303),MAP!$A$7:$A$156,0)),"UNMAPPED"))</f>
        <v>Physician</v>
      </c>
      <c r="Q1303" s="48" t="n">
        <f aca="false">STACK!I1303</f>
        <v>4.75</v>
      </c>
      <c r="R1303" s="60" t="n">
        <f aca="false">IF(G1303&gt;0,IF(INDEX(CONFIRM!$F$5:$F$53,G1303)&lt;&gt;"",INDEX(CONFIRM!$F$5:$F$53,G1303),IF(ISNUMBER(Q1303),Q1303,IF(Q1303="","",IFERROR(VALUE(TRIM(SUBSTITUTE(SUBSTITUTE(LOWER(Q1303),"hrs",""),"hr",""))),"")))),IF(ISNUMBER(Q1303),Q1303,IF(Q1303="","",IFERROR(VALUE(TRIM(SUBSTITUTE(SUBSTITUTE(LOWER(Q1303),"hrs",""),"hr",""))),""))))</f>
        <v>4.75</v>
      </c>
      <c r="S1303" s="57" t="n">
        <f aca="false">IFERROR(INDEX(RATES!$E$6:$E$28,MATCH(P1303,RATES!$A$6:$A$28,0)),0)</f>
        <v>151.63</v>
      </c>
      <c r="T1303" s="61" t="n">
        <f aca="false">IF(ISNUMBER(R1303),R1303,0)*S1303</f>
        <v>720.2425</v>
      </c>
      <c r="U1303" s="61" t="n">
        <f aca="false">T1303*INDEX(INPUTS!$H$10:$H$14,MATCH(B1303,INPUTS!$A$10:$A$14,0))</f>
        <v>101.5541925</v>
      </c>
      <c r="V1303" s="61" t="n">
        <f aca="false">N(STACK!K1303)</f>
        <v>250</v>
      </c>
      <c r="W1303" s="61" t="n">
        <f aca="false">T1303+U1303+V1303</f>
        <v>1071.7966925</v>
      </c>
      <c r="X1303" s="61" t="n">
        <f aca="false">N(STACK!L1303)</f>
        <v>0</v>
      </c>
      <c r="Y1303" s="61" t="n">
        <f aca="false">W1303-X1303</f>
        <v>1071.7966925</v>
      </c>
      <c r="Z1303" s="1" t="n">
        <f aca="false">N(STACK!J1303)</f>
        <v>68</v>
      </c>
      <c r="AA1303" s="1" t="str">
        <f aca="false">TRIM(IF(D1303="UNMAPPED","Program not mapped. ","")&amp;IF(OR(K1303="UNMAPPED",K1303="UNASSIGNED"),"Category needs review. ","")&amp;IF(P1303="UNMAPPED","Title not mapped. ","")&amp;IF(AND(P1303&lt;&gt;"No staff time",R1303=""),"Missing hours. ","")&amp;IF(M1303="","Date not readable. ","")&amp;IF(N1303="No","Outside fiscal year. ","")&amp;IF(AND(F1303="Event",ISNUMBER(R1303)),IF(R1303&gt;12,"Event hours look high. ",""),"")&amp;IF(G1303&gt;0,"See CONFIRM sheet.",""))</f>
        <v/>
      </c>
      <c r="AB1303" s="1" t="n">
        <f aca="false">IF(N1303="No",0,IF(REVIEW!O1303=0,0,IF(G1303&gt;0,IF(INDEX(CONFIRM!$J$5:$J$53,G1303)&lt;&gt;"",INDEX(CONFIRM!$J$5:$J$53,G1303),1),1)))</f>
        <v>1</v>
      </c>
      <c r="AC1303" s="1" t="n">
        <f aca="false">IF(AB1303=1,IF(COUNTIFS($B$5:B1303,B1303,$D$5:D1303,D1303,$AB$5:AB1303,1)=1,1,0),0)</f>
        <v>0</v>
      </c>
    </row>
    <row r="1304" customFormat="false" ht="15" hidden="false" customHeight="false" outlineLevel="0" collapsed="false">
      <c r="A1304" s="48" t="str">
        <f aca="false">STACK!A1304</f>
        <v>WCH-0197</v>
      </c>
      <c r="B1304" s="48" t="str">
        <f aca="false">STACK!B1304</f>
        <v>WCH</v>
      </c>
      <c r="C1304" s="48" t="str">
        <f aca="false">STACK!E1304</f>
        <v>mobile van screenings</v>
      </c>
      <c r="D1304" s="1" t="str">
        <f aca="false">IFERROR(INDEX(MAP!$J$7:$J$101,MATCH(TRIM(C1304),MAP!$I$7:$I$101,0)),"UNMAPPED")</f>
        <v>Mobile Health Screening Unit</v>
      </c>
      <c r="E1304" s="1" t="str">
        <f aca="false">IFERROR(INDEX(MAP!$K$7:$K$101,MATCH(TRIM(C1304),MAP!$I$7:$I$101,0)),"")</f>
        <v>Access to care</v>
      </c>
      <c r="F1304" s="1" t="str">
        <f aca="false">IFERROR(INDEX(MAP!$L$7:$L$101,MATCH(TRIM(C1304),MAP!$I$7:$I$101,0)),"")</f>
        <v>Monthly</v>
      </c>
      <c r="G1304" s="1" t="n">
        <f aca="false">IFERROR(MATCH(A1304,CONFIRM!$A$5:$A$53,0),0)</f>
        <v>0</v>
      </c>
      <c r="H1304" s="48" t="str">
        <f aca="false">STACK!F1304</f>
        <v>CHIS clinical</v>
      </c>
      <c r="I1304" s="1" t="str">
        <f aca="false">IF(G1304&gt;0,IF(INDEX(CONFIRM!$I$5:$I$53,G1304)&lt;&gt;"",INDEX(CONFIRM!$I$5:$I$53,G1304),H1304),H1304)</f>
        <v>CHIS clinical</v>
      </c>
      <c r="J1304" s="1" t="str">
        <f aca="false">IFERROR(INDEX(MAP!$F$7:$F$74,MATCH(TRIM(I1304),MAP!$E$7:$E$74,0)),"UNMAPPED")</f>
        <v>Community-based clinical services</v>
      </c>
      <c r="K1304" s="1" t="str">
        <f aca="false">IFERROR(INDEX(MAP!$G$7:$G$74,MATCH(TRIM(I1304),MAP!$E$7:$E$74,0)),"UNMAPPED")</f>
        <v>7e</v>
      </c>
      <c r="L1304" s="49" t="n">
        <f aca="false">STACK!G1304</f>
        <v>46112</v>
      </c>
      <c r="M1304" s="59" t="n">
        <f aca="false">IF(G1304&gt;0,IF(INDEX(CONFIRM!$G$5:$G$53,G1304)&lt;&gt;"",INDEX(CONFIRM!$G$5:$G$53,G1304),IF(ISNUMBER(L1304),L1304,IFERROR(DATEVALUE(L1304),""))),IF(ISNUMBER(L1304),L1304,IFERROR(DATEVALUE(L1304),"")))</f>
        <v>46112</v>
      </c>
      <c r="N1304" s="1" t="str">
        <f aca="false">IF(M1304="","Check",IF(AND(M1304&gt;=INPUTS!$C$6,M1304&lt;=INPUTS!$C$7),"Yes","No"))</f>
        <v>Yes</v>
      </c>
      <c r="O1304" s="48" t="str">
        <f aca="false">STACK!H1304</f>
        <v>Comm Health Worker</v>
      </c>
      <c r="P1304" s="1" t="str">
        <f aca="false">IF(G1304&gt;0,IF(INDEX(CONFIRM!$H$5:$H$53,G1304)&lt;&gt;"",INDEX(CONFIRM!$H$5:$H$53,G1304),IFERROR(INDEX(MAP!$B$7:$B$156,MATCH(TRIM(O1304),MAP!$A$7:$A$156,0)),"UNMAPPED")),IFERROR(INDEX(MAP!$B$7:$B$156,MATCH(TRIM(O1304),MAP!$A$7:$A$156,0)),"UNMAPPED"))</f>
        <v>Community Health Worker</v>
      </c>
      <c r="Q1304" s="48" t="n">
        <f aca="false">STACK!I1304</f>
        <v>50.75</v>
      </c>
      <c r="R1304" s="60" t="n">
        <f aca="false">IF(G1304&gt;0,IF(INDEX(CONFIRM!$F$5:$F$53,G1304)&lt;&gt;"",INDEX(CONFIRM!$F$5:$F$53,G1304),IF(ISNUMBER(Q1304),Q1304,IF(Q1304="","",IFERROR(VALUE(TRIM(SUBSTITUTE(SUBSTITUTE(LOWER(Q1304),"hrs",""),"hr",""))),"")))),IF(ISNUMBER(Q1304),Q1304,IF(Q1304="","",IFERROR(VALUE(TRIM(SUBSTITUTE(SUBSTITUTE(LOWER(Q1304),"hrs",""),"hr",""))),""))))</f>
        <v>50.75</v>
      </c>
      <c r="S1304" s="57" t="n">
        <f aca="false">IFERROR(INDEX(RATES!$E$6:$E$28,MATCH(P1304,RATES!$A$6:$A$28,0)),0)</f>
        <v>27.6275</v>
      </c>
      <c r="T1304" s="61" t="n">
        <f aca="false">IF(ISNUMBER(R1304),R1304,0)*S1304</f>
        <v>1402.095625</v>
      </c>
      <c r="U1304" s="61" t="n">
        <f aca="false">T1304*INDEX(INPUTS!$H$10:$H$14,MATCH(B1304,INPUTS!$A$10:$A$14,0))</f>
        <v>197.695483125</v>
      </c>
      <c r="V1304" s="61" t="n">
        <f aca="false">N(STACK!K1304)</f>
        <v>0</v>
      </c>
      <c r="W1304" s="61" t="n">
        <f aca="false">T1304+U1304+V1304</f>
        <v>1599.791108125</v>
      </c>
      <c r="X1304" s="61" t="n">
        <f aca="false">N(STACK!L1304)</f>
        <v>0</v>
      </c>
      <c r="Y1304" s="61" t="n">
        <f aca="false">W1304-X1304</f>
        <v>1599.791108125</v>
      </c>
      <c r="Z1304" s="1" t="n">
        <f aca="false">N(STACK!J1304)</f>
        <v>0</v>
      </c>
      <c r="AA1304" s="1" t="str">
        <f aca="false">TRIM(IF(D1304="UNMAPPED","Program not mapped. ","")&amp;IF(OR(K1304="UNMAPPED",K1304="UNASSIGNED"),"Category needs review. ","")&amp;IF(P1304="UNMAPPED","Title not mapped. ","")&amp;IF(AND(P1304&lt;&gt;"No staff time",R1304=""),"Missing hours. ","")&amp;IF(M1304="","Date not readable. ","")&amp;IF(N1304="No","Outside fiscal year. ","")&amp;IF(AND(F1304="Event",ISNUMBER(R1304)),IF(R1304&gt;12,"Event hours look high. ",""),"")&amp;IF(G1304&gt;0,"See CONFIRM sheet.",""))</f>
        <v/>
      </c>
      <c r="AB1304" s="1" t="n">
        <f aca="false">IF(N1304="No",0,IF(REVIEW!O1304=0,0,IF(G1304&gt;0,IF(INDEX(CONFIRM!$J$5:$J$53,G1304)&lt;&gt;"",INDEX(CONFIRM!$J$5:$J$53,G1304),1),1)))</f>
        <v>1</v>
      </c>
      <c r="AC1304" s="1" t="n">
        <f aca="false">IF(AB1304=1,IF(COUNTIFS($B$5:B1304,B1304,$D$5:D1304,D1304,$AB$5:AB1304,1)=1,1,0),0)</f>
        <v>0</v>
      </c>
    </row>
    <row r="1305" customFormat="false" ht="15" hidden="false" customHeight="false" outlineLevel="0" collapsed="false">
      <c r="A1305" s="48" t="str">
        <f aca="false">STACK!A1305</f>
        <v>WCH-0198</v>
      </c>
      <c r="B1305" s="48" t="str">
        <f aca="false">STACK!B1305</f>
        <v>WCH</v>
      </c>
      <c r="C1305" s="48" t="str">
        <f aca="false">STACK!E1305</f>
        <v>mobile van screenings</v>
      </c>
      <c r="D1305" s="1" t="str">
        <f aca="false">IFERROR(INDEX(MAP!$J$7:$J$101,MATCH(TRIM(C1305),MAP!$I$7:$I$101,0)),"UNMAPPED")</f>
        <v>Mobile Health Screening Unit</v>
      </c>
      <c r="E1305" s="1" t="str">
        <f aca="false">IFERROR(INDEX(MAP!$K$7:$K$101,MATCH(TRIM(C1305),MAP!$I$7:$I$101,0)),"")</f>
        <v>Access to care</v>
      </c>
      <c r="F1305" s="1" t="str">
        <f aca="false">IFERROR(INDEX(MAP!$L$7:$L$101,MATCH(TRIM(C1305),MAP!$I$7:$I$101,0)),"")</f>
        <v>Monthly</v>
      </c>
      <c r="G1305" s="1" t="n">
        <f aca="false">IFERROR(MATCH(A1305,CONFIRM!$A$5:$A$53,0),0)</f>
        <v>0</v>
      </c>
      <c r="H1305" s="48" t="str">
        <f aca="false">STACK!F1305</f>
        <v>CHIS clinical</v>
      </c>
      <c r="I1305" s="1" t="str">
        <f aca="false">IF(G1305&gt;0,IF(INDEX(CONFIRM!$I$5:$I$53,G1305)&lt;&gt;"",INDEX(CONFIRM!$I$5:$I$53,G1305),H1305),H1305)</f>
        <v>CHIS clinical</v>
      </c>
      <c r="J1305" s="1" t="str">
        <f aca="false">IFERROR(INDEX(MAP!$F$7:$F$74,MATCH(TRIM(I1305),MAP!$E$7:$E$74,0)),"UNMAPPED")</f>
        <v>Community-based clinical services</v>
      </c>
      <c r="K1305" s="1" t="str">
        <f aca="false">IFERROR(INDEX(MAP!$G$7:$G$74,MATCH(TRIM(I1305),MAP!$E$7:$E$74,0)),"UNMAPPED")</f>
        <v>7e</v>
      </c>
      <c r="L1305" s="49" t="str">
        <f aca="false">STACK!G1305</f>
        <v>3/31/26</v>
      </c>
      <c r="M1305" s="59" t="n">
        <f aca="false">IF(G1305&gt;0,IF(INDEX(CONFIRM!$G$5:$G$53,G1305)&lt;&gt;"",INDEX(CONFIRM!$G$5:$G$53,G1305),IF(ISNUMBER(L1305),L1305,IFERROR(DATEVALUE(L1305),""))),IF(ISNUMBER(L1305),L1305,IFERROR(DATEVALUE(L1305),"")))</f>
        <v>46112</v>
      </c>
      <c r="N1305" s="1" t="str">
        <f aca="false">IF(M1305="","Check",IF(AND(M1305&gt;=INPUTS!$C$6,M1305&lt;=INPUTS!$C$7),"Yes","No"))</f>
        <v>Yes</v>
      </c>
      <c r="O1305" s="48" t="str">
        <f aca="false">STACK!H1305</f>
        <v>Med Asst</v>
      </c>
      <c r="P1305" s="1" t="str">
        <f aca="false">IF(G1305&gt;0,IF(INDEX(CONFIRM!$H$5:$H$53,G1305)&lt;&gt;"",INDEX(CONFIRM!$H$5:$H$53,G1305),IFERROR(INDEX(MAP!$B$7:$B$156,MATCH(TRIM(O1305),MAP!$A$7:$A$156,0)),"UNMAPPED")),IFERROR(INDEX(MAP!$B$7:$B$156,MATCH(TRIM(O1305),MAP!$A$7:$A$156,0)),"UNMAPPED"))</f>
        <v>Medical Assistant</v>
      </c>
      <c r="Q1305" s="48" t="n">
        <f aca="false">STACK!I1305</f>
        <v>69.25</v>
      </c>
      <c r="R1305" s="60" t="n">
        <f aca="false">IF(G1305&gt;0,IF(INDEX(CONFIRM!$F$5:$F$53,G1305)&lt;&gt;"",INDEX(CONFIRM!$F$5:$F$53,G1305),IF(ISNUMBER(Q1305),Q1305,IF(Q1305="","",IFERROR(VALUE(TRIM(SUBSTITUTE(SUBSTITUTE(LOWER(Q1305),"hrs",""),"hr",""))),"")))),IF(ISNUMBER(Q1305),Q1305,IF(Q1305="","",IFERROR(VALUE(TRIM(SUBSTITUTE(SUBSTITUTE(LOWER(Q1305),"hrs",""),"hr",""))),""))))</f>
        <v>69.25</v>
      </c>
      <c r="S1305" s="57" t="n">
        <f aca="false">IFERROR(INDEX(RATES!$E$6:$E$28,MATCH(P1305,RATES!$A$6:$A$28,0)),0)</f>
        <v>25.37875</v>
      </c>
      <c r="T1305" s="61" t="n">
        <f aca="false">IF(ISNUMBER(R1305),R1305,0)*S1305</f>
        <v>1757.4784375</v>
      </c>
      <c r="U1305" s="61" t="n">
        <f aca="false">T1305*INDEX(INPUTS!$H$10:$H$14,MATCH(B1305,INPUTS!$A$10:$A$14,0))</f>
        <v>247.8044596875</v>
      </c>
      <c r="V1305" s="61" t="n">
        <f aca="false">N(STACK!K1305)</f>
        <v>0</v>
      </c>
      <c r="W1305" s="61" t="n">
        <f aca="false">T1305+U1305+V1305</f>
        <v>2005.2828971875</v>
      </c>
      <c r="X1305" s="61" t="n">
        <f aca="false">N(STACK!L1305)</f>
        <v>0</v>
      </c>
      <c r="Y1305" s="61" t="n">
        <f aca="false">W1305-X1305</f>
        <v>2005.2828971875</v>
      </c>
      <c r="Z1305" s="1" t="n">
        <f aca="false">N(STACK!J1305)</f>
        <v>0</v>
      </c>
      <c r="AA1305" s="1" t="str">
        <f aca="false">TRIM(IF(D1305="UNMAPPED","Program not mapped. ","")&amp;IF(OR(K1305="UNMAPPED",K1305="UNASSIGNED"),"Category needs review. ","")&amp;IF(P1305="UNMAPPED","Title not mapped. ","")&amp;IF(AND(P1305&lt;&gt;"No staff time",R1305=""),"Missing hours. ","")&amp;IF(M1305="","Date not readable. ","")&amp;IF(N1305="No","Outside fiscal year. ","")&amp;IF(AND(F1305="Event",ISNUMBER(R1305)),IF(R1305&gt;12,"Event hours look high. ",""),"")&amp;IF(G1305&gt;0,"See CONFIRM sheet.",""))</f>
        <v/>
      </c>
      <c r="AB1305" s="1" t="n">
        <f aca="false">IF(N1305="No",0,IF(REVIEW!O1305=0,0,IF(G1305&gt;0,IF(INDEX(CONFIRM!$J$5:$J$53,G1305)&lt;&gt;"",INDEX(CONFIRM!$J$5:$J$53,G1305),1),1)))</f>
        <v>1</v>
      </c>
      <c r="AC1305" s="1" t="n">
        <f aca="false">IF(AB1305=1,IF(COUNTIFS($B$5:B1305,B1305,$D$5:D1305,D1305,$AB$5:AB1305,1)=1,1,0),0)</f>
        <v>0</v>
      </c>
    </row>
    <row r="1306" customFormat="false" ht="15" hidden="false" customHeight="false" outlineLevel="0" collapsed="false">
      <c r="A1306" s="48" t="str">
        <f aca="false">STACK!A1306</f>
        <v>WCH-0199</v>
      </c>
      <c r="B1306" s="48" t="str">
        <f aca="false">STACK!B1306</f>
        <v>WCH</v>
      </c>
      <c r="C1306" s="48" t="str">
        <f aca="false">STACK!E1306</f>
        <v>mobile van screenings</v>
      </c>
      <c r="D1306" s="1" t="str">
        <f aca="false">IFERROR(INDEX(MAP!$J$7:$J$101,MATCH(TRIM(C1306),MAP!$I$7:$I$101,0)),"UNMAPPED")</f>
        <v>Mobile Health Screening Unit</v>
      </c>
      <c r="E1306" s="1" t="str">
        <f aca="false">IFERROR(INDEX(MAP!$K$7:$K$101,MATCH(TRIM(C1306),MAP!$I$7:$I$101,0)),"")</f>
        <v>Access to care</v>
      </c>
      <c r="F1306" s="1" t="str">
        <f aca="false">IFERROR(INDEX(MAP!$L$7:$L$101,MATCH(TRIM(C1306),MAP!$I$7:$I$101,0)),"")</f>
        <v>Monthly</v>
      </c>
      <c r="G1306" s="1" t="n">
        <f aca="false">IFERROR(MATCH(A1306,CONFIRM!$A$5:$A$53,0),0)</f>
        <v>0</v>
      </c>
      <c r="H1306" s="48" t="str">
        <f aca="false">STACK!F1306</f>
        <v>CHIS clinical</v>
      </c>
      <c r="I1306" s="1" t="str">
        <f aca="false">IF(G1306&gt;0,IF(INDEX(CONFIRM!$I$5:$I$53,G1306)&lt;&gt;"",INDEX(CONFIRM!$I$5:$I$53,G1306),H1306),H1306)</f>
        <v>CHIS clinical</v>
      </c>
      <c r="J1306" s="1" t="str">
        <f aca="false">IFERROR(INDEX(MAP!$F$7:$F$74,MATCH(TRIM(I1306),MAP!$E$7:$E$74,0)),"UNMAPPED")</f>
        <v>Community-based clinical services</v>
      </c>
      <c r="K1306" s="1" t="str">
        <f aca="false">IFERROR(INDEX(MAP!$G$7:$G$74,MATCH(TRIM(I1306),MAP!$E$7:$E$74,0)),"UNMAPPED")</f>
        <v>7e</v>
      </c>
      <c r="L1306" s="49" t="n">
        <f aca="false">STACK!G1306</f>
        <v>46112</v>
      </c>
      <c r="M1306" s="59" t="n">
        <f aca="false">IF(G1306&gt;0,IF(INDEX(CONFIRM!$G$5:$G$53,G1306)&lt;&gt;"",INDEX(CONFIRM!$G$5:$G$53,G1306),IF(ISNUMBER(L1306),L1306,IFERROR(DATEVALUE(L1306),""))),IF(ISNUMBER(L1306),L1306,IFERROR(DATEVALUE(L1306),"")))</f>
        <v>46112</v>
      </c>
      <c r="N1306" s="1" t="str">
        <f aca="false">IF(M1306="","Check",IF(AND(M1306&gt;=INPUTS!$C$6,M1306&lt;=INPUTS!$C$7),"Yes","No"))</f>
        <v>Yes</v>
      </c>
      <c r="O1306" s="48" t="str">
        <f aca="false">STACK!H1306</f>
        <v>Staff RN</v>
      </c>
      <c r="P1306" s="1" t="str">
        <f aca="false">IF(G1306&gt;0,IF(INDEX(CONFIRM!$H$5:$H$53,G1306)&lt;&gt;"",INDEX(CONFIRM!$H$5:$H$53,G1306),IFERROR(INDEX(MAP!$B$7:$B$156,MATCH(TRIM(O1306),MAP!$A$7:$A$156,0)),"UNMAPPED")),IFERROR(INDEX(MAP!$B$7:$B$156,MATCH(TRIM(O1306),MAP!$A$7:$A$156,0)),"UNMAPPED"))</f>
        <v>Registered Nurse</v>
      </c>
      <c r="Q1306" s="48" t="n">
        <f aca="false">STACK!I1306</f>
        <v>75</v>
      </c>
      <c r="R1306" s="60" t="n">
        <f aca="false">IF(G1306&gt;0,IF(INDEX(CONFIRM!$F$5:$F$53,G1306)&lt;&gt;"",INDEX(CONFIRM!$F$5:$F$53,G1306),IF(ISNUMBER(Q1306),Q1306,IF(Q1306="","",IFERROR(VALUE(TRIM(SUBSTITUTE(SUBSTITUTE(LOWER(Q1306),"hrs",""),"hr",""))),"")))),IF(ISNUMBER(Q1306),Q1306,IF(Q1306="","",IFERROR(VALUE(TRIM(SUBSTITUTE(SUBSTITUTE(LOWER(Q1306),"hrs",""),"hr",""))),""))))</f>
        <v>75</v>
      </c>
      <c r="S1306" s="57" t="n">
        <f aca="false">IFERROR(INDEX(RATES!$E$6:$E$28,MATCH(P1306,RATES!$A$6:$A$28,0)),0)</f>
        <v>55.8975</v>
      </c>
      <c r="T1306" s="61" t="n">
        <f aca="false">IF(ISNUMBER(R1306),R1306,0)*S1306</f>
        <v>4192.3125</v>
      </c>
      <c r="U1306" s="61" t="n">
        <f aca="false">T1306*INDEX(INPUTS!$H$10:$H$14,MATCH(B1306,INPUTS!$A$10:$A$14,0))</f>
        <v>591.1160625</v>
      </c>
      <c r="V1306" s="61" t="n">
        <f aca="false">N(STACK!K1306)</f>
        <v>6120</v>
      </c>
      <c r="W1306" s="61" t="n">
        <f aca="false">T1306+U1306+V1306</f>
        <v>10903.4285625</v>
      </c>
      <c r="X1306" s="61" t="n">
        <f aca="false">N(STACK!L1306)</f>
        <v>0</v>
      </c>
      <c r="Y1306" s="61" t="n">
        <f aca="false">W1306-X1306</f>
        <v>10903.4285625</v>
      </c>
      <c r="Z1306" s="1" t="n">
        <f aca="false">N(STACK!J1306)</f>
        <v>165</v>
      </c>
      <c r="AA1306" s="1" t="str">
        <f aca="false">TRIM(IF(D1306="UNMAPPED","Program not mapped. ","")&amp;IF(OR(K1306="UNMAPPED",K1306="UNASSIGNED"),"Category needs review. ","")&amp;IF(P1306="UNMAPPED","Title not mapped. ","")&amp;IF(AND(P1306&lt;&gt;"No staff time",R1306=""),"Missing hours. ","")&amp;IF(M1306="","Date not readable. ","")&amp;IF(N1306="No","Outside fiscal year. ","")&amp;IF(AND(F1306="Event",ISNUMBER(R1306)),IF(R1306&gt;12,"Event hours look high. ",""),"")&amp;IF(G1306&gt;0,"See CONFIRM sheet.",""))</f>
        <v/>
      </c>
      <c r="AB1306" s="1" t="n">
        <f aca="false">IF(N1306="No",0,IF(REVIEW!O1306=0,0,IF(G1306&gt;0,IF(INDEX(CONFIRM!$J$5:$J$53,G1306)&lt;&gt;"",INDEX(CONFIRM!$J$5:$J$53,G1306),1),1)))</f>
        <v>1</v>
      </c>
      <c r="AC1306" s="1" t="n">
        <f aca="false">IF(AB1306=1,IF(COUNTIFS($B$5:B1306,B1306,$D$5:D1306,D1306,$AB$5:AB1306,1)=1,1,0),0)</f>
        <v>0</v>
      </c>
    </row>
    <row r="1307" customFormat="false" ht="15" hidden="false" customHeight="false" outlineLevel="0" collapsed="false">
      <c r="A1307" s="48" t="str">
        <f aca="false">STACK!A1307</f>
        <v>WCH-0200</v>
      </c>
      <c r="B1307" s="48" t="str">
        <f aca="false">STACK!B1307</f>
        <v>WCH</v>
      </c>
      <c r="C1307" s="48" t="str">
        <f aca="false">STACK!E1307</f>
        <v>chw outreach</v>
      </c>
      <c r="D1307" s="1" t="str">
        <f aca="false">IFERROR(INDEX(MAP!$J$7:$J$101,MATCH(TRIM(C1307),MAP!$I$7:$I$101,0)),"UNMAPPED")</f>
        <v>Community Health Worker Outreach</v>
      </c>
      <c r="E1307" s="1" t="str">
        <f aca="false">IFERROR(INDEX(MAP!$K$7:$K$101,MATCH(TRIM(C1307),MAP!$I$7:$I$101,0)),"")</f>
        <v>Access to care</v>
      </c>
      <c r="F1307" s="1" t="str">
        <f aca="false">IFERROR(INDEX(MAP!$L$7:$L$101,MATCH(TRIM(C1307),MAP!$I$7:$I$101,0)),"")</f>
        <v>Monthly</v>
      </c>
      <c r="G1307" s="1" t="n">
        <f aca="false">IFERROR(MATCH(A1307,CONFIRM!$A$5:$A$53,0),0)</f>
        <v>0</v>
      </c>
      <c r="H1307" s="48" t="str">
        <f aca="false">STACK!F1307</f>
        <v>CHIS support</v>
      </c>
      <c r="I1307" s="1" t="str">
        <f aca="false">IF(G1307&gt;0,IF(INDEX(CONFIRM!$I$5:$I$53,G1307)&lt;&gt;"",INDEX(CONFIRM!$I$5:$I$53,G1307),H1307),H1307)</f>
        <v>CHIS support</v>
      </c>
      <c r="J1307" s="1" t="str">
        <f aca="false">IFERROR(INDEX(MAP!$F$7:$F$74,MATCH(TRIM(I1307),MAP!$E$7:$E$74,0)),"UNMAPPED")</f>
        <v>Health care support services</v>
      </c>
      <c r="K1307" s="1" t="str">
        <f aca="false">IFERROR(INDEX(MAP!$G$7:$G$74,MATCH(TRIM(I1307),MAP!$E$7:$E$74,0)),"UNMAPPED")</f>
        <v>7e</v>
      </c>
      <c r="L1307" s="49" t="str">
        <f aca="false">STACK!G1307</f>
        <v>3/31/26</v>
      </c>
      <c r="M1307" s="59" t="n">
        <f aca="false">IF(G1307&gt;0,IF(INDEX(CONFIRM!$G$5:$G$53,G1307)&lt;&gt;"",INDEX(CONFIRM!$G$5:$G$53,G1307),IF(ISNUMBER(L1307),L1307,IFERROR(DATEVALUE(L1307),""))),IF(ISNUMBER(L1307),L1307,IFERROR(DATEVALUE(L1307),"")))</f>
        <v>46112</v>
      </c>
      <c r="N1307" s="1" t="str">
        <f aca="false">IF(M1307="","Check",IF(AND(M1307&gt;=INPUTS!$C$6,M1307&lt;=INPUTS!$C$7),"Yes","No"))</f>
        <v>Yes</v>
      </c>
      <c r="O1307" s="48" t="str">
        <f aca="false">STACK!H1307</f>
        <v>Community Health Worker</v>
      </c>
      <c r="P1307" s="1" t="str">
        <f aca="false">IF(G1307&gt;0,IF(INDEX(CONFIRM!$H$5:$H$53,G1307)&lt;&gt;"",INDEX(CONFIRM!$H$5:$H$53,G1307),IFERROR(INDEX(MAP!$B$7:$B$156,MATCH(TRIM(O1307),MAP!$A$7:$A$156,0)),"UNMAPPED")),IFERROR(INDEX(MAP!$B$7:$B$156,MATCH(TRIM(O1307),MAP!$A$7:$A$156,0)),"UNMAPPED"))</f>
        <v>Community Health Worker</v>
      </c>
      <c r="Q1307" s="48" t="n">
        <f aca="false">STACK!I1307</f>
        <v>227.5</v>
      </c>
      <c r="R1307" s="60" t="n">
        <f aca="false">IF(G1307&gt;0,IF(INDEX(CONFIRM!$F$5:$F$53,G1307)&lt;&gt;"",INDEX(CONFIRM!$F$5:$F$53,G1307),IF(ISNUMBER(Q1307),Q1307,IF(Q1307="","",IFERROR(VALUE(TRIM(SUBSTITUTE(SUBSTITUTE(LOWER(Q1307),"hrs",""),"hr",""))),"")))),IF(ISNUMBER(Q1307),Q1307,IF(Q1307="","",IFERROR(VALUE(TRIM(SUBSTITUTE(SUBSTITUTE(LOWER(Q1307),"hrs",""),"hr",""))),""))))</f>
        <v>227.5</v>
      </c>
      <c r="S1307" s="57" t="n">
        <f aca="false">IFERROR(INDEX(RATES!$E$6:$E$28,MATCH(P1307,RATES!$A$6:$A$28,0)),0)</f>
        <v>27.6275</v>
      </c>
      <c r="T1307" s="61" t="n">
        <f aca="false">IF(ISNUMBER(R1307),R1307,0)*S1307</f>
        <v>6285.25625</v>
      </c>
      <c r="U1307" s="61" t="n">
        <f aca="false">T1307*INDEX(INPUTS!$H$10:$H$14,MATCH(B1307,INPUTS!$A$10:$A$14,0))</f>
        <v>886.22113125</v>
      </c>
      <c r="V1307" s="61" t="n">
        <f aca="false">N(STACK!K1307)</f>
        <v>1515</v>
      </c>
      <c r="W1307" s="61" t="n">
        <f aca="false">T1307+U1307+V1307</f>
        <v>8686.47738125</v>
      </c>
      <c r="X1307" s="61" t="n">
        <f aca="false">N(STACK!L1307)</f>
        <v>0</v>
      </c>
      <c r="Y1307" s="61" t="n">
        <f aca="false">W1307-X1307</f>
        <v>8686.47738125</v>
      </c>
      <c r="Z1307" s="1" t="n">
        <f aca="false">N(STACK!J1307)</f>
        <v>240</v>
      </c>
      <c r="AA1307" s="1" t="str">
        <f aca="false">TRIM(IF(D1307="UNMAPPED","Program not mapped. ","")&amp;IF(OR(K1307="UNMAPPED",K1307="UNASSIGNED"),"Category needs review. ","")&amp;IF(P1307="UNMAPPED","Title not mapped. ","")&amp;IF(AND(P1307&lt;&gt;"No staff time",R1307=""),"Missing hours. ","")&amp;IF(M1307="","Date not readable. ","")&amp;IF(N1307="No","Outside fiscal year. ","")&amp;IF(AND(F1307="Event",ISNUMBER(R1307)),IF(R1307&gt;12,"Event hours look high. ",""),"")&amp;IF(G1307&gt;0,"See CONFIRM sheet.",""))</f>
        <v/>
      </c>
      <c r="AB1307" s="1" t="n">
        <f aca="false">IF(N1307="No",0,IF(REVIEW!O1307=0,0,IF(G1307&gt;0,IF(INDEX(CONFIRM!$J$5:$J$53,G1307)&lt;&gt;"",INDEX(CONFIRM!$J$5:$J$53,G1307),1),1)))</f>
        <v>1</v>
      </c>
      <c r="AC1307" s="1" t="n">
        <f aca="false">IF(AB1307=1,IF(COUNTIFS($B$5:B1307,B1307,$D$5:D1307,D1307,$AB$5:AB1307,1)=1,1,0),0)</f>
        <v>0</v>
      </c>
    </row>
    <row r="1308" customFormat="false" ht="15" hidden="false" customHeight="false" outlineLevel="0" collapsed="false">
      <c r="A1308" s="48" t="str">
        <f aca="false">STACK!A1308</f>
        <v>WCH-0201</v>
      </c>
      <c r="B1308" s="48" t="str">
        <f aca="false">STACK!B1308</f>
        <v>WCH</v>
      </c>
      <c r="C1308" s="48" t="str">
        <f aca="false">STACK!E1308</f>
        <v>chw outreach</v>
      </c>
      <c r="D1308" s="1" t="str">
        <f aca="false">IFERROR(INDEX(MAP!$J$7:$J$101,MATCH(TRIM(C1308),MAP!$I$7:$I$101,0)),"UNMAPPED")</f>
        <v>Community Health Worker Outreach</v>
      </c>
      <c r="E1308" s="1" t="str">
        <f aca="false">IFERROR(INDEX(MAP!$K$7:$K$101,MATCH(TRIM(C1308),MAP!$I$7:$I$101,0)),"")</f>
        <v>Access to care</v>
      </c>
      <c r="F1308" s="1" t="str">
        <f aca="false">IFERROR(INDEX(MAP!$L$7:$L$101,MATCH(TRIM(C1308),MAP!$I$7:$I$101,0)),"")</f>
        <v>Monthly</v>
      </c>
      <c r="G1308" s="1" t="n">
        <f aca="false">IFERROR(MATCH(A1308,CONFIRM!$A$5:$A$53,0),0)</f>
        <v>0</v>
      </c>
      <c r="H1308" s="48" t="str">
        <f aca="false">STACK!F1308</f>
        <v>CHIS support</v>
      </c>
      <c r="I1308" s="1" t="str">
        <f aca="false">IF(G1308&gt;0,IF(INDEX(CONFIRM!$I$5:$I$53,G1308)&lt;&gt;"",INDEX(CONFIRM!$I$5:$I$53,G1308),H1308),H1308)</f>
        <v>CHIS support</v>
      </c>
      <c r="J1308" s="1" t="str">
        <f aca="false">IFERROR(INDEX(MAP!$F$7:$F$74,MATCH(TRIM(I1308),MAP!$E$7:$E$74,0)),"UNMAPPED")</f>
        <v>Health care support services</v>
      </c>
      <c r="K1308" s="1" t="str">
        <f aca="false">IFERROR(INDEX(MAP!$G$7:$G$74,MATCH(TRIM(I1308),MAP!$E$7:$E$74,0)),"UNMAPPED")</f>
        <v>7e</v>
      </c>
      <c r="L1308" s="49" t="n">
        <f aca="false">STACK!G1308</f>
        <v>46112</v>
      </c>
      <c r="M1308" s="59" t="n">
        <f aca="false">IF(G1308&gt;0,IF(INDEX(CONFIRM!$G$5:$G$53,G1308)&lt;&gt;"",INDEX(CONFIRM!$G$5:$G$53,G1308),IF(ISNUMBER(L1308),L1308,IFERROR(DATEVALUE(L1308),""))),IF(ISNUMBER(L1308),L1308,IFERROR(DATEVALUE(L1308),"")))</f>
        <v>46112</v>
      </c>
      <c r="N1308" s="1" t="str">
        <f aca="false">IF(M1308="","Check",IF(AND(M1308&gt;=INPUTS!$C$6,M1308&lt;=INPUTS!$C$7),"Yes","No"))</f>
        <v>Yes</v>
      </c>
      <c r="O1308" s="48" t="str">
        <f aca="false">STACK!H1308</f>
        <v> Care Navigator</v>
      </c>
      <c r="P1308" s="1" t="str">
        <f aca="false">IF(G1308&gt;0,IF(INDEX(CONFIRM!$H$5:$H$53,G1308)&lt;&gt;"",INDEX(CONFIRM!$H$5:$H$53,G1308),IFERROR(INDEX(MAP!$B$7:$B$156,MATCH(TRIM(O1308),MAP!$A$7:$A$156,0)),"UNMAPPED")),IFERROR(INDEX(MAP!$B$7:$B$156,MATCH(TRIM(O1308),MAP!$A$7:$A$156,0)),"UNMAPPED"))</f>
        <v>Patient Navigator</v>
      </c>
      <c r="Q1308" s="48" t="n">
        <f aca="false">STACK!I1308</f>
        <v>111.5</v>
      </c>
      <c r="R1308" s="60" t="n">
        <f aca="false">IF(G1308&gt;0,IF(INDEX(CONFIRM!$F$5:$F$53,G1308)&lt;&gt;"",INDEX(CONFIRM!$F$5:$F$53,G1308),IF(ISNUMBER(Q1308),Q1308,IF(Q1308="","",IFERROR(VALUE(TRIM(SUBSTITUTE(SUBSTITUTE(LOWER(Q1308),"hrs",""),"hr",""))),"")))),IF(ISNUMBER(Q1308),Q1308,IF(Q1308="","",IFERROR(VALUE(TRIM(SUBSTITUTE(SUBSTITUTE(LOWER(Q1308),"hrs",""),"hr",""))),""))))</f>
        <v>111.5</v>
      </c>
      <c r="S1308" s="57" t="n">
        <f aca="false">IFERROR(INDEX(RATES!$E$6:$E$28,MATCH(P1308,RATES!$A$6:$A$28,0)),0)</f>
        <v>30.84</v>
      </c>
      <c r="T1308" s="61" t="n">
        <f aca="false">IF(ISNUMBER(R1308),R1308,0)*S1308</f>
        <v>3438.66</v>
      </c>
      <c r="U1308" s="61" t="n">
        <f aca="false">T1308*INDEX(INPUTS!$H$10:$H$14,MATCH(B1308,INPUTS!$A$10:$A$14,0))</f>
        <v>484.85106</v>
      </c>
      <c r="V1308" s="61" t="n">
        <f aca="false">N(STACK!K1308)</f>
        <v>0</v>
      </c>
      <c r="W1308" s="61" t="n">
        <f aca="false">T1308+U1308+V1308</f>
        <v>3923.51106</v>
      </c>
      <c r="X1308" s="61" t="n">
        <f aca="false">N(STACK!L1308)</f>
        <v>0</v>
      </c>
      <c r="Y1308" s="61" t="n">
        <f aca="false">W1308-X1308</f>
        <v>3923.51106</v>
      </c>
      <c r="Z1308" s="1" t="n">
        <f aca="false">N(STACK!J1308)</f>
        <v>0</v>
      </c>
      <c r="AA1308" s="1" t="str">
        <f aca="false">TRIM(IF(D1308="UNMAPPED","Program not mapped. ","")&amp;IF(OR(K1308="UNMAPPED",K1308="UNASSIGNED"),"Category needs review. ","")&amp;IF(P1308="UNMAPPED","Title not mapped. ","")&amp;IF(AND(P1308&lt;&gt;"No staff time",R1308=""),"Missing hours. ","")&amp;IF(M1308="","Date not readable. ","")&amp;IF(N1308="No","Outside fiscal year. ","")&amp;IF(AND(F1308="Event",ISNUMBER(R1308)),IF(R1308&gt;12,"Event hours look high. ",""),"")&amp;IF(G1308&gt;0,"See CONFIRM sheet.",""))</f>
        <v/>
      </c>
      <c r="AB1308" s="1" t="n">
        <f aca="false">IF(N1308="No",0,IF(REVIEW!O1308=0,0,IF(G1308&gt;0,IF(INDEX(CONFIRM!$J$5:$J$53,G1308)&lt;&gt;"",INDEX(CONFIRM!$J$5:$J$53,G1308),1),1)))</f>
        <v>1</v>
      </c>
      <c r="AC1308" s="1" t="n">
        <f aca="false">IF(AB1308=1,IF(COUNTIFS($B$5:B1308,B1308,$D$5:D1308,D1308,$AB$5:AB1308,1)=1,1,0),0)</f>
        <v>0</v>
      </c>
    </row>
    <row r="1309" customFormat="false" ht="15" hidden="false" customHeight="false" outlineLevel="0" collapsed="false">
      <c r="A1309" s="48" t="str">
        <f aca="false">STACK!A1309</f>
        <v>WCH-0202</v>
      </c>
      <c r="B1309" s="48" t="str">
        <f aca="false">STACK!B1309</f>
        <v>WCH</v>
      </c>
      <c r="C1309" s="48" t="str">
        <f aca="false">STACK!E1309</f>
        <v>produce prescription</v>
      </c>
      <c r="D1309" s="1" t="str">
        <f aca="false">IFERROR(INDEX(MAP!$J$7:$J$101,MATCH(TRIM(C1309),MAP!$I$7:$I$101,0)),"UNMAPPED")</f>
        <v>Produce Prescription Program</v>
      </c>
      <c r="E1309" s="1" t="str">
        <f aca="false">IFERROR(INDEX(MAP!$K$7:$K$101,MATCH(TRIM(C1309),MAP!$I$7:$I$101,0)),"")</f>
        <v>Food and housing security</v>
      </c>
      <c r="F1309" s="1" t="str">
        <f aca="false">IFERROR(INDEX(MAP!$L$7:$L$101,MATCH(TRIM(C1309),MAP!$I$7:$I$101,0)),"")</f>
        <v>Monthly</v>
      </c>
      <c r="G1309" s="1" t="n">
        <f aca="false">IFERROR(MATCH(A1309,CONFIRM!$A$5:$A$53,0),0)</f>
        <v>0</v>
      </c>
      <c r="H1309" s="48" t="str">
        <f aca="false">STACK!F1309</f>
        <v>CHIS support</v>
      </c>
      <c r="I1309" s="1" t="str">
        <f aca="false">IF(G1309&gt;0,IF(INDEX(CONFIRM!$I$5:$I$53,G1309)&lt;&gt;"",INDEX(CONFIRM!$I$5:$I$53,G1309),H1309),H1309)</f>
        <v>CHIS support</v>
      </c>
      <c r="J1309" s="1" t="str">
        <f aca="false">IFERROR(INDEX(MAP!$F$7:$F$74,MATCH(TRIM(I1309),MAP!$E$7:$E$74,0)),"UNMAPPED")</f>
        <v>Health care support services</v>
      </c>
      <c r="K1309" s="1" t="str">
        <f aca="false">IFERROR(INDEX(MAP!$G$7:$G$74,MATCH(TRIM(I1309),MAP!$E$7:$E$74,0)),"UNMAPPED")</f>
        <v>7e</v>
      </c>
      <c r="L1309" s="49" t="str">
        <f aca="false">STACK!G1309</f>
        <v>March 31, 2026</v>
      </c>
      <c r="M1309" s="59" t="n">
        <f aca="false">IF(G1309&gt;0,IF(INDEX(CONFIRM!$G$5:$G$53,G1309)&lt;&gt;"",INDEX(CONFIRM!$G$5:$G$53,G1309),IF(ISNUMBER(L1309),L1309,IFERROR(DATEVALUE(L1309),""))),IF(ISNUMBER(L1309),L1309,IFERROR(DATEVALUE(L1309),"")))</f>
        <v>46112</v>
      </c>
      <c r="N1309" s="1" t="str">
        <f aca="false">IF(M1309="","Check",IF(AND(M1309&gt;=INPUTS!$C$6,M1309&lt;=INPUTS!$C$7),"Yes","No"))</f>
        <v>Yes</v>
      </c>
      <c r="O1309" s="48" t="str">
        <f aca="false">STACK!H1309</f>
        <v>Comm. Health Worker </v>
      </c>
      <c r="P1309" s="1" t="str">
        <f aca="false">IF(G1309&gt;0,IF(INDEX(CONFIRM!$H$5:$H$53,G1309)&lt;&gt;"",INDEX(CONFIRM!$H$5:$H$53,G1309),IFERROR(INDEX(MAP!$B$7:$B$156,MATCH(TRIM(O1309),MAP!$A$7:$A$156,0)),"UNMAPPED")),IFERROR(INDEX(MAP!$B$7:$B$156,MATCH(TRIM(O1309),MAP!$A$7:$A$156,0)),"UNMAPPED"))</f>
        <v>Community Health Worker</v>
      </c>
      <c r="Q1309" s="48" t="n">
        <f aca="false">STACK!I1309</f>
        <v>49</v>
      </c>
      <c r="R1309" s="60" t="n">
        <f aca="false">IF(G1309&gt;0,IF(INDEX(CONFIRM!$F$5:$F$53,G1309)&lt;&gt;"",INDEX(CONFIRM!$F$5:$F$53,G1309),IF(ISNUMBER(Q1309),Q1309,IF(Q1309="","",IFERROR(VALUE(TRIM(SUBSTITUTE(SUBSTITUTE(LOWER(Q1309),"hrs",""),"hr",""))),"")))),IF(ISNUMBER(Q1309),Q1309,IF(Q1309="","",IFERROR(VALUE(TRIM(SUBSTITUTE(SUBSTITUTE(LOWER(Q1309),"hrs",""),"hr",""))),""))))</f>
        <v>49</v>
      </c>
      <c r="S1309" s="57" t="n">
        <f aca="false">IFERROR(INDEX(RATES!$E$6:$E$28,MATCH(P1309,RATES!$A$6:$A$28,0)),0)</f>
        <v>27.6275</v>
      </c>
      <c r="T1309" s="61" t="n">
        <f aca="false">IF(ISNUMBER(R1309),R1309,0)*S1309</f>
        <v>1353.7475</v>
      </c>
      <c r="U1309" s="61" t="n">
        <f aca="false">T1309*INDEX(INPUTS!$H$10:$H$14,MATCH(B1309,INPUTS!$A$10:$A$14,0))</f>
        <v>190.8783975</v>
      </c>
      <c r="V1309" s="61" t="n">
        <f aca="false">N(STACK!K1309)</f>
        <v>0</v>
      </c>
      <c r="W1309" s="61" t="n">
        <f aca="false">T1309+U1309+V1309</f>
        <v>1544.6258975</v>
      </c>
      <c r="X1309" s="61" t="n">
        <f aca="false">N(STACK!L1309)</f>
        <v>0</v>
      </c>
      <c r="Y1309" s="61" t="n">
        <f aca="false">W1309-X1309</f>
        <v>1544.6258975</v>
      </c>
      <c r="Z1309" s="1" t="n">
        <f aca="false">N(STACK!J1309)</f>
        <v>0</v>
      </c>
      <c r="AA1309" s="1" t="str">
        <f aca="false">TRIM(IF(D1309="UNMAPPED","Program not mapped. ","")&amp;IF(OR(K1309="UNMAPPED",K1309="UNASSIGNED"),"Category needs review. ","")&amp;IF(P1309="UNMAPPED","Title not mapped. ","")&amp;IF(AND(P1309&lt;&gt;"No staff time",R1309=""),"Missing hours. ","")&amp;IF(M1309="","Date not readable. ","")&amp;IF(N1309="No","Outside fiscal year. ","")&amp;IF(AND(F1309="Event",ISNUMBER(R1309)),IF(R1309&gt;12,"Event hours look high. ",""),"")&amp;IF(G1309&gt;0,"See CONFIRM sheet.",""))</f>
        <v/>
      </c>
      <c r="AB1309" s="1" t="n">
        <f aca="false">IF(N1309="No",0,IF(REVIEW!O1309=0,0,IF(G1309&gt;0,IF(INDEX(CONFIRM!$J$5:$J$53,G1309)&lt;&gt;"",INDEX(CONFIRM!$J$5:$J$53,G1309),1),1)))</f>
        <v>1</v>
      </c>
      <c r="AC1309" s="1" t="n">
        <f aca="false">IF(AB1309=1,IF(COUNTIFS($B$5:B1309,B1309,$D$5:D1309,D1309,$AB$5:AB1309,1)=1,1,0),0)</f>
        <v>0</v>
      </c>
    </row>
    <row r="1310" customFormat="false" ht="15" hidden="false" customHeight="false" outlineLevel="0" collapsed="false">
      <c r="A1310" s="48" t="str">
        <f aca="false">STACK!A1310</f>
        <v>WCH-0203</v>
      </c>
      <c r="B1310" s="48" t="str">
        <f aca="false">STACK!B1310</f>
        <v>WCH</v>
      </c>
      <c r="C1310" s="48" t="str">
        <f aca="false">STACK!E1310</f>
        <v>produce prescription</v>
      </c>
      <c r="D1310" s="1" t="str">
        <f aca="false">IFERROR(INDEX(MAP!$J$7:$J$101,MATCH(TRIM(C1310),MAP!$I$7:$I$101,0)),"UNMAPPED")</f>
        <v>Produce Prescription Program</v>
      </c>
      <c r="E1310" s="1" t="str">
        <f aca="false">IFERROR(INDEX(MAP!$K$7:$K$101,MATCH(TRIM(C1310),MAP!$I$7:$I$101,0)),"")</f>
        <v>Food and housing security</v>
      </c>
      <c r="F1310" s="1" t="str">
        <f aca="false">IFERROR(INDEX(MAP!$L$7:$L$101,MATCH(TRIM(C1310),MAP!$I$7:$I$101,0)),"")</f>
        <v>Monthly</v>
      </c>
      <c r="G1310" s="1" t="n">
        <f aca="false">IFERROR(MATCH(A1310,CONFIRM!$A$5:$A$53,0),0)</f>
        <v>0</v>
      </c>
      <c r="H1310" s="48" t="str">
        <f aca="false">STACK!F1310</f>
        <v>CHIS support</v>
      </c>
      <c r="I1310" s="1" t="str">
        <f aca="false">IF(G1310&gt;0,IF(INDEX(CONFIRM!$I$5:$I$53,G1310)&lt;&gt;"",INDEX(CONFIRM!$I$5:$I$53,G1310),H1310),H1310)</f>
        <v>CHIS support</v>
      </c>
      <c r="J1310" s="1" t="str">
        <f aca="false">IFERROR(INDEX(MAP!$F$7:$F$74,MATCH(TRIM(I1310),MAP!$E$7:$E$74,0)),"UNMAPPED")</f>
        <v>Health care support services</v>
      </c>
      <c r="K1310" s="1" t="str">
        <f aca="false">IFERROR(INDEX(MAP!$G$7:$G$74,MATCH(TRIM(I1310),MAP!$E$7:$E$74,0)),"UNMAPPED")</f>
        <v>7e</v>
      </c>
      <c r="L1310" s="49" t="n">
        <f aca="false">STACK!G1310</f>
        <v>46112</v>
      </c>
      <c r="M1310" s="59" t="n">
        <f aca="false">IF(G1310&gt;0,IF(INDEX(CONFIRM!$G$5:$G$53,G1310)&lt;&gt;"",INDEX(CONFIRM!$G$5:$G$53,G1310),IF(ISNUMBER(L1310),L1310,IFERROR(DATEVALUE(L1310),""))),IF(ISNUMBER(L1310),L1310,IFERROR(DATEVALUE(L1310),"")))</f>
        <v>46112</v>
      </c>
      <c r="N1310" s="1" t="str">
        <f aca="false">IF(M1310="","Check",IF(AND(M1310&gt;=INPUTS!$C$6,M1310&lt;=INPUTS!$C$7),"Yes","No"))</f>
        <v>Yes</v>
      </c>
      <c r="O1310" s="48" t="str">
        <f aca="false">STACK!H1310</f>
        <v>NUTRITIONIST</v>
      </c>
      <c r="P1310" s="1" t="str">
        <f aca="false">IF(G1310&gt;0,IF(INDEX(CONFIRM!$H$5:$H$53,G1310)&lt;&gt;"",INDEX(CONFIRM!$H$5:$H$53,G1310),IFERROR(INDEX(MAP!$B$7:$B$156,MATCH(TRIM(O1310),MAP!$A$7:$A$156,0)),"UNMAPPED")),IFERROR(INDEX(MAP!$B$7:$B$156,MATCH(TRIM(O1310),MAP!$A$7:$A$156,0)),"UNMAPPED"))</f>
        <v>Registered Dietitian</v>
      </c>
      <c r="Q1310" s="48" t="n">
        <f aca="false">STACK!I1310</f>
        <v>22</v>
      </c>
      <c r="R1310" s="60" t="n">
        <f aca="false">IF(G1310&gt;0,IF(INDEX(CONFIRM!$F$5:$F$53,G1310)&lt;&gt;"",INDEX(CONFIRM!$F$5:$F$53,G1310),IF(ISNUMBER(Q1310),Q1310,IF(Q1310="","",IFERROR(VALUE(TRIM(SUBSTITUTE(SUBSTITUTE(LOWER(Q1310),"hrs",""),"hr",""))),"")))),IF(ISNUMBER(Q1310),Q1310,IF(Q1310="","",IFERROR(VALUE(TRIM(SUBSTITUTE(SUBSTITUTE(LOWER(Q1310),"hrs",""),"hr",""))),""))))</f>
        <v>22</v>
      </c>
      <c r="S1310" s="57" t="n">
        <f aca="false">IFERROR(INDEX(RATES!$E$6:$E$28,MATCH(P1310,RATES!$A$6:$A$28,0)),0)</f>
        <v>46.9025</v>
      </c>
      <c r="T1310" s="61" t="n">
        <f aca="false">IF(ISNUMBER(R1310),R1310,0)*S1310</f>
        <v>1031.855</v>
      </c>
      <c r="U1310" s="61" t="n">
        <f aca="false">T1310*INDEX(INPUTS!$H$10:$H$14,MATCH(B1310,INPUTS!$A$10:$A$14,0))</f>
        <v>145.491555</v>
      </c>
      <c r="V1310" s="61" t="n">
        <f aca="false">N(STACK!K1310)</f>
        <v>7590</v>
      </c>
      <c r="W1310" s="61" t="n">
        <f aca="false">T1310+U1310+V1310</f>
        <v>8767.346555</v>
      </c>
      <c r="X1310" s="61" t="n">
        <f aca="false">N(STACK!L1310)</f>
        <v>7275</v>
      </c>
      <c r="Y1310" s="61" t="n">
        <f aca="false">W1310-X1310</f>
        <v>1492.346555</v>
      </c>
      <c r="Z1310" s="1" t="n">
        <f aca="false">N(STACK!J1310)</f>
        <v>109</v>
      </c>
      <c r="AA1310" s="1" t="str">
        <f aca="false">TRIM(IF(D1310="UNMAPPED","Program not mapped. ","")&amp;IF(OR(K1310="UNMAPPED",K1310="UNASSIGNED"),"Category needs review. ","")&amp;IF(P1310="UNMAPPED","Title not mapped. ","")&amp;IF(AND(P1310&lt;&gt;"No staff time",R1310=""),"Missing hours. ","")&amp;IF(M1310="","Date not readable. ","")&amp;IF(N1310="No","Outside fiscal year. ","")&amp;IF(AND(F1310="Event",ISNUMBER(R1310)),IF(R1310&gt;12,"Event hours look high. ",""),"")&amp;IF(G1310&gt;0,"See CONFIRM sheet.",""))</f>
        <v/>
      </c>
      <c r="AB1310" s="1" t="n">
        <f aca="false">IF(N1310="No",0,IF(REVIEW!O1310=0,0,IF(G1310&gt;0,IF(INDEX(CONFIRM!$J$5:$J$53,G1310)&lt;&gt;"",INDEX(CONFIRM!$J$5:$J$53,G1310),1),1)))</f>
        <v>1</v>
      </c>
      <c r="AC1310" s="1" t="n">
        <f aca="false">IF(AB1310=1,IF(COUNTIFS($B$5:B1310,B1310,$D$5:D1310,D1310,$AB$5:AB1310,1)=1,1,0),0)</f>
        <v>0</v>
      </c>
    </row>
    <row r="1311" customFormat="false" ht="15" hidden="false" customHeight="false" outlineLevel="0" collapsed="false">
      <c r="A1311" s="48" t="str">
        <f aca="false">STACK!A1311</f>
        <v>WCH-0204</v>
      </c>
      <c r="B1311" s="48" t="str">
        <f aca="false">STACK!B1311</f>
        <v>WCH</v>
      </c>
      <c r="C1311" s="48" t="str">
        <f aca="false">STACK!E1311</f>
        <v>cb admin</v>
      </c>
      <c r="D1311" s="1" t="str">
        <f aca="false">IFERROR(INDEX(MAP!$J$7:$J$101,MATCH(TRIM(C1311),MAP!$I$7:$I$101,0)),"UNMAPPED")</f>
        <v>Community Benefit Program Administration</v>
      </c>
      <c r="E1311" s="1" t="str">
        <f aca="false">IFERROR(INDEX(MAP!$K$7:$K$101,MATCH(TRIM(C1311),MAP!$I$7:$I$101,0)),"")</f>
        <v>Community benefit infrastructure</v>
      </c>
      <c r="F1311" s="1" t="str">
        <f aca="false">IFERROR(INDEX(MAP!$L$7:$L$101,MATCH(TRIM(C1311),MAP!$I$7:$I$101,0)),"")</f>
        <v>Monthly</v>
      </c>
      <c r="G1311" s="1" t="n">
        <f aca="false">IFERROR(MATCH(A1311,CONFIRM!$A$5:$A$53,0),0)</f>
        <v>0</v>
      </c>
      <c r="H1311" s="48" t="str">
        <f aca="false">STACK!F1311</f>
        <v>cb operations</v>
      </c>
      <c r="I1311" s="1" t="str">
        <f aca="false">IF(G1311&gt;0,IF(INDEX(CONFIRM!$I$5:$I$53,G1311)&lt;&gt;"",INDEX(CONFIRM!$I$5:$I$53,G1311),H1311),H1311)</f>
        <v>cb operations</v>
      </c>
      <c r="J1311" s="1" t="str">
        <f aca="false">IFERROR(INDEX(MAP!$F$7:$F$74,MATCH(TRIM(I1311),MAP!$E$7:$E$74,0)),"UNMAPPED")</f>
        <v>Community benefit operations</v>
      </c>
      <c r="K1311" s="1" t="str">
        <f aca="false">IFERROR(INDEX(MAP!$G$7:$G$74,MATCH(TRIM(I1311),MAP!$E$7:$E$74,0)),"UNMAPPED")</f>
        <v>7e</v>
      </c>
      <c r="L1311" s="49" t="str">
        <f aca="false">STACK!G1311</f>
        <v>3/31/26</v>
      </c>
      <c r="M1311" s="59" t="n">
        <f aca="false">IF(G1311&gt;0,IF(INDEX(CONFIRM!$G$5:$G$53,G1311)&lt;&gt;"",INDEX(CONFIRM!$G$5:$G$53,G1311),IF(ISNUMBER(L1311),L1311,IFERROR(DATEVALUE(L1311),""))),IF(ISNUMBER(L1311),L1311,IFERROR(DATEVALUE(L1311),"")))</f>
        <v>46112</v>
      </c>
      <c r="N1311" s="1" t="str">
        <f aca="false">IF(M1311="","Check",IF(AND(M1311&gt;=INPUTS!$C$6,M1311&lt;=INPUTS!$C$7),"Yes","No"))</f>
        <v>Yes</v>
      </c>
      <c r="O1311" s="48" t="str">
        <f aca="false">STACK!H1311</f>
        <v>Administrative Assistant</v>
      </c>
      <c r="P1311" s="1" t="str">
        <f aca="false">IF(G1311&gt;0,IF(INDEX(CONFIRM!$H$5:$H$53,G1311)&lt;&gt;"",INDEX(CONFIRM!$H$5:$H$53,G1311),IFERROR(INDEX(MAP!$B$7:$B$156,MATCH(TRIM(O1311),MAP!$A$7:$A$156,0)),"UNMAPPED")),IFERROR(INDEX(MAP!$B$7:$B$156,MATCH(TRIM(O1311),MAP!$A$7:$A$156,0)),"UNMAPPED"))</f>
        <v>Administrative Assistant</v>
      </c>
      <c r="Q1311" s="48" t="n">
        <f aca="false">STACK!I1311</f>
        <v>42</v>
      </c>
      <c r="R1311" s="60" t="n">
        <f aca="false">IF(G1311&gt;0,IF(INDEX(CONFIRM!$F$5:$F$53,G1311)&lt;&gt;"",INDEX(CONFIRM!$F$5:$F$53,G1311),IF(ISNUMBER(Q1311),Q1311,IF(Q1311="","",IFERROR(VALUE(TRIM(SUBSTITUTE(SUBSTITUTE(LOWER(Q1311),"hrs",""),"hr",""))),"")))),IF(ISNUMBER(Q1311),Q1311,IF(Q1311="","",IFERROR(VALUE(TRIM(SUBSTITUTE(SUBSTITUTE(LOWER(Q1311),"hrs",""),"hr",""))),""))))</f>
        <v>42</v>
      </c>
      <c r="S1311" s="57" t="n">
        <f aca="false">IFERROR(INDEX(RATES!$E$6:$E$28,MATCH(P1311,RATES!$A$6:$A$28,0)),0)</f>
        <v>26.985</v>
      </c>
      <c r="T1311" s="61" t="n">
        <f aca="false">IF(ISNUMBER(R1311),R1311,0)*S1311</f>
        <v>1133.37</v>
      </c>
      <c r="U1311" s="61" t="n">
        <f aca="false">T1311*INDEX(INPUTS!$H$10:$H$14,MATCH(B1311,INPUTS!$A$10:$A$14,0))</f>
        <v>159.80517</v>
      </c>
      <c r="V1311" s="61" t="n">
        <f aca="false">N(STACK!K1311)</f>
        <v>0</v>
      </c>
      <c r="W1311" s="61" t="n">
        <f aca="false">T1311+U1311+V1311</f>
        <v>1293.17517</v>
      </c>
      <c r="X1311" s="61" t="n">
        <f aca="false">N(STACK!L1311)</f>
        <v>0</v>
      </c>
      <c r="Y1311" s="61" t="n">
        <f aca="false">W1311-X1311</f>
        <v>1293.17517</v>
      </c>
      <c r="Z1311" s="1" t="n">
        <f aca="false">N(STACK!J1311)</f>
        <v>0</v>
      </c>
      <c r="AA1311" s="1" t="str">
        <f aca="false">TRIM(IF(D1311="UNMAPPED","Program not mapped. ","")&amp;IF(OR(K1311="UNMAPPED",K1311="UNASSIGNED"),"Category needs review. ","")&amp;IF(P1311="UNMAPPED","Title not mapped. ","")&amp;IF(AND(P1311&lt;&gt;"No staff time",R1311=""),"Missing hours. ","")&amp;IF(M1311="","Date not readable. ","")&amp;IF(N1311="No","Outside fiscal year. ","")&amp;IF(AND(F1311="Event",ISNUMBER(R1311)),IF(R1311&gt;12,"Event hours look high. ",""),"")&amp;IF(G1311&gt;0,"See CONFIRM sheet.",""))</f>
        <v/>
      </c>
      <c r="AB1311" s="1" t="n">
        <f aca="false">IF(N1311="No",0,IF(REVIEW!O1311=0,0,IF(G1311&gt;0,IF(INDEX(CONFIRM!$J$5:$J$53,G1311)&lt;&gt;"",INDEX(CONFIRM!$J$5:$J$53,G1311),1),1)))</f>
        <v>1</v>
      </c>
      <c r="AC1311" s="1" t="n">
        <f aca="false">IF(AB1311=1,IF(COUNTIFS($B$5:B1311,B1311,$D$5:D1311,D1311,$AB$5:AB1311,1)=1,1,0),0)</f>
        <v>0</v>
      </c>
    </row>
    <row r="1312" customFormat="false" ht="15" hidden="false" customHeight="false" outlineLevel="0" collapsed="false">
      <c r="A1312" s="48" t="str">
        <f aca="false">STACK!A1312</f>
        <v>WCH-0205</v>
      </c>
      <c r="B1312" s="48" t="str">
        <f aca="false">STACK!B1312</f>
        <v>WCH</v>
      </c>
      <c r="C1312" s="48" t="str">
        <f aca="false">STACK!E1312</f>
        <v>cb admin</v>
      </c>
      <c r="D1312" s="1" t="str">
        <f aca="false">IFERROR(INDEX(MAP!$J$7:$J$101,MATCH(TRIM(C1312),MAP!$I$7:$I$101,0)),"UNMAPPED")</f>
        <v>Community Benefit Program Administration</v>
      </c>
      <c r="E1312" s="1" t="str">
        <f aca="false">IFERROR(INDEX(MAP!$K$7:$K$101,MATCH(TRIM(C1312),MAP!$I$7:$I$101,0)),"")</f>
        <v>Community benefit infrastructure</v>
      </c>
      <c r="F1312" s="1" t="str">
        <f aca="false">IFERROR(INDEX(MAP!$L$7:$L$101,MATCH(TRIM(C1312),MAP!$I$7:$I$101,0)),"")</f>
        <v>Monthly</v>
      </c>
      <c r="G1312" s="1" t="n">
        <f aca="false">IFERROR(MATCH(A1312,CONFIRM!$A$5:$A$53,0),0)</f>
        <v>0</v>
      </c>
      <c r="H1312" s="48" t="str">
        <f aca="false">STACK!F1312</f>
        <v>cb operations</v>
      </c>
      <c r="I1312" s="1" t="str">
        <f aca="false">IF(G1312&gt;0,IF(INDEX(CONFIRM!$I$5:$I$53,G1312)&lt;&gt;"",INDEX(CONFIRM!$I$5:$I$53,G1312),H1312),H1312)</f>
        <v>cb operations</v>
      </c>
      <c r="J1312" s="1" t="str">
        <f aca="false">IFERROR(INDEX(MAP!$F$7:$F$74,MATCH(TRIM(I1312),MAP!$E$7:$E$74,0)),"UNMAPPED")</f>
        <v>Community benefit operations</v>
      </c>
      <c r="K1312" s="1" t="str">
        <f aca="false">IFERROR(INDEX(MAP!$G$7:$G$74,MATCH(TRIM(I1312),MAP!$E$7:$E$74,0)),"UNMAPPED")</f>
        <v>7e</v>
      </c>
      <c r="L1312" s="49" t="n">
        <f aca="false">STACK!G1312</f>
        <v>46112</v>
      </c>
      <c r="M1312" s="59" t="n">
        <f aca="false">IF(G1312&gt;0,IF(INDEX(CONFIRM!$G$5:$G$53,G1312)&lt;&gt;"",INDEX(CONFIRM!$G$5:$G$53,G1312),IF(ISNUMBER(L1312),L1312,IFERROR(DATEVALUE(L1312),""))),IF(ISNUMBER(L1312),L1312,IFERROR(DATEVALUE(L1312),"")))</f>
        <v>46112</v>
      </c>
      <c r="N1312" s="1" t="str">
        <f aca="false">IF(M1312="","Check",IF(AND(M1312&gt;=INPUTS!$C$6,M1312&lt;=INPUTS!$C$7),"Yes","No"))</f>
        <v>Yes</v>
      </c>
      <c r="O1312" s="48" t="str">
        <f aca="false">STACK!H1312</f>
        <v>Community Benefit Mgr</v>
      </c>
      <c r="P1312" s="1" t="str">
        <f aca="false">IF(G1312&gt;0,IF(INDEX(CONFIRM!$H$5:$H$53,G1312)&lt;&gt;"",INDEX(CONFIRM!$H$5:$H$53,G1312),IFERROR(INDEX(MAP!$B$7:$B$156,MATCH(TRIM(O1312),MAP!$A$7:$A$156,0)),"UNMAPPED")),IFERROR(INDEX(MAP!$B$7:$B$156,MATCH(TRIM(O1312),MAP!$A$7:$A$156,0)),"UNMAPPED"))</f>
        <v>Community Benefit Manager</v>
      </c>
      <c r="Q1312" s="48" t="n">
        <f aca="false">STACK!I1312</f>
        <v>52.25</v>
      </c>
      <c r="R1312" s="60" t="n">
        <f aca="false">IF(G1312&gt;0,IF(INDEX(CONFIRM!$F$5:$F$53,G1312)&lt;&gt;"",INDEX(CONFIRM!$F$5:$F$53,G1312),IF(ISNUMBER(Q1312),Q1312,IF(Q1312="","",IFERROR(VALUE(TRIM(SUBSTITUTE(SUBSTITUTE(LOWER(Q1312),"hrs",""),"hr",""))),"")))),IF(ISNUMBER(Q1312),Q1312,IF(Q1312="","",IFERROR(VALUE(TRIM(SUBSTITUTE(SUBSTITUTE(LOWER(Q1312),"hrs",""),"hr",""))),""))))</f>
        <v>52.25</v>
      </c>
      <c r="S1312" s="57" t="n">
        <f aca="false">IFERROR(INDEX(RATES!$E$6:$E$28,MATCH(P1312,RATES!$A$6:$A$28,0)),0)</f>
        <v>59.11</v>
      </c>
      <c r="T1312" s="61" t="n">
        <f aca="false">IF(ISNUMBER(R1312),R1312,0)*S1312</f>
        <v>3088.4975</v>
      </c>
      <c r="U1312" s="61" t="n">
        <f aca="false">T1312*INDEX(INPUTS!$H$10:$H$14,MATCH(B1312,INPUTS!$A$10:$A$14,0))</f>
        <v>435.4781475</v>
      </c>
      <c r="V1312" s="61" t="n">
        <f aca="false">N(STACK!K1312)</f>
        <v>615</v>
      </c>
      <c r="W1312" s="61" t="n">
        <f aca="false">T1312+U1312+V1312</f>
        <v>4138.9756475</v>
      </c>
      <c r="X1312" s="61" t="n">
        <f aca="false">N(STACK!L1312)</f>
        <v>0</v>
      </c>
      <c r="Y1312" s="61" t="n">
        <f aca="false">W1312-X1312</f>
        <v>4138.9756475</v>
      </c>
      <c r="Z1312" s="1" t="n">
        <f aca="false">N(STACK!J1312)</f>
        <v>0</v>
      </c>
      <c r="AA1312" s="1" t="str">
        <f aca="false">TRIM(IF(D1312="UNMAPPED","Program not mapped. ","")&amp;IF(OR(K1312="UNMAPPED",K1312="UNASSIGNED"),"Category needs review. ","")&amp;IF(P1312="UNMAPPED","Title not mapped. ","")&amp;IF(AND(P1312&lt;&gt;"No staff time",R1312=""),"Missing hours. ","")&amp;IF(M1312="","Date not readable. ","")&amp;IF(N1312="No","Outside fiscal year. ","")&amp;IF(AND(F1312="Event",ISNUMBER(R1312)),IF(R1312&gt;12,"Event hours look high. ",""),"")&amp;IF(G1312&gt;0,"See CONFIRM sheet.",""))</f>
        <v/>
      </c>
      <c r="AB1312" s="1" t="n">
        <f aca="false">IF(N1312="No",0,IF(REVIEW!O1312=0,0,IF(G1312&gt;0,IF(INDEX(CONFIRM!$J$5:$J$53,G1312)&lt;&gt;"",INDEX(CONFIRM!$J$5:$J$53,G1312),1),1)))</f>
        <v>1</v>
      </c>
      <c r="AC1312" s="1" t="n">
        <f aca="false">IF(AB1312=1,IF(COUNTIFS($B$5:B1312,B1312,$D$5:D1312,D1312,$AB$5:AB1312,1)=1,1,0),0)</f>
        <v>0</v>
      </c>
    </row>
    <row r="1313" customFormat="false" ht="15" hidden="false" customHeight="false" outlineLevel="0" collapsed="false">
      <c r="A1313" s="48" t="str">
        <f aca="false">STACK!A1313</f>
        <v>WCH-0206</v>
      </c>
      <c r="B1313" s="48" t="str">
        <f aca="false">STACK!B1313</f>
        <v>WCH</v>
      </c>
      <c r="C1313" s="48" t="str">
        <f aca="false">STACK!E1313</f>
        <v>community paramedic</v>
      </c>
      <c r="D1313" s="1" t="str">
        <f aca="false">IFERROR(INDEX(MAP!$J$7:$J$101,MATCH(TRIM(C1313),MAP!$I$7:$I$101,0)),"UNMAPPED")</f>
        <v>Community Paramedic Home Visits</v>
      </c>
      <c r="E1313" s="1" t="str">
        <f aca="false">IFERROR(INDEX(MAP!$K$7:$K$101,MATCH(TRIM(C1313),MAP!$I$7:$I$101,0)),"")</f>
        <v>Access to care</v>
      </c>
      <c r="F1313" s="1" t="str">
        <f aca="false">IFERROR(INDEX(MAP!$L$7:$L$101,MATCH(TRIM(C1313),MAP!$I$7:$I$101,0)),"")</f>
        <v>Monthly</v>
      </c>
      <c r="G1313" s="1" t="n">
        <f aca="false">IFERROR(MATCH(A1313,CONFIRM!$A$5:$A$53,0),0)</f>
        <v>0</v>
      </c>
      <c r="H1313" s="48" t="str">
        <f aca="false">STACK!F1313</f>
        <v>CHIS clinical</v>
      </c>
      <c r="I1313" s="1" t="str">
        <f aca="false">IF(G1313&gt;0,IF(INDEX(CONFIRM!$I$5:$I$53,G1313)&lt;&gt;"",INDEX(CONFIRM!$I$5:$I$53,G1313),H1313),H1313)</f>
        <v>CHIS clinical</v>
      </c>
      <c r="J1313" s="1" t="str">
        <f aca="false">IFERROR(INDEX(MAP!$F$7:$F$74,MATCH(TRIM(I1313),MAP!$E$7:$E$74,0)),"UNMAPPED")</f>
        <v>Community-based clinical services</v>
      </c>
      <c r="K1313" s="1" t="str">
        <f aca="false">IFERROR(INDEX(MAP!$G$7:$G$74,MATCH(TRIM(I1313),MAP!$E$7:$E$74,0)),"UNMAPPED")</f>
        <v>7e</v>
      </c>
      <c r="L1313" s="49" t="str">
        <f aca="false">STACK!G1313</f>
        <v>3/31/26</v>
      </c>
      <c r="M1313" s="59" t="n">
        <f aca="false">IF(G1313&gt;0,IF(INDEX(CONFIRM!$G$5:$G$53,G1313)&lt;&gt;"",INDEX(CONFIRM!$G$5:$G$53,G1313),IF(ISNUMBER(L1313),L1313,IFERROR(DATEVALUE(L1313),""))),IF(ISNUMBER(L1313),L1313,IFERROR(DATEVALUE(L1313),"")))</f>
        <v>46112</v>
      </c>
      <c r="N1313" s="1" t="str">
        <f aca="false">IF(M1313="","Check",IF(AND(M1313&gt;=INPUTS!$C$6,M1313&lt;=INPUTS!$C$7),"Yes","No"))</f>
        <v>Yes</v>
      </c>
      <c r="O1313" s="48" t="str">
        <f aca="false">STACK!H1313</f>
        <v>Flight Paramedic</v>
      </c>
      <c r="P1313" s="1" t="str">
        <f aca="false">IF(G1313&gt;0,IF(INDEX(CONFIRM!$H$5:$H$53,G1313)&lt;&gt;"",INDEX(CONFIRM!$H$5:$H$53,G1313),IFERROR(INDEX(MAP!$B$7:$B$156,MATCH(TRIM(O1313),MAP!$A$7:$A$156,0)),"UNMAPPED")),IFERROR(INDEX(MAP!$B$7:$B$156,MATCH(TRIM(O1313),MAP!$A$7:$A$156,0)),"UNMAPPED"))</f>
        <v>Paramedic</v>
      </c>
      <c r="Q1313" s="48" t="n">
        <f aca="false">STACK!I1313</f>
        <v>59.25</v>
      </c>
      <c r="R1313" s="60" t="n">
        <f aca="false">IF(G1313&gt;0,IF(INDEX(CONFIRM!$F$5:$F$53,G1313)&lt;&gt;"",INDEX(CONFIRM!$F$5:$F$53,G1313),IF(ISNUMBER(Q1313),Q1313,IF(Q1313="","",IFERROR(VALUE(TRIM(SUBSTITUTE(SUBSTITUTE(LOWER(Q1313),"hrs",""),"hr",""))),"")))),IF(ISNUMBER(Q1313),Q1313,IF(Q1313="","",IFERROR(VALUE(TRIM(SUBSTITUTE(SUBSTITUTE(LOWER(Q1313),"hrs",""),"hr",""))),""))))</f>
        <v>59.25</v>
      </c>
      <c r="S1313" s="57" t="n">
        <f aca="false">IFERROR(INDEX(RATES!$E$6:$E$28,MATCH(P1313,RATES!$A$6:$A$28,0)),0)</f>
        <v>34.695</v>
      </c>
      <c r="T1313" s="61" t="n">
        <f aca="false">IF(ISNUMBER(R1313),R1313,0)*S1313</f>
        <v>2055.67875</v>
      </c>
      <c r="U1313" s="61" t="n">
        <f aca="false">T1313*INDEX(INPUTS!$H$10:$H$14,MATCH(B1313,INPUTS!$A$10:$A$14,0))</f>
        <v>289.85070375</v>
      </c>
      <c r="V1313" s="61" t="n">
        <f aca="false">N(STACK!K1313)</f>
        <v>730</v>
      </c>
      <c r="W1313" s="61" t="n">
        <f aca="false">T1313+U1313+V1313</f>
        <v>3075.52945375</v>
      </c>
      <c r="X1313" s="61" t="n">
        <f aca="false">N(STACK!L1313)</f>
        <v>0</v>
      </c>
      <c r="Y1313" s="61" t="n">
        <f aca="false">W1313-X1313</f>
        <v>3075.52945375</v>
      </c>
      <c r="Z1313" s="1" t="n">
        <f aca="false">N(STACK!J1313)</f>
        <v>37</v>
      </c>
      <c r="AA1313" s="1" t="str">
        <f aca="false">TRIM(IF(D1313="UNMAPPED","Program not mapped. ","")&amp;IF(OR(K1313="UNMAPPED",K1313="UNASSIGNED"),"Category needs review. ","")&amp;IF(P1313="UNMAPPED","Title not mapped. ","")&amp;IF(AND(P1313&lt;&gt;"No staff time",R1313=""),"Missing hours. ","")&amp;IF(M1313="","Date not readable. ","")&amp;IF(N1313="No","Outside fiscal year. ","")&amp;IF(AND(F1313="Event",ISNUMBER(R1313)),IF(R1313&gt;12,"Event hours look high. ",""),"")&amp;IF(G1313&gt;0,"See CONFIRM sheet.",""))</f>
        <v/>
      </c>
      <c r="AB1313" s="1" t="n">
        <f aca="false">IF(N1313="No",0,IF(REVIEW!O1313=0,0,IF(G1313&gt;0,IF(INDEX(CONFIRM!$J$5:$J$53,G1313)&lt;&gt;"",INDEX(CONFIRM!$J$5:$J$53,G1313),1),1)))</f>
        <v>1</v>
      </c>
      <c r="AC1313" s="1" t="n">
        <f aca="false">IF(AB1313=1,IF(COUNTIFS($B$5:B1313,B1313,$D$5:D1313,D1313,$AB$5:AB1313,1)=1,1,0),0)</f>
        <v>0</v>
      </c>
    </row>
    <row r="1314" customFormat="false" ht="15" hidden="false" customHeight="false" outlineLevel="0" collapsed="false">
      <c r="A1314" s="48" t="str">
        <f aca="false">STACK!A1314</f>
        <v>WCH-0207</v>
      </c>
      <c r="B1314" s="48" t="str">
        <f aca="false">STACK!B1314</f>
        <v>WCH</v>
      </c>
      <c r="C1314" s="48" t="str">
        <f aca="false">STACK!E1314</f>
        <v>nursing students</v>
      </c>
      <c r="D1314" s="1" t="str">
        <f aca="false">IFERROR(INDEX(MAP!$J$7:$J$101,MATCH(TRIM(C1314),MAP!$I$7:$I$101,0)),"UNMAPPED")</f>
        <v>Nursing Student Clinical Rotations</v>
      </c>
      <c r="E1314" s="1" t="str">
        <f aca="false">IFERROR(INDEX(MAP!$K$7:$K$101,MATCH(TRIM(C1314),MAP!$I$7:$I$101,0)),"")</f>
        <v>Health workforce</v>
      </c>
      <c r="F1314" s="1" t="str">
        <f aca="false">IFERROR(INDEX(MAP!$L$7:$L$101,MATCH(TRIM(C1314),MAP!$I$7:$I$101,0)),"")</f>
        <v>Monthly</v>
      </c>
      <c r="G1314" s="1" t="n">
        <f aca="false">IFERROR(MATCH(A1314,CONFIRM!$A$5:$A$53,0),0)</f>
        <v>0</v>
      </c>
      <c r="H1314" s="48" t="str">
        <f aca="false">STACK!F1314</f>
        <v>health professions ed</v>
      </c>
      <c r="I1314" s="1" t="str">
        <f aca="false">IF(G1314&gt;0,IF(INDEX(CONFIRM!$I$5:$I$53,G1314)&lt;&gt;"",INDEX(CONFIRM!$I$5:$I$53,G1314),H1314),H1314)</f>
        <v>health professions ed</v>
      </c>
      <c r="J1314" s="1" t="str">
        <f aca="false">IFERROR(INDEX(MAP!$F$7:$F$74,MATCH(TRIM(I1314),MAP!$E$7:$E$74,0)),"UNMAPPED")</f>
        <v>Health professions education</v>
      </c>
      <c r="K1314" s="1" t="str">
        <f aca="false">IFERROR(INDEX(MAP!$G$7:$G$74,MATCH(TRIM(I1314),MAP!$E$7:$E$74,0)),"UNMAPPED")</f>
        <v>7f</v>
      </c>
      <c r="L1314" s="49" t="n">
        <f aca="false">STACK!G1314</f>
        <v>46112</v>
      </c>
      <c r="M1314" s="59" t="n">
        <f aca="false">IF(G1314&gt;0,IF(INDEX(CONFIRM!$G$5:$G$53,G1314)&lt;&gt;"",INDEX(CONFIRM!$G$5:$G$53,G1314),IF(ISNUMBER(L1314),L1314,IFERROR(DATEVALUE(L1314),""))),IF(ISNUMBER(L1314),L1314,IFERROR(DATEVALUE(L1314),"")))</f>
        <v>46112</v>
      </c>
      <c r="N1314" s="1" t="str">
        <f aca="false">IF(M1314="","Check",IF(AND(M1314&gt;=INPUTS!$C$6,M1314&lt;=INPUTS!$C$7),"Yes","No"))</f>
        <v>Yes</v>
      </c>
      <c r="O1314" s="48" t="str">
        <f aca="false">STACK!H1314</f>
        <v>Clin Educator </v>
      </c>
      <c r="P1314" s="1" t="str">
        <f aca="false">IF(G1314&gt;0,IF(INDEX(CONFIRM!$H$5:$H$53,G1314)&lt;&gt;"",INDEX(CONFIRM!$H$5:$H$53,G1314),IFERROR(INDEX(MAP!$B$7:$B$156,MATCH(TRIM(O1314),MAP!$A$7:$A$156,0)),"UNMAPPED")),IFERROR(INDEX(MAP!$B$7:$B$156,MATCH(TRIM(O1314),MAP!$A$7:$A$156,0)),"UNMAPPED"))</f>
        <v>Clinical Nurse Educator</v>
      </c>
      <c r="Q1314" s="48" t="n">
        <f aca="false">STACK!I1314</f>
        <v>68.75</v>
      </c>
      <c r="R1314" s="60" t="n">
        <f aca="false">IF(G1314&gt;0,IF(INDEX(CONFIRM!$F$5:$F$53,G1314)&lt;&gt;"",INDEX(CONFIRM!$F$5:$F$53,G1314),IF(ISNUMBER(Q1314),Q1314,IF(Q1314="","",IFERROR(VALUE(TRIM(SUBSTITUTE(SUBSTITUTE(LOWER(Q1314),"hrs",""),"hr",""))),"")))),IF(ISNUMBER(Q1314),Q1314,IF(Q1314="","",IFERROR(VALUE(TRIM(SUBSTITUTE(SUBSTITUTE(LOWER(Q1314),"hrs",""),"hr",""))),""))))</f>
        <v>68.75</v>
      </c>
      <c r="S1314" s="57" t="n">
        <f aca="false">IFERROR(INDEX(RATES!$E$6:$E$28,MATCH(P1314,RATES!$A$6:$A$28,0)),0)</f>
        <v>62.965</v>
      </c>
      <c r="T1314" s="61" t="n">
        <f aca="false">IF(ISNUMBER(R1314),R1314,0)*S1314</f>
        <v>4328.84375</v>
      </c>
      <c r="U1314" s="61" t="n">
        <f aca="false">T1314*INDEX(INPUTS!$H$10:$H$14,MATCH(B1314,INPUTS!$A$10:$A$14,0))</f>
        <v>610.36696875</v>
      </c>
      <c r="V1314" s="61" t="n">
        <f aca="false">N(STACK!K1314)</f>
        <v>530</v>
      </c>
      <c r="W1314" s="61" t="n">
        <f aca="false">T1314+U1314+V1314</f>
        <v>5469.21071875</v>
      </c>
      <c r="X1314" s="61" t="n">
        <f aca="false">N(STACK!L1314)</f>
        <v>0</v>
      </c>
      <c r="Y1314" s="61" t="n">
        <f aca="false">W1314-X1314</f>
        <v>5469.21071875</v>
      </c>
      <c r="Z1314" s="1" t="n">
        <f aca="false">N(STACK!J1314)</f>
        <v>26</v>
      </c>
      <c r="AA1314" s="1" t="str">
        <f aca="false">TRIM(IF(D1314="UNMAPPED","Program not mapped. ","")&amp;IF(OR(K1314="UNMAPPED",K1314="UNASSIGNED"),"Category needs review. ","")&amp;IF(P1314="UNMAPPED","Title not mapped. ","")&amp;IF(AND(P1314&lt;&gt;"No staff time",R1314=""),"Missing hours. ","")&amp;IF(M1314="","Date not readable. ","")&amp;IF(N1314="No","Outside fiscal year. ","")&amp;IF(AND(F1314="Event",ISNUMBER(R1314)),IF(R1314&gt;12,"Event hours look high. ",""),"")&amp;IF(G1314&gt;0,"See CONFIRM sheet.",""))</f>
        <v/>
      </c>
      <c r="AB1314" s="1" t="n">
        <f aca="false">IF(N1314="No",0,IF(REVIEW!O1314=0,0,IF(G1314&gt;0,IF(INDEX(CONFIRM!$J$5:$J$53,G1314)&lt;&gt;"",INDEX(CONFIRM!$J$5:$J$53,G1314),1),1)))</f>
        <v>1</v>
      </c>
      <c r="AC1314" s="1" t="n">
        <f aca="false">IF(AB1314=1,IF(COUNTIFS($B$5:B1314,B1314,$D$5:D1314,D1314,$AB$5:AB1314,1)=1,1,0),0)</f>
        <v>0</v>
      </c>
    </row>
    <row r="1315" customFormat="false" ht="15" hidden="false" customHeight="false" outlineLevel="0" collapsed="false">
      <c r="A1315" s="48" t="str">
        <f aca="false">STACK!A1315</f>
        <v>WCH-0208</v>
      </c>
      <c r="B1315" s="48" t="str">
        <f aca="false">STACK!B1315</f>
        <v>WCH</v>
      </c>
      <c r="C1315" s="48" t="str">
        <f aca="false">STACK!E1315</f>
        <v>nursing students</v>
      </c>
      <c r="D1315" s="1" t="str">
        <f aca="false">IFERROR(INDEX(MAP!$J$7:$J$101,MATCH(TRIM(C1315),MAP!$I$7:$I$101,0)),"UNMAPPED")</f>
        <v>Nursing Student Clinical Rotations</v>
      </c>
      <c r="E1315" s="1" t="str">
        <f aca="false">IFERROR(INDEX(MAP!$K$7:$K$101,MATCH(TRIM(C1315),MAP!$I$7:$I$101,0)),"")</f>
        <v>Health workforce</v>
      </c>
      <c r="F1315" s="1" t="str">
        <f aca="false">IFERROR(INDEX(MAP!$L$7:$L$101,MATCH(TRIM(C1315),MAP!$I$7:$I$101,0)),"")</f>
        <v>Monthly</v>
      </c>
      <c r="G1315" s="1" t="n">
        <f aca="false">IFERROR(MATCH(A1315,CONFIRM!$A$5:$A$53,0),0)</f>
        <v>0</v>
      </c>
      <c r="H1315" s="48" t="str">
        <f aca="false">STACK!F1315</f>
        <v>health professions ed</v>
      </c>
      <c r="I1315" s="1" t="str">
        <f aca="false">IF(G1315&gt;0,IF(INDEX(CONFIRM!$I$5:$I$53,G1315)&lt;&gt;"",INDEX(CONFIRM!$I$5:$I$53,G1315),H1315),H1315)</f>
        <v>health professions ed</v>
      </c>
      <c r="J1315" s="1" t="str">
        <f aca="false">IFERROR(INDEX(MAP!$F$7:$F$74,MATCH(TRIM(I1315),MAP!$E$7:$E$74,0)),"UNMAPPED")</f>
        <v>Health professions education</v>
      </c>
      <c r="K1315" s="1" t="str">
        <f aca="false">IFERROR(INDEX(MAP!$G$7:$G$74,MATCH(TRIM(I1315),MAP!$E$7:$E$74,0)),"UNMAPPED")</f>
        <v>7f</v>
      </c>
      <c r="L1315" s="49" t="str">
        <f aca="false">STACK!G1315</f>
        <v>March 31, 2026</v>
      </c>
      <c r="M1315" s="59" t="n">
        <f aca="false">IF(G1315&gt;0,IF(INDEX(CONFIRM!$G$5:$G$53,G1315)&lt;&gt;"",INDEX(CONFIRM!$G$5:$G$53,G1315),IF(ISNUMBER(L1315),L1315,IFERROR(DATEVALUE(L1315),""))),IF(ISNUMBER(L1315),L1315,IFERROR(DATEVALUE(L1315),"")))</f>
        <v>46112</v>
      </c>
      <c r="N1315" s="1" t="str">
        <f aca="false">IF(M1315="","Check",IF(AND(M1315&gt;=INPUTS!$C$6,M1315&lt;=INPUTS!$C$7),"Yes","No"))</f>
        <v>Yes</v>
      </c>
      <c r="O1315" s="48" t="str">
        <f aca="false">STACK!H1315</f>
        <v>RN III</v>
      </c>
      <c r="P1315" s="1" t="str">
        <f aca="false">IF(G1315&gt;0,IF(INDEX(CONFIRM!$H$5:$H$53,G1315)&lt;&gt;"",INDEX(CONFIRM!$H$5:$H$53,G1315),IFERROR(INDEX(MAP!$B$7:$B$156,MATCH(TRIM(O1315),MAP!$A$7:$A$156,0)),"UNMAPPED")),IFERROR(INDEX(MAP!$B$7:$B$156,MATCH(TRIM(O1315),MAP!$A$7:$A$156,0)),"UNMAPPED"))</f>
        <v>Registered Nurse</v>
      </c>
      <c r="Q1315" s="48" t="n">
        <f aca="false">STACK!I1315</f>
        <v>145</v>
      </c>
      <c r="R1315" s="60" t="n">
        <f aca="false">IF(G1315&gt;0,IF(INDEX(CONFIRM!$F$5:$F$53,G1315)&lt;&gt;"",INDEX(CONFIRM!$F$5:$F$53,G1315),IF(ISNUMBER(Q1315),Q1315,IF(Q1315="","",IFERROR(VALUE(TRIM(SUBSTITUTE(SUBSTITUTE(LOWER(Q1315),"hrs",""),"hr",""))),"")))),IF(ISNUMBER(Q1315),Q1315,IF(Q1315="","",IFERROR(VALUE(TRIM(SUBSTITUTE(SUBSTITUTE(LOWER(Q1315),"hrs",""),"hr",""))),""))))</f>
        <v>145</v>
      </c>
      <c r="S1315" s="57" t="n">
        <f aca="false">IFERROR(INDEX(RATES!$E$6:$E$28,MATCH(P1315,RATES!$A$6:$A$28,0)),0)</f>
        <v>55.8975</v>
      </c>
      <c r="T1315" s="61" t="n">
        <f aca="false">IF(ISNUMBER(R1315),R1315,0)*S1315</f>
        <v>8105.1375</v>
      </c>
      <c r="U1315" s="61" t="n">
        <f aca="false">T1315*INDEX(INPUTS!$H$10:$H$14,MATCH(B1315,INPUTS!$A$10:$A$14,0))</f>
        <v>1142.8243875</v>
      </c>
      <c r="V1315" s="61" t="n">
        <f aca="false">N(STACK!K1315)</f>
        <v>0</v>
      </c>
      <c r="W1315" s="61" t="n">
        <f aca="false">T1315+U1315+V1315</f>
        <v>9247.9618875</v>
      </c>
      <c r="X1315" s="61" t="n">
        <f aca="false">N(STACK!L1315)</f>
        <v>0</v>
      </c>
      <c r="Y1315" s="61" t="n">
        <f aca="false">W1315-X1315</f>
        <v>9247.9618875</v>
      </c>
      <c r="Z1315" s="1" t="n">
        <f aca="false">N(STACK!J1315)</f>
        <v>0</v>
      </c>
      <c r="AA1315" s="1" t="str">
        <f aca="false">TRIM(IF(D1315="UNMAPPED","Program not mapped. ","")&amp;IF(OR(K1315="UNMAPPED",K1315="UNASSIGNED"),"Category needs review. ","")&amp;IF(P1315="UNMAPPED","Title not mapped. ","")&amp;IF(AND(P1315&lt;&gt;"No staff time",R1315=""),"Missing hours. ","")&amp;IF(M1315="","Date not readable. ","")&amp;IF(N1315="No","Outside fiscal year. ","")&amp;IF(AND(F1315="Event",ISNUMBER(R1315)),IF(R1315&gt;12,"Event hours look high. ",""),"")&amp;IF(G1315&gt;0,"See CONFIRM sheet.",""))</f>
        <v/>
      </c>
      <c r="AB1315" s="1" t="n">
        <f aca="false">IF(N1315="No",0,IF(REVIEW!O1315=0,0,IF(G1315&gt;0,IF(INDEX(CONFIRM!$J$5:$J$53,G1315)&lt;&gt;"",INDEX(CONFIRM!$J$5:$J$53,G1315),1),1)))</f>
        <v>1</v>
      </c>
      <c r="AC1315" s="1" t="n">
        <f aca="false">IF(AB1315=1,IF(COUNTIFS($B$5:B1315,B1315,$D$5:D1315,D1315,$AB$5:AB1315,1)=1,1,0),0)</f>
        <v>0</v>
      </c>
    </row>
    <row r="1316" customFormat="false" ht="15" hidden="false" customHeight="false" outlineLevel="0" collapsed="false">
      <c r="A1316" s="48" t="str">
        <f aca="false">STACK!A1316</f>
        <v>WCH-0209</v>
      </c>
      <c r="B1316" s="48" t="str">
        <f aca="false">STACK!B1316</f>
        <v>WCH</v>
      </c>
      <c r="C1316" s="48" t="str">
        <f aca="false">STACK!E1316</f>
        <v>paramedic students</v>
      </c>
      <c r="D1316" s="1" t="str">
        <f aca="false">IFERROR(INDEX(MAP!$J$7:$J$101,MATCH(TRIM(C1316),MAP!$I$7:$I$101,0)),"UNMAPPED")</f>
        <v>Paramedic Student Field Training</v>
      </c>
      <c r="E1316" s="1" t="str">
        <f aca="false">IFERROR(INDEX(MAP!$K$7:$K$101,MATCH(TRIM(C1316),MAP!$I$7:$I$101,0)),"")</f>
        <v>Health workforce</v>
      </c>
      <c r="F1316" s="1" t="str">
        <f aca="false">IFERROR(INDEX(MAP!$L$7:$L$101,MATCH(TRIM(C1316),MAP!$I$7:$I$101,0)),"")</f>
        <v>Monthly</v>
      </c>
      <c r="G1316" s="1" t="n">
        <f aca="false">IFERROR(MATCH(A1316,CONFIRM!$A$5:$A$53,0),0)</f>
        <v>0</v>
      </c>
      <c r="H1316" s="48" t="str">
        <f aca="false">STACK!F1316</f>
        <v>health professions ed</v>
      </c>
      <c r="I1316" s="1" t="str">
        <f aca="false">IF(G1316&gt;0,IF(INDEX(CONFIRM!$I$5:$I$53,G1316)&lt;&gt;"",INDEX(CONFIRM!$I$5:$I$53,G1316),H1316),H1316)</f>
        <v>health professions ed</v>
      </c>
      <c r="J1316" s="1" t="str">
        <f aca="false">IFERROR(INDEX(MAP!$F$7:$F$74,MATCH(TRIM(I1316),MAP!$E$7:$E$74,0)),"UNMAPPED")</f>
        <v>Health professions education</v>
      </c>
      <c r="K1316" s="1" t="str">
        <f aca="false">IFERROR(INDEX(MAP!$G$7:$G$74,MATCH(TRIM(I1316),MAP!$E$7:$E$74,0)),"UNMAPPED")</f>
        <v>7f</v>
      </c>
      <c r="L1316" s="49" t="str">
        <f aca="false">STACK!G1316</f>
        <v>March 31, 2026</v>
      </c>
      <c r="M1316" s="59" t="n">
        <f aca="false">IF(G1316&gt;0,IF(INDEX(CONFIRM!$G$5:$G$53,G1316)&lt;&gt;"",INDEX(CONFIRM!$G$5:$G$53,G1316),IF(ISNUMBER(L1316),L1316,IFERROR(DATEVALUE(L1316),""))),IF(ISNUMBER(L1316),L1316,IFERROR(DATEVALUE(L1316),"")))</f>
        <v>46112</v>
      </c>
      <c r="N1316" s="1" t="str">
        <f aca="false">IF(M1316="","Check",IF(AND(M1316&gt;=INPUTS!$C$6,M1316&lt;=INPUTS!$C$7),"Yes","No"))</f>
        <v>Yes</v>
      </c>
      <c r="O1316" s="48" t="str">
        <f aca="false">STACK!H1316</f>
        <v>EMS Paramedic</v>
      </c>
      <c r="P1316" s="1" t="str">
        <f aca="false">IF(G1316&gt;0,IF(INDEX(CONFIRM!$H$5:$H$53,G1316)&lt;&gt;"",INDEX(CONFIRM!$H$5:$H$53,G1316),IFERROR(INDEX(MAP!$B$7:$B$156,MATCH(TRIM(O1316),MAP!$A$7:$A$156,0)),"UNMAPPED")),IFERROR(INDEX(MAP!$B$7:$B$156,MATCH(TRIM(O1316),MAP!$A$7:$A$156,0)),"UNMAPPED"))</f>
        <v>Paramedic</v>
      </c>
      <c r="Q1316" s="48" t="n">
        <f aca="false">STACK!I1316</f>
        <v>48</v>
      </c>
      <c r="R1316" s="60" t="n">
        <f aca="false">IF(G1316&gt;0,IF(INDEX(CONFIRM!$F$5:$F$53,G1316)&lt;&gt;"",INDEX(CONFIRM!$F$5:$F$53,G1316),IF(ISNUMBER(Q1316),Q1316,IF(Q1316="","",IFERROR(VALUE(TRIM(SUBSTITUTE(SUBSTITUTE(LOWER(Q1316),"hrs",""),"hr",""))),"")))),IF(ISNUMBER(Q1316),Q1316,IF(Q1316="","",IFERROR(VALUE(TRIM(SUBSTITUTE(SUBSTITUTE(LOWER(Q1316),"hrs",""),"hr",""))),""))))</f>
        <v>48</v>
      </c>
      <c r="S1316" s="57" t="n">
        <f aca="false">IFERROR(INDEX(RATES!$E$6:$E$28,MATCH(P1316,RATES!$A$6:$A$28,0)),0)</f>
        <v>34.695</v>
      </c>
      <c r="T1316" s="61" t="n">
        <f aca="false">IF(ISNUMBER(R1316),R1316,0)*S1316</f>
        <v>1665.36</v>
      </c>
      <c r="U1316" s="61" t="n">
        <f aca="false">T1316*INDEX(INPUTS!$H$10:$H$14,MATCH(B1316,INPUTS!$A$10:$A$14,0))</f>
        <v>234.81576</v>
      </c>
      <c r="V1316" s="61" t="n">
        <f aca="false">N(STACK!K1316)</f>
        <v>15</v>
      </c>
      <c r="W1316" s="61" t="n">
        <f aca="false">T1316+U1316+V1316</f>
        <v>1915.17576</v>
      </c>
      <c r="X1316" s="61" t="n">
        <f aca="false">N(STACK!L1316)</f>
        <v>0</v>
      </c>
      <c r="Y1316" s="61" t="n">
        <f aca="false">W1316-X1316</f>
        <v>1915.17576</v>
      </c>
      <c r="Z1316" s="1" t="n">
        <f aca="false">N(STACK!J1316)</f>
        <v>2</v>
      </c>
      <c r="AA1316" s="1" t="str">
        <f aca="false">TRIM(IF(D1316="UNMAPPED","Program not mapped. ","")&amp;IF(OR(K1316="UNMAPPED",K1316="UNASSIGNED"),"Category needs review. ","")&amp;IF(P1316="UNMAPPED","Title not mapped. ","")&amp;IF(AND(P1316&lt;&gt;"No staff time",R1316=""),"Missing hours. ","")&amp;IF(M1316="","Date not readable. ","")&amp;IF(N1316="No","Outside fiscal year. ","")&amp;IF(AND(F1316="Event",ISNUMBER(R1316)),IF(R1316&gt;12,"Event hours look high. ",""),"")&amp;IF(G1316&gt;0,"See CONFIRM sheet.",""))</f>
        <v/>
      </c>
      <c r="AB1316" s="1" t="n">
        <f aca="false">IF(N1316="No",0,IF(REVIEW!O1316=0,0,IF(G1316&gt;0,IF(INDEX(CONFIRM!$J$5:$J$53,G1316)&lt;&gt;"",INDEX(CONFIRM!$J$5:$J$53,G1316),1),1)))</f>
        <v>1</v>
      </c>
      <c r="AC1316" s="1" t="n">
        <f aca="false">IF(AB1316=1,IF(COUNTIFS($B$5:B1316,B1316,$D$5:D1316,D1316,$AB$5:AB1316,1)=1,1,0),0)</f>
        <v>0</v>
      </c>
    </row>
    <row r="1317" customFormat="false" ht="15" hidden="false" customHeight="false" outlineLevel="0" collapsed="false">
      <c r="A1317" s="48" t="str">
        <f aca="false">STACK!A1317</f>
        <v>WCH-0210</v>
      </c>
      <c r="B1317" s="48" t="str">
        <f aca="false">STACK!B1317</f>
        <v>WCH</v>
      </c>
      <c r="C1317" s="48" t="str">
        <f aca="false">STACK!E1317</f>
        <v>rural maternal study</v>
      </c>
      <c r="D1317" s="1" t="str">
        <f aca="false">IFERROR(INDEX(MAP!$J$7:$J$101,MATCH(TRIM(C1317),MAP!$I$7:$I$101,0)),"UNMAPPED")</f>
        <v>Rural Maternal Outcomes Study</v>
      </c>
      <c r="E1317" s="1" t="str">
        <f aca="false">IFERROR(INDEX(MAP!$K$7:$K$101,MATCH(TRIM(C1317),MAP!$I$7:$I$101,0)),"")</f>
        <v>Maternal and child health</v>
      </c>
      <c r="F1317" s="1" t="str">
        <f aca="false">IFERROR(INDEX(MAP!$L$7:$L$101,MATCH(TRIM(C1317),MAP!$I$7:$I$101,0)),"")</f>
        <v>Monthly</v>
      </c>
      <c r="G1317" s="1" t="n">
        <f aca="false">IFERROR(MATCH(A1317,CONFIRM!$A$5:$A$53,0),0)</f>
        <v>0</v>
      </c>
      <c r="H1317" s="48" t="str">
        <f aca="false">STACK!F1317</f>
        <v>research</v>
      </c>
      <c r="I1317" s="1" t="str">
        <f aca="false">IF(G1317&gt;0,IF(INDEX(CONFIRM!$I$5:$I$53,G1317)&lt;&gt;"",INDEX(CONFIRM!$I$5:$I$53,G1317),H1317),H1317)</f>
        <v>research</v>
      </c>
      <c r="J1317" s="1" t="str">
        <f aca="false">IFERROR(INDEX(MAP!$F$7:$F$74,MATCH(TRIM(I1317),MAP!$E$7:$E$74,0)),"UNMAPPED")</f>
        <v>Research</v>
      </c>
      <c r="K1317" s="1" t="str">
        <f aca="false">IFERROR(INDEX(MAP!$G$7:$G$74,MATCH(TRIM(I1317),MAP!$E$7:$E$74,0)),"UNMAPPED")</f>
        <v>7h</v>
      </c>
      <c r="L1317" s="49" t="n">
        <f aca="false">STACK!G1317</f>
        <v>46112</v>
      </c>
      <c r="M1317" s="59" t="n">
        <f aca="false">IF(G1317&gt;0,IF(INDEX(CONFIRM!$G$5:$G$53,G1317)&lt;&gt;"",INDEX(CONFIRM!$G$5:$G$53,G1317),IF(ISNUMBER(L1317),L1317,IFERROR(DATEVALUE(L1317),""))),IF(ISNUMBER(L1317),L1317,IFERROR(DATEVALUE(L1317),"")))</f>
        <v>46112</v>
      </c>
      <c r="N1317" s="1" t="str">
        <f aca="false">IF(M1317="","Check",IF(AND(M1317&gt;=INPUTS!$C$6,M1317&lt;=INPUTS!$C$7),"Yes","No"))</f>
        <v>Yes</v>
      </c>
      <c r="O1317" s="48" t="str">
        <f aca="false">STACK!H1317</f>
        <v> Sr Data Analyst</v>
      </c>
      <c r="P1317" s="1" t="str">
        <f aca="false">IF(G1317&gt;0,IF(INDEX(CONFIRM!$H$5:$H$53,G1317)&lt;&gt;"",INDEX(CONFIRM!$H$5:$H$53,G1317),IFERROR(INDEX(MAP!$B$7:$B$156,MATCH(TRIM(O1317),MAP!$A$7:$A$156,0)),"UNMAPPED")),IFERROR(INDEX(MAP!$B$7:$B$156,MATCH(TRIM(O1317),MAP!$A$7:$A$156,0)),"UNMAPPED"))</f>
        <v>Data Analyst</v>
      </c>
      <c r="Q1317" s="48" t="n">
        <f aca="false">STACK!I1317</f>
        <v>8.5</v>
      </c>
      <c r="R1317" s="60" t="n">
        <f aca="false">IF(G1317&gt;0,IF(INDEX(CONFIRM!$F$5:$F$53,G1317)&lt;&gt;"",INDEX(CONFIRM!$F$5:$F$53,G1317),IF(ISNUMBER(Q1317),Q1317,IF(Q1317="","",IFERROR(VALUE(TRIM(SUBSTITUTE(SUBSTITUTE(LOWER(Q1317),"hrs",""),"hr",""))),"")))),IF(ISNUMBER(Q1317),Q1317,IF(Q1317="","",IFERROR(VALUE(TRIM(SUBSTITUTE(SUBSTITUTE(LOWER(Q1317),"hrs",""),"hr",""))),""))))</f>
        <v>8.5</v>
      </c>
      <c r="S1317" s="57" t="n">
        <f aca="false">IFERROR(INDEX(RATES!$E$6:$E$28,MATCH(P1317,RATES!$A$6:$A$28,0)),0)</f>
        <v>48.83</v>
      </c>
      <c r="T1317" s="61" t="n">
        <f aca="false">IF(ISNUMBER(R1317),R1317,0)*S1317</f>
        <v>415.055</v>
      </c>
      <c r="U1317" s="61" t="n">
        <f aca="false">T1317*INDEX(INPUTS!$H$10:$H$14,MATCH(B1317,INPUTS!$A$10:$A$14,0))</f>
        <v>58.522755</v>
      </c>
      <c r="V1317" s="61" t="n">
        <f aca="false">N(STACK!K1317)</f>
        <v>0</v>
      </c>
      <c r="W1317" s="61" t="n">
        <f aca="false">T1317+U1317+V1317</f>
        <v>473.577755</v>
      </c>
      <c r="X1317" s="61" t="n">
        <f aca="false">N(STACK!L1317)</f>
        <v>0</v>
      </c>
      <c r="Y1317" s="61" t="n">
        <f aca="false">W1317-X1317</f>
        <v>473.577755</v>
      </c>
      <c r="Z1317" s="1" t="n">
        <f aca="false">N(STACK!J1317)</f>
        <v>0</v>
      </c>
      <c r="AA1317" s="1" t="str">
        <f aca="false">TRIM(IF(D1317="UNMAPPED","Program not mapped. ","")&amp;IF(OR(K1317="UNMAPPED",K1317="UNASSIGNED"),"Category needs review. ","")&amp;IF(P1317="UNMAPPED","Title not mapped. ","")&amp;IF(AND(P1317&lt;&gt;"No staff time",R1317=""),"Missing hours. ","")&amp;IF(M1317="","Date not readable. ","")&amp;IF(N1317="No","Outside fiscal year. ","")&amp;IF(AND(F1317="Event",ISNUMBER(R1317)),IF(R1317&gt;12,"Event hours look high. ",""),"")&amp;IF(G1317&gt;0,"See CONFIRM sheet.",""))</f>
        <v/>
      </c>
      <c r="AB1317" s="1" t="n">
        <f aca="false">IF(N1317="No",0,IF(REVIEW!O1317=0,0,IF(G1317&gt;0,IF(INDEX(CONFIRM!$J$5:$J$53,G1317)&lt;&gt;"",INDEX(CONFIRM!$J$5:$J$53,G1317),1),1)))</f>
        <v>1</v>
      </c>
      <c r="AC1317" s="1" t="n">
        <f aca="false">IF(AB1317=1,IF(COUNTIFS($B$5:B1317,B1317,$D$5:D1317,D1317,$AB$5:AB1317,1)=1,1,0),0)</f>
        <v>0</v>
      </c>
    </row>
    <row r="1318" customFormat="false" ht="15" hidden="false" customHeight="false" outlineLevel="0" collapsed="false">
      <c r="A1318" s="48" t="str">
        <f aca="false">STACK!A1318</f>
        <v>WCH-0211</v>
      </c>
      <c r="B1318" s="48" t="str">
        <f aca="false">STACK!B1318</f>
        <v>WCH</v>
      </c>
      <c r="C1318" s="48" t="str">
        <f aca="false">STACK!E1318</f>
        <v>rural maternal study</v>
      </c>
      <c r="D1318" s="1" t="str">
        <f aca="false">IFERROR(INDEX(MAP!$J$7:$J$101,MATCH(TRIM(C1318),MAP!$I$7:$I$101,0)),"UNMAPPED")</f>
        <v>Rural Maternal Outcomes Study</v>
      </c>
      <c r="E1318" s="1" t="str">
        <f aca="false">IFERROR(INDEX(MAP!$K$7:$K$101,MATCH(TRIM(C1318),MAP!$I$7:$I$101,0)),"")</f>
        <v>Maternal and child health</v>
      </c>
      <c r="F1318" s="1" t="str">
        <f aca="false">IFERROR(INDEX(MAP!$L$7:$L$101,MATCH(TRIM(C1318),MAP!$I$7:$I$101,0)),"")</f>
        <v>Monthly</v>
      </c>
      <c r="G1318" s="1" t="n">
        <f aca="false">IFERROR(MATCH(A1318,CONFIRM!$A$5:$A$53,0),0)</f>
        <v>0</v>
      </c>
      <c r="H1318" s="48" t="str">
        <f aca="false">STACK!F1318</f>
        <v>research</v>
      </c>
      <c r="I1318" s="1" t="str">
        <f aca="false">IF(G1318&gt;0,IF(INDEX(CONFIRM!$I$5:$I$53,G1318)&lt;&gt;"",INDEX(CONFIRM!$I$5:$I$53,G1318),H1318),H1318)</f>
        <v>research</v>
      </c>
      <c r="J1318" s="1" t="str">
        <f aca="false">IFERROR(INDEX(MAP!$F$7:$F$74,MATCH(TRIM(I1318),MAP!$E$7:$E$74,0)),"UNMAPPED")</f>
        <v>Research</v>
      </c>
      <c r="K1318" s="1" t="str">
        <f aca="false">IFERROR(INDEX(MAP!$G$7:$G$74,MATCH(TRIM(I1318),MAP!$E$7:$E$74,0)),"UNMAPPED")</f>
        <v>7h</v>
      </c>
      <c r="L1318" s="49" t="n">
        <f aca="false">STACK!G1318</f>
        <v>46112</v>
      </c>
      <c r="M1318" s="59" t="n">
        <f aca="false">IF(G1318&gt;0,IF(INDEX(CONFIRM!$G$5:$G$53,G1318)&lt;&gt;"",INDEX(CONFIRM!$G$5:$G$53,G1318),IF(ISNUMBER(L1318),L1318,IFERROR(DATEVALUE(L1318),""))),IF(ISNUMBER(L1318),L1318,IFERROR(DATEVALUE(L1318),"")))</f>
        <v>46112</v>
      </c>
      <c r="N1318" s="1" t="str">
        <f aca="false">IF(M1318="","Check",IF(AND(M1318&gt;=INPUTS!$C$6,M1318&lt;=INPUTS!$C$7),"Yes","No"))</f>
        <v>Yes</v>
      </c>
      <c r="O1318" s="48" t="str">
        <f aca="false">STACK!H1318</f>
        <v>Research Coordinator</v>
      </c>
      <c r="P1318" s="1" t="str">
        <f aca="false">IF(G1318&gt;0,IF(INDEX(CONFIRM!$H$5:$H$53,G1318)&lt;&gt;"",INDEX(CONFIRM!$H$5:$H$53,G1318),IFERROR(INDEX(MAP!$B$7:$B$156,MATCH(TRIM(O1318),MAP!$A$7:$A$156,0)),"UNMAPPED")),IFERROR(INDEX(MAP!$B$7:$B$156,MATCH(TRIM(O1318),MAP!$A$7:$A$156,0)),"UNMAPPED"))</f>
        <v>Research Coordinator</v>
      </c>
      <c r="Q1318" s="48" t="n">
        <f aca="false">STACK!I1318</f>
        <v>50.5</v>
      </c>
      <c r="R1318" s="60" t="n">
        <f aca="false">IF(G1318&gt;0,IF(INDEX(CONFIRM!$F$5:$F$53,G1318)&lt;&gt;"",INDEX(CONFIRM!$F$5:$F$53,G1318),IF(ISNUMBER(Q1318),Q1318,IF(Q1318="","",IFERROR(VALUE(TRIM(SUBSTITUTE(SUBSTITUTE(LOWER(Q1318),"hrs",""),"hr",""))),"")))),IF(ISNUMBER(Q1318),Q1318,IF(Q1318="","",IFERROR(VALUE(TRIM(SUBSTITUTE(SUBSTITUTE(LOWER(Q1318),"hrs",""),"hr",""))),""))))</f>
        <v>50.5</v>
      </c>
      <c r="S1318" s="57" t="n">
        <f aca="false">IFERROR(INDEX(RATES!$E$6:$E$28,MATCH(P1318,RATES!$A$6:$A$28,0)),0)</f>
        <v>42.405</v>
      </c>
      <c r="T1318" s="61" t="n">
        <f aca="false">IF(ISNUMBER(R1318),R1318,0)*S1318</f>
        <v>2141.4525</v>
      </c>
      <c r="U1318" s="61" t="n">
        <f aca="false">T1318*INDEX(INPUTS!$H$10:$H$14,MATCH(B1318,INPUTS!$A$10:$A$14,0))</f>
        <v>301.9448025</v>
      </c>
      <c r="V1318" s="61" t="n">
        <f aca="false">N(STACK!K1318)</f>
        <v>1430</v>
      </c>
      <c r="W1318" s="61" t="n">
        <f aca="false">T1318+U1318+V1318</f>
        <v>3873.3973025</v>
      </c>
      <c r="X1318" s="61" t="n">
        <f aca="false">N(STACK!L1318)</f>
        <v>4380</v>
      </c>
      <c r="Y1318" s="61" t="n">
        <f aca="false">W1318-X1318</f>
        <v>-506.6026975</v>
      </c>
      <c r="Z1318" s="1" t="n">
        <f aca="false">N(STACK!J1318)</f>
        <v>9</v>
      </c>
      <c r="AA1318" s="1" t="str">
        <f aca="false">TRIM(IF(D1318="UNMAPPED","Program not mapped. ","")&amp;IF(OR(K1318="UNMAPPED",K1318="UNASSIGNED"),"Category needs review. ","")&amp;IF(P1318="UNMAPPED","Title not mapped. ","")&amp;IF(AND(P1318&lt;&gt;"No staff time",R1318=""),"Missing hours. ","")&amp;IF(M1318="","Date not readable. ","")&amp;IF(N1318="No","Outside fiscal year. ","")&amp;IF(AND(F1318="Event",ISNUMBER(R1318)),IF(R1318&gt;12,"Event hours look high. ",""),"")&amp;IF(G1318&gt;0,"See CONFIRM sheet.",""))</f>
        <v/>
      </c>
      <c r="AB1318" s="1" t="n">
        <f aca="false">IF(N1318="No",0,IF(REVIEW!O1318=0,0,IF(G1318&gt;0,IF(INDEX(CONFIRM!$J$5:$J$53,G1318)&lt;&gt;"",INDEX(CONFIRM!$J$5:$J$53,G1318),1),1)))</f>
        <v>1</v>
      </c>
      <c r="AC1318" s="1" t="n">
        <f aca="false">IF(AB1318=1,IF(COUNTIFS($B$5:B1318,B1318,$D$5:D1318,D1318,$AB$5:AB1318,1)=1,1,0),0)</f>
        <v>0</v>
      </c>
    </row>
    <row r="1319" customFormat="false" ht="15" hidden="false" customHeight="false" outlineLevel="0" collapsed="false">
      <c r="A1319" s="48" t="str">
        <f aca="false">STACK!A1319</f>
        <v>WCH-0212</v>
      </c>
      <c r="B1319" s="48" t="str">
        <f aca="false">STACK!B1319</f>
        <v>WCH</v>
      </c>
      <c r="C1319" s="48" t="str">
        <f aca="false">STACK!E1319</f>
        <v>diabetes prevention class</v>
      </c>
      <c r="D1319" s="1" t="str">
        <f aca="false">IFERROR(INDEX(MAP!$J$7:$J$101,MATCH(TRIM(C1319),MAP!$I$7:$I$101,0)),"UNMAPPED")</f>
        <v>Diabetes Prevention Classes</v>
      </c>
      <c r="E1319" s="1" t="str">
        <f aca="false">IFERROR(INDEX(MAP!$K$7:$K$101,MATCH(TRIM(C1319),MAP!$I$7:$I$101,0)),"")</f>
        <v>Chronic disease prevention</v>
      </c>
      <c r="F1319" s="1" t="str">
        <f aca="false">IFERROR(INDEX(MAP!$L$7:$L$101,MATCH(TRIM(C1319),MAP!$I$7:$I$101,0)),"")</f>
        <v>Event</v>
      </c>
      <c r="G1319" s="1" t="n">
        <f aca="false">IFERROR(MATCH(A1319,CONFIRM!$A$5:$A$53,0),0)</f>
        <v>0</v>
      </c>
      <c r="H1319" s="48" t="str">
        <f aca="false">STACK!F1319</f>
        <v>community health improvement services</v>
      </c>
      <c r="I1319" s="1" t="str">
        <f aca="false">IF(G1319&gt;0,IF(INDEX(CONFIRM!$I$5:$I$53,G1319)&lt;&gt;"",INDEX(CONFIRM!$I$5:$I$53,G1319),H1319),H1319)</f>
        <v>community health improvement services</v>
      </c>
      <c r="J1319" s="1" t="str">
        <f aca="false">IFERROR(INDEX(MAP!$F$7:$F$74,MATCH(TRIM(I1319),MAP!$E$7:$E$74,0)),"UNMAPPED")</f>
        <v>Community health education</v>
      </c>
      <c r="K1319" s="1" t="str">
        <f aca="false">IFERROR(INDEX(MAP!$G$7:$G$74,MATCH(TRIM(I1319),MAP!$E$7:$E$74,0)),"UNMAPPED")</f>
        <v>7e</v>
      </c>
      <c r="L1319" s="49" t="str">
        <f aca="false">STACK!G1319</f>
        <v>April 3, 2026</v>
      </c>
      <c r="M1319" s="59" t="n">
        <f aca="false">IF(G1319&gt;0,IF(INDEX(CONFIRM!$G$5:$G$53,G1319)&lt;&gt;"",INDEX(CONFIRM!$G$5:$G$53,G1319),IF(ISNUMBER(L1319),L1319,IFERROR(DATEVALUE(L1319),""))),IF(ISNUMBER(L1319),L1319,IFERROR(DATEVALUE(L1319),"")))</f>
        <v>46115</v>
      </c>
      <c r="N1319" s="1" t="str">
        <f aca="false">IF(M1319="","Check",IF(AND(M1319&gt;=INPUTS!$C$6,M1319&lt;=INPUTS!$C$7),"Yes","No"))</f>
        <v>Yes</v>
      </c>
      <c r="O1319" s="48" t="str">
        <f aca="false">STACK!H1319</f>
        <v>Community Educator</v>
      </c>
      <c r="P1319" s="1" t="str">
        <f aca="false">IF(G1319&gt;0,IF(INDEX(CONFIRM!$H$5:$H$53,G1319)&lt;&gt;"",INDEX(CONFIRM!$H$5:$H$53,G1319),IFERROR(INDEX(MAP!$B$7:$B$156,MATCH(TRIM(O1319),MAP!$A$7:$A$156,0)),"UNMAPPED")),IFERROR(INDEX(MAP!$B$7:$B$156,MATCH(TRIM(O1319),MAP!$A$7:$A$156,0)),"UNMAPPED"))</f>
        <v>Health Educator</v>
      </c>
      <c r="Q1319" s="48" t="n">
        <f aca="false">STACK!I1319</f>
        <v>2.5</v>
      </c>
      <c r="R1319" s="60" t="n">
        <f aca="false">IF(G1319&gt;0,IF(INDEX(CONFIRM!$F$5:$F$53,G1319)&lt;&gt;"",INDEX(CONFIRM!$F$5:$F$53,G1319),IF(ISNUMBER(Q1319),Q1319,IF(Q1319="","",IFERROR(VALUE(TRIM(SUBSTITUTE(SUBSTITUTE(LOWER(Q1319),"hrs",""),"hr",""))),"")))),IF(ISNUMBER(Q1319),Q1319,IF(Q1319="","",IFERROR(VALUE(TRIM(SUBSTITUTE(SUBSTITUTE(LOWER(Q1319),"hrs",""),"hr",""))),""))))</f>
        <v>2.5</v>
      </c>
      <c r="S1319" s="57" t="n">
        <f aca="false">IFERROR(INDEX(RATES!$E$6:$E$28,MATCH(P1319,RATES!$A$6:$A$28,0)),0)</f>
        <v>37.265</v>
      </c>
      <c r="T1319" s="61" t="n">
        <f aca="false">IF(ISNUMBER(R1319),R1319,0)*S1319</f>
        <v>93.1625</v>
      </c>
      <c r="U1319" s="61" t="n">
        <f aca="false">T1319*INDEX(INPUTS!$H$10:$H$14,MATCH(B1319,INPUTS!$A$10:$A$14,0))</f>
        <v>13.1359125</v>
      </c>
      <c r="V1319" s="61" t="n">
        <f aca="false">N(STACK!K1319)</f>
        <v>60</v>
      </c>
      <c r="W1319" s="61" t="n">
        <f aca="false">T1319+U1319+V1319</f>
        <v>166.2984125</v>
      </c>
      <c r="X1319" s="61" t="n">
        <f aca="false">N(STACK!L1319)</f>
        <v>0</v>
      </c>
      <c r="Y1319" s="61" t="n">
        <f aca="false">W1319-X1319</f>
        <v>166.2984125</v>
      </c>
      <c r="Z1319" s="1" t="n">
        <f aca="false">N(STACK!J1319)</f>
        <v>13</v>
      </c>
      <c r="AA1319" s="1" t="str">
        <f aca="false">TRIM(IF(D1319="UNMAPPED","Program not mapped. ","")&amp;IF(OR(K1319="UNMAPPED",K1319="UNASSIGNED"),"Category needs review. ","")&amp;IF(P1319="UNMAPPED","Title not mapped. ","")&amp;IF(AND(P1319&lt;&gt;"No staff time",R1319=""),"Missing hours. ","")&amp;IF(M1319="","Date not readable. ","")&amp;IF(N1319="No","Outside fiscal year. ","")&amp;IF(AND(F1319="Event",ISNUMBER(R1319)),IF(R1319&gt;12,"Event hours look high. ",""),"")&amp;IF(G1319&gt;0,"See CONFIRM sheet.",""))</f>
        <v/>
      </c>
      <c r="AB1319" s="1" t="n">
        <f aca="false">IF(N1319="No",0,IF(REVIEW!O1319=0,0,IF(G1319&gt;0,IF(INDEX(CONFIRM!$J$5:$J$53,G1319)&lt;&gt;"",INDEX(CONFIRM!$J$5:$J$53,G1319),1),1)))</f>
        <v>1</v>
      </c>
      <c r="AC1319" s="1" t="n">
        <f aca="false">IF(AB1319=1,IF(COUNTIFS($B$5:B1319,B1319,$D$5:D1319,D1319,$AB$5:AB1319,1)=1,1,0),0)</f>
        <v>0</v>
      </c>
    </row>
    <row r="1320" customFormat="false" ht="15" hidden="false" customHeight="false" outlineLevel="0" collapsed="false">
      <c r="A1320" s="48" t="str">
        <f aca="false">STACK!A1320</f>
        <v>WCH-0213</v>
      </c>
      <c r="B1320" s="48" t="str">
        <f aca="false">STACK!B1320</f>
        <v>WCH</v>
      </c>
      <c r="C1320" s="48" t="str">
        <f aca="false">STACK!E1320</f>
        <v>diabetes prevention class</v>
      </c>
      <c r="D1320" s="1" t="str">
        <f aca="false">IFERROR(INDEX(MAP!$J$7:$J$101,MATCH(TRIM(C1320),MAP!$I$7:$I$101,0)),"UNMAPPED")</f>
        <v>Diabetes Prevention Classes</v>
      </c>
      <c r="E1320" s="1" t="str">
        <f aca="false">IFERROR(INDEX(MAP!$K$7:$K$101,MATCH(TRIM(C1320),MAP!$I$7:$I$101,0)),"")</f>
        <v>Chronic disease prevention</v>
      </c>
      <c r="F1320" s="1" t="str">
        <f aca="false">IFERROR(INDEX(MAP!$L$7:$L$101,MATCH(TRIM(C1320),MAP!$I$7:$I$101,0)),"")</f>
        <v>Event</v>
      </c>
      <c r="G1320" s="1" t="n">
        <f aca="false">IFERROR(MATCH(A1320,CONFIRM!$A$5:$A$53,0),0)</f>
        <v>0</v>
      </c>
      <c r="H1320" s="48" t="str">
        <f aca="false">STACK!F1320</f>
        <v>community health improvement services</v>
      </c>
      <c r="I1320" s="1" t="str">
        <f aca="false">IF(G1320&gt;0,IF(INDEX(CONFIRM!$I$5:$I$53,G1320)&lt;&gt;"",INDEX(CONFIRM!$I$5:$I$53,G1320),H1320),H1320)</f>
        <v>community health improvement services</v>
      </c>
      <c r="J1320" s="1" t="str">
        <f aca="false">IFERROR(INDEX(MAP!$F$7:$F$74,MATCH(TRIM(I1320),MAP!$E$7:$E$74,0)),"UNMAPPED")</f>
        <v>Community health education</v>
      </c>
      <c r="K1320" s="1" t="str">
        <f aca="false">IFERROR(INDEX(MAP!$G$7:$G$74,MATCH(TRIM(I1320),MAP!$E$7:$E$74,0)),"UNMAPPED")</f>
        <v>7e</v>
      </c>
      <c r="L1320" s="49" t="str">
        <f aca="false">STACK!G1320</f>
        <v>4/3/26</v>
      </c>
      <c r="M1320" s="59" t="n">
        <f aca="false">IF(G1320&gt;0,IF(INDEX(CONFIRM!$G$5:$G$53,G1320)&lt;&gt;"",INDEX(CONFIRM!$G$5:$G$53,G1320),IF(ISNUMBER(L1320),L1320,IFERROR(DATEVALUE(L1320),""))),IF(ISNUMBER(L1320),L1320,IFERROR(DATEVALUE(L1320),"")))</f>
        <v>46115</v>
      </c>
      <c r="N1320" s="1" t="str">
        <f aca="false">IF(M1320="","Check",IF(AND(M1320&gt;=INPUTS!$C$6,M1320&lt;=INPUTS!$C$7),"Yes","No"))</f>
        <v>Yes</v>
      </c>
      <c r="O1320" s="48" t="str">
        <f aca="false">STACK!H1320</f>
        <v>Dietitian</v>
      </c>
      <c r="P1320" s="1" t="str">
        <f aca="false">IF(G1320&gt;0,IF(INDEX(CONFIRM!$H$5:$H$53,G1320)&lt;&gt;"",INDEX(CONFIRM!$H$5:$H$53,G1320),IFERROR(INDEX(MAP!$B$7:$B$156,MATCH(TRIM(O1320),MAP!$A$7:$A$156,0)),"UNMAPPED")),IFERROR(INDEX(MAP!$B$7:$B$156,MATCH(TRIM(O1320),MAP!$A$7:$A$156,0)),"UNMAPPED"))</f>
        <v>Registered Dietitian</v>
      </c>
      <c r="Q1320" s="48" t="str">
        <f aca="false">STACK!I1320</f>
        <v>1.75 hr</v>
      </c>
      <c r="R1320" s="60" t="n">
        <f aca="false">IF(G1320&gt;0,IF(INDEX(CONFIRM!$F$5:$F$53,G1320)&lt;&gt;"",INDEX(CONFIRM!$F$5:$F$53,G1320),IF(ISNUMBER(Q1320),Q1320,IF(Q1320="","",IFERROR(VALUE(TRIM(SUBSTITUTE(SUBSTITUTE(LOWER(Q1320),"hrs",""),"hr",""))),"")))),IF(ISNUMBER(Q1320),Q1320,IF(Q1320="","",IFERROR(VALUE(TRIM(SUBSTITUTE(SUBSTITUTE(LOWER(Q1320),"hrs",""),"hr",""))),""))))</f>
        <v>1.75</v>
      </c>
      <c r="S1320" s="57" t="n">
        <f aca="false">IFERROR(INDEX(RATES!$E$6:$E$28,MATCH(P1320,RATES!$A$6:$A$28,0)),0)</f>
        <v>46.9025</v>
      </c>
      <c r="T1320" s="61" t="n">
        <f aca="false">IF(ISNUMBER(R1320),R1320,0)*S1320</f>
        <v>82.079375</v>
      </c>
      <c r="U1320" s="61" t="n">
        <f aca="false">T1320*INDEX(INPUTS!$H$10:$H$14,MATCH(B1320,INPUTS!$A$10:$A$14,0))</f>
        <v>11.573191875</v>
      </c>
      <c r="V1320" s="61" t="n">
        <f aca="false">N(STACK!K1320)</f>
        <v>0</v>
      </c>
      <c r="W1320" s="61" t="n">
        <f aca="false">T1320+U1320+V1320</f>
        <v>93.652566875</v>
      </c>
      <c r="X1320" s="61" t="n">
        <f aca="false">N(STACK!L1320)</f>
        <v>0</v>
      </c>
      <c r="Y1320" s="61" t="n">
        <f aca="false">W1320-X1320</f>
        <v>93.652566875</v>
      </c>
      <c r="Z1320" s="1" t="n">
        <f aca="false">N(STACK!J1320)</f>
        <v>0</v>
      </c>
      <c r="AA1320" s="1" t="str">
        <f aca="false">TRIM(IF(D1320="UNMAPPED","Program not mapped. ","")&amp;IF(OR(K1320="UNMAPPED",K1320="UNASSIGNED"),"Category needs review. ","")&amp;IF(P1320="UNMAPPED","Title not mapped. ","")&amp;IF(AND(P1320&lt;&gt;"No staff time",R1320=""),"Missing hours. ","")&amp;IF(M1320="","Date not readable. ","")&amp;IF(N1320="No","Outside fiscal year. ","")&amp;IF(AND(F1320="Event",ISNUMBER(R1320)),IF(R1320&gt;12,"Event hours look high. ",""),"")&amp;IF(G1320&gt;0,"See CONFIRM sheet.",""))</f>
        <v/>
      </c>
      <c r="AB1320" s="1" t="n">
        <f aca="false">IF(N1320="No",0,IF(REVIEW!O1320=0,0,IF(G1320&gt;0,IF(INDEX(CONFIRM!$J$5:$J$53,G1320)&lt;&gt;"",INDEX(CONFIRM!$J$5:$J$53,G1320),1),1)))</f>
        <v>1</v>
      </c>
      <c r="AC1320" s="1" t="n">
        <f aca="false">IF(AB1320=1,IF(COUNTIFS($B$5:B1320,B1320,$D$5:D1320,D1320,$AB$5:AB1320,1)=1,1,0),0)</f>
        <v>0</v>
      </c>
    </row>
    <row r="1321" customFormat="false" ht="15" hidden="false" customHeight="false" outlineLevel="0" collapsed="false">
      <c r="A1321" s="48" t="str">
        <f aca="false">STACK!A1321</f>
        <v>WCH-0214</v>
      </c>
      <c r="B1321" s="48" t="str">
        <f aca="false">STACK!B1321</f>
        <v>WCH</v>
      </c>
      <c r="C1321" s="48" t="str">
        <f aca="false">STACK!E1321</f>
        <v>diabetes prevention class</v>
      </c>
      <c r="D1321" s="1" t="str">
        <f aca="false">IFERROR(INDEX(MAP!$J$7:$J$101,MATCH(TRIM(C1321),MAP!$I$7:$I$101,0)),"UNMAPPED")</f>
        <v>Diabetes Prevention Classes</v>
      </c>
      <c r="E1321" s="1" t="str">
        <f aca="false">IFERROR(INDEX(MAP!$K$7:$K$101,MATCH(TRIM(C1321),MAP!$I$7:$I$101,0)),"")</f>
        <v>Chronic disease prevention</v>
      </c>
      <c r="F1321" s="1" t="str">
        <f aca="false">IFERROR(INDEX(MAP!$L$7:$L$101,MATCH(TRIM(C1321),MAP!$I$7:$I$101,0)),"")</f>
        <v>Event</v>
      </c>
      <c r="G1321" s="1" t="n">
        <f aca="false">IFERROR(MATCH(A1321,CONFIRM!$A$5:$A$53,0),0)</f>
        <v>0</v>
      </c>
      <c r="H1321" s="48" t="str">
        <f aca="false">STACK!F1321</f>
        <v>community health improvement services</v>
      </c>
      <c r="I1321" s="1" t="str">
        <f aca="false">IF(G1321&gt;0,IF(INDEX(CONFIRM!$I$5:$I$53,G1321)&lt;&gt;"",INDEX(CONFIRM!$I$5:$I$53,G1321),H1321),H1321)</f>
        <v>community health improvement services</v>
      </c>
      <c r="J1321" s="1" t="str">
        <f aca="false">IFERROR(INDEX(MAP!$F$7:$F$74,MATCH(TRIM(I1321),MAP!$E$7:$E$74,0)),"UNMAPPED")</f>
        <v>Community health education</v>
      </c>
      <c r="K1321" s="1" t="str">
        <f aca="false">IFERROR(INDEX(MAP!$G$7:$G$74,MATCH(TRIM(I1321),MAP!$E$7:$E$74,0)),"UNMAPPED")</f>
        <v>7e</v>
      </c>
      <c r="L1321" s="49" t="str">
        <f aca="false">STACK!G1321</f>
        <v>April 6, 2026</v>
      </c>
      <c r="M1321" s="59" t="n">
        <f aca="false">IF(G1321&gt;0,IF(INDEX(CONFIRM!$G$5:$G$53,G1321)&lt;&gt;"",INDEX(CONFIRM!$G$5:$G$53,G1321),IF(ISNUMBER(L1321),L1321,IFERROR(DATEVALUE(L1321),""))),IF(ISNUMBER(L1321),L1321,IFERROR(DATEVALUE(L1321),"")))</f>
        <v>46118</v>
      </c>
      <c r="N1321" s="1" t="str">
        <f aca="false">IF(M1321="","Check",IF(AND(M1321&gt;=INPUTS!$C$6,M1321&lt;=INPUTS!$C$7),"Yes","No"))</f>
        <v>Yes</v>
      </c>
      <c r="O1321" s="48" t="str">
        <f aca="false">STACK!H1321</f>
        <v>Health Ed</v>
      </c>
      <c r="P1321" s="1" t="str">
        <f aca="false">IF(G1321&gt;0,IF(INDEX(CONFIRM!$H$5:$H$53,G1321)&lt;&gt;"",INDEX(CONFIRM!$H$5:$H$53,G1321),IFERROR(INDEX(MAP!$B$7:$B$156,MATCH(TRIM(O1321),MAP!$A$7:$A$156,0)),"UNMAPPED")),IFERROR(INDEX(MAP!$B$7:$B$156,MATCH(TRIM(O1321),MAP!$A$7:$A$156,0)),"UNMAPPED"))</f>
        <v>Health Educator</v>
      </c>
      <c r="Q1321" s="48" t="n">
        <f aca="false">STACK!I1321</f>
        <v>2.5</v>
      </c>
      <c r="R1321" s="60" t="n">
        <f aca="false">IF(G1321&gt;0,IF(INDEX(CONFIRM!$F$5:$F$53,G1321)&lt;&gt;"",INDEX(CONFIRM!$F$5:$F$53,G1321),IF(ISNUMBER(Q1321),Q1321,IF(Q1321="","",IFERROR(VALUE(TRIM(SUBSTITUTE(SUBSTITUTE(LOWER(Q1321),"hrs",""),"hr",""))),"")))),IF(ISNUMBER(Q1321),Q1321,IF(Q1321="","",IFERROR(VALUE(TRIM(SUBSTITUTE(SUBSTITUTE(LOWER(Q1321),"hrs",""),"hr",""))),""))))</f>
        <v>2.5</v>
      </c>
      <c r="S1321" s="57" t="n">
        <f aca="false">IFERROR(INDEX(RATES!$E$6:$E$28,MATCH(P1321,RATES!$A$6:$A$28,0)),0)</f>
        <v>37.265</v>
      </c>
      <c r="T1321" s="61" t="n">
        <f aca="false">IF(ISNUMBER(R1321),R1321,0)*S1321</f>
        <v>93.1625</v>
      </c>
      <c r="U1321" s="61" t="n">
        <f aca="false">T1321*INDEX(INPUTS!$H$10:$H$14,MATCH(B1321,INPUTS!$A$10:$A$14,0))</f>
        <v>13.1359125</v>
      </c>
      <c r="V1321" s="61" t="n">
        <f aca="false">N(STACK!K1321)</f>
        <v>115</v>
      </c>
      <c r="W1321" s="61" t="n">
        <f aca="false">T1321+U1321+V1321</f>
        <v>221.2984125</v>
      </c>
      <c r="X1321" s="61" t="n">
        <f aca="false">N(STACK!L1321)</f>
        <v>0</v>
      </c>
      <c r="Y1321" s="61" t="n">
        <f aca="false">W1321-X1321</f>
        <v>221.2984125</v>
      </c>
      <c r="Z1321" s="1" t="n">
        <f aca="false">N(STACK!J1321)</f>
        <v>12</v>
      </c>
      <c r="AA1321" s="1" t="str">
        <f aca="false">TRIM(IF(D1321="UNMAPPED","Program not mapped. ","")&amp;IF(OR(K1321="UNMAPPED",K1321="UNASSIGNED"),"Category needs review. ","")&amp;IF(P1321="UNMAPPED","Title not mapped. ","")&amp;IF(AND(P1321&lt;&gt;"No staff time",R1321=""),"Missing hours. ","")&amp;IF(M1321="","Date not readable. ","")&amp;IF(N1321="No","Outside fiscal year. ","")&amp;IF(AND(F1321="Event",ISNUMBER(R1321)),IF(R1321&gt;12,"Event hours look high. ",""),"")&amp;IF(G1321&gt;0,"See CONFIRM sheet.",""))</f>
        <v/>
      </c>
      <c r="AB1321" s="1" t="n">
        <f aca="false">IF(N1321="No",0,IF(REVIEW!O1321=0,0,IF(G1321&gt;0,IF(INDEX(CONFIRM!$J$5:$J$53,G1321)&lt;&gt;"",INDEX(CONFIRM!$J$5:$J$53,G1321),1),1)))</f>
        <v>1</v>
      </c>
      <c r="AC1321" s="1" t="n">
        <f aca="false">IF(AB1321=1,IF(COUNTIFS($B$5:B1321,B1321,$D$5:D1321,D1321,$AB$5:AB1321,1)=1,1,0),0)</f>
        <v>0</v>
      </c>
    </row>
    <row r="1322" customFormat="false" ht="15" hidden="false" customHeight="false" outlineLevel="0" collapsed="false">
      <c r="A1322" s="48" t="str">
        <f aca="false">STACK!A1322</f>
        <v>WCH-0215</v>
      </c>
      <c r="B1322" s="48" t="str">
        <f aca="false">STACK!B1322</f>
        <v>WCH</v>
      </c>
      <c r="C1322" s="48" t="str">
        <f aca="false">STACK!E1322</f>
        <v>diabetes prevention class</v>
      </c>
      <c r="D1322" s="1" t="str">
        <f aca="false">IFERROR(INDEX(MAP!$J$7:$J$101,MATCH(TRIM(C1322),MAP!$I$7:$I$101,0)),"UNMAPPED")</f>
        <v>Diabetes Prevention Classes</v>
      </c>
      <c r="E1322" s="1" t="str">
        <f aca="false">IFERROR(INDEX(MAP!$K$7:$K$101,MATCH(TRIM(C1322),MAP!$I$7:$I$101,0)),"")</f>
        <v>Chronic disease prevention</v>
      </c>
      <c r="F1322" s="1" t="str">
        <f aca="false">IFERROR(INDEX(MAP!$L$7:$L$101,MATCH(TRIM(C1322),MAP!$I$7:$I$101,0)),"")</f>
        <v>Event</v>
      </c>
      <c r="G1322" s="1" t="n">
        <f aca="false">IFERROR(MATCH(A1322,CONFIRM!$A$5:$A$53,0),0)</f>
        <v>0</v>
      </c>
      <c r="H1322" s="48" t="str">
        <f aca="false">STACK!F1322</f>
        <v>community health improvement services</v>
      </c>
      <c r="I1322" s="1" t="str">
        <f aca="false">IF(G1322&gt;0,IF(INDEX(CONFIRM!$I$5:$I$53,G1322)&lt;&gt;"",INDEX(CONFIRM!$I$5:$I$53,G1322),H1322),H1322)</f>
        <v>community health improvement services</v>
      </c>
      <c r="J1322" s="1" t="str">
        <f aca="false">IFERROR(INDEX(MAP!$F$7:$F$74,MATCH(TRIM(I1322),MAP!$E$7:$E$74,0)),"UNMAPPED")</f>
        <v>Community health education</v>
      </c>
      <c r="K1322" s="1" t="str">
        <f aca="false">IFERROR(INDEX(MAP!$G$7:$G$74,MATCH(TRIM(I1322),MAP!$E$7:$E$74,0)),"UNMAPPED")</f>
        <v>7e</v>
      </c>
      <c r="L1322" s="49" t="n">
        <f aca="false">STACK!G1322</f>
        <v>46118</v>
      </c>
      <c r="M1322" s="59" t="n">
        <f aca="false">IF(G1322&gt;0,IF(INDEX(CONFIRM!$G$5:$G$53,G1322)&lt;&gt;"",INDEX(CONFIRM!$G$5:$G$53,G1322),IF(ISNUMBER(L1322),L1322,IFERROR(DATEVALUE(L1322),""))),IF(ISNUMBER(L1322),L1322,IFERROR(DATEVALUE(L1322),"")))</f>
        <v>46118</v>
      </c>
      <c r="N1322" s="1" t="str">
        <f aca="false">IF(M1322="","Check",IF(AND(M1322&gt;=INPUTS!$C$6,M1322&lt;=INPUTS!$C$7),"Yes","No"))</f>
        <v>Yes</v>
      </c>
      <c r="O1322" s="48" t="str">
        <f aca="false">STACK!H1322</f>
        <v>Registered Dietitian</v>
      </c>
      <c r="P1322" s="1" t="str">
        <f aca="false">IF(G1322&gt;0,IF(INDEX(CONFIRM!$H$5:$H$53,G1322)&lt;&gt;"",INDEX(CONFIRM!$H$5:$H$53,G1322),IFERROR(INDEX(MAP!$B$7:$B$156,MATCH(TRIM(O1322),MAP!$A$7:$A$156,0)),"UNMAPPED")),IFERROR(INDEX(MAP!$B$7:$B$156,MATCH(TRIM(O1322),MAP!$A$7:$A$156,0)),"UNMAPPED"))</f>
        <v>Registered Dietitian</v>
      </c>
      <c r="Q1322" s="48" t="n">
        <f aca="false">STACK!I1322</f>
        <v>1.75</v>
      </c>
      <c r="R1322" s="60" t="n">
        <f aca="false">IF(G1322&gt;0,IF(INDEX(CONFIRM!$F$5:$F$53,G1322)&lt;&gt;"",INDEX(CONFIRM!$F$5:$F$53,G1322),IF(ISNUMBER(Q1322),Q1322,IF(Q1322="","",IFERROR(VALUE(TRIM(SUBSTITUTE(SUBSTITUTE(LOWER(Q1322),"hrs",""),"hr",""))),"")))),IF(ISNUMBER(Q1322),Q1322,IF(Q1322="","",IFERROR(VALUE(TRIM(SUBSTITUTE(SUBSTITUTE(LOWER(Q1322),"hrs",""),"hr",""))),""))))</f>
        <v>1.75</v>
      </c>
      <c r="S1322" s="57" t="n">
        <f aca="false">IFERROR(INDEX(RATES!$E$6:$E$28,MATCH(P1322,RATES!$A$6:$A$28,0)),0)</f>
        <v>46.9025</v>
      </c>
      <c r="T1322" s="61" t="n">
        <f aca="false">IF(ISNUMBER(R1322),R1322,0)*S1322</f>
        <v>82.079375</v>
      </c>
      <c r="U1322" s="61" t="n">
        <f aca="false">T1322*INDEX(INPUTS!$H$10:$H$14,MATCH(B1322,INPUTS!$A$10:$A$14,0))</f>
        <v>11.573191875</v>
      </c>
      <c r="V1322" s="61" t="n">
        <f aca="false">N(STACK!K1322)</f>
        <v>0</v>
      </c>
      <c r="W1322" s="61" t="n">
        <f aca="false">T1322+U1322+V1322</f>
        <v>93.652566875</v>
      </c>
      <c r="X1322" s="61" t="n">
        <f aca="false">N(STACK!L1322)</f>
        <v>0</v>
      </c>
      <c r="Y1322" s="61" t="n">
        <f aca="false">W1322-X1322</f>
        <v>93.652566875</v>
      </c>
      <c r="Z1322" s="1" t="n">
        <f aca="false">N(STACK!J1322)</f>
        <v>0</v>
      </c>
      <c r="AA1322" s="1" t="str">
        <f aca="false">TRIM(IF(D1322="UNMAPPED","Program not mapped. ","")&amp;IF(OR(K1322="UNMAPPED",K1322="UNASSIGNED"),"Category needs review. ","")&amp;IF(P1322="UNMAPPED","Title not mapped. ","")&amp;IF(AND(P1322&lt;&gt;"No staff time",R1322=""),"Missing hours. ","")&amp;IF(M1322="","Date not readable. ","")&amp;IF(N1322="No","Outside fiscal year. ","")&amp;IF(AND(F1322="Event",ISNUMBER(R1322)),IF(R1322&gt;12,"Event hours look high. ",""),"")&amp;IF(G1322&gt;0,"See CONFIRM sheet.",""))</f>
        <v/>
      </c>
      <c r="AB1322" s="1" t="n">
        <f aca="false">IF(N1322="No",0,IF(REVIEW!O1322=0,0,IF(G1322&gt;0,IF(INDEX(CONFIRM!$J$5:$J$53,G1322)&lt;&gt;"",INDEX(CONFIRM!$J$5:$J$53,G1322),1),1)))</f>
        <v>1</v>
      </c>
      <c r="AC1322" s="1" t="n">
        <f aca="false">IF(AB1322=1,IF(COUNTIFS($B$5:B1322,B1322,$D$5:D1322,D1322,$AB$5:AB1322,1)=1,1,0),0)</f>
        <v>0</v>
      </c>
    </row>
    <row r="1323" customFormat="false" ht="15" hidden="false" customHeight="false" outlineLevel="0" collapsed="false">
      <c r="A1323" s="48" t="str">
        <f aca="false">STACK!A1323</f>
        <v>WCH-0216</v>
      </c>
      <c r="B1323" s="48" t="str">
        <f aca="false">STACK!B1323</f>
        <v>WCH</v>
      </c>
      <c r="C1323" s="48" t="str">
        <f aca="false">STACK!E1323</f>
        <v>grief group</v>
      </c>
      <c r="D1323" s="1" t="str">
        <f aca="false">IFERROR(INDEX(MAP!$J$7:$J$101,MATCH(TRIM(C1323),MAP!$I$7:$I$101,0)),"UNMAPPED")</f>
        <v>Grief Support Group</v>
      </c>
      <c r="E1323" s="1" t="str">
        <f aca="false">IFERROR(INDEX(MAP!$K$7:$K$101,MATCH(TRIM(C1323),MAP!$I$7:$I$101,0)),"")</f>
        <v>Behavioral health</v>
      </c>
      <c r="F1323" s="1" t="str">
        <f aca="false">IFERROR(INDEX(MAP!$L$7:$L$101,MATCH(TRIM(C1323),MAP!$I$7:$I$101,0)),"")</f>
        <v>Event</v>
      </c>
      <c r="G1323" s="1" t="n">
        <f aca="false">IFERROR(MATCH(A1323,CONFIRM!$A$5:$A$53,0),0)</f>
        <v>0</v>
      </c>
      <c r="H1323" s="48" t="str">
        <f aca="false">STACK!F1323</f>
        <v>CHIS support</v>
      </c>
      <c r="I1323" s="1" t="str">
        <f aca="false">IF(G1323&gt;0,IF(INDEX(CONFIRM!$I$5:$I$53,G1323)&lt;&gt;"",INDEX(CONFIRM!$I$5:$I$53,G1323),H1323),H1323)</f>
        <v>CHIS support</v>
      </c>
      <c r="J1323" s="1" t="str">
        <f aca="false">IFERROR(INDEX(MAP!$F$7:$F$74,MATCH(TRIM(I1323),MAP!$E$7:$E$74,0)),"UNMAPPED")</f>
        <v>Health care support services</v>
      </c>
      <c r="K1323" s="1" t="str">
        <f aca="false">IFERROR(INDEX(MAP!$G$7:$G$74,MATCH(TRIM(I1323),MAP!$E$7:$E$74,0)),"UNMAPPED")</f>
        <v>7e</v>
      </c>
      <c r="L1323" s="49" t="n">
        <f aca="false">STACK!G1323</f>
        <v>46135</v>
      </c>
      <c r="M1323" s="59" t="n">
        <f aca="false">IF(G1323&gt;0,IF(INDEX(CONFIRM!$G$5:$G$53,G1323)&lt;&gt;"",INDEX(CONFIRM!$G$5:$G$53,G1323),IF(ISNUMBER(L1323),L1323,IFERROR(DATEVALUE(L1323),""))),IF(ISNUMBER(L1323),L1323,IFERROR(DATEVALUE(L1323),"")))</f>
        <v>46135</v>
      </c>
      <c r="N1323" s="1" t="str">
        <f aca="false">IF(M1323="","Check",IF(AND(M1323&gt;=INPUTS!$C$6,M1323&lt;=INPUTS!$C$7),"Yes","No"))</f>
        <v>Yes</v>
      </c>
      <c r="O1323" s="48" t="str">
        <f aca="false">STACK!H1323</f>
        <v>Spiritual Care</v>
      </c>
      <c r="P1323" s="1" t="str">
        <f aca="false">IF(G1323&gt;0,IF(INDEX(CONFIRM!$H$5:$H$53,G1323)&lt;&gt;"",INDEX(CONFIRM!$H$5:$H$53,G1323),IFERROR(INDEX(MAP!$B$7:$B$156,MATCH(TRIM(O1323),MAP!$A$7:$A$156,0)),"UNMAPPED")),IFERROR(INDEX(MAP!$B$7:$B$156,MATCH(TRIM(O1323),MAP!$A$7:$A$156,0)),"UNMAPPED"))</f>
        <v>Chaplain</v>
      </c>
      <c r="Q1323" s="48" t="n">
        <f aca="false">STACK!I1323</f>
        <v>2.5</v>
      </c>
      <c r="R1323" s="60" t="n">
        <f aca="false">IF(G1323&gt;0,IF(INDEX(CONFIRM!$F$5:$F$53,G1323)&lt;&gt;"",INDEX(CONFIRM!$F$5:$F$53,G1323),IF(ISNUMBER(Q1323),Q1323,IF(Q1323="","",IFERROR(VALUE(TRIM(SUBSTITUTE(SUBSTITUTE(LOWER(Q1323),"hrs",""),"hr",""))),"")))),IF(ISNUMBER(Q1323),Q1323,IF(Q1323="","",IFERROR(VALUE(TRIM(SUBSTITUTE(SUBSTITUTE(LOWER(Q1323),"hrs",""),"hr",""))),""))))</f>
        <v>2.5</v>
      </c>
      <c r="S1323" s="57" t="n">
        <f aca="false">IFERROR(INDEX(RATES!$E$6:$E$28,MATCH(P1323,RATES!$A$6:$A$28,0)),0)</f>
        <v>39.835</v>
      </c>
      <c r="T1323" s="61" t="n">
        <f aca="false">IF(ISNUMBER(R1323),R1323,0)*S1323</f>
        <v>99.5875</v>
      </c>
      <c r="U1323" s="61" t="n">
        <f aca="false">T1323*INDEX(INPUTS!$H$10:$H$14,MATCH(B1323,INPUTS!$A$10:$A$14,0))</f>
        <v>14.0418375</v>
      </c>
      <c r="V1323" s="61" t="n">
        <f aca="false">N(STACK!K1323)</f>
        <v>20</v>
      </c>
      <c r="W1323" s="61" t="n">
        <f aca="false">T1323+U1323+V1323</f>
        <v>133.6293375</v>
      </c>
      <c r="X1323" s="61" t="n">
        <f aca="false">N(STACK!L1323)</f>
        <v>0</v>
      </c>
      <c r="Y1323" s="61" t="n">
        <f aca="false">W1323-X1323</f>
        <v>133.6293375</v>
      </c>
      <c r="Z1323" s="1" t="n">
        <f aca="false">N(STACK!J1323)</f>
        <v>7</v>
      </c>
      <c r="AA1323" s="1" t="str">
        <f aca="false">TRIM(IF(D1323="UNMAPPED","Program not mapped. ","")&amp;IF(OR(K1323="UNMAPPED",K1323="UNASSIGNED"),"Category needs review. ","")&amp;IF(P1323="UNMAPPED","Title not mapped. ","")&amp;IF(AND(P1323&lt;&gt;"No staff time",R1323=""),"Missing hours. ","")&amp;IF(M1323="","Date not readable. ","")&amp;IF(N1323="No","Outside fiscal year. ","")&amp;IF(AND(F1323="Event",ISNUMBER(R1323)),IF(R1323&gt;12,"Event hours look high. ",""),"")&amp;IF(G1323&gt;0,"See CONFIRM sheet.",""))</f>
        <v/>
      </c>
      <c r="AB1323" s="1" t="n">
        <f aca="false">IF(N1323="No",0,IF(REVIEW!O1323=0,0,IF(G1323&gt;0,IF(INDEX(CONFIRM!$J$5:$J$53,G1323)&lt;&gt;"",INDEX(CONFIRM!$J$5:$J$53,G1323),1),1)))</f>
        <v>1</v>
      </c>
      <c r="AC1323" s="1" t="n">
        <f aca="false">IF(AB1323=1,IF(COUNTIFS($B$5:B1323,B1323,$D$5:D1323,D1323,$AB$5:AB1323,1)=1,1,0),0)</f>
        <v>0</v>
      </c>
    </row>
    <row r="1324" customFormat="false" ht="15" hidden="false" customHeight="false" outlineLevel="0" collapsed="false">
      <c r="A1324" s="48" t="str">
        <f aca="false">STACK!A1324</f>
        <v>WCH-0217</v>
      </c>
      <c r="B1324" s="48" t="str">
        <f aca="false">STACK!B1324</f>
        <v>WCH</v>
      </c>
      <c r="C1324" s="48" t="str">
        <f aca="false">STACK!E1324</f>
        <v>grief group</v>
      </c>
      <c r="D1324" s="1" t="str">
        <f aca="false">IFERROR(INDEX(MAP!$J$7:$J$101,MATCH(TRIM(C1324),MAP!$I$7:$I$101,0)),"UNMAPPED")</f>
        <v>Grief Support Group</v>
      </c>
      <c r="E1324" s="1" t="str">
        <f aca="false">IFERROR(INDEX(MAP!$K$7:$K$101,MATCH(TRIM(C1324),MAP!$I$7:$I$101,0)),"")</f>
        <v>Behavioral health</v>
      </c>
      <c r="F1324" s="1" t="str">
        <f aca="false">IFERROR(INDEX(MAP!$L$7:$L$101,MATCH(TRIM(C1324),MAP!$I$7:$I$101,0)),"")</f>
        <v>Event</v>
      </c>
      <c r="G1324" s="1" t="n">
        <f aca="false">IFERROR(MATCH(A1324,CONFIRM!$A$5:$A$53,0),0)</f>
        <v>0</v>
      </c>
      <c r="H1324" s="48" t="str">
        <f aca="false">STACK!F1324</f>
        <v>CHIS support</v>
      </c>
      <c r="I1324" s="1" t="str">
        <f aca="false">IF(G1324&gt;0,IF(INDEX(CONFIRM!$I$5:$I$53,G1324)&lt;&gt;"",INDEX(CONFIRM!$I$5:$I$53,G1324),H1324),H1324)</f>
        <v>CHIS support</v>
      </c>
      <c r="J1324" s="1" t="str">
        <f aca="false">IFERROR(INDEX(MAP!$F$7:$F$74,MATCH(TRIM(I1324),MAP!$E$7:$E$74,0)),"UNMAPPED")</f>
        <v>Health care support services</v>
      </c>
      <c r="K1324" s="1" t="str">
        <f aca="false">IFERROR(INDEX(MAP!$G$7:$G$74,MATCH(TRIM(I1324),MAP!$E$7:$E$74,0)),"UNMAPPED")</f>
        <v>7e</v>
      </c>
      <c r="L1324" s="49" t="n">
        <f aca="false">STACK!G1324</f>
        <v>46135</v>
      </c>
      <c r="M1324" s="59" t="n">
        <f aca="false">IF(G1324&gt;0,IF(INDEX(CONFIRM!$G$5:$G$53,G1324)&lt;&gt;"",INDEX(CONFIRM!$G$5:$G$53,G1324),IF(ISNUMBER(L1324),L1324,IFERROR(DATEVALUE(L1324),""))),IF(ISNUMBER(L1324),L1324,IFERROR(DATEVALUE(L1324),"")))</f>
        <v>46135</v>
      </c>
      <c r="N1324" s="1" t="str">
        <f aca="false">IF(M1324="","Check",IF(AND(M1324&gt;=INPUTS!$C$6,M1324&lt;=INPUTS!$C$7),"Yes","No"))</f>
        <v>Yes</v>
      </c>
      <c r="O1324" s="48" t="str">
        <f aca="false">STACK!H1324</f>
        <v>Clinical Social Worker</v>
      </c>
      <c r="P1324" s="1" t="str">
        <f aca="false">IF(G1324&gt;0,IF(INDEX(CONFIRM!$H$5:$H$53,G1324)&lt;&gt;"",INDEX(CONFIRM!$H$5:$H$53,G1324),IFERROR(INDEX(MAP!$B$7:$B$156,MATCH(TRIM(O1324),MAP!$A$7:$A$156,0)),"UNMAPPED")),IFERROR(INDEX(MAP!$B$7:$B$156,MATCH(TRIM(O1324),MAP!$A$7:$A$156,0)),"UNMAPPED"))</f>
        <v>Social Worker</v>
      </c>
      <c r="Q1324" s="48" t="n">
        <f aca="false">STACK!I1324</f>
        <v>1.75</v>
      </c>
      <c r="R1324" s="60" t="n">
        <f aca="false">IF(G1324&gt;0,IF(INDEX(CONFIRM!$F$5:$F$53,G1324)&lt;&gt;"",INDEX(CONFIRM!$F$5:$F$53,G1324),IF(ISNUMBER(Q1324),Q1324,IF(Q1324="","",IFERROR(VALUE(TRIM(SUBSTITUTE(SUBSTITUTE(LOWER(Q1324),"hrs",""),"hr",""))),"")))),IF(ISNUMBER(Q1324),Q1324,IF(Q1324="","",IFERROR(VALUE(TRIM(SUBSTITUTE(SUBSTITUTE(LOWER(Q1324),"hrs",""),"hr",""))),""))))</f>
        <v>1.75</v>
      </c>
      <c r="S1324" s="57" t="n">
        <f aca="false">IFERROR(INDEX(RATES!$E$6:$E$28,MATCH(P1324,RATES!$A$6:$A$28,0)),0)</f>
        <v>45.6175</v>
      </c>
      <c r="T1324" s="61" t="n">
        <f aca="false">IF(ISNUMBER(R1324),R1324,0)*S1324</f>
        <v>79.830625</v>
      </c>
      <c r="U1324" s="61" t="n">
        <f aca="false">T1324*INDEX(INPUTS!$H$10:$H$14,MATCH(B1324,INPUTS!$A$10:$A$14,0))</f>
        <v>11.256118125</v>
      </c>
      <c r="V1324" s="61" t="n">
        <f aca="false">N(STACK!K1324)</f>
        <v>0</v>
      </c>
      <c r="W1324" s="61" t="n">
        <f aca="false">T1324+U1324+V1324</f>
        <v>91.086743125</v>
      </c>
      <c r="X1324" s="61" t="n">
        <f aca="false">N(STACK!L1324)</f>
        <v>0</v>
      </c>
      <c r="Y1324" s="61" t="n">
        <f aca="false">W1324-X1324</f>
        <v>91.086743125</v>
      </c>
      <c r="Z1324" s="1" t="n">
        <f aca="false">N(STACK!J1324)</f>
        <v>0</v>
      </c>
      <c r="AA1324" s="1" t="str">
        <f aca="false">TRIM(IF(D1324="UNMAPPED","Program not mapped. ","")&amp;IF(OR(K1324="UNMAPPED",K1324="UNASSIGNED"),"Category needs review. ","")&amp;IF(P1324="UNMAPPED","Title not mapped. ","")&amp;IF(AND(P1324&lt;&gt;"No staff time",R1324=""),"Missing hours. ","")&amp;IF(M1324="","Date not readable. ","")&amp;IF(N1324="No","Outside fiscal year. ","")&amp;IF(AND(F1324="Event",ISNUMBER(R1324)),IF(R1324&gt;12,"Event hours look high. ",""),"")&amp;IF(G1324&gt;0,"See CONFIRM sheet.",""))</f>
        <v/>
      </c>
      <c r="AB1324" s="1" t="n">
        <f aca="false">IF(N1324="No",0,IF(REVIEW!O1324=0,0,IF(G1324&gt;0,IF(INDEX(CONFIRM!$J$5:$J$53,G1324)&lt;&gt;"",INDEX(CONFIRM!$J$5:$J$53,G1324),1),1)))</f>
        <v>1</v>
      </c>
      <c r="AC1324" s="1" t="n">
        <f aca="false">IF(AB1324=1,IF(COUNTIFS($B$5:B1324,B1324,$D$5:D1324,D1324,$AB$5:AB1324,1)=1,1,0),0)</f>
        <v>0</v>
      </c>
    </row>
    <row r="1325" customFormat="false" ht="15" hidden="false" customHeight="false" outlineLevel="0" collapsed="false">
      <c r="A1325" s="48" t="str">
        <f aca="false">STACK!A1325</f>
        <v>WCH-0218</v>
      </c>
      <c r="B1325" s="48" t="str">
        <f aca="false">STACK!B1325</f>
        <v>WCH</v>
      </c>
      <c r="C1325" s="48" t="str">
        <f aca="false">STACK!E1325</f>
        <v>grief group</v>
      </c>
      <c r="D1325" s="1" t="str">
        <f aca="false">IFERROR(INDEX(MAP!$J$7:$J$101,MATCH(TRIM(C1325),MAP!$I$7:$I$101,0)),"UNMAPPED")</f>
        <v>Grief Support Group</v>
      </c>
      <c r="E1325" s="1" t="str">
        <f aca="false">IFERROR(INDEX(MAP!$K$7:$K$101,MATCH(TRIM(C1325),MAP!$I$7:$I$101,0)),"")</f>
        <v>Behavioral health</v>
      </c>
      <c r="F1325" s="1" t="str">
        <f aca="false">IFERROR(INDEX(MAP!$L$7:$L$101,MATCH(TRIM(C1325),MAP!$I$7:$I$101,0)),"")</f>
        <v>Event</v>
      </c>
      <c r="G1325" s="1" t="n">
        <f aca="false">IFERROR(MATCH(A1325,CONFIRM!$A$5:$A$53,0),0)</f>
        <v>0</v>
      </c>
      <c r="H1325" s="48" t="str">
        <f aca="false">STACK!F1325</f>
        <v>CHIS support</v>
      </c>
      <c r="I1325" s="1" t="str">
        <f aca="false">IF(G1325&gt;0,IF(INDEX(CONFIRM!$I$5:$I$53,G1325)&lt;&gt;"",INDEX(CONFIRM!$I$5:$I$53,G1325),H1325),H1325)</f>
        <v>CHIS support</v>
      </c>
      <c r="J1325" s="1" t="str">
        <f aca="false">IFERROR(INDEX(MAP!$F$7:$F$74,MATCH(TRIM(I1325),MAP!$E$7:$E$74,0)),"UNMAPPED")</f>
        <v>Health care support services</v>
      </c>
      <c r="K1325" s="1" t="str">
        <f aca="false">IFERROR(INDEX(MAP!$G$7:$G$74,MATCH(TRIM(I1325),MAP!$E$7:$E$74,0)),"UNMAPPED")</f>
        <v>7e</v>
      </c>
      <c r="L1325" s="49" t="n">
        <f aca="false">STACK!G1325</f>
        <v>46137</v>
      </c>
      <c r="M1325" s="59" t="n">
        <f aca="false">IF(G1325&gt;0,IF(INDEX(CONFIRM!$G$5:$G$53,G1325)&lt;&gt;"",INDEX(CONFIRM!$G$5:$G$53,G1325),IF(ISNUMBER(L1325),L1325,IFERROR(DATEVALUE(L1325),""))),IF(ISNUMBER(L1325),L1325,IFERROR(DATEVALUE(L1325),"")))</f>
        <v>46137</v>
      </c>
      <c r="N1325" s="1" t="str">
        <f aca="false">IF(M1325="","Check",IF(AND(M1325&gt;=INPUTS!$C$6,M1325&lt;=INPUTS!$C$7),"Yes","No"))</f>
        <v>Yes</v>
      </c>
      <c r="O1325" s="48" t="str">
        <f aca="false">STACK!H1325</f>
        <v>Pastoral Care</v>
      </c>
      <c r="P1325" s="1" t="str">
        <f aca="false">IF(G1325&gt;0,IF(INDEX(CONFIRM!$H$5:$H$53,G1325)&lt;&gt;"",INDEX(CONFIRM!$H$5:$H$53,G1325),IFERROR(INDEX(MAP!$B$7:$B$156,MATCH(TRIM(O1325),MAP!$A$7:$A$156,0)),"UNMAPPED")),IFERROR(INDEX(MAP!$B$7:$B$156,MATCH(TRIM(O1325),MAP!$A$7:$A$156,0)),"UNMAPPED"))</f>
        <v>Chaplain</v>
      </c>
      <c r="Q1325" s="48" t="n">
        <f aca="false">STACK!I1325</f>
        <v>2.25</v>
      </c>
      <c r="R1325" s="60" t="n">
        <f aca="false">IF(G1325&gt;0,IF(INDEX(CONFIRM!$F$5:$F$53,G1325)&lt;&gt;"",INDEX(CONFIRM!$F$5:$F$53,G1325),IF(ISNUMBER(Q1325),Q1325,IF(Q1325="","",IFERROR(VALUE(TRIM(SUBSTITUTE(SUBSTITUTE(LOWER(Q1325),"hrs",""),"hr",""))),"")))),IF(ISNUMBER(Q1325),Q1325,IF(Q1325="","",IFERROR(VALUE(TRIM(SUBSTITUTE(SUBSTITUTE(LOWER(Q1325),"hrs",""),"hr",""))),""))))</f>
        <v>2.25</v>
      </c>
      <c r="S1325" s="57" t="n">
        <f aca="false">IFERROR(INDEX(RATES!$E$6:$E$28,MATCH(P1325,RATES!$A$6:$A$28,0)),0)</f>
        <v>39.835</v>
      </c>
      <c r="T1325" s="61" t="n">
        <f aca="false">IF(ISNUMBER(R1325),R1325,0)*S1325</f>
        <v>89.62875</v>
      </c>
      <c r="U1325" s="61" t="n">
        <f aca="false">T1325*INDEX(INPUTS!$H$10:$H$14,MATCH(B1325,INPUTS!$A$10:$A$14,0))</f>
        <v>12.63765375</v>
      </c>
      <c r="V1325" s="61" t="n">
        <f aca="false">N(STACK!K1325)</f>
        <v>45</v>
      </c>
      <c r="W1325" s="61" t="n">
        <f aca="false">T1325+U1325+V1325</f>
        <v>147.26640375</v>
      </c>
      <c r="X1325" s="61" t="n">
        <f aca="false">N(STACK!L1325)</f>
        <v>0</v>
      </c>
      <c r="Y1325" s="61" t="n">
        <f aca="false">W1325-X1325</f>
        <v>147.26640375</v>
      </c>
      <c r="Z1325" s="1" t="n">
        <f aca="false">N(STACK!J1325)</f>
        <v>6</v>
      </c>
      <c r="AA1325" s="1" t="str">
        <f aca="false">TRIM(IF(D1325="UNMAPPED","Program not mapped. ","")&amp;IF(OR(K1325="UNMAPPED",K1325="UNASSIGNED"),"Category needs review. ","")&amp;IF(P1325="UNMAPPED","Title not mapped. ","")&amp;IF(AND(P1325&lt;&gt;"No staff time",R1325=""),"Missing hours. ","")&amp;IF(M1325="","Date not readable. ","")&amp;IF(N1325="No","Outside fiscal year. ","")&amp;IF(AND(F1325="Event",ISNUMBER(R1325)),IF(R1325&gt;12,"Event hours look high. ",""),"")&amp;IF(G1325&gt;0,"See CONFIRM sheet.",""))</f>
        <v/>
      </c>
      <c r="AB1325" s="1" t="n">
        <f aca="false">IF(N1325="No",0,IF(REVIEW!O1325=0,0,IF(G1325&gt;0,IF(INDEX(CONFIRM!$J$5:$J$53,G1325)&lt;&gt;"",INDEX(CONFIRM!$J$5:$J$53,G1325),1),1)))</f>
        <v>1</v>
      </c>
      <c r="AC1325" s="1" t="n">
        <f aca="false">IF(AB1325=1,IF(COUNTIFS($B$5:B1325,B1325,$D$5:D1325,D1325,$AB$5:AB1325,1)=1,1,0),0)</f>
        <v>0</v>
      </c>
    </row>
    <row r="1326" customFormat="false" ht="15" hidden="false" customHeight="false" outlineLevel="0" collapsed="false">
      <c r="A1326" s="48" t="str">
        <f aca="false">STACK!A1326</f>
        <v>WCH-0219</v>
      </c>
      <c r="B1326" s="48" t="str">
        <f aca="false">STACK!B1326</f>
        <v>WCH</v>
      </c>
      <c r="C1326" s="48" t="str">
        <f aca="false">STACK!E1326</f>
        <v>grief group</v>
      </c>
      <c r="D1326" s="1" t="str">
        <f aca="false">IFERROR(INDEX(MAP!$J$7:$J$101,MATCH(TRIM(C1326),MAP!$I$7:$I$101,0)),"UNMAPPED")</f>
        <v>Grief Support Group</v>
      </c>
      <c r="E1326" s="1" t="str">
        <f aca="false">IFERROR(INDEX(MAP!$K$7:$K$101,MATCH(TRIM(C1326),MAP!$I$7:$I$101,0)),"")</f>
        <v>Behavioral health</v>
      </c>
      <c r="F1326" s="1" t="str">
        <f aca="false">IFERROR(INDEX(MAP!$L$7:$L$101,MATCH(TRIM(C1326),MAP!$I$7:$I$101,0)),"")</f>
        <v>Event</v>
      </c>
      <c r="G1326" s="1" t="n">
        <f aca="false">IFERROR(MATCH(A1326,CONFIRM!$A$5:$A$53,0),0)</f>
        <v>0</v>
      </c>
      <c r="H1326" s="48" t="str">
        <f aca="false">STACK!F1326</f>
        <v>CHIS support</v>
      </c>
      <c r="I1326" s="1" t="str">
        <f aca="false">IF(G1326&gt;0,IF(INDEX(CONFIRM!$I$5:$I$53,G1326)&lt;&gt;"",INDEX(CONFIRM!$I$5:$I$53,G1326),H1326),H1326)</f>
        <v>CHIS support</v>
      </c>
      <c r="J1326" s="1" t="str">
        <f aca="false">IFERROR(INDEX(MAP!$F$7:$F$74,MATCH(TRIM(I1326),MAP!$E$7:$E$74,0)),"UNMAPPED")</f>
        <v>Health care support services</v>
      </c>
      <c r="K1326" s="1" t="str">
        <f aca="false">IFERROR(INDEX(MAP!$G$7:$G$74,MATCH(TRIM(I1326),MAP!$E$7:$E$74,0)),"UNMAPPED")</f>
        <v>7e</v>
      </c>
      <c r="L1326" s="49" t="str">
        <f aca="false">STACK!G1326</f>
        <v>4/25/26</v>
      </c>
      <c r="M1326" s="59" t="n">
        <f aca="false">IF(G1326&gt;0,IF(INDEX(CONFIRM!$G$5:$G$53,G1326)&lt;&gt;"",INDEX(CONFIRM!$G$5:$G$53,G1326),IF(ISNUMBER(L1326),L1326,IFERROR(DATEVALUE(L1326),""))),IF(ISNUMBER(L1326),L1326,IFERROR(DATEVALUE(L1326),"")))</f>
        <v>46137</v>
      </c>
      <c r="N1326" s="1" t="str">
        <f aca="false">IF(M1326="","Check",IF(AND(M1326&gt;=INPUTS!$C$6,M1326&lt;=INPUTS!$C$7),"Yes","No"))</f>
        <v>Yes</v>
      </c>
      <c r="O1326" s="48" t="str">
        <f aca="false">STACK!H1326</f>
        <v>Social Work</v>
      </c>
      <c r="P1326" s="1" t="str">
        <f aca="false">IF(G1326&gt;0,IF(INDEX(CONFIRM!$H$5:$H$53,G1326)&lt;&gt;"",INDEX(CONFIRM!$H$5:$H$53,G1326),IFERROR(INDEX(MAP!$B$7:$B$156,MATCH(TRIM(O1326),MAP!$A$7:$A$156,0)),"UNMAPPED")),IFERROR(INDEX(MAP!$B$7:$B$156,MATCH(TRIM(O1326),MAP!$A$7:$A$156,0)),"UNMAPPED"))</f>
        <v>Social Worker</v>
      </c>
      <c r="Q1326" s="48" t="n">
        <f aca="false">STACK!I1326</f>
        <v>1.75</v>
      </c>
      <c r="R1326" s="60" t="n">
        <f aca="false">IF(G1326&gt;0,IF(INDEX(CONFIRM!$F$5:$F$53,G1326)&lt;&gt;"",INDEX(CONFIRM!$F$5:$F$53,G1326),IF(ISNUMBER(Q1326),Q1326,IF(Q1326="","",IFERROR(VALUE(TRIM(SUBSTITUTE(SUBSTITUTE(LOWER(Q1326),"hrs",""),"hr",""))),"")))),IF(ISNUMBER(Q1326),Q1326,IF(Q1326="","",IFERROR(VALUE(TRIM(SUBSTITUTE(SUBSTITUTE(LOWER(Q1326),"hrs",""),"hr",""))),""))))</f>
        <v>1.75</v>
      </c>
      <c r="S1326" s="57" t="n">
        <f aca="false">IFERROR(INDEX(RATES!$E$6:$E$28,MATCH(P1326,RATES!$A$6:$A$28,0)),0)</f>
        <v>45.6175</v>
      </c>
      <c r="T1326" s="61" t="n">
        <f aca="false">IF(ISNUMBER(R1326),R1326,0)*S1326</f>
        <v>79.830625</v>
      </c>
      <c r="U1326" s="61" t="n">
        <f aca="false">T1326*INDEX(INPUTS!$H$10:$H$14,MATCH(B1326,INPUTS!$A$10:$A$14,0))</f>
        <v>11.256118125</v>
      </c>
      <c r="V1326" s="61" t="n">
        <f aca="false">N(STACK!K1326)</f>
        <v>0</v>
      </c>
      <c r="W1326" s="61" t="n">
        <f aca="false">T1326+U1326+V1326</f>
        <v>91.086743125</v>
      </c>
      <c r="X1326" s="61" t="n">
        <f aca="false">N(STACK!L1326)</f>
        <v>0</v>
      </c>
      <c r="Y1326" s="61" t="n">
        <f aca="false">W1326-X1326</f>
        <v>91.086743125</v>
      </c>
      <c r="Z1326" s="1" t="n">
        <f aca="false">N(STACK!J1326)</f>
        <v>0</v>
      </c>
      <c r="AA1326" s="1" t="str">
        <f aca="false">TRIM(IF(D1326="UNMAPPED","Program not mapped. ","")&amp;IF(OR(K1326="UNMAPPED",K1326="UNASSIGNED"),"Category needs review. ","")&amp;IF(P1326="UNMAPPED","Title not mapped. ","")&amp;IF(AND(P1326&lt;&gt;"No staff time",R1326=""),"Missing hours. ","")&amp;IF(M1326="","Date not readable. ","")&amp;IF(N1326="No","Outside fiscal year. ","")&amp;IF(AND(F1326="Event",ISNUMBER(R1326)),IF(R1326&gt;12,"Event hours look high. ",""),"")&amp;IF(G1326&gt;0,"See CONFIRM sheet.",""))</f>
        <v/>
      </c>
      <c r="AB1326" s="1" t="n">
        <f aca="false">IF(N1326="No",0,IF(REVIEW!O1326=0,0,IF(G1326&gt;0,IF(INDEX(CONFIRM!$J$5:$J$53,G1326)&lt;&gt;"",INDEX(CONFIRM!$J$5:$J$53,G1326),1),1)))</f>
        <v>1</v>
      </c>
      <c r="AC1326" s="1" t="n">
        <f aca="false">IF(AB1326=1,IF(COUNTIFS($B$5:B1326,B1326,$D$5:D1326,D1326,$AB$5:AB1326,1)=1,1,0),0)</f>
        <v>0</v>
      </c>
    </row>
    <row r="1327" customFormat="false" ht="15" hidden="false" customHeight="false" outlineLevel="0" collapsed="false">
      <c r="A1327" s="48" t="str">
        <f aca="false">STACK!A1327</f>
        <v>WCH-0220</v>
      </c>
      <c r="B1327" s="48" t="str">
        <f aca="false">STACK!B1327</f>
        <v>WCH</v>
      </c>
      <c r="C1327" s="48" t="str">
        <f aca="false">STACK!E1327</f>
        <v>mobile van screenings</v>
      </c>
      <c r="D1327" s="1" t="str">
        <f aca="false">IFERROR(INDEX(MAP!$J$7:$J$101,MATCH(TRIM(C1327),MAP!$I$7:$I$101,0)),"UNMAPPED")</f>
        <v>Mobile Health Screening Unit</v>
      </c>
      <c r="E1327" s="1" t="str">
        <f aca="false">IFERROR(INDEX(MAP!$K$7:$K$101,MATCH(TRIM(C1327),MAP!$I$7:$I$101,0)),"")</f>
        <v>Access to care</v>
      </c>
      <c r="F1327" s="1" t="str">
        <f aca="false">IFERROR(INDEX(MAP!$L$7:$L$101,MATCH(TRIM(C1327),MAP!$I$7:$I$101,0)),"")</f>
        <v>Monthly</v>
      </c>
      <c r="G1327" s="1" t="n">
        <f aca="false">IFERROR(MATCH(A1327,CONFIRM!$A$5:$A$53,0),0)</f>
        <v>0</v>
      </c>
      <c r="H1327" s="48" t="str">
        <f aca="false">STACK!F1327</f>
        <v>CHIS clinical</v>
      </c>
      <c r="I1327" s="1" t="str">
        <f aca="false">IF(G1327&gt;0,IF(INDEX(CONFIRM!$I$5:$I$53,G1327)&lt;&gt;"",INDEX(CONFIRM!$I$5:$I$53,G1327),H1327),H1327)</f>
        <v>CHIS clinical</v>
      </c>
      <c r="J1327" s="1" t="str">
        <f aca="false">IFERROR(INDEX(MAP!$F$7:$F$74,MATCH(TRIM(I1327),MAP!$E$7:$E$74,0)),"UNMAPPED")</f>
        <v>Community-based clinical services</v>
      </c>
      <c r="K1327" s="1" t="str">
        <f aca="false">IFERROR(INDEX(MAP!$G$7:$G$74,MATCH(TRIM(I1327),MAP!$E$7:$E$74,0)),"UNMAPPED")</f>
        <v>7e</v>
      </c>
      <c r="L1327" s="49" t="n">
        <f aca="false">STACK!G1327</f>
        <v>46142</v>
      </c>
      <c r="M1327" s="59" t="n">
        <f aca="false">IF(G1327&gt;0,IF(INDEX(CONFIRM!$G$5:$G$53,G1327)&lt;&gt;"",INDEX(CONFIRM!$G$5:$G$53,G1327),IF(ISNUMBER(L1327),L1327,IFERROR(DATEVALUE(L1327),""))),IF(ISNUMBER(L1327),L1327,IFERROR(DATEVALUE(L1327),"")))</f>
        <v>46142</v>
      </c>
      <c r="N1327" s="1" t="str">
        <f aca="false">IF(M1327="","Check",IF(AND(M1327&gt;=INPUTS!$C$6,M1327&lt;=INPUTS!$C$7),"Yes","No"))</f>
        <v>Yes</v>
      </c>
      <c r="O1327" s="48" t="str">
        <f aca="false">STACK!H1327</f>
        <v>Comm Health Worker</v>
      </c>
      <c r="P1327" s="1" t="str">
        <f aca="false">IF(G1327&gt;0,IF(INDEX(CONFIRM!$H$5:$H$53,G1327)&lt;&gt;"",INDEX(CONFIRM!$H$5:$H$53,G1327),IFERROR(INDEX(MAP!$B$7:$B$156,MATCH(TRIM(O1327),MAP!$A$7:$A$156,0)),"UNMAPPED")),IFERROR(INDEX(MAP!$B$7:$B$156,MATCH(TRIM(O1327),MAP!$A$7:$A$156,0)),"UNMAPPED"))</f>
        <v>Community Health Worker</v>
      </c>
      <c r="Q1327" s="48" t="n">
        <f aca="false">STACK!I1327</f>
        <v>36.5</v>
      </c>
      <c r="R1327" s="60" t="n">
        <f aca="false">IF(G1327&gt;0,IF(INDEX(CONFIRM!$F$5:$F$53,G1327)&lt;&gt;"",INDEX(CONFIRM!$F$5:$F$53,G1327),IF(ISNUMBER(Q1327),Q1327,IF(Q1327="","",IFERROR(VALUE(TRIM(SUBSTITUTE(SUBSTITUTE(LOWER(Q1327),"hrs",""),"hr",""))),"")))),IF(ISNUMBER(Q1327),Q1327,IF(Q1327="","",IFERROR(VALUE(TRIM(SUBSTITUTE(SUBSTITUTE(LOWER(Q1327),"hrs",""),"hr",""))),""))))</f>
        <v>36.5</v>
      </c>
      <c r="S1327" s="57" t="n">
        <f aca="false">IFERROR(INDEX(RATES!$E$6:$E$28,MATCH(P1327,RATES!$A$6:$A$28,0)),0)</f>
        <v>27.6275</v>
      </c>
      <c r="T1327" s="61" t="n">
        <f aca="false">IF(ISNUMBER(R1327),R1327,0)*S1327</f>
        <v>1008.40375</v>
      </c>
      <c r="U1327" s="61" t="n">
        <f aca="false">T1327*INDEX(INPUTS!$H$10:$H$14,MATCH(B1327,INPUTS!$A$10:$A$14,0))</f>
        <v>142.18492875</v>
      </c>
      <c r="V1327" s="61" t="n">
        <f aca="false">N(STACK!K1327)</f>
        <v>0</v>
      </c>
      <c r="W1327" s="61" t="n">
        <f aca="false">T1327+U1327+V1327</f>
        <v>1150.58867875</v>
      </c>
      <c r="X1327" s="61" t="n">
        <f aca="false">N(STACK!L1327)</f>
        <v>0</v>
      </c>
      <c r="Y1327" s="61" t="n">
        <f aca="false">W1327-X1327</f>
        <v>1150.58867875</v>
      </c>
      <c r="Z1327" s="1" t="n">
        <f aca="false">N(STACK!J1327)</f>
        <v>0</v>
      </c>
      <c r="AA1327" s="1" t="str">
        <f aca="false">TRIM(IF(D1327="UNMAPPED","Program not mapped. ","")&amp;IF(OR(K1327="UNMAPPED",K1327="UNASSIGNED"),"Category needs review. ","")&amp;IF(P1327="UNMAPPED","Title not mapped. ","")&amp;IF(AND(P1327&lt;&gt;"No staff time",R1327=""),"Missing hours. ","")&amp;IF(M1327="","Date not readable. ","")&amp;IF(N1327="No","Outside fiscal year. ","")&amp;IF(AND(F1327="Event",ISNUMBER(R1327)),IF(R1327&gt;12,"Event hours look high. ",""),"")&amp;IF(G1327&gt;0,"See CONFIRM sheet.",""))</f>
        <v/>
      </c>
      <c r="AB1327" s="1" t="n">
        <f aca="false">IF(N1327="No",0,IF(REVIEW!O1327=0,0,IF(G1327&gt;0,IF(INDEX(CONFIRM!$J$5:$J$53,G1327)&lt;&gt;"",INDEX(CONFIRM!$J$5:$J$53,G1327),1),1)))</f>
        <v>1</v>
      </c>
      <c r="AC1327" s="1" t="n">
        <f aca="false">IF(AB1327=1,IF(COUNTIFS($B$5:B1327,B1327,$D$5:D1327,D1327,$AB$5:AB1327,1)=1,1,0),0)</f>
        <v>0</v>
      </c>
    </row>
    <row r="1328" customFormat="false" ht="15" hidden="false" customHeight="false" outlineLevel="0" collapsed="false">
      <c r="A1328" s="48" t="str">
        <f aca="false">STACK!A1328</f>
        <v>WCH-0221</v>
      </c>
      <c r="B1328" s="48" t="str">
        <f aca="false">STACK!B1328</f>
        <v>WCH</v>
      </c>
      <c r="C1328" s="48" t="str">
        <f aca="false">STACK!E1328</f>
        <v>mobile van screenings</v>
      </c>
      <c r="D1328" s="1" t="str">
        <f aca="false">IFERROR(INDEX(MAP!$J$7:$J$101,MATCH(TRIM(C1328),MAP!$I$7:$I$101,0)),"UNMAPPED")</f>
        <v>Mobile Health Screening Unit</v>
      </c>
      <c r="E1328" s="1" t="str">
        <f aca="false">IFERROR(INDEX(MAP!$K$7:$K$101,MATCH(TRIM(C1328),MAP!$I$7:$I$101,0)),"")</f>
        <v>Access to care</v>
      </c>
      <c r="F1328" s="1" t="str">
        <f aca="false">IFERROR(INDEX(MAP!$L$7:$L$101,MATCH(TRIM(C1328),MAP!$I$7:$I$101,0)),"")</f>
        <v>Monthly</v>
      </c>
      <c r="G1328" s="1" t="n">
        <f aca="false">IFERROR(MATCH(A1328,CONFIRM!$A$5:$A$53,0),0)</f>
        <v>0</v>
      </c>
      <c r="H1328" s="48" t="str">
        <f aca="false">STACK!F1328</f>
        <v>CHIS clinical</v>
      </c>
      <c r="I1328" s="1" t="str">
        <f aca="false">IF(G1328&gt;0,IF(INDEX(CONFIRM!$I$5:$I$53,G1328)&lt;&gt;"",INDEX(CONFIRM!$I$5:$I$53,G1328),H1328),H1328)</f>
        <v>CHIS clinical</v>
      </c>
      <c r="J1328" s="1" t="str">
        <f aca="false">IFERROR(INDEX(MAP!$F$7:$F$74,MATCH(TRIM(I1328),MAP!$E$7:$E$74,0)),"UNMAPPED")</f>
        <v>Community-based clinical services</v>
      </c>
      <c r="K1328" s="1" t="str">
        <f aca="false">IFERROR(INDEX(MAP!$G$7:$G$74,MATCH(TRIM(I1328),MAP!$E$7:$E$74,0)),"UNMAPPED")</f>
        <v>7e</v>
      </c>
      <c r="L1328" s="49" t="n">
        <f aca="false">STACK!G1328</f>
        <v>46142</v>
      </c>
      <c r="M1328" s="59" t="n">
        <f aca="false">IF(G1328&gt;0,IF(INDEX(CONFIRM!$G$5:$G$53,G1328)&lt;&gt;"",INDEX(CONFIRM!$G$5:$G$53,G1328),IF(ISNUMBER(L1328),L1328,IFERROR(DATEVALUE(L1328),""))),IF(ISNUMBER(L1328),L1328,IFERROR(DATEVALUE(L1328),"")))</f>
        <v>46142</v>
      </c>
      <c r="N1328" s="1" t="str">
        <f aca="false">IF(M1328="","Check",IF(AND(M1328&gt;=INPUTS!$C$6,M1328&lt;=INPUTS!$C$7),"Yes","No"))</f>
        <v>Yes</v>
      </c>
      <c r="O1328" s="48" t="str">
        <f aca="false">STACK!H1328</f>
        <v>Med Asst</v>
      </c>
      <c r="P1328" s="1" t="str">
        <f aca="false">IF(G1328&gt;0,IF(INDEX(CONFIRM!$H$5:$H$53,G1328)&lt;&gt;"",INDEX(CONFIRM!$H$5:$H$53,G1328),IFERROR(INDEX(MAP!$B$7:$B$156,MATCH(TRIM(O1328),MAP!$A$7:$A$156,0)),"UNMAPPED")),IFERROR(INDEX(MAP!$B$7:$B$156,MATCH(TRIM(O1328),MAP!$A$7:$A$156,0)),"UNMAPPED"))</f>
        <v>Medical Assistant</v>
      </c>
      <c r="Q1328" s="48" t="n">
        <f aca="false">STACK!I1328</f>
        <v>50.75</v>
      </c>
      <c r="R1328" s="60" t="n">
        <f aca="false">IF(G1328&gt;0,IF(INDEX(CONFIRM!$F$5:$F$53,G1328)&lt;&gt;"",INDEX(CONFIRM!$F$5:$F$53,G1328),IF(ISNUMBER(Q1328),Q1328,IF(Q1328="","",IFERROR(VALUE(TRIM(SUBSTITUTE(SUBSTITUTE(LOWER(Q1328),"hrs",""),"hr",""))),"")))),IF(ISNUMBER(Q1328),Q1328,IF(Q1328="","",IFERROR(VALUE(TRIM(SUBSTITUTE(SUBSTITUTE(LOWER(Q1328),"hrs",""),"hr",""))),""))))</f>
        <v>50.75</v>
      </c>
      <c r="S1328" s="57" t="n">
        <f aca="false">IFERROR(INDEX(RATES!$E$6:$E$28,MATCH(P1328,RATES!$A$6:$A$28,0)),0)</f>
        <v>25.37875</v>
      </c>
      <c r="T1328" s="61" t="n">
        <f aca="false">IF(ISNUMBER(R1328),R1328,0)*S1328</f>
        <v>1287.9715625</v>
      </c>
      <c r="U1328" s="61" t="n">
        <f aca="false">T1328*INDEX(INPUTS!$H$10:$H$14,MATCH(B1328,INPUTS!$A$10:$A$14,0))</f>
        <v>181.6039903125</v>
      </c>
      <c r="V1328" s="61" t="n">
        <f aca="false">N(STACK!K1328)</f>
        <v>0</v>
      </c>
      <c r="W1328" s="61" t="n">
        <f aca="false">T1328+U1328+V1328</f>
        <v>1469.5755528125</v>
      </c>
      <c r="X1328" s="61" t="n">
        <f aca="false">N(STACK!L1328)</f>
        <v>0</v>
      </c>
      <c r="Y1328" s="61" t="n">
        <f aca="false">W1328-X1328</f>
        <v>1469.5755528125</v>
      </c>
      <c r="Z1328" s="1" t="n">
        <f aca="false">N(STACK!J1328)</f>
        <v>0</v>
      </c>
      <c r="AA1328" s="1" t="str">
        <f aca="false">TRIM(IF(D1328="UNMAPPED","Program not mapped. ","")&amp;IF(OR(K1328="UNMAPPED",K1328="UNASSIGNED"),"Category needs review. ","")&amp;IF(P1328="UNMAPPED","Title not mapped. ","")&amp;IF(AND(P1328&lt;&gt;"No staff time",R1328=""),"Missing hours. ","")&amp;IF(M1328="","Date not readable. ","")&amp;IF(N1328="No","Outside fiscal year. ","")&amp;IF(AND(F1328="Event",ISNUMBER(R1328)),IF(R1328&gt;12,"Event hours look high. ",""),"")&amp;IF(G1328&gt;0,"See CONFIRM sheet.",""))</f>
        <v/>
      </c>
      <c r="AB1328" s="1" t="n">
        <f aca="false">IF(N1328="No",0,IF(REVIEW!O1328=0,0,IF(G1328&gt;0,IF(INDEX(CONFIRM!$J$5:$J$53,G1328)&lt;&gt;"",INDEX(CONFIRM!$J$5:$J$53,G1328),1),1)))</f>
        <v>1</v>
      </c>
      <c r="AC1328" s="1" t="n">
        <f aca="false">IF(AB1328=1,IF(COUNTIFS($B$5:B1328,B1328,$D$5:D1328,D1328,$AB$5:AB1328,1)=1,1,0),0)</f>
        <v>0</v>
      </c>
    </row>
    <row r="1329" customFormat="false" ht="15" hidden="false" customHeight="false" outlineLevel="0" collapsed="false">
      <c r="A1329" s="48" t="str">
        <f aca="false">STACK!A1329</f>
        <v>WCH-0222</v>
      </c>
      <c r="B1329" s="48" t="str">
        <f aca="false">STACK!B1329</f>
        <v>WCH</v>
      </c>
      <c r="C1329" s="48" t="str">
        <f aca="false">STACK!E1329</f>
        <v>mobile van screenings</v>
      </c>
      <c r="D1329" s="1" t="str">
        <f aca="false">IFERROR(INDEX(MAP!$J$7:$J$101,MATCH(TRIM(C1329),MAP!$I$7:$I$101,0)),"UNMAPPED")</f>
        <v>Mobile Health Screening Unit</v>
      </c>
      <c r="E1329" s="1" t="str">
        <f aca="false">IFERROR(INDEX(MAP!$K$7:$K$101,MATCH(TRIM(C1329),MAP!$I$7:$I$101,0)),"")</f>
        <v>Access to care</v>
      </c>
      <c r="F1329" s="1" t="str">
        <f aca="false">IFERROR(INDEX(MAP!$L$7:$L$101,MATCH(TRIM(C1329),MAP!$I$7:$I$101,0)),"")</f>
        <v>Monthly</v>
      </c>
      <c r="G1329" s="1" t="n">
        <f aca="false">IFERROR(MATCH(A1329,CONFIRM!$A$5:$A$53,0),0)</f>
        <v>0</v>
      </c>
      <c r="H1329" s="48" t="str">
        <f aca="false">STACK!F1329</f>
        <v>CHIS clinical</v>
      </c>
      <c r="I1329" s="1" t="str">
        <f aca="false">IF(G1329&gt;0,IF(INDEX(CONFIRM!$I$5:$I$53,G1329)&lt;&gt;"",INDEX(CONFIRM!$I$5:$I$53,G1329),H1329),H1329)</f>
        <v>CHIS clinical</v>
      </c>
      <c r="J1329" s="1" t="str">
        <f aca="false">IFERROR(INDEX(MAP!$F$7:$F$74,MATCH(TRIM(I1329),MAP!$E$7:$E$74,0)),"UNMAPPED")</f>
        <v>Community-based clinical services</v>
      </c>
      <c r="K1329" s="1" t="str">
        <f aca="false">IFERROR(INDEX(MAP!$G$7:$G$74,MATCH(TRIM(I1329),MAP!$E$7:$E$74,0)),"UNMAPPED")</f>
        <v>7e</v>
      </c>
      <c r="L1329" s="49" t="str">
        <f aca="false">STACK!G1329</f>
        <v>4/30/26</v>
      </c>
      <c r="M1329" s="59" t="n">
        <f aca="false">IF(G1329&gt;0,IF(INDEX(CONFIRM!$G$5:$G$53,G1329)&lt;&gt;"",INDEX(CONFIRM!$G$5:$G$53,G1329),IF(ISNUMBER(L1329),L1329,IFERROR(DATEVALUE(L1329),""))),IF(ISNUMBER(L1329),L1329,IFERROR(DATEVALUE(L1329),"")))</f>
        <v>46142</v>
      </c>
      <c r="N1329" s="1" t="str">
        <f aca="false">IF(M1329="","Check",IF(AND(M1329&gt;=INPUTS!$C$6,M1329&lt;=INPUTS!$C$7),"Yes","No"))</f>
        <v>Yes</v>
      </c>
      <c r="O1329" s="48" t="str">
        <f aca="false">STACK!H1329</f>
        <v>R.N.</v>
      </c>
      <c r="P1329" s="1" t="str">
        <f aca="false">IF(G1329&gt;0,IF(INDEX(CONFIRM!$H$5:$H$53,G1329)&lt;&gt;"",INDEX(CONFIRM!$H$5:$H$53,G1329),IFERROR(INDEX(MAP!$B$7:$B$156,MATCH(TRIM(O1329),MAP!$A$7:$A$156,0)),"UNMAPPED")),IFERROR(INDEX(MAP!$B$7:$B$156,MATCH(TRIM(O1329),MAP!$A$7:$A$156,0)),"UNMAPPED"))</f>
        <v>Registered Nurse</v>
      </c>
      <c r="Q1329" s="48" t="n">
        <f aca="false">STACK!I1329</f>
        <v>54.5</v>
      </c>
      <c r="R1329" s="60" t="n">
        <f aca="false">IF(G1329&gt;0,IF(INDEX(CONFIRM!$F$5:$F$53,G1329)&lt;&gt;"",INDEX(CONFIRM!$F$5:$F$53,G1329),IF(ISNUMBER(Q1329),Q1329,IF(Q1329="","",IFERROR(VALUE(TRIM(SUBSTITUTE(SUBSTITUTE(LOWER(Q1329),"hrs",""),"hr",""))),"")))),IF(ISNUMBER(Q1329),Q1329,IF(Q1329="","",IFERROR(VALUE(TRIM(SUBSTITUTE(SUBSTITUTE(LOWER(Q1329),"hrs",""),"hr",""))),""))))</f>
        <v>54.5</v>
      </c>
      <c r="S1329" s="57" t="n">
        <f aca="false">IFERROR(INDEX(RATES!$E$6:$E$28,MATCH(P1329,RATES!$A$6:$A$28,0)),0)</f>
        <v>55.8975</v>
      </c>
      <c r="T1329" s="61" t="n">
        <f aca="false">IF(ISNUMBER(R1329),R1329,0)*S1329</f>
        <v>3046.41375</v>
      </c>
      <c r="U1329" s="61" t="n">
        <f aca="false">T1329*INDEX(INPUTS!$H$10:$H$14,MATCH(B1329,INPUTS!$A$10:$A$14,0))</f>
        <v>429.54433875</v>
      </c>
      <c r="V1329" s="61" t="n">
        <f aca="false">N(STACK!K1329)</f>
        <v>4080</v>
      </c>
      <c r="W1329" s="61" t="n">
        <f aca="false">T1329+U1329+V1329</f>
        <v>7555.95808875</v>
      </c>
      <c r="X1329" s="61" t="n">
        <f aca="false">N(STACK!L1329)</f>
        <v>0</v>
      </c>
      <c r="Y1329" s="61" t="n">
        <f aca="false">W1329-X1329</f>
        <v>7555.95808875</v>
      </c>
      <c r="Z1329" s="1" t="n">
        <f aca="false">N(STACK!J1329)</f>
        <v>145</v>
      </c>
      <c r="AA1329" s="1" t="str">
        <f aca="false">TRIM(IF(D1329="UNMAPPED","Program not mapped. ","")&amp;IF(OR(K1329="UNMAPPED",K1329="UNASSIGNED"),"Category needs review. ","")&amp;IF(P1329="UNMAPPED","Title not mapped. ","")&amp;IF(AND(P1329&lt;&gt;"No staff time",R1329=""),"Missing hours. ","")&amp;IF(M1329="","Date not readable. ","")&amp;IF(N1329="No","Outside fiscal year. ","")&amp;IF(AND(F1329="Event",ISNUMBER(R1329)),IF(R1329&gt;12,"Event hours look high. ",""),"")&amp;IF(G1329&gt;0,"See CONFIRM sheet.",""))</f>
        <v/>
      </c>
      <c r="AB1329" s="1" t="n">
        <f aca="false">IF(N1329="No",0,IF(REVIEW!O1329=0,0,IF(G1329&gt;0,IF(INDEX(CONFIRM!$J$5:$J$53,G1329)&lt;&gt;"",INDEX(CONFIRM!$J$5:$J$53,G1329),1),1)))</f>
        <v>1</v>
      </c>
      <c r="AC1329" s="1" t="n">
        <f aca="false">IF(AB1329=1,IF(COUNTIFS($B$5:B1329,B1329,$D$5:D1329,D1329,$AB$5:AB1329,1)=1,1,0),0)</f>
        <v>0</v>
      </c>
    </row>
    <row r="1330" customFormat="false" ht="15" hidden="false" customHeight="false" outlineLevel="0" collapsed="false">
      <c r="A1330" s="48" t="str">
        <f aca="false">STACK!A1330</f>
        <v>WCH-0223</v>
      </c>
      <c r="B1330" s="48" t="str">
        <f aca="false">STACK!B1330</f>
        <v>WCH</v>
      </c>
      <c r="C1330" s="48" t="str">
        <f aca="false">STACK!E1330</f>
        <v>chw outreach</v>
      </c>
      <c r="D1330" s="1" t="str">
        <f aca="false">IFERROR(INDEX(MAP!$J$7:$J$101,MATCH(TRIM(C1330),MAP!$I$7:$I$101,0)),"UNMAPPED")</f>
        <v>Community Health Worker Outreach</v>
      </c>
      <c r="E1330" s="1" t="str">
        <f aca="false">IFERROR(INDEX(MAP!$K$7:$K$101,MATCH(TRIM(C1330),MAP!$I$7:$I$101,0)),"")</f>
        <v>Access to care</v>
      </c>
      <c r="F1330" s="1" t="str">
        <f aca="false">IFERROR(INDEX(MAP!$L$7:$L$101,MATCH(TRIM(C1330),MAP!$I$7:$I$101,0)),"")</f>
        <v>Monthly</v>
      </c>
      <c r="G1330" s="1" t="n">
        <f aca="false">IFERROR(MATCH(A1330,CONFIRM!$A$5:$A$53,0),0)</f>
        <v>0</v>
      </c>
      <c r="H1330" s="48" t="str">
        <f aca="false">STACK!F1330</f>
        <v>CHIS support</v>
      </c>
      <c r="I1330" s="1" t="str">
        <f aca="false">IF(G1330&gt;0,IF(INDEX(CONFIRM!$I$5:$I$53,G1330)&lt;&gt;"",INDEX(CONFIRM!$I$5:$I$53,G1330),H1330),H1330)</f>
        <v>CHIS support</v>
      </c>
      <c r="J1330" s="1" t="str">
        <f aca="false">IFERROR(INDEX(MAP!$F$7:$F$74,MATCH(TRIM(I1330),MAP!$E$7:$E$74,0)),"UNMAPPED")</f>
        <v>Health care support services</v>
      </c>
      <c r="K1330" s="1" t="str">
        <f aca="false">IFERROR(INDEX(MAP!$G$7:$G$74,MATCH(TRIM(I1330),MAP!$E$7:$E$74,0)),"UNMAPPED")</f>
        <v>7e</v>
      </c>
      <c r="L1330" s="49" t="n">
        <f aca="false">STACK!G1330</f>
        <v>46142</v>
      </c>
      <c r="M1330" s="59" t="n">
        <f aca="false">IF(G1330&gt;0,IF(INDEX(CONFIRM!$G$5:$G$53,G1330)&lt;&gt;"",INDEX(CONFIRM!$G$5:$G$53,G1330),IF(ISNUMBER(L1330),L1330,IFERROR(DATEVALUE(L1330),""))),IF(ISNUMBER(L1330),L1330,IFERROR(DATEVALUE(L1330),"")))</f>
        <v>46142</v>
      </c>
      <c r="N1330" s="1" t="str">
        <f aca="false">IF(M1330="","Check",IF(AND(M1330&gt;=INPUTS!$C$6,M1330&lt;=INPUTS!$C$7),"Yes","No"))</f>
        <v>Yes</v>
      </c>
      <c r="O1330" s="48" t="str">
        <f aca="false">STACK!H1330</f>
        <v>CHW</v>
      </c>
      <c r="P1330" s="1" t="str">
        <f aca="false">IF(G1330&gt;0,IF(INDEX(CONFIRM!$H$5:$H$53,G1330)&lt;&gt;"",INDEX(CONFIRM!$H$5:$H$53,G1330),IFERROR(INDEX(MAP!$B$7:$B$156,MATCH(TRIM(O1330),MAP!$A$7:$A$156,0)),"UNMAPPED")),IFERROR(INDEX(MAP!$B$7:$B$156,MATCH(TRIM(O1330),MAP!$A$7:$A$156,0)),"UNMAPPED"))</f>
        <v>Community Health Worker</v>
      </c>
      <c r="Q1330" s="48" t="n">
        <f aca="false">STACK!I1330</f>
        <v>231</v>
      </c>
      <c r="R1330" s="60" t="n">
        <f aca="false">IF(G1330&gt;0,IF(INDEX(CONFIRM!$F$5:$F$53,G1330)&lt;&gt;"",INDEX(CONFIRM!$F$5:$F$53,G1330),IF(ISNUMBER(Q1330),Q1330,IF(Q1330="","",IFERROR(VALUE(TRIM(SUBSTITUTE(SUBSTITUTE(LOWER(Q1330),"hrs",""),"hr",""))),"")))),IF(ISNUMBER(Q1330),Q1330,IF(Q1330="","",IFERROR(VALUE(TRIM(SUBSTITUTE(SUBSTITUTE(LOWER(Q1330),"hrs",""),"hr",""))),""))))</f>
        <v>231</v>
      </c>
      <c r="S1330" s="57" t="n">
        <f aca="false">IFERROR(INDEX(RATES!$E$6:$E$28,MATCH(P1330,RATES!$A$6:$A$28,0)),0)</f>
        <v>27.6275</v>
      </c>
      <c r="T1330" s="61" t="n">
        <f aca="false">IF(ISNUMBER(R1330),R1330,0)*S1330</f>
        <v>6381.9525</v>
      </c>
      <c r="U1330" s="61" t="n">
        <f aca="false">T1330*INDEX(INPUTS!$H$10:$H$14,MATCH(B1330,INPUTS!$A$10:$A$14,0))</f>
        <v>899.8553025</v>
      </c>
      <c r="V1330" s="61" t="n">
        <f aca="false">N(STACK!K1330)</f>
        <v>1055</v>
      </c>
      <c r="W1330" s="61" t="n">
        <f aca="false">T1330+U1330+V1330</f>
        <v>8336.8078025</v>
      </c>
      <c r="X1330" s="61" t="n">
        <f aca="false">N(STACK!L1330)</f>
        <v>0</v>
      </c>
      <c r="Y1330" s="61" t="n">
        <f aca="false">W1330-X1330</f>
        <v>8336.8078025</v>
      </c>
      <c r="Z1330" s="1" t="n">
        <f aca="false">N(STACK!J1330)</f>
        <v>305</v>
      </c>
      <c r="AA1330" s="1" t="str">
        <f aca="false">TRIM(IF(D1330="UNMAPPED","Program not mapped. ","")&amp;IF(OR(K1330="UNMAPPED",K1330="UNASSIGNED"),"Category needs review. ","")&amp;IF(P1330="UNMAPPED","Title not mapped. ","")&amp;IF(AND(P1330&lt;&gt;"No staff time",R1330=""),"Missing hours. ","")&amp;IF(M1330="","Date not readable. ","")&amp;IF(N1330="No","Outside fiscal year. ","")&amp;IF(AND(F1330="Event",ISNUMBER(R1330)),IF(R1330&gt;12,"Event hours look high. ",""),"")&amp;IF(G1330&gt;0,"See CONFIRM sheet.",""))</f>
        <v/>
      </c>
      <c r="AB1330" s="1" t="n">
        <f aca="false">IF(N1330="No",0,IF(REVIEW!O1330=0,0,IF(G1330&gt;0,IF(INDEX(CONFIRM!$J$5:$J$53,G1330)&lt;&gt;"",INDEX(CONFIRM!$J$5:$J$53,G1330),1),1)))</f>
        <v>1</v>
      </c>
      <c r="AC1330" s="1" t="n">
        <f aca="false">IF(AB1330=1,IF(COUNTIFS($B$5:B1330,B1330,$D$5:D1330,D1330,$AB$5:AB1330,1)=1,1,0),0)</f>
        <v>0</v>
      </c>
    </row>
    <row r="1331" customFormat="false" ht="15" hidden="false" customHeight="false" outlineLevel="0" collapsed="false">
      <c r="A1331" s="48" t="str">
        <f aca="false">STACK!A1331</f>
        <v>WCH-0224</v>
      </c>
      <c r="B1331" s="48" t="str">
        <f aca="false">STACK!B1331</f>
        <v>WCH</v>
      </c>
      <c r="C1331" s="48" t="str">
        <f aca="false">STACK!E1331</f>
        <v>chw outreach</v>
      </c>
      <c r="D1331" s="1" t="str">
        <f aca="false">IFERROR(INDEX(MAP!$J$7:$J$101,MATCH(TRIM(C1331),MAP!$I$7:$I$101,0)),"UNMAPPED")</f>
        <v>Community Health Worker Outreach</v>
      </c>
      <c r="E1331" s="1" t="str">
        <f aca="false">IFERROR(INDEX(MAP!$K$7:$K$101,MATCH(TRIM(C1331),MAP!$I$7:$I$101,0)),"")</f>
        <v>Access to care</v>
      </c>
      <c r="F1331" s="1" t="str">
        <f aca="false">IFERROR(INDEX(MAP!$L$7:$L$101,MATCH(TRIM(C1331),MAP!$I$7:$I$101,0)),"")</f>
        <v>Monthly</v>
      </c>
      <c r="G1331" s="1" t="n">
        <f aca="false">IFERROR(MATCH(A1331,CONFIRM!$A$5:$A$53,0),0)</f>
        <v>0</v>
      </c>
      <c r="H1331" s="48" t="str">
        <f aca="false">STACK!F1331</f>
        <v>CHIS support</v>
      </c>
      <c r="I1331" s="1" t="str">
        <f aca="false">IF(G1331&gt;0,IF(INDEX(CONFIRM!$I$5:$I$53,G1331)&lt;&gt;"",INDEX(CONFIRM!$I$5:$I$53,G1331),H1331),H1331)</f>
        <v>CHIS support</v>
      </c>
      <c r="J1331" s="1" t="str">
        <f aca="false">IFERROR(INDEX(MAP!$F$7:$F$74,MATCH(TRIM(I1331),MAP!$E$7:$E$74,0)),"UNMAPPED")</f>
        <v>Health care support services</v>
      </c>
      <c r="K1331" s="1" t="str">
        <f aca="false">IFERROR(INDEX(MAP!$G$7:$G$74,MATCH(TRIM(I1331),MAP!$E$7:$E$74,0)),"UNMAPPED")</f>
        <v>7e</v>
      </c>
      <c r="L1331" s="49" t="str">
        <f aca="false">STACK!G1331</f>
        <v>4/30/26</v>
      </c>
      <c r="M1331" s="59" t="n">
        <f aca="false">IF(G1331&gt;0,IF(INDEX(CONFIRM!$G$5:$G$53,G1331)&lt;&gt;"",INDEX(CONFIRM!$G$5:$G$53,G1331),IF(ISNUMBER(L1331),L1331,IFERROR(DATEVALUE(L1331),""))),IF(ISNUMBER(L1331),L1331,IFERROR(DATEVALUE(L1331),"")))</f>
        <v>46142</v>
      </c>
      <c r="N1331" s="1" t="str">
        <f aca="false">IF(M1331="","Check",IF(AND(M1331&gt;=INPUTS!$C$6,M1331&lt;=INPUTS!$C$7),"Yes","No"))</f>
        <v>Yes</v>
      </c>
      <c r="O1331" s="48" t="str">
        <f aca="false">STACK!H1331</f>
        <v>Care Navigator</v>
      </c>
      <c r="P1331" s="1" t="str">
        <f aca="false">IF(G1331&gt;0,IF(INDEX(CONFIRM!$H$5:$H$53,G1331)&lt;&gt;"",INDEX(CONFIRM!$H$5:$H$53,G1331),IFERROR(INDEX(MAP!$B$7:$B$156,MATCH(TRIM(O1331),MAP!$A$7:$A$156,0)),"UNMAPPED")),IFERROR(INDEX(MAP!$B$7:$B$156,MATCH(TRIM(O1331),MAP!$A$7:$A$156,0)),"UNMAPPED"))</f>
        <v>Patient Navigator</v>
      </c>
      <c r="Q1331" s="48" t="n">
        <f aca="false">STACK!I1331</f>
        <v>94.5</v>
      </c>
      <c r="R1331" s="60" t="n">
        <f aca="false">IF(G1331&gt;0,IF(INDEX(CONFIRM!$F$5:$F$53,G1331)&lt;&gt;"",INDEX(CONFIRM!$F$5:$F$53,G1331),IF(ISNUMBER(Q1331),Q1331,IF(Q1331="","",IFERROR(VALUE(TRIM(SUBSTITUTE(SUBSTITUTE(LOWER(Q1331),"hrs",""),"hr",""))),"")))),IF(ISNUMBER(Q1331),Q1331,IF(Q1331="","",IFERROR(VALUE(TRIM(SUBSTITUTE(SUBSTITUTE(LOWER(Q1331),"hrs",""),"hr",""))),""))))</f>
        <v>94.5</v>
      </c>
      <c r="S1331" s="57" t="n">
        <f aca="false">IFERROR(INDEX(RATES!$E$6:$E$28,MATCH(P1331,RATES!$A$6:$A$28,0)),0)</f>
        <v>30.84</v>
      </c>
      <c r="T1331" s="61" t="n">
        <f aca="false">IF(ISNUMBER(R1331),R1331,0)*S1331</f>
        <v>2914.38</v>
      </c>
      <c r="U1331" s="61" t="n">
        <f aca="false">T1331*INDEX(INPUTS!$H$10:$H$14,MATCH(B1331,INPUTS!$A$10:$A$14,0))</f>
        <v>410.92758</v>
      </c>
      <c r="V1331" s="61" t="n">
        <f aca="false">N(STACK!K1331)</f>
        <v>0</v>
      </c>
      <c r="W1331" s="61" t="n">
        <f aca="false">T1331+U1331+V1331</f>
        <v>3325.30758</v>
      </c>
      <c r="X1331" s="61" t="n">
        <f aca="false">N(STACK!L1331)</f>
        <v>0</v>
      </c>
      <c r="Y1331" s="61" t="n">
        <f aca="false">W1331-X1331</f>
        <v>3325.30758</v>
      </c>
      <c r="Z1331" s="1" t="n">
        <f aca="false">N(STACK!J1331)</f>
        <v>0</v>
      </c>
      <c r="AA1331" s="1" t="str">
        <f aca="false">TRIM(IF(D1331="UNMAPPED","Program not mapped. ","")&amp;IF(OR(K1331="UNMAPPED",K1331="UNASSIGNED"),"Category needs review. ","")&amp;IF(P1331="UNMAPPED","Title not mapped. ","")&amp;IF(AND(P1331&lt;&gt;"No staff time",R1331=""),"Missing hours. ","")&amp;IF(M1331="","Date not readable. ","")&amp;IF(N1331="No","Outside fiscal year. ","")&amp;IF(AND(F1331="Event",ISNUMBER(R1331)),IF(R1331&gt;12,"Event hours look high. ",""),"")&amp;IF(G1331&gt;0,"See CONFIRM sheet.",""))</f>
        <v/>
      </c>
      <c r="AB1331" s="1" t="n">
        <f aca="false">IF(N1331="No",0,IF(REVIEW!O1331=0,0,IF(G1331&gt;0,IF(INDEX(CONFIRM!$J$5:$J$53,G1331)&lt;&gt;"",INDEX(CONFIRM!$J$5:$J$53,G1331),1),1)))</f>
        <v>1</v>
      </c>
      <c r="AC1331" s="1" t="n">
        <f aca="false">IF(AB1331=1,IF(COUNTIFS($B$5:B1331,B1331,$D$5:D1331,D1331,$AB$5:AB1331,1)=1,1,0),0)</f>
        <v>0</v>
      </c>
    </row>
    <row r="1332" customFormat="false" ht="15" hidden="false" customHeight="false" outlineLevel="0" collapsed="false">
      <c r="A1332" s="48" t="str">
        <f aca="false">STACK!A1332</f>
        <v>WCH-0225</v>
      </c>
      <c r="B1332" s="48" t="str">
        <f aca="false">STACK!B1332</f>
        <v>WCH</v>
      </c>
      <c r="C1332" s="48" t="str">
        <f aca="false">STACK!E1332</f>
        <v>produce prescription</v>
      </c>
      <c r="D1332" s="1" t="str">
        <f aca="false">IFERROR(INDEX(MAP!$J$7:$J$101,MATCH(TRIM(C1332),MAP!$I$7:$I$101,0)),"UNMAPPED")</f>
        <v>Produce Prescription Program</v>
      </c>
      <c r="E1332" s="1" t="str">
        <f aca="false">IFERROR(INDEX(MAP!$K$7:$K$101,MATCH(TRIM(C1332),MAP!$I$7:$I$101,0)),"")</f>
        <v>Food and housing security</v>
      </c>
      <c r="F1332" s="1" t="str">
        <f aca="false">IFERROR(INDEX(MAP!$L$7:$L$101,MATCH(TRIM(C1332),MAP!$I$7:$I$101,0)),"")</f>
        <v>Monthly</v>
      </c>
      <c r="G1332" s="1" t="n">
        <f aca="false">IFERROR(MATCH(A1332,CONFIRM!$A$5:$A$53,0),0)</f>
        <v>0</v>
      </c>
      <c r="H1332" s="48" t="str">
        <f aca="false">STACK!F1332</f>
        <v>CHIS support</v>
      </c>
      <c r="I1332" s="1" t="str">
        <f aca="false">IF(G1332&gt;0,IF(INDEX(CONFIRM!$I$5:$I$53,G1332)&lt;&gt;"",INDEX(CONFIRM!$I$5:$I$53,G1332),H1332),H1332)</f>
        <v>CHIS support</v>
      </c>
      <c r="J1332" s="1" t="str">
        <f aca="false">IFERROR(INDEX(MAP!$F$7:$F$74,MATCH(TRIM(I1332),MAP!$E$7:$E$74,0)),"UNMAPPED")</f>
        <v>Health care support services</v>
      </c>
      <c r="K1332" s="1" t="str">
        <f aca="false">IFERROR(INDEX(MAP!$G$7:$G$74,MATCH(TRIM(I1332),MAP!$E$7:$E$74,0)),"UNMAPPED")</f>
        <v>7e</v>
      </c>
      <c r="L1332" s="49" t="str">
        <f aca="false">STACK!G1332</f>
        <v>4/30/26</v>
      </c>
      <c r="M1332" s="59" t="n">
        <f aca="false">IF(G1332&gt;0,IF(INDEX(CONFIRM!$G$5:$G$53,G1332)&lt;&gt;"",INDEX(CONFIRM!$G$5:$G$53,G1332),IF(ISNUMBER(L1332),L1332,IFERROR(DATEVALUE(L1332),""))),IF(ISNUMBER(L1332),L1332,IFERROR(DATEVALUE(L1332),"")))</f>
        <v>46142</v>
      </c>
      <c r="N1332" s="1" t="str">
        <f aca="false">IF(M1332="","Check",IF(AND(M1332&gt;=INPUTS!$C$6,M1332&lt;=INPUTS!$C$7),"Yes","No"))</f>
        <v>Yes</v>
      </c>
      <c r="O1332" s="48" t="str">
        <f aca="false">STACK!H1332</f>
        <v>Comm Health Worker</v>
      </c>
      <c r="P1332" s="1" t="str">
        <f aca="false">IF(G1332&gt;0,IF(INDEX(CONFIRM!$H$5:$H$53,G1332)&lt;&gt;"",INDEX(CONFIRM!$H$5:$H$53,G1332),IFERROR(INDEX(MAP!$B$7:$B$156,MATCH(TRIM(O1332),MAP!$A$7:$A$156,0)),"UNMAPPED")),IFERROR(INDEX(MAP!$B$7:$B$156,MATCH(TRIM(O1332),MAP!$A$7:$A$156,0)),"UNMAPPED"))</f>
        <v>Community Health Worker</v>
      </c>
      <c r="Q1332" s="48" t="n">
        <f aca="false">STACK!I1332</f>
        <v>37.5</v>
      </c>
      <c r="R1332" s="60" t="n">
        <f aca="false">IF(G1332&gt;0,IF(INDEX(CONFIRM!$F$5:$F$53,G1332)&lt;&gt;"",INDEX(CONFIRM!$F$5:$F$53,G1332),IF(ISNUMBER(Q1332),Q1332,IF(Q1332="","",IFERROR(VALUE(TRIM(SUBSTITUTE(SUBSTITUTE(LOWER(Q1332),"hrs",""),"hr",""))),"")))),IF(ISNUMBER(Q1332),Q1332,IF(Q1332="","",IFERROR(VALUE(TRIM(SUBSTITUTE(SUBSTITUTE(LOWER(Q1332),"hrs",""),"hr",""))),""))))</f>
        <v>37.5</v>
      </c>
      <c r="S1332" s="57" t="n">
        <f aca="false">IFERROR(INDEX(RATES!$E$6:$E$28,MATCH(P1332,RATES!$A$6:$A$28,0)),0)</f>
        <v>27.6275</v>
      </c>
      <c r="T1332" s="61" t="n">
        <f aca="false">IF(ISNUMBER(R1332),R1332,0)*S1332</f>
        <v>1036.03125</v>
      </c>
      <c r="U1332" s="61" t="n">
        <f aca="false">T1332*INDEX(INPUTS!$H$10:$H$14,MATCH(B1332,INPUTS!$A$10:$A$14,0))</f>
        <v>146.08040625</v>
      </c>
      <c r="V1332" s="61" t="n">
        <f aca="false">N(STACK!K1332)</f>
        <v>0</v>
      </c>
      <c r="W1332" s="61" t="n">
        <f aca="false">T1332+U1332+V1332</f>
        <v>1182.11165625</v>
      </c>
      <c r="X1332" s="61" t="n">
        <f aca="false">N(STACK!L1332)</f>
        <v>0</v>
      </c>
      <c r="Y1332" s="61" t="n">
        <f aca="false">W1332-X1332</f>
        <v>1182.11165625</v>
      </c>
      <c r="Z1332" s="1" t="n">
        <f aca="false">N(STACK!J1332)</f>
        <v>0</v>
      </c>
      <c r="AA1332" s="1" t="str">
        <f aca="false">TRIM(IF(D1332="UNMAPPED","Program not mapped. ","")&amp;IF(OR(K1332="UNMAPPED",K1332="UNASSIGNED"),"Category needs review. ","")&amp;IF(P1332="UNMAPPED","Title not mapped. ","")&amp;IF(AND(P1332&lt;&gt;"No staff time",R1332=""),"Missing hours. ","")&amp;IF(M1332="","Date not readable. ","")&amp;IF(N1332="No","Outside fiscal year. ","")&amp;IF(AND(F1332="Event",ISNUMBER(R1332)),IF(R1332&gt;12,"Event hours look high. ",""),"")&amp;IF(G1332&gt;0,"See CONFIRM sheet.",""))</f>
        <v/>
      </c>
      <c r="AB1332" s="1" t="n">
        <f aca="false">IF(N1332="No",0,IF(REVIEW!O1332=0,0,IF(G1332&gt;0,IF(INDEX(CONFIRM!$J$5:$J$53,G1332)&lt;&gt;"",INDEX(CONFIRM!$J$5:$J$53,G1332),1),1)))</f>
        <v>1</v>
      </c>
      <c r="AC1332" s="1" t="n">
        <f aca="false">IF(AB1332=1,IF(COUNTIFS($B$5:B1332,B1332,$D$5:D1332,D1332,$AB$5:AB1332,1)=1,1,0),0)</f>
        <v>0</v>
      </c>
    </row>
    <row r="1333" customFormat="false" ht="15" hidden="false" customHeight="false" outlineLevel="0" collapsed="false">
      <c r="A1333" s="48" t="str">
        <f aca="false">STACK!A1333</f>
        <v>WCH-0226</v>
      </c>
      <c r="B1333" s="48" t="str">
        <f aca="false">STACK!B1333</f>
        <v>WCH</v>
      </c>
      <c r="C1333" s="48" t="str">
        <f aca="false">STACK!E1333</f>
        <v>produce prescription</v>
      </c>
      <c r="D1333" s="1" t="str">
        <f aca="false">IFERROR(INDEX(MAP!$J$7:$J$101,MATCH(TRIM(C1333),MAP!$I$7:$I$101,0)),"UNMAPPED")</f>
        <v>Produce Prescription Program</v>
      </c>
      <c r="E1333" s="1" t="str">
        <f aca="false">IFERROR(INDEX(MAP!$K$7:$K$101,MATCH(TRIM(C1333),MAP!$I$7:$I$101,0)),"")</f>
        <v>Food and housing security</v>
      </c>
      <c r="F1333" s="1" t="str">
        <f aca="false">IFERROR(INDEX(MAP!$L$7:$L$101,MATCH(TRIM(C1333),MAP!$I$7:$I$101,0)),"")</f>
        <v>Monthly</v>
      </c>
      <c r="G1333" s="1" t="n">
        <f aca="false">IFERROR(MATCH(A1333,CONFIRM!$A$5:$A$53,0),0)</f>
        <v>42</v>
      </c>
      <c r="H1333" s="48" t="str">
        <f aca="false">STACK!F1333</f>
        <v>CHIS support</v>
      </c>
      <c r="I1333" s="1" t="str">
        <f aca="false">IF(G1333&gt;0,IF(INDEX(CONFIRM!$I$5:$I$53,G1333)&lt;&gt;"",INDEX(CONFIRM!$I$5:$I$53,G1333),H1333),H1333)</f>
        <v>CHIS support</v>
      </c>
      <c r="J1333" s="1" t="str">
        <f aca="false">IFERROR(INDEX(MAP!$F$7:$F$74,MATCH(TRIM(I1333),MAP!$E$7:$E$74,0)),"UNMAPPED")</f>
        <v>Health care support services</v>
      </c>
      <c r="K1333" s="1" t="str">
        <f aca="false">IFERROR(INDEX(MAP!$G$7:$G$74,MATCH(TRIM(I1333),MAP!$E$7:$E$74,0)),"UNMAPPED")</f>
        <v>7e</v>
      </c>
      <c r="L1333" s="49" t="n">
        <f aca="false">STACK!G1333</f>
        <v>46142</v>
      </c>
      <c r="M1333" s="59" t="n">
        <f aca="false">IF(G1333&gt;0,IF(INDEX(CONFIRM!$G$5:$G$53,G1333)&lt;&gt;"",INDEX(CONFIRM!$G$5:$G$53,G1333),IF(ISNUMBER(L1333),L1333,IFERROR(DATEVALUE(L1333),""))),IF(ISNUMBER(L1333),L1333,IFERROR(DATEVALUE(L1333),"")))</f>
        <v>46142</v>
      </c>
      <c r="N1333" s="1" t="str">
        <f aca="false">IF(M1333="","Check",IF(AND(M1333&gt;=INPUTS!$C$6,M1333&lt;=INPUTS!$C$7),"Yes","No"))</f>
        <v>Yes</v>
      </c>
      <c r="O1333" s="48" t="str">
        <f aca="false">STACK!H1333</f>
        <v>Clinical Dietitian</v>
      </c>
      <c r="P1333" s="1" t="str">
        <f aca="false">IF(G1333&gt;0,IF(INDEX(CONFIRM!$H$5:$H$53,G1333)&lt;&gt;"",INDEX(CONFIRM!$H$5:$H$53,G1333),IFERROR(INDEX(MAP!$B$7:$B$156,MATCH(TRIM(O1333),MAP!$A$7:$A$156,0)),"UNMAPPED")),IFERROR(INDEX(MAP!$B$7:$B$156,MATCH(TRIM(O1333),MAP!$A$7:$A$156,0)),"UNMAPPED"))</f>
        <v>Registered Dietitian</v>
      </c>
      <c r="Q1333" s="48" t="str">
        <f aca="false">STACK!I1333</f>
        <v/>
      </c>
      <c r="R1333" s="60" t="n">
        <f aca="false">IF(G1333&gt;0,IF(INDEX(CONFIRM!$F$5:$F$53,G1333)&lt;&gt;"",INDEX(CONFIRM!$F$5:$F$53,G1333),IF(ISNUMBER(Q1333),Q1333,IF(Q1333="","",IFERROR(VALUE(TRIM(SUBSTITUTE(SUBSTITUTE(LOWER(Q1333),"hrs",""),"hr",""))),"")))),IF(ISNUMBER(Q1333),Q1333,IF(Q1333="","",IFERROR(VALUE(TRIM(SUBSTITUTE(SUBSTITUTE(LOWER(Q1333),"hrs",""),"hr",""))),""))))</f>
        <v>20.25</v>
      </c>
      <c r="S1333" s="57" t="n">
        <f aca="false">IFERROR(INDEX(RATES!$E$6:$E$28,MATCH(P1333,RATES!$A$6:$A$28,0)),0)</f>
        <v>46.9025</v>
      </c>
      <c r="T1333" s="61" t="n">
        <f aca="false">IF(ISNUMBER(R1333),R1333,0)*S1333</f>
        <v>949.775625</v>
      </c>
      <c r="U1333" s="61" t="n">
        <f aca="false">T1333*INDEX(INPUTS!$H$10:$H$14,MATCH(B1333,INPUTS!$A$10:$A$14,0))</f>
        <v>133.918363125</v>
      </c>
      <c r="V1333" s="61" t="n">
        <f aca="false">N(STACK!K1333)</f>
        <v>10065</v>
      </c>
      <c r="W1333" s="61" t="n">
        <f aca="false">T1333+U1333+V1333</f>
        <v>11148.693988125</v>
      </c>
      <c r="X1333" s="61" t="n">
        <f aca="false">N(STACK!L1333)</f>
        <v>6360</v>
      </c>
      <c r="Y1333" s="61" t="n">
        <f aca="false">W1333-X1333</f>
        <v>4788.693988125</v>
      </c>
      <c r="Z1333" s="1" t="n">
        <f aca="false">N(STACK!J1333)</f>
        <v>112</v>
      </c>
      <c r="AA1333" s="1" t="str">
        <f aca="false">TRIM(IF(D1333="UNMAPPED","Program not mapped. ","")&amp;IF(OR(K1333="UNMAPPED",K1333="UNASSIGNED"),"Category needs review. ","")&amp;IF(P1333="UNMAPPED","Title not mapped. ","")&amp;IF(AND(P1333&lt;&gt;"No staff time",R1333=""),"Missing hours. ","")&amp;IF(M1333="","Date not readable. ","")&amp;IF(N1333="No","Outside fiscal year. ","")&amp;IF(AND(F1333="Event",ISNUMBER(R1333)),IF(R1333&gt;12,"Event hours look high. ",""),"")&amp;IF(G1333&gt;0,"See CONFIRM sheet.",""))</f>
        <v>See CONFIRM sheet.</v>
      </c>
      <c r="AB1333" s="1" t="n">
        <f aca="false">IF(N1333="No",0,IF(REVIEW!O1333=0,0,IF(G1333&gt;0,IF(INDEX(CONFIRM!$J$5:$J$53,G1333)&lt;&gt;"",INDEX(CONFIRM!$J$5:$J$53,G1333),1),1)))</f>
        <v>1</v>
      </c>
      <c r="AC1333" s="1" t="n">
        <f aca="false">IF(AB1333=1,IF(COUNTIFS($B$5:B1333,B1333,$D$5:D1333,D1333,$AB$5:AB1333,1)=1,1,0),0)</f>
        <v>0</v>
      </c>
    </row>
    <row r="1334" customFormat="false" ht="15" hidden="false" customHeight="false" outlineLevel="0" collapsed="false">
      <c r="A1334" s="48" t="str">
        <f aca="false">STACK!A1334</f>
        <v>WCH-0227</v>
      </c>
      <c r="B1334" s="48" t="str">
        <f aca="false">STACK!B1334</f>
        <v>WCH</v>
      </c>
      <c r="C1334" s="48" t="str">
        <f aca="false">STACK!E1334</f>
        <v>cb admin</v>
      </c>
      <c r="D1334" s="1" t="str">
        <f aca="false">IFERROR(INDEX(MAP!$J$7:$J$101,MATCH(TRIM(C1334),MAP!$I$7:$I$101,0)),"UNMAPPED")</f>
        <v>Community Benefit Program Administration</v>
      </c>
      <c r="E1334" s="1" t="str">
        <f aca="false">IFERROR(INDEX(MAP!$K$7:$K$101,MATCH(TRIM(C1334),MAP!$I$7:$I$101,0)),"")</f>
        <v>Community benefit infrastructure</v>
      </c>
      <c r="F1334" s="1" t="str">
        <f aca="false">IFERROR(INDEX(MAP!$L$7:$L$101,MATCH(TRIM(C1334),MAP!$I$7:$I$101,0)),"")</f>
        <v>Monthly</v>
      </c>
      <c r="G1334" s="1" t="n">
        <f aca="false">IFERROR(MATCH(A1334,CONFIRM!$A$5:$A$53,0),0)</f>
        <v>0</v>
      </c>
      <c r="H1334" s="48" t="str">
        <f aca="false">STACK!F1334</f>
        <v>cb operations</v>
      </c>
      <c r="I1334" s="1" t="str">
        <f aca="false">IF(G1334&gt;0,IF(INDEX(CONFIRM!$I$5:$I$53,G1334)&lt;&gt;"",INDEX(CONFIRM!$I$5:$I$53,G1334),H1334),H1334)</f>
        <v>cb operations</v>
      </c>
      <c r="J1334" s="1" t="str">
        <f aca="false">IFERROR(INDEX(MAP!$F$7:$F$74,MATCH(TRIM(I1334),MAP!$E$7:$E$74,0)),"UNMAPPED")</f>
        <v>Community benefit operations</v>
      </c>
      <c r="K1334" s="1" t="str">
        <f aca="false">IFERROR(INDEX(MAP!$G$7:$G$74,MATCH(TRIM(I1334),MAP!$E$7:$E$74,0)),"UNMAPPED")</f>
        <v>7e</v>
      </c>
      <c r="L1334" s="49" t="str">
        <f aca="false">STACK!G1334</f>
        <v>4/30/26</v>
      </c>
      <c r="M1334" s="59" t="n">
        <f aca="false">IF(G1334&gt;0,IF(INDEX(CONFIRM!$G$5:$G$53,G1334)&lt;&gt;"",INDEX(CONFIRM!$G$5:$G$53,G1334),IF(ISNUMBER(L1334),L1334,IFERROR(DATEVALUE(L1334),""))),IF(ISNUMBER(L1334),L1334,IFERROR(DATEVALUE(L1334),"")))</f>
        <v>46142</v>
      </c>
      <c r="N1334" s="1" t="str">
        <f aca="false">IF(M1334="","Check",IF(AND(M1334&gt;=INPUTS!$C$6,M1334&lt;=INPUTS!$C$7),"Yes","No"))</f>
        <v>Yes</v>
      </c>
      <c r="O1334" s="48" t="str">
        <f aca="false">STACK!H1334</f>
        <v>Secretary</v>
      </c>
      <c r="P1334" s="1" t="str">
        <f aca="false">IF(G1334&gt;0,IF(INDEX(CONFIRM!$H$5:$H$53,G1334)&lt;&gt;"",INDEX(CONFIRM!$H$5:$H$53,G1334),IFERROR(INDEX(MAP!$B$7:$B$156,MATCH(TRIM(O1334),MAP!$A$7:$A$156,0)),"UNMAPPED")),IFERROR(INDEX(MAP!$B$7:$B$156,MATCH(TRIM(O1334),MAP!$A$7:$A$156,0)),"UNMAPPED"))</f>
        <v>Administrative Assistant</v>
      </c>
      <c r="Q1334" s="48" t="n">
        <f aca="false">STACK!I1334</f>
        <v>21.25</v>
      </c>
      <c r="R1334" s="60" t="n">
        <f aca="false">IF(G1334&gt;0,IF(INDEX(CONFIRM!$F$5:$F$53,G1334)&lt;&gt;"",INDEX(CONFIRM!$F$5:$F$53,G1334),IF(ISNUMBER(Q1334),Q1334,IF(Q1334="","",IFERROR(VALUE(TRIM(SUBSTITUTE(SUBSTITUTE(LOWER(Q1334),"hrs",""),"hr",""))),"")))),IF(ISNUMBER(Q1334),Q1334,IF(Q1334="","",IFERROR(VALUE(TRIM(SUBSTITUTE(SUBSTITUTE(LOWER(Q1334),"hrs",""),"hr",""))),""))))</f>
        <v>21.25</v>
      </c>
      <c r="S1334" s="57" t="n">
        <f aca="false">IFERROR(INDEX(RATES!$E$6:$E$28,MATCH(P1334,RATES!$A$6:$A$28,0)),0)</f>
        <v>26.985</v>
      </c>
      <c r="T1334" s="61" t="n">
        <f aca="false">IF(ISNUMBER(R1334),R1334,0)*S1334</f>
        <v>573.43125</v>
      </c>
      <c r="U1334" s="61" t="n">
        <f aca="false">T1334*INDEX(INPUTS!$H$10:$H$14,MATCH(B1334,INPUTS!$A$10:$A$14,0))</f>
        <v>80.85380625</v>
      </c>
      <c r="V1334" s="61" t="n">
        <f aca="false">N(STACK!K1334)</f>
        <v>0</v>
      </c>
      <c r="W1334" s="61" t="n">
        <f aca="false">T1334+U1334+V1334</f>
        <v>654.28505625</v>
      </c>
      <c r="X1334" s="61" t="n">
        <f aca="false">N(STACK!L1334)</f>
        <v>0</v>
      </c>
      <c r="Y1334" s="61" t="n">
        <f aca="false">W1334-X1334</f>
        <v>654.28505625</v>
      </c>
      <c r="Z1334" s="1" t="n">
        <f aca="false">N(STACK!J1334)</f>
        <v>0</v>
      </c>
      <c r="AA1334" s="1" t="str">
        <f aca="false">TRIM(IF(D1334="UNMAPPED","Program not mapped. ","")&amp;IF(OR(K1334="UNMAPPED",K1334="UNASSIGNED"),"Category needs review. ","")&amp;IF(P1334="UNMAPPED","Title not mapped. ","")&amp;IF(AND(P1334&lt;&gt;"No staff time",R1334=""),"Missing hours. ","")&amp;IF(M1334="","Date not readable. ","")&amp;IF(N1334="No","Outside fiscal year. ","")&amp;IF(AND(F1334="Event",ISNUMBER(R1334)),IF(R1334&gt;12,"Event hours look high. ",""),"")&amp;IF(G1334&gt;0,"See CONFIRM sheet.",""))</f>
        <v/>
      </c>
      <c r="AB1334" s="1" t="n">
        <f aca="false">IF(N1334="No",0,IF(REVIEW!O1334=0,0,IF(G1334&gt;0,IF(INDEX(CONFIRM!$J$5:$J$53,G1334)&lt;&gt;"",INDEX(CONFIRM!$J$5:$J$53,G1334),1),1)))</f>
        <v>1</v>
      </c>
      <c r="AC1334" s="1" t="n">
        <f aca="false">IF(AB1334=1,IF(COUNTIFS($B$5:B1334,B1334,$D$5:D1334,D1334,$AB$5:AB1334,1)=1,1,0),0)</f>
        <v>0</v>
      </c>
    </row>
    <row r="1335" customFormat="false" ht="15" hidden="false" customHeight="false" outlineLevel="0" collapsed="false">
      <c r="A1335" s="48" t="str">
        <f aca="false">STACK!A1335</f>
        <v>WCH-0228</v>
      </c>
      <c r="B1335" s="48" t="str">
        <f aca="false">STACK!B1335</f>
        <v>WCH</v>
      </c>
      <c r="C1335" s="48" t="str">
        <f aca="false">STACK!E1335</f>
        <v>cb admin</v>
      </c>
      <c r="D1335" s="1" t="str">
        <f aca="false">IFERROR(INDEX(MAP!$J$7:$J$101,MATCH(TRIM(C1335),MAP!$I$7:$I$101,0)),"UNMAPPED")</f>
        <v>Community Benefit Program Administration</v>
      </c>
      <c r="E1335" s="1" t="str">
        <f aca="false">IFERROR(INDEX(MAP!$K$7:$K$101,MATCH(TRIM(C1335),MAP!$I$7:$I$101,0)),"")</f>
        <v>Community benefit infrastructure</v>
      </c>
      <c r="F1335" s="1" t="str">
        <f aca="false">IFERROR(INDEX(MAP!$L$7:$L$101,MATCH(TRIM(C1335),MAP!$I$7:$I$101,0)),"")</f>
        <v>Monthly</v>
      </c>
      <c r="G1335" s="1" t="n">
        <f aca="false">IFERROR(MATCH(A1335,CONFIRM!$A$5:$A$53,0),0)</f>
        <v>0</v>
      </c>
      <c r="H1335" s="48" t="str">
        <f aca="false">STACK!F1335</f>
        <v>cb operations</v>
      </c>
      <c r="I1335" s="1" t="str">
        <f aca="false">IF(G1335&gt;0,IF(INDEX(CONFIRM!$I$5:$I$53,G1335)&lt;&gt;"",INDEX(CONFIRM!$I$5:$I$53,G1335),H1335),H1335)</f>
        <v>cb operations</v>
      </c>
      <c r="J1335" s="1" t="str">
        <f aca="false">IFERROR(INDEX(MAP!$F$7:$F$74,MATCH(TRIM(I1335),MAP!$E$7:$E$74,0)),"UNMAPPED")</f>
        <v>Community benefit operations</v>
      </c>
      <c r="K1335" s="1" t="str">
        <f aca="false">IFERROR(INDEX(MAP!$G$7:$G$74,MATCH(TRIM(I1335),MAP!$E$7:$E$74,0)),"UNMAPPED")</f>
        <v>7e</v>
      </c>
      <c r="L1335" s="49" t="n">
        <f aca="false">STACK!G1335</f>
        <v>46142</v>
      </c>
      <c r="M1335" s="59" t="n">
        <f aca="false">IF(G1335&gt;0,IF(INDEX(CONFIRM!$G$5:$G$53,G1335)&lt;&gt;"",INDEX(CONFIRM!$G$5:$G$53,G1335),IF(ISNUMBER(L1335),L1335,IFERROR(DATEVALUE(L1335),""))),IF(ISNUMBER(L1335),L1335,IFERROR(DATEVALUE(L1335),"")))</f>
        <v>46142</v>
      </c>
      <c r="N1335" s="1" t="str">
        <f aca="false">IF(M1335="","Check",IF(AND(M1335&gt;=INPUTS!$C$6,M1335&lt;=INPUTS!$C$7),"Yes","No"))</f>
        <v>Yes</v>
      </c>
      <c r="O1335" s="48" t="str">
        <f aca="false">STACK!H1335</f>
        <v>Community Benefit Mgr</v>
      </c>
      <c r="P1335" s="1" t="str">
        <f aca="false">IF(G1335&gt;0,IF(INDEX(CONFIRM!$H$5:$H$53,G1335)&lt;&gt;"",INDEX(CONFIRM!$H$5:$H$53,G1335),IFERROR(INDEX(MAP!$B$7:$B$156,MATCH(TRIM(O1335),MAP!$A$7:$A$156,0)),"UNMAPPED")),IFERROR(INDEX(MAP!$B$7:$B$156,MATCH(TRIM(O1335),MAP!$A$7:$A$156,0)),"UNMAPPED"))</f>
        <v>Community Benefit Manager</v>
      </c>
      <c r="Q1335" s="48" t="n">
        <f aca="false">STACK!I1335</f>
        <v>41</v>
      </c>
      <c r="R1335" s="60" t="n">
        <f aca="false">IF(G1335&gt;0,IF(INDEX(CONFIRM!$F$5:$F$53,G1335)&lt;&gt;"",INDEX(CONFIRM!$F$5:$F$53,G1335),IF(ISNUMBER(Q1335),Q1335,IF(Q1335="","",IFERROR(VALUE(TRIM(SUBSTITUTE(SUBSTITUTE(LOWER(Q1335),"hrs",""),"hr",""))),"")))),IF(ISNUMBER(Q1335),Q1335,IF(Q1335="","",IFERROR(VALUE(TRIM(SUBSTITUTE(SUBSTITUTE(LOWER(Q1335),"hrs",""),"hr",""))),""))))</f>
        <v>41</v>
      </c>
      <c r="S1335" s="57" t="n">
        <f aca="false">IFERROR(INDEX(RATES!$E$6:$E$28,MATCH(P1335,RATES!$A$6:$A$28,0)),0)</f>
        <v>59.11</v>
      </c>
      <c r="T1335" s="61" t="n">
        <f aca="false">IF(ISNUMBER(R1335),R1335,0)*S1335</f>
        <v>2423.51</v>
      </c>
      <c r="U1335" s="61" t="n">
        <f aca="false">T1335*INDEX(INPUTS!$H$10:$H$14,MATCH(B1335,INPUTS!$A$10:$A$14,0))</f>
        <v>341.71491</v>
      </c>
      <c r="V1335" s="61" t="n">
        <f aca="false">N(STACK!K1335)</f>
        <v>600</v>
      </c>
      <c r="W1335" s="61" t="n">
        <f aca="false">T1335+U1335+V1335</f>
        <v>3365.22491</v>
      </c>
      <c r="X1335" s="61" t="n">
        <f aca="false">N(STACK!L1335)</f>
        <v>0</v>
      </c>
      <c r="Y1335" s="61" t="n">
        <f aca="false">W1335-X1335</f>
        <v>3365.22491</v>
      </c>
      <c r="Z1335" s="1" t="n">
        <f aca="false">N(STACK!J1335)</f>
        <v>0</v>
      </c>
      <c r="AA1335" s="1" t="str">
        <f aca="false">TRIM(IF(D1335="UNMAPPED","Program not mapped. ","")&amp;IF(OR(K1335="UNMAPPED",K1335="UNASSIGNED"),"Category needs review. ","")&amp;IF(P1335="UNMAPPED","Title not mapped. ","")&amp;IF(AND(P1335&lt;&gt;"No staff time",R1335=""),"Missing hours. ","")&amp;IF(M1335="","Date not readable. ","")&amp;IF(N1335="No","Outside fiscal year. ","")&amp;IF(AND(F1335="Event",ISNUMBER(R1335)),IF(R1335&gt;12,"Event hours look high. ",""),"")&amp;IF(G1335&gt;0,"See CONFIRM sheet.",""))</f>
        <v/>
      </c>
      <c r="AB1335" s="1" t="n">
        <f aca="false">IF(N1335="No",0,IF(REVIEW!O1335=0,0,IF(G1335&gt;0,IF(INDEX(CONFIRM!$J$5:$J$53,G1335)&lt;&gt;"",INDEX(CONFIRM!$J$5:$J$53,G1335),1),1)))</f>
        <v>1</v>
      </c>
      <c r="AC1335" s="1" t="n">
        <f aca="false">IF(AB1335=1,IF(COUNTIFS($B$5:B1335,B1335,$D$5:D1335,D1335,$AB$5:AB1335,1)=1,1,0),0)</f>
        <v>0</v>
      </c>
    </row>
    <row r="1336" customFormat="false" ht="15" hidden="false" customHeight="false" outlineLevel="0" collapsed="false">
      <c r="A1336" s="48" t="str">
        <f aca="false">STACK!A1336</f>
        <v>WCH-0229</v>
      </c>
      <c r="B1336" s="48" t="str">
        <f aca="false">STACK!B1336</f>
        <v>WCH</v>
      </c>
      <c r="C1336" s="48" t="str">
        <f aca="false">STACK!E1336</f>
        <v>community paramedic</v>
      </c>
      <c r="D1336" s="1" t="str">
        <f aca="false">IFERROR(INDEX(MAP!$J$7:$J$101,MATCH(TRIM(C1336),MAP!$I$7:$I$101,0)),"UNMAPPED")</f>
        <v>Community Paramedic Home Visits</v>
      </c>
      <c r="E1336" s="1" t="str">
        <f aca="false">IFERROR(INDEX(MAP!$K$7:$K$101,MATCH(TRIM(C1336),MAP!$I$7:$I$101,0)),"")</f>
        <v>Access to care</v>
      </c>
      <c r="F1336" s="1" t="str">
        <f aca="false">IFERROR(INDEX(MAP!$L$7:$L$101,MATCH(TRIM(C1336),MAP!$I$7:$I$101,0)),"")</f>
        <v>Monthly</v>
      </c>
      <c r="G1336" s="1" t="n">
        <f aca="false">IFERROR(MATCH(A1336,CONFIRM!$A$5:$A$53,0),0)</f>
        <v>0</v>
      </c>
      <c r="H1336" s="48" t="str">
        <f aca="false">STACK!F1336</f>
        <v>CHIS clinical</v>
      </c>
      <c r="I1336" s="1" t="str">
        <f aca="false">IF(G1336&gt;0,IF(INDEX(CONFIRM!$I$5:$I$53,G1336)&lt;&gt;"",INDEX(CONFIRM!$I$5:$I$53,G1336),H1336),H1336)</f>
        <v>CHIS clinical</v>
      </c>
      <c r="J1336" s="1" t="str">
        <f aca="false">IFERROR(INDEX(MAP!$F$7:$F$74,MATCH(TRIM(I1336),MAP!$E$7:$E$74,0)),"UNMAPPED")</f>
        <v>Community-based clinical services</v>
      </c>
      <c r="K1336" s="1" t="str">
        <f aca="false">IFERROR(INDEX(MAP!$G$7:$G$74,MATCH(TRIM(I1336),MAP!$E$7:$E$74,0)),"UNMAPPED")</f>
        <v>7e</v>
      </c>
      <c r="L1336" s="49" t="str">
        <f aca="false">STACK!G1336</f>
        <v>April 30, 2026</v>
      </c>
      <c r="M1336" s="59" t="n">
        <f aca="false">IF(G1336&gt;0,IF(INDEX(CONFIRM!$G$5:$G$53,G1336)&lt;&gt;"",INDEX(CONFIRM!$G$5:$G$53,G1336),IF(ISNUMBER(L1336),L1336,IFERROR(DATEVALUE(L1336),""))),IF(ISNUMBER(L1336),L1336,IFERROR(DATEVALUE(L1336),"")))</f>
        <v>46142</v>
      </c>
      <c r="N1336" s="1" t="str">
        <f aca="false">IF(M1336="","Check",IF(AND(M1336&gt;=INPUTS!$C$6,M1336&lt;=INPUTS!$C$7),"Yes","No"))</f>
        <v>Yes</v>
      </c>
      <c r="O1336" s="48" t="str">
        <f aca="false">STACK!H1336</f>
        <v>Flight Paramedic</v>
      </c>
      <c r="P1336" s="1" t="str">
        <f aca="false">IF(G1336&gt;0,IF(INDEX(CONFIRM!$H$5:$H$53,G1336)&lt;&gt;"",INDEX(CONFIRM!$H$5:$H$53,G1336),IFERROR(INDEX(MAP!$B$7:$B$156,MATCH(TRIM(O1336),MAP!$A$7:$A$156,0)),"UNMAPPED")),IFERROR(INDEX(MAP!$B$7:$B$156,MATCH(TRIM(O1336),MAP!$A$7:$A$156,0)),"UNMAPPED"))</f>
        <v>Paramedic</v>
      </c>
      <c r="Q1336" s="48" t="str">
        <f aca="false">STACK!I1336</f>
        <v>62.25 hr</v>
      </c>
      <c r="R1336" s="60" t="n">
        <f aca="false">IF(G1336&gt;0,IF(INDEX(CONFIRM!$F$5:$F$53,G1336)&lt;&gt;"",INDEX(CONFIRM!$F$5:$F$53,G1336),IF(ISNUMBER(Q1336),Q1336,IF(Q1336="","",IFERROR(VALUE(TRIM(SUBSTITUTE(SUBSTITUTE(LOWER(Q1336),"hrs",""),"hr",""))),"")))),IF(ISNUMBER(Q1336),Q1336,IF(Q1336="","",IFERROR(VALUE(TRIM(SUBSTITUTE(SUBSTITUTE(LOWER(Q1336),"hrs",""),"hr",""))),""))))</f>
        <v>62.25</v>
      </c>
      <c r="S1336" s="57" t="n">
        <f aca="false">IFERROR(INDEX(RATES!$E$6:$E$28,MATCH(P1336,RATES!$A$6:$A$28,0)),0)</f>
        <v>34.695</v>
      </c>
      <c r="T1336" s="61" t="n">
        <f aca="false">IF(ISNUMBER(R1336),R1336,0)*S1336</f>
        <v>2159.76375</v>
      </c>
      <c r="U1336" s="61" t="n">
        <f aca="false">T1336*INDEX(INPUTS!$H$10:$H$14,MATCH(B1336,INPUTS!$A$10:$A$14,0))</f>
        <v>304.52668875</v>
      </c>
      <c r="V1336" s="61" t="n">
        <f aca="false">N(STACK!K1336)</f>
        <v>490</v>
      </c>
      <c r="W1336" s="61" t="n">
        <f aca="false">T1336+U1336+V1336</f>
        <v>2954.29043875</v>
      </c>
      <c r="X1336" s="61" t="n">
        <f aca="false">N(STACK!L1336)</f>
        <v>0</v>
      </c>
      <c r="Y1336" s="61" t="n">
        <f aca="false">W1336-X1336</f>
        <v>2954.29043875</v>
      </c>
      <c r="Z1336" s="1" t="n">
        <f aca="false">N(STACK!J1336)</f>
        <v>51</v>
      </c>
      <c r="AA1336" s="1" t="str">
        <f aca="false">TRIM(IF(D1336="UNMAPPED","Program not mapped. ","")&amp;IF(OR(K1336="UNMAPPED",K1336="UNASSIGNED"),"Category needs review. ","")&amp;IF(P1336="UNMAPPED","Title not mapped. ","")&amp;IF(AND(P1336&lt;&gt;"No staff time",R1336=""),"Missing hours. ","")&amp;IF(M1336="","Date not readable. ","")&amp;IF(N1336="No","Outside fiscal year. ","")&amp;IF(AND(F1336="Event",ISNUMBER(R1336)),IF(R1336&gt;12,"Event hours look high. ",""),"")&amp;IF(G1336&gt;0,"See CONFIRM sheet.",""))</f>
        <v/>
      </c>
      <c r="AB1336" s="1" t="n">
        <f aca="false">IF(N1336="No",0,IF(REVIEW!O1336=0,0,IF(G1336&gt;0,IF(INDEX(CONFIRM!$J$5:$J$53,G1336)&lt;&gt;"",INDEX(CONFIRM!$J$5:$J$53,G1336),1),1)))</f>
        <v>1</v>
      </c>
      <c r="AC1336" s="1" t="n">
        <f aca="false">IF(AB1336=1,IF(COUNTIFS($B$5:B1336,B1336,$D$5:D1336,D1336,$AB$5:AB1336,1)=1,1,0),0)</f>
        <v>0</v>
      </c>
    </row>
    <row r="1337" customFormat="false" ht="15" hidden="false" customHeight="false" outlineLevel="0" collapsed="false">
      <c r="A1337" s="48" t="str">
        <f aca="false">STACK!A1337</f>
        <v>WCH-0230</v>
      </c>
      <c r="B1337" s="48" t="str">
        <f aca="false">STACK!B1337</f>
        <v>WCH</v>
      </c>
      <c r="C1337" s="48" t="str">
        <f aca="false">STACK!E1337</f>
        <v>nursing students</v>
      </c>
      <c r="D1337" s="1" t="str">
        <f aca="false">IFERROR(INDEX(MAP!$J$7:$J$101,MATCH(TRIM(C1337),MAP!$I$7:$I$101,0)),"UNMAPPED")</f>
        <v>Nursing Student Clinical Rotations</v>
      </c>
      <c r="E1337" s="1" t="str">
        <f aca="false">IFERROR(INDEX(MAP!$K$7:$K$101,MATCH(TRIM(C1337),MAP!$I$7:$I$101,0)),"")</f>
        <v>Health workforce</v>
      </c>
      <c r="F1337" s="1" t="str">
        <f aca="false">IFERROR(INDEX(MAP!$L$7:$L$101,MATCH(TRIM(C1337),MAP!$I$7:$I$101,0)),"")</f>
        <v>Monthly</v>
      </c>
      <c r="G1337" s="1" t="n">
        <f aca="false">IFERROR(MATCH(A1337,CONFIRM!$A$5:$A$53,0),0)</f>
        <v>0</v>
      </c>
      <c r="H1337" s="48" t="str">
        <f aca="false">STACK!F1337</f>
        <v>health professions ed</v>
      </c>
      <c r="I1337" s="1" t="str">
        <f aca="false">IF(G1337&gt;0,IF(INDEX(CONFIRM!$I$5:$I$53,G1337)&lt;&gt;"",INDEX(CONFIRM!$I$5:$I$53,G1337),H1337),H1337)</f>
        <v>health professions ed</v>
      </c>
      <c r="J1337" s="1" t="str">
        <f aca="false">IFERROR(INDEX(MAP!$F$7:$F$74,MATCH(TRIM(I1337),MAP!$E$7:$E$74,0)),"UNMAPPED")</f>
        <v>Health professions education</v>
      </c>
      <c r="K1337" s="1" t="str">
        <f aca="false">IFERROR(INDEX(MAP!$G$7:$G$74,MATCH(TRIM(I1337),MAP!$E$7:$E$74,0)),"UNMAPPED")</f>
        <v>7f</v>
      </c>
      <c r="L1337" s="49" t="str">
        <f aca="false">STACK!G1337</f>
        <v>April 30, 2026</v>
      </c>
      <c r="M1337" s="59" t="n">
        <f aca="false">IF(G1337&gt;0,IF(INDEX(CONFIRM!$G$5:$G$53,G1337)&lt;&gt;"",INDEX(CONFIRM!$G$5:$G$53,G1337),IF(ISNUMBER(L1337),L1337,IFERROR(DATEVALUE(L1337),""))),IF(ISNUMBER(L1337),L1337,IFERROR(DATEVALUE(L1337),"")))</f>
        <v>46142</v>
      </c>
      <c r="N1337" s="1" t="str">
        <f aca="false">IF(M1337="","Check",IF(AND(M1337&gt;=INPUTS!$C$6,M1337&lt;=INPUTS!$C$7),"Yes","No"))</f>
        <v>Yes</v>
      </c>
      <c r="O1337" s="48" t="str">
        <f aca="false">STACK!H1337</f>
        <v>Nurse Educator </v>
      </c>
      <c r="P1337" s="1" t="str">
        <f aca="false">IF(G1337&gt;0,IF(INDEX(CONFIRM!$H$5:$H$53,G1337)&lt;&gt;"",INDEX(CONFIRM!$H$5:$H$53,G1337),IFERROR(INDEX(MAP!$B$7:$B$156,MATCH(TRIM(O1337),MAP!$A$7:$A$156,0)),"UNMAPPED")),IFERROR(INDEX(MAP!$B$7:$B$156,MATCH(TRIM(O1337),MAP!$A$7:$A$156,0)),"UNMAPPED"))</f>
        <v>Clinical Nurse Educator</v>
      </c>
      <c r="Q1337" s="48" t="n">
        <f aca="false">STACK!I1337</f>
        <v>104</v>
      </c>
      <c r="R1337" s="60" t="n">
        <f aca="false">IF(G1337&gt;0,IF(INDEX(CONFIRM!$F$5:$F$53,G1337)&lt;&gt;"",INDEX(CONFIRM!$F$5:$F$53,G1337),IF(ISNUMBER(Q1337),Q1337,IF(Q1337="","",IFERROR(VALUE(TRIM(SUBSTITUTE(SUBSTITUTE(LOWER(Q1337),"hrs",""),"hr",""))),"")))),IF(ISNUMBER(Q1337),Q1337,IF(Q1337="","",IFERROR(VALUE(TRIM(SUBSTITUTE(SUBSTITUTE(LOWER(Q1337),"hrs",""),"hr",""))),""))))</f>
        <v>104</v>
      </c>
      <c r="S1337" s="57" t="n">
        <f aca="false">IFERROR(INDEX(RATES!$E$6:$E$28,MATCH(P1337,RATES!$A$6:$A$28,0)),0)</f>
        <v>62.965</v>
      </c>
      <c r="T1337" s="61" t="n">
        <f aca="false">IF(ISNUMBER(R1337),R1337,0)*S1337</f>
        <v>6548.36</v>
      </c>
      <c r="U1337" s="61" t="n">
        <f aca="false">T1337*INDEX(INPUTS!$H$10:$H$14,MATCH(B1337,INPUTS!$A$10:$A$14,0))</f>
        <v>923.31876</v>
      </c>
      <c r="V1337" s="61" t="n">
        <f aca="false">N(STACK!K1337)</f>
        <v>340</v>
      </c>
      <c r="W1337" s="61" t="n">
        <f aca="false">T1337+U1337+V1337</f>
        <v>7811.67876</v>
      </c>
      <c r="X1337" s="61" t="n">
        <f aca="false">N(STACK!L1337)</f>
        <v>0</v>
      </c>
      <c r="Y1337" s="61" t="n">
        <f aca="false">W1337-X1337</f>
        <v>7811.67876</v>
      </c>
      <c r="Z1337" s="1" t="n">
        <f aca="false">N(STACK!J1337)</f>
        <v>26</v>
      </c>
      <c r="AA1337" s="1" t="str">
        <f aca="false">TRIM(IF(D1337="UNMAPPED","Program not mapped. ","")&amp;IF(OR(K1337="UNMAPPED",K1337="UNASSIGNED"),"Category needs review. ","")&amp;IF(P1337="UNMAPPED","Title not mapped. ","")&amp;IF(AND(P1337&lt;&gt;"No staff time",R1337=""),"Missing hours. ","")&amp;IF(M1337="","Date not readable. ","")&amp;IF(N1337="No","Outside fiscal year. ","")&amp;IF(AND(F1337="Event",ISNUMBER(R1337)),IF(R1337&gt;12,"Event hours look high. ",""),"")&amp;IF(G1337&gt;0,"See CONFIRM sheet.",""))</f>
        <v/>
      </c>
      <c r="AB1337" s="1" t="n">
        <f aca="false">IF(N1337="No",0,IF(REVIEW!O1337=0,0,IF(G1337&gt;0,IF(INDEX(CONFIRM!$J$5:$J$53,G1337)&lt;&gt;"",INDEX(CONFIRM!$J$5:$J$53,G1337),1),1)))</f>
        <v>1</v>
      </c>
      <c r="AC1337" s="1" t="n">
        <f aca="false">IF(AB1337=1,IF(COUNTIFS($B$5:B1337,B1337,$D$5:D1337,D1337,$AB$5:AB1337,1)=1,1,0),0)</f>
        <v>0</v>
      </c>
    </row>
    <row r="1338" customFormat="false" ht="15" hidden="false" customHeight="false" outlineLevel="0" collapsed="false">
      <c r="A1338" s="48" t="str">
        <f aca="false">STACK!A1338</f>
        <v>WCH-0231</v>
      </c>
      <c r="B1338" s="48" t="str">
        <f aca="false">STACK!B1338</f>
        <v>WCH</v>
      </c>
      <c r="C1338" s="48" t="str">
        <f aca="false">STACK!E1338</f>
        <v>nursing students</v>
      </c>
      <c r="D1338" s="1" t="str">
        <f aca="false">IFERROR(INDEX(MAP!$J$7:$J$101,MATCH(TRIM(C1338),MAP!$I$7:$I$101,0)),"UNMAPPED")</f>
        <v>Nursing Student Clinical Rotations</v>
      </c>
      <c r="E1338" s="1" t="str">
        <f aca="false">IFERROR(INDEX(MAP!$K$7:$K$101,MATCH(TRIM(C1338),MAP!$I$7:$I$101,0)),"")</f>
        <v>Health workforce</v>
      </c>
      <c r="F1338" s="1" t="str">
        <f aca="false">IFERROR(INDEX(MAP!$L$7:$L$101,MATCH(TRIM(C1338),MAP!$I$7:$I$101,0)),"")</f>
        <v>Monthly</v>
      </c>
      <c r="G1338" s="1" t="n">
        <f aca="false">IFERROR(MATCH(A1338,CONFIRM!$A$5:$A$53,0),0)</f>
        <v>0</v>
      </c>
      <c r="H1338" s="48" t="str">
        <f aca="false">STACK!F1338</f>
        <v>health professions ed</v>
      </c>
      <c r="I1338" s="1" t="str">
        <f aca="false">IF(G1338&gt;0,IF(INDEX(CONFIRM!$I$5:$I$53,G1338)&lt;&gt;"",INDEX(CONFIRM!$I$5:$I$53,G1338),H1338),H1338)</f>
        <v>health professions ed</v>
      </c>
      <c r="J1338" s="1" t="str">
        <f aca="false">IFERROR(INDEX(MAP!$F$7:$F$74,MATCH(TRIM(I1338),MAP!$E$7:$E$74,0)),"UNMAPPED")</f>
        <v>Health professions education</v>
      </c>
      <c r="K1338" s="1" t="str">
        <f aca="false">IFERROR(INDEX(MAP!$G$7:$G$74,MATCH(TRIM(I1338),MAP!$E$7:$E$74,0)),"UNMAPPED")</f>
        <v>7f</v>
      </c>
      <c r="L1338" s="49" t="n">
        <f aca="false">STACK!G1338</f>
        <v>46142</v>
      </c>
      <c r="M1338" s="59" t="n">
        <f aca="false">IF(G1338&gt;0,IF(INDEX(CONFIRM!$G$5:$G$53,G1338)&lt;&gt;"",INDEX(CONFIRM!$G$5:$G$53,G1338),IF(ISNUMBER(L1338),L1338,IFERROR(DATEVALUE(L1338),""))),IF(ISNUMBER(L1338),L1338,IFERROR(DATEVALUE(L1338),"")))</f>
        <v>46142</v>
      </c>
      <c r="N1338" s="1" t="str">
        <f aca="false">IF(M1338="","Check",IF(AND(M1338&gt;=INPUTS!$C$6,M1338&lt;=INPUTS!$C$7),"Yes","No"))</f>
        <v>Yes</v>
      </c>
      <c r="O1338" s="48" t="str">
        <f aca="false">STACK!H1338</f>
        <v>Staff RN</v>
      </c>
      <c r="P1338" s="1" t="str">
        <f aca="false">IF(G1338&gt;0,IF(INDEX(CONFIRM!$H$5:$H$53,G1338)&lt;&gt;"",INDEX(CONFIRM!$H$5:$H$53,G1338),IFERROR(INDEX(MAP!$B$7:$B$156,MATCH(TRIM(O1338),MAP!$A$7:$A$156,0)),"UNMAPPED")),IFERROR(INDEX(MAP!$B$7:$B$156,MATCH(TRIM(O1338),MAP!$A$7:$A$156,0)),"UNMAPPED"))</f>
        <v>Registered Nurse</v>
      </c>
      <c r="Q1338" s="48" t="n">
        <f aca="false">STACK!I1338</f>
        <v>165.25</v>
      </c>
      <c r="R1338" s="60" t="n">
        <f aca="false">IF(G1338&gt;0,IF(INDEX(CONFIRM!$F$5:$F$53,G1338)&lt;&gt;"",INDEX(CONFIRM!$F$5:$F$53,G1338),IF(ISNUMBER(Q1338),Q1338,IF(Q1338="","",IFERROR(VALUE(TRIM(SUBSTITUTE(SUBSTITUTE(LOWER(Q1338),"hrs",""),"hr",""))),"")))),IF(ISNUMBER(Q1338),Q1338,IF(Q1338="","",IFERROR(VALUE(TRIM(SUBSTITUTE(SUBSTITUTE(LOWER(Q1338),"hrs",""),"hr",""))),""))))</f>
        <v>165.25</v>
      </c>
      <c r="S1338" s="57" t="n">
        <f aca="false">IFERROR(INDEX(RATES!$E$6:$E$28,MATCH(P1338,RATES!$A$6:$A$28,0)),0)</f>
        <v>55.8975</v>
      </c>
      <c r="T1338" s="61" t="n">
        <f aca="false">IF(ISNUMBER(R1338),R1338,0)*S1338</f>
        <v>9237.061875</v>
      </c>
      <c r="U1338" s="61" t="n">
        <f aca="false">T1338*INDEX(INPUTS!$H$10:$H$14,MATCH(B1338,INPUTS!$A$10:$A$14,0))</f>
        <v>1302.425724375</v>
      </c>
      <c r="V1338" s="61" t="n">
        <f aca="false">N(STACK!K1338)</f>
        <v>0</v>
      </c>
      <c r="W1338" s="61" t="n">
        <f aca="false">T1338+U1338+V1338</f>
        <v>10539.487599375</v>
      </c>
      <c r="X1338" s="61" t="n">
        <f aca="false">N(STACK!L1338)</f>
        <v>0</v>
      </c>
      <c r="Y1338" s="61" t="n">
        <f aca="false">W1338-X1338</f>
        <v>10539.487599375</v>
      </c>
      <c r="Z1338" s="1" t="n">
        <f aca="false">N(STACK!J1338)</f>
        <v>0</v>
      </c>
      <c r="AA1338" s="1" t="str">
        <f aca="false">TRIM(IF(D1338="UNMAPPED","Program not mapped. ","")&amp;IF(OR(K1338="UNMAPPED",K1338="UNASSIGNED"),"Category needs review. ","")&amp;IF(P1338="UNMAPPED","Title not mapped. ","")&amp;IF(AND(P1338&lt;&gt;"No staff time",R1338=""),"Missing hours. ","")&amp;IF(M1338="","Date not readable. ","")&amp;IF(N1338="No","Outside fiscal year. ","")&amp;IF(AND(F1338="Event",ISNUMBER(R1338)),IF(R1338&gt;12,"Event hours look high. ",""),"")&amp;IF(G1338&gt;0,"See CONFIRM sheet.",""))</f>
        <v/>
      </c>
      <c r="AB1338" s="1" t="n">
        <f aca="false">IF(N1338="No",0,IF(REVIEW!O1338=0,0,IF(G1338&gt;0,IF(INDEX(CONFIRM!$J$5:$J$53,G1338)&lt;&gt;"",INDEX(CONFIRM!$J$5:$J$53,G1338),1),1)))</f>
        <v>1</v>
      </c>
      <c r="AC1338" s="1" t="n">
        <f aca="false">IF(AB1338=1,IF(COUNTIFS($B$5:B1338,B1338,$D$5:D1338,D1338,$AB$5:AB1338,1)=1,1,0),0)</f>
        <v>0</v>
      </c>
    </row>
    <row r="1339" customFormat="false" ht="15" hidden="false" customHeight="false" outlineLevel="0" collapsed="false">
      <c r="A1339" s="48" t="str">
        <f aca="false">STACK!A1339</f>
        <v>WCH-0232</v>
      </c>
      <c r="B1339" s="48" t="str">
        <f aca="false">STACK!B1339</f>
        <v>WCH</v>
      </c>
      <c r="C1339" s="48" t="str">
        <f aca="false">STACK!E1339</f>
        <v>paramedic students</v>
      </c>
      <c r="D1339" s="1" t="str">
        <f aca="false">IFERROR(INDEX(MAP!$J$7:$J$101,MATCH(TRIM(C1339),MAP!$I$7:$I$101,0)),"UNMAPPED")</f>
        <v>Paramedic Student Field Training</v>
      </c>
      <c r="E1339" s="1" t="str">
        <f aca="false">IFERROR(INDEX(MAP!$K$7:$K$101,MATCH(TRIM(C1339),MAP!$I$7:$I$101,0)),"")</f>
        <v>Health workforce</v>
      </c>
      <c r="F1339" s="1" t="str">
        <f aca="false">IFERROR(INDEX(MAP!$L$7:$L$101,MATCH(TRIM(C1339),MAP!$I$7:$I$101,0)),"")</f>
        <v>Monthly</v>
      </c>
      <c r="G1339" s="1" t="n">
        <f aca="false">IFERROR(MATCH(A1339,CONFIRM!$A$5:$A$53,0),0)</f>
        <v>0</v>
      </c>
      <c r="H1339" s="48" t="str">
        <f aca="false">STACK!F1339</f>
        <v>health professions ed</v>
      </c>
      <c r="I1339" s="1" t="str">
        <f aca="false">IF(G1339&gt;0,IF(INDEX(CONFIRM!$I$5:$I$53,G1339)&lt;&gt;"",INDEX(CONFIRM!$I$5:$I$53,G1339),H1339),H1339)</f>
        <v>health professions ed</v>
      </c>
      <c r="J1339" s="1" t="str">
        <f aca="false">IFERROR(INDEX(MAP!$F$7:$F$74,MATCH(TRIM(I1339),MAP!$E$7:$E$74,0)),"UNMAPPED")</f>
        <v>Health professions education</v>
      </c>
      <c r="K1339" s="1" t="str">
        <f aca="false">IFERROR(INDEX(MAP!$G$7:$G$74,MATCH(TRIM(I1339),MAP!$E$7:$E$74,0)),"UNMAPPED")</f>
        <v>7f</v>
      </c>
      <c r="L1339" s="49" t="str">
        <f aca="false">STACK!G1339</f>
        <v>4/30/26</v>
      </c>
      <c r="M1339" s="59" t="n">
        <f aca="false">IF(G1339&gt;0,IF(INDEX(CONFIRM!$G$5:$G$53,G1339)&lt;&gt;"",INDEX(CONFIRM!$G$5:$G$53,G1339),IF(ISNUMBER(L1339),L1339,IFERROR(DATEVALUE(L1339),""))),IF(ISNUMBER(L1339),L1339,IFERROR(DATEVALUE(L1339),"")))</f>
        <v>46142</v>
      </c>
      <c r="N1339" s="1" t="str">
        <f aca="false">IF(M1339="","Check",IF(AND(M1339&gt;=INPUTS!$C$6,M1339&lt;=INPUTS!$C$7),"Yes","No"))</f>
        <v>Yes</v>
      </c>
      <c r="O1339" s="48" t="str">
        <f aca="false">STACK!H1339</f>
        <v>Flight Paramedic</v>
      </c>
      <c r="P1339" s="1" t="str">
        <f aca="false">IF(G1339&gt;0,IF(INDEX(CONFIRM!$H$5:$H$53,G1339)&lt;&gt;"",INDEX(CONFIRM!$H$5:$H$53,G1339),IFERROR(INDEX(MAP!$B$7:$B$156,MATCH(TRIM(O1339),MAP!$A$7:$A$156,0)),"UNMAPPED")),IFERROR(INDEX(MAP!$B$7:$B$156,MATCH(TRIM(O1339),MAP!$A$7:$A$156,0)),"UNMAPPED"))</f>
        <v>Paramedic</v>
      </c>
      <c r="Q1339" s="48" t="n">
        <f aca="false">STACK!I1339</f>
        <v>62.25</v>
      </c>
      <c r="R1339" s="60" t="n">
        <f aca="false">IF(G1339&gt;0,IF(INDEX(CONFIRM!$F$5:$F$53,G1339)&lt;&gt;"",INDEX(CONFIRM!$F$5:$F$53,G1339),IF(ISNUMBER(Q1339),Q1339,IF(Q1339="","",IFERROR(VALUE(TRIM(SUBSTITUTE(SUBSTITUTE(LOWER(Q1339),"hrs",""),"hr",""))),"")))),IF(ISNUMBER(Q1339),Q1339,IF(Q1339="","",IFERROR(VALUE(TRIM(SUBSTITUTE(SUBSTITUTE(LOWER(Q1339),"hrs",""),"hr",""))),""))))</f>
        <v>62.25</v>
      </c>
      <c r="S1339" s="57" t="n">
        <f aca="false">IFERROR(INDEX(RATES!$E$6:$E$28,MATCH(P1339,RATES!$A$6:$A$28,0)),0)</f>
        <v>34.695</v>
      </c>
      <c r="T1339" s="61" t="n">
        <f aca="false">IF(ISNUMBER(R1339),R1339,0)*S1339</f>
        <v>2159.76375</v>
      </c>
      <c r="U1339" s="61" t="n">
        <f aca="false">T1339*INDEX(INPUTS!$H$10:$H$14,MATCH(B1339,INPUTS!$A$10:$A$14,0))</f>
        <v>304.52668875</v>
      </c>
      <c r="V1339" s="61" t="n">
        <f aca="false">N(STACK!K1339)</f>
        <v>60</v>
      </c>
      <c r="W1339" s="61" t="n">
        <f aca="false">T1339+U1339+V1339</f>
        <v>2524.29043875</v>
      </c>
      <c r="X1339" s="61" t="n">
        <f aca="false">N(STACK!L1339)</f>
        <v>0</v>
      </c>
      <c r="Y1339" s="61" t="n">
        <f aca="false">W1339-X1339</f>
        <v>2524.29043875</v>
      </c>
      <c r="Z1339" s="1" t="n">
        <f aca="false">N(STACK!J1339)</f>
        <v>5</v>
      </c>
      <c r="AA1339" s="1" t="str">
        <f aca="false">TRIM(IF(D1339="UNMAPPED","Program not mapped. ","")&amp;IF(OR(K1339="UNMAPPED",K1339="UNASSIGNED"),"Category needs review. ","")&amp;IF(P1339="UNMAPPED","Title not mapped. ","")&amp;IF(AND(P1339&lt;&gt;"No staff time",R1339=""),"Missing hours. ","")&amp;IF(M1339="","Date not readable. ","")&amp;IF(N1339="No","Outside fiscal year. ","")&amp;IF(AND(F1339="Event",ISNUMBER(R1339)),IF(R1339&gt;12,"Event hours look high. ",""),"")&amp;IF(G1339&gt;0,"See CONFIRM sheet.",""))</f>
        <v/>
      </c>
      <c r="AB1339" s="1" t="n">
        <f aca="false">IF(N1339="No",0,IF(REVIEW!O1339=0,0,IF(G1339&gt;0,IF(INDEX(CONFIRM!$J$5:$J$53,G1339)&lt;&gt;"",INDEX(CONFIRM!$J$5:$J$53,G1339),1),1)))</f>
        <v>1</v>
      </c>
      <c r="AC1339" s="1" t="n">
        <f aca="false">IF(AB1339=1,IF(COUNTIFS($B$5:B1339,B1339,$D$5:D1339,D1339,$AB$5:AB1339,1)=1,1,0),0)</f>
        <v>0</v>
      </c>
    </row>
    <row r="1340" customFormat="false" ht="15" hidden="false" customHeight="false" outlineLevel="0" collapsed="false">
      <c r="A1340" s="48" t="str">
        <f aca="false">STACK!A1340</f>
        <v>WCH-0233</v>
      </c>
      <c r="B1340" s="48" t="str">
        <f aca="false">STACK!B1340</f>
        <v>WCH</v>
      </c>
      <c r="C1340" s="48" t="str">
        <f aca="false">STACK!E1340</f>
        <v>rural maternal study</v>
      </c>
      <c r="D1340" s="1" t="str">
        <f aca="false">IFERROR(INDEX(MAP!$J$7:$J$101,MATCH(TRIM(C1340),MAP!$I$7:$I$101,0)),"UNMAPPED")</f>
        <v>Rural Maternal Outcomes Study</v>
      </c>
      <c r="E1340" s="1" t="str">
        <f aca="false">IFERROR(INDEX(MAP!$K$7:$K$101,MATCH(TRIM(C1340),MAP!$I$7:$I$101,0)),"")</f>
        <v>Maternal and child health</v>
      </c>
      <c r="F1340" s="1" t="str">
        <f aca="false">IFERROR(INDEX(MAP!$L$7:$L$101,MATCH(TRIM(C1340),MAP!$I$7:$I$101,0)),"")</f>
        <v>Monthly</v>
      </c>
      <c r="G1340" s="1" t="n">
        <f aca="false">IFERROR(MATCH(A1340,CONFIRM!$A$5:$A$53,0),0)</f>
        <v>0</v>
      </c>
      <c r="H1340" s="48" t="str">
        <f aca="false">STACK!F1340</f>
        <v>research</v>
      </c>
      <c r="I1340" s="1" t="str">
        <f aca="false">IF(G1340&gt;0,IF(INDEX(CONFIRM!$I$5:$I$53,G1340)&lt;&gt;"",INDEX(CONFIRM!$I$5:$I$53,G1340),H1340),H1340)</f>
        <v>research</v>
      </c>
      <c r="J1340" s="1" t="str">
        <f aca="false">IFERROR(INDEX(MAP!$F$7:$F$74,MATCH(TRIM(I1340),MAP!$E$7:$E$74,0)),"UNMAPPED")</f>
        <v>Research</v>
      </c>
      <c r="K1340" s="1" t="str">
        <f aca="false">IFERROR(INDEX(MAP!$G$7:$G$74,MATCH(TRIM(I1340),MAP!$E$7:$E$74,0)),"UNMAPPED")</f>
        <v>7h</v>
      </c>
      <c r="L1340" s="49" t="n">
        <f aca="false">STACK!G1340</f>
        <v>46142</v>
      </c>
      <c r="M1340" s="59" t="n">
        <f aca="false">IF(G1340&gt;0,IF(INDEX(CONFIRM!$G$5:$G$53,G1340)&lt;&gt;"",INDEX(CONFIRM!$G$5:$G$53,G1340),IF(ISNUMBER(L1340),L1340,IFERROR(DATEVALUE(L1340),""))),IF(ISNUMBER(L1340),L1340,IFERROR(DATEVALUE(L1340),"")))</f>
        <v>46142</v>
      </c>
      <c r="N1340" s="1" t="str">
        <f aca="false">IF(M1340="","Check",IF(AND(M1340&gt;=INPUTS!$C$6,M1340&lt;=INPUTS!$C$7),"Yes","No"))</f>
        <v>Yes</v>
      </c>
      <c r="O1340" s="48" t="str">
        <f aca="false">STACK!H1340</f>
        <v>Analyst</v>
      </c>
      <c r="P1340" s="1" t="str">
        <f aca="false">IF(G1340&gt;0,IF(INDEX(CONFIRM!$H$5:$H$53,G1340)&lt;&gt;"",INDEX(CONFIRM!$H$5:$H$53,G1340),IFERROR(INDEX(MAP!$B$7:$B$156,MATCH(TRIM(O1340),MAP!$A$7:$A$156,0)),"UNMAPPED")),IFERROR(INDEX(MAP!$B$7:$B$156,MATCH(TRIM(O1340),MAP!$A$7:$A$156,0)),"UNMAPPED"))</f>
        <v>Data Analyst</v>
      </c>
      <c r="Q1340" s="48" t="n">
        <f aca="false">STACK!I1340</f>
        <v>11.25</v>
      </c>
      <c r="R1340" s="60" t="n">
        <f aca="false">IF(G1340&gt;0,IF(INDEX(CONFIRM!$F$5:$F$53,G1340)&lt;&gt;"",INDEX(CONFIRM!$F$5:$F$53,G1340),IF(ISNUMBER(Q1340),Q1340,IF(Q1340="","",IFERROR(VALUE(TRIM(SUBSTITUTE(SUBSTITUTE(LOWER(Q1340),"hrs",""),"hr",""))),"")))),IF(ISNUMBER(Q1340),Q1340,IF(Q1340="","",IFERROR(VALUE(TRIM(SUBSTITUTE(SUBSTITUTE(LOWER(Q1340),"hrs",""),"hr",""))),""))))</f>
        <v>11.25</v>
      </c>
      <c r="S1340" s="57" t="n">
        <f aca="false">IFERROR(INDEX(RATES!$E$6:$E$28,MATCH(P1340,RATES!$A$6:$A$28,0)),0)</f>
        <v>48.83</v>
      </c>
      <c r="T1340" s="61" t="n">
        <f aca="false">IF(ISNUMBER(R1340),R1340,0)*S1340</f>
        <v>549.3375</v>
      </c>
      <c r="U1340" s="61" t="n">
        <f aca="false">T1340*INDEX(INPUTS!$H$10:$H$14,MATCH(B1340,INPUTS!$A$10:$A$14,0))</f>
        <v>77.4565875</v>
      </c>
      <c r="V1340" s="61" t="n">
        <f aca="false">N(STACK!K1340)</f>
        <v>0</v>
      </c>
      <c r="W1340" s="61" t="n">
        <f aca="false">T1340+U1340+V1340</f>
        <v>626.7940875</v>
      </c>
      <c r="X1340" s="61" t="n">
        <f aca="false">N(STACK!L1340)</f>
        <v>0</v>
      </c>
      <c r="Y1340" s="61" t="n">
        <f aca="false">W1340-X1340</f>
        <v>626.7940875</v>
      </c>
      <c r="Z1340" s="1" t="n">
        <f aca="false">N(STACK!J1340)</f>
        <v>0</v>
      </c>
      <c r="AA1340" s="1" t="str">
        <f aca="false">TRIM(IF(D1340="UNMAPPED","Program not mapped. ","")&amp;IF(OR(K1340="UNMAPPED",K1340="UNASSIGNED"),"Category needs review. ","")&amp;IF(P1340="UNMAPPED","Title not mapped. ","")&amp;IF(AND(P1340&lt;&gt;"No staff time",R1340=""),"Missing hours. ","")&amp;IF(M1340="","Date not readable. ","")&amp;IF(N1340="No","Outside fiscal year. ","")&amp;IF(AND(F1340="Event",ISNUMBER(R1340)),IF(R1340&gt;12,"Event hours look high. ",""),"")&amp;IF(G1340&gt;0,"See CONFIRM sheet.",""))</f>
        <v/>
      </c>
      <c r="AB1340" s="1" t="n">
        <f aca="false">IF(N1340="No",0,IF(REVIEW!O1340=0,0,IF(G1340&gt;0,IF(INDEX(CONFIRM!$J$5:$J$53,G1340)&lt;&gt;"",INDEX(CONFIRM!$J$5:$J$53,G1340),1),1)))</f>
        <v>1</v>
      </c>
      <c r="AC1340" s="1" t="n">
        <f aca="false">IF(AB1340=1,IF(COUNTIFS($B$5:B1340,B1340,$D$5:D1340,D1340,$AB$5:AB1340,1)=1,1,0),0)</f>
        <v>0</v>
      </c>
    </row>
    <row r="1341" customFormat="false" ht="15" hidden="false" customHeight="false" outlineLevel="0" collapsed="false">
      <c r="A1341" s="48" t="str">
        <f aca="false">STACK!A1341</f>
        <v>WCH-0234</v>
      </c>
      <c r="B1341" s="48" t="str">
        <f aca="false">STACK!B1341</f>
        <v>WCH</v>
      </c>
      <c r="C1341" s="48" t="str">
        <f aca="false">STACK!E1341</f>
        <v>rural maternal study</v>
      </c>
      <c r="D1341" s="1" t="str">
        <f aca="false">IFERROR(INDEX(MAP!$J$7:$J$101,MATCH(TRIM(C1341),MAP!$I$7:$I$101,0)),"UNMAPPED")</f>
        <v>Rural Maternal Outcomes Study</v>
      </c>
      <c r="E1341" s="1" t="str">
        <f aca="false">IFERROR(INDEX(MAP!$K$7:$K$101,MATCH(TRIM(C1341),MAP!$I$7:$I$101,0)),"")</f>
        <v>Maternal and child health</v>
      </c>
      <c r="F1341" s="1" t="str">
        <f aca="false">IFERROR(INDEX(MAP!$L$7:$L$101,MATCH(TRIM(C1341),MAP!$I$7:$I$101,0)),"")</f>
        <v>Monthly</v>
      </c>
      <c r="G1341" s="1" t="n">
        <f aca="false">IFERROR(MATCH(A1341,CONFIRM!$A$5:$A$53,0),0)</f>
        <v>0</v>
      </c>
      <c r="H1341" s="48" t="str">
        <f aca="false">STACK!F1341</f>
        <v>research</v>
      </c>
      <c r="I1341" s="1" t="str">
        <f aca="false">IF(G1341&gt;0,IF(INDEX(CONFIRM!$I$5:$I$53,G1341)&lt;&gt;"",INDEX(CONFIRM!$I$5:$I$53,G1341),H1341),H1341)</f>
        <v>research</v>
      </c>
      <c r="J1341" s="1" t="str">
        <f aca="false">IFERROR(INDEX(MAP!$F$7:$F$74,MATCH(TRIM(I1341),MAP!$E$7:$E$74,0)),"UNMAPPED")</f>
        <v>Research</v>
      </c>
      <c r="K1341" s="1" t="str">
        <f aca="false">IFERROR(INDEX(MAP!$G$7:$G$74,MATCH(TRIM(I1341),MAP!$E$7:$E$74,0)),"UNMAPPED")</f>
        <v>7h</v>
      </c>
      <c r="L1341" s="49" t="str">
        <f aca="false">STACK!G1341</f>
        <v>April 30, 2026</v>
      </c>
      <c r="M1341" s="59" t="n">
        <f aca="false">IF(G1341&gt;0,IF(INDEX(CONFIRM!$G$5:$G$53,G1341)&lt;&gt;"",INDEX(CONFIRM!$G$5:$G$53,G1341),IF(ISNUMBER(L1341),L1341,IFERROR(DATEVALUE(L1341),""))),IF(ISNUMBER(L1341),L1341,IFERROR(DATEVALUE(L1341),"")))</f>
        <v>46142</v>
      </c>
      <c r="N1341" s="1" t="str">
        <f aca="false">IF(M1341="","Check",IF(AND(M1341&gt;=INPUTS!$C$6,M1341&lt;=INPUTS!$C$7),"Yes","No"))</f>
        <v>Yes</v>
      </c>
      <c r="O1341" s="48" t="str">
        <f aca="false">STACK!H1341</f>
        <v>Clinical Research Coord</v>
      </c>
      <c r="P1341" s="1" t="str">
        <f aca="false">IF(G1341&gt;0,IF(INDEX(CONFIRM!$H$5:$H$53,G1341)&lt;&gt;"",INDEX(CONFIRM!$H$5:$H$53,G1341),IFERROR(INDEX(MAP!$B$7:$B$156,MATCH(TRIM(O1341),MAP!$A$7:$A$156,0)),"UNMAPPED")),IFERROR(INDEX(MAP!$B$7:$B$156,MATCH(TRIM(O1341),MAP!$A$7:$A$156,0)),"UNMAPPED"))</f>
        <v>Research Coordinator</v>
      </c>
      <c r="Q1341" s="48" t="n">
        <f aca="false">STACK!I1341</f>
        <v>41.75</v>
      </c>
      <c r="R1341" s="60" t="n">
        <f aca="false">IF(G1341&gt;0,IF(INDEX(CONFIRM!$F$5:$F$53,G1341)&lt;&gt;"",INDEX(CONFIRM!$F$5:$F$53,G1341),IF(ISNUMBER(Q1341),Q1341,IF(Q1341="","",IFERROR(VALUE(TRIM(SUBSTITUTE(SUBSTITUTE(LOWER(Q1341),"hrs",""),"hr",""))),"")))),IF(ISNUMBER(Q1341),Q1341,IF(Q1341="","",IFERROR(VALUE(TRIM(SUBSTITUTE(SUBSTITUTE(LOWER(Q1341),"hrs",""),"hr",""))),""))))</f>
        <v>41.75</v>
      </c>
      <c r="S1341" s="57" t="n">
        <f aca="false">IFERROR(INDEX(RATES!$E$6:$E$28,MATCH(P1341,RATES!$A$6:$A$28,0)),0)</f>
        <v>42.405</v>
      </c>
      <c r="T1341" s="61" t="n">
        <f aca="false">IF(ISNUMBER(R1341),R1341,0)*S1341</f>
        <v>1770.40875</v>
      </c>
      <c r="U1341" s="61" t="n">
        <f aca="false">T1341*INDEX(INPUTS!$H$10:$H$14,MATCH(B1341,INPUTS!$A$10:$A$14,0))</f>
        <v>249.62763375</v>
      </c>
      <c r="V1341" s="61" t="n">
        <f aca="false">N(STACK!K1341)</f>
        <v>1780</v>
      </c>
      <c r="W1341" s="61" t="n">
        <f aca="false">T1341+U1341+V1341</f>
        <v>3800.03638375</v>
      </c>
      <c r="X1341" s="61" t="n">
        <f aca="false">N(STACK!L1341)</f>
        <v>4585</v>
      </c>
      <c r="Y1341" s="61" t="n">
        <f aca="false">W1341-X1341</f>
        <v>-784.96361625</v>
      </c>
      <c r="Z1341" s="1" t="n">
        <f aca="false">N(STACK!J1341)</f>
        <v>17</v>
      </c>
      <c r="AA1341" s="1" t="str">
        <f aca="false">TRIM(IF(D1341="UNMAPPED","Program not mapped. ","")&amp;IF(OR(K1341="UNMAPPED",K1341="UNASSIGNED"),"Category needs review. ","")&amp;IF(P1341="UNMAPPED","Title not mapped. ","")&amp;IF(AND(P1341&lt;&gt;"No staff time",R1341=""),"Missing hours. ","")&amp;IF(M1341="","Date not readable. ","")&amp;IF(N1341="No","Outside fiscal year. ","")&amp;IF(AND(F1341="Event",ISNUMBER(R1341)),IF(R1341&gt;12,"Event hours look high. ",""),"")&amp;IF(G1341&gt;0,"See CONFIRM sheet.",""))</f>
        <v/>
      </c>
      <c r="AB1341" s="1" t="n">
        <f aca="false">IF(N1341="No",0,IF(REVIEW!O1341=0,0,IF(G1341&gt;0,IF(INDEX(CONFIRM!$J$5:$J$53,G1341)&lt;&gt;"",INDEX(CONFIRM!$J$5:$J$53,G1341),1),1)))</f>
        <v>1</v>
      </c>
      <c r="AC1341" s="1" t="n">
        <f aca="false">IF(AB1341=1,IF(COUNTIFS($B$5:B1341,B1341,$D$5:D1341,D1341,$AB$5:AB1341,1)=1,1,0),0)</f>
        <v>0</v>
      </c>
    </row>
    <row r="1342" customFormat="false" ht="15" hidden="false" customHeight="false" outlineLevel="0" collapsed="false">
      <c r="A1342" s="48" t="str">
        <f aca="false">STACK!A1342</f>
        <v>WCH-0235</v>
      </c>
      <c r="B1342" s="48" t="str">
        <f aca="false">STACK!B1342</f>
        <v>WCH</v>
      </c>
      <c r="C1342" s="48" t="str">
        <f aca="false">STACK!E1342</f>
        <v>youth pathway</v>
      </c>
      <c r="D1342" s="1" t="str">
        <f aca="false">IFERROR(INDEX(MAP!$J$7:$J$101,MATCH(TRIM(C1342),MAP!$I$7:$I$101,0)),"UNMAPPED")</f>
        <v>Youth Health Careers Pathway</v>
      </c>
      <c r="E1342" s="1" t="str">
        <f aca="false">IFERROR(INDEX(MAP!$K$7:$K$101,MATCH(TRIM(C1342),MAP!$I$7:$I$101,0)),"")</f>
        <v>Health workforce</v>
      </c>
      <c r="F1342" s="1" t="str">
        <f aca="false">IFERROR(INDEX(MAP!$L$7:$L$101,MATCH(TRIM(C1342),MAP!$I$7:$I$101,0)),"")</f>
        <v>Event</v>
      </c>
      <c r="G1342" s="1" t="n">
        <f aca="false">IFERROR(MATCH(A1342,CONFIRM!$A$5:$A$53,0),0)</f>
        <v>43</v>
      </c>
      <c r="H1342" s="48" t="str">
        <f aca="false">STACK!F1342</f>
        <v>community building</v>
      </c>
      <c r="I1342" s="1" t="str">
        <f aca="false">IF(G1342&gt;0,IF(INDEX(CONFIRM!$I$5:$I$53,G1342)&lt;&gt;"",INDEX(CONFIRM!$I$5:$I$53,G1342),H1342),H1342)</f>
        <v>Community building: workforce development</v>
      </c>
      <c r="J1342" s="1" t="str">
        <f aca="false">IFERROR(INDEX(MAP!$F$7:$F$74,MATCH(TRIM(I1342),MAP!$E$7:$E$74,0)),"UNMAPPED")</f>
        <v>Community building: workforce development</v>
      </c>
      <c r="K1342" s="1" t="str">
        <f aca="false">IFERROR(INDEX(MAP!$G$7:$G$74,MATCH(TRIM(I1342),MAP!$E$7:$E$74,0)),"UNMAPPED")</f>
        <v>II-8</v>
      </c>
      <c r="L1342" s="49" t="str">
        <f aca="false">STACK!G1342</f>
        <v>5/16/26</v>
      </c>
      <c r="M1342" s="59" t="n">
        <f aca="false">IF(G1342&gt;0,IF(INDEX(CONFIRM!$G$5:$G$53,G1342)&lt;&gt;"",INDEX(CONFIRM!$G$5:$G$53,G1342),IF(ISNUMBER(L1342),L1342,IFERROR(DATEVALUE(L1342),""))),IF(ISNUMBER(L1342),L1342,IFERROR(DATEVALUE(L1342),"")))</f>
        <v>46158</v>
      </c>
      <c r="N1342" s="1" t="str">
        <f aca="false">IF(M1342="","Check",IF(AND(M1342&gt;=INPUTS!$C$6,M1342&lt;=INPUTS!$C$7),"Yes","No"))</f>
        <v>Yes</v>
      </c>
      <c r="O1342" s="48" t="str">
        <f aca="false">STACK!H1342</f>
        <v>Nurse Educator</v>
      </c>
      <c r="P1342" s="1" t="str">
        <f aca="false">IF(G1342&gt;0,IF(INDEX(CONFIRM!$H$5:$H$53,G1342)&lt;&gt;"",INDEX(CONFIRM!$H$5:$H$53,G1342),IFERROR(INDEX(MAP!$B$7:$B$156,MATCH(TRIM(O1342),MAP!$A$7:$A$156,0)),"UNMAPPED")),IFERROR(INDEX(MAP!$B$7:$B$156,MATCH(TRIM(O1342),MAP!$A$7:$A$156,0)),"UNMAPPED"))</f>
        <v>Clinical Nurse Educator</v>
      </c>
      <c r="Q1342" s="48" t="n">
        <f aca="false">STACK!I1342</f>
        <v>3.75</v>
      </c>
      <c r="R1342" s="60" t="n">
        <f aca="false">IF(G1342&gt;0,IF(INDEX(CONFIRM!$F$5:$F$53,G1342)&lt;&gt;"",INDEX(CONFIRM!$F$5:$F$53,G1342),IF(ISNUMBER(Q1342),Q1342,IF(Q1342="","",IFERROR(VALUE(TRIM(SUBSTITUTE(SUBSTITUTE(LOWER(Q1342),"hrs",""),"hr",""))),"")))),IF(ISNUMBER(Q1342),Q1342,IF(Q1342="","",IFERROR(VALUE(TRIM(SUBSTITUTE(SUBSTITUTE(LOWER(Q1342),"hrs",""),"hr",""))),""))))</f>
        <v>3.75</v>
      </c>
      <c r="S1342" s="57" t="n">
        <f aca="false">IFERROR(INDEX(RATES!$E$6:$E$28,MATCH(P1342,RATES!$A$6:$A$28,0)),0)</f>
        <v>62.965</v>
      </c>
      <c r="T1342" s="61" t="n">
        <f aca="false">IF(ISNUMBER(R1342),R1342,0)*S1342</f>
        <v>236.11875</v>
      </c>
      <c r="U1342" s="61" t="n">
        <f aca="false">T1342*INDEX(INPUTS!$H$10:$H$14,MATCH(B1342,INPUTS!$A$10:$A$14,0))</f>
        <v>33.29274375</v>
      </c>
      <c r="V1342" s="61" t="n">
        <f aca="false">N(STACK!K1342)</f>
        <v>0</v>
      </c>
      <c r="W1342" s="61" t="n">
        <f aca="false">T1342+U1342+V1342</f>
        <v>269.41149375</v>
      </c>
      <c r="X1342" s="61" t="n">
        <f aca="false">N(STACK!L1342)</f>
        <v>0</v>
      </c>
      <c r="Y1342" s="61" t="n">
        <f aca="false">W1342-X1342</f>
        <v>269.41149375</v>
      </c>
      <c r="Z1342" s="1" t="n">
        <f aca="false">N(STACK!J1342)</f>
        <v>0</v>
      </c>
      <c r="AA1342" s="1" t="str">
        <f aca="false">TRIM(IF(D1342="UNMAPPED","Program not mapped. ","")&amp;IF(OR(K1342="UNMAPPED",K1342="UNASSIGNED"),"Category needs review. ","")&amp;IF(P1342="UNMAPPED","Title not mapped. ","")&amp;IF(AND(P1342&lt;&gt;"No staff time",R1342=""),"Missing hours. ","")&amp;IF(M1342="","Date not readable. ","")&amp;IF(N1342="No","Outside fiscal year. ","")&amp;IF(AND(F1342="Event",ISNUMBER(R1342)),IF(R1342&gt;12,"Event hours look high. ",""),"")&amp;IF(G1342&gt;0,"See CONFIRM sheet.",""))</f>
        <v>See CONFIRM sheet.</v>
      </c>
      <c r="AB1342" s="1" t="n">
        <f aca="false">IF(N1342="No",0,IF(REVIEW!O1342=0,0,IF(G1342&gt;0,IF(INDEX(CONFIRM!$J$5:$J$53,G1342)&lt;&gt;"",INDEX(CONFIRM!$J$5:$J$53,G1342),1),1)))</f>
        <v>1</v>
      </c>
      <c r="AC1342" s="1" t="n">
        <f aca="false">IF(AB1342=1,IF(COUNTIFS($B$5:B1342,B1342,$D$5:D1342,D1342,$AB$5:AB1342,1)=1,1,0),0)</f>
        <v>0</v>
      </c>
    </row>
    <row r="1343" customFormat="false" ht="15" hidden="false" customHeight="false" outlineLevel="0" collapsed="false">
      <c r="A1343" s="48" t="str">
        <f aca="false">STACK!A1343</f>
        <v>WCH-0236</v>
      </c>
      <c r="B1343" s="48" t="str">
        <f aca="false">STACK!B1343</f>
        <v>WCH</v>
      </c>
      <c r="C1343" s="48" t="str">
        <f aca="false">STACK!E1343</f>
        <v>youth pathway</v>
      </c>
      <c r="D1343" s="1" t="str">
        <f aca="false">IFERROR(INDEX(MAP!$J$7:$J$101,MATCH(TRIM(C1343),MAP!$I$7:$I$101,0)),"UNMAPPED")</f>
        <v>Youth Health Careers Pathway</v>
      </c>
      <c r="E1343" s="1" t="str">
        <f aca="false">IFERROR(INDEX(MAP!$K$7:$K$101,MATCH(TRIM(C1343),MAP!$I$7:$I$101,0)),"")</f>
        <v>Health workforce</v>
      </c>
      <c r="F1343" s="1" t="str">
        <f aca="false">IFERROR(INDEX(MAP!$L$7:$L$101,MATCH(TRIM(C1343),MAP!$I$7:$I$101,0)),"")</f>
        <v>Event</v>
      </c>
      <c r="G1343" s="1" t="n">
        <f aca="false">IFERROR(MATCH(A1343,CONFIRM!$A$5:$A$53,0),0)</f>
        <v>44</v>
      </c>
      <c r="H1343" s="48" t="str">
        <f aca="false">STACK!F1343</f>
        <v>community building</v>
      </c>
      <c r="I1343" s="1" t="str">
        <f aca="false">IF(G1343&gt;0,IF(INDEX(CONFIRM!$I$5:$I$53,G1343)&lt;&gt;"",INDEX(CONFIRM!$I$5:$I$53,G1343),H1343),H1343)</f>
        <v>Community building: workforce development</v>
      </c>
      <c r="J1343" s="1" t="str">
        <f aca="false">IFERROR(INDEX(MAP!$F$7:$F$74,MATCH(TRIM(I1343),MAP!$E$7:$E$74,0)),"UNMAPPED")</f>
        <v>Community building: workforce development</v>
      </c>
      <c r="K1343" s="1" t="str">
        <f aca="false">IFERROR(INDEX(MAP!$G$7:$G$74,MATCH(TRIM(I1343),MAP!$E$7:$E$74,0)),"UNMAPPED")</f>
        <v>II-8</v>
      </c>
      <c r="L1343" s="49" t="n">
        <f aca="false">STACK!G1343</f>
        <v>46158</v>
      </c>
      <c r="M1343" s="59" t="n">
        <f aca="false">IF(G1343&gt;0,IF(INDEX(CONFIRM!$G$5:$G$53,G1343)&lt;&gt;"",INDEX(CONFIRM!$G$5:$G$53,G1343),IF(ISNUMBER(L1343),L1343,IFERROR(DATEVALUE(L1343),""))),IF(ISNUMBER(L1343),L1343,IFERROR(DATEVALUE(L1343),"")))</f>
        <v>46158</v>
      </c>
      <c r="N1343" s="1" t="str">
        <f aca="false">IF(M1343="","Check",IF(AND(M1343&gt;=INPUTS!$C$6,M1343&lt;=INPUTS!$C$7),"Yes","No"))</f>
        <v>Yes</v>
      </c>
      <c r="O1343" s="48" t="str">
        <f aca="false">STACK!H1343</f>
        <v>Program Coordinator</v>
      </c>
      <c r="P1343" s="1" t="str">
        <f aca="false">IF(G1343&gt;0,IF(INDEX(CONFIRM!$H$5:$H$53,G1343)&lt;&gt;"",INDEX(CONFIRM!$H$5:$H$53,G1343),IFERROR(INDEX(MAP!$B$7:$B$156,MATCH(TRIM(O1343),MAP!$A$7:$A$156,0)),"UNMAPPED")),IFERROR(INDEX(MAP!$B$7:$B$156,MATCH(TRIM(O1343),MAP!$A$7:$A$156,0)),"UNMAPPED"))</f>
        <v>Program Coordinator</v>
      </c>
      <c r="Q1343" s="48" t="str">
        <f aca="false">STACK!I1343</f>
        <v>7.25 hr</v>
      </c>
      <c r="R1343" s="60" t="n">
        <f aca="false">IF(G1343&gt;0,IF(INDEX(CONFIRM!$F$5:$F$53,G1343)&lt;&gt;"",INDEX(CONFIRM!$F$5:$F$53,G1343),IF(ISNUMBER(Q1343),Q1343,IF(Q1343="","",IFERROR(VALUE(TRIM(SUBSTITUTE(SUBSTITUTE(LOWER(Q1343),"hrs",""),"hr",""))),"")))),IF(ISNUMBER(Q1343),Q1343,IF(Q1343="","",IFERROR(VALUE(TRIM(SUBSTITUTE(SUBSTITUTE(LOWER(Q1343),"hrs",""),"hr",""))),""))))</f>
        <v>7.25</v>
      </c>
      <c r="S1343" s="57" t="n">
        <f aca="false">IFERROR(INDEX(RATES!$E$6:$E$28,MATCH(P1343,RATES!$A$6:$A$28,0)),0)</f>
        <v>35.3375</v>
      </c>
      <c r="T1343" s="61" t="n">
        <f aca="false">IF(ISNUMBER(R1343),R1343,0)*S1343</f>
        <v>256.196875</v>
      </c>
      <c r="U1343" s="61" t="n">
        <f aca="false">T1343*INDEX(INPUTS!$H$10:$H$14,MATCH(B1343,INPUTS!$A$10:$A$14,0))</f>
        <v>36.123759375</v>
      </c>
      <c r="V1343" s="61" t="n">
        <f aca="false">N(STACK!K1343)</f>
        <v>1710</v>
      </c>
      <c r="W1343" s="61" t="n">
        <f aca="false">T1343+U1343+V1343</f>
        <v>2002.320634375</v>
      </c>
      <c r="X1343" s="61" t="n">
        <f aca="false">N(STACK!L1343)</f>
        <v>0</v>
      </c>
      <c r="Y1343" s="61" t="n">
        <f aca="false">W1343-X1343</f>
        <v>2002.320634375</v>
      </c>
      <c r="Z1343" s="1" t="n">
        <f aca="false">N(STACK!J1343)</f>
        <v>37</v>
      </c>
      <c r="AA1343" s="1" t="str">
        <f aca="false">TRIM(IF(D1343="UNMAPPED","Program not mapped. ","")&amp;IF(OR(K1343="UNMAPPED",K1343="UNASSIGNED"),"Category needs review. ","")&amp;IF(P1343="UNMAPPED","Title not mapped. ","")&amp;IF(AND(P1343&lt;&gt;"No staff time",R1343=""),"Missing hours. ","")&amp;IF(M1343="","Date not readable. ","")&amp;IF(N1343="No","Outside fiscal year. ","")&amp;IF(AND(F1343="Event",ISNUMBER(R1343)),IF(R1343&gt;12,"Event hours look high. ",""),"")&amp;IF(G1343&gt;0,"See CONFIRM sheet.",""))</f>
        <v>See CONFIRM sheet.</v>
      </c>
      <c r="AB1343" s="1" t="n">
        <f aca="false">IF(N1343="No",0,IF(REVIEW!O1343=0,0,IF(G1343&gt;0,IF(INDEX(CONFIRM!$J$5:$J$53,G1343)&lt;&gt;"",INDEX(CONFIRM!$J$5:$J$53,G1343),1),1)))</f>
        <v>1</v>
      </c>
      <c r="AC1343" s="1" t="n">
        <f aca="false">IF(AB1343=1,IF(COUNTIFS($B$5:B1343,B1343,$D$5:D1343,D1343,$AB$5:AB1343,1)=1,1,0),0)</f>
        <v>0</v>
      </c>
    </row>
    <row r="1344" customFormat="false" ht="15" hidden="false" customHeight="false" outlineLevel="0" collapsed="false">
      <c r="A1344" s="48" t="str">
        <f aca="false">STACK!A1344</f>
        <v>WCH-0237</v>
      </c>
      <c r="B1344" s="48" t="str">
        <f aca="false">STACK!B1344</f>
        <v>WCH</v>
      </c>
      <c r="C1344" s="48" t="str">
        <f aca="false">STACK!E1344</f>
        <v>narcan training</v>
      </c>
      <c r="D1344" s="1" t="str">
        <f aca="false">IFERROR(INDEX(MAP!$J$7:$J$101,MATCH(TRIM(C1344),MAP!$I$7:$I$101,0)),"UNMAPPED")</f>
        <v>Naloxone Training and Distribution</v>
      </c>
      <c r="E1344" s="1" t="str">
        <f aca="false">IFERROR(INDEX(MAP!$K$7:$K$101,MATCH(TRIM(C1344),MAP!$I$7:$I$101,0)),"")</f>
        <v>Behavioral health</v>
      </c>
      <c r="F1344" s="1" t="str">
        <f aca="false">IFERROR(INDEX(MAP!$L$7:$L$101,MATCH(TRIM(C1344),MAP!$I$7:$I$101,0)),"")</f>
        <v>Event</v>
      </c>
      <c r="G1344" s="1" t="n">
        <f aca="false">IFERROR(MATCH(A1344,CONFIRM!$A$5:$A$53,0),0)</f>
        <v>0</v>
      </c>
      <c r="H1344" s="48" t="str">
        <f aca="false">STACK!F1344</f>
        <v>community health improvement services</v>
      </c>
      <c r="I1344" s="1" t="str">
        <f aca="false">IF(G1344&gt;0,IF(INDEX(CONFIRM!$I$5:$I$53,G1344)&lt;&gt;"",INDEX(CONFIRM!$I$5:$I$53,G1344),H1344),H1344)</f>
        <v>community health improvement services</v>
      </c>
      <c r="J1344" s="1" t="str">
        <f aca="false">IFERROR(INDEX(MAP!$F$7:$F$74,MATCH(TRIM(I1344),MAP!$E$7:$E$74,0)),"UNMAPPED")</f>
        <v>Community health education</v>
      </c>
      <c r="K1344" s="1" t="str">
        <f aca="false">IFERROR(INDEX(MAP!$G$7:$G$74,MATCH(TRIM(I1344),MAP!$E$7:$E$74,0)),"UNMAPPED")</f>
        <v>7e</v>
      </c>
      <c r="L1344" s="49" t="str">
        <f aca="false">STACK!G1344</f>
        <v>May 23, 2026</v>
      </c>
      <c r="M1344" s="59" t="n">
        <f aca="false">IF(G1344&gt;0,IF(INDEX(CONFIRM!$G$5:$G$53,G1344)&lt;&gt;"",INDEX(CONFIRM!$G$5:$G$53,G1344),IF(ISNUMBER(L1344),L1344,IFERROR(DATEVALUE(L1344),""))),IF(ISNUMBER(L1344),L1344,IFERROR(DATEVALUE(L1344),"")))</f>
        <v>46165</v>
      </c>
      <c r="N1344" s="1" t="str">
        <f aca="false">IF(M1344="","Check",IF(AND(M1344&gt;=INPUTS!$C$6,M1344&lt;=INPUTS!$C$7),"Yes","No"))</f>
        <v>Yes</v>
      </c>
      <c r="O1344" s="48" t="str">
        <f aca="false">STACK!H1344</f>
        <v>Health Educator</v>
      </c>
      <c r="P1344" s="1" t="str">
        <f aca="false">IF(G1344&gt;0,IF(INDEX(CONFIRM!$H$5:$H$53,G1344)&lt;&gt;"",INDEX(CONFIRM!$H$5:$H$53,G1344),IFERROR(INDEX(MAP!$B$7:$B$156,MATCH(TRIM(O1344),MAP!$A$7:$A$156,0)),"UNMAPPED")),IFERROR(INDEX(MAP!$B$7:$B$156,MATCH(TRIM(O1344),MAP!$A$7:$A$156,0)),"UNMAPPED"))</f>
        <v>Health Educator</v>
      </c>
      <c r="Q1344" s="48" t="n">
        <f aca="false">STACK!I1344</f>
        <v>2.25</v>
      </c>
      <c r="R1344" s="60" t="n">
        <f aca="false">IF(G1344&gt;0,IF(INDEX(CONFIRM!$F$5:$F$53,G1344)&lt;&gt;"",INDEX(CONFIRM!$F$5:$F$53,G1344),IF(ISNUMBER(Q1344),Q1344,IF(Q1344="","",IFERROR(VALUE(TRIM(SUBSTITUTE(SUBSTITUTE(LOWER(Q1344),"hrs",""),"hr",""))),"")))),IF(ISNUMBER(Q1344),Q1344,IF(Q1344="","",IFERROR(VALUE(TRIM(SUBSTITUTE(SUBSTITUTE(LOWER(Q1344),"hrs",""),"hr",""))),""))))</f>
        <v>2.25</v>
      </c>
      <c r="S1344" s="57" t="n">
        <f aca="false">IFERROR(INDEX(RATES!$E$6:$E$28,MATCH(P1344,RATES!$A$6:$A$28,0)),0)</f>
        <v>37.265</v>
      </c>
      <c r="T1344" s="61" t="n">
        <f aca="false">IF(ISNUMBER(R1344),R1344,0)*S1344</f>
        <v>83.84625</v>
      </c>
      <c r="U1344" s="61" t="n">
        <f aca="false">T1344*INDEX(INPUTS!$H$10:$H$14,MATCH(B1344,INPUTS!$A$10:$A$14,0))</f>
        <v>11.82232125</v>
      </c>
      <c r="V1344" s="61" t="n">
        <f aca="false">N(STACK!K1344)</f>
        <v>0</v>
      </c>
      <c r="W1344" s="61" t="n">
        <f aca="false">T1344+U1344+V1344</f>
        <v>95.66857125</v>
      </c>
      <c r="X1344" s="61" t="n">
        <f aca="false">N(STACK!L1344)</f>
        <v>0</v>
      </c>
      <c r="Y1344" s="61" t="n">
        <f aca="false">W1344-X1344</f>
        <v>95.66857125</v>
      </c>
      <c r="Z1344" s="1" t="n">
        <f aca="false">N(STACK!J1344)</f>
        <v>0</v>
      </c>
      <c r="AA1344" s="1" t="str">
        <f aca="false">TRIM(IF(D1344="UNMAPPED","Program not mapped. ","")&amp;IF(OR(K1344="UNMAPPED",K1344="UNASSIGNED"),"Category needs review. ","")&amp;IF(P1344="UNMAPPED","Title not mapped. ","")&amp;IF(AND(P1344&lt;&gt;"No staff time",R1344=""),"Missing hours. ","")&amp;IF(M1344="","Date not readable. ","")&amp;IF(N1344="No","Outside fiscal year. ","")&amp;IF(AND(F1344="Event",ISNUMBER(R1344)),IF(R1344&gt;12,"Event hours look high. ",""),"")&amp;IF(G1344&gt;0,"See CONFIRM sheet.",""))</f>
        <v/>
      </c>
      <c r="AB1344" s="1" t="n">
        <f aca="false">IF(N1344="No",0,IF(REVIEW!O1344=0,0,IF(G1344&gt;0,IF(INDEX(CONFIRM!$J$5:$J$53,G1344)&lt;&gt;"",INDEX(CONFIRM!$J$5:$J$53,G1344),1),1)))</f>
        <v>1</v>
      </c>
      <c r="AC1344" s="1" t="n">
        <f aca="false">IF(AB1344=1,IF(COUNTIFS($B$5:B1344,B1344,$D$5:D1344,D1344,$AB$5:AB1344,1)=1,1,0),0)</f>
        <v>0</v>
      </c>
    </row>
    <row r="1345" customFormat="false" ht="15" hidden="false" customHeight="false" outlineLevel="0" collapsed="false">
      <c r="A1345" s="48" t="str">
        <f aca="false">STACK!A1345</f>
        <v>WCH-0238</v>
      </c>
      <c r="B1345" s="48" t="str">
        <f aca="false">STACK!B1345</f>
        <v>WCH</v>
      </c>
      <c r="C1345" s="48" t="str">
        <f aca="false">STACK!E1345</f>
        <v>narcan training</v>
      </c>
      <c r="D1345" s="1" t="str">
        <f aca="false">IFERROR(INDEX(MAP!$J$7:$J$101,MATCH(TRIM(C1345),MAP!$I$7:$I$101,0)),"UNMAPPED")</f>
        <v>Naloxone Training and Distribution</v>
      </c>
      <c r="E1345" s="1" t="str">
        <f aca="false">IFERROR(INDEX(MAP!$K$7:$K$101,MATCH(TRIM(C1345),MAP!$I$7:$I$101,0)),"")</f>
        <v>Behavioral health</v>
      </c>
      <c r="F1345" s="1" t="str">
        <f aca="false">IFERROR(INDEX(MAP!$L$7:$L$101,MATCH(TRIM(C1345),MAP!$I$7:$I$101,0)),"")</f>
        <v>Event</v>
      </c>
      <c r="G1345" s="1" t="n">
        <f aca="false">IFERROR(MATCH(A1345,CONFIRM!$A$5:$A$53,0),0)</f>
        <v>0</v>
      </c>
      <c r="H1345" s="48" t="str">
        <f aca="false">STACK!F1345</f>
        <v>community health improvement services</v>
      </c>
      <c r="I1345" s="1" t="str">
        <f aca="false">IF(G1345&gt;0,IF(INDEX(CONFIRM!$I$5:$I$53,G1345)&lt;&gt;"",INDEX(CONFIRM!$I$5:$I$53,G1345),H1345),H1345)</f>
        <v>community health improvement services</v>
      </c>
      <c r="J1345" s="1" t="str">
        <f aca="false">IFERROR(INDEX(MAP!$F$7:$F$74,MATCH(TRIM(I1345),MAP!$E$7:$E$74,0)),"UNMAPPED")</f>
        <v>Community health education</v>
      </c>
      <c r="K1345" s="1" t="str">
        <f aca="false">IFERROR(INDEX(MAP!$G$7:$G$74,MATCH(TRIM(I1345),MAP!$E$7:$E$74,0)),"UNMAPPED")</f>
        <v>7e</v>
      </c>
      <c r="L1345" s="49" t="n">
        <f aca="false">STACK!G1345</f>
        <v>46165</v>
      </c>
      <c r="M1345" s="59" t="n">
        <f aca="false">IF(G1345&gt;0,IF(INDEX(CONFIRM!$G$5:$G$53,G1345)&lt;&gt;"",INDEX(CONFIRM!$G$5:$G$53,G1345),IF(ISNUMBER(L1345),L1345,IFERROR(DATEVALUE(L1345),""))),IF(ISNUMBER(L1345),L1345,IFERROR(DATEVALUE(L1345),"")))</f>
        <v>46165</v>
      </c>
      <c r="N1345" s="1" t="str">
        <f aca="false">IF(M1345="","Check",IF(AND(M1345&gt;=INPUTS!$C$6,M1345&lt;=INPUTS!$C$7),"Yes","No"))</f>
        <v>Yes</v>
      </c>
      <c r="O1345" s="48" t="str">
        <f aca="false">STACK!H1345</f>
        <v>Clinical Pharmacist</v>
      </c>
      <c r="P1345" s="1" t="str">
        <f aca="false">IF(G1345&gt;0,IF(INDEX(CONFIRM!$H$5:$H$53,G1345)&lt;&gt;"",INDEX(CONFIRM!$H$5:$H$53,G1345),IFERROR(INDEX(MAP!$B$7:$B$156,MATCH(TRIM(O1345),MAP!$A$7:$A$156,0)),"UNMAPPED")),IFERROR(INDEX(MAP!$B$7:$B$156,MATCH(TRIM(O1345),MAP!$A$7:$A$156,0)),"UNMAPPED"))</f>
        <v>Pharmacist</v>
      </c>
      <c r="Q1345" s="48" t="n">
        <f aca="false">STACK!I1345</f>
        <v>2.5</v>
      </c>
      <c r="R1345" s="60" t="n">
        <f aca="false">IF(G1345&gt;0,IF(INDEX(CONFIRM!$F$5:$F$53,G1345)&lt;&gt;"",INDEX(CONFIRM!$F$5:$F$53,G1345),IF(ISNUMBER(Q1345),Q1345,IF(Q1345="","",IFERROR(VALUE(TRIM(SUBSTITUTE(SUBSTITUTE(LOWER(Q1345),"hrs",""),"hr",""))),"")))),IF(ISNUMBER(Q1345),Q1345,IF(Q1345="","",IFERROR(VALUE(TRIM(SUBSTITUTE(SUBSTITUTE(LOWER(Q1345),"hrs",""),"hr",""))),""))))</f>
        <v>2.5</v>
      </c>
      <c r="S1345" s="57" t="n">
        <f aca="false">IFERROR(INDEX(RATES!$E$6:$E$28,MATCH(P1345,RATES!$A$6:$A$28,0)),0)</f>
        <v>84.81</v>
      </c>
      <c r="T1345" s="61" t="n">
        <f aca="false">IF(ISNUMBER(R1345),R1345,0)*S1345</f>
        <v>212.025</v>
      </c>
      <c r="U1345" s="61" t="n">
        <f aca="false">T1345*INDEX(INPUTS!$H$10:$H$14,MATCH(B1345,INPUTS!$A$10:$A$14,0))</f>
        <v>29.895525</v>
      </c>
      <c r="V1345" s="61" t="n">
        <f aca="false">N(STACK!K1345)</f>
        <v>1385</v>
      </c>
      <c r="W1345" s="61" t="n">
        <f aca="false">T1345+U1345+V1345</f>
        <v>1626.920525</v>
      </c>
      <c r="X1345" s="61" t="n">
        <f aca="false">N(STACK!L1345)</f>
        <v>670</v>
      </c>
      <c r="Y1345" s="61" t="n">
        <f aca="false">W1345-X1345</f>
        <v>956.920525</v>
      </c>
      <c r="Z1345" s="1" t="n">
        <f aca="false">N(STACK!J1345)</f>
        <v>25</v>
      </c>
      <c r="AA1345" s="1" t="str">
        <f aca="false">TRIM(IF(D1345="UNMAPPED","Program not mapped. ","")&amp;IF(OR(K1345="UNMAPPED",K1345="UNASSIGNED"),"Category needs review. ","")&amp;IF(P1345="UNMAPPED","Title not mapped. ","")&amp;IF(AND(P1345&lt;&gt;"No staff time",R1345=""),"Missing hours. ","")&amp;IF(M1345="","Date not readable. ","")&amp;IF(N1345="No","Outside fiscal year. ","")&amp;IF(AND(F1345="Event",ISNUMBER(R1345)),IF(R1345&gt;12,"Event hours look high. ",""),"")&amp;IF(G1345&gt;0,"See CONFIRM sheet.",""))</f>
        <v/>
      </c>
      <c r="AB1345" s="1" t="n">
        <f aca="false">IF(N1345="No",0,IF(REVIEW!O1345=0,0,IF(G1345&gt;0,IF(INDEX(CONFIRM!$J$5:$J$53,G1345)&lt;&gt;"",INDEX(CONFIRM!$J$5:$J$53,G1345),1),1)))</f>
        <v>1</v>
      </c>
      <c r="AC1345" s="1" t="n">
        <f aca="false">IF(AB1345=1,IF(COUNTIFS($B$5:B1345,B1345,$D$5:D1345,D1345,$AB$5:AB1345,1)=1,1,0),0)</f>
        <v>0</v>
      </c>
    </row>
    <row r="1346" customFormat="false" ht="15" hidden="false" customHeight="false" outlineLevel="0" collapsed="false">
      <c r="A1346" s="48" t="str">
        <f aca="false">STACK!A1346</f>
        <v>WCH-0239</v>
      </c>
      <c r="B1346" s="48" t="str">
        <f aca="false">STACK!B1346</f>
        <v>WCH</v>
      </c>
      <c r="C1346" s="48" t="str">
        <f aca="false">STACK!E1346</f>
        <v>grief group</v>
      </c>
      <c r="D1346" s="1" t="str">
        <f aca="false">IFERROR(INDEX(MAP!$J$7:$J$101,MATCH(TRIM(C1346),MAP!$I$7:$I$101,0)),"UNMAPPED")</f>
        <v>Grief Support Group</v>
      </c>
      <c r="E1346" s="1" t="str">
        <f aca="false">IFERROR(INDEX(MAP!$K$7:$K$101,MATCH(TRIM(C1346),MAP!$I$7:$I$101,0)),"")</f>
        <v>Behavioral health</v>
      </c>
      <c r="F1346" s="1" t="str">
        <f aca="false">IFERROR(INDEX(MAP!$L$7:$L$101,MATCH(TRIM(C1346),MAP!$I$7:$I$101,0)),"")</f>
        <v>Event</v>
      </c>
      <c r="G1346" s="1" t="n">
        <f aca="false">IFERROR(MATCH(A1346,CONFIRM!$A$5:$A$53,0),0)</f>
        <v>0</v>
      </c>
      <c r="H1346" s="48" t="str">
        <f aca="false">STACK!F1346</f>
        <v>CHIS support</v>
      </c>
      <c r="I1346" s="1" t="str">
        <f aca="false">IF(G1346&gt;0,IF(INDEX(CONFIRM!$I$5:$I$53,G1346)&lt;&gt;"",INDEX(CONFIRM!$I$5:$I$53,G1346),H1346),H1346)</f>
        <v>CHIS support</v>
      </c>
      <c r="J1346" s="1" t="str">
        <f aca="false">IFERROR(INDEX(MAP!$F$7:$F$74,MATCH(TRIM(I1346),MAP!$E$7:$E$74,0)),"UNMAPPED")</f>
        <v>Health care support services</v>
      </c>
      <c r="K1346" s="1" t="str">
        <f aca="false">IFERROR(INDEX(MAP!$G$7:$G$74,MATCH(TRIM(I1346),MAP!$E$7:$E$74,0)),"UNMAPPED")</f>
        <v>7e</v>
      </c>
      <c r="L1346" s="49" t="str">
        <f aca="false">STACK!G1346</f>
        <v>May 26, 2026</v>
      </c>
      <c r="M1346" s="59" t="n">
        <f aca="false">IF(G1346&gt;0,IF(INDEX(CONFIRM!$G$5:$G$53,G1346)&lt;&gt;"",INDEX(CONFIRM!$G$5:$G$53,G1346),IF(ISNUMBER(L1346),L1346,IFERROR(DATEVALUE(L1346),""))),IF(ISNUMBER(L1346),L1346,IFERROR(DATEVALUE(L1346),"")))</f>
        <v>46168</v>
      </c>
      <c r="N1346" s="1" t="str">
        <f aca="false">IF(M1346="","Check",IF(AND(M1346&gt;=INPUTS!$C$6,M1346&lt;=INPUTS!$C$7),"Yes","No"))</f>
        <v>Yes</v>
      </c>
      <c r="O1346" s="48" t="str">
        <f aca="false">STACK!H1346</f>
        <v>Pastoral Care</v>
      </c>
      <c r="P1346" s="1" t="str">
        <f aca="false">IF(G1346&gt;0,IF(INDEX(CONFIRM!$H$5:$H$53,G1346)&lt;&gt;"",INDEX(CONFIRM!$H$5:$H$53,G1346),IFERROR(INDEX(MAP!$B$7:$B$156,MATCH(TRIM(O1346),MAP!$A$7:$A$156,0)),"UNMAPPED")),IFERROR(INDEX(MAP!$B$7:$B$156,MATCH(TRIM(O1346),MAP!$A$7:$A$156,0)),"UNMAPPED"))</f>
        <v>Chaplain</v>
      </c>
      <c r="Q1346" s="48" t="str">
        <f aca="false">STACK!I1346</f>
        <v>2.25 hr</v>
      </c>
      <c r="R1346" s="60" t="n">
        <f aca="false">IF(G1346&gt;0,IF(INDEX(CONFIRM!$F$5:$F$53,G1346)&lt;&gt;"",INDEX(CONFIRM!$F$5:$F$53,G1346),IF(ISNUMBER(Q1346),Q1346,IF(Q1346="","",IFERROR(VALUE(TRIM(SUBSTITUTE(SUBSTITUTE(LOWER(Q1346),"hrs",""),"hr",""))),"")))),IF(ISNUMBER(Q1346),Q1346,IF(Q1346="","",IFERROR(VALUE(TRIM(SUBSTITUTE(SUBSTITUTE(LOWER(Q1346),"hrs",""),"hr",""))),""))))</f>
        <v>2.25</v>
      </c>
      <c r="S1346" s="57" t="n">
        <f aca="false">IFERROR(INDEX(RATES!$E$6:$E$28,MATCH(P1346,RATES!$A$6:$A$28,0)),0)</f>
        <v>39.835</v>
      </c>
      <c r="T1346" s="61" t="n">
        <f aca="false">IF(ISNUMBER(R1346),R1346,0)*S1346</f>
        <v>89.62875</v>
      </c>
      <c r="U1346" s="61" t="n">
        <f aca="false">T1346*INDEX(INPUTS!$H$10:$H$14,MATCH(B1346,INPUTS!$A$10:$A$14,0))</f>
        <v>12.63765375</v>
      </c>
      <c r="V1346" s="61" t="n">
        <f aca="false">N(STACK!K1346)</f>
        <v>55</v>
      </c>
      <c r="W1346" s="61" t="n">
        <f aca="false">T1346+U1346+V1346</f>
        <v>157.26640375</v>
      </c>
      <c r="X1346" s="61" t="n">
        <f aca="false">N(STACK!L1346)</f>
        <v>0</v>
      </c>
      <c r="Y1346" s="61" t="n">
        <f aca="false">W1346-X1346</f>
        <v>157.26640375</v>
      </c>
      <c r="Z1346" s="1" t="n">
        <f aca="false">N(STACK!J1346)</f>
        <v>9</v>
      </c>
      <c r="AA1346" s="1" t="str">
        <f aca="false">TRIM(IF(D1346="UNMAPPED","Program not mapped. ","")&amp;IF(OR(K1346="UNMAPPED",K1346="UNASSIGNED"),"Category needs review. ","")&amp;IF(P1346="UNMAPPED","Title not mapped. ","")&amp;IF(AND(P1346&lt;&gt;"No staff time",R1346=""),"Missing hours. ","")&amp;IF(M1346="","Date not readable. ","")&amp;IF(N1346="No","Outside fiscal year. ","")&amp;IF(AND(F1346="Event",ISNUMBER(R1346)),IF(R1346&gt;12,"Event hours look high. ",""),"")&amp;IF(G1346&gt;0,"See CONFIRM sheet.",""))</f>
        <v/>
      </c>
      <c r="AB1346" s="1" t="n">
        <f aca="false">IF(N1346="No",0,IF(REVIEW!O1346=0,0,IF(G1346&gt;0,IF(INDEX(CONFIRM!$J$5:$J$53,G1346)&lt;&gt;"",INDEX(CONFIRM!$J$5:$J$53,G1346),1),1)))</f>
        <v>1</v>
      </c>
      <c r="AC1346" s="1" t="n">
        <f aca="false">IF(AB1346=1,IF(COUNTIFS($B$5:B1346,B1346,$D$5:D1346,D1346,$AB$5:AB1346,1)=1,1,0),0)</f>
        <v>0</v>
      </c>
    </row>
    <row r="1347" customFormat="false" ht="15" hidden="false" customHeight="false" outlineLevel="0" collapsed="false">
      <c r="A1347" s="48" t="str">
        <f aca="false">STACK!A1347</f>
        <v>WCH-0240</v>
      </c>
      <c r="B1347" s="48" t="str">
        <f aca="false">STACK!B1347</f>
        <v>WCH</v>
      </c>
      <c r="C1347" s="48" t="str">
        <f aca="false">STACK!E1347</f>
        <v>grief group</v>
      </c>
      <c r="D1347" s="1" t="str">
        <f aca="false">IFERROR(INDEX(MAP!$J$7:$J$101,MATCH(TRIM(C1347),MAP!$I$7:$I$101,0)),"UNMAPPED")</f>
        <v>Grief Support Group</v>
      </c>
      <c r="E1347" s="1" t="str">
        <f aca="false">IFERROR(INDEX(MAP!$K$7:$K$101,MATCH(TRIM(C1347),MAP!$I$7:$I$101,0)),"")</f>
        <v>Behavioral health</v>
      </c>
      <c r="F1347" s="1" t="str">
        <f aca="false">IFERROR(INDEX(MAP!$L$7:$L$101,MATCH(TRIM(C1347),MAP!$I$7:$I$101,0)),"")</f>
        <v>Event</v>
      </c>
      <c r="G1347" s="1" t="n">
        <f aca="false">IFERROR(MATCH(A1347,CONFIRM!$A$5:$A$53,0),0)</f>
        <v>0</v>
      </c>
      <c r="H1347" s="48" t="str">
        <f aca="false">STACK!F1347</f>
        <v>CHIS support</v>
      </c>
      <c r="I1347" s="1" t="str">
        <f aca="false">IF(G1347&gt;0,IF(INDEX(CONFIRM!$I$5:$I$53,G1347)&lt;&gt;"",INDEX(CONFIRM!$I$5:$I$53,G1347),H1347),H1347)</f>
        <v>CHIS support</v>
      </c>
      <c r="J1347" s="1" t="str">
        <f aca="false">IFERROR(INDEX(MAP!$F$7:$F$74,MATCH(TRIM(I1347),MAP!$E$7:$E$74,0)),"UNMAPPED")</f>
        <v>Health care support services</v>
      </c>
      <c r="K1347" s="1" t="str">
        <f aca="false">IFERROR(INDEX(MAP!$G$7:$G$74,MATCH(TRIM(I1347),MAP!$E$7:$E$74,0)),"UNMAPPED")</f>
        <v>7e</v>
      </c>
      <c r="L1347" s="49" t="str">
        <f aca="false">STACK!G1347</f>
        <v>May 26, 2026</v>
      </c>
      <c r="M1347" s="59" t="n">
        <f aca="false">IF(G1347&gt;0,IF(INDEX(CONFIRM!$G$5:$G$53,G1347)&lt;&gt;"",INDEX(CONFIRM!$G$5:$G$53,G1347),IF(ISNUMBER(L1347),L1347,IFERROR(DATEVALUE(L1347),""))),IF(ISNUMBER(L1347),L1347,IFERROR(DATEVALUE(L1347),"")))</f>
        <v>46168</v>
      </c>
      <c r="N1347" s="1" t="str">
        <f aca="false">IF(M1347="","Check",IF(AND(M1347&gt;=INPUTS!$C$6,M1347&lt;=INPUTS!$C$7),"Yes","No"))</f>
        <v>Yes</v>
      </c>
      <c r="O1347" s="48" t="str">
        <f aca="false">STACK!H1347</f>
        <v>LCSW</v>
      </c>
      <c r="P1347" s="1" t="str">
        <f aca="false">IF(G1347&gt;0,IF(INDEX(CONFIRM!$H$5:$H$53,G1347)&lt;&gt;"",INDEX(CONFIRM!$H$5:$H$53,G1347),IFERROR(INDEX(MAP!$B$7:$B$156,MATCH(TRIM(O1347),MAP!$A$7:$A$156,0)),"UNMAPPED")),IFERROR(INDEX(MAP!$B$7:$B$156,MATCH(TRIM(O1347),MAP!$A$7:$A$156,0)),"UNMAPPED"))</f>
        <v>Social Worker</v>
      </c>
      <c r="Q1347" s="48" t="n">
        <f aca="false">STACK!I1347</f>
        <v>2</v>
      </c>
      <c r="R1347" s="60" t="n">
        <f aca="false">IF(G1347&gt;0,IF(INDEX(CONFIRM!$F$5:$F$53,G1347)&lt;&gt;"",INDEX(CONFIRM!$F$5:$F$53,G1347),IF(ISNUMBER(Q1347),Q1347,IF(Q1347="","",IFERROR(VALUE(TRIM(SUBSTITUTE(SUBSTITUTE(LOWER(Q1347),"hrs",""),"hr",""))),"")))),IF(ISNUMBER(Q1347),Q1347,IF(Q1347="","",IFERROR(VALUE(TRIM(SUBSTITUTE(SUBSTITUTE(LOWER(Q1347),"hrs",""),"hr",""))),""))))</f>
        <v>2</v>
      </c>
      <c r="S1347" s="57" t="n">
        <f aca="false">IFERROR(INDEX(RATES!$E$6:$E$28,MATCH(P1347,RATES!$A$6:$A$28,0)),0)</f>
        <v>45.6175</v>
      </c>
      <c r="T1347" s="61" t="n">
        <f aca="false">IF(ISNUMBER(R1347),R1347,0)*S1347</f>
        <v>91.235</v>
      </c>
      <c r="U1347" s="61" t="n">
        <f aca="false">T1347*INDEX(INPUTS!$H$10:$H$14,MATCH(B1347,INPUTS!$A$10:$A$14,0))</f>
        <v>12.864135</v>
      </c>
      <c r="V1347" s="61" t="n">
        <f aca="false">N(STACK!K1347)</f>
        <v>0</v>
      </c>
      <c r="W1347" s="61" t="n">
        <f aca="false">T1347+U1347+V1347</f>
        <v>104.099135</v>
      </c>
      <c r="X1347" s="61" t="n">
        <f aca="false">N(STACK!L1347)</f>
        <v>0</v>
      </c>
      <c r="Y1347" s="61" t="n">
        <f aca="false">W1347-X1347</f>
        <v>104.099135</v>
      </c>
      <c r="Z1347" s="1" t="n">
        <f aca="false">N(STACK!J1347)</f>
        <v>0</v>
      </c>
      <c r="AA1347" s="1" t="str">
        <f aca="false">TRIM(IF(D1347="UNMAPPED","Program not mapped. ","")&amp;IF(OR(K1347="UNMAPPED",K1347="UNASSIGNED"),"Category needs review. ","")&amp;IF(P1347="UNMAPPED","Title not mapped. ","")&amp;IF(AND(P1347&lt;&gt;"No staff time",R1347=""),"Missing hours. ","")&amp;IF(M1347="","Date not readable. ","")&amp;IF(N1347="No","Outside fiscal year. ","")&amp;IF(AND(F1347="Event",ISNUMBER(R1347)),IF(R1347&gt;12,"Event hours look high. ",""),"")&amp;IF(G1347&gt;0,"See CONFIRM sheet.",""))</f>
        <v/>
      </c>
      <c r="AB1347" s="1" t="n">
        <f aca="false">IF(N1347="No",0,IF(REVIEW!O1347=0,0,IF(G1347&gt;0,IF(INDEX(CONFIRM!$J$5:$J$53,G1347)&lt;&gt;"",INDEX(CONFIRM!$J$5:$J$53,G1347),1),1)))</f>
        <v>1</v>
      </c>
      <c r="AC1347" s="1" t="n">
        <f aca="false">IF(AB1347=1,IF(COUNTIFS($B$5:B1347,B1347,$D$5:D1347,D1347,$AB$5:AB1347,1)=1,1,0),0)</f>
        <v>0</v>
      </c>
    </row>
    <row r="1348" customFormat="false" ht="15" hidden="false" customHeight="false" outlineLevel="0" collapsed="false">
      <c r="A1348" s="48" t="str">
        <f aca="false">STACK!A1348</f>
        <v>WCH-0241</v>
      </c>
      <c r="B1348" s="48" t="str">
        <f aca="false">STACK!B1348</f>
        <v>WCH</v>
      </c>
      <c r="C1348" s="48" t="str">
        <f aca="false">STACK!E1348</f>
        <v>mobile van screenings</v>
      </c>
      <c r="D1348" s="1" t="str">
        <f aca="false">IFERROR(INDEX(MAP!$J$7:$J$101,MATCH(TRIM(C1348),MAP!$I$7:$I$101,0)),"UNMAPPED")</f>
        <v>Mobile Health Screening Unit</v>
      </c>
      <c r="E1348" s="1" t="str">
        <f aca="false">IFERROR(INDEX(MAP!$K$7:$K$101,MATCH(TRIM(C1348),MAP!$I$7:$I$101,0)),"")</f>
        <v>Access to care</v>
      </c>
      <c r="F1348" s="1" t="str">
        <f aca="false">IFERROR(INDEX(MAP!$L$7:$L$101,MATCH(TRIM(C1348),MAP!$I$7:$I$101,0)),"")</f>
        <v>Monthly</v>
      </c>
      <c r="G1348" s="1" t="n">
        <f aca="false">IFERROR(MATCH(A1348,CONFIRM!$A$5:$A$53,0),0)</f>
        <v>0</v>
      </c>
      <c r="H1348" s="48" t="str">
        <f aca="false">STACK!F1348</f>
        <v>CHIS clinical</v>
      </c>
      <c r="I1348" s="1" t="str">
        <f aca="false">IF(G1348&gt;0,IF(INDEX(CONFIRM!$I$5:$I$53,G1348)&lt;&gt;"",INDEX(CONFIRM!$I$5:$I$53,G1348),H1348),H1348)</f>
        <v>CHIS clinical</v>
      </c>
      <c r="J1348" s="1" t="str">
        <f aca="false">IFERROR(INDEX(MAP!$F$7:$F$74,MATCH(TRIM(I1348),MAP!$E$7:$E$74,0)),"UNMAPPED")</f>
        <v>Community-based clinical services</v>
      </c>
      <c r="K1348" s="1" t="str">
        <f aca="false">IFERROR(INDEX(MAP!$G$7:$G$74,MATCH(TRIM(I1348),MAP!$E$7:$E$74,0)),"UNMAPPED")</f>
        <v>7e</v>
      </c>
      <c r="L1348" s="49" t="str">
        <f aca="false">STACK!G1348</f>
        <v>5/31/26</v>
      </c>
      <c r="M1348" s="59" t="n">
        <f aca="false">IF(G1348&gt;0,IF(INDEX(CONFIRM!$G$5:$G$53,G1348)&lt;&gt;"",INDEX(CONFIRM!$G$5:$G$53,G1348),IF(ISNUMBER(L1348),L1348,IFERROR(DATEVALUE(L1348),""))),IF(ISNUMBER(L1348),L1348,IFERROR(DATEVALUE(L1348),"")))</f>
        <v>46173</v>
      </c>
      <c r="N1348" s="1" t="str">
        <f aca="false">IF(M1348="","Check",IF(AND(M1348&gt;=INPUTS!$C$6,M1348&lt;=INPUTS!$C$7),"Yes","No"))</f>
        <v>Yes</v>
      </c>
      <c r="O1348" s="48" t="str">
        <f aca="false">STACK!H1348</f>
        <v>Comm Health Worker</v>
      </c>
      <c r="P1348" s="1" t="str">
        <f aca="false">IF(G1348&gt;0,IF(INDEX(CONFIRM!$H$5:$H$53,G1348)&lt;&gt;"",INDEX(CONFIRM!$H$5:$H$53,G1348),IFERROR(INDEX(MAP!$B$7:$B$156,MATCH(TRIM(O1348),MAP!$A$7:$A$156,0)),"UNMAPPED")),IFERROR(INDEX(MAP!$B$7:$B$156,MATCH(TRIM(O1348),MAP!$A$7:$A$156,0)),"UNMAPPED"))</f>
        <v>Community Health Worker</v>
      </c>
      <c r="Q1348" s="48" t="n">
        <f aca="false">STACK!I1348</f>
        <v>50.25</v>
      </c>
      <c r="R1348" s="60" t="n">
        <f aca="false">IF(G1348&gt;0,IF(INDEX(CONFIRM!$F$5:$F$53,G1348)&lt;&gt;"",INDEX(CONFIRM!$F$5:$F$53,G1348),IF(ISNUMBER(Q1348),Q1348,IF(Q1348="","",IFERROR(VALUE(TRIM(SUBSTITUTE(SUBSTITUTE(LOWER(Q1348),"hrs",""),"hr",""))),"")))),IF(ISNUMBER(Q1348),Q1348,IF(Q1348="","",IFERROR(VALUE(TRIM(SUBSTITUTE(SUBSTITUTE(LOWER(Q1348),"hrs",""),"hr",""))),""))))</f>
        <v>50.25</v>
      </c>
      <c r="S1348" s="57" t="n">
        <f aca="false">IFERROR(INDEX(RATES!$E$6:$E$28,MATCH(P1348,RATES!$A$6:$A$28,0)),0)</f>
        <v>27.6275</v>
      </c>
      <c r="T1348" s="61" t="n">
        <f aca="false">IF(ISNUMBER(R1348),R1348,0)*S1348</f>
        <v>1388.281875</v>
      </c>
      <c r="U1348" s="61" t="n">
        <f aca="false">T1348*INDEX(INPUTS!$H$10:$H$14,MATCH(B1348,INPUTS!$A$10:$A$14,0))</f>
        <v>195.747744375</v>
      </c>
      <c r="V1348" s="61" t="n">
        <f aca="false">N(STACK!K1348)</f>
        <v>0</v>
      </c>
      <c r="W1348" s="61" t="n">
        <f aca="false">T1348+U1348+V1348</f>
        <v>1584.029619375</v>
      </c>
      <c r="X1348" s="61" t="n">
        <f aca="false">N(STACK!L1348)</f>
        <v>0</v>
      </c>
      <c r="Y1348" s="61" t="n">
        <f aca="false">W1348-X1348</f>
        <v>1584.029619375</v>
      </c>
      <c r="Z1348" s="1" t="n">
        <f aca="false">N(STACK!J1348)</f>
        <v>0</v>
      </c>
      <c r="AA1348" s="1" t="str">
        <f aca="false">TRIM(IF(D1348="UNMAPPED","Program not mapped. ","")&amp;IF(OR(K1348="UNMAPPED",K1348="UNASSIGNED"),"Category needs review. ","")&amp;IF(P1348="UNMAPPED","Title not mapped. ","")&amp;IF(AND(P1348&lt;&gt;"No staff time",R1348=""),"Missing hours. ","")&amp;IF(M1348="","Date not readable. ","")&amp;IF(N1348="No","Outside fiscal year. ","")&amp;IF(AND(F1348="Event",ISNUMBER(R1348)),IF(R1348&gt;12,"Event hours look high. ",""),"")&amp;IF(G1348&gt;0,"See CONFIRM sheet.",""))</f>
        <v/>
      </c>
      <c r="AB1348" s="1" t="n">
        <f aca="false">IF(N1348="No",0,IF(REVIEW!O1348=0,0,IF(G1348&gt;0,IF(INDEX(CONFIRM!$J$5:$J$53,G1348)&lt;&gt;"",INDEX(CONFIRM!$J$5:$J$53,G1348),1),1)))</f>
        <v>1</v>
      </c>
      <c r="AC1348" s="1" t="n">
        <f aca="false">IF(AB1348=1,IF(COUNTIFS($B$5:B1348,B1348,$D$5:D1348,D1348,$AB$5:AB1348,1)=1,1,0),0)</f>
        <v>0</v>
      </c>
    </row>
    <row r="1349" customFormat="false" ht="15" hidden="false" customHeight="false" outlineLevel="0" collapsed="false">
      <c r="A1349" s="48" t="str">
        <f aca="false">STACK!A1349</f>
        <v>WCH-0242</v>
      </c>
      <c r="B1349" s="48" t="str">
        <f aca="false">STACK!B1349</f>
        <v>WCH</v>
      </c>
      <c r="C1349" s="48" t="str">
        <f aca="false">STACK!E1349</f>
        <v>mobile van screenings</v>
      </c>
      <c r="D1349" s="1" t="str">
        <f aca="false">IFERROR(INDEX(MAP!$J$7:$J$101,MATCH(TRIM(C1349),MAP!$I$7:$I$101,0)),"UNMAPPED")</f>
        <v>Mobile Health Screening Unit</v>
      </c>
      <c r="E1349" s="1" t="str">
        <f aca="false">IFERROR(INDEX(MAP!$K$7:$K$101,MATCH(TRIM(C1349),MAP!$I$7:$I$101,0)),"")</f>
        <v>Access to care</v>
      </c>
      <c r="F1349" s="1" t="str">
        <f aca="false">IFERROR(INDEX(MAP!$L$7:$L$101,MATCH(TRIM(C1349),MAP!$I$7:$I$101,0)),"")</f>
        <v>Monthly</v>
      </c>
      <c r="G1349" s="1" t="n">
        <f aca="false">IFERROR(MATCH(A1349,CONFIRM!$A$5:$A$53,0),0)</f>
        <v>0</v>
      </c>
      <c r="H1349" s="48" t="str">
        <f aca="false">STACK!F1349</f>
        <v>CHIS clinical</v>
      </c>
      <c r="I1349" s="1" t="str">
        <f aca="false">IF(G1349&gt;0,IF(INDEX(CONFIRM!$I$5:$I$53,G1349)&lt;&gt;"",INDEX(CONFIRM!$I$5:$I$53,G1349),H1349),H1349)</f>
        <v>CHIS clinical</v>
      </c>
      <c r="J1349" s="1" t="str">
        <f aca="false">IFERROR(INDEX(MAP!$F$7:$F$74,MATCH(TRIM(I1349),MAP!$E$7:$E$74,0)),"UNMAPPED")</f>
        <v>Community-based clinical services</v>
      </c>
      <c r="K1349" s="1" t="str">
        <f aca="false">IFERROR(INDEX(MAP!$G$7:$G$74,MATCH(TRIM(I1349),MAP!$E$7:$E$74,0)),"UNMAPPED")</f>
        <v>7e</v>
      </c>
      <c r="L1349" s="49" t="str">
        <f aca="false">STACK!G1349</f>
        <v>5/31/26</v>
      </c>
      <c r="M1349" s="59" t="n">
        <f aca="false">IF(G1349&gt;0,IF(INDEX(CONFIRM!$G$5:$G$53,G1349)&lt;&gt;"",INDEX(CONFIRM!$G$5:$G$53,G1349),IF(ISNUMBER(L1349),L1349,IFERROR(DATEVALUE(L1349),""))),IF(ISNUMBER(L1349),L1349,IFERROR(DATEVALUE(L1349),"")))</f>
        <v>46173</v>
      </c>
      <c r="N1349" s="1" t="str">
        <f aca="false">IF(M1349="","Check",IF(AND(M1349&gt;=INPUTS!$C$6,M1349&lt;=INPUTS!$C$7),"Yes","No"))</f>
        <v>Yes</v>
      </c>
      <c r="O1349" s="48" t="str">
        <f aca="false">STACK!H1349</f>
        <v>Medical Assistant</v>
      </c>
      <c r="P1349" s="1" t="str">
        <f aca="false">IF(G1349&gt;0,IF(INDEX(CONFIRM!$H$5:$H$53,G1349)&lt;&gt;"",INDEX(CONFIRM!$H$5:$H$53,G1349),IFERROR(INDEX(MAP!$B$7:$B$156,MATCH(TRIM(O1349),MAP!$A$7:$A$156,0)),"UNMAPPED")),IFERROR(INDEX(MAP!$B$7:$B$156,MATCH(TRIM(O1349),MAP!$A$7:$A$156,0)),"UNMAPPED"))</f>
        <v>Medical Assistant</v>
      </c>
      <c r="Q1349" s="48" t="n">
        <f aca="false">STACK!I1349</f>
        <v>51</v>
      </c>
      <c r="R1349" s="60" t="n">
        <f aca="false">IF(G1349&gt;0,IF(INDEX(CONFIRM!$F$5:$F$53,G1349)&lt;&gt;"",INDEX(CONFIRM!$F$5:$F$53,G1349),IF(ISNUMBER(Q1349),Q1349,IF(Q1349="","",IFERROR(VALUE(TRIM(SUBSTITUTE(SUBSTITUTE(LOWER(Q1349),"hrs",""),"hr",""))),"")))),IF(ISNUMBER(Q1349),Q1349,IF(Q1349="","",IFERROR(VALUE(TRIM(SUBSTITUTE(SUBSTITUTE(LOWER(Q1349),"hrs",""),"hr",""))),""))))</f>
        <v>51</v>
      </c>
      <c r="S1349" s="57" t="n">
        <f aca="false">IFERROR(INDEX(RATES!$E$6:$E$28,MATCH(P1349,RATES!$A$6:$A$28,0)),0)</f>
        <v>25.37875</v>
      </c>
      <c r="T1349" s="61" t="n">
        <f aca="false">IF(ISNUMBER(R1349),R1349,0)*S1349</f>
        <v>1294.31625</v>
      </c>
      <c r="U1349" s="61" t="n">
        <f aca="false">T1349*INDEX(INPUTS!$H$10:$H$14,MATCH(B1349,INPUTS!$A$10:$A$14,0))</f>
        <v>182.49859125</v>
      </c>
      <c r="V1349" s="61" t="n">
        <f aca="false">N(STACK!K1349)</f>
        <v>0</v>
      </c>
      <c r="W1349" s="61" t="n">
        <f aca="false">T1349+U1349+V1349</f>
        <v>1476.81484125</v>
      </c>
      <c r="X1349" s="61" t="n">
        <f aca="false">N(STACK!L1349)</f>
        <v>0</v>
      </c>
      <c r="Y1349" s="61" t="n">
        <f aca="false">W1349-X1349</f>
        <v>1476.81484125</v>
      </c>
      <c r="Z1349" s="1" t="n">
        <f aca="false">N(STACK!J1349)</f>
        <v>0</v>
      </c>
      <c r="AA1349" s="1" t="str">
        <f aca="false">TRIM(IF(D1349="UNMAPPED","Program not mapped. ","")&amp;IF(OR(K1349="UNMAPPED",K1349="UNASSIGNED"),"Category needs review. ","")&amp;IF(P1349="UNMAPPED","Title not mapped. ","")&amp;IF(AND(P1349&lt;&gt;"No staff time",R1349=""),"Missing hours. ","")&amp;IF(M1349="","Date not readable. ","")&amp;IF(N1349="No","Outside fiscal year. ","")&amp;IF(AND(F1349="Event",ISNUMBER(R1349)),IF(R1349&gt;12,"Event hours look high. ",""),"")&amp;IF(G1349&gt;0,"See CONFIRM sheet.",""))</f>
        <v/>
      </c>
      <c r="AB1349" s="1" t="n">
        <f aca="false">IF(N1349="No",0,IF(REVIEW!O1349=0,0,IF(G1349&gt;0,IF(INDEX(CONFIRM!$J$5:$J$53,G1349)&lt;&gt;"",INDEX(CONFIRM!$J$5:$J$53,G1349),1),1)))</f>
        <v>1</v>
      </c>
      <c r="AC1349" s="1" t="n">
        <f aca="false">IF(AB1349=1,IF(COUNTIFS($B$5:B1349,B1349,$D$5:D1349,D1349,$AB$5:AB1349,1)=1,1,0),0)</f>
        <v>0</v>
      </c>
    </row>
    <row r="1350" customFormat="false" ht="15" hidden="false" customHeight="false" outlineLevel="0" collapsed="false">
      <c r="A1350" s="48" t="str">
        <f aca="false">STACK!A1350</f>
        <v>WCH-0243</v>
      </c>
      <c r="B1350" s="48" t="str">
        <f aca="false">STACK!B1350</f>
        <v>WCH</v>
      </c>
      <c r="C1350" s="48" t="str">
        <f aca="false">STACK!E1350</f>
        <v>mobile van screenings</v>
      </c>
      <c r="D1350" s="1" t="str">
        <f aca="false">IFERROR(INDEX(MAP!$J$7:$J$101,MATCH(TRIM(C1350),MAP!$I$7:$I$101,0)),"UNMAPPED")</f>
        <v>Mobile Health Screening Unit</v>
      </c>
      <c r="E1350" s="1" t="str">
        <f aca="false">IFERROR(INDEX(MAP!$K$7:$K$101,MATCH(TRIM(C1350),MAP!$I$7:$I$101,0)),"")</f>
        <v>Access to care</v>
      </c>
      <c r="F1350" s="1" t="str">
        <f aca="false">IFERROR(INDEX(MAP!$L$7:$L$101,MATCH(TRIM(C1350),MAP!$I$7:$I$101,0)),"")</f>
        <v>Monthly</v>
      </c>
      <c r="G1350" s="1" t="n">
        <f aca="false">IFERROR(MATCH(A1350,CONFIRM!$A$5:$A$53,0),0)</f>
        <v>0</v>
      </c>
      <c r="H1350" s="48" t="str">
        <f aca="false">STACK!F1350</f>
        <v>CHIS clinical</v>
      </c>
      <c r="I1350" s="1" t="str">
        <f aca="false">IF(G1350&gt;0,IF(INDEX(CONFIRM!$I$5:$I$53,G1350)&lt;&gt;"",INDEX(CONFIRM!$I$5:$I$53,G1350),H1350),H1350)</f>
        <v>CHIS clinical</v>
      </c>
      <c r="J1350" s="1" t="str">
        <f aca="false">IFERROR(INDEX(MAP!$F$7:$F$74,MATCH(TRIM(I1350),MAP!$E$7:$E$74,0)),"UNMAPPED")</f>
        <v>Community-based clinical services</v>
      </c>
      <c r="K1350" s="1" t="str">
        <f aca="false">IFERROR(INDEX(MAP!$G$7:$G$74,MATCH(TRIM(I1350),MAP!$E$7:$E$74,0)),"UNMAPPED")</f>
        <v>7e</v>
      </c>
      <c r="L1350" s="49" t="str">
        <f aca="false">STACK!G1350</f>
        <v>5/31/26</v>
      </c>
      <c r="M1350" s="59" t="n">
        <f aca="false">IF(G1350&gt;0,IF(INDEX(CONFIRM!$G$5:$G$53,G1350)&lt;&gt;"",INDEX(CONFIRM!$G$5:$G$53,G1350),IF(ISNUMBER(L1350),L1350,IFERROR(DATEVALUE(L1350),""))),IF(ISNUMBER(L1350),L1350,IFERROR(DATEVALUE(L1350),"")))</f>
        <v>46173</v>
      </c>
      <c r="N1350" s="1" t="str">
        <f aca="false">IF(M1350="","Check",IF(AND(M1350&gt;=INPUTS!$C$6,M1350&lt;=INPUTS!$C$7),"Yes","No"))</f>
        <v>Yes</v>
      </c>
      <c r="O1350" s="48" t="str">
        <f aca="false">STACK!H1350</f>
        <v>RN III</v>
      </c>
      <c r="P1350" s="1" t="str">
        <f aca="false">IF(G1350&gt;0,IF(INDEX(CONFIRM!$H$5:$H$53,G1350)&lt;&gt;"",INDEX(CONFIRM!$H$5:$H$53,G1350),IFERROR(INDEX(MAP!$B$7:$B$156,MATCH(TRIM(O1350),MAP!$A$7:$A$156,0)),"UNMAPPED")),IFERROR(INDEX(MAP!$B$7:$B$156,MATCH(TRIM(O1350),MAP!$A$7:$A$156,0)),"UNMAPPED"))</f>
        <v>Registered Nurse</v>
      </c>
      <c r="Q1350" s="48" t="n">
        <f aca="false">STACK!I1350</f>
        <v>70.5</v>
      </c>
      <c r="R1350" s="60" t="n">
        <f aca="false">IF(G1350&gt;0,IF(INDEX(CONFIRM!$F$5:$F$53,G1350)&lt;&gt;"",INDEX(CONFIRM!$F$5:$F$53,G1350),IF(ISNUMBER(Q1350),Q1350,IF(Q1350="","",IFERROR(VALUE(TRIM(SUBSTITUTE(SUBSTITUTE(LOWER(Q1350),"hrs",""),"hr",""))),"")))),IF(ISNUMBER(Q1350),Q1350,IF(Q1350="","",IFERROR(VALUE(TRIM(SUBSTITUTE(SUBSTITUTE(LOWER(Q1350),"hrs",""),"hr",""))),""))))</f>
        <v>70.5</v>
      </c>
      <c r="S1350" s="57" t="n">
        <f aca="false">IFERROR(INDEX(RATES!$E$6:$E$28,MATCH(P1350,RATES!$A$6:$A$28,0)),0)</f>
        <v>55.8975</v>
      </c>
      <c r="T1350" s="61" t="n">
        <f aca="false">IF(ISNUMBER(R1350),R1350,0)*S1350</f>
        <v>3940.77375</v>
      </c>
      <c r="U1350" s="61" t="n">
        <f aca="false">T1350*INDEX(INPUTS!$H$10:$H$14,MATCH(B1350,INPUTS!$A$10:$A$14,0))</f>
        <v>555.64909875</v>
      </c>
      <c r="V1350" s="61" t="n">
        <f aca="false">N(STACK!K1350)</f>
        <v>3975</v>
      </c>
      <c r="W1350" s="61" t="n">
        <f aca="false">T1350+U1350+V1350</f>
        <v>8471.42284875</v>
      </c>
      <c r="X1350" s="61" t="n">
        <f aca="false">N(STACK!L1350)</f>
        <v>0</v>
      </c>
      <c r="Y1350" s="61" t="n">
        <f aca="false">W1350-X1350</f>
        <v>8471.42284875</v>
      </c>
      <c r="Z1350" s="1" t="n">
        <f aca="false">N(STACK!J1350)</f>
        <v>184</v>
      </c>
      <c r="AA1350" s="1" t="str">
        <f aca="false">TRIM(IF(D1350="UNMAPPED","Program not mapped. ","")&amp;IF(OR(K1350="UNMAPPED",K1350="UNASSIGNED"),"Category needs review. ","")&amp;IF(P1350="UNMAPPED","Title not mapped. ","")&amp;IF(AND(P1350&lt;&gt;"No staff time",R1350=""),"Missing hours. ","")&amp;IF(M1350="","Date not readable. ","")&amp;IF(N1350="No","Outside fiscal year. ","")&amp;IF(AND(F1350="Event",ISNUMBER(R1350)),IF(R1350&gt;12,"Event hours look high. ",""),"")&amp;IF(G1350&gt;0,"See CONFIRM sheet.",""))</f>
        <v/>
      </c>
      <c r="AB1350" s="1" t="n">
        <f aca="false">IF(N1350="No",0,IF(REVIEW!O1350=0,0,IF(G1350&gt;0,IF(INDEX(CONFIRM!$J$5:$J$53,G1350)&lt;&gt;"",INDEX(CONFIRM!$J$5:$J$53,G1350),1),1)))</f>
        <v>1</v>
      </c>
      <c r="AC1350" s="1" t="n">
        <f aca="false">IF(AB1350=1,IF(COUNTIFS($B$5:B1350,B1350,$D$5:D1350,D1350,$AB$5:AB1350,1)=1,1,0),0)</f>
        <v>0</v>
      </c>
    </row>
    <row r="1351" customFormat="false" ht="15" hidden="false" customHeight="false" outlineLevel="0" collapsed="false">
      <c r="A1351" s="48" t="str">
        <f aca="false">STACK!A1351</f>
        <v>WCH-0244</v>
      </c>
      <c r="B1351" s="48" t="str">
        <f aca="false">STACK!B1351</f>
        <v>WCH</v>
      </c>
      <c r="C1351" s="48" t="str">
        <f aca="false">STACK!E1351</f>
        <v>chw outreach</v>
      </c>
      <c r="D1351" s="1" t="str">
        <f aca="false">IFERROR(INDEX(MAP!$J$7:$J$101,MATCH(TRIM(C1351),MAP!$I$7:$I$101,0)),"UNMAPPED")</f>
        <v>Community Health Worker Outreach</v>
      </c>
      <c r="E1351" s="1" t="str">
        <f aca="false">IFERROR(INDEX(MAP!$K$7:$K$101,MATCH(TRIM(C1351),MAP!$I$7:$I$101,0)),"")</f>
        <v>Access to care</v>
      </c>
      <c r="F1351" s="1" t="str">
        <f aca="false">IFERROR(INDEX(MAP!$L$7:$L$101,MATCH(TRIM(C1351),MAP!$I$7:$I$101,0)),"")</f>
        <v>Monthly</v>
      </c>
      <c r="G1351" s="1" t="n">
        <f aca="false">IFERROR(MATCH(A1351,CONFIRM!$A$5:$A$53,0),0)</f>
        <v>0</v>
      </c>
      <c r="H1351" s="48" t="str">
        <f aca="false">STACK!F1351</f>
        <v>CHIS support</v>
      </c>
      <c r="I1351" s="1" t="str">
        <f aca="false">IF(G1351&gt;0,IF(INDEX(CONFIRM!$I$5:$I$53,G1351)&lt;&gt;"",INDEX(CONFIRM!$I$5:$I$53,G1351),H1351),H1351)</f>
        <v>CHIS support</v>
      </c>
      <c r="J1351" s="1" t="str">
        <f aca="false">IFERROR(INDEX(MAP!$F$7:$F$74,MATCH(TRIM(I1351),MAP!$E$7:$E$74,0)),"UNMAPPED")</f>
        <v>Health care support services</v>
      </c>
      <c r="K1351" s="1" t="str">
        <f aca="false">IFERROR(INDEX(MAP!$G$7:$G$74,MATCH(TRIM(I1351),MAP!$E$7:$E$74,0)),"UNMAPPED")</f>
        <v>7e</v>
      </c>
      <c r="L1351" s="49" t="n">
        <f aca="false">STACK!G1351</f>
        <v>46173</v>
      </c>
      <c r="M1351" s="59" t="n">
        <f aca="false">IF(G1351&gt;0,IF(INDEX(CONFIRM!$G$5:$G$53,G1351)&lt;&gt;"",INDEX(CONFIRM!$G$5:$G$53,G1351),IF(ISNUMBER(L1351),L1351,IFERROR(DATEVALUE(L1351),""))),IF(ISNUMBER(L1351),L1351,IFERROR(DATEVALUE(L1351),"")))</f>
        <v>46173</v>
      </c>
      <c r="N1351" s="1" t="str">
        <f aca="false">IF(M1351="","Check",IF(AND(M1351&gt;=INPUTS!$C$6,M1351&lt;=INPUTS!$C$7),"Yes","No"))</f>
        <v>Yes</v>
      </c>
      <c r="O1351" s="48" t="str">
        <f aca="false">STACK!H1351</f>
        <v>Promotora</v>
      </c>
      <c r="P1351" s="1" t="str">
        <f aca="false">IF(G1351&gt;0,IF(INDEX(CONFIRM!$H$5:$H$53,G1351)&lt;&gt;"",INDEX(CONFIRM!$H$5:$H$53,G1351),IFERROR(INDEX(MAP!$B$7:$B$156,MATCH(TRIM(O1351),MAP!$A$7:$A$156,0)),"UNMAPPED")),IFERROR(INDEX(MAP!$B$7:$B$156,MATCH(TRIM(O1351),MAP!$A$7:$A$156,0)),"UNMAPPED"))</f>
        <v>Community Health Worker</v>
      </c>
      <c r="Q1351" s="48" t="n">
        <f aca="false">STACK!I1351</f>
        <v>244.5</v>
      </c>
      <c r="R1351" s="60" t="n">
        <f aca="false">IF(G1351&gt;0,IF(INDEX(CONFIRM!$F$5:$F$53,G1351)&lt;&gt;"",INDEX(CONFIRM!$F$5:$F$53,G1351),IF(ISNUMBER(Q1351),Q1351,IF(Q1351="","",IFERROR(VALUE(TRIM(SUBSTITUTE(SUBSTITUTE(LOWER(Q1351),"hrs",""),"hr",""))),"")))),IF(ISNUMBER(Q1351),Q1351,IF(Q1351="","",IFERROR(VALUE(TRIM(SUBSTITUTE(SUBSTITUTE(LOWER(Q1351),"hrs",""),"hr",""))),""))))</f>
        <v>244.5</v>
      </c>
      <c r="S1351" s="57" t="n">
        <f aca="false">IFERROR(INDEX(RATES!$E$6:$E$28,MATCH(P1351,RATES!$A$6:$A$28,0)),0)</f>
        <v>27.6275</v>
      </c>
      <c r="T1351" s="61" t="n">
        <f aca="false">IF(ISNUMBER(R1351),R1351,0)*S1351</f>
        <v>6754.92375</v>
      </c>
      <c r="U1351" s="61" t="n">
        <f aca="false">T1351*INDEX(INPUTS!$H$10:$H$14,MATCH(B1351,INPUTS!$A$10:$A$14,0))</f>
        <v>952.44424875</v>
      </c>
      <c r="V1351" s="61" t="n">
        <f aca="false">N(STACK!K1351)</f>
        <v>1030</v>
      </c>
      <c r="W1351" s="61" t="n">
        <f aca="false">T1351+U1351+V1351</f>
        <v>8737.36799875</v>
      </c>
      <c r="X1351" s="61" t="n">
        <f aca="false">N(STACK!L1351)</f>
        <v>0</v>
      </c>
      <c r="Y1351" s="61" t="n">
        <f aca="false">W1351-X1351</f>
        <v>8737.36799875</v>
      </c>
      <c r="Z1351" s="1" t="n">
        <f aca="false">N(STACK!J1351)</f>
        <v>232</v>
      </c>
      <c r="AA1351" s="1" t="str">
        <f aca="false">TRIM(IF(D1351="UNMAPPED","Program not mapped. ","")&amp;IF(OR(K1351="UNMAPPED",K1351="UNASSIGNED"),"Category needs review. ","")&amp;IF(P1351="UNMAPPED","Title not mapped. ","")&amp;IF(AND(P1351&lt;&gt;"No staff time",R1351=""),"Missing hours. ","")&amp;IF(M1351="","Date not readable. ","")&amp;IF(N1351="No","Outside fiscal year. ","")&amp;IF(AND(F1351="Event",ISNUMBER(R1351)),IF(R1351&gt;12,"Event hours look high. ",""),"")&amp;IF(G1351&gt;0,"See CONFIRM sheet.",""))</f>
        <v/>
      </c>
      <c r="AB1351" s="1" t="n">
        <f aca="false">IF(N1351="No",0,IF(REVIEW!O1351=0,0,IF(G1351&gt;0,IF(INDEX(CONFIRM!$J$5:$J$53,G1351)&lt;&gt;"",INDEX(CONFIRM!$J$5:$J$53,G1351),1),1)))</f>
        <v>1</v>
      </c>
      <c r="AC1351" s="1" t="n">
        <f aca="false">IF(AB1351=1,IF(COUNTIFS($B$5:B1351,B1351,$D$5:D1351,D1351,$AB$5:AB1351,1)=1,1,0),0)</f>
        <v>0</v>
      </c>
    </row>
    <row r="1352" customFormat="false" ht="15" hidden="false" customHeight="false" outlineLevel="0" collapsed="false">
      <c r="A1352" s="48" t="str">
        <f aca="false">STACK!A1352</f>
        <v>WCH-0245</v>
      </c>
      <c r="B1352" s="48" t="str">
        <f aca="false">STACK!B1352</f>
        <v>WCH</v>
      </c>
      <c r="C1352" s="48" t="str">
        <f aca="false">STACK!E1352</f>
        <v>chw outreach</v>
      </c>
      <c r="D1352" s="1" t="str">
        <f aca="false">IFERROR(INDEX(MAP!$J$7:$J$101,MATCH(TRIM(C1352),MAP!$I$7:$I$101,0)),"UNMAPPED")</f>
        <v>Community Health Worker Outreach</v>
      </c>
      <c r="E1352" s="1" t="str">
        <f aca="false">IFERROR(INDEX(MAP!$K$7:$K$101,MATCH(TRIM(C1352),MAP!$I$7:$I$101,0)),"")</f>
        <v>Access to care</v>
      </c>
      <c r="F1352" s="1" t="str">
        <f aca="false">IFERROR(INDEX(MAP!$L$7:$L$101,MATCH(TRIM(C1352),MAP!$I$7:$I$101,0)),"")</f>
        <v>Monthly</v>
      </c>
      <c r="G1352" s="1" t="n">
        <f aca="false">IFERROR(MATCH(A1352,CONFIRM!$A$5:$A$53,0),0)</f>
        <v>0</v>
      </c>
      <c r="H1352" s="48" t="str">
        <f aca="false">STACK!F1352</f>
        <v>CHIS support</v>
      </c>
      <c r="I1352" s="1" t="str">
        <f aca="false">IF(G1352&gt;0,IF(INDEX(CONFIRM!$I$5:$I$53,G1352)&lt;&gt;"",INDEX(CONFIRM!$I$5:$I$53,G1352),H1352),H1352)</f>
        <v>CHIS support</v>
      </c>
      <c r="J1352" s="1" t="str">
        <f aca="false">IFERROR(INDEX(MAP!$F$7:$F$74,MATCH(TRIM(I1352),MAP!$E$7:$E$74,0)),"UNMAPPED")</f>
        <v>Health care support services</v>
      </c>
      <c r="K1352" s="1" t="str">
        <f aca="false">IFERROR(INDEX(MAP!$G$7:$G$74,MATCH(TRIM(I1352),MAP!$E$7:$E$74,0)),"UNMAPPED")</f>
        <v>7e</v>
      </c>
      <c r="L1352" s="49" t="str">
        <f aca="false">STACK!G1352</f>
        <v>5/31/26</v>
      </c>
      <c r="M1352" s="59" t="n">
        <f aca="false">IF(G1352&gt;0,IF(INDEX(CONFIRM!$G$5:$G$53,G1352)&lt;&gt;"",INDEX(CONFIRM!$G$5:$G$53,G1352),IF(ISNUMBER(L1352),L1352,IFERROR(DATEVALUE(L1352),""))),IF(ISNUMBER(L1352),L1352,IFERROR(DATEVALUE(L1352),"")))</f>
        <v>46173</v>
      </c>
      <c r="N1352" s="1" t="str">
        <f aca="false">IF(M1352="","Check",IF(AND(M1352&gt;=INPUTS!$C$6,M1352&lt;=INPUTS!$C$7),"Yes","No"))</f>
        <v>Yes</v>
      </c>
      <c r="O1352" s="48" t="str">
        <f aca="false">STACK!H1352</f>
        <v>Patient Navigator</v>
      </c>
      <c r="P1352" s="1" t="str">
        <f aca="false">IF(G1352&gt;0,IF(INDEX(CONFIRM!$H$5:$H$53,G1352)&lt;&gt;"",INDEX(CONFIRM!$H$5:$H$53,G1352),IFERROR(INDEX(MAP!$B$7:$B$156,MATCH(TRIM(O1352),MAP!$A$7:$A$156,0)),"UNMAPPED")),IFERROR(INDEX(MAP!$B$7:$B$156,MATCH(TRIM(O1352),MAP!$A$7:$A$156,0)),"UNMAPPED"))</f>
        <v>Patient Navigator</v>
      </c>
      <c r="Q1352" s="48" t="n">
        <f aca="false">STACK!I1352</f>
        <v>112.75</v>
      </c>
      <c r="R1352" s="60" t="n">
        <f aca="false">IF(G1352&gt;0,IF(INDEX(CONFIRM!$F$5:$F$53,G1352)&lt;&gt;"",INDEX(CONFIRM!$F$5:$F$53,G1352),IF(ISNUMBER(Q1352),Q1352,IF(Q1352="","",IFERROR(VALUE(TRIM(SUBSTITUTE(SUBSTITUTE(LOWER(Q1352),"hrs",""),"hr",""))),"")))),IF(ISNUMBER(Q1352),Q1352,IF(Q1352="","",IFERROR(VALUE(TRIM(SUBSTITUTE(SUBSTITUTE(LOWER(Q1352),"hrs",""),"hr",""))),""))))</f>
        <v>112.75</v>
      </c>
      <c r="S1352" s="57" t="n">
        <f aca="false">IFERROR(INDEX(RATES!$E$6:$E$28,MATCH(P1352,RATES!$A$6:$A$28,0)),0)</f>
        <v>30.84</v>
      </c>
      <c r="T1352" s="61" t="n">
        <f aca="false">IF(ISNUMBER(R1352),R1352,0)*S1352</f>
        <v>3477.21</v>
      </c>
      <c r="U1352" s="61" t="n">
        <f aca="false">T1352*INDEX(INPUTS!$H$10:$H$14,MATCH(B1352,INPUTS!$A$10:$A$14,0))</f>
        <v>490.28661</v>
      </c>
      <c r="V1352" s="61" t="n">
        <f aca="false">N(STACK!K1352)</f>
        <v>0</v>
      </c>
      <c r="W1352" s="61" t="n">
        <f aca="false">T1352+U1352+V1352</f>
        <v>3967.49661</v>
      </c>
      <c r="X1352" s="61" t="n">
        <f aca="false">N(STACK!L1352)</f>
        <v>0</v>
      </c>
      <c r="Y1352" s="61" t="n">
        <f aca="false">W1352-X1352</f>
        <v>3967.49661</v>
      </c>
      <c r="Z1352" s="1" t="n">
        <f aca="false">N(STACK!J1352)</f>
        <v>0</v>
      </c>
      <c r="AA1352" s="1" t="str">
        <f aca="false">TRIM(IF(D1352="UNMAPPED","Program not mapped. ","")&amp;IF(OR(K1352="UNMAPPED",K1352="UNASSIGNED"),"Category needs review. ","")&amp;IF(P1352="UNMAPPED","Title not mapped. ","")&amp;IF(AND(P1352&lt;&gt;"No staff time",R1352=""),"Missing hours. ","")&amp;IF(M1352="","Date not readable. ","")&amp;IF(N1352="No","Outside fiscal year. ","")&amp;IF(AND(F1352="Event",ISNUMBER(R1352)),IF(R1352&gt;12,"Event hours look high. ",""),"")&amp;IF(G1352&gt;0,"See CONFIRM sheet.",""))</f>
        <v/>
      </c>
      <c r="AB1352" s="1" t="n">
        <f aca="false">IF(N1352="No",0,IF(REVIEW!O1352=0,0,IF(G1352&gt;0,IF(INDEX(CONFIRM!$J$5:$J$53,G1352)&lt;&gt;"",INDEX(CONFIRM!$J$5:$J$53,G1352),1),1)))</f>
        <v>1</v>
      </c>
      <c r="AC1352" s="1" t="n">
        <f aca="false">IF(AB1352=1,IF(COUNTIFS($B$5:B1352,B1352,$D$5:D1352,D1352,$AB$5:AB1352,1)=1,1,0),0)</f>
        <v>0</v>
      </c>
    </row>
    <row r="1353" customFormat="false" ht="15" hidden="false" customHeight="false" outlineLevel="0" collapsed="false">
      <c r="A1353" s="48" t="str">
        <f aca="false">STACK!A1353</f>
        <v>WCH-0246</v>
      </c>
      <c r="B1353" s="48" t="str">
        <f aca="false">STACK!B1353</f>
        <v>WCH</v>
      </c>
      <c r="C1353" s="48" t="str">
        <f aca="false">STACK!E1353</f>
        <v>produce prescription</v>
      </c>
      <c r="D1353" s="1" t="str">
        <f aca="false">IFERROR(INDEX(MAP!$J$7:$J$101,MATCH(TRIM(C1353),MAP!$I$7:$I$101,0)),"UNMAPPED")</f>
        <v>Produce Prescription Program</v>
      </c>
      <c r="E1353" s="1" t="str">
        <f aca="false">IFERROR(INDEX(MAP!$K$7:$K$101,MATCH(TRIM(C1353),MAP!$I$7:$I$101,0)),"")</f>
        <v>Food and housing security</v>
      </c>
      <c r="F1353" s="1" t="str">
        <f aca="false">IFERROR(INDEX(MAP!$L$7:$L$101,MATCH(TRIM(C1353),MAP!$I$7:$I$101,0)),"")</f>
        <v>Monthly</v>
      </c>
      <c r="G1353" s="1" t="n">
        <f aca="false">IFERROR(MATCH(A1353,CONFIRM!$A$5:$A$53,0),0)</f>
        <v>0</v>
      </c>
      <c r="H1353" s="48" t="str">
        <f aca="false">STACK!F1353</f>
        <v>CHIS support</v>
      </c>
      <c r="I1353" s="1" t="str">
        <f aca="false">IF(G1353&gt;0,IF(INDEX(CONFIRM!$I$5:$I$53,G1353)&lt;&gt;"",INDEX(CONFIRM!$I$5:$I$53,G1353),H1353),H1353)</f>
        <v>CHIS support</v>
      </c>
      <c r="J1353" s="1" t="str">
        <f aca="false">IFERROR(INDEX(MAP!$F$7:$F$74,MATCH(TRIM(I1353),MAP!$E$7:$E$74,0)),"UNMAPPED")</f>
        <v>Health care support services</v>
      </c>
      <c r="K1353" s="1" t="str">
        <f aca="false">IFERROR(INDEX(MAP!$G$7:$G$74,MATCH(TRIM(I1353),MAP!$E$7:$E$74,0)),"UNMAPPED")</f>
        <v>7e</v>
      </c>
      <c r="L1353" s="49" t="str">
        <f aca="false">STACK!G1353</f>
        <v>5/31/26</v>
      </c>
      <c r="M1353" s="59" t="n">
        <f aca="false">IF(G1353&gt;0,IF(INDEX(CONFIRM!$G$5:$G$53,G1353)&lt;&gt;"",INDEX(CONFIRM!$G$5:$G$53,G1353),IF(ISNUMBER(L1353),L1353,IFERROR(DATEVALUE(L1353),""))),IF(ISNUMBER(L1353),L1353,IFERROR(DATEVALUE(L1353),"")))</f>
        <v>46173</v>
      </c>
      <c r="N1353" s="1" t="str">
        <f aca="false">IF(M1353="","Check",IF(AND(M1353&gt;=INPUTS!$C$6,M1353&lt;=INPUTS!$C$7),"Yes","No"))</f>
        <v>Yes</v>
      </c>
      <c r="O1353" s="48" t="str">
        <f aca="false">STACK!H1353</f>
        <v>Promotora</v>
      </c>
      <c r="P1353" s="1" t="str">
        <f aca="false">IF(G1353&gt;0,IF(INDEX(CONFIRM!$H$5:$H$53,G1353)&lt;&gt;"",INDEX(CONFIRM!$H$5:$H$53,G1353),IFERROR(INDEX(MAP!$B$7:$B$156,MATCH(TRIM(O1353),MAP!$A$7:$A$156,0)),"UNMAPPED")),IFERROR(INDEX(MAP!$B$7:$B$156,MATCH(TRIM(O1353),MAP!$A$7:$A$156,0)),"UNMAPPED"))</f>
        <v>Community Health Worker</v>
      </c>
      <c r="Q1353" s="48" t="n">
        <f aca="false">STACK!I1353</f>
        <v>37</v>
      </c>
      <c r="R1353" s="60" t="n">
        <f aca="false">IF(G1353&gt;0,IF(INDEX(CONFIRM!$F$5:$F$53,G1353)&lt;&gt;"",INDEX(CONFIRM!$F$5:$F$53,G1353),IF(ISNUMBER(Q1353),Q1353,IF(Q1353="","",IFERROR(VALUE(TRIM(SUBSTITUTE(SUBSTITUTE(LOWER(Q1353),"hrs",""),"hr",""))),"")))),IF(ISNUMBER(Q1353),Q1353,IF(Q1353="","",IFERROR(VALUE(TRIM(SUBSTITUTE(SUBSTITUTE(LOWER(Q1353),"hrs",""),"hr",""))),""))))</f>
        <v>37</v>
      </c>
      <c r="S1353" s="57" t="n">
        <f aca="false">IFERROR(INDEX(RATES!$E$6:$E$28,MATCH(P1353,RATES!$A$6:$A$28,0)),0)</f>
        <v>27.6275</v>
      </c>
      <c r="T1353" s="61" t="n">
        <f aca="false">IF(ISNUMBER(R1353),R1353,0)*S1353</f>
        <v>1022.2175</v>
      </c>
      <c r="U1353" s="61" t="n">
        <f aca="false">T1353*INDEX(INPUTS!$H$10:$H$14,MATCH(B1353,INPUTS!$A$10:$A$14,0))</f>
        <v>144.1326675</v>
      </c>
      <c r="V1353" s="61" t="n">
        <f aca="false">N(STACK!K1353)</f>
        <v>0</v>
      </c>
      <c r="W1353" s="61" t="n">
        <f aca="false">T1353+U1353+V1353</f>
        <v>1166.3501675</v>
      </c>
      <c r="X1353" s="61" t="n">
        <f aca="false">N(STACK!L1353)</f>
        <v>0</v>
      </c>
      <c r="Y1353" s="61" t="n">
        <f aca="false">W1353-X1353</f>
        <v>1166.3501675</v>
      </c>
      <c r="Z1353" s="1" t="n">
        <f aca="false">N(STACK!J1353)</f>
        <v>0</v>
      </c>
      <c r="AA1353" s="1" t="str">
        <f aca="false">TRIM(IF(D1353="UNMAPPED","Program not mapped. ","")&amp;IF(OR(K1353="UNMAPPED",K1353="UNASSIGNED"),"Category needs review. ","")&amp;IF(P1353="UNMAPPED","Title not mapped. ","")&amp;IF(AND(P1353&lt;&gt;"No staff time",R1353=""),"Missing hours. ","")&amp;IF(M1353="","Date not readable. ","")&amp;IF(N1353="No","Outside fiscal year. ","")&amp;IF(AND(F1353="Event",ISNUMBER(R1353)),IF(R1353&gt;12,"Event hours look high. ",""),"")&amp;IF(G1353&gt;0,"See CONFIRM sheet.",""))</f>
        <v/>
      </c>
      <c r="AB1353" s="1" t="n">
        <f aca="false">IF(N1353="No",0,IF(REVIEW!O1353=0,0,IF(G1353&gt;0,IF(INDEX(CONFIRM!$J$5:$J$53,G1353)&lt;&gt;"",INDEX(CONFIRM!$J$5:$J$53,G1353),1),1)))</f>
        <v>1</v>
      </c>
      <c r="AC1353" s="1" t="n">
        <f aca="false">IF(AB1353=1,IF(COUNTIFS($B$5:B1353,B1353,$D$5:D1353,D1353,$AB$5:AB1353,1)=1,1,0),0)</f>
        <v>0</v>
      </c>
    </row>
    <row r="1354" customFormat="false" ht="15" hidden="false" customHeight="false" outlineLevel="0" collapsed="false">
      <c r="A1354" s="48" t="str">
        <f aca="false">STACK!A1354</f>
        <v>WCH-0247</v>
      </c>
      <c r="B1354" s="48" t="str">
        <f aca="false">STACK!B1354</f>
        <v>WCH</v>
      </c>
      <c r="C1354" s="48" t="str">
        <f aca="false">STACK!E1354</f>
        <v>produce prescription</v>
      </c>
      <c r="D1354" s="1" t="str">
        <f aca="false">IFERROR(INDEX(MAP!$J$7:$J$101,MATCH(TRIM(C1354),MAP!$I$7:$I$101,0)),"UNMAPPED")</f>
        <v>Produce Prescription Program</v>
      </c>
      <c r="E1354" s="1" t="str">
        <f aca="false">IFERROR(INDEX(MAP!$K$7:$K$101,MATCH(TRIM(C1354),MAP!$I$7:$I$101,0)),"")</f>
        <v>Food and housing security</v>
      </c>
      <c r="F1354" s="1" t="str">
        <f aca="false">IFERROR(INDEX(MAP!$L$7:$L$101,MATCH(TRIM(C1354),MAP!$I$7:$I$101,0)),"")</f>
        <v>Monthly</v>
      </c>
      <c r="G1354" s="1" t="n">
        <f aca="false">IFERROR(MATCH(A1354,CONFIRM!$A$5:$A$53,0),0)</f>
        <v>0</v>
      </c>
      <c r="H1354" s="48" t="str">
        <f aca="false">STACK!F1354</f>
        <v>CHIS support</v>
      </c>
      <c r="I1354" s="1" t="str">
        <f aca="false">IF(G1354&gt;0,IF(INDEX(CONFIRM!$I$5:$I$53,G1354)&lt;&gt;"",INDEX(CONFIRM!$I$5:$I$53,G1354),H1354),H1354)</f>
        <v>CHIS support</v>
      </c>
      <c r="J1354" s="1" t="str">
        <f aca="false">IFERROR(INDEX(MAP!$F$7:$F$74,MATCH(TRIM(I1354),MAP!$E$7:$E$74,0)),"UNMAPPED")</f>
        <v>Health care support services</v>
      </c>
      <c r="K1354" s="1" t="str">
        <f aca="false">IFERROR(INDEX(MAP!$G$7:$G$74,MATCH(TRIM(I1354),MAP!$E$7:$E$74,0)),"UNMAPPED")</f>
        <v>7e</v>
      </c>
      <c r="L1354" s="49" t="n">
        <f aca="false">STACK!G1354</f>
        <v>46173</v>
      </c>
      <c r="M1354" s="59" t="n">
        <f aca="false">IF(G1354&gt;0,IF(INDEX(CONFIRM!$G$5:$G$53,G1354)&lt;&gt;"",INDEX(CONFIRM!$G$5:$G$53,G1354),IF(ISNUMBER(L1354),L1354,IFERROR(DATEVALUE(L1354),""))),IF(ISNUMBER(L1354),L1354,IFERROR(DATEVALUE(L1354),"")))</f>
        <v>46173</v>
      </c>
      <c r="N1354" s="1" t="str">
        <f aca="false">IF(M1354="","Check",IF(AND(M1354&gt;=INPUTS!$C$6,M1354&lt;=INPUTS!$C$7),"Yes","No"))</f>
        <v>Yes</v>
      </c>
      <c r="O1354" s="48" t="str">
        <f aca="false">STACK!H1354</f>
        <v>RDN</v>
      </c>
      <c r="P1354" s="1" t="str">
        <f aca="false">IF(G1354&gt;0,IF(INDEX(CONFIRM!$H$5:$H$53,G1354)&lt;&gt;"",INDEX(CONFIRM!$H$5:$H$53,G1354),IFERROR(INDEX(MAP!$B$7:$B$156,MATCH(TRIM(O1354),MAP!$A$7:$A$156,0)),"UNMAPPED")),IFERROR(INDEX(MAP!$B$7:$B$156,MATCH(TRIM(O1354),MAP!$A$7:$A$156,0)),"UNMAPPED"))</f>
        <v>Registered Dietitian</v>
      </c>
      <c r="Q1354" s="48" t="n">
        <f aca="false">STACK!I1354</f>
        <v>20.25</v>
      </c>
      <c r="R1354" s="60" t="n">
        <f aca="false">IF(G1354&gt;0,IF(INDEX(CONFIRM!$F$5:$F$53,G1354)&lt;&gt;"",INDEX(CONFIRM!$F$5:$F$53,G1354),IF(ISNUMBER(Q1354),Q1354,IF(Q1354="","",IFERROR(VALUE(TRIM(SUBSTITUTE(SUBSTITUTE(LOWER(Q1354),"hrs",""),"hr",""))),"")))),IF(ISNUMBER(Q1354),Q1354,IF(Q1354="","",IFERROR(VALUE(TRIM(SUBSTITUTE(SUBSTITUTE(LOWER(Q1354),"hrs",""),"hr",""))),""))))</f>
        <v>20.25</v>
      </c>
      <c r="S1354" s="57" t="n">
        <f aca="false">IFERROR(INDEX(RATES!$E$6:$E$28,MATCH(P1354,RATES!$A$6:$A$28,0)),0)</f>
        <v>46.9025</v>
      </c>
      <c r="T1354" s="61" t="n">
        <f aca="false">IF(ISNUMBER(R1354),R1354,0)*S1354</f>
        <v>949.775625</v>
      </c>
      <c r="U1354" s="61" t="n">
        <f aca="false">T1354*INDEX(INPUTS!$H$10:$H$14,MATCH(B1354,INPUTS!$A$10:$A$14,0))</f>
        <v>133.918363125</v>
      </c>
      <c r="V1354" s="61" t="n">
        <f aca="false">N(STACK!K1354)</f>
        <v>6970</v>
      </c>
      <c r="W1354" s="61" t="n">
        <f aca="false">T1354+U1354+V1354</f>
        <v>8053.693988125</v>
      </c>
      <c r="X1354" s="61" t="n">
        <f aca="false">N(STACK!L1354)</f>
        <v>5720</v>
      </c>
      <c r="Y1354" s="61" t="n">
        <f aca="false">W1354-X1354</f>
        <v>2333.693988125</v>
      </c>
      <c r="Z1354" s="1" t="n">
        <f aca="false">N(STACK!J1354)</f>
        <v>141</v>
      </c>
      <c r="AA1354" s="1" t="str">
        <f aca="false">TRIM(IF(D1354="UNMAPPED","Program not mapped. ","")&amp;IF(OR(K1354="UNMAPPED",K1354="UNASSIGNED"),"Category needs review. ","")&amp;IF(P1354="UNMAPPED","Title not mapped. ","")&amp;IF(AND(P1354&lt;&gt;"No staff time",R1354=""),"Missing hours. ","")&amp;IF(M1354="","Date not readable. ","")&amp;IF(N1354="No","Outside fiscal year. ","")&amp;IF(AND(F1354="Event",ISNUMBER(R1354)),IF(R1354&gt;12,"Event hours look high. ",""),"")&amp;IF(G1354&gt;0,"See CONFIRM sheet.",""))</f>
        <v/>
      </c>
      <c r="AB1354" s="1" t="n">
        <f aca="false">IF(N1354="No",0,IF(REVIEW!O1354=0,0,IF(G1354&gt;0,IF(INDEX(CONFIRM!$J$5:$J$53,G1354)&lt;&gt;"",INDEX(CONFIRM!$J$5:$J$53,G1354),1),1)))</f>
        <v>1</v>
      </c>
      <c r="AC1354" s="1" t="n">
        <f aca="false">IF(AB1354=1,IF(COUNTIFS($B$5:B1354,B1354,$D$5:D1354,D1354,$AB$5:AB1354,1)=1,1,0),0)</f>
        <v>0</v>
      </c>
    </row>
    <row r="1355" customFormat="false" ht="15" hidden="false" customHeight="false" outlineLevel="0" collapsed="false">
      <c r="A1355" s="48" t="str">
        <f aca="false">STACK!A1355</f>
        <v>WCH-0248</v>
      </c>
      <c r="B1355" s="48" t="str">
        <f aca="false">STACK!B1355</f>
        <v>WCH</v>
      </c>
      <c r="C1355" s="48" t="str">
        <f aca="false">STACK!E1355</f>
        <v>cb admin</v>
      </c>
      <c r="D1355" s="1" t="str">
        <f aca="false">IFERROR(INDEX(MAP!$J$7:$J$101,MATCH(TRIM(C1355),MAP!$I$7:$I$101,0)),"UNMAPPED")</f>
        <v>Community Benefit Program Administration</v>
      </c>
      <c r="E1355" s="1" t="str">
        <f aca="false">IFERROR(INDEX(MAP!$K$7:$K$101,MATCH(TRIM(C1355),MAP!$I$7:$I$101,0)),"")</f>
        <v>Community benefit infrastructure</v>
      </c>
      <c r="F1355" s="1" t="str">
        <f aca="false">IFERROR(INDEX(MAP!$L$7:$L$101,MATCH(TRIM(C1355),MAP!$I$7:$I$101,0)),"")</f>
        <v>Monthly</v>
      </c>
      <c r="G1355" s="1" t="n">
        <f aca="false">IFERROR(MATCH(A1355,CONFIRM!$A$5:$A$53,0),0)</f>
        <v>0</v>
      </c>
      <c r="H1355" s="48" t="str">
        <f aca="false">STACK!F1355</f>
        <v>cb operations</v>
      </c>
      <c r="I1355" s="1" t="str">
        <f aca="false">IF(G1355&gt;0,IF(INDEX(CONFIRM!$I$5:$I$53,G1355)&lt;&gt;"",INDEX(CONFIRM!$I$5:$I$53,G1355),H1355),H1355)</f>
        <v>cb operations</v>
      </c>
      <c r="J1355" s="1" t="str">
        <f aca="false">IFERROR(INDEX(MAP!$F$7:$F$74,MATCH(TRIM(I1355),MAP!$E$7:$E$74,0)),"UNMAPPED")</f>
        <v>Community benefit operations</v>
      </c>
      <c r="K1355" s="1" t="str">
        <f aca="false">IFERROR(INDEX(MAP!$G$7:$G$74,MATCH(TRIM(I1355),MAP!$E$7:$E$74,0)),"UNMAPPED")</f>
        <v>7e</v>
      </c>
      <c r="L1355" s="49" t="n">
        <f aca="false">STACK!G1355</f>
        <v>46173</v>
      </c>
      <c r="M1355" s="59" t="n">
        <f aca="false">IF(G1355&gt;0,IF(INDEX(CONFIRM!$G$5:$G$53,G1355)&lt;&gt;"",INDEX(CONFIRM!$G$5:$G$53,G1355),IF(ISNUMBER(L1355),L1355,IFERROR(DATEVALUE(L1355),""))),IF(ISNUMBER(L1355),L1355,IFERROR(DATEVALUE(L1355),"")))</f>
        <v>46173</v>
      </c>
      <c r="N1355" s="1" t="str">
        <f aca="false">IF(M1355="","Check",IF(AND(M1355&gt;=INPUTS!$C$6,M1355&lt;=INPUTS!$C$7),"Yes","No"))</f>
        <v>Yes</v>
      </c>
      <c r="O1355" s="48" t="str">
        <f aca="false">STACK!H1355</f>
        <v>Admin Support</v>
      </c>
      <c r="P1355" s="1" t="str">
        <f aca="false">IF(G1355&gt;0,IF(INDEX(CONFIRM!$H$5:$H$53,G1355)&lt;&gt;"",INDEX(CONFIRM!$H$5:$H$53,G1355),IFERROR(INDEX(MAP!$B$7:$B$156,MATCH(TRIM(O1355),MAP!$A$7:$A$156,0)),"UNMAPPED")),IFERROR(INDEX(MAP!$B$7:$B$156,MATCH(TRIM(O1355),MAP!$A$7:$A$156,0)),"UNMAPPED"))</f>
        <v>Administrative Assistant</v>
      </c>
      <c r="Q1355" s="48" t="n">
        <f aca="false">STACK!I1355</f>
        <v>22.25</v>
      </c>
      <c r="R1355" s="60" t="n">
        <f aca="false">IF(G1355&gt;0,IF(INDEX(CONFIRM!$F$5:$F$53,G1355)&lt;&gt;"",INDEX(CONFIRM!$F$5:$F$53,G1355),IF(ISNUMBER(Q1355),Q1355,IF(Q1355="","",IFERROR(VALUE(TRIM(SUBSTITUTE(SUBSTITUTE(LOWER(Q1355),"hrs",""),"hr",""))),"")))),IF(ISNUMBER(Q1355),Q1355,IF(Q1355="","",IFERROR(VALUE(TRIM(SUBSTITUTE(SUBSTITUTE(LOWER(Q1355),"hrs",""),"hr",""))),""))))</f>
        <v>22.25</v>
      </c>
      <c r="S1355" s="57" t="n">
        <f aca="false">IFERROR(INDEX(RATES!$E$6:$E$28,MATCH(P1355,RATES!$A$6:$A$28,0)),0)</f>
        <v>26.985</v>
      </c>
      <c r="T1355" s="61" t="n">
        <f aca="false">IF(ISNUMBER(R1355),R1355,0)*S1355</f>
        <v>600.41625</v>
      </c>
      <c r="U1355" s="61" t="n">
        <f aca="false">T1355*INDEX(INPUTS!$H$10:$H$14,MATCH(B1355,INPUTS!$A$10:$A$14,0))</f>
        <v>84.65869125</v>
      </c>
      <c r="V1355" s="61" t="n">
        <f aca="false">N(STACK!K1355)</f>
        <v>0</v>
      </c>
      <c r="W1355" s="61" t="n">
        <f aca="false">T1355+U1355+V1355</f>
        <v>685.07494125</v>
      </c>
      <c r="X1355" s="61" t="n">
        <f aca="false">N(STACK!L1355)</f>
        <v>0</v>
      </c>
      <c r="Y1355" s="61" t="n">
        <f aca="false">W1355-X1355</f>
        <v>685.07494125</v>
      </c>
      <c r="Z1355" s="1" t="n">
        <f aca="false">N(STACK!J1355)</f>
        <v>0</v>
      </c>
      <c r="AA1355" s="1" t="str">
        <f aca="false">TRIM(IF(D1355="UNMAPPED","Program not mapped. ","")&amp;IF(OR(K1355="UNMAPPED",K1355="UNASSIGNED"),"Category needs review. ","")&amp;IF(P1355="UNMAPPED","Title not mapped. ","")&amp;IF(AND(P1355&lt;&gt;"No staff time",R1355=""),"Missing hours. ","")&amp;IF(M1355="","Date not readable. ","")&amp;IF(N1355="No","Outside fiscal year. ","")&amp;IF(AND(F1355="Event",ISNUMBER(R1355)),IF(R1355&gt;12,"Event hours look high. ",""),"")&amp;IF(G1355&gt;0,"See CONFIRM sheet.",""))</f>
        <v/>
      </c>
      <c r="AB1355" s="1" t="n">
        <f aca="false">IF(N1355="No",0,IF(REVIEW!O1355=0,0,IF(G1355&gt;0,IF(INDEX(CONFIRM!$J$5:$J$53,G1355)&lt;&gt;"",INDEX(CONFIRM!$J$5:$J$53,G1355),1),1)))</f>
        <v>1</v>
      </c>
      <c r="AC1355" s="1" t="n">
        <f aca="false">IF(AB1355=1,IF(COUNTIFS($B$5:B1355,B1355,$D$5:D1355,D1355,$AB$5:AB1355,1)=1,1,0),0)</f>
        <v>0</v>
      </c>
    </row>
    <row r="1356" customFormat="false" ht="15" hidden="false" customHeight="false" outlineLevel="0" collapsed="false">
      <c r="A1356" s="48" t="str">
        <f aca="false">STACK!A1356</f>
        <v>WCH-0249</v>
      </c>
      <c r="B1356" s="48" t="str">
        <f aca="false">STACK!B1356</f>
        <v>WCH</v>
      </c>
      <c r="C1356" s="48" t="str">
        <f aca="false">STACK!E1356</f>
        <v>cb admin</v>
      </c>
      <c r="D1356" s="1" t="str">
        <f aca="false">IFERROR(INDEX(MAP!$J$7:$J$101,MATCH(TRIM(C1356),MAP!$I$7:$I$101,0)),"UNMAPPED")</f>
        <v>Community Benefit Program Administration</v>
      </c>
      <c r="E1356" s="1" t="str">
        <f aca="false">IFERROR(INDEX(MAP!$K$7:$K$101,MATCH(TRIM(C1356),MAP!$I$7:$I$101,0)),"")</f>
        <v>Community benefit infrastructure</v>
      </c>
      <c r="F1356" s="1" t="str">
        <f aca="false">IFERROR(INDEX(MAP!$L$7:$L$101,MATCH(TRIM(C1356),MAP!$I$7:$I$101,0)),"")</f>
        <v>Monthly</v>
      </c>
      <c r="G1356" s="1" t="n">
        <f aca="false">IFERROR(MATCH(A1356,CONFIRM!$A$5:$A$53,0),0)</f>
        <v>0</v>
      </c>
      <c r="H1356" s="48" t="str">
        <f aca="false">STACK!F1356</f>
        <v>cb operations</v>
      </c>
      <c r="I1356" s="1" t="str">
        <f aca="false">IF(G1356&gt;0,IF(INDEX(CONFIRM!$I$5:$I$53,G1356)&lt;&gt;"",INDEX(CONFIRM!$I$5:$I$53,G1356),H1356),H1356)</f>
        <v>cb operations</v>
      </c>
      <c r="J1356" s="1" t="str">
        <f aca="false">IFERROR(INDEX(MAP!$F$7:$F$74,MATCH(TRIM(I1356),MAP!$E$7:$E$74,0)),"UNMAPPED")</f>
        <v>Community benefit operations</v>
      </c>
      <c r="K1356" s="1" t="str">
        <f aca="false">IFERROR(INDEX(MAP!$G$7:$G$74,MATCH(TRIM(I1356),MAP!$E$7:$E$74,0)),"UNMAPPED")</f>
        <v>7e</v>
      </c>
      <c r="L1356" s="49" t="n">
        <f aca="false">STACK!G1356</f>
        <v>46173</v>
      </c>
      <c r="M1356" s="59" t="n">
        <f aca="false">IF(G1356&gt;0,IF(INDEX(CONFIRM!$G$5:$G$53,G1356)&lt;&gt;"",INDEX(CONFIRM!$G$5:$G$53,G1356),IF(ISNUMBER(L1356),L1356,IFERROR(DATEVALUE(L1356),""))),IF(ISNUMBER(L1356),L1356,IFERROR(DATEVALUE(L1356),"")))</f>
        <v>46173</v>
      </c>
      <c r="N1356" s="1" t="str">
        <f aca="false">IF(M1356="","Check",IF(AND(M1356&gt;=INPUTS!$C$6,M1356&lt;=INPUTS!$C$7),"Yes","No"))</f>
        <v>Yes</v>
      </c>
      <c r="O1356" s="48" t="str">
        <f aca="false">STACK!H1356</f>
        <v>Community Health Manager</v>
      </c>
      <c r="P1356" s="1" t="str">
        <f aca="false">IF(G1356&gt;0,IF(INDEX(CONFIRM!$H$5:$H$53,G1356)&lt;&gt;"",INDEX(CONFIRM!$H$5:$H$53,G1356),IFERROR(INDEX(MAP!$B$7:$B$156,MATCH(TRIM(O1356),MAP!$A$7:$A$156,0)),"UNMAPPED")),IFERROR(INDEX(MAP!$B$7:$B$156,MATCH(TRIM(O1356),MAP!$A$7:$A$156,0)),"UNMAPPED"))</f>
        <v>Community Benefit Manager</v>
      </c>
      <c r="Q1356" s="48" t="n">
        <f aca="false">STACK!I1356</f>
        <v>38</v>
      </c>
      <c r="R1356" s="60" t="n">
        <f aca="false">IF(G1356&gt;0,IF(INDEX(CONFIRM!$F$5:$F$53,G1356)&lt;&gt;"",INDEX(CONFIRM!$F$5:$F$53,G1356),IF(ISNUMBER(Q1356),Q1356,IF(Q1356="","",IFERROR(VALUE(TRIM(SUBSTITUTE(SUBSTITUTE(LOWER(Q1356),"hrs",""),"hr",""))),"")))),IF(ISNUMBER(Q1356),Q1356,IF(Q1356="","",IFERROR(VALUE(TRIM(SUBSTITUTE(SUBSTITUTE(LOWER(Q1356),"hrs",""),"hr",""))),""))))</f>
        <v>38</v>
      </c>
      <c r="S1356" s="57" t="n">
        <f aca="false">IFERROR(INDEX(RATES!$E$6:$E$28,MATCH(P1356,RATES!$A$6:$A$28,0)),0)</f>
        <v>59.11</v>
      </c>
      <c r="T1356" s="61" t="n">
        <f aca="false">IF(ISNUMBER(R1356),R1356,0)*S1356</f>
        <v>2246.18</v>
      </c>
      <c r="U1356" s="61" t="n">
        <f aca="false">T1356*INDEX(INPUTS!$H$10:$H$14,MATCH(B1356,INPUTS!$A$10:$A$14,0))</f>
        <v>316.71138</v>
      </c>
      <c r="V1356" s="61" t="n">
        <f aca="false">N(STACK!K1356)</f>
        <v>380</v>
      </c>
      <c r="W1356" s="61" t="n">
        <f aca="false">T1356+U1356+V1356</f>
        <v>2942.89138</v>
      </c>
      <c r="X1356" s="61" t="n">
        <f aca="false">N(STACK!L1356)</f>
        <v>0</v>
      </c>
      <c r="Y1356" s="61" t="n">
        <f aca="false">W1356-X1356</f>
        <v>2942.89138</v>
      </c>
      <c r="Z1356" s="1" t="n">
        <f aca="false">N(STACK!J1356)</f>
        <v>0</v>
      </c>
      <c r="AA1356" s="1" t="str">
        <f aca="false">TRIM(IF(D1356="UNMAPPED","Program not mapped. ","")&amp;IF(OR(K1356="UNMAPPED",K1356="UNASSIGNED"),"Category needs review. ","")&amp;IF(P1356="UNMAPPED","Title not mapped. ","")&amp;IF(AND(P1356&lt;&gt;"No staff time",R1356=""),"Missing hours. ","")&amp;IF(M1356="","Date not readable. ","")&amp;IF(N1356="No","Outside fiscal year. ","")&amp;IF(AND(F1356="Event",ISNUMBER(R1356)),IF(R1356&gt;12,"Event hours look high. ",""),"")&amp;IF(G1356&gt;0,"See CONFIRM sheet.",""))</f>
        <v/>
      </c>
      <c r="AB1356" s="1" t="n">
        <f aca="false">IF(N1356="No",0,IF(REVIEW!O1356=0,0,IF(G1356&gt;0,IF(INDEX(CONFIRM!$J$5:$J$53,G1356)&lt;&gt;"",INDEX(CONFIRM!$J$5:$J$53,G1356),1),1)))</f>
        <v>1</v>
      </c>
      <c r="AC1356" s="1" t="n">
        <f aca="false">IF(AB1356=1,IF(COUNTIFS($B$5:B1356,B1356,$D$5:D1356,D1356,$AB$5:AB1356,1)=1,1,0),0)</f>
        <v>0</v>
      </c>
    </row>
    <row r="1357" customFormat="false" ht="15" hidden="false" customHeight="false" outlineLevel="0" collapsed="false">
      <c r="A1357" s="48" t="str">
        <f aca="false">STACK!A1357</f>
        <v>WCH-0250</v>
      </c>
      <c r="B1357" s="48" t="str">
        <f aca="false">STACK!B1357</f>
        <v>WCH</v>
      </c>
      <c r="C1357" s="48" t="str">
        <f aca="false">STACK!E1357</f>
        <v>community paramedic</v>
      </c>
      <c r="D1357" s="1" t="str">
        <f aca="false">IFERROR(INDEX(MAP!$J$7:$J$101,MATCH(TRIM(C1357),MAP!$I$7:$I$101,0)),"UNMAPPED")</f>
        <v>Community Paramedic Home Visits</v>
      </c>
      <c r="E1357" s="1" t="str">
        <f aca="false">IFERROR(INDEX(MAP!$K$7:$K$101,MATCH(TRIM(C1357),MAP!$I$7:$I$101,0)),"")</f>
        <v>Access to care</v>
      </c>
      <c r="F1357" s="1" t="str">
        <f aca="false">IFERROR(INDEX(MAP!$L$7:$L$101,MATCH(TRIM(C1357),MAP!$I$7:$I$101,0)),"")</f>
        <v>Monthly</v>
      </c>
      <c r="G1357" s="1" t="n">
        <f aca="false">IFERROR(MATCH(A1357,CONFIRM!$A$5:$A$53,0),0)</f>
        <v>0</v>
      </c>
      <c r="H1357" s="48" t="str">
        <f aca="false">STACK!F1357</f>
        <v>CHIS clinical</v>
      </c>
      <c r="I1357" s="1" t="str">
        <f aca="false">IF(G1357&gt;0,IF(INDEX(CONFIRM!$I$5:$I$53,G1357)&lt;&gt;"",INDEX(CONFIRM!$I$5:$I$53,G1357),H1357),H1357)</f>
        <v>CHIS clinical</v>
      </c>
      <c r="J1357" s="1" t="str">
        <f aca="false">IFERROR(INDEX(MAP!$F$7:$F$74,MATCH(TRIM(I1357),MAP!$E$7:$E$74,0)),"UNMAPPED")</f>
        <v>Community-based clinical services</v>
      </c>
      <c r="K1357" s="1" t="str">
        <f aca="false">IFERROR(INDEX(MAP!$G$7:$G$74,MATCH(TRIM(I1357),MAP!$E$7:$E$74,0)),"UNMAPPED")</f>
        <v>7e</v>
      </c>
      <c r="L1357" s="49" t="str">
        <f aca="false">STACK!G1357</f>
        <v>5/31/26</v>
      </c>
      <c r="M1357" s="59" t="n">
        <f aca="false">IF(G1357&gt;0,IF(INDEX(CONFIRM!$G$5:$G$53,G1357)&lt;&gt;"",INDEX(CONFIRM!$G$5:$G$53,G1357),IF(ISNUMBER(L1357),L1357,IFERROR(DATEVALUE(L1357),""))),IF(ISNUMBER(L1357),L1357,IFERROR(DATEVALUE(L1357),"")))</f>
        <v>46173</v>
      </c>
      <c r="N1357" s="1" t="str">
        <f aca="false">IF(M1357="","Check",IF(AND(M1357&gt;=INPUTS!$C$6,M1357&lt;=INPUTS!$C$7),"Yes","No"))</f>
        <v>Yes</v>
      </c>
      <c r="O1357" s="48" t="str">
        <f aca="false">STACK!H1357</f>
        <v>Flight Paramedic</v>
      </c>
      <c r="P1357" s="1" t="str">
        <f aca="false">IF(G1357&gt;0,IF(INDEX(CONFIRM!$H$5:$H$53,G1357)&lt;&gt;"",INDEX(CONFIRM!$H$5:$H$53,G1357),IFERROR(INDEX(MAP!$B$7:$B$156,MATCH(TRIM(O1357),MAP!$A$7:$A$156,0)),"UNMAPPED")),IFERROR(INDEX(MAP!$B$7:$B$156,MATCH(TRIM(O1357),MAP!$A$7:$A$156,0)),"UNMAPPED"))</f>
        <v>Paramedic</v>
      </c>
      <c r="Q1357" s="48" t="n">
        <f aca="false">STACK!I1357</f>
        <v>71.75</v>
      </c>
      <c r="R1357" s="60" t="n">
        <f aca="false">IF(G1357&gt;0,IF(INDEX(CONFIRM!$F$5:$F$53,G1357)&lt;&gt;"",INDEX(CONFIRM!$F$5:$F$53,G1357),IF(ISNUMBER(Q1357),Q1357,IF(Q1357="","",IFERROR(VALUE(TRIM(SUBSTITUTE(SUBSTITUTE(LOWER(Q1357),"hrs",""),"hr",""))),"")))),IF(ISNUMBER(Q1357),Q1357,IF(Q1357="","",IFERROR(VALUE(TRIM(SUBSTITUTE(SUBSTITUTE(LOWER(Q1357),"hrs",""),"hr",""))),""))))</f>
        <v>71.75</v>
      </c>
      <c r="S1357" s="57" t="n">
        <f aca="false">IFERROR(INDEX(RATES!$E$6:$E$28,MATCH(P1357,RATES!$A$6:$A$28,0)),0)</f>
        <v>34.695</v>
      </c>
      <c r="T1357" s="61" t="n">
        <f aca="false">IF(ISNUMBER(R1357),R1357,0)*S1357</f>
        <v>2489.36625</v>
      </c>
      <c r="U1357" s="61" t="n">
        <f aca="false">T1357*INDEX(INPUTS!$H$10:$H$14,MATCH(B1357,INPUTS!$A$10:$A$14,0))</f>
        <v>351.00064125</v>
      </c>
      <c r="V1357" s="61" t="n">
        <f aca="false">N(STACK!K1357)</f>
        <v>705</v>
      </c>
      <c r="W1357" s="61" t="n">
        <f aca="false">T1357+U1357+V1357</f>
        <v>3545.36689125</v>
      </c>
      <c r="X1357" s="61" t="n">
        <f aca="false">N(STACK!L1357)</f>
        <v>0</v>
      </c>
      <c r="Y1357" s="61" t="n">
        <f aca="false">W1357-X1357</f>
        <v>3545.36689125</v>
      </c>
      <c r="Z1357" s="1" t="n">
        <f aca="false">N(STACK!J1357)</f>
        <v>30</v>
      </c>
      <c r="AA1357" s="1" t="str">
        <f aca="false">TRIM(IF(D1357="UNMAPPED","Program not mapped. ","")&amp;IF(OR(K1357="UNMAPPED",K1357="UNASSIGNED"),"Category needs review. ","")&amp;IF(P1357="UNMAPPED","Title not mapped. ","")&amp;IF(AND(P1357&lt;&gt;"No staff time",R1357=""),"Missing hours. ","")&amp;IF(M1357="","Date not readable. ","")&amp;IF(N1357="No","Outside fiscal year. ","")&amp;IF(AND(F1357="Event",ISNUMBER(R1357)),IF(R1357&gt;12,"Event hours look high. ",""),"")&amp;IF(G1357&gt;0,"See CONFIRM sheet.",""))</f>
        <v/>
      </c>
      <c r="AB1357" s="1" t="n">
        <f aca="false">IF(N1357="No",0,IF(REVIEW!O1357=0,0,IF(G1357&gt;0,IF(INDEX(CONFIRM!$J$5:$J$53,G1357)&lt;&gt;"",INDEX(CONFIRM!$J$5:$J$53,G1357),1),1)))</f>
        <v>1</v>
      </c>
      <c r="AC1357" s="1" t="n">
        <f aca="false">IF(AB1357=1,IF(COUNTIFS($B$5:B1357,B1357,$D$5:D1357,D1357,$AB$5:AB1357,1)=1,1,0),0)</f>
        <v>0</v>
      </c>
    </row>
    <row r="1358" customFormat="false" ht="15" hidden="false" customHeight="false" outlineLevel="0" collapsed="false">
      <c r="A1358" s="48" t="str">
        <f aca="false">STACK!A1358</f>
        <v>WCH-0251</v>
      </c>
      <c r="B1358" s="48" t="str">
        <f aca="false">STACK!B1358</f>
        <v>WCH</v>
      </c>
      <c r="C1358" s="48" t="str">
        <f aca="false">STACK!E1358</f>
        <v>nursing students</v>
      </c>
      <c r="D1358" s="1" t="str">
        <f aca="false">IFERROR(INDEX(MAP!$J$7:$J$101,MATCH(TRIM(C1358),MAP!$I$7:$I$101,0)),"UNMAPPED")</f>
        <v>Nursing Student Clinical Rotations</v>
      </c>
      <c r="E1358" s="1" t="str">
        <f aca="false">IFERROR(INDEX(MAP!$K$7:$K$101,MATCH(TRIM(C1358),MAP!$I$7:$I$101,0)),"")</f>
        <v>Health workforce</v>
      </c>
      <c r="F1358" s="1" t="str">
        <f aca="false">IFERROR(INDEX(MAP!$L$7:$L$101,MATCH(TRIM(C1358),MAP!$I$7:$I$101,0)),"")</f>
        <v>Monthly</v>
      </c>
      <c r="G1358" s="1" t="n">
        <f aca="false">IFERROR(MATCH(A1358,CONFIRM!$A$5:$A$53,0),0)</f>
        <v>0</v>
      </c>
      <c r="H1358" s="48" t="str">
        <f aca="false">STACK!F1358</f>
        <v>health professions ed</v>
      </c>
      <c r="I1358" s="1" t="str">
        <f aca="false">IF(G1358&gt;0,IF(INDEX(CONFIRM!$I$5:$I$53,G1358)&lt;&gt;"",INDEX(CONFIRM!$I$5:$I$53,G1358),H1358),H1358)</f>
        <v>health professions ed</v>
      </c>
      <c r="J1358" s="1" t="str">
        <f aca="false">IFERROR(INDEX(MAP!$F$7:$F$74,MATCH(TRIM(I1358),MAP!$E$7:$E$74,0)),"UNMAPPED")</f>
        <v>Health professions education</v>
      </c>
      <c r="K1358" s="1" t="str">
        <f aca="false">IFERROR(INDEX(MAP!$G$7:$G$74,MATCH(TRIM(I1358),MAP!$E$7:$E$74,0)),"UNMAPPED")</f>
        <v>7f</v>
      </c>
      <c r="L1358" s="49" t="n">
        <f aca="false">STACK!G1358</f>
        <v>46173</v>
      </c>
      <c r="M1358" s="59" t="n">
        <f aca="false">IF(G1358&gt;0,IF(INDEX(CONFIRM!$G$5:$G$53,G1358)&lt;&gt;"",INDEX(CONFIRM!$G$5:$G$53,G1358),IF(ISNUMBER(L1358),L1358,IFERROR(DATEVALUE(L1358),""))),IF(ISNUMBER(L1358),L1358,IFERROR(DATEVALUE(L1358),"")))</f>
        <v>46173</v>
      </c>
      <c r="N1358" s="1" t="str">
        <f aca="false">IF(M1358="","Check",IF(AND(M1358&gt;=INPUTS!$C$6,M1358&lt;=INPUTS!$C$7),"Yes","No"))</f>
        <v>Yes</v>
      </c>
      <c r="O1358" s="48" t="str">
        <f aca="false">STACK!H1358</f>
        <v>Clinical Nurse Educator</v>
      </c>
      <c r="P1358" s="1" t="str">
        <f aca="false">IF(G1358&gt;0,IF(INDEX(CONFIRM!$H$5:$H$53,G1358)&lt;&gt;"",INDEX(CONFIRM!$H$5:$H$53,G1358),IFERROR(INDEX(MAP!$B$7:$B$156,MATCH(TRIM(O1358),MAP!$A$7:$A$156,0)),"UNMAPPED")),IFERROR(INDEX(MAP!$B$7:$B$156,MATCH(TRIM(O1358),MAP!$A$7:$A$156,0)),"UNMAPPED"))</f>
        <v>Clinical Nurse Educator</v>
      </c>
      <c r="Q1358" s="48" t="n">
        <f aca="false">STACK!I1358</f>
        <v>70.75</v>
      </c>
      <c r="R1358" s="60" t="n">
        <f aca="false">IF(G1358&gt;0,IF(INDEX(CONFIRM!$F$5:$F$53,G1358)&lt;&gt;"",INDEX(CONFIRM!$F$5:$F$53,G1358),IF(ISNUMBER(Q1358),Q1358,IF(Q1358="","",IFERROR(VALUE(TRIM(SUBSTITUTE(SUBSTITUTE(LOWER(Q1358),"hrs",""),"hr",""))),"")))),IF(ISNUMBER(Q1358),Q1358,IF(Q1358="","",IFERROR(VALUE(TRIM(SUBSTITUTE(SUBSTITUTE(LOWER(Q1358),"hrs",""),"hr",""))),""))))</f>
        <v>70.75</v>
      </c>
      <c r="S1358" s="57" t="n">
        <f aca="false">IFERROR(INDEX(RATES!$E$6:$E$28,MATCH(P1358,RATES!$A$6:$A$28,0)),0)</f>
        <v>62.965</v>
      </c>
      <c r="T1358" s="61" t="n">
        <f aca="false">IF(ISNUMBER(R1358),R1358,0)*S1358</f>
        <v>4454.77375</v>
      </c>
      <c r="U1358" s="61" t="n">
        <f aca="false">T1358*INDEX(INPUTS!$H$10:$H$14,MATCH(B1358,INPUTS!$A$10:$A$14,0))</f>
        <v>628.12309875</v>
      </c>
      <c r="V1358" s="61" t="n">
        <f aca="false">N(STACK!K1358)</f>
        <v>595</v>
      </c>
      <c r="W1358" s="61" t="n">
        <f aca="false">T1358+U1358+V1358</f>
        <v>5677.89684875</v>
      </c>
      <c r="X1358" s="61" t="n">
        <f aca="false">N(STACK!L1358)</f>
        <v>0</v>
      </c>
      <c r="Y1358" s="61" t="n">
        <f aca="false">W1358-X1358</f>
        <v>5677.89684875</v>
      </c>
      <c r="Z1358" s="1" t="n">
        <f aca="false">N(STACK!J1358)</f>
        <v>14</v>
      </c>
      <c r="AA1358" s="1" t="str">
        <f aca="false">TRIM(IF(D1358="UNMAPPED","Program not mapped. ","")&amp;IF(OR(K1358="UNMAPPED",K1358="UNASSIGNED"),"Category needs review. ","")&amp;IF(P1358="UNMAPPED","Title not mapped. ","")&amp;IF(AND(P1358&lt;&gt;"No staff time",R1358=""),"Missing hours. ","")&amp;IF(M1358="","Date not readable. ","")&amp;IF(N1358="No","Outside fiscal year. ","")&amp;IF(AND(F1358="Event",ISNUMBER(R1358)),IF(R1358&gt;12,"Event hours look high. ",""),"")&amp;IF(G1358&gt;0,"See CONFIRM sheet.",""))</f>
        <v/>
      </c>
      <c r="AB1358" s="1" t="n">
        <f aca="false">IF(N1358="No",0,IF(REVIEW!O1358=0,0,IF(G1358&gt;0,IF(INDEX(CONFIRM!$J$5:$J$53,G1358)&lt;&gt;"",INDEX(CONFIRM!$J$5:$J$53,G1358),1),1)))</f>
        <v>1</v>
      </c>
      <c r="AC1358" s="1" t="n">
        <f aca="false">IF(AB1358=1,IF(COUNTIFS($B$5:B1358,B1358,$D$5:D1358,D1358,$AB$5:AB1358,1)=1,1,0),0)</f>
        <v>0</v>
      </c>
    </row>
    <row r="1359" customFormat="false" ht="15" hidden="false" customHeight="false" outlineLevel="0" collapsed="false">
      <c r="A1359" s="48" t="str">
        <f aca="false">STACK!A1359</f>
        <v>WCH-0252</v>
      </c>
      <c r="B1359" s="48" t="str">
        <f aca="false">STACK!B1359</f>
        <v>WCH</v>
      </c>
      <c r="C1359" s="48" t="str">
        <f aca="false">STACK!E1359</f>
        <v>nursing students</v>
      </c>
      <c r="D1359" s="1" t="str">
        <f aca="false">IFERROR(INDEX(MAP!$J$7:$J$101,MATCH(TRIM(C1359),MAP!$I$7:$I$101,0)),"UNMAPPED")</f>
        <v>Nursing Student Clinical Rotations</v>
      </c>
      <c r="E1359" s="1" t="str">
        <f aca="false">IFERROR(INDEX(MAP!$K$7:$K$101,MATCH(TRIM(C1359),MAP!$I$7:$I$101,0)),"")</f>
        <v>Health workforce</v>
      </c>
      <c r="F1359" s="1" t="str">
        <f aca="false">IFERROR(INDEX(MAP!$L$7:$L$101,MATCH(TRIM(C1359),MAP!$I$7:$I$101,0)),"")</f>
        <v>Monthly</v>
      </c>
      <c r="G1359" s="1" t="n">
        <f aca="false">IFERROR(MATCH(A1359,CONFIRM!$A$5:$A$53,0),0)</f>
        <v>0</v>
      </c>
      <c r="H1359" s="48" t="str">
        <f aca="false">STACK!F1359</f>
        <v>health professions ed</v>
      </c>
      <c r="I1359" s="1" t="str">
        <f aca="false">IF(G1359&gt;0,IF(INDEX(CONFIRM!$I$5:$I$53,G1359)&lt;&gt;"",INDEX(CONFIRM!$I$5:$I$53,G1359),H1359),H1359)</f>
        <v>health professions ed</v>
      </c>
      <c r="J1359" s="1" t="str">
        <f aca="false">IFERROR(INDEX(MAP!$F$7:$F$74,MATCH(TRIM(I1359),MAP!$E$7:$E$74,0)),"UNMAPPED")</f>
        <v>Health professions education</v>
      </c>
      <c r="K1359" s="1" t="str">
        <f aca="false">IFERROR(INDEX(MAP!$G$7:$G$74,MATCH(TRIM(I1359),MAP!$E$7:$E$74,0)),"UNMAPPED")</f>
        <v>7f</v>
      </c>
      <c r="L1359" s="49" t="str">
        <f aca="false">STACK!G1359</f>
        <v>May 31, 2026</v>
      </c>
      <c r="M1359" s="59" t="n">
        <f aca="false">IF(G1359&gt;0,IF(INDEX(CONFIRM!$G$5:$G$53,G1359)&lt;&gt;"",INDEX(CONFIRM!$G$5:$G$53,G1359),IF(ISNUMBER(L1359),L1359,IFERROR(DATEVALUE(L1359),""))),IF(ISNUMBER(L1359),L1359,IFERROR(DATEVALUE(L1359),"")))</f>
        <v>46173</v>
      </c>
      <c r="N1359" s="1" t="str">
        <f aca="false">IF(M1359="","Check",IF(AND(M1359&gt;=INPUTS!$C$6,M1359&lt;=INPUTS!$C$7),"Yes","No"))</f>
        <v>Yes</v>
      </c>
      <c r="O1359" s="48" t="str">
        <f aca="false">STACK!H1359</f>
        <v>Registered Nurse</v>
      </c>
      <c r="P1359" s="1" t="str">
        <f aca="false">IF(G1359&gt;0,IF(INDEX(CONFIRM!$H$5:$H$53,G1359)&lt;&gt;"",INDEX(CONFIRM!$H$5:$H$53,G1359),IFERROR(INDEX(MAP!$B$7:$B$156,MATCH(TRIM(O1359),MAP!$A$7:$A$156,0)),"UNMAPPED")),IFERROR(INDEX(MAP!$B$7:$B$156,MATCH(TRIM(O1359),MAP!$A$7:$A$156,0)),"UNMAPPED"))</f>
        <v>Registered Nurse</v>
      </c>
      <c r="Q1359" s="48" t="n">
        <f aca="false">STACK!I1359</f>
        <v>179.75</v>
      </c>
      <c r="R1359" s="60" t="n">
        <f aca="false">IF(G1359&gt;0,IF(INDEX(CONFIRM!$F$5:$F$53,G1359)&lt;&gt;"",INDEX(CONFIRM!$F$5:$F$53,G1359),IF(ISNUMBER(Q1359),Q1359,IF(Q1359="","",IFERROR(VALUE(TRIM(SUBSTITUTE(SUBSTITUTE(LOWER(Q1359),"hrs",""),"hr",""))),"")))),IF(ISNUMBER(Q1359),Q1359,IF(Q1359="","",IFERROR(VALUE(TRIM(SUBSTITUTE(SUBSTITUTE(LOWER(Q1359),"hrs",""),"hr",""))),""))))</f>
        <v>179.75</v>
      </c>
      <c r="S1359" s="57" t="n">
        <f aca="false">IFERROR(INDEX(RATES!$E$6:$E$28,MATCH(P1359,RATES!$A$6:$A$28,0)),0)</f>
        <v>55.8975</v>
      </c>
      <c r="T1359" s="61" t="n">
        <f aca="false">IF(ISNUMBER(R1359),R1359,0)*S1359</f>
        <v>10047.575625</v>
      </c>
      <c r="U1359" s="61" t="n">
        <f aca="false">T1359*INDEX(INPUTS!$H$10:$H$14,MATCH(B1359,INPUTS!$A$10:$A$14,0))</f>
        <v>1416.708163125</v>
      </c>
      <c r="V1359" s="61" t="n">
        <f aca="false">N(STACK!K1359)</f>
        <v>0</v>
      </c>
      <c r="W1359" s="61" t="n">
        <f aca="false">T1359+U1359+V1359</f>
        <v>11464.283788125</v>
      </c>
      <c r="X1359" s="61" t="n">
        <f aca="false">N(STACK!L1359)</f>
        <v>0</v>
      </c>
      <c r="Y1359" s="61" t="n">
        <f aca="false">W1359-X1359</f>
        <v>11464.283788125</v>
      </c>
      <c r="Z1359" s="1" t="n">
        <f aca="false">N(STACK!J1359)</f>
        <v>0</v>
      </c>
      <c r="AA1359" s="1" t="str">
        <f aca="false">TRIM(IF(D1359="UNMAPPED","Program not mapped. ","")&amp;IF(OR(K1359="UNMAPPED",K1359="UNASSIGNED"),"Category needs review. ","")&amp;IF(P1359="UNMAPPED","Title not mapped. ","")&amp;IF(AND(P1359&lt;&gt;"No staff time",R1359=""),"Missing hours. ","")&amp;IF(M1359="","Date not readable. ","")&amp;IF(N1359="No","Outside fiscal year. ","")&amp;IF(AND(F1359="Event",ISNUMBER(R1359)),IF(R1359&gt;12,"Event hours look high. ",""),"")&amp;IF(G1359&gt;0,"See CONFIRM sheet.",""))</f>
        <v/>
      </c>
      <c r="AB1359" s="1" t="n">
        <f aca="false">IF(N1359="No",0,IF(REVIEW!O1359=0,0,IF(G1359&gt;0,IF(INDEX(CONFIRM!$J$5:$J$53,G1359)&lt;&gt;"",INDEX(CONFIRM!$J$5:$J$53,G1359),1),1)))</f>
        <v>1</v>
      </c>
      <c r="AC1359" s="1" t="n">
        <f aca="false">IF(AB1359=1,IF(COUNTIFS($B$5:B1359,B1359,$D$5:D1359,D1359,$AB$5:AB1359,1)=1,1,0),0)</f>
        <v>0</v>
      </c>
    </row>
    <row r="1360" customFormat="false" ht="15" hidden="false" customHeight="false" outlineLevel="0" collapsed="false">
      <c r="A1360" s="48" t="str">
        <f aca="false">STACK!A1360</f>
        <v>WCH-0253</v>
      </c>
      <c r="B1360" s="48" t="str">
        <f aca="false">STACK!B1360</f>
        <v>WCH</v>
      </c>
      <c r="C1360" s="48" t="str">
        <f aca="false">STACK!E1360</f>
        <v>paramedic students</v>
      </c>
      <c r="D1360" s="1" t="str">
        <f aca="false">IFERROR(INDEX(MAP!$J$7:$J$101,MATCH(TRIM(C1360),MAP!$I$7:$I$101,0)),"UNMAPPED")</f>
        <v>Paramedic Student Field Training</v>
      </c>
      <c r="E1360" s="1" t="str">
        <f aca="false">IFERROR(INDEX(MAP!$K$7:$K$101,MATCH(TRIM(C1360),MAP!$I$7:$I$101,0)),"")</f>
        <v>Health workforce</v>
      </c>
      <c r="F1360" s="1" t="str">
        <f aca="false">IFERROR(INDEX(MAP!$L$7:$L$101,MATCH(TRIM(C1360),MAP!$I$7:$I$101,0)),"")</f>
        <v>Monthly</v>
      </c>
      <c r="G1360" s="1" t="n">
        <f aca="false">IFERROR(MATCH(A1360,CONFIRM!$A$5:$A$53,0),0)</f>
        <v>0</v>
      </c>
      <c r="H1360" s="48" t="str">
        <f aca="false">STACK!F1360</f>
        <v>health professions ed</v>
      </c>
      <c r="I1360" s="1" t="str">
        <f aca="false">IF(G1360&gt;0,IF(INDEX(CONFIRM!$I$5:$I$53,G1360)&lt;&gt;"",INDEX(CONFIRM!$I$5:$I$53,G1360),H1360),H1360)</f>
        <v>health professions ed</v>
      </c>
      <c r="J1360" s="1" t="str">
        <f aca="false">IFERROR(INDEX(MAP!$F$7:$F$74,MATCH(TRIM(I1360),MAP!$E$7:$E$74,0)),"UNMAPPED")</f>
        <v>Health professions education</v>
      </c>
      <c r="K1360" s="1" t="str">
        <f aca="false">IFERROR(INDEX(MAP!$G$7:$G$74,MATCH(TRIM(I1360),MAP!$E$7:$E$74,0)),"UNMAPPED")</f>
        <v>7f</v>
      </c>
      <c r="L1360" s="49" t="str">
        <f aca="false">STACK!G1360</f>
        <v>5/31/26</v>
      </c>
      <c r="M1360" s="59" t="n">
        <f aca="false">IF(G1360&gt;0,IF(INDEX(CONFIRM!$G$5:$G$53,G1360)&lt;&gt;"",INDEX(CONFIRM!$G$5:$G$53,G1360),IF(ISNUMBER(L1360),L1360,IFERROR(DATEVALUE(L1360),""))),IF(ISNUMBER(L1360),L1360,IFERROR(DATEVALUE(L1360),"")))</f>
        <v>46173</v>
      </c>
      <c r="N1360" s="1" t="str">
        <f aca="false">IF(M1360="","Check",IF(AND(M1360&gt;=INPUTS!$C$6,M1360&lt;=INPUTS!$C$7),"Yes","No"))</f>
        <v>Yes</v>
      </c>
      <c r="O1360" s="48" t="str">
        <f aca="false">STACK!H1360</f>
        <v>Flight Paramedic</v>
      </c>
      <c r="P1360" s="1" t="str">
        <f aca="false">IF(G1360&gt;0,IF(INDEX(CONFIRM!$H$5:$H$53,G1360)&lt;&gt;"",INDEX(CONFIRM!$H$5:$H$53,G1360),IFERROR(INDEX(MAP!$B$7:$B$156,MATCH(TRIM(O1360),MAP!$A$7:$A$156,0)),"UNMAPPED")),IFERROR(INDEX(MAP!$B$7:$B$156,MATCH(TRIM(O1360),MAP!$A$7:$A$156,0)),"UNMAPPED"))</f>
        <v>Paramedic</v>
      </c>
      <c r="Q1360" s="48" t="str">
        <f aca="false">STACK!I1360</f>
        <v>36.75 hr</v>
      </c>
      <c r="R1360" s="60" t="n">
        <f aca="false">IF(G1360&gt;0,IF(INDEX(CONFIRM!$F$5:$F$53,G1360)&lt;&gt;"",INDEX(CONFIRM!$F$5:$F$53,G1360),IF(ISNUMBER(Q1360),Q1360,IF(Q1360="","",IFERROR(VALUE(TRIM(SUBSTITUTE(SUBSTITUTE(LOWER(Q1360),"hrs",""),"hr",""))),"")))),IF(ISNUMBER(Q1360),Q1360,IF(Q1360="","",IFERROR(VALUE(TRIM(SUBSTITUTE(SUBSTITUTE(LOWER(Q1360),"hrs",""),"hr",""))),""))))</f>
        <v>36.75</v>
      </c>
      <c r="S1360" s="57" t="n">
        <f aca="false">IFERROR(INDEX(RATES!$E$6:$E$28,MATCH(P1360,RATES!$A$6:$A$28,0)),0)</f>
        <v>34.695</v>
      </c>
      <c r="T1360" s="61" t="n">
        <f aca="false">IF(ISNUMBER(R1360),R1360,0)*S1360</f>
        <v>1275.04125</v>
      </c>
      <c r="U1360" s="61" t="n">
        <f aca="false">T1360*INDEX(INPUTS!$H$10:$H$14,MATCH(B1360,INPUTS!$A$10:$A$14,0))</f>
        <v>179.78081625</v>
      </c>
      <c r="V1360" s="61" t="n">
        <f aca="false">N(STACK!K1360)</f>
        <v>45</v>
      </c>
      <c r="W1360" s="61" t="n">
        <f aca="false">T1360+U1360+V1360</f>
        <v>1499.82206625</v>
      </c>
      <c r="X1360" s="61" t="n">
        <f aca="false">N(STACK!L1360)</f>
        <v>0</v>
      </c>
      <c r="Y1360" s="61" t="n">
        <f aca="false">W1360-X1360</f>
        <v>1499.82206625</v>
      </c>
      <c r="Z1360" s="1" t="n">
        <f aca="false">N(STACK!J1360)</f>
        <v>4</v>
      </c>
      <c r="AA1360" s="1" t="str">
        <f aca="false">TRIM(IF(D1360="UNMAPPED","Program not mapped. ","")&amp;IF(OR(K1360="UNMAPPED",K1360="UNASSIGNED"),"Category needs review. ","")&amp;IF(P1360="UNMAPPED","Title not mapped. ","")&amp;IF(AND(P1360&lt;&gt;"No staff time",R1360=""),"Missing hours. ","")&amp;IF(M1360="","Date not readable. ","")&amp;IF(N1360="No","Outside fiscal year. ","")&amp;IF(AND(F1360="Event",ISNUMBER(R1360)),IF(R1360&gt;12,"Event hours look high. ",""),"")&amp;IF(G1360&gt;0,"See CONFIRM sheet.",""))</f>
        <v/>
      </c>
      <c r="AB1360" s="1" t="n">
        <f aca="false">IF(N1360="No",0,IF(REVIEW!O1360=0,0,IF(G1360&gt;0,IF(INDEX(CONFIRM!$J$5:$J$53,G1360)&lt;&gt;"",INDEX(CONFIRM!$J$5:$J$53,G1360),1),1)))</f>
        <v>1</v>
      </c>
      <c r="AC1360" s="1" t="n">
        <f aca="false">IF(AB1360=1,IF(COUNTIFS($B$5:B1360,B1360,$D$5:D1360,D1360,$AB$5:AB1360,1)=1,1,0),0)</f>
        <v>0</v>
      </c>
    </row>
    <row r="1361" customFormat="false" ht="15" hidden="false" customHeight="false" outlineLevel="0" collapsed="false">
      <c r="A1361" s="48" t="str">
        <f aca="false">STACK!A1361</f>
        <v>WCH-0254</v>
      </c>
      <c r="B1361" s="48" t="str">
        <f aca="false">STACK!B1361</f>
        <v>WCH</v>
      </c>
      <c r="C1361" s="48" t="str">
        <f aca="false">STACK!E1361</f>
        <v>rural maternal study</v>
      </c>
      <c r="D1361" s="1" t="str">
        <f aca="false">IFERROR(INDEX(MAP!$J$7:$J$101,MATCH(TRIM(C1361),MAP!$I$7:$I$101,0)),"UNMAPPED")</f>
        <v>Rural Maternal Outcomes Study</v>
      </c>
      <c r="E1361" s="1" t="str">
        <f aca="false">IFERROR(INDEX(MAP!$K$7:$K$101,MATCH(TRIM(C1361),MAP!$I$7:$I$101,0)),"")</f>
        <v>Maternal and child health</v>
      </c>
      <c r="F1361" s="1" t="str">
        <f aca="false">IFERROR(INDEX(MAP!$L$7:$L$101,MATCH(TRIM(C1361),MAP!$I$7:$I$101,0)),"")</f>
        <v>Monthly</v>
      </c>
      <c r="G1361" s="1" t="n">
        <f aca="false">IFERROR(MATCH(A1361,CONFIRM!$A$5:$A$53,0),0)</f>
        <v>0</v>
      </c>
      <c r="H1361" s="48" t="str">
        <f aca="false">STACK!F1361</f>
        <v>research</v>
      </c>
      <c r="I1361" s="1" t="str">
        <f aca="false">IF(G1361&gt;0,IF(INDEX(CONFIRM!$I$5:$I$53,G1361)&lt;&gt;"",INDEX(CONFIRM!$I$5:$I$53,G1361),H1361),H1361)</f>
        <v>research</v>
      </c>
      <c r="J1361" s="1" t="str">
        <f aca="false">IFERROR(INDEX(MAP!$F$7:$F$74,MATCH(TRIM(I1361),MAP!$E$7:$E$74,0)),"UNMAPPED")</f>
        <v>Research</v>
      </c>
      <c r="K1361" s="1" t="str">
        <f aca="false">IFERROR(INDEX(MAP!$G$7:$G$74,MATCH(TRIM(I1361),MAP!$E$7:$E$74,0)),"UNMAPPED")</f>
        <v>7h</v>
      </c>
      <c r="L1361" s="49" t="n">
        <f aca="false">STACK!G1361</f>
        <v>46173</v>
      </c>
      <c r="M1361" s="59" t="n">
        <f aca="false">IF(G1361&gt;0,IF(INDEX(CONFIRM!$G$5:$G$53,G1361)&lt;&gt;"",INDEX(CONFIRM!$G$5:$G$53,G1361),IF(ISNUMBER(L1361),L1361,IFERROR(DATEVALUE(L1361),""))),IF(ISNUMBER(L1361),L1361,IFERROR(DATEVALUE(L1361),"")))</f>
        <v>46173</v>
      </c>
      <c r="N1361" s="1" t="str">
        <f aca="false">IF(M1361="","Check",IF(AND(M1361&gt;=INPUTS!$C$6,M1361&lt;=INPUTS!$C$7),"Yes","No"))</f>
        <v>Yes</v>
      </c>
      <c r="O1361" s="48" t="str">
        <f aca="false">STACK!H1361</f>
        <v>Data Analyst</v>
      </c>
      <c r="P1361" s="1" t="str">
        <f aca="false">IF(G1361&gt;0,IF(INDEX(CONFIRM!$H$5:$H$53,G1361)&lt;&gt;"",INDEX(CONFIRM!$H$5:$H$53,G1361),IFERROR(INDEX(MAP!$B$7:$B$156,MATCH(TRIM(O1361),MAP!$A$7:$A$156,0)),"UNMAPPED")),IFERROR(INDEX(MAP!$B$7:$B$156,MATCH(TRIM(O1361),MAP!$A$7:$A$156,0)),"UNMAPPED"))</f>
        <v>Data Analyst</v>
      </c>
      <c r="Q1361" s="48" t="n">
        <f aca="false">STACK!I1361</f>
        <v>14</v>
      </c>
      <c r="R1361" s="60" t="n">
        <f aca="false">IF(G1361&gt;0,IF(INDEX(CONFIRM!$F$5:$F$53,G1361)&lt;&gt;"",INDEX(CONFIRM!$F$5:$F$53,G1361),IF(ISNUMBER(Q1361),Q1361,IF(Q1361="","",IFERROR(VALUE(TRIM(SUBSTITUTE(SUBSTITUTE(LOWER(Q1361),"hrs",""),"hr",""))),"")))),IF(ISNUMBER(Q1361),Q1361,IF(Q1361="","",IFERROR(VALUE(TRIM(SUBSTITUTE(SUBSTITUTE(LOWER(Q1361),"hrs",""),"hr",""))),""))))</f>
        <v>14</v>
      </c>
      <c r="S1361" s="57" t="n">
        <f aca="false">IFERROR(INDEX(RATES!$E$6:$E$28,MATCH(P1361,RATES!$A$6:$A$28,0)),0)</f>
        <v>48.83</v>
      </c>
      <c r="T1361" s="61" t="n">
        <f aca="false">IF(ISNUMBER(R1361),R1361,0)*S1361</f>
        <v>683.62</v>
      </c>
      <c r="U1361" s="61" t="n">
        <f aca="false">T1361*INDEX(INPUTS!$H$10:$H$14,MATCH(B1361,INPUTS!$A$10:$A$14,0))</f>
        <v>96.39042</v>
      </c>
      <c r="V1361" s="61" t="n">
        <f aca="false">N(STACK!K1361)</f>
        <v>0</v>
      </c>
      <c r="W1361" s="61" t="n">
        <f aca="false">T1361+U1361+V1361</f>
        <v>780.01042</v>
      </c>
      <c r="X1361" s="61" t="n">
        <f aca="false">N(STACK!L1361)</f>
        <v>0</v>
      </c>
      <c r="Y1361" s="61" t="n">
        <f aca="false">W1361-X1361</f>
        <v>780.01042</v>
      </c>
      <c r="Z1361" s="1" t="n">
        <f aca="false">N(STACK!J1361)</f>
        <v>0</v>
      </c>
      <c r="AA1361" s="1" t="str">
        <f aca="false">TRIM(IF(D1361="UNMAPPED","Program not mapped. ","")&amp;IF(OR(K1361="UNMAPPED",K1361="UNASSIGNED"),"Category needs review. ","")&amp;IF(P1361="UNMAPPED","Title not mapped. ","")&amp;IF(AND(P1361&lt;&gt;"No staff time",R1361=""),"Missing hours. ","")&amp;IF(M1361="","Date not readable. ","")&amp;IF(N1361="No","Outside fiscal year. ","")&amp;IF(AND(F1361="Event",ISNUMBER(R1361)),IF(R1361&gt;12,"Event hours look high. ",""),"")&amp;IF(G1361&gt;0,"See CONFIRM sheet.",""))</f>
        <v/>
      </c>
      <c r="AB1361" s="1" t="n">
        <f aca="false">IF(N1361="No",0,IF(REVIEW!O1361=0,0,IF(G1361&gt;0,IF(INDEX(CONFIRM!$J$5:$J$53,G1361)&lt;&gt;"",INDEX(CONFIRM!$J$5:$J$53,G1361),1),1)))</f>
        <v>1</v>
      </c>
      <c r="AC1361" s="1" t="n">
        <f aca="false">IF(AB1361=1,IF(COUNTIFS($B$5:B1361,B1361,$D$5:D1361,D1361,$AB$5:AB1361,1)=1,1,0),0)</f>
        <v>0</v>
      </c>
    </row>
    <row r="1362" customFormat="false" ht="15" hidden="false" customHeight="false" outlineLevel="0" collapsed="false">
      <c r="A1362" s="48" t="str">
        <f aca="false">STACK!A1362</f>
        <v>WCH-0255</v>
      </c>
      <c r="B1362" s="48" t="str">
        <f aca="false">STACK!B1362</f>
        <v>WCH</v>
      </c>
      <c r="C1362" s="48" t="str">
        <f aca="false">STACK!E1362</f>
        <v>rural maternal study</v>
      </c>
      <c r="D1362" s="1" t="str">
        <f aca="false">IFERROR(INDEX(MAP!$J$7:$J$101,MATCH(TRIM(C1362),MAP!$I$7:$I$101,0)),"UNMAPPED")</f>
        <v>Rural Maternal Outcomes Study</v>
      </c>
      <c r="E1362" s="1" t="str">
        <f aca="false">IFERROR(INDEX(MAP!$K$7:$K$101,MATCH(TRIM(C1362),MAP!$I$7:$I$101,0)),"")</f>
        <v>Maternal and child health</v>
      </c>
      <c r="F1362" s="1" t="str">
        <f aca="false">IFERROR(INDEX(MAP!$L$7:$L$101,MATCH(TRIM(C1362),MAP!$I$7:$I$101,0)),"")</f>
        <v>Monthly</v>
      </c>
      <c r="G1362" s="1" t="n">
        <f aca="false">IFERROR(MATCH(A1362,CONFIRM!$A$5:$A$53,0),0)</f>
        <v>0</v>
      </c>
      <c r="H1362" s="48" t="str">
        <f aca="false">STACK!F1362</f>
        <v>research</v>
      </c>
      <c r="I1362" s="1" t="str">
        <f aca="false">IF(G1362&gt;0,IF(INDEX(CONFIRM!$I$5:$I$53,G1362)&lt;&gt;"",INDEX(CONFIRM!$I$5:$I$53,G1362),H1362),H1362)</f>
        <v>research</v>
      </c>
      <c r="J1362" s="1" t="str">
        <f aca="false">IFERROR(INDEX(MAP!$F$7:$F$74,MATCH(TRIM(I1362),MAP!$E$7:$E$74,0)),"UNMAPPED")</f>
        <v>Research</v>
      </c>
      <c r="K1362" s="1" t="str">
        <f aca="false">IFERROR(INDEX(MAP!$G$7:$G$74,MATCH(TRIM(I1362),MAP!$E$7:$E$74,0)),"UNMAPPED")</f>
        <v>7h</v>
      </c>
      <c r="L1362" s="49" t="str">
        <f aca="false">STACK!G1362</f>
        <v>5/31/26</v>
      </c>
      <c r="M1362" s="59" t="n">
        <f aca="false">IF(G1362&gt;0,IF(INDEX(CONFIRM!$G$5:$G$53,G1362)&lt;&gt;"",INDEX(CONFIRM!$G$5:$G$53,G1362),IF(ISNUMBER(L1362),L1362,IFERROR(DATEVALUE(L1362),""))),IF(ISNUMBER(L1362),L1362,IFERROR(DATEVALUE(L1362),"")))</f>
        <v>46173</v>
      </c>
      <c r="N1362" s="1" t="str">
        <f aca="false">IF(M1362="","Check",IF(AND(M1362&gt;=INPUTS!$C$6,M1362&lt;=INPUTS!$C$7),"Yes","No"))</f>
        <v>Yes</v>
      </c>
      <c r="O1362" s="48" t="str">
        <f aca="false">STACK!H1362</f>
        <v>Research Coordinator</v>
      </c>
      <c r="P1362" s="1" t="str">
        <f aca="false">IF(G1362&gt;0,IF(INDEX(CONFIRM!$H$5:$H$53,G1362)&lt;&gt;"",INDEX(CONFIRM!$H$5:$H$53,G1362),IFERROR(INDEX(MAP!$B$7:$B$156,MATCH(TRIM(O1362),MAP!$A$7:$A$156,0)),"UNMAPPED")),IFERROR(INDEX(MAP!$B$7:$B$156,MATCH(TRIM(O1362),MAP!$A$7:$A$156,0)),"UNMAPPED"))</f>
        <v>Research Coordinator</v>
      </c>
      <c r="Q1362" s="48" t="str">
        <f aca="false">STACK!I1362</f>
        <v>42 hr</v>
      </c>
      <c r="R1362" s="60" t="n">
        <f aca="false">IF(G1362&gt;0,IF(INDEX(CONFIRM!$F$5:$F$53,G1362)&lt;&gt;"",INDEX(CONFIRM!$F$5:$F$53,G1362),IF(ISNUMBER(Q1362),Q1362,IF(Q1362="","",IFERROR(VALUE(TRIM(SUBSTITUTE(SUBSTITUTE(LOWER(Q1362),"hrs",""),"hr",""))),"")))),IF(ISNUMBER(Q1362),Q1362,IF(Q1362="","",IFERROR(VALUE(TRIM(SUBSTITUTE(SUBSTITUTE(LOWER(Q1362),"hrs",""),"hr",""))),""))))</f>
        <v>42</v>
      </c>
      <c r="S1362" s="57" t="n">
        <f aca="false">IFERROR(INDEX(RATES!$E$6:$E$28,MATCH(P1362,RATES!$A$6:$A$28,0)),0)</f>
        <v>42.405</v>
      </c>
      <c r="T1362" s="61" t="n">
        <f aca="false">IF(ISNUMBER(R1362),R1362,0)*S1362</f>
        <v>1781.01</v>
      </c>
      <c r="U1362" s="61" t="n">
        <f aca="false">T1362*INDEX(INPUTS!$H$10:$H$14,MATCH(B1362,INPUTS!$A$10:$A$14,0))</f>
        <v>251.12241</v>
      </c>
      <c r="V1362" s="61" t="n">
        <f aca="false">N(STACK!K1362)</f>
        <v>1760</v>
      </c>
      <c r="W1362" s="61" t="n">
        <f aca="false">T1362+U1362+V1362</f>
        <v>3792.13241</v>
      </c>
      <c r="X1362" s="61" t="n">
        <f aca="false">N(STACK!L1362)</f>
        <v>3635</v>
      </c>
      <c r="Y1362" s="61" t="n">
        <f aca="false">W1362-X1362</f>
        <v>157.13241</v>
      </c>
      <c r="Z1362" s="1" t="n">
        <f aca="false">N(STACK!J1362)</f>
        <v>16</v>
      </c>
      <c r="AA1362" s="1" t="str">
        <f aca="false">TRIM(IF(D1362="UNMAPPED","Program not mapped. ","")&amp;IF(OR(K1362="UNMAPPED",K1362="UNASSIGNED"),"Category needs review. ","")&amp;IF(P1362="UNMAPPED","Title not mapped. ","")&amp;IF(AND(P1362&lt;&gt;"No staff time",R1362=""),"Missing hours. ","")&amp;IF(M1362="","Date not readable. ","")&amp;IF(N1362="No","Outside fiscal year. ","")&amp;IF(AND(F1362="Event",ISNUMBER(R1362)),IF(R1362&gt;12,"Event hours look high. ",""),"")&amp;IF(G1362&gt;0,"See CONFIRM sheet.",""))</f>
        <v/>
      </c>
      <c r="AB1362" s="1" t="n">
        <f aca="false">IF(N1362="No",0,IF(REVIEW!O1362=0,0,IF(G1362&gt;0,IF(INDEX(CONFIRM!$J$5:$J$53,G1362)&lt;&gt;"",INDEX(CONFIRM!$J$5:$J$53,G1362),1),1)))</f>
        <v>1</v>
      </c>
      <c r="AC1362" s="1" t="n">
        <f aca="false">IF(AB1362=1,IF(COUNTIFS($B$5:B1362,B1362,$D$5:D1362,D1362,$AB$5:AB1362,1)=1,1,0),0)</f>
        <v>0</v>
      </c>
    </row>
    <row r="1363" customFormat="false" ht="15" hidden="false" customHeight="false" outlineLevel="0" collapsed="false">
      <c r="A1363" s="48" t="str">
        <f aca="false">STACK!A1363</f>
        <v>WCH-0256</v>
      </c>
      <c r="B1363" s="48" t="str">
        <f aca="false">STACK!B1363</f>
        <v>WCH</v>
      </c>
      <c r="C1363" s="48" t="str">
        <f aca="false">STACK!E1363</f>
        <v>grief group</v>
      </c>
      <c r="D1363" s="1" t="str">
        <f aca="false">IFERROR(INDEX(MAP!$J$7:$J$101,MATCH(TRIM(C1363),MAP!$I$7:$I$101,0)),"UNMAPPED")</f>
        <v>Grief Support Group</v>
      </c>
      <c r="E1363" s="1" t="str">
        <f aca="false">IFERROR(INDEX(MAP!$K$7:$K$101,MATCH(TRIM(C1363),MAP!$I$7:$I$101,0)),"")</f>
        <v>Behavioral health</v>
      </c>
      <c r="F1363" s="1" t="str">
        <f aca="false">IFERROR(INDEX(MAP!$L$7:$L$101,MATCH(TRIM(C1363),MAP!$I$7:$I$101,0)),"")</f>
        <v>Event</v>
      </c>
      <c r="G1363" s="1" t="n">
        <f aca="false">IFERROR(MATCH(A1363,CONFIRM!$A$5:$A$53,0),0)</f>
        <v>0</v>
      </c>
      <c r="H1363" s="48" t="str">
        <f aca="false">STACK!F1363</f>
        <v>CHIS support</v>
      </c>
      <c r="I1363" s="1" t="str">
        <f aca="false">IF(G1363&gt;0,IF(INDEX(CONFIRM!$I$5:$I$53,G1363)&lt;&gt;"",INDEX(CONFIRM!$I$5:$I$53,G1363),H1363),H1363)</f>
        <v>CHIS support</v>
      </c>
      <c r="J1363" s="1" t="str">
        <f aca="false">IFERROR(INDEX(MAP!$F$7:$F$74,MATCH(TRIM(I1363),MAP!$E$7:$E$74,0)),"UNMAPPED")</f>
        <v>Health care support services</v>
      </c>
      <c r="K1363" s="1" t="str">
        <f aca="false">IFERROR(INDEX(MAP!$G$7:$G$74,MATCH(TRIM(I1363),MAP!$E$7:$E$74,0)),"UNMAPPED")</f>
        <v>7e</v>
      </c>
      <c r="L1363" s="49" t="n">
        <f aca="false">STACK!G1363</f>
        <v>46178</v>
      </c>
      <c r="M1363" s="59" t="n">
        <f aca="false">IF(G1363&gt;0,IF(INDEX(CONFIRM!$G$5:$G$53,G1363)&lt;&gt;"",INDEX(CONFIRM!$G$5:$G$53,G1363),IF(ISNUMBER(L1363),L1363,IFERROR(DATEVALUE(L1363),""))),IF(ISNUMBER(L1363),L1363,IFERROR(DATEVALUE(L1363),"")))</f>
        <v>46178</v>
      </c>
      <c r="N1363" s="1" t="str">
        <f aca="false">IF(M1363="","Check",IF(AND(M1363&gt;=INPUTS!$C$6,M1363&lt;=INPUTS!$C$7),"Yes","No"))</f>
        <v>Yes</v>
      </c>
      <c r="O1363" s="48" t="str">
        <f aca="false">STACK!H1363</f>
        <v>Spiritual Care</v>
      </c>
      <c r="P1363" s="1" t="str">
        <f aca="false">IF(G1363&gt;0,IF(INDEX(CONFIRM!$H$5:$H$53,G1363)&lt;&gt;"",INDEX(CONFIRM!$H$5:$H$53,G1363),IFERROR(INDEX(MAP!$B$7:$B$156,MATCH(TRIM(O1363),MAP!$A$7:$A$156,0)),"UNMAPPED")),IFERROR(INDEX(MAP!$B$7:$B$156,MATCH(TRIM(O1363),MAP!$A$7:$A$156,0)),"UNMAPPED"))</f>
        <v>Chaplain</v>
      </c>
      <c r="Q1363" s="48" t="n">
        <f aca="false">STACK!I1363</f>
        <v>2</v>
      </c>
      <c r="R1363" s="60" t="n">
        <f aca="false">IF(G1363&gt;0,IF(INDEX(CONFIRM!$F$5:$F$53,G1363)&lt;&gt;"",INDEX(CONFIRM!$F$5:$F$53,G1363),IF(ISNUMBER(Q1363),Q1363,IF(Q1363="","",IFERROR(VALUE(TRIM(SUBSTITUTE(SUBSTITUTE(LOWER(Q1363),"hrs",""),"hr",""))),"")))),IF(ISNUMBER(Q1363),Q1363,IF(Q1363="","",IFERROR(VALUE(TRIM(SUBSTITUTE(SUBSTITUTE(LOWER(Q1363),"hrs",""),"hr",""))),""))))</f>
        <v>2</v>
      </c>
      <c r="S1363" s="57" t="n">
        <f aca="false">IFERROR(INDEX(RATES!$E$6:$E$28,MATCH(P1363,RATES!$A$6:$A$28,0)),0)</f>
        <v>39.835</v>
      </c>
      <c r="T1363" s="61" t="n">
        <f aca="false">IF(ISNUMBER(R1363),R1363,0)*S1363</f>
        <v>79.67</v>
      </c>
      <c r="U1363" s="61" t="n">
        <f aca="false">T1363*INDEX(INPUTS!$H$10:$H$14,MATCH(B1363,INPUTS!$A$10:$A$14,0))</f>
        <v>11.23347</v>
      </c>
      <c r="V1363" s="61" t="n">
        <f aca="false">N(STACK!K1363)</f>
        <v>55</v>
      </c>
      <c r="W1363" s="61" t="n">
        <f aca="false">T1363+U1363+V1363</f>
        <v>145.90347</v>
      </c>
      <c r="X1363" s="61" t="n">
        <f aca="false">N(STACK!L1363)</f>
        <v>0</v>
      </c>
      <c r="Y1363" s="61" t="n">
        <f aca="false">W1363-X1363</f>
        <v>145.90347</v>
      </c>
      <c r="Z1363" s="1" t="n">
        <f aca="false">N(STACK!J1363)</f>
        <v>8</v>
      </c>
      <c r="AA1363" s="1" t="str">
        <f aca="false">TRIM(IF(D1363="UNMAPPED","Program not mapped. ","")&amp;IF(OR(K1363="UNMAPPED",K1363="UNASSIGNED"),"Category needs review. ","")&amp;IF(P1363="UNMAPPED","Title not mapped. ","")&amp;IF(AND(P1363&lt;&gt;"No staff time",R1363=""),"Missing hours. ","")&amp;IF(M1363="","Date not readable. ","")&amp;IF(N1363="No","Outside fiscal year. ","")&amp;IF(AND(F1363="Event",ISNUMBER(R1363)),IF(R1363&gt;12,"Event hours look high. ",""),"")&amp;IF(G1363&gt;0,"See CONFIRM sheet.",""))</f>
        <v/>
      </c>
      <c r="AB1363" s="1" t="n">
        <f aca="false">IF(N1363="No",0,IF(REVIEW!O1363=0,0,IF(G1363&gt;0,IF(INDEX(CONFIRM!$J$5:$J$53,G1363)&lt;&gt;"",INDEX(CONFIRM!$J$5:$J$53,G1363),1),1)))</f>
        <v>1</v>
      </c>
      <c r="AC1363" s="1" t="n">
        <f aca="false">IF(AB1363=1,IF(COUNTIFS($B$5:B1363,B1363,$D$5:D1363,D1363,$AB$5:AB1363,1)=1,1,0),0)</f>
        <v>0</v>
      </c>
    </row>
    <row r="1364" customFormat="false" ht="15" hidden="false" customHeight="false" outlineLevel="0" collapsed="false">
      <c r="A1364" s="48" t="str">
        <f aca="false">STACK!A1364</f>
        <v>WCH-0257</v>
      </c>
      <c r="B1364" s="48" t="str">
        <f aca="false">STACK!B1364</f>
        <v>WCH</v>
      </c>
      <c r="C1364" s="48" t="str">
        <f aca="false">STACK!E1364</f>
        <v>grief group</v>
      </c>
      <c r="D1364" s="1" t="str">
        <f aca="false">IFERROR(INDEX(MAP!$J$7:$J$101,MATCH(TRIM(C1364),MAP!$I$7:$I$101,0)),"UNMAPPED")</f>
        <v>Grief Support Group</v>
      </c>
      <c r="E1364" s="1" t="str">
        <f aca="false">IFERROR(INDEX(MAP!$K$7:$K$101,MATCH(TRIM(C1364),MAP!$I$7:$I$101,0)),"")</f>
        <v>Behavioral health</v>
      </c>
      <c r="F1364" s="1" t="str">
        <f aca="false">IFERROR(INDEX(MAP!$L$7:$L$101,MATCH(TRIM(C1364),MAP!$I$7:$I$101,0)),"")</f>
        <v>Event</v>
      </c>
      <c r="G1364" s="1" t="n">
        <f aca="false">IFERROR(MATCH(A1364,CONFIRM!$A$5:$A$53,0),0)</f>
        <v>0</v>
      </c>
      <c r="H1364" s="48" t="str">
        <f aca="false">STACK!F1364</f>
        <v>CHIS support</v>
      </c>
      <c r="I1364" s="1" t="str">
        <f aca="false">IF(G1364&gt;0,IF(INDEX(CONFIRM!$I$5:$I$53,G1364)&lt;&gt;"",INDEX(CONFIRM!$I$5:$I$53,G1364),H1364),H1364)</f>
        <v>CHIS support</v>
      </c>
      <c r="J1364" s="1" t="str">
        <f aca="false">IFERROR(INDEX(MAP!$F$7:$F$74,MATCH(TRIM(I1364),MAP!$E$7:$E$74,0)),"UNMAPPED")</f>
        <v>Health care support services</v>
      </c>
      <c r="K1364" s="1" t="str">
        <f aca="false">IFERROR(INDEX(MAP!$G$7:$G$74,MATCH(TRIM(I1364),MAP!$E$7:$E$74,0)),"UNMAPPED")</f>
        <v>7e</v>
      </c>
      <c r="L1364" s="49" t="n">
        <f aca="false">STACK!G1364</f>
        <v>46178</v>
      </c>
      <c r="M1364" s="59" t="n">
        <f aca="false">IF(G1364&gt;0,IF(INDEX(CONFIRM!$G$5:$G$53,G1364)&lt;&gt;"",INDEX(CONFIRM!$G$5:$G$53,G1364),IF(ISNUMBER(L1364),L1364,IFERROR(DATEVALUE(L1364),""))),IF(ISNUMBER(L1364),L1364,IFERROR(DATEVALUE(L1364),"")))</f>
        <v>46178</v>
      </c>
      <c r="N1364" s="1" t="str">
        <f aca="false">IF(M1364="","Check",IF(AND(M1364&gt;=INPUTS!$C$6,M1364&lt;=INPUTS!$C$7),"Yes","No"))</f>
        <v>Yes</v>
      </c>
      <c r="O1364" s="48" t="str">
        <f aca="false">STACK!H1364</f>
        <v>MSW</v>
      </c>
      <c r="P1364" s="1" t="str">
        <f aca="false">IF(G1364&gt;0,IF(INDEX(CONFIRM!$H$5:$H$53,G1364)&lt;&gt;"",INDEX(CONFIRM!$H$5:$H$53,G1364),IFERROR(INDEX(MAP!$B$7:$B$156,MATCH(TRIM(O1364),MAP!$A$7:$A$156,0)),"UNMAPPED")),IFERROR(INDEX(MAP!$B$7:$B$156,MATCH(TRIM(O1364),MAP!$A$7:$A$156,0)),"UNMAPPED"))</f>
        <v>Social Worker</v>
      </c>
      <c r="Q1364" s="48" t="n">
        <f aca="false">STACK!I1364</f>
        <v>1.75</v>
      </c>
      <c r="R1364" s="60" t="n">
        <f aca="false">IF(G1364&gt;0,IF(INDEX(CONFIRM!$F$5:$F$53,G1364)&lt;&gt;"",INDEX(CONFIRM!$F$5:$F$53,G1364),IF(ISNUMBER(Q1364),Q1364,IF(Q1364="","",IFERROR(VALUE(TRIM(SUBSTITUTE(SUBSTITUTE(LOWER(Q1364),"hrs",""),"hr",""))),"")))),IF(ISNUMBER(Q1364),Q1364,IF(Q1364="","",IFERROR(VALUE(TRIM(SUBSTITUTE(SUBSTITUTE(LOWER(Q1364),"hrs",""),"hr",""))),""))))</f>
        <v>1.75</v>
      </c>
      <c r="S1364" s="57" t="n">
        <f aca="false">IFERROR(INDEX(RATES!$E$6:$E$28,MATCH(P1364,RATES!$A$6:$A$28,0)),0)</f>
        <v>45.6175</v>
      </c>
      <c r="T1364" s="61" t="n">
        <f aca="false">IF(ISNUMBER(R1364),R1364,0)*S1364</f>
        <v>79.830625</v>
      </c>
      <c r="U1364" s="61" t="n">
        <f aca="false">T1364*INDEX(INPUTS!$H$10:$H$14,MATCH(B1364,INPUTS!$A$10:$A$14,0))</f>
        <v>11.256118125</v>
      </c>
      <c r="V1364" s="61" t="n">
        <f aca="false">N(STACK!K1364)</f>
        <v>0</v>
      </c>
      <c r="W1364" s="61" t="n">
        <f aca="false">T1364+U1364+V1364</f>
        <v>91.086743125</v>
      </c>
      <c r="X1364" s="61" t="n">
        <f aca="false">N(STACK!L1364)</f>
        <v>0</v>
      </c>
      <c r="Y1364" s="61" t="n">
        <f aca="false">W1364-X1364</f>
        <v>91.086743125</v>
      </c>
      <c r="Z1364" s="1" t="n">
        <f aca="false">N(STACK!J1364)</f>
        <v>0</v>
      </c>
      <c r="AA1364" s="1" t="str">
        <f aca="false">TRIM(IF(D1364="UNMAPPED","Program not mapped. ","")&amp;IF(OR(K1364="UNMAPPED",K1364="UNASSIGNED"),"Category needs review. ","")&amp;IF(P1364="UNMAPPED","Title not mapped. ","")&amp;IF(AND(P1364&lt;&gt;"No staff time",R1364=""),"Missing hours. ","")&amp;IF(M1364="","Date not readable. ","")&amp;IF(N1364="No","Outside fiscal year. ","")&amp;IF(AND(F1364="Event",ISNUMBER(R1364)),IF(R1364&gt;12,"Event hours look high. ",""),"")&amp;IF(G1364&gt;0,"See CONFIRM sheet.",""))</f>
        <v/>
      </c>
      <c r="AB1364" s="1" t="n">
        <f aca="false">IF(N1364="No",0,IF(REVIEW!O1364=0,0,IF(G1364&gt;0,IF(INDEX(CONFIRM!$J$5:$J$53,G1364)&lt;&gt;"",INDEX(CONFIRM!$J$5:$J$53,G1364),1),1)))</f>
        <v>1</v>
      </c>
      <c r="AC1364" s="1" t="n">
        <f aca="false">IF(AB1364=1,IF(COUNTIFS($B$5:B1364,B1364,$D$5:D1364,D1364,$AB$5:AB1364,1)=1,1,0),0)</f>
        <v>0</v>
      </c>
    </row>
    <row r="1365" customFormat="false" ht="15" hidden="false" customHeight="false" outlineLevel="0" collapsed="false">
      <c r="A1365" s="48" t="str">
        <f aca="false">STACK!A1365</f>
        <v>WCH-0258</v>
      </c>
      <c r="B1365" s="48" t="str">
        <f aca="false">STACK!B1365</f>
        <v>WCH</v>
      </c>
      <c r="C1365" s="48" t="str">
        <f aca="false">STACK!E1365</f>
        <v>diabetes prevention class</v>
      </c>
      <c r="D1365" s="1" t="str">
        <f aca="false">IFERROR(INDEX(MAP!$J$7:$J$101,MATCH(TRIM(C1365),MAP!$I$7:$I$101,0)),"UNMAPPED")</f>
        <v>Diabetes Prevention Classes</v>
      </c>
      <c r="E1365" s="1" t="str">
        <f aca="false">IFERROR(INDEX(MAP!$K$7:$K$101,MATCH(TRIM(C1365),MAP!$I$7:$I$101,0)),"")</f>
        <v>Chronic disease prevention</v>
      </c>
      <c r="F1365" s="1" t="str">
        <f aca="false">IFERROR(INDEX(MAP!$L$7:$L$101,MATCH(TRIM(C1365),MAP!$I$7:$I$101,0)),"")</f>
        <v>Event</v>
      </c>
      <c r="G1365" s="1" t="n">
        <f aca="false">IFERROR(MATCH(A1365,CONFIRM!$A$5:$A$53,0),0)</f>
        <v>0</v>
      </c>
      <c r="H1365" s="48" t="str">
        <f aca="false">STACK!F1365</f>
        <v>community health improvement services</v>
      </c>
      <c r="I1365" s="1" t="str">
        <f aca="false">IF(G1365&gt;0,IF(INDEX(CONFIRM!$I$5:$I$53,G1365)&lt;&gt;"",INDEX(CONFIRM!$I$5:$I$53,G1365),H1365),H1365)</f>
        <v>community health improvement services</v>
      </c>
      <c r="J1365" s="1" t="str">
        <f aca="false">IFERROR(INDEX(MAP!$F$7:$F$74,MATCH(TRIM(I1365),MAP!$E$7:$E$74,0)),"UNMAPPED")</f>
        <v>Community health education</v>
      </c>
      <c r="K1365" s="1" t="str">
        <f aca="false">IFERROR(INDEX(MAP!$G$7:$G$74,MATCH(TRIM(I1365),MAP!$E$7:$E$74,0)),"UNMAPPED")</f>
        <v>7e</v>
      </c>
      <c r="L1365" s="49" t="n">
        <f aca="false">STACK!G1365</f>
        <v>46198</v>
      </c>
      <c r="M1365" s="59" t="n">
        <f aca="false">IF(G1365&gt;0,IF(INDEX(CONFIRM!$G$5:$G$53,G1365)&lt;&gt;"",INDEX(CONFIRM!$G$5:$G$53,G1365),IF(ISNUMBER(L1365),L1365,IFERROR(DATEVALUE(L1365),""))),IF(ISNUMBER(L1365),L1365,IFERROR(DATEVALUE(L1365),"")))</f>
        <v>46198</v>
      </c>
      <c r="N1365" s="1" t="str">
        <f aca="false">IF(M1365="","Check",IF(AND(M1365&gt;=INPUTS!$C$6,M1365&lt;=INPUTS!$C$7),"Yes","No"))</f>
        <v>Yes</v>
      </c>
      <c r="O1365" s="48" t="str">
        <f aca="false">STACK!H1365</f>
        <v>CHES</v>
      </c>
      <c r="P1365" s="1" t="str">
        <f aca="false">IF(G1365&gt;0,IF(INDEX(CONFIRM!$H$5:$H$53,G1365)&lt;&gt;"",INDEX(CONFIRM!$H$5:$H$53,G1365),IFERROR(INDEX(MAP!$B$7:$B$156,MATCH(TRIM(O1365),MAP!$A$7:$A$156,0)),"UNMAPPED")),IFERROR(INDEX(MAP!$B$7:$B$156,MATCH(TRIM(O1365),MAP!$A$7:$A$156,0)),"UNMAPPED"))</f>
        <v>Health Educator</v>
      </c>
      <c r="Q1365" s="48" t="n">
        <f aca="false">STACK!I1365</f>
        <v>3</v>
      </c>
      <c r="R1365" s="60" t="n">
        <f aca="false">IF(G1365&gt;0,IF(INDEX(CONFIRM!$F$5:$F$53,G1365)&lt;&gt;"",INDEX(CONFIRM!$F$5:$F$53,G1365),IF(ISNUMBER(Q1365),Q1365,IF(Q1365="","",IFERROR(VALUE(TRIM(SUBSTITUTE(SUBSTITUTE(LOWER(Q1365),"hrs",""),"hr",""))),"")))),IF(ISNUMBER(Q1365),Q1365,IF(Q1365="","",IFERROR(VALUE(TRIM(SUBSTITUTE(SUBSTITUTE(LOWER(Q1365),"hrs",""),"hr",""))),""))))</f>
        <v>3</v>
      </c>
      <c r="S1365" s="57" t="n">
        <f aca="false">IFERROR(INDEX(RATES!$E$6:$E$28,MATCH(P1365,RATES!$A$6:$A$28,0)),0)</f>
        <v>37.265</v>
      </c>
      <c r="T1365" s="61" t="n">
        <f aca="false">IF(ISNUMBER(R1365),R1365,0)*S1365</f>
        <v>111.795</v>
      </c>
      <c r="U1365" s="61" t="n">
        <f aca="false">T1365*INDEX(INPUTS!$H$10:$H$14,MATCH(B1365,INPUTS!$A$10:$A$14,0))</f>
        <v>15.763095</v>
      </c>
      <c r="V1365" s="61" t="n">
        <f aca="false">N(STACK!K1365)</f>
        <v>125</v>
      </c>
      <c r="W1365" s="61" t="n">
        <f aca="false">T1365+U1365+V1365</f>
        <v>252.558095</v>
      </c>
      <c r="X1365" s="61" t="n">
        <f aca="false">N(STACK!L1365)</f>
        <v>0</v>
      </c>
      <c r="Y1365" s="61" t="n">
        <f aca="false">W1365-X1365</f>
        <v>252.558095</v>
      </c>
      <c r="Z1365" s="1" t="n">
        <f aca="false">N(STACK!J1365)</f>
        <v>17</v>
      </c>
      <c r="AA1365" s="1" t="str">
        <f aca="false">TRIM(IF(D1365="UNMAPPED","Program not mapped. ","")&amp;IF(OR(K1365="UNMAPPED",K1365="UNASSIGNED"),"Category needs review. ","")&amp;IF(P1365="UNMAPPED","Title not mapped. ","")&amp;IF(AND(P1365&lt;&gt;"No staff time",R1365=""),"Missing hours. ","")&amp;IF(M1365="","Date not readable. ","")&amp;IF(N1365="No","Outside fiscal year. ","")&amp;IF(AND(F1365="Event",ISNUMBER(R1365)),IF(R1365&gt;12,"Event hours look high. ",""),"")&amp;IF(G1365&gt;0,"See CONFIRM sheet.",""))</f>
        <v/>
      </c>
      <c r="AB1365" s="1" t="n">
        <f aca="false">IF(N1365="No",0,IF(REVIEW!O1365=0,0,IF(G1365&gt;0,IF(INDEX(CONFIRM!$J$5:$J$53,G1365)&lt;&gt;"",INDEX(CONFIRM!$J$5:$J$53,G1365),1),1)))</f>
        <v>1</v>
      </c>
      <c r="AC1365" s="1" t="n">
        <f aca="false">IF(AB1365=1,IF(COUNTIFS($B$5:B1365,B1365,$D$5:D1365,D1365,$AB$5:AB1365,1)=1,1,0),0)</f>
        <v>0</v>
      </c>
    </row>
    <row r="1366" customFormat="false" ht="15" hidden="false" customHeight="false" outlineLevel="0" collapsed="false">
      <c r="A1366" s="48" t="str">
        <f aca="false">STACK!A1366</f>
        <v>WCH-0259</v>
      </c>
      <c r="B1366" s="48" t="str">
        <f aca="false">STACK!B1366</f>
        <v>WCH</v>
      </c>
      <c r="C1366" s="48" t="str">
        <f aca="false">STACK!E1366</f>
        <v>diabetes prevention class</v>
      </c>
      <c r="D1366" s="1" t="str">
        <f aca="false">IFERROR(INDEX(MAP!$J$7:$J$101,MATCH(TRIM(C1366),MAP!$I$7:$I$101,0)),"UNMAPPED")</f>
        <v>Diabetes Prevention Classes</v>
      </c>
      <c r="E1366" s="1" t="str">
        <f aca="false">IFERROR(INDEX(MAP!$K$7:$K$101,MATCH(TRIM(C1366),MAP!$I$7:$I$101,0)),"")</f>
        <v>Chronic disease prevention</v>
      </c>
      <c r="F1366" s="1" t="str">
        <f aca="false">IFERROR(INDEX(MAP!$L$7:$L$101,MATCH(TRIM(C1366),MAP!$I$7:$I$101,0)),"")</f>
        <v>Event</v>
      </c>
      <c r="G1366" s="1" t="n">
        <f aca="false">IFERROR(MATCH(A1366,CONFIRM!$A$5:$A$53,0),0)</f>
        <v>0</v>
      </c>
      <c r="H1366" s="48" t="str">
        <f aca="false">STACK!F1366</f>
        <v>community health improvement services</v>
      </c>
      <c r="I1366" s="1" t="str">
        <f aca="false">IF(G1366&gt;0,IF(INDEX(CONFIRM!$I$5:$I$53,G1366)&lt;&gt;"",INDEX(CONFIRM!$I$5:$I$53,G1366),H1366),H1366)</f>
        <v>community health improvement services</v>
      </c>
      <c r="J1366" s="1" t="str">
        <f aca="false">IFERROR(INDEX(MAP!$F$7:$F$74,MATCH(TRIM(I1366),MAP!$E$7:$E$74,0)),"UNMAPPED")</f>
        <v>Community health education</v>
      </c>
      <c r="K1366" s="1" t="str">
        <f aca="false">IFERROR(INDEX(MAP!$G$7:$G$74,MATCH(TRIM(I1366),MAP!$E$7:$E$74,0)),"UNMAPPED")</f>
        <v>7e</v>
      </c>
      <c r="L1366" s="49" t="n">
        <f aca="false">STACK!G1366</f>
        <v>46198</v>
      </c>
      <c r="M1366" s="59" t="n">
        <f aca="false">IF(G1366&gt;0,IF(INDEX(CONFIRM!$G$5:$G$53,G1366)&lt;&gt;"",INDEX(CONFIRM!$G$5:$G$53,G1366),IF(ISNUMBER(L1366),L1366,IFERROR(DATEVALUE(L1366),""))),IF(ISNUMBER(L1366),L1366,IFERROR(DATEVALUE(L1366),"")))</f>
        <v>46198</v>
      </c>
      <c r="N1366" s="1" t="str">
        <f aca="false">IF(M1366="","Check",IF(AND(M1366&gt;=INPUTS!$C$6,M1366&lt;=INPUTS!$C$7),"Yes","No"))</f>
        <v>Yes</v>
      </c>
      <c r="O1366" s="48" t="str">
        <f aca="false">STACK!H1366</f>
        <v>RD</v>
      </c>
      <c r="P1366" s="1" t="str">
        <f aca="false">IF(G1366&gt;0,IF(INDEX(CONFIRM!$H$5:$H$53,G1366)&lt;&gt;"",INDEX(CONFIRM!$H$5:$H$53,G1366),IFERROR(INDEX(MAP!$B$7:$B$156,MATCH(TRIM(O1366),MAP!$A$7:$A$156,0)),"UNMAPPED")),IFERROR(INDEX(MAP!$B$7:$B$156,MATCH(TRIM(O1366),MAP!$A$7:$A$156,0)),"UNMAPPED"))</f>
        <v>Registered Dietitian</v>
      </c>
      <c r="Q1366" s="48" t="n">
        <f aca="false">STACK!I1366</f>
        <v>2</v>
      </c>
      <c r="R1366" s="60" t="n">
        <f aca="false">IF(G1366&gt;0,IF(INDEX(CONFIRM!$F$5:$F$53,G1366)&lt;&gt;"",INDEX(CONFIRM!$F$5:$F$53,G1366),IF(ISNUMBER(Q1366),Q1366,IF(Q1366="","",IFERROR(VALUE(TRIM(SUBSTITUTE(SUBSTITUTE(LOWER(Q1366),"hrs",""),"hr",""))),"")))),IF(ISNUMBER(Q1366),Q1366,IF(Q1366="","",IFERROR(VALUE(TRIM(SUBSTITUTE(SUBSTITUTE(LOWER(Q1366),"hrs",""),"hr",""))),""))))</f>
        <v>2</v>
      </c>
      <c r="S1366" s="57" t="n">
        <f aca="false">IFERROR(INDEX(RATES!$E$6:$E$28,MATCH(P1366,RATES!$A$6:$A$28,0)),0)</f>
        <v>46.9025</v>
      </c>
      <c r="T1366" s="61" t="n">
        <f aca="false">IF(ISNUMBER(R1366),R1366,0)*S1366</f>
        <v>93.805</v>
      </c>
      <c r="U1366" s="61" t="n">
        <f aca="false">T1366*INDEX(INPUTS!$H$10:$H$14,MATCH(B1366,INPUTS!$A$10:$A$14,0))</f>
        <v>13.226505</v>
      </c>
      <c r="V1366" s="61" t="n">
        <f aca="false">N(STACK!K1366)</f>
        <v>0</v>
      </c>
      <c r="W1366" s="61" t="n">
        <f aca="false">T1366+U1366+V1366</f>
        <v>107.031505</v>
      </c>
      <c r="X1366" s="61" t="n">
        <f aca="false">N(STACK!L1366)</f>
        <v>0</v>
      </c>
      <c r="Y1366" s="61" t="n">
        <f aca="false">W1366-X1366</f>
        <v>107.031505</v>
      </c>
      <c r="Z1366" s="1" t="n">
        <f aca="false">N(STACK!J1366)</f>
        <v>0</v>
      </c>
      <c r="AA1366" s="1" t="str">
        <f aca="false">TRIM(IF(D1366="UNMAPPED","Program not mapped. ","")&amp;IF(OR(K1366="UNMAPPED",K1366="UNASSIGNED"),"Category needs review. ","")&amp;IF(P1366="UNMAPPED","Title not mapped. ","")&amp;IF(AND(P1366&lt;&gt;"No staff time",R1366=""),"Missing hours. ","")&amp;IF(M1366="","Date not readable. ","")&amp;IF(N1366="No","Outside fiscal year. ","")&amp;IF(AND(F1366="Event",ISNUMBER(R1366)),IF(R1366&gt;12,"Event hours look high. ",""),"")&amp;IF(G1366&gt;0,"See CONFIRM sheet.",""))</f>
        <v/>
      </c>
      <c r="AB1366" s="1" t="n">
        <f aca="false">IF(N1366="No",0,IF(REVIEW!O1366=0,0,IF(G1366&gt;0,IF(INDEX(CONFIRM!$J$5:$J$53,G1366)&lt;&gt;"",INDEX(CONFIRM!$J$5:$J$53,G1366),1),1)))</f>
        <v>1</v>
      </c>
      <c r="AC1366" s="1" t="n">
        <f aca="false">IF(AB1366=1,IF(COUNTIFS($B$5:B1366,B1366,$D$5:D1366,D1366,$AB$5:AB1366,1)=1,1,0),0)</f>
        <v>0</v>
      </c>
    </row>
    <row r="1367" customFormat="false" ht="15" hidden="false" customHeight="false" outlineLevel="0" collapsed="false">
      <c r="A1367" s="48" t="str">
        <f aca="false">STACK!A1367</f>
        <v>WCH-0260</v>
      </c>
      <c r="B1367" s="48" t="str">
        <f aca="false">STACK!B1367</f>
        <v>WCH</v>
      </c>
      <c r="C1367" s="48" t="str">
        <f aca="false">STACK!E1367</f>
        <v>mobile van screenings</v>
      </c>
      <c r="D1367" s="1" t="str">
        <f aca="false">IFERROR(INDEX(MAP!$J$7:$J$101,MATCH(TRIM(C1367),MAP!$I$7:$I$101,0)),"UNMAPPED")</f>
        <v>Mobile Health Screening Unit</v>
      </c>
      <c r="E1367" s="1" t="str">
        <f aca="false">IFERROR(INDEX(MAP!$K$7:$K$101,MATCH(TRIM(C1367),MAP!$I$7:$I$101,0)),"")</f>
        <v>Access to care</v>
      </c>
      <c r="F1367" s="1" t="str">
        <f aca="false">IFERROR(INDEX(MAP!$L$7:$L$101,MATCH(TRIM(C1367),MAP!$I$7:$I$101,0)),"")</f>
        <v>Monthly</v>
      </c>
      <c r="G1367" s="1" t="n">
        <f aca="false">IFERROR(MATCH(A1367,CONFIRM!$A$5:$A$53,0),0)</f>
        <v>0</v>
      </c>
      <c r="H1367" s="48" t="str">
        <f aca="false">STACK!F1367</f>
        <v>CHIS clinical</v>
      </c>
      <c r="I1367" s="1" t="str">
        <f aca="false">IF(G1367&gt;0,IF(INDEX(CONFIRM!$I$5:$I$53,G1367)&lt;&gt;"",INDEX(CONFIRM!$I$5:$I$53,G1367),H1367),H1367)</f>
        <v>CHIS clinical</v>
      </c>
      <c r="J1367" s="1" t="str">
        <f aca="false">IFERROR(INDEX(MAP!$F$7:$F$74,MATCH(TRIM(I1367),MAP!$E$7:$E$74,0)),"UNMAPPED")</f>
        <v>Community-based clinical services</v>
      </c>
      <c r="K1367" s="1" t="str">
        <f aca="false">IFERROR(INDEX(MAP!$G$7:$G$74,MATCH(TRIM(I1367),MAP!$E$7:$E$74,0)),"UNMAPPED")</f>
        <v>7e</v>
      </c>
      <c r="L1367" s="49" t="str">
        <f aca="false">STACK!G1367</f>
        <v>6/30/26</v>
      </c>
      <c r="M1367" s="59" t="n">
        <f aca="false">IF(G1367&gt;0,IF(INDEX(CONFIRM!$G$5:$G$53,G1367)&lt;&gt;"",INDEX(CONFIRM!$G$5:$G$53,G1367),IF(ISNUMBER(L1367),L1367,IFERROR(DATEVALUE(L1367),""))),IF(ISNUMBER(L1367),L1367,IFERROR(DATEVALUE(L1367),"")))</f>
        <v>46203</v>
      </c>
      <c r="N1367" s="1" t="str">
        <f aca="false">IF(M1367="","Check",IF(AND(M1367&gt;=INPUTS!$C$6,M1367&lt;=INPUTS!$C$7),"Yes","No"))</f>
        <v>Yes</v>
      </c>
      <c r="O1367" s="48" t="str">
        <f aca="false">STACK!H1367</f>
        <v>Promotora</v>
      </c>
      <c r="P1367" s="1" t="str">
        <f aca="false">IF(G1367&gt;0,IF(INDEX(CONFIRM!$H$5:$H$53,G1367)&lt;&gt;"",INDEX(CONFIRM!$H$5:$H$53,G1367),IFERROR(INDEX(MAP!$B$7:$B$156,MATCH(TRIM(O1367),MAP!$A$7:$A$156,0)),"UNMAPPED")),IFERROR(INDEX(MAP!$B$7:$B$156,MATCH(TRIM(O1367),MAP!$A$7:$A$156,0)),"UNMAPPED"))</f>
        <v>Community Health Worker</v>
      </c>
      <c r="Q1367" s="48" t="n">
        <f aca="false">STACK!I1367</f>
        <v>40.5</v>
      </c>
      <c r="R1367" s="60" t="n">
        <f aca="false">IF(G1367&gt;0,IF(INDEX(CONFIRM!$F$5:$F$53,G1367)&lt;&gt;"",INDEX(CONFIRM!$F$5:$F$53,G1367),IF(ISNUMBER(Q1367),Q1367,IF(Q1367="","",IFERROR(VALUE(TRIM(SUBSTITUTE(SUBSTITUTE(LOWER(Q1367),"hrs",""),"hr",""))),"")))),IF(ISNUMBER(Q1367),Q1367,IF(Q1367="","",IFERROR(VALUE(TRIM(SUBSTITUTE(SUBSTITUTE(LOWER(Q1367),"hrs",""),"hr",""))),""))))</f>
        <v>40.5</v>
      </c>
      <c r="S1367" s="57" t="n">
        <f aca="false">IFERROR(INDEX(RATES!$E$6:$E$28,MATCH(P1367,RATES!$A$6:$A$28,0)),0)</f>
        <v>27.6275</v>
      </c>
      <c r="T1367" s="61" t="n">
        <f aca="false">IF(ISNUMBER(R1367),R1367,0)*S1367</f>
        <v>1118.91375</v>
      </c>
      <c r="U1367" s="61" t="n">
        <f aca="false">T1367*INDEX(INPUTS!$H$10:$H$14,MATCH(B1367,INPUTS!$A$10:$A$14,0))</f>
        <v>157.76683875</v>
      </c>
      <c r="V1367" s="61" t="n">
        <f aca="false">N(STACK!K1367)</f>
        <v>0</v>
      </c>
      <c r="W1367" s="61" t="n">
        <f aca="false">T1367+U1367+V1367</f>
        <v>1276.68058875</v>
      </c>
      <c r="X1367" s="61" t="n">
        <f aca="false">N(STACK!L1367)</f>
        <v>0</v>
      </c>
      <c r="Y1367" s="61" t="n">
        <f aca="false">W1367-X1367</f>
        <v>1276.68058875</v>
      </c>
      <c r="Z1367" s="1" t="n">
        <f aca="false">N(STACK!J1367)</f>
        <v>0</v>
      </c>
      <c r="AA1367" s="1" t="str">
        <f aca="false">TRIM(IF(D1367="UNMAPPED","Program not mapped. ","")&amp;IF(OR(K1367="UNMAPPED",K1367="UNASSIGNED"),"Category needs review. ","")&amp;IF(P1367="UNMAPPED","Title not mapped. ","")&amp;IF(AND(P1367&lt;&gt;"No staff time",R1367=""),"Missing hours. ","")&amp;IF(M1367="","Date not readable. ","")&amp;IF(N1367="No","Outside fiscal year. ","")&amp;IF(AND(F1367="Event",ISNUMBER(R1367)),IF(R1367&gt;12,"Event hours look high. ",""),"")&amp;IF(G1367&gt;0,"See CONFIRM sheet.",""))</f>
        <v/>
      </c>
      <c r="AB1367" s="1" t="n">
        <f aca="false">IF(N1367="No",0,IF(REVIEW!O1367=0,0,IF(G1367&gt;0,IF(INDEX(CONFIRM!$J$5:$J$53,G1367)&lt;&gt;"",INDEX(CONFIRM!$J$5:$J$53,G1367),1),1)))</f>
        <v>1</v>
      </c>
      <c r="AC1367" s="1" t="n">
        <f aca="false">IF(AB1367=1,IF(COUNTIFS($B$5:B1367,B1367,$D$5:D1367,D1367,$AB$5:AB1367,1)=1,1,0),0)</f>
        <v>0</v>
      </c>
    </row>
    <row r="1368" customFormat="false" ht="15" hidden="false" customHeight="false" outlineLevel="0" collapsed="false">
      <c r="A1368" s="48" t="str">
        <f aca="false">STACK!A1368</f>
        <v>WCH-0261</v>
      </c>
      <c r="B1368" s="48" t="str">
        <f aca="false">STACK!B1368</f>
        <v>WCH</v>
      </c>
      <c r="C1368" s="48" t="str">
        <f aca="false">STACK!E1368</f>
        <v>mobile van screenings</v>
      </c>
      <c r="D1368" s="1" t="str">
        <f aca="false">IFERROR(INDEX(MAP!$J$7:$J$101,MATCH(TRIM(C1368),MAP!$I$7:$I$101,0)),"UNMAPPED")</f>
        <v>Mobile Health Screening Unit</v>
      </c>
      <c r="E1368" s="1" t="str">
        <f aca="false">IFERROR(INDEX(MAP!$K$7:$K$101,MATCH(TRIM(C1368),MAP!$I$7:$I$101,0)),"")</f>
        <v>Access to care</v>
      </c>
      <c r="F1368" s="1" t="str">
        <f aca="false">IFERROR(INDEX(MAP!$L$7:$L$101,MATCH(TRIM(C1368),MAP!$I$7:$I$101,0)),"")</f>
        <v>Monthly</v>
      </c>
      <c r="G1368" s="1" t="n">
        <f aca="false">IFERROR(MATCH(A1368,CONFIRM!$A$5:$A$53,0),0)</f>
        <v>0</v>
      </c>
      <c r="H1368" s="48" t="str">
        <f aca="false">STACK!F1368</f>
        <v>CHIS clinical</v>
      </c>
      <c r="I1368" s="1" t="str">
        <f aca="false">IF(G1368&gt;0,IF(INDEX(CONFIRM!$I$5:$I$53,G1368)&lt;&gt;"",INDEX(CONFIRM!$I$5:$I$53,G1368),H1368),H1368)</f>
        <v>CHIS clinical</v>
      </c>
      <c r="J1368" s="1" t="str">
        <f aca="false">IFERROR(INDEX(MAP!$F$7:$F$74,MATCH(TRIM(I1368),MAP!$E$7:$E$74,0)),"UNMAPPED")</f>
        <v>Community-based clinical services</v>
      </c>
      <c r="K1368" s="1" t="str">
        <f aca="false">IFERROR(INDEX(MAP!$G$7:$G$74,MATCH(TRIM(I1368),MAP!$E$7:$E$74,0)),"UNMAPPED")</f>
        <v>7e</v>
      </c>
      <c r="L1368" s="49" t="n">
        <f aca="false">STACK!G1368</f>
        <v>46203</v>
      </c>
      <c r="M1368" s="59" t="n">
        <f aca="false">IF(G1368&gt;0,IF(INDEX(CONFIRM!$G$5:$G$53,G1368)&lt;&gt;"",INDEX(CONFIRM!$G$5:$G$53,G1368),IF(ISNUMBER(L1368),L1368,IFERROR(DATEVALUE(L1368),""))),IF(ISNUMBER(L1368),L1368,IFERROR(DATEVALUE(L1368),"")))</f>
        <v>46203</v>
      </c>
      <c r="N1368" s="1" t="str">
        <f aca="false">IF(M1368="","Check",IF(AND(M1368&gt;=INPUTS!$C$6,M1368&lt;=INPUTS!$C$7),"Yes","No"))</f>
        <v>Yes</v>
      </c>
      <c r="O1368" s="48" t="str">
        <f aca="false">STACK!H1368</f>
        <v>CMA</v>
      </c>
      <c r="P1368" s="1" t="str">
        <f aca="false">IF(G1368&gt;0,IF(INDEX(CONFIRM!$H$5:$H$53,G1368)&lt;&gt;"",INDEX(CONFIRM!$H$5:$H$53,G1368),IFERROR(INDEX(MAP!$B$7:$B$156,MATCH(TRIM(O1368),MAP!$A$7:$A$156,0)),"UNMAPPED")),IFERROR(INDEX(MAP!$B$7:$B$156,MATCH(TRIM(O1368),MAP!$A$7:$A$156,0)),"UNMAPPED"))</f>
        <v>Medical Assistant</v>
      </c>
      <c r="Q1368" s="48" t="n">
        <f aca="false">STACK!I1368</f>
        <v>73.25</v>
      </c>
      <c r="R1368" s="60" t="n">
        <f aca="false">IF(G1368&gt;0,IF(INDEX(CONFIRM!$F$5:$F$53,G1368)&lt;&gt;"",INDEX(CONFIRM!$F$5:$F$53,G1368),IF(ISNUMBER(Q1368),Q1368,IF(Q1368="","",IFERROR(VALUE(TRIM(SUBSTITUTE(SUBSTITUTE(LOWER(Q1368),"hrs",""),"hr",""))),"")))),IF(ISNUMBER(Q1368),Q1368,IF(Q1368="","",IFERROR(VALUE(TRIM(SUBSTITUTE(SUBSTITUTE(LOWER(Q1368),"hrs",""),"hr",""))),""))))</f>
        <v>73.25</v>
      </c>
      <c r="S1368" s="57" t="n">
        <f aca="false">IFERROR(INDEX(RATES!$E$6:$E$28,MATCH(P1368,RATES!$A$6:$A$28,0)),0)</f>
        <v>25.37875</v>
      </c>
      <c r="T1368" s="61" t="n">
        <f aca="false">IF(ISNUMBER(R1368),R1368,0)*S1368</f>
        <v>1858.9934375</v>
      </c>
      <c r="U1368" s="61" t="n">
        <f aca="false">T1368*INDEX(INPUTS!$H$10:$H$14,MATCH(B1368,INPUTS!$A$10:$A$14,0))</f>
        <v>262.1180746875</v>
      </c>
      <c r="V1368" s="61" t="n">
        <f aca="false">N(STACK!K1368)</f>
        <v>0</v>
      </c>
      <c r="W1368" s="61" t="n">
        <f aca="false">T1368+U1368+V1368</f>
        <v>2121.1115121875</v>
      </c>
      <c r="X1368" s="61" t="n">
        <f aca="false">N(STACK!L1368)</f>
        <v>0</v>
      </c>
      <c r="Y1368" s="61" t="n">
        <f aca="false">W1368-X1368</f>
        <v>2121.1115121875</v>
      </c>
      <c r="Z1368" s="1" t="n">
        <f aca="false">N(STACK!J1368)</f>
        <v>0</v>
      </c>
      <c r="AA1368" s="1" t="str">
        <f aca="false">TRIM(IF(D1368="UNMAPPED","Program not mapped. ","")&amp;IF(OR(K1368="UNMAPPED",K1368="UNASSIGNED"),"Category needs review. ","")&amp;IF(P1368="UNMAPPED","Title not mapped. ","")&amp;IF(AND(P1368&lt;&gt;"No staff time",R1368=""),"Missing hours. ","")&amp;IF(M1368="","Date not readable. ","")&amp;IF(N1368="No","Outside fiscal year. ","")&amp;IF(AND(F1368="Event",ISNUMBER(R1368)),IF(R1368&gt;12,"Event hours look high. ",""),"")&amp;IF(G1368&gt;0,"See CONFIRM sheet.",""))</f>
        <v/>
      </c>
      <c r="AB1368" s="1" t="n">
        <f aca="false">IF(N1368="No",0,IF(REVIEW!O1368=0,0,IF(G1368&gt;0,IF(INDEX(CONFIRM!$J$5:$J$53,G1368)&lt;&gt;"",INDEX(CONFIRM!$J$5:$J$53,G1368),1),1)))</f>
        <v>1</v>
      </c>
      <c r="AC1368" s="1" t="n">
        <f aca="false">IF(AB1368=1,IF(COUNTIFS($B$5:B1368,B1368,$D$5:D1368,D1368,$AB$5:AB1368,1)=1,1,0),0)</f>
        <v>0</v>
      </c>
    </row>
    <row r="1369" customFormat="false" ht="15" hidden="false" customHeight="false" outlineLevel="0" collapsed="false">
      <c r="A1369" s="48" t="str">
        <f aca="false">STACK!A1369</f>
        <v>WCH-0262</v>
      </c>
      <c r="B1369" s="48" t="str">
        <f aca="false">STACK!B1369</f>
        <v>WCH</v>
      </c>
      <c r="C1369" s="48" t="str">
        <f aca="false">STACK!E1369</f>
        <v>mobile van screenings</v>
      </c>
      <c r="D1369" s="1" t="str">
        <f aca="false">IFERROR(INDEX(MAP!$J$7:$J$101,MATCH(TRIM(C1369),MAP!$I$7:$I$101,0)),"UNMAPPED")</f>
        <v>Mobile Health Screening Unit</v>
      </c>
      <c r="E1369" s="1" t="str">
        <f aca="false">IFERROR(INDEX(MAP!$K$7:$K$101,MATCH(TRIM(C1369),MAP!$I$7:$I$101,0)),"")</f>
        <v>Access to care</v>
      </c>
      <c r="F1369" s="1" t="str">
        <f aca="false">IFERROR(INDEX(MAP!$L$7:$L$101,MATCH(TRIM(C1369),MAP!$I$7:$I$101,0)),"")</f>
        <v>Monthly</v>
      </c>
      <c r="G1369" s="1" t="n">
        <f aca="false">IFERROR(MATCH(A1369,CONFIRM!$A$5:$A$53,0),0)</f>
        <v>0</v>
      </c>
      <c r="H1369" s="48" t="str">
        <f aca="false">STACK!F1369</f>
        <v>CHIS clinical</v>
      </c>
      <c r="I1369" s="1" t="str">
        <f aca="false">IF(G1369&gt;0,IF(INDEX(CONFIRM!$I$5:$I$53,G1369)&lt;&gt;"",INDEX(CONFIRM!$I$5:$I$53,G1369),H1369),H1369)</f>
        <v>CHIS clinical</v>
      </c>
      <c r="J1369" s="1" t="str">
        <f aca="false">IFERROR(INDEX(MAP!$F$7:$F$74,MATCH(TRIM(I1369),MAP!$E$7:$E$74,0)),"UNMAPPED")</f>
        <v>Community-based clinical services</v>
      </c>
      <c r="K1369" s="1" t="str">
        <f aca="false">IFERROR(INDEX(MAP!$G$7:$G$74,MATCH(TRIM(I1369),MAP!$E$7:$E$74,0)),"UNMAPPED")</f>
        <v>7e</v>
      </c>
      <c r="L1369" s="49" t="str">
        <f aca="false">STACK!G1369</f>
        <v>6/30/26</v>
      </c>
      <c r="M1369" s="59" t="n">
        <f aca="false">IF(G1369&gt;0,IF(INDEX(CONFIRM!$G$5:$G$53,G1369)&lt;&gt;"",INDEX(CONFIRM!$G$5:$G$53,G1369),IF(ISNUMBER(L1369),L1369,IFERROR(DATEVALUE(L1369),""))),IF(ISNUMBER(L1369),L1369,IFERROR(DATEVALUE(L1369),"")))</f>
        <v>46203</v>
      </c>
      <c r="N1369" s="1" t="str">
        <f aca="false">IF(M1369="","Check",IF(AND(M1369&gt;=INPUTS!$C$6,M1369&lt;=INPUTS!$C$7),"Yes","No"))</f>
        <v>Yes</v>
      </c>
      <c r="O1369" s="48" t="str">
        <f aca="false">STACK!H1369</f>
        <v>RN III</v>
      </c>
      <c r="P1369" s="1" t="str">
        <f aca="false">IF(G1369&gt;0,IF(INDEX(CONFIRM!$H$5:$H$53,G1369)&lt;&gt;"",INDEX(CONFIRM!$H$5:$H$53,G1369),IFERROR(INDEX(MAP!$B$7:$B$156,MATCH(TRIM(O1369),MAP!$A$7:$A$156,0)),"UNMAPPED")),IFERROR(INDEX(MAP!$B$7:$B$156,MATCH(TRIM(O1369),MAP!$A$7:$A$156,0)),"UNMAPPED"))</f>
        <v>Registered Nurse</v>
      </c>
      <c r="Q1369" s="48" t="n">
        <f aca="false">STACK!I1369</f>
        <v>56</v>
      </c>
      <c r="R1369" s="60" t="n">
        <f aca="false">IF(G1369&gt;0,IF(INDEX(CONFIRM!$F$5:$F$53,G1369)&lt;&gt;"",INDEX(CONFIRM!$F$5:$F$53,G1369),IF(ISNUMBER(Q1369),Q1369,IF(Q1369="","",IFERROR(VALUE(TRIM(SUBSTITUTE(SUBSTITUTE(LOWER(Q1369),"hrs",""),"hr",""))),"")))),IF(ISNUMBER(Q1369),Q1369,IF(Q1369="","",IFERROR(VALUE(TRIM(SUBSTITUTE(SUBSTITUTE(LOWER(Q1369),"hrs",""),"hr",""))),""))))</f>
        <v>56</v>
      </c>
      <c r="S1369" s="57" t="n">
        <f aca="false">IFERROR(INDEX(RATES!$E$6:$E$28,MATCH(P1369,RATES!$A$6:$A$28,0)),0)</f>
        <v>55.8975</v>
      </c>
      <c r="T1369" s="61" t="n">
        <f aca="false">IF(ISNUMBER(R1369),R1369,0)*S1369</f>
        <v>3130.26</v>
      </c>
      <c r="U1369" s="61" t="n">
        <f aca="false">T1369*INDEX(INPUTS!$H$10:$H$14,MATCH(B1369,INPUTS!$A$10:$A$14,0))</f>
        <v>441.36666</v>
      </c>
      <c r="V1369" s="61" t="n">
        <f aca="false">N(STACK!K1369)</f>
        <v>5965</v>
      </c>
      <c r="W1369" s="61" t="n">
        <f aca="false">T1369+U1369+V1369</f>
        <v>9536.62666</v>
      </c>
      <c r="X1369" s="61" t="n">
        <f aca="false">N(STACK!L1369)</f>
        <v>0</v>
      </c>
      <c r="Y1369" s="61" t="n">
        <f aca="false">W1369-X1369</f>
        <v>9536.62666</v>
      </c>
      <c r="Z1369" s="1" t="n">
        <f aca="false">N(STACK!J1369)</f>
        <v>195</v>
      </c>
      <c r="AA1369" s="1" t="str">
        <f aca="false">TRIM(IF(D1369="UNMAPPED","Program not mapped. ","")&amp;IF(OR(K1369="UNMAPPED",K1369="UNASSIGNED"),"Category needs review. ","")&amp;IF(P1369="UNMAPPED","Title not mapped. ","")&amp;IF(AND(P1369&lt;&gt;"No staff time",R1369=""),"Missing hours. ","")&amp;IF(M1369="","Date not readable. ","")&amp;IF(N1369="No","Outside fiscal year. ","")&amp;IF(AND(F1369="Event",ISNUMBER(R1369)),IF(R1369&gt;12,"Event hours look high. ",""),"")&amp;IF(G1369&gt;0,"See CONFIRM sheet.",""))</f>
        <v/>
      </c>
      <c r="AB1369" s="1" t="n">
        <f aca="false">IF(N1369="No",0,IF(REVIEW!O1369=0,0,IF(G1369&gt;0,IF(INDEX(CONFIRM!$J$5:$J$53,G1369)&lt;&gt;"",INDEX(CONFIRM!$J$5:$J$53,G1369),1),1)))</f>
        <v>1</v>
      </c>
      <c r="AC1369" s="1" t="n">
        <f aca="false">IF(AB1369=1,IF(COUNTIFS($B$5:B1369,B1369,$D$5:D1369,D1369,$AB$5:AB1369,1)=1,1,0),0)</f>
        <v>0</v>
      </c>
    </row>
    <row r="1370" customFormat="false" ht="15" hidden="false" customHeight="false" outlineLevel="0" collapsed="false">
      <c r="A1370" s="48" t="str">
        <f aca="false">STACK!A1370</f>
        <v>WCH-0263</v>
      </c>
      <c r="B1370" s="48" t="str">
        <f aca="false">STACK!B1370</f>
        <v>WCH</v>
      </c>
      <c r="C1370" s="48" t="str">
        <f aca="false">STACK!E1370</f>
        <v>chw outreach</v>
      </c>
      <c r="D1370" s="1" t="str">
        <f aca="false">IFERROR(INDEX(MAP!$J$7:$J$101,MATCH(TRIM(C1370),MAP!$I$7:$I$101,0)),"UNMAPPED")</f>
        <v>Community Health Worker Outreach</v>
      </c>
      <c r="E1370" s="1" t="str">
        <f aca="false">IFERROR(INDEX(MAP!$K$7:$K$101,MATCH(TRIM(C1370),MAP!$I$7:$I$101,0)),"")</f>
        <v>Access to care</v>
      </c>
      <c r="F1370" s="1" t="str">
        <f aca="false">IFERROR(INDEX(MAP!$L$7:$L$101,MATCH(TRIM(C1370),MAP!$I$7:$I$101,0)),"")</f>
        <v>Monthly</v>
      </c>
      <c r="G1370" s="1" t="n">
        <f aca="false">IFERROR(MATCH(A1370,CONFIRM!$A$5:$A$53,0),0)</f>
        <v>0</v>
      </c>
      <c r="H1370" s="48" t="str">
        <f aca="false">STACK!F1370</f>
        <v>CHIS support</v>
      </c>
      <c r="I1370" s="1" t="str">
        <f aca="false">IF(G1370&gt;0,IF(INDEX(CONFIRM!$I$5:$I$53,G1370)&lt;&gt;"",INDEX(CONFIRM!$I$5:$I$53,G1370),H1370),H1370)</f>
        <v>CHIS support</v>
      </c>
      <c r="J1370" s="1" t="str">
        <f aca="false">IFERROR(INDEX(MAP!$F$7:$F$74,MATCH(TRIM(I1370),MAP!$E$7:$E$74,0)),"UNMAPPED")</f>
        <v>Health care support services</v>
      </c>
      <c r="K1370" s="1" t="str">
        <f aca="false">IFERROR(INDEX(MAP!$G$7:$G$74,MATCH(TRIM(I1370),MAP!$E$7:$E$74,0)),"UNMAPPED")</f>
        <v>7e</v>
      </c>
      <c r="L1370" s="49" t="str">
        <f aca="false">STACK!G1370</f>
        <v>6/30/26</v>
      </c>
      <c r="M1370" s="59" t="n">
        <f aca="false">IF(G1370&gt;0,IF(INDEX(CONFIRM!$G$5:$G$53,G1370)&lt;&gt;"",INDEX(CONFIRM!$G$5:$G$53,G1370),IF(ISNUMBER(L1370),L1370,IFERROR(DATEVALUE(L1370),""))),IF(ISNUMBER(L1370),L1370,IFERROR(DATEVALUE(L1370),"")))</f>
        <v>46203</v>
      </c>
      <c r="N1370" s="1" t="str">
        <f aca="false">IF(M1370="","Check",IF(AND(M1370&gt;=INPUTS!$C$6,M1370&lt;=INPUTS!$C$7),"Yes","No"))</f>
        <v>Yes</v>
      </c>
      <c r="O1370" s="48" t="str">
        <f aca="false">STACK!H1370</f>
        <v>Community Health Worker</v>
      </c>
      <c r="P1370" s="1" t="str">
        <f aca="false">IF(G1370&gt;0,IF(INDEX(CONFIRM!$H$5:$H$53,G1370)&lt;&gt;"",INDEX(CONFIRM!$H$5:$H$53,G1370),IFERROR(INDEX(MAP!$B$7:$B$156,MATCH(TRIM(O1370),MAP!$A$7:$A$156,0)),"UNMAPPED")),IFERROR(INDEX(MAP!$B$7:$B$156,MATCH(TRIM(O1370),MAP!$A$7:$A$156,0)),"UNMAPPED"))</f>
        <v>Community Health Worker</v>
      </c>
      <c r="Q1370" s="48" t="n">
        <f aca="false">STACK!I1370</f>
        <v>234</v>
      </c>
      <c r="R1370" s="60" t="n">
        <f aca="false">IF(G1370&gt;0,IF(INDEX(CONFIRM!$F$5:$F$53,G1370)&lt;&gt;"",INDEX(CONFIRM!$F$5:$F$53,G1370),IF(ISNUMBER(Q1370),Q1370,IF(Q1370="","",IFERROR(VALUE(TRIM(SUBSTITUTE(SUBSTITUTE(LOWER(Q1370),"hrs",""),"hr",""))),"")))),IF(ISNUMBER(Q1370),Q1370,IF(Q1370="","",IFERROR(VALUE(TRIM(SUBSTITUTE(SUBSTITUTE(LOWER(Q1370),"hrs",""),"hr",""))),""))))</f>
        <v>234</v>
      </c>
      <c r="S1370" s="57" t="n">
        <f aca="false">IFERROR(INDEX(RATES!$E$6:$E$28,MATCH(P1370,RATES!$A$6:$A$28,0)),0)</f>
        <v>27.6275</v>
      </c>
      <c r="T1370" s="61" t="n">
        <f aca="false">IF(ISNUMBER(R1370),R1370,0)*S1370</f>
        <v>6464.835</v>
      </c>
      <c r="U1370" s="61" t="n">
        <f aca="false">T1370*INDEX(INPUTS!$H$10:$H$14,MATCH(B1370,INPUTS!$A$10:$A$14,0))</f>
        <v>911.541735</v>
      </c>
      <c r="V1370" s="61" t="n">
        <f aca="false">N(STACK!K1370)</f>
        <v>1180</v>
      </c>
      <c r="W1370" s="61" t="n">
        <f aca="false">T1370+U1370+V1370</f>
        <v>8556.376735</v>
      </c>
      <c r="X1370" s="61" t="n">
        <f aca="false">N(STACK!L1370)</f>
        <v>0</v>
      </c>
      <c r="Y1370" s="61" t="n">
        <f aca="false">W1370-X1370</f>
        <v>8556.376735</v>
      </c>
      <c r="Z1370" s="1" t="n">
        <f aca="false">N(STACK!J1370)</f>
        <v>282</v>
      </c>
      <c r="AA1370" s="1" t="str">
        <f aca="false">TRIM(IF(D1370="UNMAPPED","Program not mapped. ","")&amp;IF(OR(K1370="UNMAPPED",K1370="UNASSIGNED"),"Category needs review. ","")&amp;IF(P1370="UNMAPPED","Title not mapped. ","")&amp;IF(AND(P1370&lt;&gt;"No staff time",R1370=""),"Missing hours. ","")&amp;IF(M1370="","Date not readable. ","")&amp;IF(N1370="No","Outside fiscal year. ","")&amp;IF(AND(F1370="Event",ISNUMBER(R1370)),IF(R1370&gt;12,"Event hours look high. ",""),"")&amp;IF(G1370&gt;0,"See CONFIRM sheet.",""))</f>
        <v/>
      </c>
      <c r="AB1370" s="1" t="n">
        <f aca="false">IF(N1370="No",0,IF(REVIEW!O1370=0,0,IF(G1370&gt;0,IF(INDEX(CONFIRM!$J$5:$J$53,G1370)&lt;&gt;"",INDEX(CONFIRM!$J$5:$J$53,G1370),1),1)))</f>
        <v>1</v>
      </c>
      <c r="AC1370" s="1" t="n">
        <f aca="false">IF(AB1370=1,IF(COUNTIFS($B$5:B1370,B1370,$D$5:D1370,D1370,$AB$5:AB1370,1)=1,1,0),0)</f>
        <v>0</v>
      </c>
    </row>
    <row r="1371" customFormat="false" ht="15" hidden="false" customHeight="false" outlineLevel="0" collapsed="false">
      <c r="A1371" s="48" t="str">
        <f aca="false">STACK!A1371</f>
        <v>WCH-0264</v>
      </c>
      <c r="B1371" s="48" t="str">
        <f aca="false">STACK!B1371</f>
        <v>WCH</v>
      </c>
      <c r="C1371" s="48" t="str">
        <f aca="false">STACK!E1371</f>
        <v>chw outreach</v>
      </c>
      <c r="D1371" s="1" t="str">
        <f aca="false">IFERROR(INDEX(MAP!$J$7:$J$101,MATCH(TRIM(C1371),MAP!$I$7:$I$101,0)),"UNMAPPED")</f>
        <v>Community Health Worker Outreach</v>
      </c>
      <c r="E1371" s="1" t="str">
        <f aca="false">IFERROR(INDEX(MAP!$K$7:$K$101,MATCH(TRIM(C1371),MAP!$I$7:$I$101,0)),"")</f>
        <v>Access to care</v>
      </c>
      <c r="F1371" s="1" t="str">
        <f aca="false">IFERROR(INDEX(MAP!$L$7:$L$101,MATCH(TRIM(C1371),MAP!$I$7:$I$101,0)),"")</f>
        <v>Monthly</v>
      </c>
      <c r="G1371" s="1" t="n">
        <f aca="false">IFERROR(MATCH(A1371,CONFIRM!$A$5:$A$53,0),0)</f>
        <v>0</v>
      </c>
      <c r="H1371" s="48" t="str">
        <f aca="false">STACK!F1371</f>
        <v>CHIS support</v>
      </c>
      <c r="I1371" s="1" t="str">
        <f aca="false">IF(G1371&gt;0,IF(INDEX(CONFIRM!$I$5:$I$53,G1371)&lt;&gt;"",INDEX(CONFIRM!$I$5:$I$53,G1371),H1371),H1371)</f>
        <v>CHIS support</v>
      </c>
      <c r="J1371" s="1" t="str">
        <f aca="false">IFERROR(INDEX(MAP!$F$7:$F$74,MATCH(TRIM(I1371),MAP!$E$7:$E$74,0)),"UNMAPPED")</f>
        <v>Health care support services</v>
      </c>
      <c r="K1371" s="1" t="str">
        <f aca="false">IFERROR(INDEX(MAP!$G$7:$G$74,MATCH(TRIM(I1371),MAP!$E$7:$E$74,0)),"UNMAPPED")</f>
        <v>7e</v>
      </c>
      <c r="L1371" s="49" t="n">
        <f aca="false">STACK!G1371</f>
        <v>46203</v>
      </c>
      <c r="M1371" s="59" t="n">
        <f aca="false">IF(G1371&gt;0,IF(INDEX(CONFIRM!$G$5:$G$53,G1371)&lt;&gt;"",INDEX(CONFIRM!$G$5:$G$53,G1371),IF(ISNUMBER(L1371),L1371,IFERROR(DATEVALUE(L1371),""))),IF(ISNUMBER(L1371),L1371,IFERROR(DATEVALUE(L1371),"")))</f>
        <v>46203</v>
      </c>
      <c r="N1371" s="1" t="str">
        <f aca="false">IF(M1371="","Check",IF(AND(M1371&gt;=INPUTS!$C$6,M1371&lt;=INPUTS!$C$7),"Yes","No"))</f>
        <v>Yes</v>
      </c>
      <c r="O1371" s="48" t="str">
        <f aca="false">STACK!H1371</f>
        <v>Financial Navigator</v>
      </c>
      <c r="P1371" s="1" t="str">
        <f aca="false">IF(G1371&gt;0,IF(INDEX(CONFIRM!$H$5:$H$53,G1371)&lt;&gt;"",INDEX(CONFIRM!$H$5:$H$53,G1371),IFERROR(INDEX(MAP!$B$7:$B$156,MATCH(TRIM(O1371),MAP!$A$7:$A$156,0)),"UNMAPPED")),IFERROR(INDEX(MAP!$B$7:$B$156,MATCH(TRIM(O1371),MAP!$A$7:$A$156,0)),"UNMAPPED"))</f>
        <v>Patient Navigator</v>
      </c>
      <c r="Q1371" s="48" t="n">
        <f aca="false">STACK!I1371</f>
        <v>107.75</v>
      </c>
      <c r="R1371" s="60" t="n">
        <f aca="false">IF(G1371&gt;0,IF(INDEX(CONFIRM!$F$5:$F$53,G1371)&lt;&gt;"",INDEX(CONFIRM!$F$5:$F$53,G1371),IF(ISNUMBER(Q1371),Q1371,IF(Q1371="","",IFERROR(VALUE(TRIM(SUBSTITUTE(SUBSTITUTE(LOWER(Q1371),"hrs",""),"hr",""))),"")))),IF(ISNUMBER(Q1371),Q1371,IF(Q1371="","",IFERROR(VALUE(TRIM(SUBSTITUTE(SUBSTITUTE(LOWER(Q1371),"hrs",""),"hr",""))),""))))</f>
        <v>107.75</v>
      </c>
      <c r="S1371" s="57" t="n">
        <f aca="false">IFERROR(INDEX(RATES!$E$6:$E$28,MATCH(P1371,RATES!$A$6:$A$28,0)),0)</f>
        <v>30.84</v>
      </c>
      <c r="T1371" s="61" t="n">
        <f aca="false">IF(ISNUMBER(R1371),R1371,0)*S1371</f>
        <v>3323.01</v>
      </c>
      <c r="U1371" s="61" t="n">
        <f aca="false">T1371*INDEX(INPUTS!$H$10:$H$14,MATCH(B1371,INPUTS!$A$10:$A$14,0))</f>
        <v>468.54441</v>
      </c>
      <c r="V1371" s="61" t="n">
        <f aca="false">N(STACK!K1371)</f>
        <v>0</v>
      </c>
      <c r="W1371" s="61" t="n">
        <f aca="false">T1371+U1371+V1371</f>
        <v>3791.55441</v>
      </c>
      <c r="X1371" s="61" t="n">
        <f aca="false">N(STACK!L1371)</f>
        <v>0</v>
      </c>
      <c r="Y1371" s="61" t="n">
        <f aca="false">W1371-X1371</f>
        <v>3791.55441</v>
      </c>
      <c r="Z1371" s="1" t="n">
        <f aca="false">N(STACK!J1371)</f>
        <v>0</v>
      </c>
      <c r="AA1371" s="1" t="str">
        <f aca="false">TRIM(IF(D1371="UNMAPPED","Program not mapped. ","")&amp;IF(OR(K1371="UNMAPPED",K1371="UNASSIGNED"),"Category needs review. ","")&amp;IF(P1371="UNMAPPED","Title not mapped. ","")&amp;IF(AND(P1371&lt;&gt;"No staff time",R1371=""),"Missing hours. ","")&amp;IF(M1371="","Date not readable. ","")&amp;IF(N1371="No","Outside fiscal year. ","")&amp;IF(AND(F1371="Event",ISNUMBER(R1371)),IF(R1371&gt;12,"Event hours look high. ",""),"")&amp;IF(G1371&gt;0,"See CONFIRM sheet.",""))</f>
        <v/>
      </c>
      <c r="AB1371" s="1" t="n">
        <f aca="false">IF(N1371="No",0,IF(REVIEW!O1371=0,0,IF(G1371&gt;0,IF(INDEX(CONFIRM!$J$5:$J$53,G1371)&lt;&gt;"",INDEX(CONFIRM!$J$5:$J$53,G1371),1),1)))</f>
        <v>1</v>
      </c>
      <c r="AC1371" s="1" t="n">
        <f aca="false">IF(AB1371=1,IF(COUNTIFS($B$5:B1371,B1371,$D$5:D1371,D1371,$AB$5:AB1371,1)=1,1,0),0)</f>
        <v>0</v>
      </c>
    </row>
    <row r="1372" customFormat="false" ht="15" hidden="false" customHeight="false" outlineLevel="0" collapsed="false">
      <c r="A1372" s="48" t="str">
        <f aca="false">STACK!A1372</f>
        <v>WCH-0265</v>
      </c>
      <c r="B1372" s="48" t="str">
        <f aca="false">STACK!B1372</f>
        <v>WCH</v>
      </c>
      <c r="C1372" s="48" t="str">
        <f aca="false">STACK!E1372</f>
        <v>produce prescription</v>
      </c>
      <c r="D1372" s="1" t="str">
        <f aca="false">IFERROR(INDEX(MAP!$J$7:$J$101,MATCH(TRIM(C1372),MAP!$I$7:$I$101,0)),"UNMAPPED")</f>
        <v>Produce Prescription Program</v>
      </c>
      <c r="E1372" s="1" t="str">
        <f aca="false">IFERROR(INDEX(MAP!$K$7:$K$101,MATCH(TRIM(C1372),MAP!$I$7:$I$101,0)),"")</f>
        <v>Food and housing security</v>
      </c>
      <c r="F1372" s="1" t="str">
        <f aca="false">IFERROR(INDEX(MAP!$L$7:$L$101,MATCH(TRIM(C1372),MAP!$I$7:$I$101,0)),"")</f>
        <v>Monthly</v>
      </c>
      <c r="G1372" s="1" t="n">
        <f aca="false">IFERROR(MATCH(A1372,CONFIRM!$A$5:$A$53,0),0)</f>
        <v>0</v>
      </c>
      <c r="H1372" s="48" t="str">
        <f aca="false">STACK!F1372</f>
        <v>CHIS support</v>
      </c>
      <c r="I1372" s="1" t="str">
        <f aca="false">IF(G1372&gt;0,IF(INDEX(CONFIRM!$I$5:$I$53,G1372)&lt;&gt;"",INDEX(CONFIRM!$I$5:$I$53,G1372),H1372),H1372)</f>
        <v>CHIS support</v>
      </c>
      <c r="J1372" s="1" t="str">
        <f aca="false">IFERROR(INDEX(MAP!$F$7:$F$74,MATCH(TRIM(I1372),MAP!$E$7:$E$74,0)),"UNMAPPED")</f>
        <v>Health care support services</v>
      </c>
      <c r="K1372" s="1" t="str">
        <f aca="false">IFERROR(INDEX(MAP!$G$7:$G$74,MATCH(TRIM(I1372),MAP!$E$7:$E$74,0)),"UNMAPPED")</f>
        <v>7e</v>
      </c>
      <c r="L1372" s="49" t="str">
        <f aca="false">STACK!G1372</f>
        <v>6/30/26</v>
      </c>
      <c r="M1372" s="59" t="n">
        <f aca="false">IF(G1372&gt;0,IF(INDEX(CONFIRM!$G$5:$G$53,G1372)&lt;&gt;"",INDEX(CONFIRM!$G$5:$G$53,G1372),IF(ISNUMBER(L1372),L1372,IFERROR(DATEVALUE(L1372),""))),IF(ISNUMBER(L1372),L1372,IFERROR(DATEVALUE(L1372),"")))</f>
        <v>46203</v>
      </c>
      <c r="N1372" s="1" t="str">
        <f aca="false">IF(M1372="","Check",IF(AND(M1372&gt;=INPUTS!$C$6,M1372&lt;=INPUTS!$C$7),"Yes","No"))</f>
        <v>Yes</v>
      </c>
      <c r="O1372" s="48" t="str">
        <f aca="false">STACK!H1372</f>
        <v>Outreach Worker </v>
      </c>
      <c r="P1372" s="1" t="str">
        <f aca="false">IF(G1372&gt;0,IF(INDEX(CONFIRM!$H$5:$H$53,G1372)&lt;&gt;"",INDEX(CONFIRM!$H$5:$H$53,G1372),IFERROR(INDEX(MAP!$B$7:$B$156,MATCH(TRIM(O1372),MAP!$A$7:$A$156,0)),"UNMAPPED")),IFERROR(INDEX(MAP!$B$7:$B$156,MATCH(TRIM(O1372),MAP!$A$7:$A$156,0)),"UNMAPPED"))</f>
        <v>Community Health Worker</v>
      </c>
      <c r="Q1372" s="48" t="n">
        <f aca="false">STACK!I1372</f>
        <v>30.5</v>
      </c>
      <c r="R1372" s="60" t="n">
        <f aca="false">IF(G1372&gt;0,IF(INDEX(CONFIRM!$F$5:$F$53,G1372)&lt;&gt;"",INDEX(CONFIRM!$F$5:$F$53,G1372),IF(ISNUMBER(Q1372),Q1372,IF(Q1372="","",IFERROR(VALUE(TRIM(SUBSTITUTE(SUBSTITUTE(LOWER(Q1372),"hrs",""),"hr",""))),"")))),IF(ISNUMBER(Q1372),Q1372,IF(Q1372="","",IFERROR(VALUE(TRIM(SUBSTITUTE(SUBSTITUTE(LOWER(Q1372),"hrs",""),"hr",""))),""))))</f>
        <v>30.5</v>
      </c>
      <c r="S1372" s="57" t="n">
        <f aca="false">IFERROR(INDEX(RATES!$E$6:$E$28,MATCH(P1372,RATES!$A$6:$A$28,0)),0)</f>
        <v>27.6275</v>
      </c>
      <c r="T1372" s="61" t="n">
        <f aca="false">IF(ISNUMBER(R1372),R1372,0)*S1372</f>
        <v>842.63875</v>
      </c>
      <c r="U1372" s="61" t="n">
        <f aca="false">T1372*INDEX(INPUTS!$H$10:$H$14,MATCH(B1372,INPUTS!$A$10:$A$14,0))</f>
        <v>118.81206375</v>
      </c>
      <c r="V1372" s="61" t="n">
        <f aca="false">N(STACK!K1372)</f>
        <v>0</v>
      </c>
      <c r="W1372" s="61" t="n">
        <f aca="false">T1372+U1372+V1372</f>
        <v>961.45081375</v>
      </c>
      <c r="X1372" s="61" t="n">
        <f aca="false">N(STACK!L1372)</f>
        <v>0</v>
      </c>
      <c r="Y1372" s="61" t="n">
        <f aca="false">W1372-X1372</f>
        <v>961.45081375</v>
      </c>
      <c r="Z1372" s="1" t="n">
        <f aca="false">N(STACK!J1372)</f>
        <v>0</v>
      </c>
      <c r="AA1372" s="1" t="str">
        <f aca="false">TRIM(IF(D1372="UNMAPPED","Program not mapped. ","")&amp;IF(OR(K1372="UNMAPPED",K1372="UNASSIGNED"),"Category needs review. ","")&amp;IF(P1372="UNMAPPED","Title not mapped. ","")&amp;IF(AND(P1372&lt;&gt;"No staff time",R1372=""),"Missing hours. ","")&amp;IF(M1372="","Date not readable. ","")&amp;IF(N1372="No","Outside fiscal year. ","")&amp;IF(AND(F1372="Event",ISNUMBER(R1372)),IF(R1372&gt;12,"Event hours look high. ",""),"")&amp;IF(G1372&gt;0,"See CONFIRM sheet.",""))</f>
        <v/>
      </c>
      <c r="AB1372" s="1" t="n">
        <f aca="false">IF(N1372="No",0,IF(REVIEW!O1372=0,0,IF(G1372&gt;0,IF(INDEX(CONFIRM!$J$5:$J$53,G1372)&lt;&gt;"",INDEX(CONFIRM!$J$5:$J$53,G1372),1),1)))</f>
        <v>1</v>
      </c>
      <c r="AC1372" s="1" t="n">
        <f aca="false">IF(AB1372=1,IF(COUNTIFS($B$5:B1372,B1372,$D$5:D1372,D1372,$AB$5:AB1372,1)=1,1,0),0)</f>
        <v>0</v>
      </c>
    </row>
    <row r="1373" customFormat="false" ht="15" hidden="false" customHeight="false" outlineLevel="0" collapsed="false">
      <c r="A1373" s="48" t="str">
        <f aca="false">STACK!A1373</f>
        <v>WCH-0266</v>
      </c>
      <c r="B1373" s="48" t="str">
        <f aca="false">STACK!B1373</f>
        <v>WCH</v>
      </c>
      <c r="C1373" s="48" t="str">
        <f aca="false">STACK!E1373</f>
        <v>produce prescription</v>
      </c>
      <c r="D1373" s="1" t="str">
        <f aca="false">IFERROR(INDEX(MAP!$J$7:$J$101,MATCH(TRIM(C1373),MAP!$I$7:$I$101,0)),"UNMAPPED")</f>
        <v>Produce Prescription Program</v>
      </c>
      <c r="E1373" s="1" t="str">
        <f aca="false">IFERROR(INDEX(MAP!$K$7:$K$101,MATCH(TRIM(C1373),MAP!$I$7:$I$101,0)),"")</f>
        <v>Food and housing security</v>
      </c>
      <c r="F1373" s="1" t="str">
        <f aca="false">IFERROR(INDEX(MAP!$L$7:$L$101,MATCH(TRIM(C1373),MAP!$I$7:$I$101,0)),"")</f>
        <v>Monthly</v>
      </c>
      <c r="G1373" s="1" t="n">
        <f aca="false">IFERROR(MATCH(A1373,CONFIRM!$A$5:$A$53,0),0)</f>
        <v>0</v>
      </c>
      <c r="H1373" s="48" t="str">
        <f aca="false">STACK!F1373</f>
        <v>CHIS support</v>
      </c>
      <c r="I1373" s="1" t="str">
        <f aca="false">IF(G1373&gt;0,IF(INDEX(CONFIRM!$I$5:$I$53,G1373)&lt;&gt;"",INDEX(CONFIRM!$I$5:$I$53,G1373),H1373),H1373)</f>
        <v>CHIS support</v>
      </c>
      <c r="J1373" s="1" t="str">
        <f aca="false">IFERROR(INDEX(MAP!$F$7:$F$74,MATCH(TRIM(I1373),MAP!$E$7:$E$74,0)),"UNMAPPED")</f>
        <v>Health care support services</v>
      </c>
      <c r="K1373" s="1" t="str">
        <f aca="false">IFERROR(INDEX(MAP!$G$7:$G$74,MATCH(TRIM(I1373),MAP!$E$7:$E$74,0)),"UNMAPPED")</f>
        <v>7e</v>
      </c>
      <c r="L1373" s="49" t="n">
        <f aca="false">STACK!G1373</f>
        <v>46203</v>
      </c>
      <c r="M1373" s="59" t="n">
        <f aca="false">IF(G1373&gt;0,IF(INDEX(CONFIRM!$G$5:$G$53,G1373)&lt;&gt;"",INDEX(CONFIRM!$G$5:$G$53,G1373),IF(ISNUMBER(L1373),L1373,IFERROR(DATEVALUE(L1373),""))),IF(ISNUMBER(L1373),L1373,IFERROR(DATEVALUE(L1373),"")))</f>
        <v>46203</v>
      </c>
      <c r="N1373" s="1" t="str">
        <f aca="false">IF(M1373="","Check",IF(AND(M1373&gt;=INPUTS!$C$6,M1373&lt;=INPUTS!$C$7),"Yes","No"))</f>
        <v>Yes</v>
      </c>
      <c r="O1373" s="48" t="str">
        <f aca="false">STACK!H1373</f>
        <v>RDN</v>
      </c>
      <c r="P1373" s="1" t="str">
        <f aca="false">IF(G1373&gt;0,IF(INDEX(CONFIRM!$H$5:$H$53,G1373)&lt;&gt;"",INDEX(CONFIRM!$H$5:$H$53,G1373),IFERROR(INDEX(MAP!$B$7:$B$156,MATCH(TRIM(O1373),MAP!$A$7:$A$156,0)),"UNMAPPED")),IFERROR(INDEX(MAP!$B$7:$B$156,MATCH(TRIM(O1373),MAP!$A$7:$A$156,0)),"UNMAPPED"))</f>
        <v>Registered Dietitian</v>
      </c>
      <c r="Q1373" s="48" t="n">
        <f aca="false">STACK!I1373</f>
        <v>22.5</v>
      </c>
      <c r="R1373" s="60" t="n">
        <f aca="false">IF(G1373&gt;0,IF(INDEX(CONFIRM!$F$5:$F$53,G1373)&lt;&gt;"",INDEX(CONFIRM!$F$5:$F$53,G1373),IF(ISNUMBER(Q1373),Q1373,IF(Q1373="","",IFERROR(VALUE(TRIM(SUBSTITUTE(SUBSTITUTE(LOWER(Q1373),"hrs",""),"hr",""))),"")))),IF(ISNUMBER(Q1373),Q1373,IF(Q1373="","",IFERROR(VALUE(TRIM(SUBSTITUTE(SUBSTITUTE(LOWER(Q1373),"hrs",""),"hr",""))),""))))</f>
        <v>22.5</v>
      </c>
      <c r="S1373" s="57" t="n">
        <f aca="false">IFERROR(INDEX(RATES!$E$6:$E$28,MATCH(P1373,RATES!$A$6:$A$28,0)),0)</f>
        <v>46.9025</v>
      </c>
      <c r="T1373" s="61" t="n">
        <f aca="false">IF(ISNUMBER(R1373),R1373,0)*S1373</f>
        <v>1055.30625</v>
      </c>
      <c r="U1373" s="61" t="n">
        <f aca="false">T1373*INDEX(INPUTS!$H$10:$H$14,MATCH(B1373,INPUTS!$A$10:$A$14,0))</f>
        <v>148.79818125</v>
      </c>
      <c r="V1373" s="61" t="n">
        <f aca="false">N(STACK!K1373)</f>
        <v>8130</v>
      </c>
      <c r="W1373" s="61" t="n">
        <f aca="false">T1373+U1373+V1373</f>
        <v>9334.10443125</v>
      </c>
      <c r="X1373" s="61" t="n">
        <f aca="false">N(STACK!L1373)</f>
        <v>5570</v>
      </c>
      <c r="Y1373" s="61" t="n">
        <f aca="false">W1373-X1373</f>
        <v>3764.10443125</v>
      </c>
      <c r="Z1373" s="1" t="n">
        <f aca="false">N(STACK!J1373)</f>
        <v>141</v>
      </c>
      <c r="AA1373" s="1" t="str">
        <f aca="false">TRIM(IF(D1373="UNMAPPED","Program not mapped. ","")&amp;IF(OR(K1373="UNMAPPED",K1373="UNASSIGNED"),"Category needs review. ","")&amp;IF(P1373="UNMAPPED","Title not mapped. ","")&amp;IF(AND(P1373&lt;&gt;"No staff time",R1373=""),"Missing hours. ","")&amp;IF(M1373="","Date not readable. ","")&amp;IF(N1373="No","Outside fiscal year. ","")&amp;IF(AND(F1373="Event",ISNUMBER(R1373)),IF(R1373&gt;12,"Event hours look high. ",""),"")&amp;IF(G1373&gt;0,"See CONFIRM sheet.",""))</f>
        <v/>
      </c>
      <c r="AB1373" s="1" t="n">
        <f aca="false">IF(N1373="No",0,IF(REVIEW!O1373=0,0,IF(G1373&gt;0,IF(INDEX(CONFIRM!$J$5:$J$53,G1373)&lt;&gt;"",INDEX(CONFIRM!$J$5:$J$53,G1373),1),1)))</f>
        <v>1</v>
      </c>
      <c r="AC1373" s="1" t="n">
        <f aca="false">IF(AB1373=1,IF(COUNTIFS($B$5:B1373,B1373,$D$5:D1373,D1373,$AB$5:AB1373,1)=1,1,0),0)</f>
        <v>0</v>
      </c>
    </row>
    <row r="1374" customFormat="false" ht="15" hidden="false" customHeight="false" outlineLevel="0" collapsed="false">
      <c r="A1374" s="48" t="str">
        <f aca="false">STACK!A1374</f>
        <v>WCH-0267</v>
      </c>
      <c r="B1374" s="48" t="str">
        <f aca="false">STACK!B1374</f>
        <v>WCH</v>
      </c>
      <c r="C1374" s="48" t="str">
        <f aca="false">STACK!E1374</f>
        <v>cb admin</v>
      </c>
      <c r="D1374" s="1" t="str">
        <f aca="false">IFERROR(INDEX(MAP!$J$7:$J$101,MATCH(TRIM(C1374),MAP!$I$7:$I$101,0)),"UNMAPPED")</f>
        <v>Community Benefit Program Administration</v>
      </c>
      <c r="E1374" s="1" t="str">
        <f aca="false">IFERROR(INDEX(MAP!$K$7:$K$101,MATCH(TRIM(C1374),MAP!$I$7:$I$101,0)),"")</f>
        <v>Community benefit infrastructure</v>
      </c>
      <c r="F1374" s="1" t="str">
        <f aca="false">IFERROR(INDEX(MAP!$L$7:$L$101,MATCH(TRIM(C1374),MAP!$I$7:$I$101,0)),"")</f>
        <v>Monthly</v>
      </c>
      <c r="G1374" s="1" t="n">
        <f aca="false">IFERROR(MATCH(A1374,CONFIRM!$A$5:$A$53,0),0)</f>
        <v>0</v>
      </c>
      <c r="H1374" s="48" t="str">
        <f aca="false">STACK!F1374</f>
        <v>cb operations</v>
      </c>
      <c r="I1374" s="1" t="str">
        <f aca="false">IF(G1374&gt;0,IF(INDEX(CONFIRM!$I$5:$I$53,G1374)&lt;&gt;"",INDEX(CONFIRM!$I$5:$I$53,G1374),H1374),H1374)</f>
        <v>cb operations</v>
      </c>
      <c r="J1374" s="1" t="str">
        <f aca="false">IFERROR(INDEX(MAP!$F$7:$F$74,MATCH(TRIM(I1374),MAP!$E$7:$E$74,0)),"UNMAPPED")</f>
        <v>Community benefit operations</v>
      </c>
      <c r="K1374" s="1" t="str">
        <f aca="false">IFERROR(INDEX(MAP!$G$7:$G$74,MATCH(TRIM(I1374),MAP!$E$7:$E$74,0)),"UNMAPPED")</f>
        <v>7e</v>
      </c>
      <c r="L1374" s="49" t="n">
        <f aca="false">STACK!G1374</f>
        <v>46203</v>
      </c>
      <c r="M1374" s="59" t="n">
        <f aca="false">IF(G1374&gt;0,IF(INDEX(CONFIRM!$G$5:$G$53,G1374)&lt;&gt;"",INDEX(CONFIRM!$G$5:$G$53,G1374),IF(ISNUMBER(L1374),L1374,IFERROR(DATEVALUE(L1374),""))),IF(ISNUMBER(L1374),L1374,IFERROR(DATEVALUE(L1374),"")))</f>
        <v>46203</v>
      </c>
      <c r="N1374" s="1" t="str">
        <f aca="false">IF(M1374="","Check",IF(AND(M1374&gt;=INPUTS!$C$6,M1374&lt;=INPUTS!$C$7),"Yes","No"))</f>
        <v>Yes</v>
      </c>
      <c r="O1374" s="48" t="str">
        <f aca="false">STACK!H1374</f>
        <v>Secretary</v>
      </c>
      <c r="P1374" s="1" t="str">
        <f aca="false">IF(G1374&gt;0,IF(INDEX(CONFIRM!$H$5:$H$53,G1374)&lt;&gt;"",INDEX(CONFIRM!$H$5:$H$53,G1374),IFERROR(INDEX(MAP!$B$7:$B$156,MATCH(TRIM(O1374),MAP!$A$7:$A$156,0)),"UNMAPPED")),IFERROR(INDEX(MAP!$B$7:$B$156,MATCH(TRIM(O1374),MAP!$A$7:$A$156,0)),"UNMAPPED"))</f>
        <v>Administrative Assistant</v>
      </c>
      <c r="Q1374" s="48" t="n">
        <f aca="false">STACK!I1374</f>
        <v>27.5</v>
      </c>
      <c r="R1374" s="60" t="n">
        <f aca="false">IF(G1374&gt;0,IF(INDEX(CONFIRM!$F$5:$F$53,G1374)&lt;&gt;"",INDEX(CONFIRM!$F$5:$F$53,G1374),IF(ISNUMBER(Q1374),Q1374,IF(Q1374="","",IFERROR(VALUE(TRIM(SUBSTITUTE(SUBSTITUTE(LOWER(Q1374),"hrs",""),"hr",""))),"")))),IF(ISNUMBER(Q1374),Q1374,IF(Q1374="","",IFERROR(VALUE(TRIM(SUBSTITUTE(SUBSTITUTE(LOWER(Q1374),"hrs",""),"hr",""))),""))))</f>
        <v>27.5</v>
      </c>
      <c r="S1374" s="57" t="n">
        <f aca="false">IFERROR(INDEX(RATES!$E$6:$E$28,MATCH(P1374,RATES!$A$6:$A$28,0)),0)</f>
        <v>26.985</v>
      </c>
      <c r="T1374" s="61" t="n">
        <f aca="false">IF(ISNUMBER(R1374),R1374,0)*S1374</f>
        <v>742.0875</v>
      </c>
      <c r="U1374" s="61" t="n">
        <f aca="false">T1374*INDEX(INPUTS!$H$10:$H$14,MATCH(B1374,INPUTS!$A$10:$A$14,0))</f>
        <v>104.6343375</v>
      </c>
      <c r="V1374" s="61" t="n">
        <f aca="false">N(STACK!K1374)</f>
        <v>0</v>
      </c>
      <c r="W1374" s="61" t="n">
        <f aca="false">T1374+U1374+V1374</f>
        <v>846.7218375</v>
      </c>
      <c r="X1374" s="61" t="n">
        <f aca="false">N(STACK!L1374)</f>
        <v>0</v>
      </c>
      <c r="Y1374" s="61" t="n">
        <f aca="false">W1374-X1374</f>
        <v>846.7218375</v>
      </c>
      <c r="Z1374" s="1" t="n">
        <f aca="false">N(STACK!J1374)</f>
        <v>0</v>
      </c>
      <c r="AA1374" s="1" t="str">
        <f aca="false">TRIM(IF(D1374="UNMAPPED","Program not mapped. ","")&amp;IF(OR(K1374="UNMAPPED",K1374="UNASSIGNED"),"Category needs review. ","")&amp;IF(P1374="UNMAPPED","Title not mapped. ","")&amp;IF(AND(P1374&lt;&gt;"No staff time",R1374=""),"Missing hours. ","")&amp;IF(M1374="","Date not readable. ","")&amp;IF(N1374="No","Outside fiscal year. ","")&amp;IF(AND(F1374="Event",ISNUMBER(R1374)),IF(R1374&gt;12,"Event hours look high. ",""),"")&amp;IF(G1374&gt;0,"See CONFIRM sheet.",""))</f>
        <v/>
      </c>
      <c r="AB1374" s="1" t="n">
        <f aca="false">IF(N1374="No",0,IF(REVIEW!O1374=0,0,IF(G1374&gt;0,IF(INDEX(CONFIRM!$J$5:$J$53,G1374)&lt;&gt;"",INDEX(CONFIRM!$J$5:$J$53,G1374),1),1)))</f>
        <v>1</v>
      </c>
      <c r="AC1374" s="1" t="n">
        <f aca="false">IF(AB1374=1,IF(COUNTIFS($B$5:B1374,B1374,$D$5:D1374,D1374,$AB$5:AB1374,1)=1,1,0),0)</f>
        <v>0</v>
      </c>
    </row>
    <row r="1375" customFormat="false" ht="15" hidden="false" customHeight="false" outlineLevel="0" collapsed="false">
      <c r="A1375" s="48" t="str">
        <f aca="false">STACK!A1375</f>
        <v>WCH-0268</v>
      </c>
      <c r="B1375" s="48" t="str">
        <f aca="false">STACK!B1375</f>
        <v>WCH</v>
      </c>
      <c r="C1375" s="48" t="str">
        <f aca="false">STACK!E1375</f>
        <v>cb admin</v>
      </c>
      <c r="D1375" s="1" t="str">
        <f aca="false">IFERROR(INDEX(MAP!$J$7:$J$101,MATCH(TRIM(C1375),MAP!$I$7:$I$101,0)),"UNMAPPED")</f>
        <v>Community Benefit Program Administration</v>
      </c>
      <c r="E1375" s="1" t="str">
        <f aca="false">IFERROR(INDEX(MAP!$K$7:$K$101,MATCH(TRIM(C1375),MAP!$I$7:$I$101,0)),"")</f>
        <v>Community benefit infrastructure</v>
      </c>
      <c r="F1375" s="1" t="str">
        <f aca="false">IFERROR(INDEX(MAP!$L$7:$L$101,MATCH(TRIM(C1375),MAP!$I$7:$I$101,0)),"")</f>
        <v>Monthly</v>
      </c>
      <c r="G1375" s="1" t="n">
        <f aca="false">IFERROR(MATCH(A1375,CONFIRM!$A$5:$A$53,0),0)</f>
        <v>0</v>
      </c>
      <c r="H1375" s="48" t="str">
        <f aca="false">STACK!F1375</f>
        <v>cb operations</v>
      </c>
      <c r="I1375" s="1" t="str">
        <f aca="false">IF(G1375&gt;0,IF(INDEX(CONFIRM!$I$5:$I$53,G1375)&lt;&gt;"",INDEX(CONFIRM!$I$5:$I$53,G1375),H1375),H1375)</f>
        <v>cb operations</v>
      </c>
      <c r="J1375" s="1" t="str">
        <f aca="false">IFERROR(INDEX(MAP!$F$7:$F$74,MATCH(TRIM(I1375),MAP!$E$7:$E$74,0)),"UNMAPPED")</f>
        <v>Community benefit operations</v>
      </c>
      <c r="K1375" s="1" t="str">
        <f aca="false">IFERROR(INDEX(MAP!$G$7:$G$74,MATCH(TRIM(I1375),MAP!$E$7:$E$74,0)),"UNMAPPED")</f>
        <v>7e</v>
      </c>
      <c r="L1375" s="49" t="n">
        <f aca="false">STACK!G1375</f>
        <v>46203</v>
      </c>
      <c r="M1375" s="59" t="n">
        <f aca="false">IF(G1375&gt;0,IF(INDEX(CONFIRM!$G$5:$G$53,G1375)&lt;&gt;"",INDEX(CONFIRM!$G$5:$G$53,G1375),IF(ISNUMBER(L1375),L1375,IFERROR(DATEVALUE(L1375),""))),IF(ISNUMBER(L1375),L1375,IFERROR(DATEVALUE(L1375),"")))</f>
        <v>46203</v>
      </c>
      <c r="N1375" s="1" t="str">
        <f aca="false">IF(M1375="","Check",IF(AND(M1375&gt;=INPUTS!$C$6,M1375&lt;=INPUTS!$C$7),"Yes","No"))</f>
        <v>Yes</v>
      </c>
      <c r="O1375" s="48" t="str">
        <f aca="false">STACK!H1375</f>
        <v>Community Health Manager</v>
      </c>
      <c r="P1375" s="1" t="str">
        <f aca="false">IF(G1375&gt;0,IF(INDEX(CONFIRM!$H$5:$H$53,G1375)&lt;&gt;"",INDEX(CONFIRM!$H$5:$H$53,G1375),IFERROR(INDEX(MAP!$B$7:$B$156,MATCH(TRIM(O1375),MAP!$A$7:$A$156,0)),"UNMAPPED")),IFERROR(INDEX(MAP!$B$7:$B$156,MATCH(TRIM(O1375),MAP!$A$7:$A$156,0)),"UNMAPPED"))</f>
        <v>Community Benefit Manager</v>
      </c>
      <c r="Q1375" s="48" t="n">
        <f aca="false">STACK!I1375</f>
        <v>54.25</v>
      </c>
      <c r="R1375" s="60" t="n">
        <f aca="false">IF(G1375&gt;0,IF(INDEX(CONFIRM!$F$5:$F$53,G1375)&lt;&gt;"",INDEX(CONFIRM!$F$5:$F$53,G1375),IF(ISNUMBER(Q1375),Q1375,IF(Q1375="","",IFERROR(VALUE(TRIM(SUBSTITUTE(SUBSTITUTE(LOWER(Q1375),"hrs",""),"hr",""))),"")))),IF(ISNUMBER(Q1375),Q1375,IF(Q1375="","",IFERROR(VALUE(TRIM(SUBSTITUTE(SUBSTITUTE(LOWER(Q1375),"hrs",""),"hr",""))),""))))</f>
        <v>54.25</v>
      </c>
      <c r="S1375" s="57" t="n">
        <f aca="false">IFERROR(INDEX(RATES!$E$6:$E$28,MATCH(P1375,RATES!$A$6:$A$28,0)),0)</f>
        <v>59.11</v>
      </c>
      <c r="T1375" s="61" t="n">
        <f aca="false">IF(ISNUMBER(R1375),R1375,0)*S1375</f>
        <v>3206.7175</v>
      </c>
      <c r="U1375" s="61" t="n">
        <f aca="false">T1375*INDEX(INPUTS!$H$10:$H$14,MATCH(B1375,INPUTS!$A$10:$A$14,0))</f>
        <v>452.1471675</v>
      </c>
      <c r="V1375" s="61" t="n">
        <f aca="false">N(STACK!K1375)</f>
        <v>175</v>
      </c>
      <c r="W1375" s="61" t="n">
        <f aca="false">T1375+U1375+V1375</f>
        <v>3833.8646675</v>
      </c>
      <c r="X1375" s="61" t="n">
        <f aca="false">N(STACK!L1375)</f>
        <v>0</v>
      </c>
      <c r="Y1375" s="61" t="n">
        <f aca="false">W1375-X1375</f>
        <v>3833.8646675</v>
      </c>
      <c r="Z1375" s="1" t="n">
        <f aca="false">N(STACK!J1375)</f>
        <v>0</v>
      </c>
      <c r="AA1375" s="1" t="str">
        <f aca="false">TRIM(IF(D1375="UNMAPPED","Program not mapped. ","")&amp;IF(OR(K1375="UNMAPPED",K1375="UNASSIGNED"),"Category needs review. ","")&amp;IF(P1375="UNMAPPED","Title not mapped. ","")&amp;IF(AND(P1375&lt;&gt;"No staff time",R1375=""),"Missing hours. ","")&amp;IF(M1375="","Date not readable. ","")&amp;IF(N1375="No","Outside fiscal year. ","")&amp;IF(AND(F1375="Event",ISNUMBER(R1375)),IF(R1375&gt;12,"Event hours look high. ",""),"")&amp;IF(G1375&gt;0,"See CONFIRM sheet.",""))</f>
        <v/>
      </c>
      <c r="AB1375" s="1" t="n">
        <f aca="false">IF(N1375="No",0,IF(REVIEW!O1375=0,0,IF(G1375&gt;0,IF(INDEX(CONFIRM!$J$5:$J$53,G1375)&lt;&gt;"",INDEX(CONFIRM!$J$5:$J$53,G1375),1),1)))</f>
        <v>1</v>
      </c>
      <c r="AC1375" s="1" t="n">
        <f aca="false">IF(AB1375=1,IF(COUNTIFS($B$5:B1375,B1375,$D$5:D1375,D1375,$AB$5:AB1375,1)=1,1,0),0)</f>
        <v>0</v>
      </c>
    </row>
    <row r="1376" customFormat="false" ht="15" hidden="false" customHeight="false" outlineLevel="0" collapsed="false">
      <c r="A1376" s="48" t="str">
        <f aca="false">STACK!A1376</f>
        <v>WCH-0269</v>
      </c>
      <c r="B1376" s="48" t="str">
        <f aca="false">STACK!B1376</f>
        <v>WCH</v>
      </c>
      <c r="C1376" s="48" t="str">
        <f aca="false">STACK!E1376</f>
        <v>community paramedic</v>
      </c>
      <c r="D1376" s="1" t="str">
        <f aca="false">IFERROR(INDEX(MAP!$J$7:$J$101,MATCH(TRIM(C1376),MAP!$I$7:$I$101,0)),"UNMAPPED")</f>
        <v>Community Paramedic Home Visits</v>
      </c>
      <c r="E1376" s="1" t="str">
        <f aca="false">IFERROR(INDEX(MAP!$K$7:$K$101,MATCH(TRIM(C1376),MAP!$I$7:$I$101,0)),"")</f>
        <v>Access to care</v>
      </c>
      <c r="F1376" s="1" t="str">
        <f aca="false">IFERROR(INDEX(MAP!$L$7:$L$101,MATCH(TRIM(C1376),MAP!$I$7:$I$101,0)),"")</f>
        <v>Monthly</v>
      </c>
      <c r="G1376" s="1" t="n">
        <f aca="false">IFERROR(MATCH(A1376,CONFIRM!$A$5:$A$53,0),0)</f>
        <v>0</v>
      </c>
      <c r="H1376" s="48" t="str">
        <f aca="false">STACK!F1376</f>
        <v>CHIS clinical</v>
      </c>
      <c r="I1376" s="1" t="str">
        <f aca="false">IF(G1376&gt;0,IF(INDEX(CONFIRM!$I$5:$I$53,G1376)&lt;&gt;"",INDEX(CONFIRM!$I$5:$I$53,G1376),H1376),H1376)</f>
        <v>CHIS clinical</v>
      </c>
      <c r="J1376" s="1" t="str">
        <f aca="false">IFERROR(INDEX(MAP!$F$7:$F$74,MATCH(TRIM(I1376),MAP!$E$7:$E$74,0)),"UNMAPPED")</f>
        <v>Community-based clinical services</v>
      </c>
      <c r="K1376" s="1" t="str">
        <f aca="false">IFERROR(INDEX(MAP!$G$7:$G$74,MATCH(TRIM(I1376),MAP!$E$7:$E$74,0)),"UNMAPPED")</f>
        <v>7e</v>
      </c>
      <c r="L1376" s="49" t="str">
        <f aca="false">STACK!G1376</f>
        <v>6/30/26</v>
      </c>
      <c r="M1376" s="59" t="n">
        <f aca="false">IF(G1376&gt;0,IF(INDEX(CONFIRM!$G$5:$G$53,G1376)&lt;&gt;"",INDEX(CONFIRM!$G$5:$G$53,G1376),IF(ISNUMBER(L1376),L1376,IFERROR(DATEVALUE(L1376),""))),IF(ISNUMBER(L1376),L1376,IFERROR(DATEVALUE(L1376),"")))</f>
        <v>46203</v>
      </c>
      <c r="N1376" s="1" t="str">
        <f aca="false">IF(M1376="","Check",IF(AND(M1376&gt;=INPUTS!$C$6,M1376&lt;=INPUTS!$C$7),"Yes","No"))</f>
        <v>Yes</v>
      </c>
      <c r="O1376" s="48" t="str">
        <f aca="false">STACK!H1376</f>
        <v>Flight Paramedic</v>
      </c>
      <c r="P1376" s="1" t="str">
        <f aca="false">IF(G1376&gt;0,IF(INDEX(CONFIRM!$H$5:$H$53,G1376)&lt;&gt;"",INDEX(CONFIRM!$H$5:$H$53,G1376),IFERROR(INDEX(MAP!$B$7:$B$156,MATCH(TRIM(O1376),MAP!$A$7:$A$156,0)),"UNMAPPED")),IFERROR(INDEX(MAP!$B$7:$B$156,MATCH(TRIM(O1376),MAP!$A$7:$A$156,0)),"UNMAPPED"))</f>
        <v>Paramedic</v>
      </c>
      <c r="Q1376" s="48" t="n">
        <f aca="false">STACK!I1376</f>
        <v>59.25</v>
      </c>
      <c r="R1376" s="60" t="n">
        <f aca="false">IF(G1376&gt;0,IF(INDEX(CONFIRM!$F$5:$F$53,G1376)&lt;&gt;"",INDEX(CONFIRM!$F$5:$F$53,G1376),IF(ISNUMBER(Q1376),Q1376,IF(Q1376="","",IFERROR(VALUE(TRIM(SUBSTITUTE(SUBSTITUTE(LOWER(Q1376),"hrs",""),"hr",""))),"")))),IF(ISNUMBER(Q1376),Q1376,IF(Q1376="","",IFERROR(VALUE(TRIM(SUBSTITUTE(SUBSTITUTE(LOWER(Q1376),"hrs",""),"hr",""))),""))))</f>
        <v>59.25</v>
      </c>
      <c r="S1376" s="57" t="n">
        <f aca="false">IFERROR(INDEX(RATES!$E$6:$E$28,MATCH(P1376,RATES!$A$6:$A$28,0)),0)</f>
        <v>34.695</v>
      </c>
      <c r="T1376" s="61" t="n">
        <f aca="false">IF(ISNUMBER(R1376),R1376,0)*S1376</f>
        <v>2055.67875</v>
      </c>
      <c r="U1376" s="61" t="n">
        <f aca="false">T1376*INDEX(INPUTS!$H$10:$H$14,MATCH(B1376,INPUTS!$A$10:$A$14,0))</f>
        <v>289.85070375</v>
      </c>
      <c r="V1376" s="61" t="n">
        <f aca="false">N(STACK!K1376)</f>
        <v>975</v>
      </c>
      <c r="W1376" s="61" t="n">
        <f aca="false">T1376+U1376+V1376</f>
        <v>3320.52945375</v>
      </c>
      <c r="X1376" s="61" t="n">
        <f aca="false">N(STACK!L1376)</f>
        <v>0</v>
      </c>
      <c r="Y1376" s="61" t="n">
        <f aca="false">W1376-X1376</f>
        <v>3320.52945375</v>
      </c>
      <c r="Z1376" s="1" t="n">
        <f aca="false">N(STACK!J1376)</f>
        <v>42</v>
      </c>
      <c r="AA1376" s="1" t="str">
        <f aca="false">TRIM(IF(D1376="UNMAPPED","Program not mapped. ","")&amp;IF(OR(K1376="UNMAPPED",K1376="UNASSIGNED"),"Category needs review. ","")&amp;IF(P1376="UNMAPPED","Title not mapped. ","")&amp;IF(AND(P1376&lt;&gt;"No staff time",R1376=""),"Missing hours. ","")&amp;IF(M1376="","Date not readable. ","")&amp;IF(N1376="No","Outside fiscal year. ","")&amp;IF(AND(F1376="Event",ISNUMBER(R1376)),IF(R1376&gt;12,"Event hours look high. ",""),"")&amp;IF(G1376&gt;0,"See CONFIRM sheet.",""))</f>
        <v/>
      </c>
      <c r="AB1376" s="1" t="n">
        <f aca="false">IF(N1376="No",0,IF(REVIEW!O1376=0,0,IF(G1376&gt;0,IF(INDEX(CONFIRM!$J$5:$J$53,G1376)&lt;&gt;"",INDEX(CONFIRM!$J$5:$J$53,G1376),1),1)))</f>
        <v>1</v>
      </c>
      <c r="AC1376" s="1" t="n">
        <f aca="false">IF(AB1376=1,IF(COUNTIFS($B$5:B1376,B1376,$D$5:D1376,D1376,$AB$5:AB1376,1)=1,1,0),0)</f>
        <v>0</v>
      </c>
    </row>
    <row r="1377" customFormat="false" ht="15" hidden="false" customHeight="false" outlineLevel="0" collapsed="false">
      <c r="A1377" s="48" t="str">
        <f aca="false">STACK!A1377</f>
        <v>WCH-0270</v>
      </c>
      <c r="B1377" s="48" t="str">
        <f aca="false">STACK!B1377</f>
        <v>WCH</v>
      </c>
      <c r="C1377" s="48" t="str">
        <f aca="false">STACK!E1377</f>
        <v>nursing students</v>
      </c>
      <c r="D1377" s="1" t="str">
        <f aca="false">IFERROR(INDEX(MAP!$J$7:$J$101,MATCH(TRIM(C1377),MAP!$I$7:$I$101,0)),"UNMAPPED")</f>
        <v>Nursing Student Clinical Rotations</v>
      </c>
      <c r="E1377" s="1" t="str">
        <f aca="false">IFERROR(INDEX(MAP!$K$7:$K$101,MATCH(TRIM(C1377),MAP!$I$7:$I$101,0)),"")</f>
        <v>Health workforce</v>
      </c>
      <c r="F1377" s="1" t="str">
        <f aca="false">IFERROR(INDEX(MAP!$L$7:$L$101,MATCH(TRIM(C1377),MAP!$I$7:$I$101,0)),"")</f>
        <v>Monthly</v>
      </c>
      <c r="G1377" s="1" t="n">
        <f aca="false">IFERROR(MATCH(A1377,CONFIRM!$A$5:$A$53,0),0)</f>
        <v>0</v>
      </c>
      <c r="H1377" s="48" t="str">
        <f aca="false">STACK!F1377</f>
        <v>health professions ed</v>
      </c>
      <c r="I1377" s="1" t="str">
        <f aca="false">IF(G1377&gt;0,IF(INDEX(CONFIRM!$I$5:$I$53,G1377)&lt;&gt;"",INDEX(CONFIRM!$I$5:$I$53,G1377),H1377),H1377)</f>
        <v>health professions ed</v>
      </c>
      <c r="J1377" s="1" t="str">
        <f aca="false">IFERROR(INDEX(MAP!$F$7:$F$74,MATCH(TRIM(I1377),MAP!$E$7:$E$74,0)),"UNMAPPED")</f>
        <v>Health professions education</v>
      </c>
      <c r="K1377" s="1" t="str">
        <f aca="false">IFERROR(INDEX(MAP!$G$7:$G$74,MATCH(TRIM(I1377),MAP!$E$7:$E$74,0)),"UNMAPPED")</f>
        <v>7f</v>
      </c>
      <c r="L1377" s="49" t="str">
        <f aca="false">STACK!G1377</f>
        <v>June 30, 2026</v>
      </c>
      <c r="M1377" s="59" t="n">
        <f aca="false">IF(G1377&gt;0,IF(INDEX(CONFIRM!$G$5:$G$53,G1377)&lt;&gt;"",INDEX(CONFIRM!$G$5:$G$53,G1377),IF(ISNUMBER(L1377),L1377,IFERROR(DATEVALUE(L1377),""))),IF(ISNUMBER(L1377),L1377,IFERROR(DATEVALUE(L1377),"")))</f>
        <v>46203</v>
      </c>
      <c r="N1377" s="1" t="str">
        <f aca="false">IF(M1377="","Check",IF(AND(M1377&gt;=INPUTS!$C$6,M1377&lt;=INPUTS!$C$7),"Yes","No"))</f>
        <v>Yes</v>
      </c>
      <c r="O1377" s="48" t="str">
        <f aca="false">STACK!H1377</f>
        <v>Clin Educator</v>
      </c>
      <c r="P1377" s="1" t="str">
        <f aca="false">IF(G1377&gt;0,IF(INDEX(CONFIRM!$H$5:$H$53,G1377)&lt;&gt;"",INDEX(CONFIRM!$H$5:$H$53,G1377),IFERROR(INDEX(MAP!$B$7:$B$156,MATCH(TRIM(O1377),MAP!$A$7:$A$156,0)),"UNMAPPED")),IFERROR(INDEX(MAP!$B$7:$B$156,MATCH(TRIM(O1377),MAP!$A$7:$A$156,0)),"UNMAPPED"))</f>
        <v>Clinical Nurse Educator</v>
      </c>
      <c r="Q1377" s="48" t="n">
        <f aca="false">STACK!I1377</f>
        <v>40.75</v>
      </c>
      <c r="R1377" s="60" t="n">
        <f aca="false">IF(G1377&gt;0,IF(INDEX(CONFIRM!$F$5:$F$53,G1377)&lt;&gt;"",INDEX(CONFIRM!$F$5:$F$53,G1377),IF(ISNUMBER(Q1377),Q1377,IF(Q1377="","",IFERROR(VALUE(TRIM(SUBSTITUTE(SUBSTITUTE(LOWER(Q1377),"hrs",""),"hr",""))),"")))),IF(ISNUMBER(Q1377),Q1377,IF(Q1377="","",IFERROR(VALUE(TRIM(SUBSTITUTE(SUBSTITUTE(LOWER(Q1377),"hrs",""),"hr",""))),""))))</f>
        <v>40.75</v>
      </c>
      <c r="S1377" s="57" t="n">
        <f aca="false">IFERROR(INDEX(RATES!$E$6:$E$28,MATCH(P1377,RATES!$A$6:$A$28,0)),0)</f>
        <v>62.965</v>
      </c>
      <c r="T1377" s="61" t="n">
        <f aca="false">IF(ISNUMBER(R1377),R1377,0)*S1377</f>
        <v>2565.82375</v>
      </c>
      <c r="U1377" s="61" t="n">
        <f aca="false">T1377*INDEX(INPUTS!$H$10:$H$14,MATCH(B1377,INPUTS!$A$10:$A$14,0))</f>
        <v>361.78114875</v>
      </c>
      <c r="V1377" s="61" t="n">
        <f aca="false">N(STACK!K1377)</f>
        <v>210</v>
      </c>
      <c r="W1377" s="61" t="n">
        <f aca="false">T1377+U1377+V1377</f>
        <v>3137.60489875</v>
      </c>
      <c r="X1377" s="61" t="n">
        <f aca="false">N(STACK!L1377)</f>
        <v>0</v>
      </c>
      <c r="Y1377" s="61" t="n">
        <f aca="false">W1377-X1377</f>
        <v>3137.60489875</v>
      </c>
      <c r="Z1377" s="1" t="n">
        <f aca="false">N(STACK!J1377)</f>
        <v>8</v>
      </c>
      <c r="AA1377" s="1" t="str">
        <f aca="false">TRIM(IF(D1377="UNMAPPED","Program not mapped. ","")&amp;IF(OR(K1377="UNMAPPED",K1377="UNASSIGNED"),"Category needs review. ","")&amp;IF(P1377="UNMAPPED","Title not mapped. ","")&amp;IF(AND(P1377&lt;&gt;"No staff time",R1377=""),"Missing hours. ","")&amp;IF(M1377="","Date not readable. ","")&amp;IF(N1377="No","Outside fiscal year. ","")&amp;IF(AND(F1377="Event",ISNUMBER(R1377)),IF(R1377&gt;12,"Event hours look high. ",""),"")&amp;IF(G1377&gt;0,"See CONFIRM sheet.",""))</f>
        <v/>
      </c>
      <c r="AB1377" s="1" t="n">
        <f aca="false">IF(N1377="No",0,IF(REVIEW!O1377=0,0,IF(G1377&gt;0,IF(INDEX(CONFIRM!$J$5:$J$53,G1377)&lt;&gt;"",INDEX(CONFIRM!$J$5:$J$53,G1377),1),1)))</f>
        <v>1</v>
      </c>
      <c r="AC1377" s="1" t="n">
        <f aca="false">IF(AB1377=1,IF(COUNTIFS($B$5:B1377,B1377,$D$5:D1377,D1377,$AB$5:AB1377,1)=1,1,0),0)</f>
        <v>0</v>
      </c>
    </row>
    <row r="1378" customFormat="false" ht="15" hidden="false" customHeight="false" outlineLevel="0" collapsed="false">
      <c r="A1378" s="48" t="str">
        <f aca="false">STACK!A1378</f>
        <v>WCH-0271</v>
      </c>
      <c r="B1378" s="48" t="str">
        <f aca="false">STACK!B1378</f>
        <v>WCH</v>
      </c>
      <c r="C1378" s="48" t="str">
        <f aca="false">STACK!E1378</f>
        <v>nursing students</v>
      </c>
      <c r="D1378" s="1" t="str">
        <f aca="false">IFERROR(INDEX(MAP!$J$7:$J$101,MATCH(TRIM(C1378),MAP!$I$7:$I$101,0)),"UNMAPPED")</f>
        <v>Nursing Student Clinical Rotations</v>
      </c>
      <c r="E1378" s="1" t="str">
        <f aca="false">IFERROR(INDEX(MAP!$K$7:$K$101,MATCH(TRIM(C1378),MAP!$I$7:$I$101,0)),"")</f>
        <v>Health workforce</v>
      </c>
      <c r="F1378" s="1" t="str">
        <f aca="false">IFERROR(INDEX(MAP!$L$7:$L$101,MATCH(TRIM(C1378),MAP!$I$7:$I$101,0)),"")</f>
        <v>Monthly</v>
      </c>
      <c r="G1378" s="1" t="n">
        <f aca="false">IFERROR(MATCH(A1378,CONFIRM!$A$5:$A$53,0),0)</f>
        <v>0</v>
      </c>
      <c r="H1378" s="48" t="str">
        <f aca="false">STACK!F1378</f>
        <v>health professions ed</v>
      </c>
      <c r="I1378" s="1" t="str">
        <f aca="false">IF(G1378&gt;0,IF(INDEX(CONFIRM!$I$5:$I$53,G1378)&lt;&gt;"",INDEX(CONFIRM!$I$5:$I$53,G1378),H1378),H1378)</f>
        <v>health professions ed</v>
      </c>
      <c r="J1378" s="1" t="str">
        <f aca="false">IFERROR(INDEX(MAP!$F$7:$F$74,MATCH(TRIM(I1378),MAP!$E$7:$E$74,0)),"UNMAPPED")</f>
        <v>Health professions education</v>
      </c>
      <c r="K1378" s="1" t="str">
        <f aca="false">IFERROR(INDEX(MAP!$G$7:$G$74,MATCH(TRIM(I1378),MAP!$E$7:$E$74,0)),"UNMAPPED")</f>
        <v>7f</v>
      </c>
      <c r="L1378" s="49" t="n">
        <f aca="false">STACK!G1378</f>
        <v>46203</v>
      </c>
      <c r="M1378" s="59" t="n">
        <f aca="false">IF(G1378&gt;0,IF(INDEX(CONFIRM!$G$5:$G$53,G1378)&lt;&gt;"",INDEX(CONFIRM!$G$5:$G$53,G1378),IF(ISNUMBER(L1378),L1378,IFERROR(DATEVALUE(L1378),""))),IF(ISNUMBER(L1378),L1378,IFERROR(DATEVALUE(L1378),"")))</f>
        <v>46203</v>
      </c>
      <c r="N1378" s="1" t="str">
        <f aca="false">IF(M1378="","Check",IF(AND(M1378&gt;=INPUTS!$C$6,M1378&lt;=INPUTS!$C$7),"Yes","No"))</f>
        <v>Yes</v>
      </c>
      <c r="O1378" s="48" t="str">
        <f aca="false">STACK!H1378</f>
        <v>RN - Outreach</v>
      </c>
      <c r="P1378" s="1" t="str">
        <f aca="false">IF(G1378&gt;0,IF(INDEX(CONFIRM!$H$5:$H$53,G1378)&lt;&gt;"",INDEX(CONFIRM!$H$5:$H$53,G1378),IFERROR(INDEX(MAP!$B$7:$B$156,MATCH(TRIM(O1378),MAP!$A$7:$A$156,0)),"UNMAPPED")),IFERROR(INDEX(MAP!$B$7:$B$156,MATCH(TRIM(O1378),MAP!$A$7:$A$156,0)),"UNMAPPED"))</f>
        <v>Registered Nurse</v>
      </c>
      <c r="Q1378" s="48" t="n">
        <f aca="false">STACK!I1378</f>
        <v>51.25</v>
      </c>
      <c r="R1378" s="60" t="n">
        <f aca="false">IF(G1378&gt;0,IF(INDEX(CONFIRM!$F$5:$F$53,G1378)&lt;&gt;"",INDEX(CONFIRM!$F$5:$F$53,G1378),IF(ISNUMBER(Q1378),Q1378,IF(Q1378="","",IFERROR(VALUE(TRIM(SUBSTITUTE(SUBSTITUTE(LOWER(Q1378),"hrs",""),"hr",""))),"")))),IF(ISNUMBER(Q1378),Q1378,IF(Q1378="","",IFERROR(VALUE(TRIM(SUBSTITUTE(SUBSTITUTE(LOWER(Q1378),"hrs",""),"hr",""))),""))))</f>
        <v>51.25</v>
      </c>
      <c r="S1378" s="57" t="n">
        <f aca="false">IFERROR(INDEX(RATES!$E$6:$E$28,MATCH(P1378,RATES!$A$6:$A$28,0)),0)</f>
        <v>55.8975</v>
      </c>
      <c r="T1378" s="61" t="n">
        <f aca="false">IF(ISNUMBER(R1378),R1378,0)*S1378</f>
        <v>2864.746875</v>
      </c>
      <c r="U1378" s="61" t="n">
        <f aca="false">T1378*INDEX(INPUTS!$H$10:$H$14,MATCH(B1378,INPUTS!$A$10:$A$14,0))</f>
        <v>403.929309375</v>
      </c>
      <c r="V1378" s="61" t="n">
        <f aca="false">N(STACK!K1378)</f>
        <v>0</v>
      </c>
      <c r="W1378" s="61" t="n">
        <f aca="false">T1378+U1378+V1378</f>
        <v>3268.676184375</v>
      </c>
      <c r="X1378" s="61" t="n">
        <f aca="false">N(STACK!L1378)</f>
        <v>0</v>
      </c>
      <c r="Y1378" s="61" t="n">
        <f aca="false">W1378-X1378</f>
        <v>3268.676184375</v>
      </c>
      <c r="Z1378" s="1" t="n">
        <f aca="false">N(STACK!J1378)</f>
        <v>0</v>
      </c>
      <c r="AA1378" s="1" t="str">
        <f aca="false">TRIM(IF(D1378="UNMAPPED","Program not mapped. ","")&amp;IF(OR(K1378="UNMAPPED",K1378="UNASSIGNED"),"Category needs review. ","")&amp;IF(P1378="UNMAPPED","Title not mapped. ","")&amp;IF(AND(P1378&lt;&gt;"No staff time",R1378=""),"Missing hours. ","")&amp;IF(M1378="","Date not readable. ","")&amp;IF(N1378="No","Outside fiscal year. ","")&amp;IF(AND(F1378="Event",ISNUMBER(R1378)),IF(R1378&gt;12,"Event hours look high. ",""),"")&amp;IF(G1378&gt;0,"See CONFIRM sheet.",""))</f>
        <v/>
      </c>
      <c r="AB1378" s="1" t="n">
        <f aca="false">IF(N1378="No",0,IF(REVIEW!O1378=0,0,IF(G1378&gt;0,IF(INDEX(CONFIRM!$J$5:$J$53,G1378)&lt;&gt;"",INDEX(CONFIRM!$J$5:$J$53,G1378),1),1)))</f>
        <v>1</v>
      </c>
      <c r="AC1378" s="1" t="n">
        <f aca="false">IF(AB1378=1,IF(COUNTIFS($B$5:B1378,B1378,$D$5:D1378,D1378,$AB$5:AB1378,1)=1,1,0),0)</f>
        <v>0</v>
      </c>
    </row>
    <row r="1379" customFormat="false" ht="15" hidden="false" customHeight="false" outlineLevel="0" collapsed="false">
      <c r="A1379" s="48" t="str">
        <f aca="false">STACK!A1379</f>
        <v>WCH-0272</v>
      </c>
      <c r="B1379" s="48" t="str">
        <f aca="false">STACK!B1379</f>
        <v>WCH</v>
      </c>
      <c r="C1379" s="48" t="str">
        <f aca="false">STACK!E1379</f>
        <v>paramedic students</v>
      </c>
      <c r="D1379" s="1" t="str">
        <f aca="false">IFERROR(INDEX(MAP!$J$7:$J$101,MATCH(TRIM(C1379),MAP!$I$7:$I$101,0)),"UNMAPPED")</f>
        <v>Paramedic Student Field Training</v>
      </c>
      <c r="E1379" s="1" t="str">
        <f aca="false">IFERROR(INDEX(MAP!$K$7:$K$101,MATCH(TRIM(C1379),MAP!$I$7:$I$101,0)),"")</f>
        <v>Health workforce</v>
      </c>
      <c r="F1379" s="1" t="str">
        <f aca="false">IFERROR(INDEX(MAP!$L$7:$L$101,MATCH(TRIM(C1379),MAP!$I$7:$I$101,0)),"")</f>
        <v>Monthly</v>
      </c>
      <c r="G1379" s="1" t="n">
        <f aca="false">IFERROR(MATCH(A1379,CONFIRM!$A$5:$A$53,0),0)</f>
        <v>0</v>
      </c>
      <c r="H1379" s="48" t="str">
        <f aca="false">STACK!F1379</f>
        <v>health professions ed</v>
      </c>
      <c r="I1379" s="1" t="str">
        <f aca="false">IF(G1379&gt;0,IF(INDEX(CONFIRM!$I$5:$I$53,G1379)&lt;&gt;"",INDEX(CONFIRM!$I$5:$I$53,G1379),H1379),H1379)</f>
        <v>health professions ed</v>
      </c>
      <c r="J1379" s="1" t="str">
        <f aca="false">IFERROR(INDEX(MAP!$F$7:$F$74,MATCH(TRIM(I1379),MAP!$E$7:$E$74,0)),"UNMAPPED")</f>
        <v>Health professions education</v>
      </c>
      <c r="K1379" s="1" t="str">
        <f aca="false">IFERROR(INDEX(MAP!$G$7:$G$74,MATCH(TRIM(I1379),MAP!$E$7:$E$74,0)),"UNMAPPED")</f>
        <v>7f</v>
      </c>
      <c r="L1379" s="49" t="str">
        <f aca="false">STACK!G1379</f>
        <v>6/30/26</v>
      </c>
      <c r="M1379" s="59" t="n">
        <f aca="false">IF(G1379&gt;0,IF(INDEX(CONFIRM!$G$5:$G$53,G1379)&lt;&gt;"",INDEX(CONFIRM!$G$5:$G$53,G1379),IF(ISNUMBER(L1379),L1379,IFERROR(DATEVALUE(L1379),""))),IF(ISNUMBER(L1379),L1379,IFERROR(DATEVALUE(L1379),"")))</f>
        <v>46203</v>
      </c>
      <c r="N1379" s="1" t="str">
        <f aca="false">IF(M1379="","Check",IF(AND(M1379&gt;=INPUTS!$C$6,M1379&lt;=INPUTS!$C$7),"Yes","No"))</f>
        <v>Yes</v>
      </c>
      <c r="O1379" s="48" t="str">
        <f aca="false">STACK!H1379</f>
        <v>EMT-P</v>
      </c>
      <c r="P1379" s="1" t="str">
        <f aca="false">IF(G1379&gt;0,IF(INDEX(CONFIRM!$H$5:$H$53,G1379)&lt;&gt;"",INDEX(CONFIRM!$H$5:$H$53,G1379),IFERROR(INDEX(MAP!$B$7:$B$156,MATCH(TRIM(O1379),MAP!$A$7:$A$156,0)),"UNMAPPED")),IFERROR(INDEX(MAP!$B$7:$B$156,MATCH(TRIM(O1379),MAP!$A$7:$A$156,0)),"UNMAPPED"))</f>
        <v>Paramedic</v>
      </c>
      <c r="Q1379" s="48" t="n">
        <f aca="false">STACK!I1379</f>
        <v>45.25</v>
      </c>
      <c r="R1379" s="60" t="n">
        <f aca="false">IF(G1379&gt;0,IF(INDEX(CONFIRM!$F$5:$F$53,G1379)&lt;&gt;"",INDEX(CONFIRM!$F$5:$F$53,G1379),IF(ISNUMBER(Q1379),Q1379,IF(Q1379="","",IFERROR(VALUE(TRIM(SUBSTITUTE(SUBSTITUTE(LOWER(Q1379),"hrs",""),"hr",""))),"")))),IF(ISNUMBER(Q1379),Q1379,IF(Q1379="","",IFERROR(VALUE(TRIM(SUBSTITUTE(SUBSTITUTE(LOWER(Q1379),"hrs",""),"hr",""))),""))))</f>
        <v>45.25</v>
      </c>
      <c r="S1379" s="57" t="n">
        <f aca="false">IFERROR(INDEX(RATES!$E$6:$E$28,MATCH(P1379,RATES!$A$6:$A$28,0)),0)</f>
        <v>34.695</v>
      </c>
      <c r="T1379" s="61" t="n">
        <f aca="false">IF(ISNUMBER(R1379),R1379,0)*S1379</f>
        <v>1569.94875</v>
      </c>
      <c r="U1379" s="61" t="n">
        <f aca="false">T1379*INDEX(INPUTS!$H$10:$H$14,MATCH(B1379,INPUTS!$A$10:$A$14,0))</f>
        <v>221.36277375</v>
      </c>
      <c r="V1379" s="61" t="n">
        <f aca="false">N(STACK!K1379)</f>
        <v>20</v>
      </c>
      <c r="W1379" s="61" t="n">
        <f aca="false">T1379+U1379+V1379</f>
        <v>1811.31152375</v>
      </c>
      <c r="X1379" s="61" t="n">
        <f aca="false">N(STACK!L1379)</f>
        <v>0</v>
      </c>
      <c r="Y1379" s="61" t="n">
        <f aca="false">W1379-X1379</f>
        <v>1811.31152375</v>
      </c>
      <c r="Z1379" s="1" t="n">
        <f aca="false">N(STACK!J1379)</f>
        <v>5</v>
      </c>
      <c r="AA1379" s="1" t="str">
        <f aca="false">TRIM(IF(D1379="UNMAPPED","Program not mapped. ","")&amp;IF(OR(K1379="UNMAPPED",K1379="UNASSIGNED"),"Category needs review. ","")&amp;IF(P1379="UNMAPPED","Title not mapped. ","")&amp;IF(AND(P1379&lt;&gt;"No staff time",R1379=""),"Missing hours. ","")&amp;IF(M1379="","Date not readable. ","")&amp;IF(N1379="No","Outside fiscal year. ","")&amp;IF(AND(F1379="Event",ISNUMBER(R1379)),IF(R1379&gt;12,"Event hours look high. ",""),"")&amp;IF(G1379&gt;0,"See CONFIRM sheet.",""))</f>
        <v/>
      </c>
      <c r="AB1379" s="1" t="n">
        <f aca="false">IF(N1379="No",0,IF(REVIEW!O1379=0,0,IF(G1379&gt;0,IF(INDEX(CONFIRM!$J$5:$J$53,G1379)&lt;&gt;"",INDEX(CONFIRM!$J$5:$J$53,G1379),1),1)))</f>
        <v>1</v>
      </c>
      <c r="AC1379" s="1" t="n">
        <f aca="false">IF(AB1379=1,IF(COUNTIFS($B$5:B1379,B1379,$D$5:D1379,D1379,$AB$5:AB1379,1)=1,1,0),0)</f>
        <v>0</v>
      </c>
    </row>
    <row r="1380" customFormat="false" ht="15" hidden="false" customHeight="false" outlineLevel="0" collapsed="false">
      <c r="A1380" s="48" t="str">
        <f aca="false">STACK!A1380</f>
        <v>WCH-0273</v>
      </c>
      <c r="B1380" s="48" t="str">
        <f aca="false">STACK!B1380</f>
        <v>WCH</v>
      </c>
      <c r="C1380" s="48" t="str">
        <f aca="false">STACK!E1380</f>
        <v>rural maternal study</v>
      </c>
      <c r="D1380" s="1" t="str">
        <f aca="false">IFERROR(INDEX(MAP!$J$7:$J$101,MATCH(TRIM(C1380),MAP!$I$7:$I$101,0)),"UNMAPPED")</f>
        <v>Rural Maternal Outcomes Study</v>
      </c>
      <c r="E1380" s="1" t="str">
        <f aca="false">IFERROR(INDEX(MAP!$K$7:$K$101,MATCH(TRIM(C1380),MAP!$I$7:$I$101,0)),"")</f>
        <v>Maternal and child health</v>
      </c>
      <c r="F1380" s="1" t="str">
        <f aca="false">IFERROR(INDEX(MAP!$L$7:$L$101,MATCH(TRIM(C1380),MAP!$I$7:$I$101,0)),"")</f>
        <v>Monthly</v>
      </c>
      <c r="G1380" s="1" t="n">
        <f aca="false">IFERROR(MATCH(A1380,CONFIRM!$A$5:$A$53,0),0)</f>
        <v>0</v>
      </c>
      <c r="H1380" s="48" t="str">
        <f aca="false">STACK!F1380</f>
        <v>research</v>
      </c>
      <c r="I1380" s="1" t="str">
        <f aca="false">IF(G1380&gt;0,IF(INDEX(CONFIRM!$I$5:$I$53,G1380)&lt;&gt;"",INDEX(CONFIRM!$I$5:$I$53,G1380),H1380),H1380)</f>
        <v>research</v>
      </c>
      <c r="J1380" s="1" t="str">
        <f aca="false">IFERROR(INDEX(MAP!$F$7:$F$74,MATCH(TRIM(I1380),MAP!$E$7:$E$74,0)),"UNMAPPED")</f>
        <v>Research</v>
      </c>
      <c r="K1380" s="1" t="str">
        <f aca="false">IFERROR(INDEX(MAP!$G$7:$G$74,MATCH(TRIM(I1380),MAP!$E$7:$E$74,0)),"UNMAPPED")</f>
        <v>7h</v>
      </c>
      <c r="L1380" s="49" t="str">
        <f aca="false">STACK!G1380</f>
        <v>6/30/26</v>
      </c>
      <c r="M1380" s="59" t="n">
        <f aca="false">IF(G1380&gt;0,IF(INDEX(CONFIRM!$G$5:$G$53,G1380)&lt;&gt;"",INDEX(CONFIRM!$G$5:$G$53,G1380),IF(ISNUMBER(L1380),L1380,IFERROR(DATEVALUE(L1380),""))),IF(ISNUMBER(L1380),L1380,IFERROR(DATEVALUE(L1380),"")))</f>
        <v>46203</v>
      </c>
      <c r="N1380" s="1" t="str">
        <f aca="false">IF(M1380="","Check",IF(AND(M1380&gt;=INPUTS!$C$6,M1380&lt;=INPUTS!$C$7),"Yes","No"))</f>
        <v>Yes</v>
      </c>
      <c r="O1380" s="48" t="str">
        <f aca="false">STACK!H1380</f>
        <v>Analyst</v>
      </c>
      <c r="P1380" s="1" t="str">
        <f aca="false">IF(G1380&gt;0,IF(INDEX(CONFIRM!$H$5:$H$53,G1380)&lt;&gt;"",INDEX(CONFIRM!$H$5:$H$53,G1380),IFERROR(INDEX(MAP!$B$7:$B$156,MATCH(TRIM(O1380),MAP!$A$7:$A$156,0)),"UNMAPPED")),IFERROR(INDEX(MAP!$B$7:$B$156,MATCH(TRIM(O1380),MAP!$A$7:$A$156,0)),"UNMAPPED"))</f>
        <v>Data Analyst</v>
      </c>
      <c r="Q1380" s="48" t="n">
        <f aca="false">STACK!I1380</f>
        <v>12</v>
      </c>
      <c r="R1380" s="60" t="n">
        <f aca="false">IF(G1380&gt;0,IF(INDEX(CONFIRM!$F$5:$F$53,G1380)&lt;&gt;"",INDEX(CONFIRM!$F$5:$F$53,G1380),IF(ISNUMBER(Q1380),Q1380,IF(Q1380="","",IFERROR(VALUE(TRIM(SUBSTITUTE(SUBSTITUTE(LOWER(Q1380),"hrs",""),"hr",""))),"")))),IF(ISNUMBER(Q1380),Q1380,IF(Q1380="","",IFERROR(VALUE(TRIM(SUBSTITUTE(SUBSTITUTE(LOWER(Q1380),"hrs",""),"hr",""))),""))))</f>
        <v>12</v>
      </c>
      <c r="S1380" s="57" t="n">
        <f aca="false">IFERROR(INDEX(RATES!$E$6:$E$28,MATCH(P1380,RATES!$A$6:$A$28,0)),0)</f>
        <v>48.83</v>
      </c>
      <c r="T1380" s="61" t="n">
        <f aca="false">IF(ISNUMBER(R1380),R1380,0)*S1380</f>
        <v>585.96</v>
      </c>
      <c r="U1380" s="61" t="n">
        <f aca="false">T1380*INDEX(INPUTS!$H$10:$H$14,MATCH(B1380,INPUTS!$A$10:$A$14,0))</f>
        <v>82.62036</v>
      </c>
      <c r="V1380" s="61" t="n">
        <f aca="false">N(STACK!K1380)</f>
        <v>0</v>
      </c>
      <c r="W1380" s="61" t="n">
        <f aca="false">T1380+U1380+V1380</f>
        <v>668.58036</v>
      </c>
      <c r="X1380" s="61" t="n">
        <f aca="false">N(STACK!L1380)</f>
        <v>0</v>
      </c>
      <c r="Y1380" s="61" t="n">
        <f aca="false">W1380-X1380</f>
        <v>668.58036</v>
      </c>
      <c r="Z1380" s="1" t="n">
        <f aca="false">N(STACK!J1380)</f>
        <v>0</v>
      </c>
      <c r="AA1380" s="1" t="str">
        <f aca="false">TRIM(IF(D1380="UNMAPPED","Program not mapped. ","")&amp;IF(OR(K1380="UNMAPPED",K1380="UNASSIGNED"),"Category needs review. ","")&amp;IF(P1380="UNMAPPED","Title not mapped. ","")&amp;IF(AND(P1380&lt;&gt;"No staff time",R1380=""),"Missing hours. ","")&amp;IF(M1380="","Date not readable. ","")&amp;IF(N1380="No","Outside fiscal year. ","")&amp;IF(AND(F1380="Event",ISNUMBER(R1380)),IF(R1380&gt;12,"Event hours look high. ",""),"")&amp;IF(G1380&gt;0,"See CONFIRM sheet.",""))</f>
        <v/>
      </c>
      <c r="AB1380" s="1" t="n">
        <f aca="false">IF(N1380="No",0,IF(REVIEW!O1380=0,0,IF(G1380&gt;0,IF(INDEX(CONFIRM!$J$5:$J$53,G1380)&lt;&gt;"",INDEX(CONFIRM!$J$5:$J$53,G1380),1),1)))</f>
        <v>1</v>
      </c>
      <c r="AC1380" s="1" t="n">
        <f aca="false">IF(AB1380=1,IF(COUNTIFS($B$5:B1380,B1380,$D$5:D1380,D1380,$AB$5:AB1380,1)=1,1,0),0)</f>
        <v>0</v>
      </c>
    </row>
    <row r="1381" customFormat="false" ht="15" hidden="false" customHeight="false" outlineLevel="0" collapsed="false">
      <c r="A1381" s="48" t="str">
        <f aca="false">STACK!A1381</f>
        <v>WCH-0274</v>
      </c>
      <c r="B1381" s="48" t="str">
        <f aca="false">STACK!B1381</f>
        <v>WCH</v>
      </c>
      <c r="C1381" s="48" t="str">
        <f aca="false">STACK!E1381</f>
        <v>rural maternal study</v>
      </c>
      <c r="D1381" s="1" t="str">
        <f aca="false">IFERROR(INDEX(MAP!$J$7:$J$101,MATCH(TRIM(C1381),MAP!$I$7:$I$101,0)),"UNMAPPED")</f>
        <v>Rural Maternal Outcomes Study</v>
      </c>
      <c r="E1381" s="1" t="str">
        <f aca="false">IFERROR(INDEX(MAP!$K$7:$K$101,MATCH(TRIM(C1381),MAP!$I$7:$I$101,0)),"")</f>
        <v>Maternal and child health</v>
      </c>
      <c r="F1381" s="1" t="str">
        <f aca="false">IFERROR(INDEX(MAP!$L$7:$L$101,MATCH(TRIM(C1381),MAP!$I$7:$I$101,0)),"")</f>
        <v>Monthly</v>
      </c>
      <c r="G1381" s="1" t="n">
        <f aca="false">IFERROR(MATCH(A1381,CONFIRM!$A$5:$A$53,0),0)</f>
        <v>0</v>
      </c>
      <c r="H1381" s="48" t="str">
        <f aca="false">STACK!F1381</f>
        <v>research</v>
      </c>
      <c r="I1381" s="1" t="str">
        <f aca="false">IF(G1381&gt;0,IF(INDEX(CONFIRM!$I$5:$I$53,G1381)&lt;&gt;"",INDEX(CONFIRM!$I$5:$I$53,G1381),H1381),H1381)</f>
        <v>research</v>
      </c>
      <c r="J1381" s="1" t="str">
        <f aca="false">IFERROR(INDEX(MAP!$F$7:$F$74,MATCH(TRIM(I1381),MAP!$E$7:$E$74,0)),"UNMAPPED")</f>
        <v>Research</v>
      </c>
      <c r="K1381" s="1" t="str">
        <f aca="false">IFERROR(INDEX(MAP!$G$7:$G$74,MATCH(TRIM(I1381),MAP!$E$7:$E$74,0)),"UNMAPPED")</f>
        <v>7h</v>
      </c>
      <c r="L1381" s="49" t="n">
        <f aca="false">STACK!G1381</f>
        <v>46203</v>
      </c>
      <c r="M1381" s="59" t="n">
        <f aca="false">IF(G1381&gt;0,IF(INDEX(CONFIRM!$G$5:$G$53,G1381)&lt;&gt;"",INDEX(CONFIRM!$G$5:$G$53,G1381),IF(ISNUMBER(L1381),L1381,IFERROR(DATEVALUE(L1381),""))),IF(ISNUMBER(L1381),L1381,IFERROR(DATEVALUE(L1381),"")))</f>
        <v>46203</v>
      </c>
      <c r="N1381" s="1" t="str">
        <f aca="false">IF(M1381="","Check",IF(AND(M1381&gt;=INPUTS!$C$6,M1381&lt;=INPUTS!$C$7),"Yes","No"))</f>
        <v>Yes</v>
      </c>
      <c r="O1381" s="48" t="str">
        <f aca="false">STACK!H1381</f>
        <v>Research Nurse</v>
      </c>
      <c r="P1381" s="1" t="str">
        <f aca="false">IF(G1381&gt;0,IF(INDEX(CONFIRM!$H$5:$H$53,G1381)&lt;&gt;"",INDEX(CONFIRM!$H$5:$H$53,G1381),IFERROR(INDEX(MAP!$B$7:$B$156,MATCH(TRIM(O1381),MAP!$A$7:$A$156,0)),"UNMAPPED")),IFERROR(INDEX(MAP!$B$7:$B$156,MATCH(TRIM(O1381),MAP!$A$7:$A$156,0)),"UNMAPPED"))</f>
        <v>Research Coordinator</v>
      </c>
      <c r="Q1381" s="48" t="n">
        <f aca="false">STACK!I1381</f>
        <v>43</v>
      </c>
      <c r="R1381" s="60" t="n">
        <f aca="false">IF(G1381&gt;0,IF(INDEX(CONFIRM!$F$5:$F$53,G1381)&lt;&gt;"",INDEX(CONFIRM!$F$5:$F$53,G1381),IF(ISNUMBER(Q1381),Q1381,IF(Q1381="","",IFERROR(VALUE(TRIM(SUBSTITUTE(SUBSTITUTE(LOWER(Q1381),"hrs",""),"hr",""))),"")))),IF(ISNUMBER(Q1381),Q1381,IF(Q1381="","",IFERROR(VALUE(TRIM(SUBSTITUTE(SUBSTITUTE(LOWER(Q1381),"hrs",""),"hr",""))),""))))</f>
        <v>43</v>
      </c>
      <c r="S1381" s="57" t="n">
        <f aca="false">IFERROR(INDEX(RATES!$E$6:$E$28,MATCH(P1381,RATES!$A$6:$A$28,0)),0)</f>
        <v>42.405</v>
      </c>
      <c r="T1381" s="61" t="n">
        <f aca="false">IF(ISNUMBER(R1381),R1381,0)*S1381</f>
        <v>1823.415</v>
      </c>
      <c r="U1381" s="61" t="n">
        <f aca="false">T1381*INDEX(INPUTS!$H$10:$H$14,MATCH(B1381,INPUTS!$A$10:$A$14,0))</f>
        <v>257.101515</v>
      </c>
      <c r="V1381" s="61" t="n">
        <f aca="false">N(STACK!K1381)</f>
        <v>1475</v>
      </c>
      <c r="W1381" s="61" t="n">
        <f aca="false">T1381+U1381+V1381</f>
        <v>3555.516515</v>
      </c>
      <c r="X1381" s="61" t="n">
        <f aca="false">N(STACK!L1381)</f>
        <v>3670</v>
      </c>
      <c r="Y1381" s="61" t="n">
        <f aca="false">W1381-X1381</f>
        <v>-114.483485</v>
      </c>
      <c r="Z1381" s="1" t="n">
        <f aca="false">N(STACK!J1381)</f>
        <v>14</v>
      </c>
      <c r="AA1381" s="1" t="str">
        <f aca="false">TRIM(IF(D1381="UNMAPPED","Program not mapped. ","")&amp;IF(OR(K1381="UNMAPPED",K1381="UNASSIGNED"),"Category needs review. ","")&amp;IF(P1381="UNMAPPED","Title not mapped. ","")&amp;IF(AND(P1381&lt;&gt;"No staff time",R1381=""),"Missing hours. ","")&amp;IF(M1381="","Date not readable. ","")&amp;IF(N1381="No","Outside fiscal year. ","")&amp;IF(AND(F1381="Event",ISNUMBER(R1381)),IF(R1381&gt;12,"Event hours look high. ",""),"")&amp;IF(G1381&gt;0,"See CONFIRM sheet.",""))</f>
        <v/>
      </c>
      <c r="AB1381" s="1" t="n">
        <f aca="false">IF(N1381="No",0,IF(REVIEW!O1381=0,0,IF(G1381&gt;0,IF(INDEX(CONFIRM!$J$5:$J$53,G1381)&lt;&gt;"",INDEX(CONFIRM!$J$5:$J$53,G1381),1),1)))</f>
        <v>1</v>
      </c>
      <c r="AC1381" s="1" t="n">
        <f aca="false">IF(AB1381=1,IF(COUNTIFS($B$5:B1381,B1381,$D$5:D1381,D1381,$AB$5:AB1381,1)=1,1,0),0)</f>
        <v>0</v>
      </c>
    </row>
    <row r="1382" customFormat="false" ht="15" hidden="false" customHeight="false" outlineLevel="0" collapsed="false">
      <c r="A1382" s="48" t="str">
        <f aca="false">STACK!A1382</f>
        <v>QHH-0001</v>
      </c>
      <c r="B1382" s="48" t="str">
        <f aca="false">STACK!B1382</f>
        <v>QHH</v>
      </c>
      <c r="C1382" s="48" t="str">
        <f aca="false">STACK!E1382</f>
        <v>Regional Coalition</v>
      </c>
      <c r="D1382" s="1" t="str">
        <f aca="false">IFERROR(INDEX(MAP!$J$7:$J$101,MATCH(TRIM(C1382),MAP!$I$7:$I$101,0)),"UNMAPPED")</f>
        <v>Regional Health Coalition</v>
      </c>
      <c r="E1382" s="1" t="str">
        <f aca="false">IFERROR(INDEX(MAP!$K$7:$K$101,MATCH(TRIM(C1382),MAP!$I$7:$I$101,0)),"")</f>
        <v>Community benefit infrastructure</v>
      </c>
      <c r="F1382" s="1" t="str">
        <f aca="false">IFERROR(INDEX(MAP!$L$7:$L$101,MATCH(TRIM(C1382),MAP!$I$7:$I$101,0)),"")</f>
        <v>Event</v>
      </c>
      <c r="G1382" s="1" t="n">
        <f aca="false">IFERROR(MATCH(A1382,CONFIRM!$A$5:$A$53,0),0)</f>
        <v>0</v>
      </c>
      <c r="H1382" s="48" t="str">
        <f aca="false">STACK!F1382</f>
        <v>Coalition (CB)</v>
      </c>
      <c r="I1382" s="1" t="str">
        <f aca="false">IF(G1382&gt;0,IF(INDEX(CONFIRM!$I$5:$I$53,G1382)&lt;&gt;"",INDEX(CONFIRM!$I$5:$I$53,G1382),H1382),H1382)</f>
        <v>Coalition (CB)</v>
      </c>
      <c r="J1382" s="1" t="str">
        <f aca="false">IFERROR(INDEX(MAP!$F$7:$F$74,MATCH(TRIM(I1382),MAP!$E$7:$E$74,0)),"UNMAPPED")</f>
        <v>Community building: coalition building</v>
      </c>
      <c r="K1382" s="1" t="str">
        <f aca="false">IFERROR(INDEX(MAP!$G$7:$G$74,MATCH(TRIM(I1382),MAP!$E$7:$E$74,0)),"UNMAPPED")</f>
        <v>II-6</v>
      </c>
      <c r="L1382" s="49" t="str">
        <f aca="false">STACK!G1382</f>
        <v>02-Jul-2025</v>
      </c>
      <c r="M1382" s="59" t="n">
        <f aca="false">IF(G1382&gt;0,IF(INDEX(CONFIRM!$G$5:$G$53,G1382)&lt;&gt;"",INDEX(CONFIRM!$G$5:$G$53,G1382),IF(ISNUMBER(L1382),L1382,IFERROR(DATEVALUE(L1382),""))),IF(ISNUMBER(L1382),L1382,IFERROR(DATEVALUE(L1382),"")))</f>
        <v>45840</v>
      </c>
      <c r="N1382" s="1" t="str">
        <f aca="false">IF(M1382="","Check",IF(AND(M1382&gt;=INPUTS!$C$6,M1382&lt;=INPUTS!$C$7),"Yes","No"))</f>
        <v>Yes</v>
      </c>
      <c r="O1382" s="48" t="str">
        <f aca="false">STACK!H1382</f>
        <v>Community Benefit Manager</v>
      </c>
      <c r="P1382" s="1" t="str">
        <f aca="false">IF(G1382&gt;0,IF(INDEX(CONFIRM!$H$5:$H$53,G1382)&lt;&gt;"",INDEX(CONFIRM!$H$5:$H$53,G1382),IFERROR(INDEX(MAP!$B$7:$B$156,MATCH(TRIM(O1382),MAP!$A$7:$A$156,0)),"UNMAPPED")),IFERROR(INDEX(MAP!$B$7:$B$156,MATCH(TRIM(O1382),MAP!$A$7:$A$156,0)),"UNMAPPED"))</f>
        <v>Community Benefit Manager</v>
      </c>
      <c r="Q1382" s="48" t="n">
        <f aca="false">STACK!I1382</f>
        <v>2.25</v>
      </c>
      <c r="R1382" s="60" t="n">
        <f aca="false">IF(G1382&gt;0,IF(INDEX(CONFIRM!$F$5:$F$53,G1382)&lt;&gt;"",INDEX(CONFIRM!$F$5:$F$53,G1382),IF(ISNUMBER(Q1382),Q1382,IF(Q1382="","",IFERROR(VALUE(TRIM(SUBSTITUTE(SUBSTITUTE(LOWER(Q1382),"hrs",""),"hr",""))),"")))),IF(ISNUMBER(Q1382),Q1382,IF(Q1382="","",IFERROR(VALUE(TRIM(SUBSTITUTE(SUBSTITUTE(LOWER(Q1382),"hrs",""),"hr",""))),""))))</f>
        <v>2.25</v>
      </c>
      <c r="S1382" s="57" t="n">
        <f aca="false">IFERROR(INDEX(RATES!$E$6:$E$28,MATCH(P1382,RATES!$A$6:$A$28,0)),0)</f>
        <v>59.11</v>
      </c>
      <c r="T1382" s="61" t="n">
        <f aca="false">IF(ISNUMBER(R1382),R1382,0)*S1382</f>
        <v>132.9975</v>
      </c>
      <c r="U1382" s="61" t="n">
        <f aca="false">T1382*INDEX(INPUTS!$H$10:$H$14,MATCH(B1382,INPUTS!$A$10:$A$14,0))</f>
        <v>20.0826225</v>
      </c>
      <c r="V1382" s="61" t="n">
        <f aca="false">N(STACK!K1382)</f>
        <v>0</v>
      </c>
      <c r="W1382" s="61" t="n">
        <f aca="false">T1382+U1382+V1382</f>
        <v>153.0801225</v>
      </c>
      <c r="X1382" s="61" t="n">
        <f aca="false">N(STACK!L1382)</f>
        <v>0</v>
      </c>
      <c r="Y1382" s="61" t="n">
        <f aca="false">W1382-X1382</f>
        <v>153.0801225</v>
      </c>
      <c r="Z1382" s="1" t="n">
        <f aca="false">N(STACK!J1382)</f>
        <v>0</v>
      </c>
      <c r="AA1382" s="1" t="str">
        <f aca="false">TRIM(IF(D1382="UNMAPPED","Program not mapped. ","")&amp;IF(OR(K1382="UNMAPPED",K1382="UNASSIGNED"),"Category needs review. ","")&amp;IF(P1382="UNMAPPED","Title not mapped. ","")&amp;IF(AND(P1382&lt;&gt;"No staff time",R1382=""),"Missing hours. ","")&amp;IF(M1382="","Date not readable. ","")&amp;IF(N1382="No","Outside fiscal year. ","")&amp;IF(AND(F1382="Event",ISNUMBER(R1382)),IF(R1382&gt;12,"Event hours look high. ",""),"")&amp;IF(G1382&gt;0,"See CONFIRM sheet.",""))</f>
        <v/>
      </c>
      <c r="AB1382" s="1" t="n">
        <f aca="false">IF(N1382="No",0,IF(REVIEW!O1382=0,0,IF(G1382&gt;0,IF(INDEX(CONFIRM!$J$5:$J$53,G1382)&lt;&gt;"",INDEX(CONFIRM!$J$5:$J$53,G1382),1),1)))</f>
        <v>1</v>
      </c>
      <c r="AC1382" s="1" t="n">
        <f aca="false">IF(AB1382=1,IF(COUNTIFS($B$5:B1382,B1382,$D$5:D1382,D1382,$AB$5:AB1382,1)=1,1,0),0)</f>
        <v>1</v>
      </c>
    </row>
    <row r="1383" customFormat="false" ht="15" hidden="false" customHeight="false" outlineLevel="0" collapsed="false">
      <c r="A1383" s="48" t="str">
        <f aca="false">STACK!A1383</f>
        <v>QHH-0002</v>
      </c>
      <c r="B1383" s="48" t="str">
        <f aca="false">STACK!B1383</f>
        <v>QHH</v>
      </c>
      <c r="C1383" s="48" t="str">
        <f aca="false">STACK!E1383</f>
        <v>Regional Coalition</v>
      </c>
      <c r="D1383" s="1" t="str">
        <f aca="false">IFERROR(INDEX(MAP!$J$7:$J$101,MATCH(TRIM(C1383),MAP!$I$7:$I$101,0)),"UNMAPPED")</f>
        <v>Regional Health Coalition</v>
      </c>
      <c r="E1383" s="1" t="str">
        <f aca="false">IFERROR(INDEX(MAP!$K$7:$K$101,MATCH(TRIM(C1383),MAP!$I$7:$I$101,0)),"")</f>
        <v>Community benefit infrastructure</v>
      </c>
      <c r="F1383" s="1" t="str">
        <f aca="false">IFERROR(INDEX(MAP!$L$7:$L$101,MATCH(TRIM(C1383),MAP!$I$7:$I$101,0)),"")</f>
        <v>Event</v>
      </c>
      <c r="G1383" s="1" t="n">
        <f aca="false">IFERROR(MATCH(A1383,CONFIRM!$A$5:$A$53,0),0)</f>
        <v>0</v>
      </c>
      <c r="H1383" s="48" t="str">
        <f aca="false">STACK!F1383</f>
        <v>Coalition (CB)</v>
      </c>
      <c r="I1383" s="1" t="str">
        <f aca="false">IF(G1383&gt;0,IF(INDEX(CONFIRM!$I$5:$I$53,G1383)&lt;&gt;"",INDEX(CONFIRM!$I$5:$I$53,G1383),H1383),H1383)</f>
        <v>Coalition (CB)</v>
      </c>
      <c r="J1383" s="1" t="str">
        <f aca="false">IFERROR(INDEX(MAP!$F$7:$F$74,MATCH(TRIM(I1383),MAP!$E$7:$E$74,0)),"UNMAPPED")</f>
        <v>Community building: coalition building</v>
      </c>
      <c r="K1383" s="1" t="str">
        <f aca="false">IFERROR(INDEX(MAP!$G$7:$G$74,MATCH(TRIM(I1383),MAP!$E$7:$E$74,0)),"UNMAPPED")</f>
        <v>II-6</v>
      </c>
      <c r="L1383" s="49" t="str">
        <f aca="false">STACK!G1383</f>
        <v>02-Jul-2025</v>
      </c>
      <c r="M1383" s="59" t="n">
        <f aca="false">IF(G1383&gt;0,IF(INDEX(CONFIRM!$G$5:$G$53,G1383)&lt;&gt;"",INDEX(CONFIRM!$G$5:$G$53,G1383),IF(ISNUMBER(L1383),L1383,IFERROR(DATEVALUE(L1383),""))),IF(ISNUMBER(L1383),L1383,IFERROR(DATEVALUE(L1383),"")))</f>
        <v>45840</v>
      </c>
      <c r="N1383" s="1" t="str">
        <f aca="false">IF(M1383="","Check",IF(AND(M1383&gt;=INPUTS!$C$6,M1383&lt;=INPUTS!$C$7),"Yes","No"))</f>
        <v>Yes</v>
      </c>
      <c r="O1383" s="48" t="str">
        <f aca="false">STACK!H1383</f>
        <v>Director</v>
      </c>
      <c r="P1383" s="1" t="str">
        <f aca="false">IF(G1383&gt;0,IF(INDEX(CONFIRM!$H$5:$H$53,G1383)&lt;&gt;"",INDEX(CONFIRM!$H$5:$H$53,G1383),IFERROR(INDEX(MAP!$B$7:$B$156,MATCH(TRIM(O1383),MAP!$A$7:$A$156,0)),"UNMAPPED")),IFERROR(INDEX(MAP!$B$7:$B$156,MATCH(TRIM(O1383),MAP!$A$7:$A$156,0)),"UNMAPPED"))</f>
        <v>Director</v>
      </c>
      <c r="Q1383" s="48" t="n">
        <f aca="false">STACK!I1383</f>
        <v>2.75</v>
      </c>
      <c r="R1383" s="60" t="n">
        <f aca="false">IF(G1383&gt;0,IF(INDEX(CONFIRM!$F$5:$F$53,G1383)&lt;&gt;"",INDEX(CONFIRM!$F$5:$F$53,G1383),IF(ISNUMBER(Q1383),Q1383,IF(Q1383="","",IFERROR(VALUE(TRIM(SUBSTITUTE(SUBSTITUTE(LOWER(Q1383),"hrs",""),"hr",""))),"")))),IF(ISNUMBER(Q1383),Q1383,IF(Q1383="","",IFERROR(VALUE(TRIM(SUBSTITUTE(SUBSTITUTE(LOWER(Q1383),"hrs",""),"hr",""))),""))))</f>
        <v>2.75</v>
      </c>
      <c r="S1383" s="57" t="n">
        <f aca="false">IFERROR(INDEX(RATES!$E$6:$E$28,MATCH(P1383,RATES!$A$6:$A$28,0)),0)</f>
        <v>92.52</v>
      </c>
      <c r="T1383" s="61" t="n">
        <f aca="false">IF(ISNUMBER(R1383),R1383,0)*S1383</f>
        <v>254.43</v>
      </c>
      <c r="U1383" s="61" t="n">
        <f aca="false">T1383*INDEX(INPUTS!$H$10:$H$14,MATCH(B1383,INPUTS!$A$10:$A$14,0))</f>
        <v>38.41893</v>
      </c>
      <c r="V1383" s="61" t="n">
        <f aca="false">N(STACK!K1383)</f>
        <v>115</v>
      </c>
      <c r="W1383" s="61" t="n">
        <f aca="false">T1383+U1383+V1383</f>
        <v>407.84893</v>
      </c>
      <c r="X1383" s="61" t="n">
        <f aca="false">N(STACK!L1383)</f>
        <v>0</v>
      </c>
      <c r="Y1383" s="61" t="n">
        <f aca="false">W1383-X1383</f>
        <v>407.84893</v>
      </c>
      <c r="Z1383" s="1" t="n">
        <f aca="false">N(STACK!J1383)</f>
        <v>0</v>
      </c>
      <c r="AA1383" s="1" t="str">
        <f aca="false">TRIM(IF(D1383="UNMAPPED","Program not mapped. ","")&amp;IF(OR(K1383="UNMAPPED",K1383="UNASSIGNED"),"Category needs review. ","")&amp;IF(P1383="UNMAPPED","Title not mapped. ","")&amp;IF(AND(P1383&lt;&gt;"No staff time",R1383=""),"Missing hours. ","")&amp;IF(M1383="","Date not readable. ","")&amp;IF(N1383="No","Outside fiscal year. ","")&amp;IF(AND(F1383="Event",ISNUMBER(R1383)),IF(R1383&gt;12,"Event hours look high. ",""),"")&amp;IF(G1383&gt;0,"See CONFIRM sheet.",""))</f>
        <v/>
      </c>
      <c r="AB1383" s="1" t="n">
        <f aca="false">IF(N1383="No",0,IF(REVIEW!O1383=0,0,IF(G1383&gt;0,IF(INDEX(CONFIRM!$J$5:$J$53,G1383)&lt;&gt;"",INDEX(CONFIRM!$J$5:$J$53,G1383),1),1)))</f>
        <v>1</v>
      </c>
      <c r="AC1383" s="1" t="n">
        <f aca="false">IF(AB1383=1,IF(COUNTIFS($B$5:B1383,B1383,$D$5:D1383,D1383,$AB$5:AB1383,1)=1,1,0),0)</f>
        <v>0</v>
      </c>
    </row>
    <row r="1384" customFormat="false" ht="15" hidden="false" customHeight="false" outlineLevel="0" collapsed="false">
      <c r="A1384" s="48" t="str">
        <f aca="false">STACK!A1384</f>
        <v>QHH-0003</v>
      </c>
      <c r="B1384" s="48" t="str">
        <f aca="false">STACK!B1384</f>
        <v>QHH</v>
      </c>
      <c r="C1384" s="48" t="str">
        <f aca="false">STACK!E1384</f>
        <v>Fall Prevention Class</v>
      </c>
      <c r="D1384" s="1" t="str">
        <f aca="false">IFERROR(INDEX(MAP!$J$7:$J$101,MATCH(TRIM(C1384),MAP!$I$7:$I$101,0)),"UNMAPPED")</f>
        <v>Fall Prevention Classes for Older Adults</v>
      </c>
      <c r="E1384" s="1" t="str">
        <f aca="false">IFERROR(INDEX(MAP!$K$7:$K$101,MATCH(TRIM(C1384),MAP!$I$7:$I$101,0)),"")</f>
        <v>Chronic disease prevention</v>
      </c>
      <c r="F1384" s="1" t="str">
        <f aca="false">IFERROR(INDEX(MAP!$L$7:$L$101,MATCH(TRIM(C1384),MAP!$I$7:$I$101,0)),"")</f>
        <v>Event</v>
      </c>
      <c r="G1384" s="1" t="n">
        <f aca="false">IFERROR(MATCH(A1384,CONFIRM!$A$5:$A$53,0),0)</f>
        <v>0</v>
      </c>
      <c r="H1384" s="48" t="str">
        <f aca="false">STACK!F1384</f>
        <v>CHIS - Education</v>
      </c>
      <c r="I1384" s="1" t="str">
        <f aca="false">IF(G1384&gt;0,IF(INDEX(CONFIRM!$I$5:$I$53,G1384)&lt;&gt;"",INDEX(CONFIRM!$I$5:$I$53,G1384),H1384),H1384)</f>
        <v>CHIS - Education</v>
      </c>
      <c r="J1384" s="1" t="str">
        <f aca="false">IFERROR(INDEX(MAP!$F$7:$F$74,MATCH(TRIM(I1384),MAP!$E$7:$E$74,0)),"UNMAPPED")</f>
        <v>Community health education</v>
      </c>
      <c r="K1384" s="1" t="str">
        <f aca="false">IFERROR(INDEX(MAP!$G$7:$G$74,MATCH(TRIM(I1384),MAP!$E$7:$E$74,0)),"UNMAPPED")</f>
        <v>7e</v>
      </c>
      <c r="L1384" s="49" t="str">
        <f aca="false">STACK!G1384</f>
        <v>05-Jul-2025</v>
      </c>
      <c r="M1384" s="59" t="n">
        <f aca="false">IF(G1384&gt;0,IF(INDEX(CONFIRM!$G$5:$G$53,G1384)&lt;&gt;"",INDEX(CONFIRM!$G$5:$G$53,G1384),IF(ISNUMBER(L1384),L1384,IFERROR(DATEVALUE(L1384),""))),IF(ISNUMBER(L1384),L1384,IFERROR(DATEVALUE(L1384),"")))</f>
        <v>45843</v>
      </c>
      <c r="N1384" s="1" t="str">
        <f aca="false">IF(M1384="","Check",IF(AND(M1384&gt;=INPUTS!$C$6,M1384&lt;=INPUTS!$C$7),"Yes","No"))</f>
        <v>Yes</v>
      </c>
      <c r="O1384" s="48" t="str">
        <f aca="false">STACK!H1384</f>
        <v>Physical Therapy</v>
      </c>
      <c r="P1384" s="1" t="str">
        <f aca="false">IF(G1384&gt;0,IF(INDEX(CONFIRM!$H$5:$H$53,G1384)&lt;&gt;"",INDEX(CONFIRM!$H$5:$H$53,G1384),IFERROR(INDEX(MAP!$B$7:$B$156,MATCH(TRIM(O1384),MAP!$A$7:$A$156,0)),"UNMAPPED")),IFERROR(INDEX(MAP!$B$7:$B$156,MATCH(TRIM(O1384),MAP!$A$7:$A$156,0)),"UNMAPPED"))</f>
        <v>Licensed Therapist</v>
      </c>
      <c r="Q1384" s="48" t="n">
        <f aca="false">STACK!I1384</f>
        <v>2</v>
      </c>
      <c r="R1384" s="60" t="n">
        <f aca="false">IF(G1384&gt;0,IF(INDEX(CONFIRM!$F$5:$F$53,G1384)&lt;&gt;"",INDEX(CONFIRM!$F$5:$F$53,G1384),IF(ISNUMBER(Q1384),Q1384,IF(Q1384="","",IFERROR(VALUE(TRIM(SUBSTITUTE(SUBSTITUTE(LOWER(Q1384),"hrs",""),"hr",""))),"")))),IF(ISNUMBER(Q1384),Q1384,IF(Q1384="","",IFERROR(VALUE(TRIM(SUBSTITUTE(SUBSTITUTE(LOWER(Q1384),"hrs",""),"hr",""))),""))))</f>
        <v>2</v>
      </c>
      <c r="S1384" s="57" t="n">
        <f aca="false">IFERROR(INDEX(RATES!$E$6:$E$28,MATCH(P1384,RATES!$A$6:$A$28,0)),0)</f>
        <v>53.97</v>
      </c>
      <c r="T1384" s="61" t="n">
        <f aca="false">IF(ISNUMBER(R1384),R1384,0)*S1384</f>
        <v>107.94</v>
      </c>
      <c r="U1384" s="61" t="n">
        <f aca="false">T1384*INDEX(INPUTS!$H$10:$H$14,MATCH(B1384,INPUTS!$A$10:$A$14,0))</f>
        <v>16.29894</v>
      </c>
      <c r="V1384" s="61" t="n">
        <f aca="false">N(STACK!K1384)</f>
        <v>100</v>
      </c>
      <c r="W1384" s="61" t="n">
        <f aca="false">T1384+U1384+V1384</f>
        <v>224.23894</v>
      </c>
      <c r="X1384" s="61" t="n">
        <f aca="false">N(STACK!L1384)</f>
        <v>0</v>
      </c>
      <c r="Y1384" s="61" t="n">
        <f aca="false">W1384-X1384</f>
        <v>224.23894</v>
      </c>
      <c r="Z1384" s="1" t="n">
        <f aca="false">N(STACK!J1384)</f>
        <v>21</v>
      </c>
      <c r="AA1384" s="1" t="str">
        <f aca="false">TRIM(IF(D1384="UNMAPPED","Program not mapped. ","")&amp;IF(OR(K1384="UNMAPPED",K1384="UNASSIGNED"),"Category needs review. ","")&amp;IF(P1384="UNMAPPED","Title not mapped. ","")&amp;IF(AND(P1384&lt;&gt;"No staff time",R1384=""),"Missing hours. ","")&amp;IF(M1384="","Date not readable. ","")&amp;IF(N1384="No","Outside fiscal year. ","")&amp;IF(AND(F1384="Event",ISNUMBER(R1384)),IF(R1384&gt;12,"Event hours look high. ",""),"")&amp;IF(G1384&gt;0,"See CONFIRM sheet.",""))</f>
        <v/>
      </c>
      <c r="AB1384" s="1" t="n">
        <f aca="false">IF(N1384="No",0,IF(REVIEW!O1384=0,0,IF(G1384&gt;0,IF(INDEX(CONFIRM!$J$5:$J$53,G1384)&lt;&gt;"",INDEX(CONFIRM!$J$5:$J$53,G1384),1),1)))</f>
        <v>1</v>
      </c>
      <c r="AC1384" s="1" t="n">
        <f aca="false">IF(AB1384=1,IF(COUNTIFS($B$5:B1384,B1384,$D$5:D1384,D1384,$AB$5:AB1384,1)=1,1,0),0)</f>
        <v>1</v>
      </c>
    </row>
    <row r="1385" customFormat="false" ht="15" hidden="false" customHeight="false" outlineLevel="0" collapsed="false">
      <c r="A1385" s="48" t="str">
        <f aca="false">STACK!A1385</f>
        <v>QHH-0004</v>
      </c>
      <c r="B1385" s="48" t="str">
        <f aca="false">STACK!B1385</f>
        <v>QHH</v>
      </c>
      <c r="C1385" s="48" t="str">
        <f aca="false">STACK!E1385</f>
        <v>Emergency Prep Drill</v>
      </c>
      <c r="D1385" s="1" t="str">
        <f aca="false">IFERROR(INDEX(MAP!$J$7:$J$101,MATCH(TRIM(C1385),MAP!$I$7:$I$101,0)),"UNMAPPED")</f>
        <v>Community Emergency Preparedness Drills</v>
      </c>
      <c r="E1385" s="1" t="str">
        <f aca="false">IFERROR(INDEX(MAP!$K$7:$K$101,MATCH(TRIM(C1385),MAP!$I$7:$I$101,0)),"")</f>
        <v>Community benefit infrastructure</v>
      </c>
      <c r="F1385" s="1" t="str">
        <f aca="false">IFERROR(INDEX(MAP!$L$7:$L$101,MATCH(TRIM(C1385),MAP!$I$7:$I$101,0)),"")</f>
        <v>Event</v>
      </c>
      <c r="G1385" s="1" t="n">
        <f aca="false">IFERROR(MATCH(A1385,CONFIRM!$A$5:$A$53,0),0)</f>
        <v>0</v>
      </c>
      <c r="H1385" s="48" t="str">
        <f aca="false">STACK!F1385</f>
        <v>Community Support (CB)</v>
      </c>
      <c r="I1385" s="1" t="str">
        <f aca="false">IF(G1385&gt;0,IF(INDEX(CONFIRM!$I$5:$I$53,G1385)&lt;&gt;"",INDEX(CONFIRM!$I$5:$I$53,G1385),H1385),H1385)</f>
        <v>Community Support (CB)</v>
      </c>
      <c r="J1385" s="1" t="str">
        <f aca="false">IFERROR(INDEX(MAP!$F$7:$F$74,MATCH(TRIM(I1385),MAP!$E$7:$E$74,0)),"UNMAPPED")</f>
        <v>Community building: community support</v>
      </c>
      <c r="K1385" s="1" t="str">
        <f aca="false">IFERROR(INDEX(MAP!$G$7:$G$74,MATCH(TRIM(I1385),MAP!$E$7:$E$74,0)),"UNMAPPED")</f>
        <v>II-3</v>
      </c>
      <c r="L1385" s="49" t="str">
        <f aca="false">STACK!G1385</f>
        <v>12-Jul-2025</v>
      </c>
      <c r="M1385" s="59" t="n">
        <f aca="false">IF(G1385&gt;0,IF(INDEX(CONFIRM!$G$5:$G$53,G1385)&lt;&gt;"",INDEX(CONFIRM!$G$5:$G$53,G1385),IF(ISNUMBER(L1385),L1385,IFERROR(DATEVALUE(L1385),""))),IF(ISNUMBER(L1385),L1385,IFERROR(DATEVALUE(L1385),"")))</f>
        <v>45850</v>
      </c>
      <c r="N1385" s="1" t="str">
        <f aca="false">IF(M1385="","Check",IF(AND(M1385&gt;=INPUTS!$C$6,M1385&lt;=INPUTS!$C$7),"Yes","No"))</f>
        <v>Yes</v>
      </c>
      <c r="O1385" s="48" t="str">
        <f aca="false">STACK!H1385</f>
        <v>EMT</v>
      </c>
      <c r="P1385" s="1" t="str">
        <f aca="false">IF(G1385&gt;0,IF(INDEX(CONFIRM!$H$5:$H$53,G1385)&lt;&gt;"",INDEX(CONFIRM!$H$5:$H$53,G1385),IFERROR(INDEX(MAP!$B$7:$B$156,MATCH(TRIM(O1385),MAP!$A$7:$A$156,0)),"UNMAPPED")),IFERROR(INDEX(MAP!$B$7:$B$156,MATCH(TRIM(O1385),MAP!$A$7:$A$156,0)),"UNMAPPED"))</f>
        <v>Paramedic</v>
      </c>
      <c r="Q1385" s="48" t="n">
        <f aca="false">STACK!I1385</f>
        <v>7.25</v>
      </c>
      <c r="R1385" s="60" t="n">
        <f aca="false">IF(G1385&gt;0,IF(INDEX(CONFIRM!$F$5:$F$53,G1385)&lt;&gt;"",INDEX(CONFIRM!$F$5:$F$53,G1385),IF(ISNUMBER(Q1385),Q1385,IF(Q1385="","",IFERROR(VALUE(TRIM(SUBSTITUTE(SUBSTITUTE(LOWER(Q1385),"hrs",""),"hr",""))),"")))),IF(ISNUMBER(Q1385),Q1385,IF(Q1385="","",IFERROR(VALUE(TRIM(SUBSTITUTE(SUBSTITUTE(LOWER(Q1385),"hrs",""),"hr",""))),""))))</f>
        <v>7.25</v>
      </c>
      <c r="S1385" s="57" t="n">
        <f aca="false">IFERROR(INDEX(RATES!$E$6:$E$28,MATCH(P1385,RATES!$A$6:$A$28,0)),0)</f>
        <v>34.695</v>
      </c>
      <c r="T1385" s="61" t="n">
        <f aca="false">IF(ISNUMBER(R1385),R1385,0)*S1385</f>
        <v>251.53875</v>
      </c>
      <c r="U1385" s="61" t="n">
        <f aca="false">T1385*INDEX(INPUTS!$H$10:$H$14,MATCH(B1385,INPUTS!$A$10:$A$14,0))</f>
        <v>37.98235125</v>
      </c>
      <c r="V1385" s="61" t="n">
        <f aca="false">N(STACK!K1385)</f>
        <v>1315</v>
      </c>
      <c r="W1385" s="61" t="n">
        <f aca="false">T1385+U1385+V1385</f>
        <v>1604.52110125</v>
      </c>
      <c r="X1385" s="61" t="n">
        <f aca="false">N(STACK!L1385)</f>
        <v>0</v>
      </c>
      <c r="Y1385" s="61" t="n">
        <f aca="false">W1385-X1385</f>
        <v>1604.52110125</v>
      </c>
      <c r="Z1385" s="1" t="n">
        <f aca="false">N(STACK!J1385)</f>
        <v>130</v>
      </c>
      <c r="AA1385" s="1" t="str">
        <f aca="false">TRIM(IF(D1385="UNMAPPED","Program not mapped. ","")&amp;IF(OR(K1385="UNMAPPED",K1385="UNASSIGNED"),"Category needs review. ","")&amp;IF(P1385="UNMAPPED","Title not mapped. ","")&amp;IF(AND(P1385&lt;&gt;"No staff time",R1385=""),"Missing hours. ","")&amp;IF(M1385="","Date not readable. ","")&amp;IF(N1385="No","Outside fiscal year. ","")&amp;IF(AND(F1385="Event",ISNUMBER(R1385)),IF(R1385&gt;12,"Event hours look high. ",""),"")&amp;IF(G1385&gt;0,"See CONFIRM sheet.",""))</f>
        <v/>
      </c>
      <c r="AB1385" s="1" t="n">
        <f aca="false">IF(N1385="No",0,IF(REVIEW!O1385=0,0,IF(G1385&gt;0,IF(INDEX(CONFIRM!$J$5:$J$53,G1385)&lt;&gt;"",INDEX(CONFIRM!$J$5:$J$53,G1385),1),1)))</f>
        <v>1</v>
      </c>
      <c r="AC1385" s="1" t="n">
        <f aca="false">IF(AB1385=1,IF(COUNTIFS($B$5:B1385,B1385,$D$5:D1385,D1385,$AB$5:AB1385,1)=1,1,0),0)</f>
        <v>1</v>
      </c>
    </row>
    <row r="1386" customFormat="false" ht="15" hidden="false" customHeight="false" outlineLevel="0" collapsed="false">
      <c r="A1386" s="48" t="str">
        <f aca="false">STACK!A1386</f>
        <v>QHH-0005</v>
      </c>
      <c r="B1386" s="48" t="str">
        <f aca="false">STACK!B1386</f>
        <v>QHH</v>
      </c>
      <c r="C1386" s="48" t="str">
        <f aca="false">STACK!E1386</f>
        <v>Emergency Prep Drill</v>
      </c>
      <c r="D1386" s="1" t="str">
        <f aca="false">IFERROR(INDEX(MAP!$J$7:$J$101,MATCH(TRIM(C1386),MAP!$I$7:$I$101,0)),"UNMAPPED")</f>
        <v>Community Emergency Preparedness Drills</v>
      </c>
      <c r="E1386" s="1" t="str">
        <f aca="false">IFERROR(INDEX(MAP!$K$7:$K$101,MATCH(TRIM(C1386),MAP!$I$7:$I$101,0)),"")</f>
        <v>Community benefit infrastructure</v>
      </c>
      <c r="F1386" s="1" t="str">
        <f aca="false">IFERROR(INDEX(MAP!$L$7:$L$101,MATCH(TRIM(C1386),MAP!$I$7:$I$101,0)),"")</f>
        <v>Event</v>
      </c>
      <c r="G1386" s="1" t="n">
        <f aca="false">IFERROR(MATCH(A1386,CONFIRM!$A$5:$A$53,0),0)</f>
        <v>0</v>
      </c>
      <c r="H1386" s="48" t="str">
        <f aca="false">STACK!F1386</f>
        <v>Community Support (CB)</v>
      </c>
      <c r="I1386" s="1" t="str">
        <f aca="false">IF(G1386&gt;0,IF(INDEX(CONFIRM!$I$5:$I$53,G1386)&lt;&gt;"",INDEX(CONFIRM!$I$5:$I$53,G1386),H1386),H1386)</f>
        <v>Community Support (CB)</v>
      </c>
      <c r="J1386" s="1" t="str">
        <f aca="false">IFERROR(INDEX(MAP!$F$7:$F$74,MATCH(TRIM(I1386),MAP!$E$7:$E$74,0)),"UNMAPPED")</f>
        <v>Community building: community support</v>
      </c>
      <c r="K1386" s="1" t="str">
        <f aca="false">IFERROR(INDEX(MAP!$G$7:$G$74,MATCH(TRIM(I1386),MAP!$E$7:$E$74,0)),"UNMAPPED")</f>
        <v>II-3</v>
      </c>
      <c r="L1386" s="49" t="str">
        <f aca="false">STACK!G1386</f>
        <v>12-Jul-2025</v>
      </c>
      <c r="M1386" s="59" t="n">
        <f aca="false">IF(G1386&gt;0,IF(INDEX(CONFIRM!$G$5:$G$53,G1386)&lt;&gt;"",INDEX(CONFIRM!$G$5:$G$53,G1386),IF(ISNUMBER(L1386),L1386,IFERROR(DATEVALUE(L1386),""))),IF(ISNUMBER(L1386),L1386,IFERROR(DATEVALUE(L1386),"")))</f>
        <v>45850</v>
      </c>
      <c r="N1386" s="1" t="str">
        <f aca="false">IF(M1386="","Check",IF(AND(M1386&gt;=INPUTS!$C$6,M1386&lt;=INPUTS!$C$7),"Yes","No"))</f>
        <v>Yes</v>
      </c>
      <c r="O1386" s="48" t="str">
        <f aca="false">STACK!H1386</f>
        <v> Event Coordinator</v>
      </c>
      <c r="P1386" s="1" t="str">
        <f aca="false">IF(G1386&gt;0,IF(INDEX(CONFIRM!$H$5:$H$53,G1386)&lt;&gt;"",INDEX(CONFIRM!$H$5:$H$53,G1386),IFERROR(INDEX(MAP!$B$7:$B$156,MATCH(TRIM(O1386),MAP!$A$7:$A$156,0)),"UNMAPPED")),IFERROR(INDEX(MAP!$B$7:$B$156,MATCH(TRIM(O1386),MAP!$A$7:$A$156,0)),"UNMAPPED"))</f>
        <v>Program Coordinator</v>
      </c>
      <c r="Q1386" s="48" t="n">
        <f aca="false">STACK!I1386</f>
        <v>4</v>
      </c>
      <c r="R1386" s="60" t="n">
        <f aca="false">IF(G1386&gt;0,IF(INDEX(CONFIRM!$F$5:$F$53,G1386)&lt;&gt;"",INDEX(CONFIRM!$F$5:$F$53,G1386),IF(ISNUMBER(Q1386),Q1386,IF(Q1386="","",IFERROR(VALUE(TRIM(SUBSTITUTE(SUBSTITUTE(LOWER(Q1386),"hrs",""),"hr",""))),"")))),IF(ISNUMBER(Q1386),Q1386,IF(Q1386="","",IFERROR(VALUE(TRIM(SUBSTITUTE(SUBSTITUTE(LOWER(Q1386),"hrs",""),"hr",""))),""))))</f>
        <v>4</v>
      </c>
      <c r="S1386" s="57" t="n">
        <f aca="false">IFERROR(INDEX(RATES!$E$6:$E$28,MATCH(P1386,RATES!$A$6:$A$28,0)),0)</f>
        <v>35.3375</v>
      </c>
      <c r="T1386" s="61" t="n">
        <f aca="false">IF(ISNUMBER(R1386),R1386,0)*S1386</f>
        <v>141.35</v>
      </c>
      <c r="U1386" s="61" t="n">
        <f aca="false">T1386*INDEX(INPUTS!$H$10:$H$14,MATCH(B1386,INPUTS!$A$10:$A$14,0))</f>
        <v>21.34385</v>
      </c>
      <c r="V1386" s="61" t="n">
        <f aca="false">N(STACK!K1386)</f>
        <v>0</v>
      </c>
      <c r="W1386" s="61" t="n">
        <f aca="false">T1386+U1386+V1386</f>
        <v>162.69385</v>
      </c>
      <c r="X1386" s="61" t="n">
        <f aca="false">N(STACK!L1386)</f>
        <v>0</v>
      </c>
      <c r="Y1386" s="61" t="n">
        <f aca="false">W1386-X1386</f>
        <v>162.69385</v>
      </c>
      <c r="Z1386" s="1" t="n">
        <f aca="false">N(STACK!J1386)</f>
        <v>0</v>
      </c>
      <c r="AA1386" s="1" t="str">
        <f aca="false">TRIM(IF(D1386="UNMAPPED","Program not mapped. ","")&amp;IF(OR(K1386="UNMAPPED",K1386="UNASSIGNED"),"Category needs review. ","")&amp;IF(P1386="UNMAPPED","Title not mapped. ","")&amp;IF(AND(P1386&lt;&gt;"No staff time",R1386=""),"Missing hours. ","")&amp;IF(M1386="","Date not readable. ","")&amp;IF(N1386="No","Outside fiscal year. ","")&amp;IF(AND(F1386="Event",ISNUMBER(R1386)),IF(R1386&gt;12,"Event hours look high. ",""),"")&amp;IF(G1386&gt;0,"See CONFIRM sheet.",""))</f>
        <v/>
      </c>
      <c r="AB1386" s="1" t="n">
        <f aca="false">IF(N1386="No",0,IF(REVIEW!O1386=0,0,IF(G1386&gt;0,IF(INDEX(CONFIRM!$J$5:$J$53,G1386)&lt;&gt;"",INDEX(CONFIRM!$J$5:$J$53,G1386),1),1)))</f>
        <v>1</v>
      </c>
      <c r="AC1386" s="1" t="n">
        <f aca="false">IF(AB1386=1,IF(COUNTIFS($B$5:B1386,B1386,$D$5:D1386,D1386,$AB$5:AB1386,1)=1,1,0),0)</f>
        <v>0</v>
      </c>
    </row>
    <row r="1387" customFormat="false" ht="15" hidden="false" customHeight="false" outlineLevel="0" collapsed="false">
      <c r="A1387" s="48" t="str">
        <f aca="false">STACK!A1387</f>
        <v>QHH-0006</v>
      </c>
      <c r="B1387" s="48" t="str">
        <f aca="false">STACK!B1387</f>
        <v>QHH</v>
      </c>
      <c r="C1387" s="48" t="str">
        <f aca="false">STACK!E1387</f>
        <v>Emergency Prep Drill</v>
      </c>
      <c r="D1387" s="1" t="str">
        <f aca="false">IFERROR(INDEX(MAP!$J$7:$J$101,MATCH(TRIM(C1387),MAP!$I$7:$I$101,0)),"UNMAPPED")</f>
        <v>Community Emergency Preparedness Drills</v>
      </c>
      <c r="E1387" s="1" t="str">
        <f aca="false">IFERROR(INDEX(MAP!$K$7:$K$101,MATCH(TRIM(C1387),MAP!$I$7:$I$101,0)),"")</f>
        <v>Community benefit infrastructure</v>
      </c>
      <c r="F1387" s="1" t="str">
        <f aca="false">IFERROR(INDEX(MAP!$L$7:$L$101,MATCH(TRIM(C1387),MAP!$I$7:$I$101,0)),"")</f>
        <v>Event</v>
      </c>
      <c r="G1387" s="1" t="n">
        <f aca="false">IFERROR(MATCH(A1387,CONFIRM!$A$5:$A$53,0),0)</f>
        <v>0</v>
      </c>
      <c r="H1387" s="48" t="str">
        <f aca="false">STACK!F1387</f>
        <v>Community Support (CB)</v>
      </c>
      <c r="I1387" s="1" t="str">
        <f aca="false">IF(G1387&gt;0,IF(INDEX(CONFIRM!$I$5:$I$53,G1387)&lt;&gt;"",INDEX(CONFIRM!$I$5:$I$53,G1387),H1387),H1387)</f>
        <v>Community Support (CB)</v>
      </c>
      <c r="J1387" s="1" t="str">
        <f aca="false">IFERROR(INDEX(MAP!$F$7:$F$74,MATCH(TRIM(I1387),MAP!$E$7:$E$74,0)),"UNMAPPED")</f>
        <v>Community building: community support</v>
      </c>
      <c r="K1387" s="1" t="str">
        <f aca="false">IFERROR(INDEX(MAP!$G$7:$G$74,MATCH(TRIM(I1387),MAP!$E$7:$E$74,0)),"UNMAPPED")</f>
        <v>II-3</v>
      </c>
      <c r="L1387" s="49" t="str">
        <f aca="false">STACK!G1387</f>
        <v>12-Jul-2025</v>
      </c>
      <c r="M1387" s="59" t="n">
        <f aca="false">IF(G1387&gt;0,IF(INDEX(CONFIRM!$G$5:$G$53,G1387)&lt;&gt;"",INDEX(CONFIRM!$G$5:$G$53,G1387),IF(ISNUMBER(L1387),L1387,IFERROR(DATEVALUE(L1387),""))),IF(ISNUMBER(L1387),L1387,IFERROR(DATEVALUE(L1387),"")))</f>
        <v>45850</v>
      </c>
      <c r="N1387" s="1" t="str">
        <f aca="false">IF(M1387="","Check",IF(AND(M1387&gt;=INPUTS!$C$6,M1387&lt;=INPUTS!$C$7),"Yes","No"))</f>
        <v>Yes</v>
      </c>
      <c r="O1387" s="48" t="str">
        <f aca="false">STACK!H1387</f>
        <v>Charge RN</v>
      </c>
      <c r="P1387" s="1" t="str">
        <f aca="false">IF(G1387&gt;0,IF(INDEX(CONFIRM!$H$5:$H$53,G1387)&lt;&gt;"",INDEX(CONFIRM!$H$5:$H$53,G1387),IFERROR(INDEX(MAP!$B$7:$B$156,MATCH(TRIM(O1387),MAP!$A$7:$A$156,0)),"UNMAPPED")),IFERROR(INDEX(MAP!$B$7:$B$156,MATCH(TRIM(O1387),MAP!$A$7:$A$156,0)),"UNMAPPED"))</f>
        <v>Registered Nurse</v>
      </c>
      <c r="Q1387" s="48" t="n">
        <f aca="false">STACK!I1387</f>
        <v>6.25</v>
      </c>
      <c r="R1387" s="60" t="n">
        <f aca="false">IF(G1387&gt;0,IF(INDEX(CONFIRM!$F$5:$F$53,G1387)&lt;&gt;"",INDEX(CONFIRM!$F$5:$F$53,G1387),IF(ISNUMBER(Q1387),Q1387,IF(Q1387="","",IFERROR(VALUE(TRIM(SUBSTITUTE(SUBSTITUTE(LOWER(Q1387),"hrs",""),"hr",""))),"")))),IF(ISNUMBER(Q1387),Q1387,IF(Q1387="","",IFERROR(VALUE(TRIM(SUBSTITUTE(SUBSTITUTE(LOWER(Q1387),"hrs",""),"hr",""))),""))))</f>
        <v>6.25</v>
      </c>
      <c r="S1387" s="57" t="n">
        <f aca="false">IFERROR(INDEX(RATES!$E$6:$E$28,MATCH(P1387,RATES!$A$6:$A$28,0)),0)</f>
        <v>55.8975</v>
      </c>
      <c r="T1387" s="61" t="n">
        <f aca="false">IF(ISNUMBER(R1387),R1387,0)*S1387</f>
        <v>349.359375</v>
      </c>
      <c r="U1387" s="61" t="n">
        <f aca="false">T1387*INDEX(INPUTS!$H$10:$H$14,MATCH(B1387,INPUTS!$A$10:$A$14,0))</f>
        <v>52.753265625</v>
      </c>
      <c r="V1387" s="61" t="n">
        <f aca="false">N(STACK!K1387)</f>
        <v>0</v>
      </c>
      <c r="W1387" s="61" t="n">
        <f aca="false">T1387+U1387+V1387</f>
        <v>402.112640625</v>
      </c>
      <c r="X1387" s="61" t="n">
        <f aca="false">N(STACK!L1387)</f>
        <v>0</v>
      </c>
      <c r="Y1387" s="61" t="n">
        <f aca="false">W1387-X1387</f>
        <v>402.112640625</v>
      </c>
      <c r="Z1387" s="1" t="n">
        <f aca="false">N(STACK!J1387)</f>
        <v>0</v>
      </c>
      <c r="AA1387" s="1" t="str">
        <f aca="false">TRIM(IF(D1387="UNMAPPED","Program not mapped. ","")&amp;IF(OR(K1387="UNMAPPED",K1387="UNASSIGNED"),"Category needs review. ","")&amp;IF(P1387="UNMAPPED","Title not mapped. ","")&amp;IF(AND(P1387&lt;&gt;"No staff time",R1387=""),"Missing hours. ","")&amp;IF(M1387="","Date not readable. ","")&amp;IF(N1387="No","Outside fiscal year. ","")&amp;IF(AND(F1387="Event",ISNUMBER(R1387)),IF(R1387&gt;12,"Event hours look high. ",""),"")&amp;IF(G1387&gt;0,"See CONFIRM sheet.",""))</f>
        <v/>
      </c>
      <c r="AB1387" s="1" t="n">
        <f aca="false">IF(N1387="No",0,IF(REVIEW!O1387=0,0,IF(G1387&gt;0,IF(INDEX(CONFIRM!$J$5:$J$53,G1387)&lt;&gt;"",INDEX(CONFIRM!$J$5:$J$53,G1387),1),1)))</f>
        <v>1</v>
      </c>
      <c r="AC1387" s="1" t="n">
        <f aca="false">IF(AB1387=1,IF(COUNTIFS($B$5:B1387,B1387,$D$5:D1387,D1387,$AB$5:AB1387,1)=1,1,0),0)</f>
        <v>0</v>
      </c>
    </row>
    <row r="1388" customFormat="false" ht="15" hidden="false" customHeight="false" outlineLevel="0" collapsed="false">
      <c r="A1388" s="48" t="str">
        <f aca="false">STACK!A1388</f>
        <v>QHH-0007</v>
      </c>
      <c r="B1388" s="48" t="str">
        <f aca="false">STACK!B1388</f>
        <v>QHH</v>
      </c>
      <c r="C1388" s="48" t="str">
        <f aca="false">STACK!E1388</f>
        <v>Green Space Project</v>
      </c>
      <c r="D1388" s="1" t="str">
        <f aca="false">IFERROR(INDEX(MAP!$J$7:$J$101,MATCH(TRIM(C1388),MAP!$I$7:$I$101,0)),"UNMAPPED")</f>
        <v>Community Garden and Green Space Project</v>
      </c>
      <c r="E1388" s="1" t="str">
        <f aca="false">IFERROR(INDEX(MAP!$K$7:$K$101,MATCH(TRIM(C1388),MAP!$I$7:$I$101,0)),"")</f>
        <v>Food and housing security</v>
      </c>
      <c r="F1388" s="1" t="str">
        <f aca="false">IFERROR(INDEX(MAP!$L$7:$L$101,MATCH(TRIM(C1388),MAP!$I$7:$I$101,0)),"")</f>
        <v>Event</v>
      </c>
      <c r="G1388" s="1" t="n">
        <f aca="false">IFERROR(MATCH(A1388,CONFIRM!$A$5:$A$53,0),0)</f>
        <v>0</v>
      </c>
      <c r="H1388" s="48" t="str">
        <f aca="false">STACK!F1388</f>
        <v>Environmental (CB)</v>
      </c>
      <c r="I1388" s="1" t="str">
        <f aca="false">IF(G1388&gt;0,IF(INDEX(CONFIRM!$I$5:$I$53,G1388)&lt;&gt;"",INDEX(CONFIRM!$I$5:$I$53,G1388),H1388),H1388)</f>
        <v>Environmental (CB)</v>
      </c>
      <c r="J1388" s="1" t="str">
        <f aca="false">IFERROR(INDEX(MAP!$F$7:$F$74,MATCH(TRIM(I1388),MAP!$E$7:$E$74,0)),"UNMAPPED")</f>
        <v>Community building: environmental improvements</v>
      </c>
      <c r="K1388" s="1" t="str">
        <f aca="false">IFERROR(INDEX(MAP!$G$7:$G$74,MATCH(TRIM(I1388),MAP!$E$7:$E$74,0)),"UNMAPPED")</f>
        <v>II-4</v>
      </c>
      <c r="L1388" s="49" t="str">
        <f aca="false">STACK!G1388</f>
        <v>19-Jul-2025</v>
      </c>
      <c r="M1388" s="59" t="n">
        <f aca="false">IF(G1388&gt;0,IF(INDEX(CONFIRM!$G$5:$G$53,G1388)&lt;&gt;"",INDEX(CONFIRM!$G$5:$G$53,G1388),IF(ISNUMBER(L1388),L1388,IFERROR(DATEVALUE(L1388),""))),IF(ISNUMBER(L1388),L1388,IFERROR(DATEVALUE(L1388),"")))</f>
        <v>45857</v>
      </c>
      <c r="N1388" s="1" t="str">
        <f aca="false">IF(M1388="","Check",IF(AND(M1388&gt;=INPUTS!$C$6,M1388&lt;=INPUTS!$C$7),"Yes","No"))</f>
        <v>Yes</v>
      </c>
      <c r="O1388" s="48" t="str">
        <f aca="false">STACK!H1388</f>
        <v>Volunteer Coordinator</v>
      </c>
      <c r="P1388" s="1" t="str">
        <f aca="false">IF(G1388&gt;0,IF(INDEX(CONFIRM!$H$5:$H$53,G1388)&lt;&gt;"",INDEX(CONFIRM!$H$5:$H$53,G1388),IFERROR(INDEX(MAP!$B$7:$B$156,MATCH(TRIM(O1388),MAP!$A$7:$A$156,0)),"UNMAPPED")),IFERROR(INDEX(MAP!$B$7:$B$156,MATCH(TRIM(O1388),MAP!$A$7:$A$156,0)),"UNMAPPED"))</f>
        <v>Program Coordinator</v>
      </c>
      <c r="Q1388" s="48" t="n">
        <f aca="false">STACK!I1388</f>
        <v>8</v>
      </c>
      <c r="R1388" s="60" t="n">
        <f aca="false">IF(G1388&gt;0,IF(INDEX(CONFIRM!$F$5:$F$53,G1388)&lt;&gt;"",INDEX(CONFIRM!$F$5:$F$53,G1388),IF(ISNUMBER(Q1388),Q1388,IF(Q1388="","",IFERROR(VALUE(TRIM(SUBSTITUTE(SUBSTITUTE(LOWER(Q1388),"hrs",""),"hr",""))),"")))),IF(ISNUMBER(Q1388),Q1388,IF(Q1388="","",IFERROR(VALUE(TRIM(SUBSTITUTE(SUBSTITUTE(LOWER(Q1388),"hrs",""),"hr",""))),""))))</f>
        <v>8</v>
      </c>
      <c r="S1388" s="57" t="n">
        <f aca="false">IFERROR(INDEX(RATES!$E$6:$E$28,MATCH(P1388,RATES!$A$6:$A$28,0)),0)</f>
        <v>35.3375</v>
      </c>
      <c r="T1388" s="61" t="n">
        <f aca="false">IF(ISNUMBER(R1388),R1388,0)*S1388</f>
        <v>282.7</v>
      </c>
      <c r="U1388" s="61" t="n">
        <f aca="false">T1388*INDEX(INPUTS!$H$10:$H$14,MATCH(B1388,INPUTS!$A$10:$A$14,0))</f>
        <v>42.6877</v>
      </c>
      <c r="V1388" s="61" t="n">
        <f aca="false">N(STACK!K1388)</f>
        <v>2910</v>
      </c>
      <c r="W1388" s="61" t="n">
        <f aca="false">T1388+U1388+V1388</f>
        <v>3235.3877</v>
      </c>
      <c r="X1388" s="61" t="n">
        <f aca="false">N(STACK!L1388)</f>
        <v>0</v>
      </c>
      <c r="Y1388" s="61" t="n">
        <f aca="false">W1388-X1388</f>
        <v>3235.3877</v>
      </c>
      <c r="Z1388" s="1" t="n">
        <f aca="false">N(STACK!J1388)</f>
        <v>36</v>
      </c>
      <c r="AA1388" s="1" t="str">
        <f aca="false">TRIM(IF(D1388="UNMAPPED","Program not mapped. ","")&amp;IF(OR(K1388="UNMAPPED",K1388="UNASSIGNED"),"Category needs review. ","")&amp;IF(P1388="UNMAPPED","Title not mapped. ","")&amp;IF(AND(P1388&lt;&gt;"No staff time",R1388=""),"Missing hours. ","")&amp;IF(M1388="","Date not readable. ","")&amp;IF(N1388="No","Outside fiscal year. ","")&amp;IF(AND(F1388="Event",ISNUMBER(R1388)),IF(R1388&gt;12,"Event hours look high. ",""),"")&amp;IF(G1388&gt;0,"See CONFIRM sheet.",""))</f>
        <v/>
      </c>
      <c r="AB1388" s="1" t="n">
        <f aca="false">IF(N1388="No",0,IF(REVIEW!O1388=0,0,IF(G1388&gt;0,IF(INDEX(CONFIRM!$J$5:$J$53,G1388)&lt;&gt;"",INDEX(CONFIRM!$J$5:$J$53,G1388),1),1)))</f>
        <v>1</v>
      </c>
      <c r="AC1388" s="1" t="n">
        <f aca="false">IF(AB1388=1,IF(COUNTIFS($B$5:B1388,B1388,$D$5:D1388,D1388,$AB$5:AB1388,1)=1,1,0),0)</f>
        <v>1</v>
      </c>
    </row>
    <row r="1389" customFormat="false" ht="15" hidden="false" customHeight="false" outlineLevel="0" collapsed="false">
      <c r="A1389" s="48" t="str">
        <f aca="false">STACK!A1389</f>
        <v>QHH-0008</v>
      </c>
      <c r="B1389" s="48" t="str">
        <f aca="false">STACK!B1389</f>
        <v>QHH</v>
      </c>
      <c r="C1389" s="48" t="str">
        <f aca="false">STACK!E1389</f>
        <v>Quit Tobacco Class</v>
      </c>
      <c r="D1389" s="1" t="str">
        <f aca="false">IFERROR(INDEX(MAP!$J$7:$J$101,MATCH(TRIM(C1389),MAP!$I$7:$I$101,0)),"UNMAPPED")</f>
        <v>Tobacco Cessation Classes</v>
      </c>
      <c r="E1389" s="1" t="str">
        <f aca="false">IFERROR(INDEX(MAP!$K$7:$K$101,MATCH(TRIM(C1389),MAP!$I$7:$I$101,0)),"")</f>
        <v>Chronic disease prevention</v>
      </c>
      <c r="F1389" s="1" t="str">
        <f aca="false">IFERROR(INDEX(MAP!$L$7:$L$101,MATCH(TRIM(C1389),MAP!$I$7:$I$101,0)),"")</f>
        <v>Event</v>
      </c>
      <c r="G1389" s="1" t="n">
        <f aca="false">IFERROR(MATCH(A1389,CONFIRM!$A$5:$A$53,0),0)</f>
        <v>0</v>
      </c>
      <c r="H1389" s="48" t="str">
        <f aca="false">STACK!F1389</f>
        <v>CHIS - Education</v>
      </c>
      <c r="I1389" s="1" t="str">
        <f aca="false">IF(G1389&gt;0,IF(INDEX(CONFIRM!$I$5:$I$53,G1389)&lt;&gt;"",INDEX(CONFIRM!$I$5:$I$53,G1389),H1389),H1389)</f>
        <v>CHIS - Education</v>
      </c>
      <c r="J1389" s="1" t="str">
        <f aca="false">IFERROR(INDEX(MAP!$F$7:$F$74,MATCH(TRIM(I1389),MAP!$E$7:$E$74,0)),"UNMAPPED")</f>
        <v>Community health education</v>
      </c>
      <c r="K1389" s="1" t="str">
        <f aca="false">IFERROR(INDEX(MAP!$G$7:$G$74,MATCH(TRIM(I1389),MAP!$E$7:$E$74,0)),"UNMAPPED")</f>
        <v>7e</v>
      </c>
      <c r="L1389" s="49" t="str">
        <f aca="false">STACK!G1389</f>
        <v>24-Jul-2025</v>
      </c>
      <c r="M1389" s="59" t="n">
        <f aca="false">IF(G1389&gt;0,IF(INDEX(CONFIRM!$G$5:$G$53,G1389)&lt;&gt;"",INDEX(CONFIRM!$G$5:$G$53,G1389),IF(ISNUMBER(L1389),L1389,IFERROR(DATEVALUE(L1389),""))),IF(ISNUMBER(L1389),L1389,IFERROR(DATEVALUE(L1389),"")))</f>
        <v>45862</v>
      </c>
      <c r="N1389" s="1" t="str">
        <f aca="false">IF(M1389="","Check",IF(AND(M1389&gt;=INPUTS!$C$6,M1389&lt;=INPUTS!$C$7),"Yes","No"))</f>
        <v>Yes</v>
      </c>
      <c r="O1389" s="48" t="str">
        <f aca="false">STACK!H1389</f>
        <v>Respiratory Therapist</v>
      </c>
      <c r="P1389" s="1" t="str">
        <f aca="false">IF(G1389&gt;0,IF(INDEX(CONFIRM!$H$5:$H$53,G1389)&lt;&gt;"",INDEX(CONFIRM!$H$5:$H$53,G1389),IFERROR(INDEX(MAP!$B$7:$B$156,MATCH(TRIM(O1389),MAP!$A$7:$A$156,0)),"UNMAPPED")),IFERROR(INDEX(MAP!$B$7:$B$156,MATCH(TRIM(O1389),MAP!$A$7:$A$156,0)),"UNMAPPED"))</f>
        <v>Licensed Therapist</v>
      </c>
      <c r="Q1389" s="48" t="n">
        <f aca="false">STACK!I1389</f>
        <v>2</v>
      </c>
      <c r="R1389" s="60" t="n">
        <f aca="false">IF(G1389&gt;0,IF(INDEX(CONFIRM!$F$5:$F$53,G1389)&lt;&gt;"",INDEX(CONFIRM!$F$5:$F$53,G1389),IF(ISNUMBER(Q1389),Q1389,IF(Q1389="","",IFERROR(VALUE(TRIM(SUBSTITUTE(SUBSTITUTE(LOWER(Q1389),"hrs",""),"hr",""))),"")))),IF(ISNUMBER(Q1389),Q1389,IF(Q1389="","",IFERROR(VALUE(TRIM(SUBSTITUTE(SUBSTITUTE(LOWER(Q1389),"hrs",""),"hr",""))),""))))</f>
        <v>2</v>
      </c>
      <c r="S1389" s="57" t="n">
        <f aca="false">IFERROR(INDEX(RATES!$E$6:$E$28,MATCH(P1389,RATES!$A$6:$A$28,0)),0)</f>
        <v>53.97</v>
      </c>
      <c r="T1389" s="61" t="n">
        <f aca="false">IF(ISNUMBER(R1389),R1389,0)*S1389</f>
        <v>107.94</v>
      </c>
      <c r="U1389" s="61" t="n">
        <f aca="false">T1389*INDEX(INPUTS!$H$10:$H$14,MATCH(B1389,INPUTS!$A$10:$A$14,0))</f>
        <v>16.29894</v>
      </c>
      <c r="V1389" s="61" t="n">
        <f aca="false">N(STACK!K1389)</f>
        <v>155</v>
      </c>
      <c r="W1389" s="61" t="n">
        <f aca="false">T1389+U1389+V1389</f>
        <v>279.23894</v>
      </c>
      <c r="X1389" s="61" t="n">
        <f aca="false">N(STACK!L1389)</f>
        <v>0</v>
      </c>
      <c r="Y1389" s="61" t="n">
        <f aca="false">W1389-X1389</f>
        <v>279.23894</v>
      </c>
      <c r="Z1389" s="1" t="n">
        <f aca="false">N(STACK!J1389)</f>
        <v>10</v>
      </c>
      <c r="AA1389" s="1" t="str">
        <f aca="false">TRIM(IF(D1389="UNMAPPED","Program not mapped. ","")&amp;IF(OR(K1389="UNMAPPED",K1389="UNASSIGNED"),"Category needs review. ","")&amp;IF(P1389="UNMAPPED","Title not mapped. ","")&amp;IF(AND(P1389&lt;&gt;"No staff time",R1389=""),"Missing hours. ","")&amp;IF(M1389="","Date not readable. ","")&amp;IF(N1389="No","Outside fiscal year. ","")&amp;IF(AND(F1389="Event",ISNUMBER(R1389)),IF(R1389&gt;12,"Event hours look high. ",""),"")&amp;IF(G1389&gt;0,"See CONFIRM sheet.",""))</f>
        <v/>
      </c>
      <c r="AB1389" s="1" t="n">
        <f aca="false">IF(N1389="No",0,IF(REVIEW!O1389=0,0,IF(G1389&gt;0,IF(INDEX(CONFIRM!$J$5:$J$53,G1389)&lt;&gt;"",INDEX(CONFIRM!$J$5:$J$53,G1389),1),1)))</f>
        <v>1</v>
      </c>
      <c r="AC1389" s="1" t="n">
        <f aca="false">IF(AB1389=1,IF(COUNTIFS($B$5:B1389,B1389,$D$5:D1389,D1389,$AB$5:AB1389,1)=1,1,0),0)</f>
        <v>1</v>
      </c>
    </row>
    <row r="1390" customFormat="false" ht="15" hidden="false" customHeight="false" outlineLevel="0" collapsed="false">
      <c r="A1390" s="48" t="str">
        <f aca="false">STACK!A1390</f>
        <v>QHH-0009</v>
      </c>
      <c r="B1390" s="48" t="str">
        <f aca="false">STACK!B1390</f>
        <v>QHH</v>
      </c>
      <c r="C1390" s="48" t="str">
        <f aca="false">STACK!E1390</f>
        <v>Sports Physicals</v>
      </c>
      <c r="D1390" s="1" t="str">
        <f aca="false">IFERROR(INDEX(MAP!$J$7:$J$101,MATCH(TRIM(C1390),MAP!$I$7:$I$101,0)),"UNMAPPED")</f>
        <v>Free Sports Physicals</v>
      </c>
      <c r="E1390" s="1" t="str">
        <f aca="false">IFERROR(INDEX(MAP!$K$7:$K$101,MATCH(TRIM(C1390),MAP!$I$7:$I$101,0)),"")</f>
        <v>Maternal and child health</v>
      </c>
      <c r="F1390" s="1" t="str">
        <f aca="false">IFERROR(INDEX(MAP!$L$7:$L$101,MATCH(TRIM(C1390),MAP!$I$7:$I$101,0)),"")</f>
        <v>Event</v>
      </c>
      <c r="G1390" s="1" t="n">
        <f aca="false">IFERROR(MATCH(A1390,CONFIRM!$A$5:$A$53,0),0)</f>
        <v>45</v>
      </c>
      <c r="H1390" s="48" t="str">
        <f aca="false">STACK!F1390</f>
        <v>CHIS - Clinical</v>
      </c>
      <c r="I1390" s="1" t="str">
        <f aca="false">IF(G1390&gt;0,IF(INDEX(CONFIRM!$I$5:$I$53,G1390)&lt;&gt;"",INDEX(CONFIRM!$I$5:$I$53,G1390),H1390),H1390)</f>
        <v>CHIS - Clinical</v>
      </c>
      <c r="J1390" s="1" t="str">
        <f aca="false">IFERROR(INDEX(MAP!$F$7:$F$74,MATCH(TRIM(I1390),MAP!$E$7:$E$74,0)),"UNMAPPED")</f>
        <v>Community-based clinical services</v>
      </c>
      <c r="K1390" s="1" t="str">
        <f aca="false">IFERROR(INDEX(MAP!$G$7:$G$74,MATCH(TRIM(I1390),MAP!$E$7:$E$74,0)),"UNMAPPED")</f>
        <v>7e</v>
      </c>
      <c r="L1390" s="49" t="str">
        <f aca="false">STACK!G1390</f>
        <v>25-Jul-2025</v>
      </c>
      <c r="M1390" s="59" t="n">
        <f aca="false">IF(G1390&gt;0,IF(INDEX(CONFIRM!$G$5:$G$53,G1390)&lt;&gt;"",INDEX(CONFIRM!$G$5:$G$53,G1390),IF(ISNUMBER(L1390),L1390,IFERROR(DATEVALUE(L1390),""))),IF(ISNUMBER(L1390),L1390,IFERROR(DATEVALUE(L1390),"")))</f>
        <v>45863</v>
      </c>
      <c r="N1390" s="1" t="str">
        <f aca="false">IF(M1390="","Check",IF(AND(M1390&gt;=INPUTS!$C$6,M1390&lt;=INPUTS!$C$7),"Yes","No"))</f>
        <v>Yes</v>
      </c>
      <c r="O1390" s="48" t="str">
        <f aca="false">STACK!H1390</f>
        <v>Temp</v>
      </c>
      <c r="P1390" s="1" t="str">
        <f aca="false">IF(G1390&gt;0,IF(INDEX(CONFIRM!$H$5:$H$53,G1390)&lt;&gt;"",INDEX(CONFIRM!$H$5:$H$53,G1390),IFERROR(INDEX(MAP!$B$7:$B$156,MATCH(TRIM(O1390),MAP!$A$7:$A$156,0)),"UNMAPPED")),IFERROR(INDEX(MAP!$B$7:$B$156,MATCH(TRIM(O1390),MAP!$A$7:$A$156,0)),"UNMAPPED"))</f>
        <v>Medical Assistant</v>
      </c>
      <c r="Q1390" s="48" t="n">
        <f aca="false">STACK!I1390</f>
        <v>4.5</v>
      </c>
      <c r="R1390" s="60" t="n">
        <f aca="false">IF(G1390&gt;0,IF(INDEX(CONFIRM!$F$5:$F$53,G1390)&lt;&gt;"",INDEX(CONFIRM!$F$5:$F$53,G1390),IF(ISNUMBER(Q1390),Q1390,IF(Q1390="","",IFERROR(VALUE(TRIM(SUBSTITUTE(SUBSTITUTE(LOWER(Q1390),"hrs",""),"hr",""))),"")))),IF(ISNUMBER(Q1390),Q1390,IF(Q1390="","",IFERROR(VALUE(TRIM(SUBSTITUTE(SUBSTITUTE(LOWER(Q1390),"hrs",""),"hr",""))),""))))</f>
        <v>4.5</v>
      </c>
      <c r="S1390" s="57" t="n">
        <f aca="false">IFERROR(INDEX(RATES!$E$6:$E$28,MATCH(P1390,RATES!$A$6:$A$28,0)),0)</f>
        <v>25.37875</v>
      </c>
      <c r="T1390" s="61" t="n">
        <f aca="false">IF(ISNUMBER(R1390),R1390,0)*S1390</f>
        <v>114.204375</v>
      </c>
      <c r="U1390" s="61" t="n">
        <f aca="false">T1390*INDEX(INPUTS!$H$10:$H$14,MATCH(B1390,INPUTS!$A$10:$A$14,0))</f>
        <v>17.244860625</v>
      </c>
      <c r="V1390" s="61" t="n">
        <f aca="false">N(STACK!K1390)</f>
        <v>0</v>
      </c>
      <c r="W1390" s="61" t="n">
        <f aca="false">T1390+U1390+V1390</f>
        <v>131.449235625</v>
      </c>
      <c r="X1390" s="61" t="n">
        <f aca="false">N(STACK!L1390)</f>
        <v>0</v>
      </c>
      <c r="Y1390" s="61" t="n">
        <f aca="false">W1390-X1390</f>
        <v>131.449235625</v>
      </c>
      <c r="Z1390" s="1" t="n">
        <f aca="false">N(STACK!J1390)</f>
        <v>0</v>
      </c>
      <c r="AA1390" s="1" t="str">
        <f aca="false">TRIM(IF(D1390="UNMAPPED","Program not mapped. ","")&amp;IF(OR(K1390="UNMAPPED",K1390="UNASSIGNED"),"Category needs review. ","")&amp;IF(P1390="UNMAPPED","Title not mapped. ","")&amp;IF(AND(P1390&lt;&gt;"No staff time",R1390=""),"Missing hours. ","")&amp;IF(M1390="","Date not readable. ","")&amp;IF(N1390="No","Outside fiscal year. ","")&amp;IF(AND(F1390="Event",ISNUMBER(R1390)),IF(R1390&gt;12,"Event hours look high. ",""),"")&amp;IF(G1390&gt;0,"See CONFIRM sheet.",""))</f>
        <v>See CONFIRM sheet.</v>
      </c>
      <c r="AB1390" s="1" t="n">
        <f aca="false">IF(N1390="No",0,IF(REVIEW!O1390=0,0,IF(G1390&gt;0,IF(INDEX(CONFIRM!$J$5:$J$53,G1390)&lt;&gt;"",INDEX(CONFIRM!$J$5:$J$53,G1390),1),1)))</f>
        <v>1</v>
      </c>
      <c r="AC1390" s="1" t="n">
        <f aca="false">IF(AB1390=1,IF(COUNTIFS($B$5:B1390,B1390,$D$5:D1390,D1390,$AB$5:AB1390,1)=1,1,0),0)</f>
        <v>1</v>
      </c>
    </row>
    <row r="1391" customFormat="false" ht="15" hidden="false" customHeight="false" outlineLevel="0" collapsed="false">
      <c r="A1391" s="48" t="str">
        <f aca="false">STACK!A1391</f>
        <v>QHH-0010</v>
      </c>
      <c r="B1391" s="48" t="str">
        <f aca="false">STACK!B1391</f>
        <v>QHH</v>
      </c>
      <c r="C1391" s="48" t="str">
        <f aca="false">STACK!E1391</f>
        <v>Sports Physicals</v>
      </c>
      <c r="D1391" s="1" t="str">
        <f aca="false">IFERROR(INDEX(MAP!$J$7:$J$101,MATCH(TRIM(C1391),MAP!$I$7:$I$101,0)),"UNMAPPED")</f>
        <v>Free Sports Physicals</v>
      </c>
      <c r="E1391" s="1" t="str">
        <f aca="false">IFERROR(INDEX(MAP!$K$7:$K$101,MATCH(TRIM(C1391),MAP!$I$7:$I$101,0)),"")</f>
        <v>Maternal and child health</v>
      </c>
      <c r="F1391" s="1" t="str">
        <f aca="false">IFERROR(INDEX(MAP!$L$7:$L$101,MATCH(TRIM(C1391),MAP!$I$7:$I$101,0)),"")</f>
        <v>Event</v>
      </c>
      <c r="G1391" s="1" t="n">
        <f aca="false">IFERROR(MATCH(A1391,CONFIRM!$A$5:$A$53,0),0)</f>
        <v>0</v>
      </c>
      <c r="H1391" s="48" t="str">
        <f aca="false">STACK!F1391</f>
        <v>CHIS - Clinical</v>
      </c>
      <c r="I1391" s="1" t="str">
        <f aca="false">IF(G1391&gt;0,IF(INDEX(CONFIRM!$I$5:$I$53,G1391)&lt;&gt;"",INDEX(CONFIRM!$I$5:$I$53,G1391),H1391),H1391)</f>
        <v>CHIS - Clinical</v>
      </c>
      <c r="J1391" s="1" t="str">
        <f aca="false">IFERROR(INDEX(MAP!$F$7:$F$74,MATCH(TRIM(I1391),MAP!$E$7:$E$74,0)),"UNMAPPED")</f>
        <v>Community-based clinical services</v>
      </c>
      <c r="K1391" s="1" t="str">
        <f aca="false">IFERROR(INDEX(MAP!$G$7:$G$74,MATCH(TRIM(I1391),MAP!$E$7:$E$74,0)),"UNMAPPED")</f>
        <v>7e</v>
      </c>
      <c r="L1391" s="49" t="str">
        <f aca="false">STACK!G1391</f>
        <v>25-Jul-2025</v>
      </c>
      <c r="M1391" s="59" t="n">
        <f aca="false">IF(G1391&gt;0,IF(INDEX(CONFIRM!$G$5:$G$53,G1391)&lt;&gt;"",INDEX(CONFIRM!$G$5:$G$53,G1391),IF(ISNUMBER(L1391),L1391,IFERROR(DATEVALUE(L1391),""))),IF(ISNUMBER(L1391),L1391,IFERROR(DATEVALUE(L1391),"")))</f>
        <v>45863</v>
      </c>
      <c r="N1391" s="1" t="str">
        <f aca="false">IF(M1391="","Check",IF(AND(M1391&gt;=INPUTS!$C$6,M1391&lt;=INPUTS!$C$7),"Yes","No"))</f>
        <v>Yes</v>
      </c>
      <c r="O1391" s="48" t="str">
        <f aca="false">STACK!H1391</f>
        <v>Nurse Practitioner</v>
      </c>
      <c r="P1391" s="1" t="str">
        <f aca="false">IF(G1391&gt;0,IF(INDEX(CONFIRM!$H$5:$H$53,G1391)&lt;&gt;"",INDEX(CONFIRM!$H$5:$H$53,G1391),IFERROR(INDEX(MAP!$B$7:$B$156,MATCH(TRIM(O1391),MAP!$A$7:$A$156,0)),"UNMAPPED")),IFERROR(INDEX(MAP!$B$7:$B$156,MATCH(TRIM(O1391),MAP!$A$7:$A$156,0)),"UNMAPPED"))</f>
        <v>Nurse Practitioner</v>
      </c>
      <c r="Q1391" s="48" t="n">
        <f aca="false">STACK!I1391</f>
        <v>4.5</v>
      </c>
      <c r="R1391" s="60" t="n">
        <f aca="false">IF(G1391&gt;0,IF(INDEX(CONFIRM!$F$5:$F$53,G1391)&lt;&gt;"",INDEX(CONFIRM!$F$5:$F$53,G1391),IF(ISNUMBER(Q1391),Q1391,IF(Q1391="","",IFERROR(VALUE(TRIM(SUBSTITUTE(SUBSTITUTE(LOWER(Q1391),"hrs",""),"hr",""))),"")))),IF(ISNUMBER(Q1391),Q1391,IF(Q1391="","",IFERROR(VALUE(TRIM(SUBSTITUTE(SUBSTITUTE(LOWER(Q1391),"hrs",""),"hr",""))),""))))</f>
        <v>4.5</v>
      </c>
      <c r="S1391" s="57" t="n">
        <f aca="false">IFERROR(INDEX(RATES!$E$6:$E$28,MATCH(P1391,RATES!$A$6:$A$28,0)),0)</f>
        <v>79.67</v>
      </c>
      <c r="T1391" s="61" t="n">
        <f aca="false">IF(ISNUMBER(R1391),R1391,0)*S1391</f>
        <v>358.515</v>
      </c>
      <c r="U1391" s="61" t="n">
        <f aca="false">T1391*INDEX(INPUTS!$H$10:$H$14,MATCH(B1391,INPUTS!$A$10:$A$14,0))</f>
        <v>54.135765</v>
      </c>
      <c r="V1391" s="61" t="n">
        <f aca="false">N(STACK!K1391)</f>
        <v>0</v>
      </c>
      <c r="W1391" s="61" t="n">
        <f aca="false">T1391+U1391+V1391</f>
        <v>412.650765</v>
      </c>
      <c r="X1391" s="61" t="n">
        <f aca="false">N(STACK!L1391)</f>
        <v>0</v>
      </c>
      <c r="Y1391" s="61" t="n">
        <f aca="false">W1391-X1391</f>
        <v>412.650765</v>
      </c>
      <c r="Z1391" s="1" t="n">
        <f aca="false">N(STACK!J1391)</f>
        <v>0</v>
      </c>
      <c r="AA1391" s="1" t="str">
        <f aca="false">TRIM(IF(D1391="UNMAPPED","Program not mapped. ","")&amp;IF(OR(K1391="UNMAPPED",K1391="UNASSIGNED"),"Category needs review. ","")&amp;IF(P1391="UNMAPPED","Title not mapped. ","")&amp;IF(AND(P1391&lt;&gt;"No staff time",R1391=""),"Missing hours. ","")&amp;IF(M1391="","Date not readable. ","")&amp;IF(N1391="No","Outside fiscal year. ","")&amp;IF(AND(F1391="Event",ISNUMBER(R1391)),IF(R1391&gt;12,"Event hours look high. ",""),"")&amp;IF(G1391&gt;0,"See CONFIRM sheet.",""))</f>
        <v/>
      </c>
      <c r="AB1391" s="1" t="n">
        <f aca="false">IF(N1391="No",0,IF(REVIEW!O1391=0,0,IF(G1391&gt;0,IF(INDEX(CONFIRM!$J$5:$J$53,G1391)&lt;&gt;"",INDEX(CONFIRM!$J$5:$J$53,G1391),1),1)))</f>
        <v>1</v>
      </c>
      <c r="AC1391" s="1" t="n">
        <f aca="false">IF(AB1391=1,IF(COUNTIFS($B$5:B1391,B1391,$D$5:D1391,D1391,$AB$5:AB1391,1)=1,1,0),0)</f>
        <v>0</v>
      </c>
    </row>
    <row r="1392" customFormat="false" ht="15" hidden="false" customHeight="false" outlineLevel="0" collapsed="false">
      <c r="A1392" s="48" t="str">
        <f aca="false">STACK!A1392</f>
        <v>QHH-0011</v>
      </c>
      <c r="B1392" s="48" t="str">
        <f aca="false">STACK!B1392</f>
        <v>QHH</v>
      </c>
      <c r="C1392" s="48" t="str">
        <f aca="false">STACK!E1392</f>
        <v>Sports Physicals</v>
      </c>
      <c r="D1392" s="1" t="str">
        <f aca="false">IFERROR(INDEX(MAP!$J$7:$J$101,MATCH(TRIM(C1392),MAP!$I$7:$I$101,0)),"UNMAPPED")</f>
        <v>Free Sports Physicals</v>
      </c>
      <c r="E1392" s="1" t="str">
        <f aca="false">IFERROR(INDEX(MAP!$K$7:$K$101,MATCH(TRIM(C1392),MAP!$I$7:$I$101,0)),"")</f>
        <v>Maternal and child health</v>
      </c>
      <c r="F1392" s="1" t="str">
        <f aca="false">IFERROR(INDEX(MAP!$L$7:$L$101,MATCH(TRIM(C1392),MAP!$I$7:$I$101,0)),"")</f>
        <v>Event</v>
      </c>
      <c r="G1392" s="1" t="n">
        <f aca="false">IFERROR(MATCH(A1392,CONFIRM!$A$5:$A$53,0),0)</f>
        <v>0</v>
      </c>
      <c r="H1392" s="48" t="str">
        <f aca="false">STACK!F1392</f>
        <v>CHIS - Clinical</v>
      </c>
      <c r="I1392" s="1" t="str">
        <f aca="false">IF(G1392&gt;0,IF(INDEX(CONFIRM!$I$5:$I$53,G1392)&lt;&gt;"",INDEX(CONFIRM!$I$5:$I$53,G1392),H1392),H1392)</f>
        <v>CHIS - Clinical</v>
      </c>
      <c r="J1392" s="1" t="str">
        <f aca="false">IFERROR(INDEX(MAP!$F$7:$F$74,MATCH(TRIM(I1392),MAP!$E$7:$E$74,0)),"UNMAPPED")</f>
        <v>Community-based clinical services</v>
      </c>
      <c r="K1392" s="1" t="str">
        <f aca="false">IFERROR(INDEX(MAP!$G$7:$G$74,MATCH(TRIM(I1392),MAP!$E$7:$E$74,0)),"UNMAPPED")</f>
        <v>7e</v>
      </c>
      <c r="L1392" s="49" t="str">
        <f aca="false">STACK!G1392</f>
        <v>25-Jul-2025</v>
      </c>
      <c r="M1392" s="59" t="n">
        <f aca="false">IF(G1392&gt;0,IF(INDEX(CONFIRM!$G$5:$G$53,G1392)&lt;&gt;"",INDEX(CONFIRM!$G$5:$G$53,G1392),IF(ISNUMBER(L1392),L1392,IFERROR(DATEVALUE(L1392),""))),IF(ISNUMBER(L1392),L1392,IFERROR(DATEVALUE(L1392),"")))</f>
        <v>45863</v>
      </c>
      <c r="N1392" s="1" t="str">
        <f aca="false">IF(M1392="","Check",IF(AND(M1392&gt;=INPUTS!$C$6,M1392&lt;=INPUTS!$C$7),"Yes","No"))</f>
        <v>Yes</v>
      </c>
      <c r="O1392" s="48" t="str">
        <f aca="false">STACK!H1392</f>
        <v>Physician</v>
      </c>
      <c r="P1392" s="1" t="str">
        <f aca="false">IF(G1392&gt;0,IF(INDEX(CONFIRM!$H$5:$H$53,G1392)&lt;&gt;"",INDEX(CONFIRM!$H$5:$H$53,G1392),IFERROR(INDEX(MAP!$B$7:$B$156,MATCH(TRIM(O1392),MAP!$A$7:$A$156,0)),"UNMAPPED")),IFERROR(INDEX(MAP!$B$7:$B$156,MATCH(TRIM(O1392),MAP!$A$7:$A$156,0)),"UNMAPPED"))</f>
        <v>Physician</v>
      </c>
      <c r="Q1392" s="48" t="n">
        <f aca="false">STACK!I1392</f>
        <v>4.75</v>
      </c>
      <c r="R1392" s="60" t="n">
        <f aca="false">IF(G1392&gt;0,IF(INDEX(CONFIRM!$F$5:$F$53,G1392)&lt;&gt;"",INDEX(CONFIRM!$F$5:$F$53,G1392),IF(ISNUMBER(Q1392),Q1392,IF(Q1392="","",IFERROR(VALUE(TRIM(SUBSTITUTE(SUBSTITUTE(LOWER(Q1392),"hrs",""),"hr",""))),"")))),IF(ISNUMBER(Q1392),Q1392,IF(Q1392="","",IFERROR(VALUE(TRIM(SUBSTITUTE(SUBSTITUTE(LOWER(Q1392),"hrs",""),"hr",""))),""))))</f>
        <v>4.75</v>
      </c>
      <c r="S1392" s="57" t="n">
        <f aca="false">IFERROR(INDEX(RATES!$E$6:$E$28,MATCH(P1392,RATES!$A$6:$A$28,0)),0)</f>
        <v>151.63</v>
      </c>
      <c r="T1392" s="61" t="n">
        <f aca="false">IF(ISNUMBER(R1392),R1392,0)*S1392</f>
        <v>720.2425</v>
      </c>
      <c r="U1392" s="61" t="n">
        <f aca="false">T1392*INDEX(INPUTS!$H$10:$H$14,MATCH(B1392,INPUTS!$A$10:$A$14,0))</f>
        <v>108.7566175</v>
      </c>
      <c r="V1392" s="61" t="n">
        <f aca="false">N(STACK!K1392)</f>
        <v>425</v>
      </c>
      <c r="W1392" s="61" t="n">
        <f aca="false">T1392+U1392+V1392</f>
        <v>1253.9991175</v>
      </c>
      <c r="X1392" s="61" t="n">
        <f aca="false">N(STACK!L1392)</f>
        <v>0</v>
      </c>
      <c r="Y1392" s="61" t="n">
        <f aca="false">W1392-X1392</f>
        <v>1253.9991175</v>
      </c>
      <c r="Z1392" s="1" t="n">
        <f aca="false">N(STACK!J1392)</f>
        <v>72</v>
      </c>
      <c r="AA1392" s="1" t="str">
        <f aca="false">TRIM(IF(D1392="UNMAPPED","Program not mapped. ","")&amp;IF(OR(K1392="UNMAPPED",K1392="UNASSIGNED"),"Category needs review. ","")&amp;IF(P1392="UNMAPPED","Title not mapped. ","")&amp;IF(AND(P1392&lt;&gt;"No staff time",R1392=""),"Missing hours. ","")&amp;IF(M1392="","Date not readable. ","")&amp;IF(N1392="No","Outside fiscal year. ","")&amp;IF(AND(F1392="Event",ISNUMBER(R1392)),IF(R1392&gt;12,"Event hours look high. ",""),"")&amp;IF(G1392&gt;0,"See CONFIRM sheet.",""))</f>
        <v/>
      </c>
      <c r="AB1392" s="1" t="n">
        <f aca="false">IF(N1392="No",0,IF(REVIEW!O1392=0,0,IF(G1392&gt;0,IF(INDEX(CONFIRM!$J$5:$J$53,G1392)&lt;&gt;"",INDEX(CONFIRM!$J$5:$J$53,G1392),1),1)))</f>
        <v>1</v>
      </c>
      <c r="AC1392" s="1" t="n">
        <f aca="false">IF(AB1392=1,IF(COUNTIFS($B$5:B1392,B1392,$D$5:D1392,D1392,$AB$5:AB1392,1)=1,1,0),0)</f>
        <v>0</v>
      </c>
    </row>
    <row r="1393" customFormat="false" ht="15" hidden="false" customHeight="false" outlineLevel="0" collapsed="false">
      <c r="A1393" s="48" t="str">
        <f aca="false">STACK!A1393</f>
        <v>QHH-0012</v>
      </c>
      <c r="B1393" s="48" t="str">
        <f aca="false">STACK!B1393</f>
        <v>QHH</v>
      </c>
      <c r="C1393" s="48" t="str">
        <f aca="false">STACK!E1393</f>
        <v>Medication Assistance</v>
      </c>
      <c r="D1393" s="1" t="str">
        <f aca="false">IFERROR(INDEX(MAP!$J$7:$J$101,MATCH(TRIM(C1393),MAP!$I$7:$I$101,0)),"UNMAPPED")</f>
        <v>Medication Assistance Program</v>
      </c>
      <c r="E1393" s="1" t="str">
        <f aca="false">IFERROR(INDEX(MAP!$K$7:$K$101,MATCH(TRIM(C1393),MAP!$I$7:$I$101,0)),"")</f>
        <v>Access to care</v>
      </c>
      <c r="F1393" s="1" t="str">
        <f aca="false">IFERROR(INDEX(MAP!$L$7:$L$101,MATCH(TRIM(C1393),MAP!$I$7:$I$101,0)),"")</f>
        <v>Monthly</v>
      </c>
      <c r="G1393" s="1" t="n">
        <f aca="false">IFERROR(MATCH(A1393,CONFIRM!$A$5:$A$53,0),0)</f>
        <v>0</v>
      </c>
      <c r="H1393" s="48" t="str">
        <f aca="false">STACK!F1393</f>
        <v>CHIS - Support</v>
      </c>
      <c r="I1393" s="1" t="str">
        <f aca="false">IF(G1393&gt;0,IF(INDEX(CONFIRM!$I$5:$I$53,G1393)&lt;&gt;"",INDEX(CONFIRM!$I$5:$I$53,G1393),H1393),H1393)</f>
        <v>CHIS - Support</v>
      </c>
      <c r="J1393" s="1" t="str">
        <f aca="false">IFERROR(INDEX(MAP!$F$7:$F$74,MATCH(TRIM(I1393),MAP!$E$7:$E$74,0)),"UNMAPPED")</f>
        <v>Health care support services</v>
      </c>
      <c r="K1393" s="1" t="str">
        <f aca="false">IFERROR(INDEX(MAP!$G$7:$G$74,MATCH(TRIM(I1393),MAP!$E$7:$E$74,0)),"UNMAPPED")</f>
        <v>7e</v>
      </c>
      <c r="L1393" s="49" t="str">
        <f aca="false">STACK!G1393</f>
        <v>31-Jul-2025</v>
      </c>
      <c r="M1393" s="59" t="n">
        <f aca="false">IF(G1393&gt;0,IF(INDEX(CONFIRM!$G$5:$G$53,G1393)&lt;&gt;"",INDEX(CONFIRM!$G$5:$G$53,G1393),IF(ISNUMBER(L1393),L1393,IFERROR(DATEVALUE(L1393),""))),IF(ISNUMBER(L1393),L1393,IFERROR(DATEVALUE(L1393),"")))</f>
        <v>45869</v>
      </c>
      <c r="N1393" s="1" t="str">
        <f aca="false">IF(M1393="","Check",IF(AND(M1393&gt;=INPUTS!$C$6,M1393&lt;=INPUTS!$C$7),"Yes","No"))</f>
        <v>Yes</v>
      </c>
      <c r="O1393" s="48" t="str">
        <f aca="false">STACK!H1393</f>
        <v>Care Navigator</v>
      </c>
      <c r="P1393" s="1" t="str">
        <f aca="false">IF(G1393&gt;0,IF(INDEX(CONFIRM!$H$5:$H$53,G1393)&lt;&gt;"",INDEX(CONFIRM!$H$5:$H$53,G1393),IFERROR(INDEX(MAP!$B$7:$B$156,MATCH(TRIM(O1393),MAP!$A$7:$A$156,0)),"UNMAPPED")),IFERROR(INDEX(MAP!$B$7:$B$156,MATCH(TRIM(O1393),MAP!$A$7:$A$156,0)),"UNMAPPED"))</f>
        <v>Patient Navigator</v>
      </c>
      <c r="Q1393" s="48" t="n">
        <f aca="false">STACK!I1393</f>
        <v>69.75</v>
      </c>
      <c r="R1393" s="60" t="n">
        <f aca="false">IF(G1393&gt;0,IF(INDEX(CONFIRM!$F$5:$F$53,G1393)&lt;&gt;"",INDEX(CONFIRM!$F$5:$F$53,G1393),IF(ISNUMBER(Q1393),Q1393,IF(Q1393="","",IFERROR(VALUE(TRIM(SUBSTITUTE(SUBSTITUTE(LOWER(Q1393),"hrs",""),"hr",""))),"")))),IF(ISNUMBER(Q1393),Q1393,IF(Q1393="","",IFERROR(VALUE(TRIM(SUBSTITUTE(SUBSTITUTE(LOWER(Q1393),"hrs",""),"hr",""))),""))))</f>
        <v>69.75</v>
      </c>
      <c r="S1393" s="57" t="n">
        <f aca="false">IFERROR(INDEX(RATES!$E$6:$E$28,MATCH(P1393,RATES!$A$6:$A$28,0)),0)</f>
        <v>30.84</v>
      </c>
      <c r="T1393" s="61" t="n">
        <f aca="false">IF(ISNUMBER(R1393),R1393,0)*S1393</f>
        <v>2151.09</v>
      </c>
      <c r="U1393" s="61" t="n">
        <f aca="false">T1393*INDEX(INPUTS!$H$10:$H$14,MATCH(B1393,INPUTS!$A$10:$A$14,0))</f>
        <v>324.81459</v>
      </c>
      <c r="V1393" s="61" t="n">
        <f aca="false">N(STACK!K1393)</f>
        <v>0</v>
      </c>
      <c r="W1393" s="61" t="n">
        <f aca="false">T1393+U1393+V1393</f>
        <v>2475.90459</v>
      </c>
      <c r="X1393" s="61" t="n">
        <f aca="false">N(STACK!L1393)</f>
        <v>0</v>
      </c>
      <c r="Y1393" s="61" t="n">
        <f aca="false">W1393-X1393</f>
        <v>2475.90459</v>
      </c>
      <c r="Z1393" s="1" t="n">
        <f aca="false">N(STACK!J1393)</f>
        <v>0</v>
      </c>
      <c r="AA1393" s="1" t="str">
        <f aca="false">TRIM(IF(D1393="UNMAPPED","Program not mapped. ","")&amp;IF(OR(K1393="UNMAPPED",K1393="UNASSIGNED"),"Category needs review. ","")&amp;IF(P1393="UNMAPPED","Title not mapped. ","")&amp;IF(AND(P1393&lt;&gt;"No staff time",R1393=""),"Missing hours. ","")&amp;IF(M1393="","Date not readable. ","")&amp;IF(N1393="No","Outside fiscal year. ","")&amp;IF(AND(F1393="Event",ISNUMBER(R1393)),IF(R1393&gt;12,"Event hours look high. ",""),"")&amp;IF(G1393&gt;0,"See CONFIRM sheet.",""))</f>
        <v/>
      </c>
      <c r="AB1393" s="1" t="n">
        <f aca="false">IF(N1393="No",0,IF(REVIEW!O1393=0,0,IF(G1393&gt;0,IF(INDEX(CONFIRM!$J$5:$J$53,G1393)&lt;&gt;"",INDEX(CONFIRM!$J$5:$J$53,G1393),1),1)))</f>
        <v>1</v>
      </c>
      <c r="AC1393" s="1" t="n">
        <f aca="false">IF(AB1393=1,IF(COUNTIFS($B$5:B1393,B1393,$D$5:D1393,D1393,$AB$5:AB1393,1)=1,1,0),0)</f>
        <v>1</v>
      </c>
    </row>
    <row r="1394" customFormat="false" ht="15" hidden="false" customHeight="false" outlineLevel="0" collapsed="false">
      <c r="A1394" s="48" t="str">
        <f aca="false">STACK!A1394</f>
        <v>QHH-0013</v>
      </c>
      <c r="B1394" s="48" t="str">
        <f aca="false">STACK!B1394</f>
        <v>QHH</v>
      </c>
      <c r="C1394" s="48" t="str">
        <f aca="false">STACK!E1394</f>
        <v>Medication Assistance</v>
      </c>
      <c r="D1394" s="1" t="str">
        <f aca="false">IFERROR(INDEX(MAP!$J$7:$J$101,MATCH(TRIM(C1394),MAP!$I$7:$I$101,0)),"UNMAPPED")</f>
        <v>Medication Assistance Program</v>
      </c>
      <c r="E1394" s="1" t="str">
        <f aca="false">IFERROR(INDEX(MAP!$K$7:$K$101,MATCH(TRIM(C1394),MAP!$I$7:$I$101,0)),"")</f>
        <v>Access to care</v>
      </c>
      <c r="F1394" s="1" t="str">
        <f aca="false">IFERROR(INDEX(MAP!$L$7:$L$101,MATCH(TRIM(C1394),MAP!$I$7:$I$101,0)),"")</f>
        <v>Monthly</v>
      </c>
      <c r="G1394" s="1" t="n">
        <f aca="false">IFERROR(MATCH(A1394,CONFIRM!$A$5:$A$53,0),0)</f>
        <v>0</v>
      </c>
      <c r="H1394" s="48" t="str">
        <f aca="false">STACK!F1394</f>
        <v>CHIS - Support</v>
      </c>
      <c r="I1394" s="1" t="str">
        <f aca="false">IF(G1394&gt;0,IF(INDEX(CONFIRM!$I$5:$I$53,G1394)&lt;&gt;"",INDEX(CONFIRM!$I$5:$I$53,G1394),H1394),H1394)</f>
        <v>CHIS - Support</v>
      </c>
      <c r="J1394" s="1" t="str">
        <f aca="false">IFERROR(INDEX(MAP!$F$7:$F$74,MATCH(TRIM(I1394),MAP!$E$7:$E$74,0)),"UNMAPPED")</f>
        <v>Health care support services</v>
      </c>
      <c r="K1394" s="1" t="str">
        <f aca="false">IFERROR(INDEX(MAP!$G$7:$G$74,MATCH(TRIM(I1394),MAP!$E$7:$E$74,0)),"UNMAPPED")</f>
        <v>7e</v>
      </c>
      <c r="L1394" s="49" t="str">
        <f aca="false">STACK!G1394</f>
        <v>31-Jul-2025</v>
      </c>
      <c r="M1394" s="59" t="n">
        <f aca="false">IF(G1394&gt;0,IF(INDEX(CONFIRM!$G$5:$G$53,G1394)&lt;&gt;"",INDEX(CONFIRM!$G$5:$G$53,G1394),IF(ISNUMBER(L1394),L1394,IFERROR(DATEVALUE(L1394),""))),IF(ISNUMBER(L1394),L1394,IFERROR(DATEVALUE(L1394),"")))</f>
        <v>45869</v>
      </c>
      <c r="N1394" s="1" t="str">
        <f aca="false">IF(M1394="","Check",IF(AND(M1394&gt;=INPUTS!$C$6,M1394&lt;=INPUTS!$C$7),"Yes","No"))</f>
        <v>Yes</v>
      </c>
      <c r="O1394" s="48" t="str">
        <f aca="false">STACK!H1394</f>
        <v>Staff Pharmacist </v>
      </c>
      <c r="P1394" s="1" t="str">
        <f aca="false">IF(G1394&gt;0,IF(INDEX(CONFIRM!$H$5:$H$53,G1394)&lt;&gt;"",INDEX(CONFIRM!$H$5:$H$53,G1394),IFERROR(INDEX(MAP!$B$7:$B$156,MATCH(TRIM(O1394),MAP!$A$7:$A$156,0)),"UNMAPPED")),IFERROR(INDEX(MAP!$B$7:$B$156,MATCH(TRIM(O1394),MAP!$A$7:$A$156,0)),"UNMAPPED"))</f>
        <v>Pharmacist</v>
      </c>
      <c r="Q1394" s="48" t="n">
        <f aca="false">STACK!I1394</f>
        <v>14.75</v>
      </c>
      <c r="R1394" s="60" t="n">
        <f aca="false">IF(G1394&gt;0,IF(INDEX(CONFIRM!$F$5:$F$53,G1394)&lt;&gt;"",INDEX(CONFIRM!$F$5:$F$53,G1394),IF(ISNUMBER(Q1394),Q1394,IF(Q1394="","",IFERROR(VALUE(TRIM(SUBSTITUTE(SUBSTITUTE(LOWER(Q1394),"hrs",""),"hr",""))),"")))),IF(ISNUMBER(Q1394),Q1394,IF(Q1394="","",IFERROR(VALUE(TRIM(SUBSTITUTE(SUBSTITUTE(LOWER(Q1394),"hrs",""),"hr",""))),""))))</f>
        <v>14.75</v>
      </c>
      <c r="S1394" s="57" t="n">
        <f aca="false">IFERROR(INDEX(RATES!$E$6:$E$28,MATCH(P1394,RATES!$A$6:$A$28,0)),0)</f>
        <v>84.81</v>
      </c>
      <c r="T1394" s="61" t="n">
        <f aca="false">IF(ISNUMBER(R1394),R1394,0)*S1394</f>
        <v>1250.9475</v>
      </c>
      <c r="U1394" s="61" t="n">
        <f aca="false">T1394*INDEX(INPUTS!$H$10:$H$14,MATCH(B1394,INPUTS!$A$10:$A$14,0))</f>
        <v>188.8930725</v>
      </c>
      <c r="V1394" s="61" t="n">
        <f aca="false">N(STACK!K1394)</f>
        <v>18050</v>
      </c>
      <c r="W1394" s="61" t="n">
        <f aca="false">T1394+U1394+V1394</f>
        <v>19489.8405725</v>
      </c>
      <c r="X1394" s="61" t="n">
        <f aca="false">N(STACK!L1394)</f>
        <v>0</v>
      </c>
      <c r="Y1394" s="61" t="n">
        <f aca="false">W1394-X1394</f>
        <v>19489.8405725</v>
      </c>
      <c r="Z1394" s="1" t="n">
        <f aca="false">N(STACK!J1394)</f>
        <v>95</v>
      </c>
      <c r="AA1394" s="1" t="str">
        <f aca="false">TRIM(IF(D1394="UNMAPPED","Program not mapped. ","")&amp;IF(OR(K1394="UNMAPPED",K1394="UNASSIGNED"),"Category needs review. ","")&amp;IF(P1394="UNMAPPED","Title not mapped. ","")&amp;IF(AND(P1394&lt;&gt;"No staff time",R1394=""),"Missing hours. ","")&amp;IF(M1394="","Date not readable. ","")&amp;IF(N1394="No","Outside fiscal year. ","")&amp;IF(AND(F1394="Event",ISNUMBER(R1394)),IF(R1394&gt;12,"Event hours look high. ",""),"")&amp;IF(G1394&gt;0,"See CONFIRM sheet.",""))</f>
        <v/>
      </c>
      <c r="AB1394" s="1" t="n">
        <f aca="false">IF(N1394="No",0,IF(REVIEW!O1394=0,0,IF(G1394&gt;0,IF(INDEX(CONFIRM!$J$5:$J$53,G1394)&lt;&gt;"",INDEX(CONFIRM!$J$5:$J$53,G1394),1),1)))</f>
        <v>1</v>
      </c>
      <c r="AC1394" s="1" t="n">
        <f aca="false">IF(AB1394=1,IF(COUNTIFS($B$5:B1394,B1394,$D$5:D1394,D1394,$AB$5:AB1394,1)=1,1,0),0)</f>
        <v>0</v>
      </c>
    </row>
    <row r="1395" customFormat="false" ht="15" hidden="false" customHeight="false" outlineLevel="0" collapsed="false">
      <c r="A1395" s="48" t="str">
        <f aca="false">STACK!A1395</f>
        <v>QHH-0014</v>
      </c>
      <c r="B1395" s="48" t="str">
        <f aca="false">STACK!B1395</f>
        <v>QHH</v>
      </c>
      <c r="C1395" s="48" t="str">
        <f aca="false">STACK!E1395</f>
        <v>Community Benefit Admin.</v>
      </c>
      <c r="D1395" s="1" t="str">
        <f aca="false">IFERROR(INDEX(MAP!$J$7:$J$101,MATCH(TRIM(C1395),MAP!$I$7:$I$101,0)),"UNMAPPED")</f>
        <v>Community Benefit Program Administration</v>
      </c>
      <c r="E1395" s="1" t="str">
        <f aca="false">IFERROR(INDEX(MAP!$K$7:$K$101,MATCH(TRIM(C1395),MAP!$I$7:$I$101,0)),"")</f>
        <v>Community benefit infrastructure</v>
      </c>
      <c r="F1395" s="1" t="str">
        <f aca="false">IFERROR(INDEX(MAP!$L$7:$L$101,MATCH(TRIM(C1395),MAP!$I$7:$I$101,0)),"")</f>
        <v>Monthly</v>
      </c>
      <c r="G1395" s="1" t="n">
        <f aca="false">IFERROR(MATCH(A1395,CONFIRM!$A$5:$A$53,0),0)</f>
        <v>0</v>
      </c>
      <c r="H1395" s="48" t="str">
        <f aca="false">STACK!F1395</f>
        <v>CBO</v>
      </c>
      <c r="I1395" s="1" t="str">
        <f aca="false">IF(G1395&gt;0,IF(INDEX(CONFIRM!$I$5:$I$53,G1395)&lt;&gt;"",INDEX(CONFIRM!$I$5:$I$53,G1395),H1395),H1395)</f>
        <v>CBO</v>
      </c>
      <c r="J1395" s="1" t="str">
        <f aca="false">IFERROR(INDEX(MAP!$F$7:$F$74,MATCH(TRIM(I1395),MAP!$E$7:$E$74,0)),"UNMAPPED")</f>
        <v>Community benefit operations</v>
      </c>
      <c r="K1395" s="1" t="str">
        <f aca="false">IFERROR(INDEX(MAP!$G$7:$G$74,MATCH(TRIM(I1395),MAP!$E$7:$E$74,0)),"UNMAPPED")</f>
        <v>7e</v>
      </c>
      <c r="L1395" s="49" t="str">
        <f aca="false">STACK!G1395</f>
        <v>31-Jul-2025</v>
      </c>
      <c r="M1395" s="59" t="n">
        <f aca="false">IF(G1395&gt;0,IF(INDEX(CONFIRM!$G$5:$G$53,G1395)&lt;&gt;"",INDEX(CONFIRM!$G$5:$G$53,G1395),IF(ISNUMBER(L1395),L1395,IFERROR(DATEVALUE(L1395),""))),IF(ISNUMBER(L1395),L1395,IFERROR(DATEVALUE(L1395),"")))</f>
        <v>45869</v>
      </c>
      <c r="N1395" s="1" t="str">
        <f aca="false">IF(M1395="","Check",IF(AND(M1395&gt;=INPUTS!$C$6,M1395&lt;=INPUTS!$C$7),"Yes","No"))</f>
        <v>Yes</v>
      </c>
      <c r="O1395" s="48" t="str">
        <f aca="false">STACK!H1395</f>
        <v>Office Coordinator</v>
      </c>
      <c r="P1395" s="1" t="str">
        <f aca="false">IF(G1395&gt;0,IF(INDEX(CONFIRM!$H$5:$H$53,G1395)&lt;&gt;"",INDEX(CONFIRM!$H$5:$H$53,G1395),IFERROR(INDEX(MAP!$B$7:$B$156,MATCH(TRIM(O1395),MAP!$A$7:$A$156,0)),"UNMAPPED")),IFERROR(INDEX(MAP!$B$7:$B$156,MATCH(TRIM(O1395),MAP!$A$7:$A$156,0)),"UNMAPPED"))</f>
        <v>Administrative Assistant</v>
      </c>
      <c r="Q1395" s="48" t="n">
        <f aca="false">STACK!I1395</f>
        <v>48.5</v>
      </c>
      <c r="R1395" s="60" t="n">
        <f aca="false">IF(G1395&gt;0,IF(INDEX(CONFIRM!$F$5:$F$53,G1395)&lt;&gt;"",INDEX(CONFIRM!$F$5:$F$53,G1395),IF(ISNUMBER(Q1395),Q1395,IF(Q1395="","",IFERROR(VALUE(TRIM(SUBSTITUTE(SUBSTITUTE(LOWER(Q1395),"hrs",""),"hr",""))),"")))),IF(ISNUMBER(Q1395),Q1395,IF(Q1395="","",IFERROR(VALUE(TRIM(SUBSTITUTE(SUBSTITUTE(LOWER(Q1395),"hrs",""),"hr",""))),""))))</f>
        <v>48.5</v>
      </c>
      <c r="S1395" s="57" t="n">
        <f aca="false">IFERROR(INDEX(RATES!$E$6:$E$28,MATCH(P1395,RATES!$A$6:$A$28,0)),0)</f>
        <v>26.985</v>
      </c>
      <c r="T1395" s="61" t="n">
        <f aca="false">IF(ISNUMBER(R1395),R1395,0)*S1395</f>
        <v>1308.7725</v>
      </c>
      <c r="U1395" s="61" t="n">
        <f aca="false">T1395*INDEX(INPUTS!$H$10:$H$14,MATCH(B1395,INPUTS!$A$10:$A$14,0))</f>
        <v>197.6246475</v>
      </c>
      <c r="V1395" s="61" t="n">
        <f aca="false">N(STACK!K1395)</f>
        <v>0</v>
      </c>
      <c r="W1395" s="61" t="n">
        <f aca="false">T1395+U1395+V1395</f>
        <v>1506.3971475</v>
      </c>
      <c r="X1395" s="61" t="n">
        <f aca="false">N(STACK!L1395)</f>
        <v>0</v>
      </c>
      <c r="Y1395" s="61" t="n">
        <f aca="false">W1395-X1395</f>
        <v>1506.3971475</v>
      </c>
      <c r="Z1395" s="1" t="n">
        <f aca="false">N(STACK!J1395)</f>
        <v>0</v>
      </c>
      <c r="AA1395" s="1" t="str">
        <f aca="false">TRIM(IF(D1395="UNMAPPED","Program not mapped. ","")&amp;IF(OR(K1395="UNMAPPED",K1395="UNASSIGNED"),"Category needs review. ","")&amp;IF(P1395="UNMAPPED","Title not mapped. ","")&amp;IF(AND(P1395&lt;&gt;"No staff time",R1395=""),"Missing hours. ","")&amp;IF(M1395="","Date not readable. ","")&amp;IF(N1395="No","Outside fiscal year. ","")&amp;IF(AND(F1395="Event",ISNUMBER(R1395)),IF(R1395&gt;12,"Event hours look high. ",""),"")&amp;IF(G1395&gt;0,"See CONFIRM sheet.",""))</f>
        <v/>
      </c>
      <c r="AB1395" s="1" t="n">
        <f aca="false">IF(N1395="No",0,IF(REVIEW!O1395=0,0,IF(G1395&gt;0,IF(INDEX(CONFIRM!$J$5:$J$53,G1395)&lt;&gt;"",INDEX(CONFIRM!$J$5:$J$53,G1395),1),1)))</f>
        <v>1</v>
      </c>
      <c r="AC1395" s="1" t="n">
        <f aca="false">IF(AB1395=1,IF(COUNTIFS($B$5:B1395,B1395,$D$5:D1395,D1395,$AB$5:AB1395,1)=1,1,0),0)</f>
        <v>1</v>
      </c>
    </row>
    <row r="1396" customFormat="false" ht="15" hidden="false" customHeight="false" outlineLevel="0" collapsed="false">
      <c r="A1396" s="48" t="str">
        <f aca="false">STACK!A1396</f>
        <v>QHH-0015</v>
      </c>
      <c r="B1396" s="48" t="str">
        <f aca="false">STACK!B1396</f>
        <v>QHH</v>
      </c>
      <c r="C1396" s="48" t="str">
        <f aca="false">STACK!E1396</f>
        <v>Community Benefit Admin.</v>
      </c>
      <c r="D1396" s="1" t="str">
        <f aca="false">IFERROR(INDEX(MAP!$J$7:$J$101,MATCH(TRIM(C1396),MAP!$I$7:$I$101,0)),"UNMAPPED")</f>
        <v>Community Benefit Program Administration</v>
      </c>
      <c r="E1396" s="1" t="str">
        <f aca="false">IFERROR(INDEX(MAP!$K$7:$K$101,MATCH(TRIM(C1396),MAP!$I$7:$I$101,0)),"")</f>
        <v>Community benefit infrastructure</v>
      </c>
      <c r="F1396" s="1" t="str">
        <f aca="false">IFERROR(INDEX(MAP!$L$7:$L$101,MATCH(TRIM(C1396),MAP!$I$7:$I$101,0)),"")</f>
        <v>Monthly</v>
      </c>
      <c r="G1396" s="1" t="n">
        <f aca="false">IFERROR(MATCH(A1396,CONFIRM!$A$5:$A$53,0),0)</f>
        <v>0</v>
      </c>
      <c r="H1396" s="48" t="str">
        <f aca="false">STACK!F1396</f>
        <v>CBO</v>
      </c>
      <c r="I1396" s="1" t="str">
        <f aca="false">IF(G1396&gt;0,IF(INDEX(CONFIRM!$I$5:$I$53,G1396)&lt;&gt;"",INDEX(CONFIRM!$I$5:$I$53,G1396),H1396),H1396)</f>
        <v>CBO</v>
      </c>
      <c r="J1396" s="1" t="str">
        <f aca="false">IFERROR(INDEX(MAP!$F$7:$F$74,MATCH(TRIM(I1396),MAP!$E$7:$E$74,0)),"UNMAPPED")</f>
        <v>Community benefit operations</v>
      </c>
      <c r="K1396" s="1" t="str">
        <f aca="false">IFERROR(INDEX(MAP!$G$7:$G$74,MATCH(TRIM(I1396),MAP!$E$7:$E$74,0)),"UNMAPPED")</f>
        <v>7e</v>
      </c>
      <c r="L1396" s="49" t="str">
        <f aca="false">STACK!G1396</f>
        <v>31-Jul-2025</v>
      </c>
      <c r="M1396" s="59" t="n">
        <f aca="false">IF(G1396&gt;0,IF(INDEX(CONFIRM!$G$5:$G$53,G1396)&lt;&gt;"",INDEX(CONFIRM!$G$5:$G$53,G1396),IF(ISNUMBER(L1396),L1396,IFERROR(DATEVALUE(L1396),""))),IF(ISNUMBER(L1396),L1396,IFERROR(DATEVALUE(L1396),"")))</f>
        <v>45869</v>
      </c>
      <c r="N1396" s="1" t="str">
        <f aca="false">IF(M1396="","Check",IF(AND(M1396&gt;=INPUTS!$C$6,M1396&lt;=INPUTS!$C$7),"Yes","No"))</f>
        <v>Yes</v>
      </c>
      <c r="O1396" s="48" t="str">
        <f aca="false">STACK!H1396</f>
        <v>Manager Community Benefit </v>
      </c>
      <c r="P1396" s="1" t="str">
        <f aca="false">IF(G1396&gt;0,IF(INDEX(CONFIRM!$H$5:$H$53,G1396)&lt;&gt;"",INDEX(CONFIRM!$H$5:$H$53,G1396),IFERROR(INDEX(MAP!$B$7:$B$156,MATCH(TRIM(O1396),MAP!$A$7:$A$156,0)),"UNMAPPED")),IFERROR(INDEX(MAP!$B$7:$B$156,MATCH(TRIM(O1396),MAP!$A$7:$A$156,0)),"UNMAPPED"))</f>
        <v>Community Benefit Manager</v>
      </c>
      <c r="Q1396" s="48" t="n">
        <f aca="false">STACK!I1396</f>
        <v>55.25</v>
      </c>
      <c r="R1396" s="60" t="n">
        <f aca="false">IF(G1396&gt;0,IF(INDEX(CONFIRM!$F$5:$F$53,G1396)&lt;&gt;"",INDEX(CONFIRM!$F$5:$F$53,G1396),IF(ISNUMBER(Q1396),Q1396,IF(Q1396="","",IFERROR(VALUE(TRIM(SUBSTITUTE(SUBSTITUTE(LOWER(Q1396),"hrs",""),"hr",""))),"")))),IF(ISNUMBER(Q1396),Q1396,IF(Q1396="","",IFERROR(VALUE(TRIM(SUBSTITUTE(SUBSTITUTE(LOWER(Q1396),"hrs",""),"hr",""))),""))))</f>
        <v>55.25</v>
      </c>
      <c r="S1396" s="57" t="n">
        <f aca="false">IFERROR(INDEX(RATES!$E$6:$E$28,MATCH(P1396,RATES!$A$6:$A$28,0)),0)</f>
        <v>59.11</v>
      </c>
      <c r="T1396" s="61" t="n">
        <f aca="false">IF(ISNUMBER(R1396),R1396,0)*S1396</f>
        <v>3265.8275</v>
      </c>
      <c r="U1396" s="61" t="n">
        <f aca="false">T1396*INDEX(INPUTS!$H$10:$H$14,MATCH(B1396,INPUTS!$A$10:$A$14,0))</f>
        <v>493.1399525</v>
      </c>
      <c r="V1396" s="61" t="n">
        <f aca="false">N(STACK!K1396)</f>
        <v>545</v>
      </c>
      <c r="W1396" s="61" t="n">
        <f aca="false">T1396+U1396+V1396</f>
        <v>4303.9674525</v>
      </c>
      <c r="X1396" s="61" t="n">
        <f aca="false">N(STACK!L1396)</f>
        <v>0</v>
      </c>
      <c r="Y1396" s="61" t="n">
        <f aca="false">W1396-X1396</f>
        <v>4303.9674525</v>
      </c>
      <c r="Z1396" s="1" t="n">
        <f aca="false">N(STACK!J1396)</f>
        <v>0</v>
      </c>
      <c r="AA1396" s="1" t="str">
        <f aca="false">TRIM(IF(D1396="UNMAPPED","Program not mapped. ","")&amp;IF(OR(K1396="UNMAPPED",K1396="UNASSIGNED"),"Category needs review. ","")&amp;IF(P1396="UNMAPPED","Title not mapped. ","")&amp;IF(AND(P1396&lt;&gt;"No staff time",R1396=""),"Missing hours. ","")&amp;IF(M1396="","Date not readable. ","")&amp;IF(N1396="No","Outside fiscal year. ","")&amp;IF(AND(F1396="Event",ISNUMBER(R1396)),IF(R1396&gt;12,"Event hours look high. ",""),"")&amp;IF(G1396&gt;0,"See CONFIRM sheet.",""))</f>
        <v/>
      </c>
      <c r="AB1396" s="1" t="n">
        <f aca="false">IF(N1396="No",0,IF(REVIEW!O1396=0,0,IF(G1396&gt;0,IF(INDEX(CONFIRM!$J$5:$J$53,G1396)&lt;&gt;"",INDEX(CONFIRM!$J$5:$J$53,G1396),1),1)))</f>
        <v>1</v>
      </c>
      <c r="AC1396" s="1" t="n">
        <f aca="false">IF(AB1396=1,IF(COUNTIFS($B$5:B1396,B1396,$D$5:D1396,D1396,$AB$5:AB1396,1)=1,1,0),0)</f>
        <v>0</v>
      </c>
    </row>
    <row r="1397" customFormat="false" ht="15" hidden="false" customHeight="false" outlineLevel="0" collapsed="false">
      <c r="A1397" s="48" t="str">
        <f aca="false">STACK!A1397</f>
        <v>QHH-0016</v>
      </c>
      <c r="B1397" s="48" t="str">
        <f aca="false">STACK!B1397</f>
        <v>QHH</v>
      </c>
      <c r="C1397" s="48" t="str">
        <f aca="false">STACK!E1397</f>
        <v>Community Paramedicine</v>
      </c>
      <c r="D1397" s="1" t="str">
        <f aca="false">IFERROR(INDEX(MAP!$J$7:$J$101,MATCH(TRIM(C1397),MAP!$I$7:$I$101,0)),"UNMAPPED")</f>
        <v>Community Paramedic Home Visits</v>
      </c>
      <c r="E1397" s="1" t="str">
        <f aca="false">IFERROR(INDEX(MAP!$K$7:$K$101,MATCH(TRIM(C1397),MAP!$I$7:$I$101,0)),"")</f>
        <v>Access to care</v>
      </c>
      <c r="F1397" s="1" t="str">
        <f aca="false">IFERROR(INDEX(MAP!$L$7:$L$101,MATCH(TRIM(C1397),MAP!$I$7:$I$101,0)),"")</f>
        <v>Monthly</v>
      </c>
      <c r="G1397" s="1" t="n">
        <f aca="false">IFERROR(MATCH(A1397,CONFIRM!$A$5:$A$53,0),0)</f>
        <v>0</v>
      </c>
      <c r="H1397" s="48" t="str">
        <f aca="false">STACK!F1397</f>
        <v>CHIS - Clinical</v>
      </c>
      <c r="I1397" s="1" t="str">
        <f aca="false">IF(G1397&gt;0,IF(INDEX(CONFIRM!$I$5:$I$53,G1397)&lt;&gt;"",INDEX(CONFIRM!$I$5:$I$53,G1397),H1397),H1397)</f>
        <v>CHIS - Clinical</v>
      </c>
      <c r="J1397" s="1" t="str">
        <f aca="false">IFERROR(INDEX(MAP!$F$7:$F$74,MATCH(TRIM(I1397),MAP!$E$7:$E$74,0)),"UNMAPPED")</f>
        <v>Community-based clinical services</v>
      </c>
      <c r="K1397" s="1" t="str">
        <f aca="false">IFERROR(INDEX(MAP!$G$7:$G$74,MATCH(TRIM(I1397),MAP!$E$7:$E$74,0)),"UNMAPPED")</f>
        <v>7e</v>
      </c>
      <c r="L1397" s="49" t="str">
        <f aca="false">STACK!G1397</f>
        <v>31-Jul-2025</v>
      </c>
      <c r="M1397" s="59" t="n">
        <f aca="false">IF(G1397&gt;0,IF(INDEX(CONFIRM!$G$5:$G$53,G1397)&lt;&gt;"",INDEX(CONFIRM!$G$5:$G$53,G1397),IF(ISNUMBER(L1397),L1397,IFERROR(DATEVALUE(L1397),""))),IF(ISNUMBER(L1397),L1397,IFERROR(DATEVALUE(L1397),"")))</f>
        <v>45869</v>
      </c>
      <c r="N1397" s="1" t="str">
        <f aca="false">IF(M1397="","Check",IF(AND(M1397&gt;=INPUTS!$C$6,M1397&lt;=INPUTS!$C$7),"Yes","No"))</f>
        <v>Yes</v>
      </c>
      <c r="O1397" s="48" t="str">
        <f aca="false">STACK!H1397</f>
        <v>EMT</v>
      </c>
      <c r="P1397" s="1" t="str">
        <f aca="false">IF(G1397&gt;0,IF(INDEX(CONFIRM!$H$5:$H$53,G1397)&lt;&gt;"",INDEX(CONFIRM!$H$5:$H$53,G1397),IFERROR(INDEX(MAP!$B$7:$B$156,MATCH(TRIM(O1397),MAP!$A$7:$A$156,0)),"UNMAPPED")),IFERROR(INDEX(MAP!$B$7:$B$156,MATCH(TRIM(O1397),MAP!$A$7:$A$156,0)),"UNMAPPED"))</f>
        <v>Paramedic</v>
      </c>
      <c r="Q1397" s="48" t="n">
        <f aca="false">STACK!I1397</f>
        <v>69.5</v>
      </c>
      <c r="R1397" s="60" t="n">
        <f aca="false">IF(G1397&gt;0,IF(INDEX(CONFIRM!$F$5:$F$53,G1397)&lt;&gt;"",INDEX(CONFIRM!$F$5:$F$53,G1397),IF(ISNUMBER(Q1397),Q1397,IF(Q1397="","",IFERROR(VALUE(TRIM(SUBSTITUTE(SUBSTITUTE(LOWER(Q1397),"hrs",""),"hr",""))),"")))),IF(ISNUMBER(Q1397),Q1397,IF(Q1397="","",IFERROR(VALUE(TRIM(SUBSTITUTE(SUBSTITUTE(LOWER(Q1397),"hrs",""),"hr",""))),""))))</f>
        <v>69.5</v>
      </c>
      <c r="S1397" s="57" t="n">
        <f aca="false">IFERROR(INDEX(RATES!$E$6:$E$28,MATCH(P1397,RATES!$A$6:$A$28,0)),0)</f>
        <v>34.695</v>
      </c>
      <c r="T1397" s="61" t="n">
        <f aca="false">IF(ISNUMBER(R1397),R1397,0)*S1397</f>
        <v>2411.3025</v>
      </c>
      <c r="U1397" s="61" t="n">
        <f aca="false">T1397*INDEX(INPUTS!$H$10:$H$14,MATCH(B1397,INPUTS!$A$10:$A$14,0))</f>
        <v>364.1066775</v>
      </c>
      <c r="V1397" s="61" t="n">
        <f aca="false">N(STACK!K1397)</f>
        <v>955</v>
      </c>
      <c r="W1397" s="61" t="n">
        <f aca="false">T1397+U1397+V1397</f>
        <v>3730.4091775</v>
      </c>
      <c r="X1397" s="61" t="n">
        <f aca="false">N(STACK!L1397)</f>
        <v>0</v>
      </c>
      <c r="Y1397" s="61" t="n">
        <f aca="false">W1397-X1397</f>
        <v>3730.4091775</v>
      </c>
      <c r="Z1397" s="1" t="n">
        <f aca="false">N(STACK!J1397)</f>
        <v>68</v>
      </c>
      <c r="AA1397" s="1" t="str">
        <f aca="false">TRIM(IF(D1397="UNMAPPED","Program not mapped. ","")&amp;IF(OR(K1397="UNMAPPED",K1397="UNASSIGNED"),"Category needs review. ","")&amp;IF(P1397="UNMAPPED","Title not mapped. ","")&amp;IF(AND(P1397&lt;&gt;"No staff time",R1397=""),"Missing hours. ","")&amp;IF(M1397="","Date not readable. ","")&amp;IF(N1397="No","Outside fiscal year. ","")&amp;IF(AND(F1397="Event",ISNUMBER(R1397)),IF(R1397&gt;12,"Event hours look high. ",""),"")&amp;IF(G1397&gt;0,"See CONFIRM sheet.",""))</f>
        <v/>
      </c>
      <c r="AB1397" s="1" t="n">
        <f aca="false">IF(N1397="No",0,IF(REVIEW!O1397=0,0,IF(G1397&gt;0,IF(INDEX(CONFIRM!$J$5:$J$53,G1397)&lt;&gt;"",INDEX(CONFIRM!$J$5:$J$53,G1397),1),1)))</f>
        <v>1</v>
      </c>
      <c r="AC1397" s="1" t="n">
        <f aca="false">IF(AB1397=1,IF(COUNTIFS($B$5:B1397,B1397,$D$5:D1397,D1397,$AB$5:AB1397,1)=1,1,0),0)</f>
        <v>1</v>
      </c>
    </row>
    <row r="1398" customFormat="false" ht="15" hidden="false" customHeight="false" outlineLevel="0" collapsed="false">
      <c r="A1398" s="48" t="str">
        <f aca="false">STACK!A1398</f>
        <v>QHH-0017</v>
      </c>
      <c r="B1398" s="48" t="str">
        <f aca="false">STACK!B1398</f>
        <v>QHH</v>
      </c>
      <c r="C1398" s="48" t="str">
        <f aca="false">STACK!E1398</f>
        <v>Nursing Clinical Rotations</v>
      </c>
      <c r="D1398" s="1" t="str">
        <f aca="false">IFERROR(INDEX(MAP!$J$7:$J$101,MATCH(TRIM(C1398),MAP!$I$7:$I$101,0)),"UNMAPPED")</f>
        <v>Nursing Student Clinical Rotations</v>
      </c>
      <c r="E1398" s="1" t="str">
        <f aca="false">IFERROR(INDEX(MAP!$K$7:$K$101,MATCH(TRIM(C1398),MAP!$I$7:$I$101,0)),"")</f>
        <v>Health workforce</v>
      </c>
      <c r="F1398" s="1" t="str">
        <f aca="false">IFERROR(INDEX(MAP!$L$7:$L$101,MATCH(TRIM(C1398),MAP!$I$7:$I$101,0)),"")</f>
        <v>Monthly</v>
      </c>
      <c r="G1398" s="1" t="n">
        <f aca="false">IFERROR(MATCH(A1398,CONFIRM!$A$5:$A$53,0),0)</f>
        <v>0</v>
      </c>
      <c r="H1398" s="48" t="str">
        <f aca="false">STACK!F1398</f>
        <v>HPE - Students</v>
      </c>
      <c r="I1398" s="1" t="str">
        <f aca="false">IF(G1398&gt;0,IF(INDEX(CONFIRM!$I$5:$I$53,G1398)&lt;&gt;"",INDEX(CONFIRM!$I$5:$I$53,G1398),H1398),H1398)</f>
        <v>HPE - Students</v>
      </c>
      <c r="J1398" s="1" t="str">
        <f aca="false">IFERROR(INDEX(MAP!$F$7:$F$74,MATCH(TRIM(I1398),MAP!$E$7:$E$74,0)),"UNMAPPED")</f>
        <v>Health professions education</v>
      </c>
      <c r="K1398" s="1" t="str">
        <f aca="false">IFERROR(INDEX(MAP!$G$7:$G$74,MATCH(TRIM(I1398),MAP!$E$7:$E$74,0)),"UNMAPPED")</f>
        <v>7f</v>
      </c>
      <c r="L1398" s="49" t="str">
        <f aca="false">STACK!G1398</f>
        <v>31-Jul-2025</v>
      </c>
      <c r="M1398" s="59" t="n">
        <f aca="false">IF(G1398&gt;0,IF(INDEX(CONFIRM!$G$5:$G$53,G1398)&lt;&gt;"",INDEX(CONFIRM!$G$5:$G$53,G1398),IF(ISNUMBER(L1398),L1398,IFERROR(DATEVALUE(L1398),""))),IF(ISNUMBER(L1398),L1398,IFERROR(DATEVALUE(L1398),"")))</f>
        <v>45869</v>
      </c>
      <c r="N1398" s="1" t="str">
        <f aca="false">IF(M1398="","Check",IF(AND(M1398&gt;=INPUTS!$C$6,M1398&lt;=INPUTS!$C$7),"Yes","No"))</f>
        <v>Yes</v>
      </c>
      <c r="O1398" s="48" t="str">
        <f aca="false">STACK!H1398</f>
        <v>Preceptor RN</v>
      </c>
      <c r="P1398" s="1" t="str">
        <f aca="false">IF(G1398&gt;0,IF(INDEX(CONFIRM!$H$5:$H$53,G1398)&lt;&gt;"",INDEX(CONFIRM!$H$5:$H$53,G1398),IFERROR(INDEX(MAP!$B$7:$B$156,MATCH(TRIM(O1398),MAP!$A$7:$A$156,0)),"UNMAPPED")),IFERROR(INDEX(MAP!$B$7:$B$156,MATCH(TRIM(O1398),MAP!$A$7:$A$156,0)),"UNMAPPED"))</f>
        <v>Clinical Nurse Educator</v>
      </c>
      <c r="Q1398" s="48" t="n">
        <f aca="false">STACK!I1398</f>
        <v>37</v>
      </c>
      <c r="R1398" s="60" t="n">
        <f aca="false">IF(G1398&gt;0,IF(INDEX(CONFIRM!$F$5:$F$53,G1398)&lt;&gt;"",INDEX(CONFIRM!$F$5:$F$53,G1398),IF(ISNUMBER(Q1398),Q1398,IF(Q1398="","",IFERROR(VALUE(TRIM(SUBSTITUTE(SUBSTITUTE(LOWER(Q1398),"hrs",""),"hr",""))),"")))),IF(ISNUMBER(Q1398),Q1398,IF(Q1398="","",IFERROR(VALUE(TRIM(SUBSTITUTE(SUBSTITUTE(LOWER(Q1398),"hrs",""),"hr",""))),""))))</f>
        <v>37</v>
      </c>
      <c r="S1398" s="57" t="n">
        <f aca="false">IFERROR(INDEX(RATES!$E$6:$E$28,MATCH(P1398,RATES!$A$6:$A$28,0)),0)</f>
        <v>62.965</v>
      </c>
      <c r="T1398" s="61" t="n">
        <f aca="false">IF(ISNUMBER(R1398),R1398,0)*S1398</f>
        <v>2329.705</v>
      </c>
      <c r="U1398" s="61" t="n">
        <f aca="false">T1398*INDEX(INPUTS!$H$10:$H$14,MATCH(B1398,INPUTS!$A$10:$A$14,0))</f>
        <v>351.785455</v>
      </c>
      <c r="V1398" s="61" t="n">
        <f aca="false">N(STACK!K1398)</f>
        <v>200</v>
      </c>
      <c r="W1398" s="61" t="n">
        <f aca="false">T1398+U1398+V1398</f>
        <v>2881.490455</v>
      </c>
      <c r="X1398" s="61" t="n">
        <f aca="false">N(STACK!L1398)</f>
        <v>0</v>
      </c>
      <c r="Y1398" s="61" t="n">
        <f aca="false">W1398-X1398</f>
        <v>2881.490455</v>
      </c>
      <c r="Z1398" s="1" t="n">
        <f aca="false">N(STACK!J1398)</f>
        <v>8</v>
      </c>
      <c r="AA1398" s="1" t="str">
        <f aca="false">TRIM(IF(D1398="UNMAPPED","Program not mapped. ","")&amp;IF(OR(K1398="UNMAPPED",K1398="UNASSIGNED"),"Category needs review. ","")&amp;IF(P1398="UNMAPPED","Title not mapped. ","")&amp;IF(AND(P1398&lt;&gt;"No staff time",R1398=""),"Missing hours. ","")&amp;IF(M1398="","Date not readable. ","")&amp;IF(N1398="No","Outside fiscal year. ","")&amp;IF(AND(F1398="Event",ISNUMBER(R1398)),IF(R1398&gt;12,"Event hours look high. ",""),"")&amp;IF(G1398&gt;0,"See CONFIRM sheet.",""))</f>
        <v/>
      </c>
      <c r="AB1398" s="1" t="n">
        <f aca="false">IF(N1398="No",0,IF(REVIEW!O1398=0,0,IF(G1398&gt;0,IF(INDEX(CONFIRM!$J$5:$J$53,G1398)&lt;&gt;"",INDEX(CONFIRM!$J$5:$J$53,G1398),1),1)))</f>
        <v>1</v>
      </c>
      <c r="AC1398" s="1" t="n">
        <f aca="false">IF(AB1398=1,IF(COUNTIFS($B$5:B1398,B1398,$D$5:D1398,D1398,$AB$5:AB1398,1)=1,1,0),0)</f>
        <v>1</v>
      </c>
    </row>
    <row r="1399" customFormat="false" ht="15" hidden="false" customHeight="false" outlineLevel="0" collapsed="false">
      <c r="A1399" s="48" t="str">
        <f aca="false">STACK!A1399</f>
        <v>QHH-0018</v>
      </c>
      <c r="B1399" s="48" t="str">
        <f aca="false">STACK!B1399</f>
        <v>QHH</v>
      </c>
      <c r="C1399" s="48" t="str">
        <f aca="false">STACK!E1399</f>
        <v>Nursing Clinical Rotations</v>
      </c>
      <c r="D1399" s="1" t="str">
        <f aca="false">IFERROR(INDEX(MAP!$J$7:$J$101,MATCH(TRIM(C1399),MAP!$I$7:$I$101,0)),"UNMAPPED")</f>
        <v>Nursing Student Clinical Rotations</v>
      </c>
      <c r="E1399" s="1" t="str">
        <f aca="false">IFERROR(INDEX(MAP!$K$7:$K$101,MATCH(TRIM(C1399),MAP!$I$7:$I$101,0)),"")</f>
        <v>Health workforce</v>
      </c>
      <c r="F1399" s="1" t="str">
        <f aca="false">IFERROR(INDEX(MAP!$L$7:$L$101,MATCH(TRIM(C1399),MAP!$I$7:$I$101,0)),"")</f>
        <v>Monthly</v>
      </c>
      <c r="G1399" s="1" t="n">
        <f aca="false">IFERROR(MATCH(A1399,CONFIRM!$A$5:$A$53,0),0)</f>
        <v>0</v>
      </c>
      <c r="H1399" s="48" t="str">
        <f aca="false">STACK!F1399</f>
        <v>HPE - Students</v>
      </c>
      <c r="I1399" s="1" t="str">
        <f aca="false">IF(G1399&gt;0,IF(INDEX(CONFIRM!$I$5:$I$53,G1399)&lt;&gt;"",INDEX(CONFIRM!$I$5:$I$53,G1399),H1399),H1399)</f>
        <v>HPE - Students</v>
      </c>
      <c r="J1399" s="1" t="str">
        <f aca="false">IFERROR(INDEX(MAP!$F$7:$F$74,MATCH(TRIM(I1399),MAP!$E$7:$E$74,0)),"UNMAPPED")</f>
        <v>Health professions education</v>
      </c>
      <c r="K1399" s="1" t="str">
        <f aca="false">IFERROR(INDEX(MAP!$G$7:$G$74,MATCH(TRIM(I1399),MAP!$E$7:$E$74,0)),"UNMAPPED")</f>
        <v>7f</v>
      </c>
      <c r="L1399" s="49" t="str">
        <f aca="false">STACK!G1399</f>
        <v>31-Jul-2025</v>
      </c>
      <c r="M1399" s="59" t="n">
        <f aca="false">IF(G1399&gt;0,IF(INDEX(CONFIRM!$G$5:$G$53,G1399)&lt;&gt;"",INDEX(CONFIRM!$G$5:$G$53,G1399),IF(ISNUMBER(L1399),L1399,IFERROR(DATEVALUE(L1399),""))),IF(ISNUMBER(L1399),L1399,IFERROR(DATEVALUE(L1399),"")))</f>
        <v>45869</v>
      </c>
      <c r="N1399" s="1" t="str">
        <f aca="false">IF(M1399="","Check",IF(AND(M1399&gt;=INPUTS!$C$6,M1399&lt;=INPUTS!$C$7),"Yes","No"))</f>
        <v>Yes</v>
      </c>
      <c r="O1399" s="48" t="str">
        <f aca="false">STACK!H1399</f>
        <v>RN II</v>
      </c>
      <c r="P1399" s="1" t="str">
        <f aca="false">IF(G1399&gt;0,IF(INDEX(CONFIRM!$H$5:$H$53,G1399)&lt;&gt;"",INDEX(CONFIRM!$H$5:$H$53,G1399),IFERROR(INDEX(MAP!$B$7:$B$156,MATCH(TRIM(O1399),MAP!$A$7:$A$156,0)),"UNMAPPED")),IFERROR(INDEX(MAP!$B$7:$B$156,MATCH(TRIM(O1399),MAP!$A$7:$A$156,0)),"UNMAPPED"))</f>
        <v>Registered Nurse</v>
      </c>
      <c r="Q1399" s="48" t="n">
        <f aca="false">STACK!I1399</f>
        <v>70.25</v>
      </c>
      <c r="R1399" s="60" t="n">
        <f aca="false">IF(G1399&gt;0,IF(INDEX(CONFIRM!$F$5:$F$53,G1399)&lt;&gt;"",INDEX(CONFIRM!$F$5:$F$53,G1399),IF(ISNUMBER(Q1399),Q1399,IF(Q1399="","",IFERROR(VALUE(TRIM(SUBSTITUTE(SUBSTITUTE(LOWER(Q1399),"hrs",""),"hr",""))),"")))),IF(ISNUMBER(Q1399),Q1399,IF(Q1399="","",IFERROR(VALUE(TRIM(SUBSTITUTE(SUBSTITUTE(LOWER(Q1399),"hrs",""),"hr",""))),""))))</f>
        <v>70.25</v>
      </c>
      <c r="S1399" s="57" t="n">
        <f aca="false">IFERROR(INDEX(RATES!$E$6:$E$28,MATCH(P1399,RATES!$A$6:$A$28,0)),0)</f>
        <v>55.8975</v>
      </c>
      <c r="T1399" s="61" t="n">
        <f aca="false">IF(ISNUMBER(R1399),R1399,0)*S1399</f>
        <v>3926.799375</v>
      </c>
      <c r="U1399" s="61" t="n">
        <f aca="false">T1399*INDEX(INPUTS!$H$10:$H$14,MATCH(B1399,INPUTS!$A$10:$A$14,0))</f>
        <v>592.946705625</v>
      </c>
      <c r="V1399" s="61" t="n">
        <f aca="false">N(STACK!K1399)</f>
        <v>0</v>
      </c>
      <c r="W1399" s="61" t="n">
        <f aca="false">T1399+U1399+V1399</f>
        <v>4519.746080625</v>
      </c>
      <c r="X1399" s="61" t="n">
        <f aca="false">N(STACK!L1399)</f>
        <v>0</v>
      </c>
      <c r="Y1399" s="61" t="n">
        <f aca="false">W1399-X1399</f>
        <v>4519.746080625</v>
      </c>
      <c r="Z1399" s="1" t="n">
        <f aca="false">N(STACK!J1399)</f>
        <v>0</v>
      </c>
      <c r="AA1399" s="1" t="str">
        <f aca="false">TRIM(IF(D1399="UNMAPPED","Program not mapped. ","")&amp;IF(OR(K1399="UNMAPPED",K1399="UNASSIGNED"),"Category needs review. ","")&amp;IF(P1399="UNMAPPED","Title not mapped. ","")&amp;IF(AND(P1399&lt;&gt;"No staff time",R1399=""),"Missing hours. ","")&amp;IF(M1399="","Date not readable. ","")&amp;IF(N1399="No","Outside fiscal year. ","")&amp;IF(AND(F1399="Event",ISNUMBER(R1399)),IF(R1399&gt;12,"Event hours look high. ",""),"")&amp;IF(G1399&gt;0,"See CONFIRM sheet.",""))</f>
        <v/>
      </c>
      <c r="AB1399" s="1" t="n">
        <f aca="false">IF(N1399="No",0,IF(REVIEW!O1399=0,0,IF(G1399&gt;0,IF(INDEX(CONFIRM!$J$5:$J$53,G1399)&lt;&gt;"",INDEX(CONFIRM!$J$5:$J$53,G1399),1),1)))</f>
        <v>1</v>
      </c>
      <c r="AC1399" s="1" t="n">
        <f aca="false">IF(AB1399=1,IF(COUNTIFS($B$5:B1399,B1399,$D$5:D1399,D1399,$AB$5:AB1399,1)=1,1,0),0)</f>
        <v>0</v>
      </c>
    </row>
    <row r="1400" customFormat="false" ht="15" hidden="false" customHeight="false" outlineLevel="0" collapsed="false">
      <c r="A1400" s="48" t="str">
        <f aca="false">STACK!A1400</f>
        <v>QHH-0019</v>
      </c>
      <c r="B1400" s="48" t="str">
        <f aca="false">STACK!B1400</f>
        <v>QHH</v>
      </c>
      <c r="C1400" s="48" t="str">
        <f aca="false">STACK!E1400</f>
        <v>Quit Tobacco Class</v>
      </c>
      <c r="D1400" s="1" t="str">
        <f aca="false">IFERROR(INDEX(MAP!$J$7:$J$101,MATCH(TRIM(C1400),MAP!$I$7:$I$101,0)),"UNMAPPED")</f>
        <v>Tobacco Cessation Classes</v>
      </c>
      <c r="E1400" s="1" t="str">
        <f aca="false">IFERROR(INDEX(MAP!$K$7:$K$101,MATCH(TRIM(C1400),MAP!$I$7:$I$101,0)),"")</f>
        <v>Chronic disease prevention</v>
      </c>
      <c r="F1400" s="1" t="str">
        <f aca="false">IFERROR(INDEX(MAP!$L$7:$L$101,MATCH(TRIM(C1400),MAP!$I$7:$I$101,0)),"")</f>
        <v>Event</v>
      </c>
      <c r="G1400" s="1" t="n">
        <f aca="false">IFERROR(MATCH(A1400,CONFIRM!$A$5:$A$53,0),0)</f>
        <v>0</v>
      </c>
      <c r="H1400" s="48" t="str">
        <f aca="false">STACK!F1400</f>
        <v>CHIS - Education</v>
      </c>
      <c r="I1400" s="1" t="str">
        <f aca="false">IF(G1400&gt;0,IF(INDEX(CONFIRM!$I$5:$I$53,G1400)&lt;&gt;"",INDEX(CONFIRM!$I$5:$I$53,G1400),H1400),H1400)</f>
        <v>CHIS - Education</v>
      </c>
      <c r="J1400" s="1" t="str">
        <f aca="false">IFERROR(INDEX(MAP!$F$7:$F$74,MATCH(TRIM(I1400),MAP!$E$7:$E$74,0)),"UNMAPPED")</f>
        <v>Community health education</v>
      </c>
      <c r="K1400" s="1" t="str">
        <f aca="false">IFERROR(INDEX(MAP!$G$7:$G$74,MATCH(TRIM(I1400),MAP!$E$7:$E$74,0)),"UNMAPPED")</f>
        <v>7e</v>
      </c>
      <c r="L1400" s="49" t="str">
        <f aca="false">STACK!G1400</f>
        <v>07-Aug-2025</v>
      </c>
      <c r="M1400" s="59" t="n">
        <f aca="false">IF(G1400&gt;0,IF(INDEX(CONFIRM!$G$5:$G$53,G1400)&lt;&gt;"",INDEX(CONFIRM!$G$5:$G$53,G1400),IF(ISNUMBER(L1400),L1400,IFERROR(DATEVALUE(L1400),""))),IF(ISNUMBER(L1400),L1400,IFERROR(DATEVALUE(L1400),"")))</f>
        <v>45876</v>
      </c>
      <c r="N1400" s="1" t="str">
        <f aca="false">IF(M1400="","Check",IF(AND(M1400&gt;=INPUTS!$C$6,M1400&lt;=INPUTS!$C$7),"Yes","No"))</f>
        <v>Yes</v>
      </c>
      <c r="O1400" s="48" t="str">
        <f aca="false">STACK!H1400</f>
        <v>Physical Therapist</v>
      </c>
      <c r="P1400" s="1" t="str">
        <f aca="false">IF(G1400&gt;0,IF(INDEX(CONFIRM!$H$5:$H$53,G1400)&lt;&gt;"",INDEX(CONFIRM!$H$5:$H$53,G1400),IFERROR(INDEX(MAP!$B$7:$B$156,MATCH(TRIM(O1400),MAP!$A$7:$A$156,0)),"UNMAPPED")),IFERROR(INDEX(MAP!$B$7:$B$156,MATCH(TRIM(O1400),MAP!$A$7:$A$156,0)),"UNMAPPED"))</f>
        <v>Licensed Therapist</v>
      </c>
      <c r="Q1400" s="48" t="n">
        <f aca="false">STACK!I1400</f>
        <v>2</v>
      </c>
      <c r="R1400" s="60" t="n">
        <f aca="false">IF(G1400&gt;0,IF(INDEX(CONFIRM!$F$5:$F$53,G1400)&lt;&gt;"",INDEX(CONFIRM!$F$5:$F$53,G1400),IF(ISNUMBER(Q1400),Q1400,IF(Q1400="","",IFERROR(VALUE(TRIM(SUBSTITUTE(SUBSTITUTE(LOWER(Q1400),"hrs",""),"hr",""))),"")))),IF(ISNUMBER(Q1400),Q1400,IF(Q1400="","",IFERROR(VALUE(TRIM(SUBSTITUTE(SUBSTITUTE(LOWER(Q1400),"hrs",""),"hr",""))),""))))</f>
        <v>2</v>
      </c>
      <c r="S1400" s="57" t="n">
        <f aca="false">IFERROR(INDEX(RATES!$E$6:$E$28,MATCH(P1400,RATES!$A$6:$A$28,0)),0)</f>
        <v>53.97</v>
      </c>
      <c r="T1400" s="61" t="n">
        <f aca="false">IF(ISNUMBER(R1400),R1400,0)*S1400</f>
        <v>107.94</v>
      </c>
      <c r="U1400" s="61" t="n">
        <f aca="false">T1400*INDEX(INPUTS!$H$10:$H$14,MATCH(B1400,INPUTS!$A$10:$A$14,0))</f>
        <v>16.29894</v>
      </c>
      <c r="V1400" s="61" t="n">
        <f aca="false">N(STACK!K1400)</f>
        <v>255</v>
      </c>
      <c r="W1400" s="61" t="n">
        <f aca="false">T1400+U1400+V1400</f>
        <v>379.23894</v>
      </c>
      <c r="X1400" s="61" t="n">
        <f aca="false">N(STACK!L1400)</f>
        <v>0</v>
      </c>
      <c r="Y1400" s="61" t="n">
        <f aca="false">W1400-X1400</f>
        <v>379.23894</v>
      </c>
      <c r="Z1400" s="1" t="n">
        <f aca="false">N(STACK!J1400)</f>
        <v>7</v>
      </c>
      <c r="AA1400" s="1" t="str">
        <f aca="false">TRIM(IF(D1400="UNMAPPED","Program not mapped. ","")&amp;IF(OR(K1400="UNMAPPED",K1400="UNASSIGNED"),"Category needs review. ","")&amp;IF(P1400="UNMAPPED","Title not mapped. ","")&amp;IF(AND(P1400&lt;&gt;"No staff time",R1400=""),"Missing hours. ","")&amp;IF(M1400="","Date not readable. ","")&amp;IF(N1400="No","Outside fiscal year. ","")&amp;IF(AND(F1400="Event",ISNUMBER(R1400)),IF(R1400&gt;12,"Event hours look high. ",""),"")&amp;IF(G1400&gt;0,"See CONFIRM sheet.",""))</f>
        <v/>
      </c>
      <c r="AB1400" s="1" t="n">
        <f aca="false">IF(N1400="No",0,IF(REVIEW!O1400=0,0,IF(G1400&gt;0,IF(INDEX(CONFIRM!$J$5:$J$53,G1400)&lt;&gt;"",INDEX(CONFIRM!$J$5:$J$53,G1400),1),1)))</f>
        <v>1</v>
      </c>
      <c r="AC1400" s="1" t="n">
        <f aca="false">IF(AB1400=1,IF(COUNTIFS($B$5:B1400,B1400,$D$5:D1400,D1400,$AB$5:AB1400,1)=1,1,0),0)</f>
        <v>0</v>
      </c>
    </row>
    <row r="1401" customFormat="false" ht="15" hidden="false" customHeight="false" outlineLevel="0" collapsed="false">
      <c r="A1401" s="48" t="str">
        <f aca="false">STACK!A1401</f>
        <v>QHH-0020</v>
      </c>
      <c r="B1401" s="48" t="str">
        <f aca="false">STACK!B1401</f>
        <v>QHH</v>
      </c>
      <c r="C1401" s="48" t="str">
        <f aca="false">STACK!E1401</f>
        <v>Fall Prevention Class</v>
      </c>
      <c r="D1401" s="1" t="str">
        <f aca="false">IFERROR(INDEX(MAP!$J$7:$J$101,MATCH(TRIM(C1401),MAP!$I$7:$I$101,0)),"UNMAPPED")</f>
        <v>Fall Prevention Classes for Older Adults</v>
      </c>
      <c r="E1401" s="1" t="str">
        <f aca="false">IFERROR(INDEX(MAP!$K$7:$K$101,MATCH(TRIM(C1401),MAP!$I$7:$I$101,0)),"")</f>
        <v>Chronic disease prevention</v>
      </c>
      <c r="F1401" s="1" t="str">
        <f aca="false">IFERROR(INDEX(MAP!$L$7:$L$101,MATCH(TRIM(C1401),MAP!$I$7:$I$101,0)),"")</f>
        <v>Event</v>
      </c>
      <c r="G1401" s="1" t="n">
        <f aca="false">IFERROR(MATCH(A1401,CONFIRM!$A$5:$A$53,0),0)</f>
        <v>0</v>
      </c>
      <c r="H1401" s="48" t="str">
        <f aca="false">STACK!F1401</f>
        <v>CHIS - Education</v>
      </c>
      <c r="I1401" s="1" t="str">
        <f aca="false">IF(G1401&gt;0,IF(INDEX(CONFIRM!$I$5:$I$53,G1401)&lt;&gt;"",INDEX(CONFIRM!$I$5:$I$53,G1401),H1401),H1401)</f>
        <v>CHIS - Education</v>
      </c>
      <c r="J1401" s="1" t="str">
        <f aca="false">IFERROR(INDEX(MAP!$F$7:$F$74,MATCH(TRIM(I1401),MAP!$E$7:$E$74,0)),"UNMAPPED")</f>
        <v>Community health education</v>
      </c>
      <c r="K1401" s="1" t="str">
        <f aca="false">IFERROR(INDEX(MAP!$G$7:$G$74,MATCH(TRIM(I1401),MAP!$E$7:$E$74,0)),"UNMAPPED")</f>
        <v>7e</v>
      </c>
      <c r="L1401" s="49" t="str">
        <f aca="false">STACK!G1401</f>
        <v>12-Aug-2025</v>
      </c>
      <c r="M1401" s="59" t="n">
        <f aca="false">IF(G1401&gt;0,IF(INDEX(CONFIRM!$G$5:$G$53,G1401)&lt;&gt;"",INDEX(CONFIRM!$G$5:$G$53,G1401),IF(ISNUMBER(L1401),L1401,IFERROR(DATEVALUE(L1401),""))),IF(ISNUMBER(L1401),L1401,IFERROR(DATEVALUE(L1401),"")))</f>
        <v>45881</v>
      </c>
      <c r="N1401" s="1" t="str">
        <f aca="false">IF(M1401="","Check",IF(AND(M1401&gt;=INPUTS!$C$6,M1401&lt;=INPUTS!$C$7),"Yes","No"))</f>
        <v>Yes</v>
      </c>
      <c r="O1401" s="48" t="str">
        <f aca="false">STACK!H1401</f>
        <v>Phys Therapist</v>
      </c>
      <c r="P1401" s="1" t="str">
        <f aca="false">IF(G1401&gt;0,IF(INDEX(CONFIRM!$H$5:$H$53,G1401)&lt;&gt;"",INDEX(CONFIRM!$H$5:$H$53,G1401),IFERROR(INDEX(MAP!$B$7:$B$156,MATCH(TRIM(O1401),MAP!$A$7:$A$156,0)),"UNMAPPED")),IFERROR(INDEX(MAP!$B$7:$B$156,MATCH(TRIM(O1401),MAP!$A$7:$A$156,0)),"UNMAPPED"))</f>
        <v>Licensed Therapist</v>
      </c>
      <c r="Q1401" s="48" t="n">
        <f aca="false">STACK!I1401</f>
        <v>2</v>
      </c>
      <c r="R1401" s="60" t="n">
        <f aca="false">IF(G1401&gt;0,IF(INDEX(CONFIRM!$F$5:$F$53,G1401)&lt;&gt;"",INDEX(CONFIRM!$F$5:$F$53,G1401),IF(ISNUMBER(Q1401),Q1401,IF(Q1401="","",IFERROR(VALUE(TRIM(SUBSTITUTE(SUBSTITUTE(LOWER(Q1401),"hrs",""),"hr",""))),"")))),IF(ISNUMBER(Q1401),Q1401,IF(Q1401="","",IFERROR(VALUE(TRIM(SUBSTITUTE(SUBSTITUTE(LOWER(Q1401),"hrs",""),"hr",""))),""))))</f>
        <v>2</v>
      </c>
      <c r="S1401" s="57" t="n">
        <f aca="false">IFERROR(INDEX(RATES!$E$6:$E$28,MATCH(P1401,RATES!$A$6:$A$28,0)),0)</f>
        <v>53.97</v>
      </c>
      <c r="T1401" s="61" t="n">
        <f aca="false">IF(ISNUMBER(R1401),R1401,0)*S1401</f>
        <v>107.94</v>
      </c>
      <c r="U1401" s="61" t="n">
        <f aca="false">T1401*INDEX(INPUTS!$H$10:$H$14,MATCH(B1401,INPUTS!$A$10:$A$14,0))</f>
        <v>16.29894</v>
      </c>
      <c r="V1401" s="61" t="n">
        <f aca="false">N(STACK!K1401)</f>
        <v>85</v>
      </c>
      <c r="W1401" s="61" t="n">
        <f aca="false">T1401+U1401+V1401</f>
        <v>209.23894</v>
      </c>
      <c r="X1401" s="61" t="n">
        <f aca="false">N(STACK!L1401)</f>
        <v>0</v>
      </c>
      <c r="Y1401" s="61" t="n">
        <f aca="false">W1401-X1401</f>
        <v>209.23894</v>
      </c>
      <c r="Z1401" s="1" t="n">
        <f aca="false">N(STACK!J1401)</f>
        <v>9</v>
      </c>
      <c r="AA1401" s="1" t="str">
        <f aca="false">TRIM(IF(D1401="UNMAPPED","Program not mapped. ","")&amp;IF(OR(K1401="UNMAPPED",K1401="UNASSIGNED"),"Category needs review. ","")&amp;IF(P1401="UNMAPPED","Title not mapped. ","")&amp;IF(AND(P1401&lt;&gt;"No staff time",R1401=""),"Missing hours. ","")&amp;IF(M1401="","Date not readable. ","")&amp;IF(N1401="No","Outside fiscal year. ","")&amp;IF(AND(F1401="Event",ISNUMBER(R1401)),IF(R1401&gt;12,"Event hours look high. ",""),"")&amp;IF(G1401&gt;0,"See CONFIRM sheet.",""))</f>
        <v/>
      </c>
      <c r="AB1401" s="1" t="n">
        <f aca="false">IF(N1401="No",0,IF(REVIEW!O1401=0,0,IF(G1401&gt;0,IF(INDEX(CONFIRM!$J$5:$J$53,G1401)&lt;&gt;"",INDEX(CONFIRM!$J$5:$J$53,G1401),1),1)))</f>
        <v>1</v>
      </c>
      <c r="AC1401" s="1" t="n">
        <f aca="false">IF(AB1401=1,IF(COUNTIFS($B$5:B1401,B1401,$D$5:D1401,D1401,$AB$5:AB1401,1)=1,1,0),0)</f>
        <v>0</v>
      </c>
    </row>
    <row r="1402" customFormat="false" ht="15" hidden="false" customHeight="false" outlineLevel="0" collapsed="false">
      <c r="A1402" s="48" t="str">
        <f aca="false">STACK!A1402</f>
        <v>QHH-0021</v>
      </c>
      <c r="B1402" s="48" t="str">
        <f aca="false">STACK!B1402</f>
        <v>QHH</v>
      </c>
      <c r="C1402" s="48" t="str">
        <f aca="false">STACK!E1402</f>
        <v>Emergency Prep Drill</v>
      </c>
      <c r="D1402" s="1" t="str">
        <f aca="false">IFERROR(INDEX(MAP!$J$7:$J$101,MATCH(TRIM(C1402),MAP!$I$7:$I$101,0)),"UNMAPPED")</f>
        <v>Community Emergency Preparedness Drills</v>
      </c>
      <c r="E1402" s="1" t="str">
        <f aca="false">IFERROR(INDEX(MAP!$K$7:$K$101,MATCH(TRIM(C1402),MAP!$I$7:$I$101,0)),"")</f>
        <v>Community benefit infrastructure</v>
      </c>
      <c r="F1402" s="1" t="str">
        <f aca="false">IFERROR(INDEX(MAP!$L$7:$L$101,MATCH(TRIM(C1402),MAP!$I$7:$I$101,0)),"")</f>
        <v>Event</v>
      </c>
      <c r="G1402" s="1" t="n">
        <f aca="false">IFERROR(MATCH(A1402,CONFIRM!$A$5:$A$53,0),0)</f>
        <v>0</v>
      </c>
      <c r="H1402" s="48" t="str">
        <f aca="false">STACK!F1402</f>
        <v>Community Support (CB)</v>
      </c>
      <c r="I1402" s="1" t="str">
        <f aca="false">IF(G1402&gt;0,IF(INDEX(CONFIRM!$I$5:$I$53,G1402)&lt;&gt;"",INDEX(CONFIRM!$I$5:$I$53,G1402),H1402),H1402)</f>
        <v>Community Support (CB)</v>
      </c>
      <c r="J1402" s="1" t="str">
        <f aca="false">IFERROR(INDEX(MAP!$F$7:$F$74,MATCH(TRIM(I1402),MAP!$E$7:$E$74,0)),"UNMAPPED")</f>
        <v>Community building: community support</v>
      </c>
      <c r="K1402" s="1" t="str">
        <f aca="false">IFERROR(INDEX(MAP!$G$7:$G$74,MATCH(TRIM(I1402),MAP!$E$7:$E$74,0)),"UNMAPPED")</f>
        <v>II-3</v>
      </c>
      <c r="L1402" s="49" t="str">
        <f aca="false">STACK!G1402</f>
        <v>18-Aug-2025</v>
      </c>
      <c r="M1402" s="59" t="n">
        <f aca="false">IF(G1402&gt;0,IF(INDEX(CONFIRM!$G$5:$G$53,G1402)&lt;&gt;"",INDEX(CONFIRM!$G$5:$G$53,G1402),IF(ISNUMBER(L1402),L1402,IFERROR(DATEVALUE(L1402),""))),IF(ISNUMBER(L1402),L1402,IFERROR(DATEVALUE(L1402),"")))</f>
        <v>45887</v>
      </c>
      <c r="N1402" s="1" t="str">
        <f aca="false">IF(M1402="","Check",IF(AND(M1402&gt;=INPUTS!$C$6,M1402&lt;=INPUTS!$C$7),"Yes","No"))</f>
        <v>Yes</v>
      </c>
      <c r="O1402" s="48" t="str">
        <f aca="false">STACK!H1402</f>
        <v>EMT</v>
      </c>
      <c r="P1402" s="1" t="str">
        <f aca="false">IF(G1402&gt;0,IF(INDEX(CONFIRM!$H$5:$H$53,G1402)&lt;&gt;"",INDEX(CONFIRM!$H$5:$H$53,G1402),IFERROR(INDEX(MAP!$B$7:$B$156,MATCH(TRIM(O1402),MAP!$A$7:$A$156,0)),"UNMAPPED")),IFERROR(INDEX(MAP!$B$7:$B$156,MATCH(TRIM(O1402),MAP!$A$7:$A$156,0)),"UNMAPPED"))</f>
        <v>Paramedic</v>
      </c>
      <c r="Q1402" s="48" t="n">
        <f aca="false">STACK!I1402</f>
        <v>6.25</v>
      </c>
      <c r="R1402" s="60" t="n">
        <f aca="false">IF(G1402&gt;0,IF(INDEX(CONFIRM!$F$5:$F$53,G1402)&lt;&gt;"",INDEX(CONFIRM!$F$5:$F$53,G1402),IF(ISNUMBER(Q1402),Q1402,IF(Q1402="","",IFERROR(VALUE(TRIM(SUBSTITUTE(SUBSTITUTE(LOWER(Q1402),"hrs",""),"hr",""))),"")))),IF(ISNUMBER(Q1402),Q1402,IF(Q1402="","",IFERROR(VALUE(TRIM(SUBSTITUTE(SUBSTITUTE(LOWER(Q1402),"hrs",""),"hr",""))),""))))</f>
        <v>6.25</v>
      </c>
      <c r="S1402" s="57" t="n">
        <f aca="false">IFERROR(INDEX(RATES!$E$6:$E$28,MATCH(P1402,RATES!$A$6:$A$28,0)),0)</f>
        <v>34.695</v>
      </c>
      <c r="T1402" s="61" t="n">
        <f aca="false">IF(ISNUMBER(R1402),R1402,0)*S1402</f>
        <v>216.84375</v>
      </c>
      <c r="U1402" s="61" t="n">
        <f aca="false">T1402*INDEX(INPUTS!$H$10:$H$14,MATCH(B1402,INPUTS!$A$10:$A$14,0))</f>
        <v>32.74340625</v>
      </c>
      <c r="V1402" s="61" t="n">
        <f aca="false">N(STACK!K1402)</f>
        <v>1205</v>
      </c>
      <c r="W1402" s="61" t="n">
        <f aca="false">T1402+U1402+V1402</f>
        <v>1454.58715625</v>
      </c>
      <c r="X1402" s="61" t="n">
        <f aca="false">N(STACK!L1402)</f>
        <v>0</v>
      </c>
      <c r="Y1402" s="61" t="n">
        <f aca="false">W1402-X1402</f>
        <v>1454.58715625</v>
      </c>
      <c r="Z1402" s="1" t="n">
        <f aca="false">N(STACK!J1402)</f>
        <v>66</v>
      </c>
      <c r="AA1402" s="1" t="str">
        <f aca="false">TRIM(IF(D1402="UNMAPPED","Program not mapped. ","")&amp;IF(OR(K1402="UNMAPPED",K1402="UNASSIGNED"),"Category needs review. ","")&amp;IF(P1402="UNMAPPED","Title not mapped. ","")&amp;IF(AND(P1402&lt;&gt;"No staff time",R1402=""),"Missing hours. ","")&amp;IF(M1402="","Date not readable. ","")&amp;IF(N1402="No","Outside fiscal year. ","")&amp;IF(AND(F1402="Event",ISNUMBER(R1402)),IF(R1402&gt;12,"Event hours look high. ",""),"")&amp;IF(G1402&gt;0,"See CONFIRM sheet.",""))</f>
        <v/>
      </c>
      <c r="AB1402" s="1" t="n">
        <f aca="false">IF(N1402="No",0,IF(REVIEW!O1402=0,0,IF(G1402&gt;0,IF(INDEX(CONFIRM!$J$5:$J$53,G1402)&lt;&gt;"",INDEX(CONFIRM!$J$5:$J$53,G1402),1),1)))</f>
        <v>1</v>
      </c>
      <c r="AC1402" s="1" t="n">
        <f aca="false">IF(AB1402=1,IF(COUNTIFS($B$5:B1402,B1402,$D$5:D1402,D1402,$AB$5:AB1402,1)=1,1,0),0)</f>
        <v>0</v>
      </c>
    </row>
    <row r="1403" customFormat="false" ht="15" hidden="false" customHeight="false" outlineLevel="0" collapsed="false">
      <c r="A1403" s="48" t="str">
        <f aca="false">STACK!A1403</f>
        <v>QHH-0022</v>
      </c>
      <c r="B1403" s="48" t="str">
        <f aca="false">STACK!B1403</f>
        <v>QHH</v>
      </c>
      <c r="C1403" s="48" t="str">
        <f aca="false">STACK!E1403</f>
        <v>Emergency Prep Drill</v>
      </c>
      <c r="D1403" s="1" t="str">
        <f aca="false">IFERROR(INDEX(MAP!$J$7:$J$101,MATCH(TRIM(C1403),MAP!$I$7:$I$101,0)),"UNMAPPED")</f>
        <v>Community Emergency Preparedness Drills</v>
      </c>
      <c r="E1403" s="1" t="str">
        <f aca="false">IFERROR(INDEX(MAP!$K$7:$K$101,MATCH(TRIM(C1403),MAP!$I$7:$I$101,0)),"")</f>
        <v>Community benefit infrastructure</v>
      </c>
      <c r="F1403" s="1" t="str">
        <f aca="false">IFERROR(INDEX(MAP!$L$7:$L$101,MATCH(TRIM(C1403),MAP!$I$7:$I$101,0)),"")</f>
        <v>Event</v>
      </c>
      <c r="G1403" s="1" t="n">
        <f aca="false">IFERROR(MATCH(A1403,CONFIRM!$A$5:$A$53,0),0)</f>
        <v>0</v>
      </c>
      <c r="H1403" s="48" t="str">
        <f aca="false">STACK!F1403</f>
        <v>Community Support (CB)</v>
      </c>
      <c r="I1403" s="1" t="str">
        <f aca="false">IF(G1403&gt;0,IF(INDEX(CONFIRM!$I$5:$I$53,G1403)&lt;&gt;"",INDEX(CONFIRM!$I$5:$I$53,G1403),H1403),H1403)</f>
        <v>Community Support (CB)</v>
      </c>
      <c r="J1403" s="1" t="str">
        <f aca="false">IFERROR(INDEX(MAP!$F$7:$F$74,MATCH(TRIM(I1403),MAP!$E$7:$E$74,0)),"UNMAPPED")</f>
        <v>Community building: community support</v>
      </c>
      <c r="K1403" s="1" t="str">
        <f aca="false">IFERROR(INDEX(MAP!$G$7:$G$74,MATCH(TRIM(I1403),MAP!$E$7:$E$74,0)),"UNMAPPED")</f>
        <v>II-3</v>
      </c>
      <c r="L1403" s="49" t="str">
        <f aca="false">STACK!G1403</f>
        <v>18-Aug-2025</v>
      </c>
      <c r="M1403" s="59" t="n">
        <f aca="false">IF(G1403&gt;0,IF(INDEX(CONFIRM!$G$5:$G$53,G1403)&lt;&gt;"",INDEX(CONFIRM!$G$5:$G$53,G1403),IF(ISNUMBER(L1403),L1403,IFERROR(DATEVALUE(L1403),""))),IF(ISNUMBER(L1403),L1403,IFERROR(DATEVALUE(L1403),"")))</f>
        <v>45887</v>
      </c>
      <c r="N1403" s="1" t="str">
        <f aca="false">IF(M1403="","Check",IF(AND(M1403&gt;=INPUTS!$C$6,M1403&lt;=INPUTS!$C$7),"Yes","No"))</f>
        <v>Yes</v>
      </c>
      <c r="O1403" s="48" t="str">
        <f aca="false">STACK!H1403</f>
        <v>event coordinator</v>
      </c>
      <c r="P1403" s="1" t="str">
        <f aca="false">IF(G1403&gt;0,IF(INDEX(CONFIRM!$H$5:$H$53,G1403)&lt;&gt;"",INDEX(CONFIRM!$H$5:$H$53,G1403),IFERROR(INDEX(MAP!$B$7:$B$156,MATCH(TRIM(O1403),MAP!$A$7:$A$156,0)),"UNMAPPED")),IFERROR(INDEX(MAP!$B$7:$B$156,MATCH(TRIM(O1403),MAP!$A$7:$A$156,0)),"UNMAPPED"))</f>
        <v>Program Coordinator</v>
      </c>
      <c r="Q1403" s="48" t="n">
        <f aca="false">STACK!I1403</f>
        <v>5.5</v>
      </c>
      <c r="R1403" s="60" t="n">
        <f aca="false">IF(G1403&gt;0,IF(INDEX(CONFIRM!$F$5:$F$53,G1403)&lt;&gt;"",INDEX(CONFIRM!$F$5:$F$53,G1403),IF(ISNUMBER(Q1403),Q1403,IF(Q1403="","",IFERROR(VALUE(TRIM(SUBSTITUTE(SUBSTITUTE(LOWER(Q1403),"hrs",""),"hr",""))),"")))),IF(ISNUMBER(Q1403),Q1403,IF(Q1403="","",IFERROR(VALUE(TRIM(SUBSTITUTE(SUBSTITUTE(LOWER(Q1403),"hrs",""),"hr",""))),""))))</f>
        <v>5.5</v>
      </c>
      <c r="S1403" s="57" t="n">
        <f aca="false">IFERROR(INDEX(RATES!$E$6:$E$28,MATCH(P1403,RATES!$A$6:$A$28,0)),0)</f>
        <v>35.3375</v>
      </c>
      <c r="T1403" s="61" t="n">
        <f aca="false">IF(ISNUMBER(R1403),R1403,0)*S1403</f>
        <v>194.35625</v>
      </c>
      <c r="U1403" s="61" t="n">
        <f aca="false">T1403*INDEX(INPUTS!$H$10:$H$14,MATCH(B1403,INPUTS!$A$10:$A$14,0))</f>
        <v>29.34779375</v>
      </c>
      <c r="V1403" s="61" t="n">
        <f aca="false">N(STACK!K1403)</f>
        <v>0</v>
      </c>
      <c r="W1403" s="61" t="n">
        <f aca="false">T1403+U1403+V1403</f>
        <v>223.70404375</v>
      </c>
      <c r="X1403" s="61" t="n">
        <f aca="false">N(STACK!L1403)</f>
        <v>0</v>
      </c>
      <c r="Y1403" s="61" t="n">
        <f aca="false">W1403-X1403</f>
        <v>223.70404375</v>
      </c>
      <c r="Z1403" s="1" t="n">
        <f aca="false">N(STACK!J1403)</f>
        <v>0</v>
      </c>
      <c r="AA1403" s="1" t="str">
        <f aca="false">TRIM(IF(D1403="UNMAPPED","Program not mapped. ","")&amp;IF(OR(K1403="UNMAPPED",K1403="UNASSIGNED"),"Category needs review. ","")&amp;IF(P1403="UNMAPPED","Title not mapped. ","")&amp;IF(AND(P1403&lt;&gt;"No staff time",R1403=""),"Missing hours. ","")&amp;IF(M1403="","Date not readable. ","")&amp;IF(N1403="No","Outside fiscal year. ","")&amp;IF(AND(F1403="Event",ISNUMBER(R1403)),IF(R1403&gt;12,"Event hours look high. ",""),"")&amp;IF(G1403&gt;0,"See CONFIRM sheet.",""))</f>
        <v/>
      </c>
      <c r="AB1403" s="1" t="n">
        <f aca="false">IF(N1403="No",0,IF(REVIEW!O1403=0,0,IF(G1403&gt;0,IF(INDEX(CONFIRM!$J$5:$J$53,G1403)&lt;&gt;"",INDEX(CONFIRM!$J$5:$J$53,G1403),1),1)))</f>
        <v>1</v>
      </c>
      <c r="AC1403" s="1" t="n">
        <f aca="false">IF(AB1403=1,IF(COUNTIFS($B$5:B1403,B1403,$D$5:D1403,D1403,$AB$5:AB1403,1)=1,1,0),0)</f>
        <v>0</v>
      </c>
    </row>
    <row r="1404" customFormat="false" ht="15" hidden="false" customHeight="false" outlineLevel="0" collapsed="false">
      <c r="A1404" s="48" t="str">
        <f aca="false">STACK!A1404</f>
        <v>QHH-0023</v>
      </c>
      <c r="B1404" s="48" t="str">
        <f aca="false">STACK!B1404</f>
        <v>QHH</v>
      </c>
      <c r="C1404" s="48" t="str">
        <f aca="false">STACK!E1404</f>
        <v>Emergency Prep Drill</v>
      </c>
      <c r="D1404" s="1" t="str">
        <f aca="false">IFERROR(INDEX(MAP!$J$7:$J$101,MATCH(TRIM(C1404),MAP!$I$7:$I$101,0)),"UNMAPPED")</f>
        <v>Community Emergency Preparedness Drills</v>
      </c>
      <c r="E1404" s="1" t="str">
        <f aca="false">IFERROR(INDEX(MAP!$K$7:$K$101,MATCH(TRIM(C1404),MAP!$I$7:$I$101,0)),"")</f>
        <v>Community benefit infrastructure</v>
      </c>
      <c r="F1404" s="1" t="str">
        <f aca="false">IFERROR(INDEX(MAP!$L$7:$L$101,MATCH(TRIM(C1404),MAP!$I$7:$I$101,0)),"")</f>
        <v>Event</v>
      </c>
      <c r="G1404" s="1" t="n">
        <f aca="false">IFERROR(MATCH(A1404,CONFIRM!$A$5:$A$53,0),0)</f>
        <v>0</v>
      </c>
      <c r="H1404" s="48" t="str">
        <f aca="false">STACK!F1404</f>
        <v>Community Support (CB)</v>
      </c>
      <c r="I1404" s="1" t="str">
        <f aca="false">IF(G1404&gt;0,IF(INDEX(CONFIRM!$I$5:$I$53,G1404)&lt;&gt;"",INDEX(CONFIRM!$I$5:$I$53,G1404),H1404),H1404)</f>
        <v>Community Support (CB)</v>
      </c>
      <c r="J1404" s="1" t="str">
        <f aca="false">IFERROR(INDEX(MAP!$F$7:$F$74,MATCH(TRIM(I1404),MAP!$E$7:$E$74,0)),"UNMAPPED")</f>
        <v>Community building: community support</v>
      </c>
      <c r="K1404" s="1" t="str">
        <f aca="false">IFERROR(INDEX(MAP!$G$7:$G$74,MATCH(TRIM(I1404),MAP!$E$7:$E$74,0)),"UNMAPPED")</f>
        <v>II-3</v>
      </c>
      <c r="L1404" s="49" t="str">
        <f aca="false">STACK!G1404</f>
        <v>18-Aug-2025</v>
      </c>
      <c r="M1404" s="59" t="n">
        <f aca="false">IF(G1404&gt;0,IF(INDEX(CONFIRM!$G$5:$G$53,G1404)&lt;&gt;"",INDEX(CONFIRM!$G$5:$G$53,G1404),IF(ISNUMBER(L1404),L1404,IFERROR(DATEVALUE(L1404),""))),IF(ISNUMBER(L1404),L1404,IFERROR(DATEVALUE(L1404),"")))</f>
        <v>45887</v>
      </c>
      <c r="N1404" s="1" t="str">
        <f aca="false">IF(M1404="","Check",IF(AND(M1404&gt;=INPUTS!$C$6,M1404&lt;=INPUTS!$C$7),"Yes","No"))</f>
        <v>Yes</v>
      </c>
      <c r="O1404" s="48" t="str">
        <f aca="false">STACK!H1404</f>
        <v>RN - Outreach</v>
      </c>
      <c r="P1404" s="1" t="str">
        <f aca="false">IF(G1404&gt;0,IF(INDEX(CONFIRM!$H$5:$H$53,G1404)&lt;&gt;"",INDEX(CONFIRM!$H$5:$H$53,G1404),IFERROR(INDEX(MAP!$B$7:$B$156,MATCH(TRIM(O1404),MAP!$A$7:$A$156,0)),"UNMAPPED")),IFERROR(INDEX(MAP!$B$7:$B$156,MATCH(TRIM(O1404),MAP!$A$7:$A$156,0)),"UNMAPPED"))</f>
        <v>Registered Nurse</v>
      </c>
      <c r="Q1404" s="48" t="n">
        <f aca="false">STACK!I1404</f>
        <v>7.75</v>
      </c>
      <c r="R1404" s="60" t="n">
        <f aca="false">IF(G1404&gt;0,IF(INDEX(CONFIRM!$F$5:$F$53,G1404)&lt;&gt;"",INDEX(CONFIRM!$F$5:$F$53,G1404),IF(ISNUMBER(Q1404),Q1404,IF(Q1404="","",IFERROR(VALUE(TRIM(SUBSTITUTE(SUBSTITUTE(LOWER(Q1404),"hrs",""),"hr",""))),"")))),IF(ISNUMBER(Q1404),Q1404,IF(Q1404="","",IFERROR(VALUE(TRIM(SUBSTITUTE(SUBSTITUTE(LOWER(Q1404),"hrs",""),"hr",""))),""))))</f>
        <v>7.75</v>
      </c>
      <c r="S1404" s="57" t="n">
        <f aca="false">IFERROR(INDEX(RATES!$E$6:$E$28,MATCH(P1404,RATES!$A$6:$A$28,0)),0)</f>
        <v>55.8975</v>
      </c>
      <c r="T1404" s="61" t="n">
        <f aca="false">IF(ISNUMBER(R1404),R1404,0)*S1404</f>
        <v>433.205625</v>
      </c>
      <c r="U1404" s="61" t="n">
        <f aca="false">T1404*INDEX(INPUTS!$H$10:$H$14,MATCH(B1404,INPUTS!$A$10:$A$14,0))</f>
        <v>65.414049375</v>
      </c>
      <c r="V1404" s="61" t="n">
        <f aca="false">N(STACK!K1404)</f>
        <v>0</v>
      </c>
      <c r="W1404" s="61" t="n">
        <f aca="false">T1404+U1404+V1404</f>
        <v>498.619674375</v>
      </c>
      <c r="X1404" s="61" t="n">
        <f aca="false">N(STACK!L1404)</f>
        <v>0</v>
      </c>
      <c r="Y1404" s="61" t="n">
        <f aca="false">W1404-X1404</f>
        <v>498.619674375</v>
      </c>
      <c r="Z1404" s="1" t="n">
        <f aca="false">N(STACK!J1404)</f>
        <v>0</v>
      </c>
      <c r="AA1404" s="1" t="str">
        <f aca="false">TRIM(IF(D1404="UNMAPPED","Program not mapped. ","")&amp;IF(OR(K1404="UNMAPPED",K1404="UNASSIGNED"),"Category needs review. ","")&amp;IF(P1404="UNMAPPED","Title not mapped. ","")&amp;IF(AND(P1404&lt;&gt;"No staff time",R1404=""),"Missing hours. ","")&amp;IF(M1404="","Date not readable. ","")&amp;IF(N1404="No","Outside fiscal year. ","")&amp;IF(AND(F1404="Event",ISNUMBER(R1404)),IF(R1404&gt;12,"Event hours look high. ",""),"")&amp;IF(G1404&gt;0,"See CONFIRM sheet.",""))</f>
        <v/>
      </c>
      <c r="AB1404" s="1" t="n">
        <f aca="false">IF(N1404="No",0,IF(REVIEW!O1404=0,0,IF(G1404&gt;0,IF(INDEX(CONFIRM!$J$5:$J$53,G1404)&lt;&gt;"",INDEX(CONFIRM!$J$5:$J$53,G1404),1),1)))</f>
        <v>1</v>
      </c>
      <c r="AC1404" s="1" t="n">
        <f aca="false">IF(AB1404=1,IF(COUNTIFS($B$5:B1404,B1404,$D$5:D1404,D1404,$AB$5:AB1404,1)=1,1,0),0)</f>
        <v>0</v>
      </c>
    </row>
    <row r="1405" customFormat="false" ht="15" hidden="false" customHeight="false" outlineLevel="0" collapsed="false">
      <c r="A1405" s="48" t="str">
        <f aca="false">STACK!A1405</f>
        <v>QHH-0024</v>
      </c>
      <c r="B1405" s="48" t="str">
        <f aca="false">STACK!B1405</f>
        <v>QHH</v>
      </c>
      <c r="C1405" s="48" t="str">
        <f aca="false">STACK!E1405</f>
        <v>Diabetes Prevention Program</v>
      </c>
      <c r="D1405" s="1" t="str">
        <f aca="false">IFERROR(INDEX(MAP!$J$7:$J$101,MATCH(TRIM(C1405),MAP!$I$7:$I$101,0)),"UNMAPPED")</f>
        <v>Diabetes Prevention Classes</v>
      </c>
      <c r="E1405" s="1" t="str">
        <f aca="false">IFERROR(INDEX(MAP!$K$7:$K$101,MATCH(TRIM(C1405),MAP!$I$7:$I$101,0)),"")</f>
        <v>Chronic disease prevention</v>
      </c>
      <c r="F1405" s="1" t="str">
        <f aca="false">IFERROR(INDEX(MAP!$L$7:$L$101,MATCH(TRIM(C1405),MAP!$I$7:$I$101,0)),"")</f>
        <v>Event</v>
      </c>
      <c r="G1405" s="1" t="n">
        <f aca="false">IFERROR(MATCH(A1405,CONFIRM!$A$5:$A$53,0),0)</f>
        <v>0</v>
      </c>
      <c r="H1405" s="48" t="str">
        <f aca="false">STACK!F1405</f>
        <v>CHIS - Education</v>
      </c>
      <c r="I1405" s="1" t="str">
        <f aca="false">IF(G1405&gt;0,IF(INDEX(CONFIRM!$I$5:$I$53,G1405)&lt;&gt;"",INDEX(CONFIRM!$I$5:$I$53,G1405),H1405),H1405)</f>
        <v>CHIS - Education</v>
      </c>
      <c r="J1405" s="1" t="str">
        <f aca="false">IFERROR(INDEX(MAP!$F$7:$F$74,MATCH(TRIM(I1405),MAP!$E$7:$E$74,0)),"UNMAPPED")</f>
        <v>Community health education</v>
      </c>
      <c r="K1405" s="1" t="str">
        <f aca="false">IFERROR(INDEX(MAP!$G$7:$G$74,MATCH(TRIM(I1405),MAP!$E$7:$E$74,0)),"UNMAPPED")</f>
        <v>7e</v>
      </c>
      <c r="L1405" s="49" t="str">
        <f aca="false">STACK!G1405</f>
        <v>20-Aug-2025</v>
      </c>
      <c r="M1405" s="59" t="n">
        <f aca="false">IF(G1405&gt;0,IF(INDEX(CONFIRM!$G$5:$G$53,G1405)&lt;&gt;"",INDEX(CONFIRM!$G$5:$G$53,G1405),IF(ISNUMBER(L1405),L1405,IFERROR(DATEVALUE(L1405),""))),IF(ISNUMBER(L1405),L1405,IFERROR(DATEVALUE(L1405),"")))</f>
        <v>45889</v>
      </c>
      <c r="N1405" s="1" t="str">
        <f aca="false">IF(M1405="","Check",IF(AND(M1405&gt;=INPUTS!$C$6,M1405&lt;=INPUTS!$C$7),"Yes","No"))</f>
        <v>Yes</v>
      </c>
      <c r="O1405" s="48" t="str">
        <f aca="false">STACK!H1405</f>
        <v>CHES</v>
      </c>
      <c r="P1405" s="1" t="str">
        <f aca="false">IF(G1405&gt;0,IF(INDEX(CONFIRM!$H$5:$H$53,G1405)&lt;&gt;"",INDEX(CONFIRM!$H$5:$H$53,G1405),IFERROR(INDEX(MAP!$B$7:$B$156,MATCH(TRIM(O1405),MAP!$A$7:$A$156,0)),"UNMAPPED")),IFERROR(INDEX(MAP!$B$7:$B$156,MATCH(TRIM(O1405),MAP!$A$7:$A$156,0)),"UNMAPPED"))</f>
        <v>Health Educator</v>
      </c>
      <c r="Q1405" s="48" t="n">
        <f aca="false">STACK!I1405</f>
        <v>2.25</v>
      </c>
      <c r="R1405" s="60" t="n">
        <f aca="false">IF(G1405&gt;0,IF(INDEX(CONFIRM!$F$5:$F$53,G1405)&lt;&gt;"",INDEX(CONFIRM!$F$5:$F$53,G1405),IF(ISNUMBER(Q1405),Q1405,IF(Q1405="","",IFERROR(VALUE(TRIM(SUBSTITUTE(SUBSTITUTE(LOWER(Q1405),"hrs",""),"hr",""))),"")))),IF(ISNUMBER(Q1405),Q1405,IF(Q1405="","",IFERROR(VALUE(TRIM(SUBSTITUTE(SUBSTITUTE(LOWER(Q1405),"hrs",""),"hr",""))),""))))</f>
        <v>2.25</v>
      </c>
      <c r="S1405" s="57" t="n">
        <f aca="false">IFERROR(INDEX(RATES!$E$6:$E$28,MATCH(P1405,RATES!$A$6:$A$28,0)),0)</f>
        <v>37.265</v>
      </c>
      <c r="T1405" s="61" t="n">
        <f aca="false">IF(ISNUMBER(R1405),R1405,0)*S1405</f>
        <v>83.84625</v>
      </c>
      <c r="U1405" s="61" t="n">
        <f aca="false">T1405*INDEX(INPUTS!$H$10:$H$14,MATCH(B1405,INPUTS!$A$10:$A$14,0))</f>
        <v>12.66078375</v>
      </c>
      <c r="V1405" s="61" t="n">
        <f aca="false">N(STACK!K1405)</f>
        <v>75</v>
      </c>
      <c r="W1405" s="61" t="n">
        <f aca="false">T1405+U1405+V1405</f>
        <v>171.50703375</v>
      </c>
      <c r="X1405" s="61" t="n">
        <f aca="false">N(STACK!L1405)</f>
        <v>0</v>
      </c>
      <c r="Y1405" s="61" t="n">
        <f aca="false">W1405-X1405</f>
        <v>171.50703375</v>
      </c>
      <c r="Z1405" s="1" t="n">
        <f aca="false">N(STACK!J1405)</f>
        <v>10</v>
      </c>
      <c r="AA1405" s="1" t="str">
        <f aca="false">TRIM(IF(D1405="UNMAPPED","Program not mapped. ","")&amp;IF(OR(K1405="UNMAPPED",K1405="UNASSIGNED"),"Category needs review. ","")&amp;IF(P1405="UNMAPPED","Title not mapped. ","")&amp;IF(AND(P1405&lt;&gt;"No staff time",R1405=""),"Missing hours. ","")&amp;IF(M1405="","Date not readable. ","")&amp;IF(N1405="No","Outside fiscal year. ","")&amp;IF(AND(F1405="Event",ISNUMBER(R1405)),IF(R1405&gt;12,"Event hours look high. ",""),"")&amp;IF(G1405&gt;0,"See CONFIRM sheet.",""))</f>
        <v/>
      </c>
      <c r="AB1405" s="1" t="n">
        <f aca="false">IF(N1405="No",0,IF(REVIEW!O1405=0,0,IF(G1405&gt;0,IF(INDEX(CONFIRM!$J$5:$J$53,G1405)&lt;&gt;"",INDEX(CONFIRM!$J$5:$J$53,G1405),1),1)))</f>
        <v>1</v>
      </c>
      <c r="AC1405" s="1" t="n">
        <f aca="false">IF(AB1405=1,IF(COUNTIFS($B$5:B1405,B1405,$D$5:D1405,D1405,$AB$5:AB1405,1)=1,1,0),0)</f>
        <v>1</v>
      </c>
    </row>
    <row r="1406" customFormat="false" ht="15" hidden="false" customHeight="false" outlineLevel="0" collapsed="false">
      <c r="A1406" s="48" t="str">
        <f aca="false">STACK!A1406</f>
        <v>QHH-0025</v>
      </c>
      <c r="B1406" s="48" t="str">
        <f aca="false">STACK!B1406</f>
        <v>QHH</v>
      </c>
      <c r="C1406" s="48" t="str">
        <f aca="false">STACK!E1406</f>
        <v>Diabetes Prevention Program</v>
      </c>
      <c r="D1406" s="1" t="str">
        <f aca="false">IFERROR(INDEX(MAP!$J$7:$J$101,MATCH(TRIM(C1406),MAP!$I$7:$I$101,0)),"UNMAPPED")</f>
        <v>Diabetes Prevention Classes</v>
      </c>
      <c r="E1406" s="1" t="str">
        <f aca="false">IFERROR(INDEX(MAP!$K$7:$K$101,MATCH(TRIM(C1406),MAP!$I$7:$I$101,0)),"")</f>
        <v>Chronic disease prevention</v>
      </c>
      <c r="F1406" s="1" t="str">
        <f aca="false">IFERROR(INDEX(MAP!$L$7:$L$101,MATCH(TRIM(C1406),MAP!$I$7:$I$101,0)),"")</f>
        <v>Event</v>
      </c>
      <c r="G1406" s="1" t="n">
        <f aca="false">IFERROR(MATCH(A1406,CONFIRM!$A$5:$A$53,0),0)</f>
        <v>0</v>
      </c>
      <c r="H1406" s="48" t="str">
        <f aca="false">STACK!F1406</f>
        <v>CHIS - Education</v>
      </c>
      <c r="I1406" s="1" t="str">
        <f aca="false">IF(G1406&gt;0,IF(INDEX(CONFIRM!$I$5:$I$53,G1406)&lt;&gt;"",INDEX(CONFIRM!$I$5:$I$53,G1406),H1406),H1406)</f>
        <v>CHIS - Education</v>
      </c>
      <c r="J1406" s="1" t="str">
        <f aca="false">IFERROR(INDEX(MAP!$F$7:$F$74,MATCH(TRIM(I1406),MAP!$E$7:$E$74,0)),"UNMAPPED")</f>
        <v>Community health education</v>
      </c>
      <c r="K1406" s="1" t="str">
        <f aca="false">IFERROR(INDEX(MAP!$G$7:$G$74,MATCH(TRIM(I1406),MAP!$E$7:$E$74,0)),"UNMAPPED")</f>
        <v>7e</v>
      </c>
      <c r="L1406" s="49" t="str">
        <f aca="false">STACK!G1406</f>
        <v>20-Aug-2025</v>
      </c>
      <c r="M1406" s="59" t="n">
        <f aca="false">IF(G1406&gt;0,IF(INDEX(CONFIRM!$G$5:$G$53,G1406)&lt;&gt;"",INDEX(CONFIRM!$G$5:$G$53,G1406),IF(ISNUMBER(L1406),L1406,IFERROR(DATEVALUE(L1406),""))),IF(ISNUMBER(L1406),L1406,IFERROR(DATEVALUE(L1406),"")))</f>
        <v>45889</v>
      </c>
      <c r="N1406" s="1" t="str">
        <f aca="false">IF(M1406="","Check",IF(AND(M1406&gt;=INPUTS!$C$6,M1406&lt;=INPUTS!$C$7),"Yes","No"))</f>
        <v>Yes</v>
      </c>
      <c r="O1406" s="48" t="str">
        <f aca="false">STACK!H1406</f>
        <v>RDN</v>
      </c>
      <c r="P1406" s="1" t="str">
        <f aca="false">IF(G1406&gt;0,IF(INDEX(CONFIRM!$H$5:$H$53,G1406)&lt;&gt;"",INDEX(CONFIRM!$H$5:$H$53,G1406),IFERROR(INDEX(MAP!$B$7:$B$156,MATCH(TRIM(O1406),MAP!$A$7:$A$156,0)),"UNMAPPED")),IFERROR(INDEX(MAP!$B$7:$B$156,MATCH(TRIM(O1406),MAP!$A$7:$A$156,0)),"UNMAPPED"))</f>
        <v>Registered Dietitian</v>
      </c>
      <c r="Q1406" s="48" t="n">
        <f aca="false">STACK!I1406</f>
        <v>1.75</v>
      </c>
      <c r="R1406" s="60" t="n">
        <f aca="false">IF(G1406&gt;0,IF(INDEX(CONFIRM!$F$5:$F$53,G1406)&lt;&gt;"",INDEX(CONFIRM!$F$5:$F$53,G1406),IF(ISNUMBER(Q1406),Q1406,IF(Q1406="","",IFERROR(VALUE(TRIM(SUBSTITUTE(SUBSTITUTE(LOWER(Q1406),"hrs",""),"hr",""))),"")))),IF(ISNUMBER(Q1406),Q1406,IF(Q1406="","",IFERROR(VALUE(TRIM(SUBSTITUTE(SUBSTITUTE(LOWER(Q1406),"hrs",""),"hr",""))),""))))</f>
        <v>1.75</v>
      </c>
      <c r="S1406" s="57" t="n">
        <f aca="false">IFERROR(INDEX(RATES!$E$6:$E$28,MATCH(P1406,RATES!$A$6:$A$28,0)),0)</f>
        <v>46.9025</v>
      </c>
      <c r="T1406" s="61" t="n">
        <f aca="false">IF(ISNUMBER(R1406),R1406,0)*S1406</f>
        <v>82.079375</v>
      </c>
      <c r="U1406" s="61" t="n">
        <f aca="false">T1406*INDEX(INPUTS!$H$10:$H$14,MATCH(B1406,INPUTS!$A$10:$A$14,0))</f>
        <v>12.393985625</v>
      </c>
      <c r="V1406" s="61" t="n">
        <f aca="false">N(STACK!K1406)</f>
        <v>0</v>
      </c>
      <c r="W1406" s="61" t="n">
        <f aca="false">T1406+U1406+V1406</f>
        <v>94.473360625</v>
      </c>
      <c r="X1406" s="61" t="n">
        <f aca="false">N(STACK!L1406)</f>
        <v>0</v>
      </c>
      <c r="Y1406" s="61" t="n">
        <f aca="false">W1406-X1406</f>
        <v>94.473360625</v>
      </c>
      <c r="Z1406" s="1" t="n">
        <f aca="false">N(STACK!J1406)</f>
        <v>0</v>
      </c>
      <c r="AA1406" s="1" t="str">
        <f aca="false">TRIM(IF(D1406="UNMAPPED","Program not mapped. ","")&amp;IF(OR(K1406="UNMAPPED",K1406="UNASSIGNED"),"Category needs review. ","")&amp;IF(P1406="UNMAPPED","Title not mapped. ","")&amp;IF(AND(P1406&lt;&gt;"No staff time",R1406=""),"Missing hours. ","")&amp;IF(M1406="","Date not readable. ","")&amp;IF(N1406="No","Outside fiscal year. ","")&amp;IF(AND(F1406="Event",ISNUMBER(R1406)),IF(R1406&gt;12,"Event hours look high. ",""),"")&amp;IF(G1406&gt;0,"See CONFIRM sheet.",""))</f>
        <v/>
      </c>
      <c r="AB1406" s="1" t="n">
        <f aca="false">IF(N1406="No",0,IF(REVIEW!O1406=0,0,IF(G1406&gt;0,IF(INDEX(CONFIRM!$J$5:$J$53,G1406)&lt;&gt;"",INDEX(CONFIRM!$J$5:$J$53,G1406),1),1)))</f>
        <v>1</v>
      </c>
      <c r="AC1406" s="1" t="n">
        <f aca="false">IF(AB1406=1,IF(COUNTIFS($B$5:B1406,B1406,$D$5:D1406,D1406,$AB$5:AB1406,1)=1,1,0),0)</f>
        <v>0</v>
      </c>
    </row>
    <row r="1407" customFormat="false" ht="15" hidden="false" customHeight="false" outlineLevel="0" collapsed="false">
      <c r="A1407" s="48" t="str">
        <f aca="false">STACK!A1407</f>
        <v>QHH-0026</v>
      </c>
      <c r="B1407" s="48" t="str">
        <f aca="false">STACK!B1407</f>
        <v>QHH</v>
      </c>
      <c r="C1407" s="48" t="str">
        <f aca="false">STACK!E1407</f>
        <v>Car Seat Safety</v>
      </c>
      <c r="D1407" s="1" t="str">
        <f aca="false">IFERROR(INDEX(MAP!$J$7:$J$101,MATCH(TRIM(C1407),MAP!$I$7:$I$101,0)),"UNMAPPED")</f>
        <v>Car Seat Safety Checks</v>
      </c>
      <c r="E1407" s="1" t="str">
        <f aca="false">IFERROR(INDEX(MAP!$K$7:$K$101,MATCH(TRIM(C1407),MAP!$I$7:$I$101,0)),"")</f>
        <v>Maternal and child health</v>
      </c>
      <c r="F1407" s="1" t="str">
        <f aca="false">IFERROR(INDEX(MAP!$L$7:$L$101,MATCH(TRIM(C1407),MAP!$I$7:$I$101,0)),"")</f>
        <v>Event</v>
      </c>
      <c r="G1407" s="1" t="n">
        <f aca="false">IFERROR(MATCH(A1407,CONFIRM!$A$5:$A$53,0),0)</f>
        <v>0</v>
      </c>
      <c r="H1407" s="48" t="str">
        <f aca="false">STACK!F1407</f>
        <v>CHIS - Education</v>
      </c>
      <c r="I1407" s="1" t="str">
        <f aca="false">IF(G1407&gt;0,IF(INDEX(CONFIRM!$I$5:$I$53,G1407)&lt;&gt;"",INDEX(CONFIRM!$I$5:$I$53,G1407),H1407),H1407)</f>
        <v>CHIS - Education</v>
      </c>
      <c r="J1407" s="1" t="str">
        <f aca="false">IFERROR(INDEX(MAP!$F$7:$F$74,MATCH(TRIM(I1407),MAP!$E$7:$E$74,0)),"UNMAPPED")</f>
        <v>Community health education</v>
      </c>
      <c r="K1407" s="1" t="str">
        <f aca="false">IFERROR(INDEX(MAP!$G$7:$G$74,MATCH(TRIM(I1407),MAP!$E$7:$E$74,0)),"UNMAPPED")</f>
        <v>7e</v>
      </c>
      <c r="L1407" s="49" t="str">
        <f aca="false">STACK!G1407</f>
        <v>20-Aug-2025</v>
      </c>
      <c r="M1407" s="59" t="n">
        <f aca="false">IF(G1407&gt;0,IF(INDEX(CONFIRM!$G$5:$G$53,G1407)&lt;&gt;"",INDEX(CONFIRM!$G$5:$G$53,G1407),IF(ISNUMBER(L1407),L1407,IFERROR(DATEVALUE(L1407),""))),IF(ISNUMBER(L1407),L1407,IFERROR(DATEVALUE(L1407),"")))</f>
        <v>45889</v>
      </c>
      <c r="N1407" s="1" t="str">
        <f aca="false">IF(M1407="","Check",IF(AND(M1407&gt;=INPUTS!$C$6,M1407&lt;=INPUTS!$C$7),"Yes","No"))</f>
        <v>Yes</v>
      </c>
      <c r="O1407" s="48" t="str">
        <f aca="false">STACK!H1407</f>
        <v>EMS Paramedic</v>
      </c>
      <c r="P1407" s="1" t="str">
        <f aca="false">IF(G1407&gt;0,IF(INDEX(CONFIRM!$H$5:$H$53,G1407)&lt;&gt;"",INDEX(CONFIRM!$H$5:$H$53,G1407),IFERROR(INDEX(MAP!$B$7:$B$156,MATCH(TRIM(O1407),MAP!$A$7:$A$156,0)),"UNMAPPED")),IFERROR(INDEX(MAP!$B$7:$B$156,MATCH(TRIM(O1407),MAP!$A$7:$A$156,0)),"UNMAPPED"))</f>
        <v>Paramedic</v>
      </c>
      <c r="Q1407" s="48" t="n">
        <f aca="false">STACK!I1407</f>
        <v>3.5</v>
      </c>
      <c r="R1407" s="60" t="n">
        <f aca="false">IF(G1407&gt;0,IF(INDEX(CONFIRM!$F$5:$F$53,G1407)&lt;&gt;"",INDEX(CONFIRM!$F$5:$F$53,G1407),IF(ISNUMBER(Q1407),Q1407,IF(Q1407="","",IFERROR(VALUE(TRIM(SUBSTITUTE(SUBSTITUTE(LOWER(Q1407),"hrs",""),"hr",""))),"")))),IF(ISNUMBER(Q1407),Q1407,IF(Q1407="","",IFERROR(VALUE(TRIM(SUBSTITUTE(SUBSTITUTE(LOWER(Q1407),"hrs",""),"hr",""))),""))))</f>
        <v>3.5</v>
      </c>
      <c r="S1407" s="57" t="n">
        <f aca="false">IFERROR(INDEX(RATES!$E$6:$E$28,MATCH(P1407,RATES!$A$6:$A$28,0)),0)</f>
        <v>34.695</v>
      </c>
      <c r="T1407" s="61" t="n">
        <f aca="false">IF(ISNUMBER(R1407),R1407,0)*S1407</f>
        <v>121.4325</v>
      </c>
      <c r="U1407" s="61" t="n">
        <f aca="false">T1407*INDEX(INPUTS!$H$10:$H$14,MATCH(B1407,INPUTS!$A$10:$A$14,0))</f>
        <v>18.3363075</v>
      </c>
      <c r="V1407" s="61" t="n">
        <f aca="false">N(STACK!K1407)</f>
        <v>700</v>
      </c>
      <c r="W1407" s="61" t="n">
        <f aca="false">T1407+U1407+V1407</f>
        <v>839.7688075</v>
      </c>
      <c r="X1407" s="61" t="n">
        <f aca="false">N(STACK!L1407)</f>
        <v>470</v>
      </c>
      <c r="Y1407" s="61" t="n">
        <f aca="false">W1407-X1407</f>
        <v>369.7688075</v>
      </c>
      <c r="Z1407" s="1" t="n">
        <f aca="false">N(STACK!J1407)</f>
        <v>31</v>
      </c>
      <c r="AA1407" s="1" t="str">
        <f aca="false">TRIM(IF(D1407="UNMAPPED","Program not mapped. ","")&amp;IF(OR(K1407="UNMAPPED",K1407="UNASSIGNED"),"Category needs review. ","")&amp;IF(P1407="UNMAPPED","Title not mapped. ","")&amp;IF(AND(P1407&lt;&gt;"No staff time",R1407=""),"Missing hours. ","")&amp;IF(M1407="","Date not readable. ","")&amp;IF(N1407="No","Outside fiscal year. ","")&amp;IF(AND(F1407="Event",ISNUMBER(R1407)),IF(R1407&gt;12,"Event hours look high. ",""),"")&amp;IF(G1407&gt;0,"See CONFIRM sheet.",""))</f>
        <v/>
      </c>
      <c r="AB1407" s="1" t="n">
        <f aca="false">IF(N1407="No",0,IF(REVIEW!O1407=0,0,IF(G1407&gt;0,IF(INDEX(CONFIRM!$J$5:$J$53,G1407)&lt;&gt;"",INDEX(CONFIRM!$J$5:$J$53,G1407),1),1)))</f>
        <v>1</v>
      </c>
      <c r="AC1407" s="1" t="n">
        <f aca="false">IF(AB1407=1,IF(COUNTIFS($B$5:B1407,B1407,$D$5:D1407,D1407,$AB$5:AB1407,1)=1,1,0),0)</f>
        <v>1</v>
      </c>
    </row>
    <row r="1408" customFormat="false" ht="15" hidden="false" customHeight="false" outlineLevel="0" collapsed="false">
      <c r="A1408" s="48" t="str">
        <f aca="false">STACK!A1408</f>
        <v>QHH-0027</v>
      </c>
      <c r="B1408" s="48" t="str">
        <f aca="false">STACK!B1408</f>
        <v>QHH</v>
      </c>
      <c r="C1408" s="48" t="str">
        <f aca="false">STACK!E1408</f>
        <v>Car Seat Safety</v>
      </c>
      <c r="D1408" s="1" t="str">
        <f aca="false">IFERROR(INDEX(MAP!$J$7:$J$101,MATCH(TRIM(C1408),MAP!$I$7:$I$101,0)),"UNMAPPED")</f>
        <v>Car Seat Safety Checks</v>
      </c>
      <c r="E1408" s="1" t="str">
        <f aca="false">IFERROR(INDEX(MAP!$K$7:$K$101,MATCH(TRIM(C1408),MAP!$I$7:$I$101,0)),"")</f>
        <v>Maternal and child health</v>
      </c>
      <c r="F1408" s="1" t="str">
        <f aca="false">IFERROR(INDEX(MAP!$L$7:$L$101,MATCH(TRIM(C1408),MAP!$I$7:$I$101,0)),"")</f>
        <v>Event</v>
      </c>
      <c r="G1408" s="1" t="n">
        <f aca="false">IFERROR(MATCH(A1408,CONFIRM!$A$5:$A$53,0),0)</f>
        <v>0</v>
      </c>
      <c r="H1408" s="48" t="str">
        <f aca="false">STACK!F1408</f>
        <v>CHIS - Education</v>
      </c>
      <c r="I1408" s="1" t="str">
        <f aca="false">IF(G1408&gt;0,IF(INDEX(CONFIRM!$I$5:$I$53,G1408)&lt;&gt;"",INDEX(CONFIRM!$I$5:$I$53,G1408),H1408),H1408)</f>
        <v>CHIS - Education</v>
      </c>
      <c r="J1408" s="1" t="str">
        <f aca="false">IFERROR(INDEX(MAP!$F$7:$F$74,MATCH(TRIM(I1408),MAP!$E$7:$E$74,0)),"UNMAPPED")</f>
        <v>Community health education</v>
      </c>
      <c r="K1408" s="1" t="str">
        <f aca="false">IFERROR(INDEX(MAP!$G$7:$G$74,MATCH(TRIM(I1408),MAP!$E$7:$E$74,0)),"UNMAPPED")</f>
        <v>7e</v>
      </c>
      <c r="L1408" s="49" t="str">
        <f aca="false">STACK!G1408</f>
        <v>20-Aug-2025</v>
      </c>
      <c r="M1408" s="59" t="n">
        <f aca="false">IF(G1408&gt;0,IF(INDEX(CONFIRM!$G$5:$G$53,G1408)&lt;&gt;"",INDEX(CONFIRM!$G$5:$G$53,G1408),IF(ISNUMBER(L1408),L1408,IFERROR(DATEVALUE(L1408),""))),IF(ISNUMBER(L1408),L1408,IFERROR(DATEVALUE(L1408),"")))</f>
        <v>45889</v>
      </c>
      <c r="N1408" s="1" t="str">
        <f aca="false">IF(M1408="","Check",IF(AND(M1408&gt;=INPUTS!$C$6,M1408&lt;=INPUTS!$C$7),"Yes","No"))</f>
        <v>Yes</v>
      </c>
      <c r="O1408" s="48" t="str">
        <f aca="false">STACK!H1408</f>
        <v>EMS Paramedic</v>
      </c>
      <c r="P1408" s="1" t="str">
        <f aca="false">IF(G1408&gt;0,IF(INDEX(CONFIRM!$H$5:$H$53,G1408)&lt;&gt;"",INDEX(CONFIRM!$H$5:$H$53,G1408),IFERROR(INDEX(MAP!$B$7:$B$156,MATCH(TRIM(O1408),MAP!$A$7:$A$156,0)),"UNMAPPED")),IFERROR(INDEX(MAP!$B$7:$B$156,MATCH(TRIM(O1408),MAP!$A$7:$A$156,0)),"UNMAPPED"))</f>
        <v>Paramedic</v>
      </c>
      <c r="Q1408" s="48" t="n">
        <f aca="false">STACK!I1408</f>
        <v>3.5</v>
      </c>
      <c r="R1408" s="60" t="n">
        <f aca="false">IF(G1408&gt;0,IF(INDEX(CONFIRM!$F$5:$F$53,G1408)&lt;&gt;"",INDEX(CONFIRM!$F$5:$F$53,G1408),IF(ISNUMBER(Q1408),Q1408,IF(Q1408="","",IFERROR(VALUE(TRIM(SUBSTITUTE(SUBSTITUTE(LOWER(Q1408),"hrs",""),"hr",""))),"")))),IF(ISNUMBER(Q1408),Q1408,IF(Q1408="","",IFERROR(VALUE(TRIM(SUBSTITUTE(SUBSTITUTE(LOWER(Q1408),"hrs",""),"hr",""))),""))))</f>
        <v>3.5</v>
      </c>
      <c r="S1408" s="57" t="n">
        <f aca="false">IFERROR(INDEX(RATES!$E$6:$E$28,MATCH(P1408,RATES!$A$6:$A$28,0)),0)</f>
        <v>34.695</v>
      </c>
      <c r="T1408" s="61" t="n">
        <f aca="false">IF(ISNUMBER(R1408),R1408,0)*S1408</f>
        <v>121.4325</v>
      </c>
      <c r="U1408" s="61" t="n">
        <f aca="false">T1408*INDEX(INPUTS!$H$10:$H$14,MATCH(B1408,INPUTS!$A$10:$A$14,0))</f>
        <v>18.3363075</v>
      </c>
      <c r="V1408" s="61" t="n">
        <f aca="false">N(STACK!K1408)</f>
        <v>700</v>
      </c>
      <c r="W1408" s="61" t="n">
        <f aca="false">T1408+U1408+V1408</f>
        <v>839.7688075</v>
      </c>
      <c r="X1408" s="61" t="n">
        <f aca="false">N(STACK!L1408)</f>
        <v>470</v>
      </c>
      <c r="Y1408" s="61" t="n">
        <f aca="false">W1408-X1408</f>
        <v>369.7688075</v>
      </c>
      <c r="Z1408" s="1" t="n">
        <f aca="false">N(STACK!J1408)</f>
        <v>27</v>
      </c>
      <c r="AA1408" s="1" t="str">
        <f aca="false">TRIM(IF(D1408="UNMAPPED","Program not mapped. ","")&amp;IF(OR(K1408="UNMAPPED",K1408="UNASSIGNED"),"Category needs review. ","")&amp;IF(P1408="UNMAPPED","Title not mapped. ","")&amp;IF(AND(P1408&lt;&gt;"No staff time",R1408=""),"Missing hours. ","")&amp;IF(M1408="","Date not readable. ","")&amp;IF(N1408="No","Outside fiscal year. ","")&amp;IF(AND(F1408="Event",ISNUMBER(R1408)),IF(R1408&gt;12,"Event hours look high. ",""),"")&amp;IF(G1408&gt;0,"See CONFIRM sheet.",""))</f>
        <v/>
      </c>
      <c r="AB1408" s="1" t="n">
        <f aca="false">IF(N1408="No",0,IF(REVIEW!O1408=0,0,IF(G1408&gt;0,IF(INDEX(CONFIRM!$J$5:$J$53,G1408)&lt;&gt;"",INDEX(CONFIRM!$J$5:$J$53,G1408),1),1)))</f>
        <v>1</v>
      </c>
      <c r="AC1408" s="1" t="n">
        <f aca="false">IF(AB1408=1,IF(COUNTIFS($B$5:B1408,B1408,$D$5:D1408,D1408,$AB$5:AB1408,1)=1,1,0),0)</f>
        <v>0</v>
      </c>
    </row>
    <row r="1409" customFormat="false" ht="15" hidden="false" customHeight="false" outlineLevel="0" collapsed="false">
      <c r="A1409" s="48" t="str">
        <f aca="false">STACK!A1409</f>
        <v>QHH-0028</v>
      </c>
      <c r="B1409" s="48" t="str">
        <f aca="false">STACK!B1409</f>
        <v>QHH</v>
      </c>
      <c r="C1409" s="48" t="str">
        <f aca="false">STACK!E1409</f>
        <v>Car Seat Safety</v>
      </c>
      <c r="D1409" s="1" t="str">
        <f aca="false">IFERROR(INDEX(MAP!$J$7:$J$101,MATCH(TRIM(C1409),MAP!$I$7:$I$101,0)),"UNMAPPED")</f>
        <v>Car Seat Safety Checks</v>
      </c>
      <c r="E1409" s="1" t="str">
        <f aca="false">IFERROR(INDEX(MAP!$K$7:$K$101,MATCH(TRIM(C1409),MAP!$I$7:$I$101,0)),"")</f>
        <v>Maternal and child health</v>
      </c>
      <c r="F1409" s="1" t="str">
        <f aca="false">IFERROR(INDEX(MAP!$L$7:$L$101,MATCH(TRIM(C1409),MAP!$I$7:$I$101,0)),"")</f>
        <v>Event</v>
      </c>
      <c r="G1409" s="1" t="n">
        <f aca="false">IFERROR(MATCH(A1409,CONFIRM!$A$5:$A$53,0),0)</f>
        <v>0</v>
      </c>
      <c r="H1409" s="48" t="str">
        <f aca="false">STACK!F1409</f>
        <v>CHIS - Education</v>
      </c>
      <c r="I1409" s="1" t="str">
        <f aca="false">IF(G1409&gt;0,IF(INDEX(CONFIRM!$I$5:$I$53,G1409)&lt;&gt;"",INDEX(CONFIRM!$I$5:$I$53,G1409),H1409),H1409)</f>
        <v>CHIS - Education</v>
      </c>
      <c r="J1409" s="1" t="str">
        <f aca="false">IFERROR(INDEX(MAP!$F$7:$F$74,MATCH(TRIM(I1409),MAP!$E$7:$E$74,0)),"UNMAPPED")</f>
        <v>Community health education</v>
      </c>
      <c r="K1409" s="1" t="str">
        <f aca="false">IFERROR(INDEX(MAP!$G$7:$G$74,MATCH(TRIM(I1409),MAP!$E$7:$E$74,0)),"UNMAPPED")</f>
        <v>7e</v>
      </c>
      <c r="L1409" s="49" t="str">
        <f aca="false">STACK!G1409</f>
        <v>20-Aug-2025</v>
      </c>
      <c r="M1409" s="59" t="n">
        <f aca="false">IF(G1409&gt;0,IF(INDEX(CONFIRM!$G$5:$G$53,G1409)&lt;&gt;"",INDEX(CONFIRM!$G$5:$G$53,G1409),IF(ISNUMBER(L1409),L1409,IFERROR(DATEVALUE(L1409),""))),IF(ISNUMBER(L1409),L1409,IFERROR(DATEVALUE(L1409),"")))</f>
        <v>45889</v>
      </c>
      <c r="N1409" s="1" t="str">
        <f aca="false">IF(M1409="","Check",IF(AND(M1409&gt;=INPUTS!$C$6,M1409&lt;=INPUTS!$C$7),"Yes","No"))</f>
        <v>Yes</v>
      </c>
      <c r="O1409" s="48" t="str">
        <f aca="false">STACK!H1409</f>
        <v>RN II </v>
      </c>
      <c r="P1409" s="1" t="str">
        <f aca="false">IF(G1409&gt;0,IF(INDEX(CONFIRM!$H$5:$H$53,G1409)&lt;&gt;"",INDEX(CONFIRM!$H$5:$H$53,G1409),IFERROR(INDEX(MAP!$B$7:$B$156,MATCH(TRIM(O1409),MAP!$A$7:$A$156,0)),"UNMAPPED")),IFERROR(INDEX(MAP!$B$7:$B$156,MATCH(TRIM(O1409),MAP!$A$7:$A$156,0)),"UNMAPPED"))</f>
        <v>Registered Nurse</v>
      </c>
      <c r="Q1409" s="48" t="n">
        <f aca="false">STACK!I1409</f>
        <v>3.25</v>
      </c>
      <c r="R1409" s="60" t="n">
        <f aca="false">IF(G1409&gt;0,IF(INDEX(CONFIRM!$F$5:$F$53,G1409)&lt;&gt;"",INDEX(CONFIRM!$F$5:$F$53,G1409),IF(ISNUMBER(Q1409),Q1409,IF(Q1409="","",IFERROR(VALUE(TRIM(SUBSTITUTE(SUBSTITUTE(LOWER(Q1409),"hrs",""),"hr",""))),"")))),IF(ISNUMBER(Q1409),Q1409,IF(Q1409="","",IFERROR(VALUE(TRIM(SUBSTITUTE(SUBSTITUTE(LOWER(Q1409),"hrs",""),"hr",""))),""))))</f>
        <v>3.25</v>
      </c>
      <c r="S1409" s="57" t="n">
        <f aca="false">IFERROR(INDEX(RATES!$E$6:$E$28,MATCH(P1409,RATES!$A$6:$A$28,0)),0)</f>
        <v>55.8975</v>
      </c>
      <c r="T1409" s="61" t="n">
        <f aca="false">IF(ISNUMBER(R1409),R1409,0)*S1409</f>
        <v>181.666875</v>
      </c>
      <c r="U1409" s="61" t="n">
        <f aca="false">T1409*INDEX(INPUTS!$H$10:$H$14,MATCH(B1409,INPUTS!$A$10:$A$14,0))</f>
        <v>27.431698125</v>
      </c>
      <c r="V1409" s="61" t="n">
        <f aca="false">N(STACK!K1409)</f>
        <v>0</v>
      </c>
      <c r="W1409" s="61" t="n">
        <f aca="false">T1409+U1409+V1409</f>
        <v>209.098573125</v>
      </c>
      <c r="X1409" s="61" t="n">
        <f aca="false">N(STACK!L1409)</f>
        <v>0</v>
      </c>
      <c r="Y1409" s="61" t="n">
        <f aca="false">W1409-X1409</f>
        <v>209.098573125</v>
      </c>
      <c r="Z1409" s="1" t="n">
        <f aca="false">N(STACK!J1409)</f>
        <v>0</v>
      </c>
      <c r="AA1409" s="1" t="str">
        <f aca="false">TRIM(IF(D1409="UNMAPPED","Program not mapped. ","")&amp;IF(OR(K1409="UNMAPPED",K1409="UNASSIGNED"),"Category needs review. ","")&amp;IF(P1409="UNMAPPED","Title not mapped. ","")&amp;IF(AND(P1409&lt;&gt;"No staff time",R1409=""),"Missing hours. ","")&amp;IF(M1409="","Date not readable. ","")&amp;IF(N1409="No","Outside fiscal year. ","")&amp;IF(AND(F1409="Event",ISNUMBER(R1409)),IF(R1409&gt;12,"Event hours look high. ",""),"")&amp;IF(G1409&gt;0,"See CONFIRM sheet.",""))</f>
        <v/>
      </c>
      <c r="AB1409" s="1" t="n">
        <f aca="false">IF(N1409="No",0,IF(REVIEW!O1409=0,0,IF(G1409&gt;0,IF(INDEX(CONFIRM!$J$5:$J$53,G1409)&lt;&gt;"",INDEX(CONFIRM!$J$5:$J$53,G1409),1),1)))</f>
        <v>1</v>
      </c>
      <c r="AC1409" s="1" t="n">
        <f aca="false">IF(AB1409=1,IF(COUNTIFS($B$5:B1409,B1409,$D$5:D1409,D1409,$AB$5:AB1409,1)=1,1,0),0)</f>
        <v>0</v>
      </c>
    </row>
    <row r="1410" customFormat="false" ht="15" hidden="false" customHeight="false" outlineLevel="0" collapsed="false">
      <c r="A1410" s="48" t="str">
        <f aca="false">STACK!A1410</f>
        <v>QHH-0029</v>
      </c>
      <c r="B1410" s="48" t="str">
        <f aca="false">STACK!B1410</f>
        <v>QHH</v>
      </c>
      <c r="C1410" s="48" t="str">
        <f aca="false">STACK!E1410</f>
        <v>Car Seat Safety</v>
      </c>
      <c r="D1410" s="1" t="str">
        <f aca="false">IFERROR(INDEX(MAP!$J$7:$J$101,MATCH(TRIM(C1410),MAP!$I$7:$I$101,0)),"UNMAPPED")</f>
        <v>Car Seat Safety Checks</v>
      </c>
      <c r="E1410" s="1" t="str">
        <f aca="false">IFERROR(INDEX(MAP!$K$7:$K$101,MATCH(TRIM(C1410),MAP!$I$7:$I$101,0)),"")</f>
        <v>Maternal and child health</v>
      </c>
      <c r="F1410" s="1" t="str">
        <f aca="false">IFERROR(INDEX(MAP!$L$7:$L$101,MATCH(TRIM(C1410),MAP!$I$7:$I$101,0)),"")</f>
        <v>Event</v>
      </c>
      <c r="G1410" s="1" t="n">
        <f aca="false">IFERROR(MATCH(A1410,CONFIRM!$A$5:$A$53,0),0)</f>
        <v>0</v>
      </c>
      <c r="H1410" s="48" t="str">
        <f aca="false">STACK!F1410</f>
        <v>CHIS - Education</v>
      </c>
      <c r="I1410" s="1" t="str">
        <f aca="false">IF(G1410&gt;0,IF(INDEX(CONFIRM!$I$5:$I$53,G1410)&lt;&gt;"",INDEX(CONFIRM!$I$5:$I$53,G1410),H1410),H1410)</f>
        <v>CHIS - Education</v>
      </c>
      <c r="J1410" s="1" t="str">
        <f aca="false">IFERROR(INDEX(MAP!$F$7:$F$74,MATCH(TRIM(I1410),MAP!$E$7:$E$74,0)),"UNMAPPED")</f>
        <v>Community health education</v>
      </c>
      <c r="K1410" s="1" t="str">
        <f aca="false">IFERROR(INDEX(MAP!$G$7:$G$74,MATCH(TRIM(I1410),MAP!$E$7:$E$74,0)),"UNMAPPED")</f>
        <v>7e</v>
      </c>
      <c r="L1410" s="49" t="str">
        <f aca="false">STACK!G1410</f>
        <v>20-Aug-2025</v>
      </c>
      <c r="M1410" s="59" t="n">
        <f aca="false">IF(G1410&gt;0,IF(INDEX(CONFIRM!$G$5:$G$53,G1410)&lt;&gt;"",INDEX(CONFIRM!$G$5:$G$53,G1410),IF(ISNUMBER(L1410),L1410,IFERROR(DATEVALUE(L1410),""))),IF(ISNUMBER(L1410),L1410,IFERROR(DATEVALUE(L1410),"")))</f>
        <v>45889</v>
      </c>
      <c r="N1410" s="1" t="str">
        <f aca="false">IF(M1410="","Check",IF(AND(M1410&gt;=INPUTS!$C$6,M1410&lt;=INPUTS!$C$7),"Yes","No"))</f>
        <v>Yes</v>
      </c>
      <c r="O1410" s="48" t="str">
        <f aca="false">STACK!H1410</f>
        <v>rn ii</v>
      </c>
      <c r="P1410" s="1" t="str">
        <f aca="false">IF(G1410&gt;0,IF(INDEX(CONFIRM!$H$5:$H$53,G1410)&lt;&gt;"",INDEX(CONFIRM!$H$5:$H$53,G1410),IFERROR(INDEX(MAP!$B$7:$B$156,MATCH(TRIM(O1410),MAP!$A$7:$A$156,0)),"UNMAPPED")),IFERROR(INDEX(MAP!$B$7:$B$156,MATCH(TRIM(O1410),MAP!$A$7:$A$156,0)),"UNMAPPED"))</f>
        <v>Registered Nurse</v>
      </c>
      <c r="Q1410" s="48" t="n">
        <f aca="false">STACK!I1410</f>
        <v>3.25</v>
      </c>
      <c r="R1410" s="60" t="n">
        <f aca="false">IF(G1410&gt;0,IF(INDEX(CONFIRM!$F$5:$F$53,G1410)&lt;&gt;"",INDEX(CONFIRM!$F$5:$F$53,G1410),IF(ISNUMBER(Q1410),Q1410,IF(Q1410="","",IFERROR(VALUE(TRIM(SUBSTITUTE(SUBSTITUTE(LOWER(Q1410),"hrs",""),"hr",""))),"")))),IF(ISNUMBER(Q1410),Q1410,IF(Q1410="","",IFERROR(VALUE(TRIM(SUBSTITUTE(SUBSTITUTE(LOWER(Q1410),"hrs",""),"hr",""))),""))))</f>
        <v>3.25</v>
      </c>
      <c r="S1410" s="57" t="n">
        <f aca="false">IFERROR(INDEX(RATES!$E$6:$E$28,MATCH(P1410,RATES!$A$6:$A$28,0)),0)</f>
        <v>55.8975</v>
      </c>
      <c r="T1410" s="61" t="n">
        <f aca="false">IF(ISNUMBER(R1410),R1410,0)*S1410</f>
        <v>181.666875</v>
      </c>
      <c r="U1410" s="61" t="n">
        <f aca="false">T1410*INDEX(INPUTS!$H$10:$H$14,MATCH(B1410,INPUTS!$A$10:$A$14,0))</f>
        <v>27.431698125</v>
      </c>
      <c r="V1410" s="61" t="n">
        <f aca="false">N(STACK!K1410)</f>
        <v>0</v>
      </c>
      <c r="W1410" s="61" t="n">
        <f aca="false">T1410+U1410+V1410</f>
        <v>209.098573125</v>
      </c>
      <c r="X1410" s="61" t="n">
        <f aca="false">N(STACK!L1410)</f>
        <v>0</v>
      </c>
      <c r="Y1410" s="61" t="n">
        <f aca="false">W1410-X1410</f>
        <v>209.098573125</v>
      </c>
      <c r="Z1410" s="1" t="n">
        <f aca="false">N(STACK!J1410)</f>
        <v>0</v>
      </c>
      <c r="AA1410" s="1" t="str">
        <f aca="false">TRIM(IF(D1410="UNMAPPED","Program not mapped. ","")&amp;IF(OR(K1410="UNMAPPED",K1410="UNASSIGNED"),"Category needs review. ","")&amp;IF(P1410="UNMAPPED","Title not mapped. ","")&amp;IF(AND(P1410&lt;&gt;"No staff time",R1410=""),"Missing hours. ","")&amp;IF(M1410="","Date not readable. ","")&amp;IF(N1410="No","Outside fiscal year. ","")&amp;IF(AND(F1410="Event",ISNUMBER(R1410)),IF(R1410&gt;12,"Event hours look high. ",""),"")&amp;IF(G1410&gt;0,"See CONFIRM sheet.",""))</f>
        <v/>
      </c>
      <c r="AB1410" s="1" t="n">
        <f aca="false">IF(N1410="No",0,IF(REVIEW!O1410=0,0,IF(G1410&gt;0,IF(INDEX(CONFIRM!$J$5:$J$53,G1410)&lt;&gt;"",INDEX(CONFIRM!$J$5:$J$53,G1410),1),1)))</f>
        <v>1</v>
      </c>
      <c r="AC1410" s="1" t="n">
        <f aca="false">IF(AB1410=1,IF(COUNTIFS($B$5:B1410,B1410,$D$5:D1410,D1410,$AB$5:AB1410,1)=1,1,0),0)</f>
        <v>0</v>
      </c>
    </row>
    <row r="1411" customFormat="false" ht="15" hidden="false" customHeight="false" outlineLevel="0" collapsed="false">
      <c r="A1411" s="48" t="str">
        <f aca="false">STACK!A1411</f>
        <v>QHH-0030</v>
      </c>
      <c r="B1411" s="48" t="str">
        <f aca="false">STACK!B1411</f>
        <v>QHH</v>
      </c>
      <c r="C1411" s="48" t="str">
        <f aca="false">STACK!E1411</f>
        <v>Blood Pressure Clinic</v>
      </c>
      <c r="D1411" s="1" t="str">
        <f aca="false">IFERROR(INDEX(MAP!$J$7:$J$101,MATCH(TRIM(C1411),MAP!$I$7:$I$101,0)),"UNMAPPED")</f>
        <v>Community Blood Pressure Checks</v>
      </c>
      <c r="E1411" s="1" t="str">
        <f aca="false">IFERROR(INDEX(MAP!$K$7:$K$101,MATCH(TRIM(C1411),MAP!$I$7:$I$101,0)),"")</f>
        <v>Chronic disease prevention</v>
      </c>
      <c r="F1411" s="1" t="str">
        <f aca="false">IFERROR(INDEX(MAP!$L$7:$L$101,MATCH(TRIM(C1411),MAP!$I$7:$I$101,0)),"")</f>
        <v>Event</v>
      </c>
      <c r="G1411" s="1" t="n">
        <f aca="false">IFERROR(MATCH(A1411,CONFIRM!$A$5:$A$53,0),0)</f>
        <v>0</v>
      </c>
      <c r="H1411" s="48" t="str">
        <f aca="false">STACK!F1411</f>
        <v>CHIS - Clinical</v>
      </c>
      <c r="I1411" s="1" t="str">
        <f aca="false">IF(G1411&gt;0,IF(INDEX(CONFIRM!$I$5:$I$53,G1411)&lt;&gt;"",INDEX(CONFIRM!$I$5:$I$53,G1411),H1411),H1411)</f>
        <v>CHIS - Clinical</v>
      </c>
      <c r="J1411" s="1" t="str">
        <f aca="false">IFERROR(INDEX(MAP!$F$7:$F$74,MATCH(TRIM(I1411),MAP!$E$7:$E$74,0)),"UNMAPPED")</f>
        <v>Community-based clinical services</v>
      </c>
      <c r="K1411" s="1" t="str">
        <f aca="false">IFERROR(INDEX(MAP!$G$7:$G$74,MATCH(TRIM(I1411),MAP!$E$7:$E$74,0)),"UNMAPPED")</f>
        <v>7e</v>
      </c>
      <c r="L1411" s="49" t="str">
        <f aca="false">STACK!G1411</f>
        <v>21-Aug-2025</v>
      </c>
      <c r="M1411" s="59" t="n">
        <f aca="false">IF(G1411&gt;0,IF(INDEX(CONFIRM!$G$5:$G$53,G1411)&lt;&gt;"",INDEX(CONFIRM!$G$5:$G$53,G1411),IF(ISNUMBER(L1411),L1411,IFERROR(DATEVALUE(L1411),""))),IF(ISNUMBER(L1411),L1411,IFERROR(DATEVALUE(L1411),"")))</f>
        <v>45890</v>
      </c>
      <c r="N1411" s="1" t="str">
        <f aca="false">IF(M1411="","Check",IF(AND(M1411&gt;=INPUTS!$C$6,M1411&lt;=INPUTS!$C$7),"Yes","No"))</f>
        <v>Yes</v>
      </c>
      <c r="O1411" s="48" t="str">
        <f aca="false">STACK!H1411</f>
        <v>RN - Outreach</v>
      </c>
      <c r="P1411" s="1" t="str">
        <f aca="false">IF(G1411&gt;0,IF(INDEX(CONFIRM!$H$5:$H$53,G1411)&lt;&gt;"",INDEX(CONFIRM!$H$5:$H$53,G1411),IFERROR(INDEX(MAP!$B$7:$B$156,MATCH(TRIM(O1411),MAP!$A$7:$A$156,0)),"UNMAPPED")),IFERROR(INDEX(MAP!$B$7:$B$156,MATCH(TRIM(O1411),MAP!$A$7:$A$156,0)),"UNMAPPED"))</f>
        <v>Registered Nurse</v>
      </c>
      <c r="Q1411" s="48" t="n">
        <f aca="false">STACK!I1411</f>
        <v>4.5</v>
      </c>
      <c r="R1411" s="60" t="n">
        <f aca="false">IF(G1411&gt;0,IF(INDEX(CONFIRM!$F$5:$F$53,G1411)&lt;&gt;"",INDEX(CONFIRM!$F$5:$F$53,G1411),IF(ISNUMBER(Q1411),Q1411,IF(Q1411="","",IFERROR(VALUE(TRIM(SUBSTITUTE(SUBSTITUTE(LOWER(Q1411),"hrs",""),"hr",""))),"")))),IF(ISNUMBER(Q1411),Q1411,IF(Q1411="","",IFERROR(VALUE(TRIM(SUBSTITUTE(SUBSTITUTE(LOWER(Q1411),"hrs",""),"hr",""))),""))))</f>
        <v>4.5</v>
      </c>
      <c r="S1411" s="57" t="n">
        <f aca="false">IFERROR(INDEX(RATES!$E$6:$E$28,MATCH(P1411,RATES!$A$6:$A$28,0)),0)</f>
        <v>55.8975</v>
      </c>
      <c r="T1411" s="61" t="n">
        <f aca="false">IF(ISNUMBER(R1411),R1411,0)*S1411</f>
        <v>251.53875</v>
      </c>
      <c r="U1411" s="61" t="n">
        <f aca="false">T1411*INDEX(INPUTS!$H$10:$H$14,MATCH(B1411,INPUTS!$A$10:$A$14,0))</f>
        <v>37.98235125</v>
      </c>
      <c r="V1411" s="61" t="n">
        <f aca="false">N(STACK!K1411)</f>
        <v>75</v>
      </c>
      <c r="W1411" s="61" t="n">
        <f aca="false">T1411+U1411+V1411</f>
        <v>364.52110125</v>
      </c>
      <c r="X1411" s="61" t="n">
        <f aca="false">N(STACK!L1411)</f>
        <v>0</v>
      </c>
      <c r="Y1411" s="61" t="n">
        <f aca="false">W1411-X1411</f>
        <v>364.52110125</v>
      </c>
      <c r="Z1411" s="1" t="n">
        <f aca="false">N(STACK!J1411)</f>
        <v>30</v>
      </c>
      <c r="AA1411" s="1" t="str">
        <f aca="false">TRIM(IF(D1411="UNMAPPED","Program not mapped. ","")&amp;IF(OR(K1411="UNMAPPED",K1411="UNASSIGNED"),"Category needs review. ","")&amp;IF(P1411="UNMAPPED","Title not mapped. ","")&amp;IF(AND(P1411&lt;&gt;"No staff time",R1411=""),"Missing hours. ","")&amp;IF(M1411="","Date not readable. ","")&amp;IF(N1411="No","Outside fiscal year. ","")&amp;IF(AND(F1411="Event",ISNUMBER(R1411)),IF(R1411&gt;12,"Event hours look high. ",""),"")&amp;IF(G1411&gt;0,"See CONFIRM sheet.",""))</f>
        <v/>
      </c>
      <c r="AB1411" s="1" t="n">
        <f aca="false">IF(N1411="No",0,IF(REVIEW!O1411=0,0,IF(G1411&gt;0,IF(INDEX(CONFIRM!$J$5:$J$53,G1411)&lt;&gt;"",INDEX(CONFIRM!$J$5:$J$53,G1411),1),1)))</f>
        <v>1</v>
      </c>
      <c r="AC1411" s="1" t="n">
        <f aca="false">IF(AB1411=1,IF(COUNTIFS($B$5:B1411,B1411,$D$5:D1411,D1411,$AB$5:AB1411,1)=1,1,0),0)</f>
        <v>1</v>
      </c>
    </row>
    <row r="1412" customFormat="false" ht="15" hidden="false" customHeight="false" outlineLevel="0" collapsed="false">
      <c r="A1412" s="48" t="str">
        <f aca="false">STACK!A1412</f>
        <v>QHH-0031</v>
      </c>
      <c r="B1412" s="48" t="str">
        <f aca="false">STACK!B1412</f>
        <v>QHH</v>
      </c>
      <c r="C1412" s="48" t="str">
        <f aca="false">STACK!E1412</f>
        <v>Fall Prevention Class</v>
      </c>
      <c r="D1412" s="1" t="str">
        <f aca="false">IFERROR(INDEX(MAP!$J$7:$J$101,MATCH(TRIM(C1412),MAP!$I$7:$I$101,0)),"UNMAPPED")</f>
        <v>Fall Prevention Classes for Older Adults</v>
      </c>
      <c r="E1412" s="1" t="str">
        <f aca="false">IFERROR(INDEX(MAP!$K$7:$K$101,MATCH(TRIM(C1412),MAP!$I$7:$I$101,0)),"")</f>
        <v>Chronic disease prevention</v>
      </c>
      <c r="F1412" s="1" t="str">
        <f aca="false">IFERROR(INDEX(MAP!$L$7:$L$101,MATCH(TRIM(C1412),MAP!$I$7:$I$101,0)),"")</f>
        <v>Event</v>
      </c>
      <c r="G1412" s="1" t="n">
        <f aca="false">IFERROR(MATCH(A1412,CONFIRM!$A$5:$A$53,0),0)</f>
        <v>0</v>
      </c>
      <c r="H1412" s="48" t="str">
        <f aca="false">STACK!F1412</f>
        <v>CHIS - Education</v>
      </c>
      <c r="I1412" s="1" t="str">
        <f aca="false">IF(G1412&gt;0,IF(INDEX(CONFIRM!$I$5:$I$53,G1412)&lt;&gt;"",INDEX(CONFIRM!$I$5:$I$53,G1412),H1412),H1412)</f>
        <v>CHIS - Education</v>
      </c>
      <c r="J1412" s="1" t="str">
        <f aca="false">IFERROR(INDEX(MAP!$F$7:$F$74,MATCH(TRIM(I1412),MAP!$E$7:$E$74,0)),"UNMAPPED")</f>
        <v>Community health education</v>
      </c>
      <c r="K1412" s="1" t="str">
        <f aca="false">IFERROR(INDEX(MAP!$G$7:$G$74,MATCH(TRIM(I1412),MAP!$E$7:$E$74,0)),"UNMAPPED")</f>
        <v>7e</v>
      </c>
      <c r="L1412" s="49" t="str">
        <f aca="false">STACK!G1412</f>
        <v>25-Aug-2025</v>
      </c>
      <c r="M1412" s="59" t="n">
        <f aca="false">IF(G1412&gt;0,IF(INDEX(CONFIRM!$G$5:$G$53,G1412)&lt;&gt;"",INDEX(CONFIRM!$G$5:$G$53,G1412),IF(ISNUMBER(L1412),L1412,IFERROR(DATEVALUE(L1412),""))),IF(ISNUMBER(L1412),L1412,IFERROR(DATEVALUE(L1412),"")))</f>
        <v>45894</v>
      </c>
      <c r="N1412" s="1" t="str">
        <f aca="false">IF(M1412="","Check",IF(AND(M1412&gt;=INPUTS!$C$6,M1412&lt;=INPUTS!$C$7),"Yes","No"))</f>
        <v>Yes</v>
      </c>
      <c r="O1412" s="48" t="str">
        <f aca="false">STACK!H1412</f>
        <v>Respiratory Therapist</v>
      </c>
      <c r="P1412" s="1" t="str">
        <f aca="false">IF(G1412&gt;0,IF(INDEX(CONFIRM!$H$5:$H$53,G1412)&lt;&gt;"",INDEX(CONFIRM!$H$5:$H$53,G1412),IFERROR(INDEX(MAP!$B$7:$B$156,MATCH(TRIM(O1412),MAP!$A$7:$A$156,0)),"UNMAPPED")),IFERROR(INDEX(MAP!$B$7:$B$156,MATCH(TRIM(O1412),MAP!$A$7:$A$156,0)),"UNMAPPED"))</f>
        <v>Licensed Therapist</v>
      </c>
      <c r="Q1412" s="48" t="n">
        <f aca="false">STACK!I1412</f>
        <v>2</v>
      </c>
      <c r="R1412" s="60" t="n">
        <f aca="false">IF(G1412&gt;0,IF(INDEX(CONFIRM!$F$5:$F$53,G1412)&lt;&gt;"",INDEX(CONFIRM!$F$5:$F$53,G1412),IF(ISNUMBER(Q1412),Q1412,IF(Q1412="","",IFERROR(VALUE(TRIM(SUBSTITUTE(SUBSTITUTE(LOWER(Q1412),"hrs",""),"hr",""))),"")))),IF(ISNUMBER(Q1412),Q1412,IF(Q1412="","",IFERROR(VALUE(TRIM(SUBSTITUTE(SUBSTITUTE(LOWER(Q1412),"hrs",""),"hr",""))),""))))</f>
        <v>2</v>
      </c>
      <c r="S1412" s="57" t="n">
        <f aca="false">IFERROR(INDEX(RATES!$E$6:$E$28,MATCH(P1412,RATES!$A$6:$A$28,0)),0)</f>
        <v>53.97</v>
      </c>
      <c r="T1412" s="61" t="n">
        <f aca="false">IF(ISNUMBER(R1412),R1412,0)*S1412</f>
        <v>107.94</v>
      </c>
      <c r="U1412" s="61" t="n">
        <f aca="false">T1412*INDEX(INPUTS!$H$10:$H$14,MATCH(B1412,INPUTS!$A$10:$A$14,0))</f>
        <v>16.29894</v>
      </c>
      <c r="V1412" s="61" t="n">
        <f aca="false">N(STACK!K1412)</f>
        <v>45</v>
      </c>
      <c r="W1412" s="61" t="n">
        <f aca="false">T1412+U1412+V1412</f>
        <v>169.23894</v>
      </c>
      <c r="X1412" s="61" t="n">
        <f aca="false">N(STACK!L1412)</f>
        <v>0</v>
      </c>
      <c r="Y1412" s="61" t="n">
        <f aca="false">W1412-X1412</f>
        <v>169.23894</v>
      </c>
      <c r="Z1412" s="1" t="n">
        <f aca="false">N(STACK!J1412)</f>
        <v>12</v>
      </c>
      <c r="AA1412" s="1" t="str">
        <f aca="false">TRIM(IF(D1412="UNMAPPED","Program not mapped. ","")&amp;IF(OR(K1412="UNMAPPED",K1412="UNASSIGNED"),"Category needs review. ","")&amp;IF(P1412="UNMAPPED","Title not mapped. ","")&amp;IF(AND(P1412&lt;&gt;"No staff time",R1412=""),"Missing hours. ","")&amp;IF(M1412="","Date not readable. ","")&amp;IF(N1412="No","Outside fiscal year. ","")&amp;IF(AND(F1412="Event",ISNUMBER(R1412)),IF(R1412&gt;12,"Event hours look high. ",""),"")&amp;IF(G1412&gt;0,"See CONFIRM sheet.",""))</f>
        <v/>
      </c>
      <c r="AB1412" s="1" t="n">
        <f aca="false">IF(N1412="No",0,IF(REVIEW!O1412=0,0,IF(G1412&gt;0,IF(INDEX(CONFIRM!$J$5:$J$53,G1412)&lt;&gt;"",INDEX(CONFIRM!$J$5:$J$53,G1412),1),1)))</f>
        <v>1</v>
      </c>
      <c r="AC1412" s="1" t="n">
        <f aca="false">IF(AB1412=1,IF(COUNTIFS($B$5:B1412,B1412,$D$5:D1412,D1412,$AB$5:AB1412,1)=1,1,0),0)</f>
        <v>0</v>
      </c>
    </row>
    <row r="1413" customFormat="false" ht="15" hidden="false" customHeight="false" outlineLevel="0" collapsed="false">
      <c r="A1413" s="48" t="str">
        <f aca="false">STACK!A1413</f>
        <v>QHH-0032</v>
      </c>
      <c r="B1413" s="48" t="str">
        <f aca="false">STACK!B1413</f>
        <v>QHH</v>
      </c>
      <c r="C1413" s="48" t="str">
        <f aca="false">STACK!E1413</f>
        <v>Regional Coalition</v>
      </c>
      <c r="D1413" s="1" t="str">
        <f aca="false">IFERROR(INDEX(MAP!$J$7:$J$101,MATCH(TRIM(C1413),MAP!$I$7:$I$101,0)),"UNMAPPED")</f>
        <v>Regional Health Coalition</v>
      </c>
      <c r="E1413" s="1" t="str">
        <f aca="false">IFERROR(INDEX(MAP!$K$7:$K$101,MATCH(TRIM(C1413),MAP!$I$7:$I$101,0)),"")</f>
        <v>Community benefit infrastructure</v>
      </c>
      <c r="F1413" s="1" t="str">
        <f aca="false">IFERROR(INDEX(MAP!$L$7:$L$101,MATCH(TRIM(C1413),MAP!$I$7:$I$101,0)),"")</f>
        <v>Event</v>
      </c>
      <c r="G1413" s="1" t="n">
        <f aca="false">IFERROR(MATCH(A1413,CONFIRM!$A$5:$A$53,0),0)</f>
        <v>0</v>
      </c>
      <c r="H1413" s="48" t="str">
        <f aca="false">STACK!F1413</f>
        <v>Coalition (CB)</v>
      </c>
      <c r="I1413" s="1" t="str">
        <f aca="false">IF(G1413&gt;0,IF(INDEX(CONFIRM!$I$5:$I$53,G1413)&lt;&gt;"",INDEX(CONFIRM!$I$5:$I$53,G1413),H1413),H1413)</f>
        <v>Coalition (CB)</v>
      </c>
      <c r="J1413" s="1" t="str">
        <f aca="false">IFERROR(INDEX(MAP!$F$7:$F$74,MATCH(TRIM(I1413),MAP!$E$7:$E$74,0)),"UNMAPPED")</f>
        <v>Community building: coalition building</v>
      </c>
      <c r="K1413" s="1" t="str">
        <f aca="false">IFERROR(INDEX(MAP!$G$7:$G$74,MATCH(TRIM(I1413),MAP!$E$7:$E$74,0)),"UNMAPPED")</f>
        <v>II-6</v>
      </c>
      <c r="L1413" s="49" t="str">
        <f aca="false">STACK!G1413</f>
        <v>25-Aug-2025</v>
      </c>
      <c r="M1413" s="59" t="n">
        <f aca="false">IF(G1413&gt;0,IF(INDEX(CONFIRM!$G$5:$G$53,G1413)&lt;&gt;"",INDEX(CONFIRM!$G$5:$G$53,G1413),IF(ISNUMBER(L1413),L1413,IFERROR(DATEVALUE(L1413),""))),IF(ISNUMBER(L1413),L1413,IFERROR(DATEVALUE(L1413),"")))</f>
        <v>45894</v>
      </c>
      <c r="N1413" s="1" t="str">
        <f aca="false">IF(M1413="","Check",IF(AND(M1413&gt;=INPUTS!$C$6,M1413&lt;=INPUTS!$C$7),"Yes","No"))</f>
        <v>Yes</v>
      </c>
      <c r="O1413" s="48" t="str">
        <f aca="false">STACK!H1413</f>
        <v>Manager Community Benefit</v>
      </c>
      <c r="P1413" s="1" t="str">
        <f aca="false">IF(G1413&gt;0,IF(INDEX(CONFIRM!$H$5:$H$53,G1413)&lt;&gt;"",INDEX(CONFIRM!$H$5:$H$53,G1413),IFERROR(INDEX(MAP!$B$7:$B$156,MATCH(TRIM(O1413),MAP!$A$7:$A$156,0)),"UNMAPPED")),IFERROR(INDEX(MAP!$B$7:$B$156,MATCH(TRIM(O1413),MAP!$A$7:$A$156,0)),"UNMAPPED"))</f>
        <v>Community Benefit Manager</v>
      </c>
      <c r="Q1413" s="48" t="n">
        <f aca="false">STACK!I1413</f>
        <v>3</v>
      </c>
      <c r="R1413" s="60" t="n">
        <f aca="false">IF(G1413&gt;0,IF(INDEX(CONFIRM!$F$5:$F$53,G1413)&lt;&gt;"",INDEX(CONFIRM!$F$5:$F$53,G1413),IF(ISNUMBER(Q1413),Q1413,IF(Q1413="","",IFERROR(VALUE(TRIM(SUBSTITUTE(SUBSTITUTE(LOWER(Q1413),"hrs",""),"hr",""))),"")))),IF(ISNUMBER(Q1413),Q1413,IF(Q1413="","",IFERROR(VALUE(TRIM(SUBSTITUTE(SUBSTITUTE(LOWER(Q1413),"hrs",""),"hr",""))),""))))</f>
        <v>3</v>
      </c>
      <c r="S1413" s="57" t="n">
        <f aca="false">IFERROR(INDEX(RATES!$E$6:$E$28,MATCH(P1413,RATES!$A$6:$A$28,0)),0)</f>
        <v>59.11</v>
      </c>
      <c r="T1413" s="61" t="n">
        <f aca="false">IF(ISNUMBER(R1413),R1413,0)*S1413</f>
        <v>177.33</v>
      </c>
      <c r="U1413" s="61" t="n">
        <f aca="false">T1413*INDEX(INPUTS!$H$10:$H$14,MATCH(B1413,INPUTS!$A$10:$A$14,0))</f>
        <v>26.77683</v>
      </c>
      <c r="V1413" s="61" t="n">
        <f aca="false">N(STACK!K1413)</f>
        <v>0</v>
      </c>
      <c r="W1413" s="61" t="n">
        <f aca="false">T1413+U1413+V1413</f>
        <v>204.10683</v>
      </c>
      <c r="X1413" s="61" t="n">
        <f aca="false">N(STACK!L1413)</f>
        <v>0</v>
      </c>
      <c r="Y1413" s="61" t="n">
        <f aca="false">W1413-X1413</f>
        <v>204.10683</v>
      </c>
      <c r="Z1413" s="1" t="n">
        <f aca="false">N(STACK!J1413)</f>
        <v>0</v>
      </c>
      <c r="AA1413" s="1" t="str">
        <f aca="false">TRIM(IF(D1413="UNMAPPED","Program not mapped. ","")&amp;IF(OR(K1413="UNMAPPED",K1413="UNASSIGNED"),"Category needs review. ","")&amp;IF(P1413="UNMAPPED","Title not mapped. ","")&amp;IF(AND(P1413&lt;&gt;"No staff time",R1413=""),"Missing hours. ","")&amp;IF(M1413="","Date not readable. ","")&amp;IF(N1413="No","Outside fiscal year. ","")&amp;IF(AND(F1413="Event",ISNUMBER(R1413)),IF(R1413&gt;12,"Event hours look high. ",""),"")&amp;IF(G1413&gt;0,"See CONFIRM sheet.",""))</f>
        <v/>
      </c>
      <c r="AB1413" s="1" t="n">
        <f aca="false">IF(N1413="No",0,IF(REVIEW!O1413=0,0,IF(G1413&gt;0,IF(INDEX(CONFIRM!$J$5:$J$53,G1413)&lt;&gt;"",INDEX(CONFIRM!$J$5:$J$53,G1413),1),1)))</f>
        <v>1</v>
      </c>
      <c r="AC1413" s="1" t="n">
        <f aca="false">IF(AB1413=1,IF(COUNTIFS($B$5:B1413,B1413,$D$5:D1413,D1413,$AB$5:AB1413,1)=1,1,0),0)</f>
        <v>0</v>
      </c>
    </row>
    <row r="1414" customFormat="false" ht="15" hidden="false" customHeight="false" outlineLevel="0" collapsed="false">
      <c r="A1414" s="48" t="str">
        <f aca="false">STACK!A1414</f>
        <v>QHH-0033</v>
      </c>
      <c r="B1414" s="48" t="str">
        <f aca="false">STACK!B1414</f>
        <v>QHH</v>
      </c>
      <c r="C1414" s="48" t="str">
        <f aca="false">STACK!E1414</f>
        <v>Regional Coalition</v>
      </c>
      <c r="D1414" s="1" t="str">
        <f aca="false">IFERROR(INDEX(MAP!$J$7:$J$101,MATCH(TRIM(C1414),MAP!$I$7:$I$101,0)),"UNMAPPED")</f>
        <v>Regional Health Coalition</v>
      </c>
      <c r="E1414" s="1" t="str">
        <f aca="false">IFERROR(INDEX(MAP!$K$7:$K$101,MATCH(TRIM(C1414),MAP!$I$7:$I$101,0)),"")</f>
        <v>Community benefit infrastructure</v>
      </c>
      <c r="F1414" s="1" t="str">
        <f aca="false">IFERROR(INDEX(MAP!$L$7:$L$101,MATCH(TRIM(C1414),MAP!$I$7:$I$101,0)),"")</f>
        <v>Event</v>
      </c>
      <c r="G1414" s="1" t="n">
        <f aca="false">IFERROR(MATCH(A1414,CONFIRM!$A$5:$A$53,0),0)</f>
        <v>0</v>
      </c>
      <c r="H1414" s="48" t="str">
        <f aca="false">STACK!F1414</f>
        <v>Coalition (CB)</v>
      </c>
      <c r="I1414" s="1" t="str">
        <f aca="false">IF(G1414&gt;0,IF(INDEX(CONFIRM!$I$5:$I$53,G1414)&lt;&gt;"",INDEX(CONFIRM!$I$5:$I$53,G1414),H1414),H1414)</f>
        <v>Coalition (CB)</v>
      </c>
      <c r="J1414" s="1" t="str">
        <f aca="false">IFERROR(INDEX(MAP!$F$7:$F$74,MATCH(TRIM(I1414),MAP!$E$7:$E$74,0)),"UNMAPPED")</f>
        <v>Community building: coalition building</v>
      </c>
      <c r="K1414" s="1" t="str">
        <f aca="false">IFERROR(INDEX(MAP!$G$7:$G$74,MATCH(TRIM(I1414),MAP!$E$7:$E$74,0)),"UNMAPPED")</f>
        <v>II-6</v>
      </c>
      <c r="L1414" s="49" t="str">
        <f aca="false">STACK!G1414</f>
        <v>25-Aug-2025</v>
      </c>
      <c r="M1414" s="59" t="n">
        <f aca="false">IF(G1414&gt;0,IF(INDEX(CONFIRM!$G$5:$G$53,G1414)&lt;&gt;"",INDEX(CONFIRM!$G$5:$G$53,G1414),IF(ISNUMBER(L1414),L1414,IFERROR(DATEVALUE(L1414),""))),IF(ISNUMBER(L1414),L1414,IFERROR(DATEVALUE(L1414),"")))</f>
        <v>45894</v>
      </c>
      <c r="N1414" s="1" t="str">
        <f aca="false">IF(M1414="","Check",IF(AND(M1414&gt;=INPUTS!$C$6,M1414&lt;=INPUTS!$C$7),"Yes","No"))</f>
        <v>Yes</v>
      </c>
      <c r="O1414" s="48" t="str">
        <f aca="false">STACK!H1414</f>
        <v>Director</v>
      </c>
      <c r="P1414" s="1" t="str">
        <f aca="false">IF(G1414&gt;0,IF(INDEX(CONFIRM!$H$5:$H$53,G1414)&lt;&gt;"",INDEX(CONFIRM!$H$5:$H$53,G1414),IFERROR(INDEX(MAP!$B$7:$B$156,MATCH(TRIM(O1414),MAP!$A$7:$A$156,0)),"UNMAPPED")),IFERROR(INDEX(MAP!$B$7:$B$156,MATCH(TRIM(O1414),MAP!$A$7:$A$156,0)),"UNMAPPED"))</f>
        <v>Director</v>
      </c>
      <c r="Q1414" s="48" t="n">
        <f aca="false">STACK!I1414</f>
        <v>2.25</v>
      </c>
      <c r="R1414" s="60" t="n">
        <f aca="false">IF(G1414&gt;0,IF(INDEX(CONFIRM!$F$5:$F$53,G1414)&lt;&gt;"",INDEX(CONFIRM!$F$5:$F$53,G1414),IF(ISNUMBER(Q1414),Q1414,IF(Q1414="","",IFERROR(VALUE(TRIM(SUBSTITUTE(SUBSTITUTE(LOWER(Q1414),"hrs",""),"hr",""))),"")))),IF(ISNUMBER(Q1414),Q1414,IF(Q1414="","",IFERROR(VALUE(TRIM(SUBSTITUTE(SUBSTITUTE(LOWER(Q1414),"hrs",""),"hr",""))),""))))</f>
        <v>2.25</v>
      </c>
      <c r="S1414" s="57" t="n">
        <f aca="false">IFERROR(INDEX(RATES!$E$6:$E$28,MATCH(P1414,RATES!$A$6:$A$28,0)),0)</f>
        <v>92.52</v>
      </c>
      <c r="T1414" s="61" t="n">
        <f aca="false">IF(ISNUMBER(R1414),R1414,0)*S1414</f>
        <v>208.17</v>
      </c>
      <c r="U1414" s="61" t="n">
        <f aca="false">T1414*INDEX(INPUTS!$H$10:$H$14,MATCH(B1414,INPUTS!$A$10:$A$14,0))</f>
        <v>31.43367</v>
      </c>
      <c r="V1414" s="61" t="n">
        <f aca="false">N(STACK!K1414)</f>
        <v>65</v>
      </c>
      <c r="W1414" s="61" t="n">
        <f aca="false">T1414+U1414+V1414</f>
        <v>304.60367</v>
      </c>
      <c r="X1414" s="61" t="n">
        <f aca="false">N(STACK!L1414)</f>
        <v>0</v>
      </c>
      <c r="Y1414" s="61" t="n">
        <f aca="false">W1414-X1414</f>
        <v>304.60367</v>
      </c>
      <c r="Z1414" s="1" t="n">
        <f aca="false">N(STACK!J1414)</f>
        <v>0</v>
      </c>
      <c r="AA1414" s="1" t="str">
        <f aca="false">TRIM(IF(D1414="UNMAPPED","Program not mapped. ","")&amp;IF(OR(K1414="UNMAPPED",K1414="UNASSIGNED"),"Category needs review. ","")&amp;IF(P1414="UNMAPPED","Title not mapped. ","")&amp;IF(AND(P1414&lt;&gt;"No staff time",R1414=""),"Missing hours. ","")&amp;IF(M1414="","Date not readable. ","")&amp;IF(N1414="No","Outside fiscal year. ","")&amp;IF(AND(F1414="Event",ISNUMBER(R1414)),IF(R1414&gt;12,"Event hours look high. ",""),"")&amp;IF(G1414&gt;0,"See CONFIRM sheet.",""))</f>
        <v/>
      </c>
      <c r="AB1414" s="1" t="n">
        <f aca="false">IF(N1414="No",0,IF(REVIEW!O1414=0,0,IF(G1414&gt;0,IF(INDEX(CONFIRM!$J$5:$J$53,G1414)&lt;&gt;"",INDEX(CONFIRM!$J$5:$J$53,G1414),1),1)))</f>
        <v>1</v>
      </c>
      <c r="AC1414" s="1" t="n">
        <f aca="false">IF(AB1414=1,IF(COUNTIFS($B$5:B1414,B1414,$D$5:D1414,D1414,$AB$5:AB1414,1)=1,1,0),0)</f>
        <v>0</v>
      </c>
    </row>
    <row r="1415" customFormat="false" ht="15" hidden="false" customHeight="false" outlineLevel="0" collapsed="false">
      <c r="A1415" s="48" t="str">
        <f aca="false">STACK!A1415</f>
        <v>QHH-0034</v>
      </c>
      <c r="B1415" s="48" t="str">
        <f aca="false">STACK!B1415</f>
        <v>QHH</v>
      </c>
      <c r="C1415" s="48" t="str">
        <f aca="false">STACK!E1415</f>
        <v>Medication Assistance</v>
      </c>
      <c r="D1415" s="1" t="str">
        <f aca="false">IFERROR(INDEX(MAP!$J$7:$J$101,MATCH(TRIM(C1415),MAP!$I$7:$I$101,0)),"UNMAPPED")</f>
        <v>Medication Assistance Program</v>
      </c>
      <c r="E1415" s="1" t="str">
        <f aca="false">IFERROR(INDEX(MAP!$K$7:$K$101,MATCH(TRIM(C1415),MAP!$I$7:$I$101,0)),"")</f>
        <v>Access to care</v>
      </c>
      <c r="F1415" s="1" t="str">
        <f aca="false">IFERROR(INDEX(MAP!$L$7:$L$101,MATCH(TRIM(C1415),MAP!$I$7:$I$101,0)),"")</f>
        <v>Monthly</v>
      </c>
      <c r="G1415" s="1" t="n">
        <f aca="false">IFERROR(MATCH(A1415,CONFIRM!$A$5:$A$53,0),0)</f>
        <v>0</v>
      </c>
      <c r="H1415" s="48" t="str">
        <f aca="false">STACK!F1415</f>
        <v>CHIS - Support</v>
      </c>
      <c r="I1415" s="1" t="str">
        <f aca="false">IF(G1415&gt;0,IF(INDEX(CONFIRM!$I$5:$I$53,G1415)&lt;&gt;"",INDEX(CONFIRM!$I$5:$I$53,G1415),H1415),H1415)</f>
        <v>CHIS - Support</v>
      </c>
      <c r="J1415" s="1" t="str">
        <f aca="false">IFERROR(INDEX(MAP!$F$7:$F$74,MATCH(TRIM(I1415),MAP!$E$7:$E$74,0)),"UNMAPPED")</f>
        <v>Health care support services</v>
      </c>
      <c r="K1415" s="1" t="str">
        <f aca="false">IFERROR(INDEX(MAP!$G$7:$G$74,MATCH(TRIM(I1415),MAP!$E$7:$E$74,0)),"UNMAPPED")</f>
        <v>7e</v>
      </c>
      <c r="L1415" s="49" t="str">
        <f aca="false">STACK!G1415</f>
        <v>31-Aug-2025</v>
      </c>
      <c r="M1415" s="59" t="n">
        <f aca="false">IF(G1415&gt;0,IF(INDEX(CONFIRM!$G$5:$G$53,G1415)&lt;&gt;"",INDEX(CONFIRM!$G$5:$G$53,G1415),IF(ISNUMBER(L1415),L1415,IFERROR(DATEVALUE(L1415),""))),IF(ISNUMBER(L1415),L1415,IFERROR(DATEVALUE(L1415),"")))</f>
        <v>45900</v>
      </c>
      <c r="N1415" s="1" t="str">
        <f aca="false">IF(M1415="","Check",IF(AND(M1415&gt;=INPUTS!$C$6,M1415&lt;=INPUTS!$C$7),"Yes","No"))</f>
        <v>Yes</v>
      </c>
      <c r="O1415" s="48" t="str">
        <f aca="false">STACK!H1415</f>
        <v>Pt Navigator</v>
      </c>
      <c r="P1415" s="1" t="str">
        <f aca="false">IF(G1415&gt;0,IF(INDEX(CONFIRM!$H$5:$H$53,G1415)&lt;&gt;"",INDEX(CONFIRM!$H$5:$H$53,G1415),IFERROR(INDEX(MAP!$B$7:$B$156,MATCH(TRIM(O1415),MAP!$A$7:$A$156,0)),"UNMAPPED")),IFERROR(INDEX(MAP!$B$7:$B$156,MATCH(TRIM(O1415),MAP!$A$7:$A$156,0)),"UNMAPPED"))</f>
        <v>Patient Navigator</v>
      </c>
      <c r="Q1415" s="48" t="n">
        <f aca="false">STACK!I1415</f>
        <v>53.5</v>
      </c>
      <c r="R1415" s="60" t="n">
        <f aca="false">IF(G1415&gt;0,IF(INDEX(CONFIRM!$F$5:$F$53,G1415)&lt;&gt;"",INDEX(CONFIRM!$F$5:$F$53,G1415),IF(ISNUMBER(Q1415),Q1415,IF(Q1415="","",IFERROR(VALUE(TRIM(SUBSTITUTE(SUBSTITUTE(LOWER(Q1415),"hrs",""),"hr",""))),"")))),IF(ISNUMBER(Q1415),Q1415,IF(Q1415="","",IFERROR(VALUE(TRIM(SUBSTITUTE(SUBSTITUTE(LOWER(Q1415),"hrs",""),"hr",""))),""))))</f>
        <v>53.5</v>
      </c>
      <c r="S1415" s="57" t="n">
        <f aca="false">IFERROR(INDEX(RATES!$E$6:$E$28,MATCH(P1415,RATES!$A$6:$A$28,0)),0)</f>
        <v>30.84</v>
      </c>
      <c r="T1415" s="61" t="n">
        <f aca="false">IF(ISNUMBER(R1415),R1415,0)*S1415</f>
        <v>1649.94</v>
      </c>
      <c r="U1415" s="61" t="n">
        <f aca="false">T1415*INDEX(INPUTS!$H$10:$H$14,MATCH(B1415,INPUTS!$A$10:$A$14,0))</f>
        <v>249.14094</v>
      </c>
      <c r="V1415" s="61" t="n">
        <f aca="false">N(STACK!K1415)</f>
        <v>0</v>
      </c>
      <c r="W1415" s="61" t="n">
        <f aca="false">T1415+U1415+V1415</f>
        <v>1899.08094</v>
      </c>
      <c r="X1415" s="61" t="n">
        <f aca="false">N(STACK!L1415)</f>
        <v>0</v>
      </c>
      <c r="Y1415" s="61" t="n">
        <f aca="false">W1415-X1415</f>
        <v>1899.08094</v>
      </c>
      <c r="Z1415" s="1" t="n">
        <f aca="false">N(STACK!J1415)</f>
        <v>0</v>
      </c>
      <c r="AA1415" s="1" t="str">
        <f aca="false">TRIM(IF(D1415="UNMAPPED","Program not mapped. ","")&amp;IF(OR(K1415="UNMAPPED",K1415="UNASSIGNED"),"Category needs review. ","")&amp;IF(P1415="UNMAPPED","Title not mapped. ","")&amp;IF(AND(P1415&lt;&gt;"No staff time",R1415=""),"Missing hours. ","")&amp;IF(M1415="","Date not readable. ","")&amp;IF(N1415="No","Outside fiscal year. ","")&amp;IF(AND(F1415="Event",ISNUMBER(R1415)),IF(R1415&gt;12,"Event hours look high. ",""),"")&amp;IF(G1415&gt;0,"See CONFIRM sheet.",""))</f>
        <v/>
      </c>
      <c r="AB1415" s="1" t="n">
        <f aca="false">IF(N1415="No",0,IF(REVIEW!O1415=0,0,IF(G1415&gt;0,IF(INDEX(CONFIRM!$J$5:$J$53,G1415)&lt;&gt;"",INDEX(CONFIRM!$J$5:$J$53,G1415),1),1)))</f>
        <v>1</v>
      </c>
      <c r="AC1415" s="1" t="n">
        <f aca="false">IF(AB1415=1,IF(COUNTIFS($B$5:B1415,B1415,$D$5:D1415,D1415,$AB$5:AB1415,1)=1,1,0),0)</f>
        <v>0</v>
      </c>
    </row>
    <row r="1416" customFormat="false" ht="15" hidden="false" customHeight="false" outlineLevel="0" collapsed="false">
      <c r="A1416" s="48" t="str">
        <f aca="false">STACK!A1416</f>
        <v>QHH-0035</v>
      </c>
      <c r="B1416" s="48" t="str">
        <f aca="false">STACK!B1416</f>
        <v>QHH</v>
      </c>
      <c r="C1416" s="48" t="str">
        <f aca="false">STACK!E1416</f>
        <v>Medication Assistance</v>
      </c>
      <c r="D1416" s="1" t="str">
        <f aca="false">IFERROR(INDEX(MAP!$J$7:$J$101,MATCH(TRIM(C1416),MAP!$I$7:$I$101,0)),"UNMAPPED")</f>
        <v>Medication Assistance Program</v>
      </c>
      <c r="E1416" s="1" t="str">
        <f aca="false">IFERROR(INDEX(MAP!$K$7:$K$101,MATCH(TRIM(C1416),MAP!$I$7:$I$101,0)),"")</f>
        <v>Access to care</v>
      </c>
      <c r="F1416" s="1" t="str">
        <f aca="false">IFERROR(INDEX(MAP!$L$7:$L$101,MATCH(TRIM(C1416),MAP!$I$7:$I$101,0)),"")</f>
        <v>Monthly</v>
      </c>
      <c r="G1416" s="1" t="n">
        <f aca="false">IFERROR(MATCH(A1416,CONFIRM!$A$5:$A$53,0),0)</f>
        <v>0</v>
      </c>
      <c r="H1416" s="48" t="str">
        <f aca="false">STACK!F1416</f>
        <v>CHIS - Support</v>
      </c>
      <c r="I1416" s="1" t="str">
        <f aca="false">IF(G1416&gt;0,IF(INDEX(CONFIRM!$I$5:$I$53,G1416)&lt;&gt;"",INDEX(CONFIRM!$I$5:$I$53,G1416),H1416),H1416)</f>
        <v>CHIS - Support</v>
      </c>
      <c r="J1416" s="1" t="str">
        <f aca="false">IFERROR(INDEX(MAP!$F$7:$F$74,MATCH(TRIM(I1416),MAP!$E$7:$E$74,0)),"UNMAPPED")</f>
        <v>Health care support services</v>
      </c>
      <c r="K1416" s="1" t="str">
        <f aca="false">IFERROR(INDEX(MAP!$G$7:$G$74,MATCH(TRIM(I1416),MAP!$E$7:$E$74,0)),"UNMAPPED")</f>
        <v>7e</v>
      </c>
      <c r="L1416" s="49" t="str">
        <f aca="false">STACK!G1416</f>
        <v>31-Aug-2025</v>
      </c>
      <c r="M1416" s="59" t="n">
        <f aca="false">IF(G1416&gt;0,IF(INDEX(CONFIRM!$G$5:$G$53,G1416)&lt;&gt;"",INDEX(CONFIRM!$G$5:$G$53,G1416),IF(ISNUMBER(L1416),L1416,IFERROR(DATEVALUE(L1416),""))),IF(ISNUMBER(L1416),L1416,IFERROR(DATEVALUE(L1416),"")))</f>
        <v>45900</v>
      </c>
      <c r="N1416" s="1" t="str">
        <f aca="false">IF(M1416="","Check",IF(AND(M1416&gt;=INPUTS!$C$6,M1416&lt;=INPUTS!$C$7),"Yes","No"))</f>
        <v>Yes</v>
      </c>
      <c r="O1416" s="48" t="str">
        <f aca="false">STACK!H1416</f>
        <v>Pt Navigator</v>
      </c>
      <c r="P1416" s="1" t="str">
        <f aca="false">IF(G1416&gt;0,IF(INDEX(CONFIRM!$H$5:$H$53,G1416)&lt;&gt;"",INDEX(CONFIRM!$H$5:$H$53,G1416),IFERROR(INDEX(MAP!$B$7:$B$156,MATCH(TRIM(O1416),MAP!$A$7:$A$156,0)),"UNMAPPED")),IFERROR(INDEX(MAP!$B$7:$B$156,MATCH(TRIM(O1416),MAP!$A$7:$A$156,0)),"UNMAPPED"))</f>
        <v>Patient Navigator</v>
      </c>
      <c r="Q1416" s="48" t="n">
        <f aca="false">STACK!I1416</f>
        <v>53.5</v>
      </c>
      <c r="R1416" s="60" t="n">
        <f aca="false">IF(G1416&gt;0,IF(INDEX(CONFIRM!$F$5:$F$53,G1416)&lt;&gt;"",INDEX(CONFIRM!$F$5:$F$53,G1416),IF(ISNUMBER(Q1416),Q1416,IF(Q1416="","",IFERROR(VALUE(TRIM(SUBSTITUTE(SUBSTITUTE(LOWER(Q1416),"hrs",""),"hr",""))),"")))),IF(ISNUMBER(Q1416),Q1416,IF(Q1416="","",IFERROR(VALUE(TRIM(SUBSTITUTE(SUBSTITUTE(LOWER(Q1416),"hrs",""),"hr",""))),""))))</f>
        <v>53.5</v>
      </c>
      <c r="S1416" s="57" t="n">
        <f aca="false">IFERROR(INDEX(RATES!$E$6:$E$28,MATCH(P1416,RATES!$A$6:$A$28,0)),0)</f>
        <v>30.84</v>
      </c>
      <c r="T1416" s="61" t="n">
        <f aca="false">IF(ISNUMBER(R1416),R1416,0)*S1416</f>
        <v>1649.94</v>
      </c>
      <c r="U1416" s="61" t="n">
        <f aca="false">T1416*INDEX(INPUTS!$H$10:$H$14,MATCH(B1416,INPUTS!$A$10:$A$14,0))</f>
        <v>249.14094</v>
      </c>
      <c r="V1416" s="61" t="n">
        <f aca="false">N(STACK!K1416)</f>
        <v>0</v>
      </c>
      <c r="W1416" s="61" t="n">
        <f aca="false">T1416+U1416+V1416</f>
        <v>1899.08094</v>
      </c>
      <c r="X1416" s="61" t="n">
        <f aca="false">N(STACK!L1416)</f>
        <v>0</v>
      </c>
      <c r="Y1416" s="61" t="n">
        <f aca="false">W1416-X1416</f>
        <v>1899.08094</v>
      </c>
      <c r="Z1416" s="1" t="n">
        <f aca="false">N(STACK!J1416)</f>
        <v>0</v>
      </c>
      <c r="AA1416" s="1" t="str">
        <f aca="false">TRIM(IF(D1416="UNMAPPED","Program not mapped. ","")&amp;IF(OR(K1416="UNMAPPED",K1416="UNASSIGNED"),"Category needs review. ","")&amp;IF(P1416="UNMAPPED","Title not mapped. ","")&amp;IF(AND(P1416&lt;&gt;"No staff time",R1416=""),"Missing hours. ","")&amp;IF(M1416="","Date not readable. ","")&amp;IF(N1416="No","Outside fiscal year. ","")&amp;IF(AND(F1416="Event",ISNUMBER(R1416)),IF(R1416&gt;12,"Event hours look high. ",""),"")&amp;IF(G1416&gt;0,"See CONFIRM sheet.",""))</f>
        <v/>
      </c>
      <c r="AB1416" s="1" t="n">
        <f aca="false">IF(N1416="No",0,IF(REVIEW!O1416=0,0,IF(G1416&gt;0,IF(INDEX(CONFIRM!$J$5:$J$53,G1416)&lt;&gt;"",INDEX(CONFIRM!$J$5:$J$53,G1416),1),1)))</f>
        <v>0</v>
      </c>
      <c r="AC1416" s="1" t="n">
        <f aca="false">IF(AB1416=1,IF(COUNTIFS($B$5:B1416,B1416,$D$5:D1416,D1416,$AB$5:AB1416,1)=1,1,0),0)</f>
        <v>0</v>
      </c>
    </row>
    <row r="1417" customFormat="false" ht="15" hidden="false" customHeight="false" outlineLevel="0" collapsed="false">
      <c r="A1417" s="48" t="str">
        <f aca="false">STACK!A1417</f>
        <v>QHH-0036</v>
      </c>
      <c r="B1417" s="48" t="str">
        <f aca="false">STACK!B1417</f>
        <v>QHH</v>
      </c>
      <c r="C1417" s="48" t="str">
        <f aca="false">STACK!E1417</f>
        <v>Medication Assistance</v>
      </c>
      <c r="D1417" s="1" t="str">
        <f aca="false">IFERROR(INDEX(MAP!$J$7:$J$101,MATCH(TRIM(C1417),MAP!$I$7:$I$101,0)),"UNMAPPED")</f>
        <v>Medication Assistance Program</v>
      </c>
      <c r="E1417" s="1" t="str">
        <f aca="false">IFERROR(INDEX(MAP!$K$7:$K$101,MATCH(TRIM(C1417),MAP!$I$7:$I$101,0)),"")</f>
        <v>Access to care</v>
      </c>
      <c r="F1417" s="1" t="str">
        <f aca="false">IFERROR(INDEX(MAP!$L$7:$L$101,MATCH(TRIM(C1417),MAP!$I$7:$I$101,0)),"")</f>
        <v>Monthly</v>
      </c>
      <c r="G1417" s="1" t="n">
        <f aca="false">IFERROR(MATCH(A1417,CONFIRM!$A$5:$A$53,0),0)</f>
        <v>0</v>
      </c>
      <c r="H1417" s="48" t="str">
        <f aca="false">STACK!F1417</f>
        <v>CHIS - Support</v>
      </c>
      <c r="I1417" s="1" t="str">
        <f aca="false">IF(G1417&gt;0,IF(INDEX(CONFIRM!$I$5:$I$53,G1417)&lt;&gt;"",INDEX(CONFIRM!$I$5:$I$53,G1417),H1417),H1417)</f>
        <v>CHIS - Support</v>
      </c>
      <c r="J1417" s="1" t="str">
        <f aca="false">IFERROR(INDEX(MAP!$F$7:$F$74,MATCH(TRIM(I1417),MAP!$E$7:$E$74,0)),"UNMAPPED")</f>
        <v>Health care support services</v>
      </c>
      <c r="K1417" s="1" t="str">
        <f aca="false">IFERROR(INDEX(MAP!$G$7:$G$74,MATCH(TRIM(I1417),MAP!$E$7:$E$74,0)),"UNMAPPED")</f>
        <v>7e</v>
      </c>
      <c r="L1417" s="49" t="str">
        <f aca="false">STACK!G1417</f>
        <v>31-Aug-2025</v>
      </c>
      <c r="M1417" s="59" t="n">
        <f aca="false">IF(G1417&gt;0,IF(INDEX(CONFIRM!$G$5:$G$53,G1417)&lt;&gt;"",INDEX(CONFIRM!$G$5:$G$53,G1417),IF(ISNUMBER(L1417),L1417,IFERROR(DATEVALUE(L1417),""))),IF(ISNUMBER(L1417),L1417,IFERROR(DATEVALUE(L1417),"")))</f>
        <v>45900</v>
      </c>
      <c r="N1417" s="1" t="str">
        <f aca="false">IF(M1417="","Check",IF(AND(M1417&gt;=INPUTS!$C$6,M1417&lt;=INPUTS!$C$7),"Yes","No"))</f>
        <v>Yes</v>
      </c>
      <c r="O1417" s="48" t="str">
        <f aca="false">STACK!H1417</f>
        <v>RPh</v>
      </c>
      <c r="P1417" s="1" t="str">
        <f aca="false">IF(G1417&gt;0,IF(INDEX(CONFIRM!$H$5:$H$53,G1417)&lt;&gt;"",INDEX(CONFIRM!$H$5:$H$53,G1417),IFERROR(INDEX(MAP!$B$7:$B$156,MATCH(TRIM(O1417),MAP!$A$7:$A$156,0)),"UNMAPPED")),IFERROR(INDEX(MAP!$B$7:$B$156,MATCH(TRIM(O1417),MAP!$A$7:$A$156,0)),"UNMAPPED"))</f>
        <v>Pharmacist</v>
      </c>
      <c r="Q1417" s="48" t="n">
        <f aca="false">STACK!I1417</f>
        <v>20.5</v>
      </c>
      <c r="R1417" s="60" t="n">
        <f aca="false">IF(G1417&gt;0,IF(INDEX(CONFIRM!$F$5:$F$53,G1417)&lt;&gt;"",INDEX(CONFIRM!$F$5:$F$53,G1417),IF(ISNUMBER(Q1417),Q1417,IF(Q1417="","",IFERROR(VALUE(TRIM(SUBSTITUTE(SUBSTITUTE(LOWER(Q1417),"hrs",""),"hr",""))),"")))),IF(ISNUMBER(Q1417),Q1417,IF(Q1417="","",IFERROR(VALUE(TRIM(SUBSTITUTE(SUBSTITUTE(LOWER(Q1417),"hrs",""),"hr",""))),""))))</f>
        <v>20.5</v>
      </c>
      <c r="S1417" s="57" t="n">
        <f aca="false">IFERROR(INDEX(RATES!$E$6:$E$28,MATCH(P1417,RATES!$A$6:$A$28,0)),0)</f>
        <v>84.81</v>
      </c>
      <c r="T1417" s="61" t="n">
        <f aca="false">IF(ISNUMBER(R1417),R1417,0)*S1417</f>
        <v>1738.605</v>
      </c>
      <c r="U1417" s="61" t="n">
        <f aca="false">T1417*INDEX(INPUTS!$H$10:$H$14,MATCH(B1417,INPUTS!$A$10:$A$14,0))</f>
        <v>262.529355</v>
      </c>
      <c r="V1417" s="61" t="n">
        <f aca="false">N(STACK!K1417)</f>
        <v>19865</v>
      </c>
      <c r="W1417" s="61" t="n">
        <f aca="false">T1417+U1417+V1417</f>
        <v>21866.134355</v>
      </c>
      <c r="X1417" s="61" t="n">
        <f aca="false">N(STACK!L1417)</f>
        <v>0</v>
      </c>
      <c r="Y1417" s="61" t="n">
        <f aca="false">W1417-X1417</f>
        <v>21866.134355</v>
      </c>
      <c r="Z1417" s="1" t="n">
        <f aca="false">N(STACK!J1417)</f>
        <v>107</v>
      </c>
      <c r="AA1417" s="1" t="str">
        <f aca="false">TRIM(IF(D1417="UNMAPPED","Program not mapped. ","")&amp;IF(OR(K1417="UNMAPPED",K1417="UNASSIGNED"),"Category needs review. ","")&amp;IF(P1417="UNMAPPED","Title not mapped. ","")&amp;IF(AND(P1417&lt;&gt;"No staff time",R1417=""),"Missing hours. ","")&amp;IF(M1417="","Date not readable. ","")&amp;IF(N1417="No","Outside fiscal year. ","")&amp;IF(AND(F1417="Event",ISNUMBER(R1417)),IF(R1417&gt;12,"Event hours look high. ",""),"")&amp;IF(G1417&gt;0,"See CONFIRM sheet.",""))</f>
        <v/>
      </c>
      <c r="AB1417" s="1" t="n">
        <f aca="false">IF(N1417="No",0,IF(REVIEW!O1417=0,0,IF(G1417&gt;0,IF(INDEX(CONFIRM!$J$5:$J$53,G1417)&lt;&gt;"",INDEX(CONFIRM!$J$5:$J$53,G1417),1),1)))</f>
        <v>1</v>
      </c>
      <c r="AC1417" s="1" t="n">
        <f aca="false">IF(AB1417=1,IF(COUNTIFS($B$5:B1417,B1417,$D$5:D1417,D1417,$AB$5:AB1417,1)=1,1,0),0)</f>
        <v>0</v>
      </c>
    </row>
    <row r="1418" customFormat="false" ht="15" hidden="false" customHeight="false" outlineLevel="0" collapsed="false">
      <c r="A1418" s="48" t="str">
        <f aca="false">STACK!A1418</f>
        <v>QHH-0037</v>
      </c>
      <c r="B1418" s="48" t="str">
        <f aca="false">STACK!B1418</f>
        <v>QHH</v>
      </c>
      <c r="C1418" s="48" t="str">
        <f aca="false">STACK!E1418</f>
        <v>Medication Assistance</v>
      </c>
      <c r="D1418" s="1" t="str">
        <f aca="false">IFERROR(INDEX(MAP!$J$7:$J$101,MATCH(TRIM(C1418),MAP!$I$7:$I$101,0)),"UNMAPPED")</f>
        <v>Medication Assistance Program</v>
      </c>
      <c r="E1418" s="1" t="str">
        <f aca="false">IFERROR(INDEX(MAP!$K$7:$K$101,MATCH(TRIM(C1418),MAP!$I$7:$I$101,0)),"")</f>
        <v>Access to care</v>
      </c>
      <c r="F1418" s="1" t="str">
        <f aca="false">IFERROR(INDEX(MAP!$L$7:$L$101,MATCH(TRIM(C1418),MAP!$I$7:$I$101,0)),"")</f>
        <v>Monthly</v>
      </c>
      <c r="G1418" s="1" t="n">
        <f aca="false">IFERROR(MATCH(A1418,CONFIRM!$A$5:$A$53,0),0)</f>
        <v>0</v>
      </c>
      <c r="H1418" s="48" t="str">
        <f aca="false">STACK!F1418</f>
        <v>CHIS - Support</v>
      </c>
      <c r="I1418" s="1" t="str">
        <f aca="false">IF(G1418&gt;0,IF(INDEX(CONFIRM!$I$5:$I$53,G1418)&lt;&gt;"",INDEX(CONFIRM!$I$5:$I$53,G1418),H1418),H1418)</f>
        <v>CHIS - Support</v>
      </c>
      <c r="J1418" s="1" t="str">
        <f aca="false">IFERROR(INDEX(MAP!$F$7:$F$74,MATCH(TRIM(I1418),MAP!$E$7:$E$74,0)),"UNMAPPED")</f>
        <v>Health care support services</v>
      </c>
      <c r="K1418" s="1" t="str">
        <f aca="false">IFERROR(INDEX(MAP!$G$7:$G$74,MATCH(TRIM(I1418),MAP!$E$7:$E$74,0)),"UNMAPPED")</f>
        <v>7e</v>
      </c>
      <c r="L1418" s="49" t="str">
        <f aca="false">STACK!G1418</f>
        <v>31-Aug-2025</v>
      </c>
      <c r="M1418" s="59" t="n">
        <f aca="false">IF(G1418&gt;0,IF(INDEX(CONFIRM!$G$5:$G$53,G1418)&lt;&gt;"",INDEX(CONFIRM!$G$5:$G$53,G1418),IF(ISNUMBER(L1418),L1418,IFERROR(DATEVALUE(L1418),""))),IF(ISNUMBER(L1418),L1418,IFERROR(DATEVALUE(L1418),"")))</f>
        <v>45900</v>
      </c>
      <c r="N1418" s="1" t="str">
        <f aca="false">IF(M1418="","Check",IF(AND(M1418&gt;=INPUTS!$C$6,M1418&lt;=INPUTS!$C$7),"Yes","No"))</f>
        <v>Yes</v>
      </c>
      <c r="O1418" s="48" t="str">
        <f aca="false">STACK!H1418</f>
        <v>RPh</v>
      </c>
      <c r="P1418" s="1" t="str">
        <f aca="false">IF(G1418&gt;0,IF(INDEX(CONFIRM!$H$5:$H$53,G1418)&lt;&gt;"",INDEX(CONFIRM!$H$5:$H$53,G1418),IFERROR(INDEX(MAP!$B$7:$B$156,MATCH(TRIM(O1418),MAP!$A$7:$A$156,0)),"UNMAPPED")),IFERROR(INDEX(MAP!$B$7:$B$156,MATCH(TRIM(O1418),MAP!$A$7:$A$156,0)),"UNMAPPED"))</f>
        <v>Pharmacist</v>
      </c>
      <c r="Q1418" s="48" t="n">
        <f aca="false">STACK!I1418</f>
        <v>20.5</v>
      </c>
      <c r="R1418" s="60" t="n">
        <f aca="false">IF(G1418&gt;0,IF(INDEX(CONFIRM!$F$5:$F$53,G1418)&lt;&gt;"",INDEX(CONFIRM!$F$5:$F$53,G1418),IF(ISNUMBER(Q1418),Q1418,IF(Q1418="","",IFERROR(VALUE(TRIM(SUBSTITUTE(SUBSTITUTE(LOWER(Q1418),"hrs",""),"hr",""))),"")))),IF(ISNUMBER(Q1418),Q1418,IF(Q1418="","",IFERROR(VALUE(TRIM(SUBSTITUTE(SUBSTITUTE(LOWER(Q1418),"hrs",""),"hr",""))),""))))</f>
        <v>20.5</v>
      </c>
      <c r="S1418" s="57" t="n">
        <f aca="false">IFERROR(INDEX(RATES!$E$6:$E$28,MATCH(P1418,RATES!$A$6:$A$28,0)),0)</f>
        <v>84.81</v>
      </c>
      <c r="T1418" s="61" t="n">
        <f aca="false">IF(ISNUMBER(R1418),R1418,0)*S1418</f>
        <v>1738.605</v>
      </c>
      <c r="U1418" s="61" t="n">
        <f aca="false">T1418*INDEX(INPUTS!$H$10:$H$14,MATCH(B1418,INPUTS!$A$10:$A$14,0))</f>
        <v>262.529355</v>
      </c>
      <c r="V1418" s="61" t="n">
        <f aca="false">N(STACK!K1418)</f>
        <v>19865</v>
      </c>
      <c r="W1418" s="61" t="n">
        <f aca="false">T1418+U1418+V1418</f>
        <v>21866.134355</v>
      </c>
      <c r="X1418" s="61" t="n">
        <f aca="false">N(STACK!L1418)</f>
        <v>0</v>
      </c>
      <c r="Y1418" s="61" t="n">
        <f aca="false">W1418-X1418</f>
        <v>21866.134355</v>
      </c>
      <c r="Z1418" s="1" t="n">
        <f aca="false">N(STACK!J1418)</f>
        <v>107</v>
      </c>
      <c r="AA1418" s="1" t="str">
        <f aca="false">TRIM(IF(D1418="UNMAPPED","Program not mapped. ","")&amp;IF(OR(K1418="UNMAPPED",K1418="UNASSIGNED"),"Category needs review. ","")&amp;IF(P1418="UNMAPPED","Title not mapped. ","")&amp;IF(AND(P1418&lt;&gt;"No staff time",R1418=""),"Missing hours. ","")&amp;IF(M1418="","Date not readable. ","")&amp;IF(N1418="No","Outside fiscal year. ","")&amp;IF(AND(F1418="Event",ISNUMBER(R1418)),IF(R1418&gt;12,"Event hours look high. ",""),"")&amp;IF(G1418&gt;0,"See CONFIRM sheet.",""))</f>
        <v/>
      </c>
      <c r="AB1418" s="1" t="n">
        <f aca="false">IF(N1418="No",0,IF(REVIEW!O1418=0,0,IF(G1418&gt;0,IF(INDEX(CONFIRM!$J$5:$J$53,G1418)&lt;&gt;"",INDEX(CONFIRM!$J$5:$J$53,G1418),1),1)))</f>
        <v>0</v>
      </c>
      <c r="AC1418" s="1" t="n">
        <f aca="false">IF(AB1418=1,IF(COUNTIFS($B$5:B1418,B1418,$D$5:D1418,D1418,$AB$5:AB1418,1)=1,1,0),0)</f>
        <v>0</v>
      </c>
    </row>
    <row r="1419" customFormat="false" ht="15" hidden="false" customHeight="false" outlineLevel="0" collapsed="false">
      <c r="A1419" s="48" t="str">
        <f aca="false">STACK!A1419</f>
        <v>QHH-0038</v>
      </c>
      <c r="B1419" s="48" t="str">
        <f aca="false">STACK!B1419</f>
        <v>QHH</v>
      </c>
      <c r="C1419" s="48" t="str">
        <f aca="false">STACK!E1419</f>
        <v>Community Benefit Admin.</v>
      </c>
      <c r="D1419" s="1" t="str">
        <f aca="false">IFERROR(INDEX(MAP!$J$7:$J$101,MATCH(TRIM(C1419),MAP!$I$7:$I$101,0)),"UNMAPPED")</f>
        <v>Community Benefit Program Administration</v>
      </c>
      <c r="E1419" s="1" t="str">
        <f aca="false">IFERROR(INDEX(MAP!$K$7:$K$101,MATCH(TRIM(C1419),MAP!$I$7:$I$101,0)),"")</f>
        <v>Community benefit infrastructure</v>
      </c>
      <c r="F1419" s="1" t="str">
        <f aca="false">IFERROR(INDEX(MAP!$L$7:$L$101,MATCH(TRIM(C1419),MAP!$I$7:$I$101,0)),"")</f>
        <v>Monthly</v>
      </c>
      <c r="G1419" s="1" t="n">
        <f aca="false">IFERROR(MATCH(A1419,CONFIRM!$A$5:$A$53,0),0)</f>
        <v>0</v>
      </c>
      <c r="H1419" s="48" t="str">
        <f aca="false">STACK!F1419</f>
        <v>CBO</v>
      </c>
      <c r="I1419" s="1" t="str">
        <f aca="false">IF(G1419&gt;0,IF(INDEX(CONFIRM!$I$5:$I$53,G1419)&lt;&gt;"",INDEX(CONFIRM!$I$5:$I$53,G1419),H1419),H1419)</f>
        <v>CBO</v>
      </c>
      <c r="J1419" s="1" t="str">
        <f aca="false">IFERROR(INDEX(MAP!$F$7:$F$74,MATCH(TRIM(I1419),MAP!$E$7:$E$74,0)),"UNMAPPED")</f>
        <v>Community benefit operations</v>
      </c>
      <c r="K1419" s="1" t="str">
        <f aca="false">IFERROR(INDEX(MAP!$G$7:$G$74,MATCH(TRIM(I1419),MAP!$E$7:$E$74,0)),"UNMAPPED")</f>
        <v>7e</v>
      </c>
      <c r="L1419" s="49" t="str">
        <f aca="false">STACK!G1419</f>
        <v>31-Aug-2025</v>
      </c>
      <c r="M1419" s="59" t="n">
        <f aca="false">IF(G1419&gt;0,IF(INDEX(CONFIRM!$G$5:$G$53,G1419)&lt;&gt;"",INDEX(CONFIRM!$G$5:$G$53,G1419),IF(ISNUMBER(L1419),L1419,IFERROR(DATEVALUE(L1419),""))),IF(ISNUMBER(L1419),L1419,IFERROR(DATEVALUE(L1419),"")))</f>
        <v>45900</v>
      </c>
      <c r="N1419" s="1" t="str">
        <f aca="false">IF(M1419="","Check",IF(AND(M1419&gt;=INPUTS!$C$6,M1419&lt;=INPUTS!$C$7),"Yes","No"))</f>
        <v>Yes</v>
      </c>
      <c r="O1419" s="48" t="str">
        <f aca="false">STACK!H1419</f>
        <v>Unit Secretary</v>
      </c>
      <c r="P1419" s="1" t="str">
        <f aca="false">IF(G1419&gt;0,IF(INDEX(CONFIRM!$H$5:$H$53,G1419)&lt;&gt;"",INDEX(CONFIRM!$H$5:$H$53,G1419),IFERROR(INDEX(MAP!$B$7:$B$156,MATCH(TRIM(O1419),MAP!$A$7:$A$156,0)),"UNMAPPED")),IFERROR(INDEX(MAP!$B$7:$B$156,MATCH(TRIM(O1419),MAP!$A$7:$A$156,0)),"UNMAPPED"))</f>
        <v>Administrative Assistant</v>
      </c>
      <c r="Q1419" s="48" t="n">
        <f aca="false">STACK!I1419</f>
        <v>32.75</v>
      </c>
      <c r="R1419" s="60" t="n">
        <f aca="false">IF(G1419&gt;0,IF(INDEX(CONFIRM!$F$5:$F$53,G1419)&lt;&gt;"",INDEX(CONFIRM!$F$5:$F$53,G1419),IF(ISNUMBER(Q1419),Q1419,IF(Q1419="","",IFERROR(VALUE(TRIM(SUBSTITUTE(SUBSTITUTE(LOWER(Q1419),"hrs",""),"hr",""))),"")))),IF(ISNUMBER(Q1419),Q1419,IF(Q1419="","",IFERROR(VALUE(TRIM(SUBSTITUTE(SUBSTITUTE(LOWER(Q1419),"hrs",""),"hr",""))),""))))</f>
        <v>32.75</v>
      </c>
      <c r="S1419" s="57" t="n">
        <f aca="false">IFERROR(INDEX(RATES!$E$6:$E$28,MATCH(P1419,RATES!$A$6:$A$28,0)),0)</f>
        <v>26.985</v>
      </c>
      <c r="T1419" s="61" t="n">
        <f aca="false">IF(ISNUMBER(R1419),R1419,0)*S1419</f>
        <v>883.75875</v>
      </c>
      <c r="U1419" s="61" t="n">
        <f aca="false">T1419*INDEX(INPUTS!$H$10:$H$14,MATCH(B1419,INPUTS!$A$10:$A$14,0))</f>
        <v>133.44757125</v>
      </c>
      <c r="V1419" s="61" t="n">
        <f aca="false">N(STACK!K1419)</f>
        <v>0</v>
      </c>
      <c r="W1419" s="61" t="n">
        <f aca="false">T1419+U1419+V1419</f>
        <v>1017.20632125</v>
      </c>
      <c r="X1419" s="61" t="n">
        <f aca="false">N(STACK!L1419)</f>
        <v>0</v>
      </c>
      <c r="Y1419" s="61" t="n">
        <f aca="false">W1419-X1419</f>
        <v>1017.20632125</v>
      </c>
      <c r="Z1419" s="1" t="n">
        <f aca="false">N(STACK!J1419)</f>
        <v>0</v>
      </c>
      <c r="AA1419" s="1" t="str">
        <f aca="false">TRIM(IF(D1419="UNMAPPED","Program not mapped. ","")&amp;IF(OR(K1419="UNMAPPED",K1419="UNASSIGNED"),"Category needs review. ","")&amp;IF(P1419="UNMAPPED","Title not mapped. ","")&amp;IF(AND(P1419&lt;&gt;"No staff time",R1419=""),"Missing hours. ","")&amp;IF(M1419="","Date not readable. ","")&amp;IF(N1419="No","Outside fiscal year. ","")&amp;IF(AND(F1419="Event",ISNUMBER(R1419)),IF(R1419&gt;12,"Event hours look high. ",""),"")&amp;IF(G1419&gt;0,"See CONFIRM sheet.",""))</f>
        <v/>
      </c>
      <c r="AB1419" s="1" t="n">
        <f aca="false">IF(N1419="No",0,IF(REVIEW!O1419=0,0,IF(G1419&gt;0,IF(INDEX(CONFIRM!$J$5:$J$53,G1419)&lt;&gt;"",INDEX(CONFIRM!$J$5:$J$53,G1419),1),1)))</f>
        <v>1</v>
      </c>
      <c r="AC1419" s="1" t="n">
        <f aca="false">IF(AB1419=1,IF(COUNTIFS($B$5:B1419,B1419,$D$5:D1419,D1419,$AB$5:AB1419,1)=1,1,0),0)</f>
        <v>0</v>
      </c>
    </row>
    <row r="1420" customFormat="false" ht="15" hidden="false" customHeight="false" outlineLevel="0" collapsed="false">
      <c r="A1420" s="48" t="str">
        <f aca="false">STACK!A1420</f>
        <v>QHH-0039</v>
      </c>
      <c r="B1420" s="48" t="str">
        <f aca="false">STACK!B1420</f>
        <v>QHH</v>
      </c>
      <c r="C1420" s="48" t="str">
        <f aca="false">STACK!E1420</f>
        <v>Community Benefit Admin.</v>
      </c>
      <c r="D1420" s="1" t="str">
        <f aca="false">IFERROR(INDEX(MAP!$J$7:$J$101,MATCH(TRIM(C1420),MAP!$I$7:$I$101,0)),"UNMAPPED")</f>
        <v>Community Benefit Program Administration</v>
      </c>
      <c r="E1420" s="1" t="str">
        <f aca="false">IFERROR(INDEX(MAP!$K$7:$K$101,MATCH(TRIM(C1420),MAP!$I$7:$I$101,0)),"")</f>
        <v>Community benefit infrastructure</v>
      </c>
      <c r="F1420" s="1" t="str">
        <f aca="false">IFERROR(INDEX(MAP!$L$7:$L$101,MATCH(TRIM(C1420),MAP!$I$7:$I$101,0)),"")</f>
        <v>Monthly</v>
      </c>
      <c r="G1420" s="1" t="n">
        <f aca="false">IFERROR(MATCH(A1420,CONFIRM!$A$5:$A$53,0),0)</f>
        <v>0</v>
      </c>
      <c r="H1420" s="48" t="str">
        <f aca="false">STACK!F1420</f>
        <v>CBO</v>
      </c>
      <c r="I1420" s="1" t="str">
        <f aca="false">IF(G1420&gt;0,IF(INDEX(CONFIRM!$I$5:$I$53,G1420)&lt;&gt;"",INDEX(CONFIRM!$I$5:$I$53,G1420),H1420),H1420)</f>
        <v>CBO</v>
      </c>
      <c r="J1420" s="1" t="str">
        <f aca="false">IFERROR(INDEX(MAP!$F$7:$F$74,MATCH(TRIM(I1420),MAP!$E$7:$E$74,0)),"UNMAPPED")</f>
        <v>Community benefit operations</v>
      </c>
      <c r="K1420" s="1" t="str">
        <f aca="false">IFERROR(INDEX(MAP!$G$7:$G$74,MATCH(TRIM(I1420),MAP!$E$7:$E$74,0)),"UNMAPPED")</f>
        <v>7e</v>
      </c>
      <c r="L1420" s="49" t="str">
        <f aca="false">STACK!G1420</f>
        <v>31-Aug-2025</v>
      </c>
      <c r="M1420" s="59" t="n">
        <f aca="false">IF(G1420&gt;0,IF(INDEX(CONFIRM!$G$5:$G$53,G1420)&lt;&gt;"",INDEX(CONFIRM!$G$5:$G$53,G1420),IF(ISNUMBER(L1420),L1420,IFERROR(DATEVALUE(L1420),""))),IF(ISNUMBER(L1420),L1420,IFERROR(DATEVALUE(L1420),"")))</f>
        <v>45900</v>
      </c>
      <c r="N1420" s="1" t="str">
        <f aca="false">IF(M1420="","Check",IF(AND(M1420&gt;=INPUTS!$C$6,M1420&lt;=INPUTS!$C$7),"Yes","No"))</f>
        <v>Yes</v>
      </c>
      <c r="O1420" s="48" t="str">
        <f aca="false">STACK!H1420</f>
        <v>Community Benefit Mgr</v>
      </c>
      <c r="P1420" s="1" t="str">
        <f aca="false">IF(G1420&gt;0,IF(INDEX(CONFIRM!$H$5:$H$53,G1420)&lt;&gt;"",INDEX(CONFIRM!$H$5:$H$53,G1420),IFERROR(INDEX(MAP!$B$7:$B$156,MATCH(TRIM(O1420),MAP!$A$7:$A$156,0)),"UNMAPPED")),IFERROR(INDEX(MAP!$B$7:$B$156,MATCH(TRIM(O1420),MAP!$A$7:$A$156,0)),"UNMAPPED"))</f>
        <v>Community Benefit Manager</v>
      </c>
      <c r="Q1420" s="48" t="n">
        <f aca="false">STACK!I1420</f>
        <v>61.25</v>
      </c>
      <c r="R1420" s="60" t="n">
        <f aca="false">IF(G1420&gt;0,IF(INDEX(CONFIRM!$F$5:$F$53,G1420)&lt;&gt;"",INDEX(CONFIRM!$F$5:$F$53,G1420),IF(ISNUMBER(Q1420),Q1420,IF(Q1420="","",IFERROR(VALUE(TRIM(SUBSTITUTE(SUBSTITUTE(LOWER(Q1420),"hrs",""),"hr",""))),"")))),IF(ISNUMBER(Q1420),Q1420,IF(Q1420="","",IFERROR(VALUE(TRIM(SUBSTITUTE(SUBSTITUTE(LOWER(Q1420),"hrs",""),"hr",""))),""))))</f>
        <v>61.25</v>
      </c>
      <c r="S1420" s="57" t="n">
        <f aca="false">IFERROR(INDEX(RATES!$E$6:$E$28,MATCH(P1420,RATES!$A$6:$A$28,0)),0)</f>
        <v>59.11</v>
      </c>
      <c r="T1420" s="61" t="n">
        <f aca="false">IF(ISNUMBER(R1420),R1420,0)*S1420</f>
        <v>3620.4875</v>
      </c>
      <c r="U1420" s="61" t="n">
        <f aca="false">T1420*INDEX(INPUTS!$H$10:$H$14,MATCH(B1420,INPUTS!$A$10:$A$14,0))</f>
        <v>546.6936125</v>
      </c>
      <c r="V1420" s="61" t="n">
        <f aca="false">N(STACK!K1420)</f>
        <v>485</v>
      </c>
      <c r="W1420" s="61" t="n">
        <f aca="false">T1420+U1420+V1420</f>
        <v>4652.1811125</v>
      </c>
      <c r="X1420" s="61" t="n">
        <f aca="false">N(STACK!L1420)</f>
        <v>0</v>
      </c>
      <c r="Y1420" s="61" t="n">
        <f aca="false">W1420-X1420</f>
        <v>4652.1811125</v>
      </c>
      <c r="Z1420" s="1" t="n">
        <f aca="false">N(STACK!J1420)</f>
        <v>0</v>
      </c>
      <c r="AA1420" s="1" t="str">
        <f aca="false">TRIM(IF(D1420="UNMAPPED","Program not mapped. ","")&amp;IF(OR(K1420="UNMAPPED",K1420="UNASSIGNED"),"Category needs review. ","")&amp;IF(P1420="UNMAPPED","Title not mapped. ","")&amp;IF(AND(P1420&lt;&gt;"No staff time",R1420=""),"Missing hours. ","")&amp;IF(M1420="","Date not readable. ","")&amp;IF(N1420="No","Outside fiscal year. ","")&amp;IF(AND(F1420="Event",ISNUMBER(R1420)),IF(R1420&gt;12,"Event hours look high. ",""),"")&amp;IF(G1420&gt;0,"See CONFIRM sheet.",""))</f>
        <v/>
      </c>
      <c r="AB1420" s="1" t="n">
        <f aca="false">IF(N1420="No",0,IF(REVIEW!O1420=0,0,IF(G1420&gt;0,IF(INDEX(CONFIRM!$J$5:$J$53,G1420)&lt;&gt;"",INDEX(CONFIRM!$J$5:$J$53,G1420),1),1)))</f>
        <v>1</v>
      </c>
      <c r="AC1420" s="1" t="n">
        <f aca="false">IF(AB1420=1,IF(COUNTIFS($B$5:B1420,B1420,$D$5:D1420,D1420,$AB$5:AB1420,1)=1,1,0),0)</f>
        <v>0</v>
      </c>
    </row>
    <row r="1421" customFormat="false" ht="15" hidden="false" customHeight="false" outlineLevel="0" collapsed="false">
      <c r="A1421" s="48" t="str">
        <f aca="false">STACK!A1421</f>
        <v>QHH-0040</v>
      </c>
      <c r="B1421" s="48" t="str">
        <f aca="false">STACK!B1421</f>
        <v>QHH</v>
      </c>
      <c r="C1421" s="48" t="str">
        <f aca="false">STACK!E1421</f>
        <v>Community Paramedicine</v>
      </c>
      <c r="D1421" s="1" t="str">
        <f aca="false">IFERROR(INDEX(MAP!$J$7:$J$101,MATCH(TRIM(C1421),MAP!$I$7:$I$101,0)),"UNMAPPED")</f>
        <v>Community Paramedic Home Visits</v>
      </c>
      <c r="E1421" s="1" t="str">
        <f aca="false">IFERROR(INDEX(MAP!$K$7:$K$101,MATCH(TRIM(C1421),MAP!$I$7:$I$101,0)),"")</f>
        <v>Access to care</v>
      </c>
      <c r="F1421" s="1" t="str">
        <f aca="false">IFERROR(INDEX(MAP!$L$7:$L$101,MATCH(TRIM(C1421),MAP!$I$7:$I$101,0)),"")</f>
        <v>Monthly</v>
      </c>
      <c r="G1421" s="1" t="n">
        <f aca="false">IFERROR(MATCH(A1421,CONFIRM!$A$5:$A$53,0),0)</f>
        <v>0</v>
      </c>
      <c r="H1421" s="48" t="str">
        <f aca="false">STACK!F1421</f>
        <v>CHIS - Clinical</v>
      </c>
      <c r="I1421" s="1" t="str">
        <f aca="false">IF(G1421&gt;0,IF(INDEX(CONFIRM!$I$5:$I$53,G1421)&lt;&gt;"",INDEX(CONFIRM!$I$5:$I$53,G1421),H1421),H1421)</f>
        <v>CHIS - Clinical</v>
      </c>
      <c r="J1421" s="1" t="str">
        <f aca="false">IFERROR(INDEX(MAP!$F$7:$F$74,MATCH(TRIM(I1421),MAP!$E$7:$E$74,0)),"UNMAPPED")</f>
        <v>Community-based clinical services</v>
      </c>
      <c r="K1421" s="1" t="str">
        <f aca="false">IFERROR(INDEX(MAP!$G$7:$G$74,MATCH(TRIM(I1421),MAP!$E$7:$E$74,0)),"UNMAPPED")</f>
        <v>7e</v>
      </c>
      <c r="L1421" s="49" t="str">
        <f aca="false">STACK!G1421</f>
        <v>31-Aug-2025</v>
      </c>
      <c r="M1421" s="59" t="n">
        <f aca="false">IF(G1421&gt;0,IF(INDEX(CONFIRM!$G$5:$G$53,G1421)&lt;&gt;"",INDEX(CONFIRM!$G$5:$G$53,G1421),IF(ISNUMBER(L1421),L1421,IFERROR(DATEVALUE(L1421),""))),IF(ISNUMBER(L1421),L1421,IFERROR(DATEVALUE(L1421),"")))</f>
        <v>45900</v>
      </c>
      <c r="N1421" s="1" t="str">
        <f aca="false">IF(M1421="","Check",IF(AND(M1421&gt;=INPUTS!$C$6,M1421&lt;=INPUTS!$C$7),"Yes","No"))</f>
        <v>Yes</v>
      </c>
      <c r="O1421" s="48" t="str">
        <f aca="false">STACK!H1421</f>
        <v>EMS Paramedic</v>
      </c>
      <c r="P1421" s="1" t="str">
        <f aca="false">IF(G1421&gt;0,IF(INDEX(CONFIRM!$H$5:$H$53,G1421)&lt;&gt;"",INDEX(CONFIRM!$H$5:$H$53,G1421),IFERROR(INDEX(MAP!$B$7:$B$156,MATCH(TRIM(O1421),MAP!$A$7:$A$156,0)),"UNMAPPED")),IFERROR(INDEX(MAP!$B$7:$B$156,MATCH(TRIM(O1421),MAP!$A$7:$A$156,0)),"UNMAPPED"))</f>
        <v>Paramedic</v>
      </c>
      <c r="Q1421" s="48" t="n">
        <f aca="false">STACK!I1421</f>
        <v>67</v>
      </c>
      <c r="R1421" s="60" t="n">
        <f aca="false">IF(G1421&gt;0,IF(INDEX(CONFIRM!$F$5:$F$53,G1421)&lt;&gt;"",INDEX(CONFIRM!$F$5:$F$53,G1421),IF(ISNUMBER(Q1421),Q1421,IF(Q1421="","",IFERROR(VALUE(TRIM(SUBSTITUTE(SUBSTITUTE(LOWER(Q1421),"hrs",""),"hr",""))),"")))),IF(ISNUMBER(Q1421),Q1421,IF(Q1421="","",IFERROR(VALUE(TRIM(SUBSTITUTE(SUBSTITUTE(LOWER(Q1421),"hrs",""),"hr",""))),""))))</f>
        <v>67</v>
      </c>
      <c r="S1421" s="57" t="n">
        <f aca="false">IFERROR(INDEX(RATES!$E$6:$E$28,MATCH(P1421,RATES!$A$6:$A$28,0)),0)</f>
        <v>34.695</v>
      </c>
      <c r="T1421" s="61" t="n">
        <f aca="false">IF(ISNUMBER(R1421),R1421,0)*S1421</f>
        <v>2324.565</v>
      </c>
      <c r="U1421" s="61" t="n">
        <f aca="false">T1421*INDEX(INPUTS!$H$10:$H$14,MATCH(B1421,INPUTS!$A$10:$A$14,0))</f>
        <v>351.009315</v>
      </c>
      <c r="V1421" s="61" t="n">
        <f aca="false">N(STACK!K1421)</f>
        <v>1290</v>
      </c>
      <c r="W1421" s="61" t="n">
        <f aca="false">T1421+U1421+V1421</f>
        <v>3965.574315</v>
      </c>
      <c r="X1421" s="61" t="n">
        <f aca="false">N(STACK!L1421)</f>
        <v>0</v>
      </c>
      <c r="Y1421" s="61" t="n">
        <f aca="false">W1421-X1421</f>
        <v>3965.574315</v>
      </c>
      <c r="Z1421" s="1" t="n">
        <f aca="false">N(STACK!J1421)</f>
        <v>76</v>
      </c>
      <c r="AA1421" s="1" t="str">
        <f aca="false">TRIM(IF(D1421="UNMAPPED","Program not mapped. ","")&amp;IF(OR(K1421="UNMAPPED",K1421="UNASSIGNED"),"Category needs review. ","")&amp;IF(P1421="UNMAPPED","Title not mapped. ","")&amp;IF(AND(P1421&lt;&gt;"No staff time",R1421=""),"Missing hours. ","")&amp;IF(M1421="","Date not readable. ","")&amp;IF(N1421="No","Outside fiscal year. ","")&amp;IF(AND(F1421="Event",ISNUMBER(R1421)),IF(R1421&gt;12,"Event hours look high. ",""),"")&amp;IF(G1421&gt;0,"See CONFIRM sheet.",""))</f>
        <v/>
      </c>
      <c r="AB1421" s="1" t="n">
        <f aca="false">IF(N1421="No",0,IF(REVIEW!O1421=0,0,IF(G1421&gt;0,IF(INDEX(CONFIRM!$J$5:$J$53,G1421)&lt;&gt;"",INDEX(CONFIRM!$J$5:$J$53,G1421),1),1)))</f>
        <v>1</v>
      </c>
      <c r="AC1421" s="1" t="n">
        <f aca="false">IF(AB1421=1,IF(COUNTIFS($B$5:B1421,B1421,$D$5:D1421,D1421,$AB$5:AB1421,1)=1,1,0),0)</f>
        <v>0</v>
      </c>
    </row>
    <row r="1422" customFormat="false" ht="15" hidden="false" customHeight="false" outlineLevel="0" collapsed="false">
      <c r="A1422" s="48" t="str">
        <f aca="false">STACK!A1422</f>
        <v>QHH-0041</v>
      </c>
      <c r="B1422" s="48" t="str">
        <f aca="false">STACK!B1422</f>
        <v>QHH</v>
      </c>
      <c r="C1422" s="48" t="str">
        <f aca="false">STACK!E1422</f>
        <v>Nursing Clinical Rotations</v>
      </c>
      <c r="D1422" s="1" t="str">
        <f aca="false">IFERROR(INDEX(MAP!$J$7:$J$101,MATCH(TRIM(C1422),MAP!$I$7:$I$101,0)),"UNMAPPED")</f>
        <v>Nursing Student Clinical Rotations</v>
      </c>
      <c r="E1422" s="1" t="str">
        <f aca="false">IFERROR(INDEX(MAP!$K$7:$K$101,MATCH(TRIM(C1422),MAP!$I$7:$I$101,0)),"")</f>
        <v>Health workforce</v>
      </c>
      <c r="F1422" s="1" t="str">
        <f aca="false">IFERROR(INDEX(MAP!$L$7:$L$101,MATCH(TRIM(C1422),MAP!$I$7:$I$101,0)),"")</f>
        <v>Monthly</v>
      </c>
      <c r="G1422" s="1" t="n">
        <f aca="false">IFERROR(MATCH(A1422,CONFIRM!$A$5:$A$53,0),0)</f>
        <v>0</v>
      </c>
      <c r="H1422" s="48" t="str">
        <f aca="false">STACK!F1422</f>
        <v>HPE - Students</v>
      </c>
      <c r="I1422" s="1" t="str">
        <f aca="false">IF(G1422&gt;0,IF(INDEX(CONFIRM!$I$5:$I$53,G1422)&lt;&gt;"",INDEX(CONFIRM!$I$5:$I$53,G1422),H1422),H1422)</f>
        <v>HPE - Students</v>
      </c>
      <c r="J1422" s="1" t="str">
        <f aca="false">IFERROR(INDEX(MAP!$F$7:$F$74,MATCH(TRIM(I1422),MAP!$E$7:$E$74,0)),"UNMAPPED")</f>
        <v>Health professions education</v>
      </c>
      <c r="K1422" s="1" t="str">
        <f aca="false">IFERROR(INDEX(MAP!$G$7:$G$74,MATCH(TRIM(I1422),MAP!$E$7:$E$74,0)),"UNMAPPED")</f>
        <v>7f</v>
      </c>
      <c r="L1422" s="49" t="str">
        <f aca="false">STACK!G1422</f>
        <v>31-Aug-2025</v>
      </c>
      <c r="M1422" s="59" t="n">
        <f aca="false">IF(G1422&gt;0,IF(INDEX(CONFIRM!$G$5:$G$53,G1422)&lt;&gt;"",INDEX(CONFIRM!$G$5:$G$53,G1422),IF(ISNUMBER(L1422),L1422,IFERROR(DATEVALUE(L1422),""))),IF(ISNUMBER(L1422),L1422,IFERROR(DATEVALUE(L1422),"")))</f>
        <v>45900</v>
      </c>
      <c r="N1422" s="1" t="str">
        <f aca="false">IF(M1422="","Check",IF(AND(M1422&gt;=INPUTS!$C$6,M1422&lt;=INPUTS!$C$7),"Yes","No"))</f>
        <v>Yes</v>
      </c>
      <c r="O1422" s="48" t="str">
        <f aca="false">STACK!H1422</f>
        <v>Educator, Nursing</v>
      </c>
      <c r="P1422" s="1" t="str">
        <f aca="false">IF(G1422&gt;0,IF(INDEX(CONFIRM!$H$5:$H$53,G1422)&lt;&gt;"",INDEX(CONFIRM!$H$5:$H$53,G1422),IFERROR(INDEX(MAP!$B$7:$B$156,MATCH(TRIM(O1422),MAP!$A$7:$A$156,0)),"UNMAPPED")),IFERROR(INDEX(MAP!$B$7:$B$156,MATCH(TRIM(O1422),MAP!$A$7:$A$156,0)),"UNMAPPED"))</f>
        <v>Clinical Nurse Educator</v>
      </c>
      <c r="Q1422" s="48" t="n">
        <f aca="false">STACK!I1422</f>
        <v>92.5</v>
      </c>
      <c r="R1422" s="60" t="n">
        <f aca="false">IF(G1422&gt;0,IF(INDEX(CONFIRM!$F$5:$F$53,G1422)&lt;&gt;"",INDEX(CONFIRM!$F$5:$F$53,G1422),IF(ISNUMBER(Q1422),Q1422,IF(Q1422="","",IFERROR(VALUE(TRIM(SUBSTITUTE(SUBSTITUTE(LOWER(Q1422),"hrs",""),"hr",""))),"")))),IF(ISNUMBER(Q1422),Q1422,IF(Q1422="","",IFERROR(VALUE(TRIM(SUBSTITUTE(SUBSTITUTE(LOWER(Q1422),"hrs",""),"hr",""))),""))))</f>
        <v>92.5</v>
      </c>
      <c r="S1422" s="57" t="n">
        <f aca="false">IFERROR(INDEX(RATES!$E$6:$E$28,MATCH(P1422,RATES!$A$6:$A$28,0)),0)</f>
        <v>62.965</v>
      </c>
      <c r="T1422" s="61" t="n">
        <f aca="false">IF(ISNUMBER(R1422),R1422,0)*S1422</f>
        <v>5824.2625</v>
      </c>
      <c r="U1422" s="61" t="n">
        <f aca="false">T1422*INDEX(INPUTS!$H$10:$H$14,MATCH(B1422,INPUTS!$A$10:$A$14,0))</f>
        <v>879.4636375</v>
      </c>
      <c r="V1422" s="61" t="n">
        <f aca="false">N(STACK!K1422)</f>
        <v>480</v>
      </c>
      <c r="W1422" s="61" t="n">
        <f aca="false">T1422+U1422+V1422</f>
        <v>7183.7261375</v>
      </c>
      <c r="X1422" s="61" t="n">
        <f aca="false">N(STACK!L1422)</f>
        <v>0</v>
      </c>
      <c r="Y1422" s="61" t="n">
        <f aca="false">W1422-X1422</f>
        <v>7183.7261375</v>
      </c>
      <c r="Z1422" s="1" t="n">
        <f aca="false">N(STACK!J1422)</f>
        <v>16</v>
      </c>
      <c r="AA1422" s="1" t="str">
        <f aca="false">TRIM(IF(D1422="UNMAPPED","Program not mapped. ","")&amp;IF(OR(K1422="UNMAPPED",K1422="UNASSIGNED"),"Category needs review. ","")&amp;IF(P1422="UNMAPPED","Title not mapped. ","")&amp;IF(AND(P1422&lt;&gt;"No staff time",R1422=""),"Missing hours. ","")&amp;IF(M1422="","Date not readable. ","")&amp;IF(N1422="No","Outside fiscal year. ","")&amp;IF(AND(F1422="Event",ISNUMBER(R1422)),IF(R1422&gt;12,"Event hours look high. ",""),"")&amp;IF(G1422&gt;0,"See CONFIRM sheet.",""))</f>
        <v/>
      </c>
      <c r="AB1422" s="1" t="n">
        <f aca="false">IF(N1422="No",0,IF(REVIEW!O1422=0,0,IF(G1422&gt;0,IF(INDEX(CONFIRM!$J$5:$J$53,G1422)&lt;&gt;"",INDEX(CONFIRM!$J$5:$J$53,G1422),1),1)))</f>
        <v>1</v>
      </c>
      <c r="AC1422" s="1" t="n">
        <f aca="false">IF(AB1422=1,IF(COUNTIFS($B$5:B1422,B1422,$D$5:D1422,D1422,$AB$5:AB1422,1)=1,1,0),0)</f>
        <v>0</v>
      </c>
    </row>
    <row r="1423" customFormat="false" ht="15" hidden="false" customHeight="false" outlineLevel="0" collapsed="false">
      <c r="A1423" s="48" t="str">
        <f aca="false">STACK!A1423</f>
        <v>QHH-0042</v>
      </c>
      <c r="B1423" s="48" t="str">
        <f aca="false">STACK!B1423</f>
        <v>QHH</v>
      </c>
      <c r="C1423" s="48" t="str">
        <f aca="false">STACK!E1423</f>
        <v>Nursing Clinical Rotations</v>
      </c>
      <c r="D1423" s="1" t="str">
        <f aca="false">IFERROR(INDEX(MAP!$J$7:$J$101,MATCH(TRIM(C1423),MAP!$I$7:$I$101,0)),"UNMAPPED")</f>
        <v>Nursing Student Clinical Rotations</v>
      </c>
      <c r="E1423" s="1" t="str">
        <f aca="false">IFERROR(INDEX(MAP!$K$7:$K$101,MATCH(TRIM(C1423),MAP!$I$7:$I$101,0)),"")</f>
        <v>Health workforce</v>
      </c>
      <c r="F1423" s="1" t="str">
        <f aca="false">IFERROR(INDEX(MAP!$L$7:$L$101,MATCH(TRIM(C1423),MAP!$I$7:$I$101,0)),"")</f>
        <v>Monthly</v>
      </c>
      <c r="G1423" s="1" t="n">
        <f aca="false">IFERROR(MATCH(A1423,CONFIRM!$A$5:$A$53,0),0)</f>
        <v>0</v>
      </c>
      <c r="H1423" s="48" t="str">
        <f aca="false">STACK!F1423</f>
        <v>HPE - Students</v>
      </c>
      <c r="I1423" s="1" t="str">
        <f aca="false">IF(G1423&gt;0,IF(INDEX(CONFIRM!$I$5:$I$53,G1423)&lt;&gt;"",INDEX(CONFIRM!$I$5:$I$53,G1423),H1423),H1423)</f>
        <v>HPE - Students</v>
      </c>
      <c r="J1423" s="1" t="str">
        <f aca="false">IFERROR(INDEX(MAP!$F$7:$F$74,MATCH(TRIM(I1423),MAP!$E$7:$E$74,0)),"UNMAPPED")</f>
        <v>Health professions education</v>
      </c>
      <c r="K1423" s="1" t="str">
        <f aca="false">IFERROR(INDEX(MAP!$G$7:$G$74,MATCH(TRIM(I1423),MAP!$E$7:$E$74,0)),"UNMAPPED")</f>
        <v>7f</v>
      </c>
      <c r="L1423" s="49" t="str">
        <f aca="false">STACK!G1423</f>
        <v>31-Aug-2025</v>
      </c>
      <c r="M1423" s="59" t="n">
        <f aca="false">IF(G1423&gt;0,IF(INDEX(CONFIRM!$G$5:$G$53,G1423)&lt;&gt;"",INDEX(CONFIRM!$G$5:$G$53,G1423),IF(ISNUMBER(L1423),L1423,IFERROR(DATEVALUE(L1423),""))),IF(ISNUMBER(L1423),L1423,IFERROR(DATEVALUE(L1423),"")))</f>
        <v>45900</v>
      </c>
      <c r="N1423" s="1" t="str">
        <f aca="false">IF(M1423="","Check",IF(AND(M1423&gt;=INPUTS!$C$6,M1423&lt;=INPUTS!$C$7),"Yes","No"))</f>
        <v>Yes</v>
      </c>
      <c r="O1423" s="48" t="str">
        <f aca="false">STACK!H1423</f>
        <v>Clinical RN</v>
      </c>
      <c r="P1423" s="1" t="str">
        <f aca="false">IF(G1423&gt;0,IF(INDEX(CONFIRM!$H$5:$H$53,G1423)&lt;&gt;"",INDEX(CONFIRM!$H$5:$H$53,G1423),IFERROR(INDEX(MAP!$B$7:$B$156,MATCH(TRIM(O1423),MAP!$A$7:$A$156,0)),"UNMAPPED")),IFERROR(INDEX(MAP!$B$7:$B$156,MATCH(TRIM(O1423),MAP!$A$7:$A$156,0)),"UNMAPPED"))</f>
        <v>Registered Nurse</v>
      </c>
      <c r="Q1423" s="48" t="n">
        <f aca="false">STACK!I1423</f>
        <v>141.25</v>
      </c>
      <c r="R1423" s="60" t="n">
        <f aca="false">IF(G1423&gt;0,IF(INDEX(CONFIRM!$F$5:$F$53,G1423)&lt;&gt;"",INDEX(CONFIRM!$F$5:$F$53,G1423),IF(ISNUMBER(Q1423),Q1423,IF(Q1423="","",IFERROR(VALUE(TRIM(SUBSTITUTE(SUBSTITUTE(LOWER(Q1423),"hrs",""),"hr",""))),"")))),IF(ISNUMBER(Q1423),Q1423,IF(Q1423="","",IFERROR(VALUE(TRIM(SUBSTITUTE(SUBSTITUTE(LOWER(Q1423),"hrs",""),"hr",""))),""))))</f>
        <v>141.25</v>
      </c>
      <c r="S1423" s="57" t="n">
        <f aca="false">IFERROR(INDEX(RATES!$E$6:$E$28,MATCH(P1423,RATES!$A$6:$A$28,0)),0)</f>
        <v>55.8975</v>
      </c>
      <c r="T1423" s="61" t="n">
        <f aca="false">IF(ISNUMBER(R1423),R1423,0)*S1423</f>
        <v>7895.521875</v>
      </c>
      <c r="U1423" s="61" t="n">
        <f aca="false">T1423*INDEX(INPUTS!$H$10:$H$14,MATCH(B1423,INPUTS!$A$10:$A$14,0))</f>
        <v>1192.223803125</v>
      </c>
      <c r="V1423" s="61" t="n">
        <f aca="false">N(STACK!K1423)</f>
        <v>0</v>
      </c>
      <c r="W1423" s="61" t="n">
        <f aca="false">T1423+U1423+V1423</f>
        <v>9087.745678125</v>
      </c>
      <c r="X1423" s="61" t="n">
        <f aca="false">N(STACK!L1423)</f>
        <v>0</v>
      </c>
      <c r="Y1423" s="61" t="n">
        <f aca="false">W1423-X1423</f>
        <v>9087.745678125</v>
      </c>
      <c r="Z1423" s="1" t="n">
        <f aca="false">N(STACK!J1423)</f>
        <v>0</v>
      </c>
      <c r="AA1423" s="1" t="str">
        <f aca="false">TRIM(IF(D1423="UNMAPPED","Program not mapped. ","")&amp;IF(OR(K1423="UNMAPPED",K1423="UNASSIGNED"),"Category needs review. ","")&amp;IF(P1423="UNMAPPED","Title not mapped. ","")&amp;IF(AND(P1423&lt;&gt;"No staff time",R1423=""),"Missing hours. ","")&amp;IF(M1423="","Date not readable. ","")&amp;IF(N1423="No","Outside fiscal year. ","")&amp;IF(AND(F1423="Event",ISNUMBER(R1423)),IF(R1423&gt;12,"Event hours look high. ",""),"")&amp;IF(G1423&gt;0,"See CONFIRM sheet.",""))</f>
        <v/>
      </c>
      <c r="AB1423" s="1" t="n">
        <f aca="false">IF(N1423="No",0,IF(REVIEW!O1423=0,0,IF(G1423&gt;0,IF(INDEX(CONFIRM!$J$5:$J$53,G1423)&lt;&gt;"",INDEX(CONFIRM!$J$5:$J$53,G1423),1),1)))</f>
        <v>1</v>
      </c>
      <c r="AC1423" s="1" t="n">
        <f aca="false">IF(AB1423=1,IF(COUNTIFS($B$5:B1423,B1423,$D$5:D1423,D1423,$AB$5:AB1423,1)=1,1,0),0)</f>
        <v>0</v>
      </c>
    </row>
    <row r="1424" customFormat="false" ht="15" hidden="false" customHeight="false" outlineLevel="0" collapsed="false">
      <c r="A1424" s="48" t="str">
        <f aca="false">STACK!A1424</f>
        <v>QHH-0043</v>
      </c>
      <c r="B1424" s="48" t="str">
        <f aca="false">STACK!B1424</f>
        <v>QHH</v>
      </c>
      <c r="C1424" s="48" t="str">
        <f aca="false">STACK!E1424</f>
        <v>Sports Physicals</v>
      </c>
      <c r="D1424" s="1" t="str">
        <f aca="false">IFERROR(INDEX(MAP!$J$7:$J$101,MATCH(TRIM(C1424),MAP!$I$7:$I$101,0)),"UNMAPPED")</f>
        <v>Free Sports Physicals</v>
      </c>
      <c r="E1424" s="1" t="str">
        <f aca="false">IFERROR(INDEX(MAP!$K$7:$K$101,MATCH(TRIM(C1424),MAP!$I$7:$I$101,0)),"")</f>
        <v>Maternal and child health</v>
      </c>
      <c r="F1424" s="1" t="str">
        <f aca="false">IFERROR(INDEX(MAP!$L$7:$L$101,MATCH(TRIM(C1424),MAP!$I$7:$I$101,0)),"")</f>
        <v>Event</v>
      </c>
      <c r="G1424" s="1" t="n">
        <f aca="false">IFERROR(MATCH(A1424,CONFIRM!$A$5:$A$53,0),0)</f>
        <v>0</v>
      </c>
      <c r="H1424" s="48" t="str">
        <f aca="false">STACK!F1424</f>
        <v>CHIS - Clinical</v>
      </c>
      <c r="I1424" s="1" t="str">
        <f aca="false">IF(G1424&gt;0,IF(INDEX(CONFIRM!$I$5:$I$53,G1424)&lt;&gt;"",INDEX(CONFIRM!$I$5:$I$53,G1424),H1424),H1424)</f>
        <v>CHIS - Clinical</v>
      </c>
      <c r="J1424" s="1" t="str">
        <f aca="false">IFERROR(INDEX(MAP!$F$7:$F$74,MATCH(TRIM(I1424),MAP!$E$7:$E$74,0)),"UNMAPPED")</f>
        <v>Community-based clinical services</v>
      </c>
      <c r="K1424" s="1" t="str">
        <f aca="false">IFERROR(INDEX(MAP!$G$7:$G$74,MATCH(TRIM(I1424),MAP!$E$7:$E$74,0)),"UNMAPPED")</f>
        <v>7e</v>
      </c>
      <c r="L1424" s="49" t="str">
        <f aca="false">STACK!G1424</f>
        <v>02-Sep-2025</v>
      </c>
      <c r="M1424" s="59" t="n">
        <f aca="false">IF(G1424&gt;0,IF(INDEX(CONFIRM!$G$5:$G$53,G1424)&lt;&gt;"",INDEX(CONFIRM!$G$5:$G$53,G1424),IF(ISNUMBER(L1424),L1424,IFERROR(DATEVALUE(L1424),""))),IF(ISNUMBER(L1424),L1424,IFERROR(DATEVALUE(L1424),"")))</f>
        <v>45902</v>
      </c>
      <c r="N1424" s="1" t="str">
        <f aca="false">IF(M1424="","Check",IF(AND(M1424&gt;=INPUTS!$C$6,M1424&lt;=INPUTS!$C$7),"Yes","No"))</f>
        <v>Yes</v>
      </c>
      <c r="O1424" s="48" t="str">
        <f aca="false">STACK!H1424</f>
        <v>CMA</v>
      </c>
      <c r="P1424" s="1" t="str">
        <f aca="false">IF(G1424&gt;0,IF(INDEX(CONFIRM!$H$5:$H$53,G1424)&lt;&gt;"",INDEX(CONFIRM!$H$5:$H$53,G1424),IFERROR(INDEX(MAP!$B$7:$B$156,MATCH(TRIM(O1424),MAP!$A$7:$A$156,0)),"UNMAPPED")),IFERROR(INDEX(MAP!$B$7:$B$156,MATCH(TRIM(O1424),MAP!$A$7:$A$156,0)),"UNMAPPED"))</f>
        <v>Medical Assistant</v>
      </c>
      <c r="Q1424" s="48" t="n">
        <f aca="false">STACK!I1424</f>
        <v>4.5</v>
      </c>
      <c r="R1424" s="60" t="n">
        <f aca="false">IF(G1424&gt;0,IF(INDEX(CONFIRM!$F$5:$F$53,G1424)&lt;&gt;"",INDEX(CONFIRM!$F$5:$F$53,G1424),IF(ISNUMBER(Q1424),Q1424,IF(Q1424="","",IFERROR(VALUE(TRIM(SUBSTITUTE(SUBSTITUTE(LOWER(Q1424),"hrs",""),"hr",""))),"")))),IF(ISNUMBER(Q1424),Q1424,IF(Q1424="","",IFERROR(VALUE(TRIM(SUBSTITUTE(SUBSTITUTE(LOWER(Q1424),"hrs",""),"hr",""))),""))))</f>
        <v>4.5</v>
      </c>
      <c r="S1424" s="57" t="n">
        <f aca="false">IFERROR(INDEX(RATES!$E$6:$E$28,MATCH(P1424,RATES!$A$6:$A$28,0)),0)</f>
        <v>25.37875</v>
      </c>
      <c r="T1424" s="61" t="n">
        <f aca="false">IF(ISNUMBER(R1424),R1424,0)*S1424</f>
        <v>114.204375</v>
      </c>
      <c r="U1424" s="61" t="n">
        <f aca="false">T1424*INDEX(INPUTS!$H$10:$H$14,MATCH(B1424,INPUTS!$A$10:$A$14,0))</f>
        <v>17.244860625</v>
      </c>
      <c r="V1424" s="61" t="n">
        <f aca="false">N(STACK!K1424)</f>
        <v>0</v>
      </c>
      <c r="W1424" s="61" t="n">
        <f aca="false">T1424+U1424+V1424</f>
        <v>131.449235625</v>
      </c>
      <c r="X1424" s="61" t="n">
        <f aca="false">N(STACK!L1424)</f>
        <v>0</v>
      </c>
      <c r="Y1424" s="61" t="n">
        <f aca="false">W1424-X1424</f>
        <v>131.449235625</v>
      </c>
      <c r="Z1424" s="1" t="n">
        <f aca="false">N(STACK!J1424)</f>
        <v>0</v>
      </c>
      <c r="AA1424" s="1" t="str">
        <f aca="false">TRIM(IF(D1424="UNMAPPED","Program not mapped. ","")&amp;IF(OR(K1424="UNMAPPED",K1424="UNASSIGNED"),"Category needs review. ","")&amp;IF(P1424="UNMAPPED","Title not mapped. ","")&amp;IF(AND(P1424&lt;&gt;"No staff time",R1424=""),"Missing hours. ","")&amp;IF(M1424="","Date not readable. ","")&amp;IF(N1424="No","Outside fiscal year. ","")&amp;IF(AND(F1424="Event",ISNUMBER(R1424)),IF(R1424&gt;12,"Event hours look high. ",""),"")&amp;IF(G1424&gt;0,"See CONFIRM sheet.",""))</f>
        <v/>
      </c>
      <c r="AB1424" s="1" t="n">
        <f aca="false">IF(N1424="No",0,IF(REVIEW!O1424=0,0,IF(G1424&gt;0,IF(INDEX(CONFIRM!$J$5:$J$53,G1424)&lt;&gt;"",INDEX(CONFIRM!$J$5:$J$53,G1424),1),1)))</f>
        <v>1</v>
      </c>
      <c r="AC1424" s="1" t="n">
        <f aca="false">IF(AB1424=1,IF(COUNTIFS($B$5:B1424,B1424,$D$5:D1424,D1424,$AB$5:AB1424,1)=1,1,0),0)</f>
        <v>0</v>
      </c>
    </row>
    <row r="1425" customFormat="false" ht="15" hidden="false" customHeight="false" outlineLevel="0" collapsed="false">
      <c r="A1425" s="48" t="str">
        <f aca="false">STACK!A1425</f>
        <v>QHH-0044</v>
      </c>
      <c r="B1425" s="48" t="str">
        <f aca="false">STACK!B1425</f>
        <v>QHH</v>
      </c>
      <c r="C1425" s="48" t="str">
        <f aca="false">STACK!E1425</f>
        <v>Sports Physicals</v>
      </c>
      <c r="D1425" s="1" t="str">
        <f aca="false">IFERROR(INDEX(MAP!$J$7:$J$101,MATCH(TRIM(C1425),MAP!$I$7:$I$101,0)),"UNMAPPED")</f>
        <v>Free Sports Physicals</v>
      </c>
      <c r="E1425" s="1" t="str">
        <f aca="false">IFERROR(INDEX(MAP!$K$7:$K$101,MATCH(TRIM(C1425),MAP!$I$7:$I$101,0)),"")</f>
        <v>Maternal and child health</v>
      </c>
      <c r="F1425" s="1" t="str">
        <f aca="false">IFERROR(INDEX(MAP!$L$7:$L$101,MATCH(TRIM(C1425),MAP!$I$7:$I$101,0)),"")</f>
        <v>Event</v>
      </c>
      <c r="G1425" s="1" t="n">
        <f aca="false">IFERROR(MATCH(A1425,CONFIRM!$A$5:$A$53,0),0)</f>
        <v>0</v>
      </c>
      <c r="H1425" s="48" t="str">
        <f aca="false">STACK!F1425</f>
        <v>CHIS - Clinical</v>
      </c>
      <c r="I1425" s="1" t="str">
        <f aca="false">IF(G1425&gt;0,IF(INDEX(CONFIRM!$I$5:$I$53,G1425)&lt;&gt;"",INDEX(CONFIRM!$I$5:$I$53,G1425),H1425),H1425)</f>
        <v>CHIS - Clinical</v>
      </c>
      <c r="J1425" s="1" t="str">
        <f aca="false">IFERROR(INDEX(MAP!$F$7:$F$74,MATCH(TRIM(I1425),MAP!$E$7:$E$74,0)),"UNMAPPED")</f>
        <v>Community-based clinical services</v>
      </c>
      <c r="K1425" s="1" t="str">
        <f aca="false">IFERROR(INDEX(MAP!$G$7:$G$74,MATCH(TRIM(I1425),MAP!$E$7:$E$74,0)),"UNMAPPED")</f>
        <v>7e</v>
      </c>
      <c r="L1425" s="49" t="str">
        <f aca="false">STACK!G1425</f>
        <v>02-Sep-2025</v>
      </c>
      <c r="M1425" s="59" t="n">
        <f aca="false">IF(G1425&gt;0,IF(INDEX(CONFIRM!$G$5:$G$53,G1425)&lt;&gt;"",INDEX(CONFIRM!$G$5:$G$53,G1425),IF(ISNUMBER(L1425),L1425,IFERROR(DATEVALUE(L1425),""))),IF(ISNUMBER(L1425),L1425,IFERROR(DATEVALUE(L1425),"")))</f>
        <v>45902</v>
      </c>
      <c r="N1425" s="1" t="str">
        <f aca="false">IF(M1425="","Check",IF(AND(M1425&gt;=INPUTS!$C$6,M1425&lt;=INPUTS!$C$7),"Yes","No"))</f>
        <v>Yes</v>
      </c>
      <c r="O1425" s="48" t="str">
        <f aca="false">STACK!H1425</f>
        <v>APRN</v>
      </c>
      <c r="P1425" s="1" t="str">
        <f aca="false">IF(G1425&gt;0,IF(INDEX(CONFIRM!$H$5:$H$53,G1425)&lt;&gt;"",INDEX(CONFIRM!$H$5:$H$53,G1425),IFERROR(INDEX(MAP!$B$7:$B$156,MATCH(TRIM(O1425),MAP!$A$7:$A$156,0)),"UNMAPPED")),IFERROR(INDEX(MAP!$B$7:$B$156,MATCH(TRIM(O1425),MAP!$A$7:$A$156,0)),"UNMAPPED"))</f>
        <v>Nurse Practitioner</v>
      </c>
      <c r="Q1425" s="48" t="n">
        <f aca="false">STACK!I1425</f>
        <v>4.25</v>
      </c>
      <c r="R1425" s="60" t="n">
        <f aca="false">IF(G1425&gt;0,IF(INDEX(CONFIRM!$F$5:$F$53,G1425)&lt;&gt;"",INDEX(CONFIRM!$F$5:$F$53,G1425),IF(ISNUMBER(Q1425),Q1425,IF(Q1425="","",IFERROR(VALUE(TRIM(SUBSTITUTE(SUBSTITUTE(LOWER(Q1425),"hrs",""),"hr",""))),"")))),IF(ISNUMBER(Q1425),Q1425,IF(Q1425="","",IFERROR(VALUE(TRIM(SUBSTITUTE(SUBSTITUTE(LOWER(Q1425),"hrs",""),"hr",""))),""))))</f>
        <v>4.25</v>
      </c>
      <c r="S1425" s="57" t="n">
        <f aca="false">IFERROR(INDEX(RATES!$E$6:$E$28,MATCH(P1425,RATES!$A$6:$A$28,0)),0)</f>
        <v>79.67</v>
      </c>
      <c r="T1425" s="61" t="n">
        <f aca="false">IF(ISNUMBER(R1425),R1425,0)*S1425</f>
        <v>338.5975</v>
      </c>
      <c r="U1425" s="61" t="n">
        <f aca="false">T1425*INDEX(INPUTS!$H$10:$H$14,MATCH(B1425,INPUTS!$A$10:$A$14,0))</f>
        <v>51.1282225</v>
      </c>
      <c r="V1425" s="61" t="n">
        <f aca="false">N(STACK!K1425)</f>
        <v>0</v>
      </c>
      <c r="W1425" s="61" t="n">
        <f aca="false">T1425+U1425+V1425</f>
        <v>389.7257225</v>
      </c>
      <c r="X1425" s="61" t="n">
        <f aca="false">N(STACK!L1425)</f>
        <v>0</v>
      </c>
      <c r="Y1425" s="61" t="n">
        <f aca="false">W1425-X1425</f>
        <v>389.7257225</v>
      </c>
      <c r="Z1425" s="1" t="n">
        <f aca="false">N(STACK!J1425)</f>
        <v>0</v>
      </c>
      <c r="AA1425" s="1" t="str">
        <f aca="false">TRIM(IF(D1425="UNMAPPED","Program not mapped. ","")&amp;IF(OR(K1425="UNMAPPED",K1425="UNASSIGNED"),"Category needs review. ","")&amp;IF(P1425="UNMAPPED","Title not mapped. ","")&amp;IF(AND(P1425&lt;&gt;"No staff time",R1425=""),"Missing hours. ","")&amp;IF(M1425="","Date not readable. ","")&amp;IF(N1425="No","Outside fiscal year. ","")&amp;IF(AND(F1425="Event",ISNUMBER(R1425)),IF(R1425&gt;12,"Event hours look high. ",""),"")&amp;IF(G1425&gt;0,"See CONFIRM sheet.",""))</f>
        <v/>
      </c>
      <c r="AB1425" s="1" t="n">
        <f aca="false">IF(N1425="No",0,IF(REVIEW!O1425=0,0,IF(G1425&gt;0,IF(INDEX(CONFIRM!$J$5:$J$53,G1425)&lt;&gt;"",INDEX(CONFIRM!$J$5:$J$53,G1425),1),1)))</f>
        <v>1</v>
      </c>
      <c r="AC1425" s="1" t="n">
        <f aca="false">IF(AB1425=1,IF(COUNTIFS($B$5:B1425,B1425,$D$5:D1425,D1425,$AB$5:AB1425,1)=1,1,0),0)</f>
        <v>0</v>
      </c>
    </row>
    <row r="1426" customFormat="false" ht="15" hidden="false" customHeight="false" outlineLevel="0" collapsed="false">
      <c r="A1426" s="48" t="str">
        <f aca="false">STACK!A1426</f>
        <v>QHH-0045</v>
      </c>
      <c r="B1426" s="48" t="str">
        <f aca="false">STACK!B1426</f>
        <v>QHH</v>
      </c>
      <c r="C1426" s="48" t="str">
        <f aca="false">STACK!E1426</f>
        <v>Sports Physicals</v>
      </c>
      <c r="D1426" s="1" t="str">
        <f aca="false">IFERROR(INDEX(MAP!$J$7:$J$101,MATCH(TRIM(C1426),MAP!$I$7:$I$101,0)),"UNMAPPED")</f>
        <v>Free Sports Physicals</v>
      </c>
      <c r="E1426" s="1" t="str">
        <f aca="false">IFERROR(INDEX(MAP!$K$7:$K$101,MATCH(TRIM(C1426),MAP!$I$7:$I$101,0)),"")</f>
        <v>Maternal and child health</v>
      </c>
      <c r="F1426" s="1" t="str">
        <f aca="false">IFERROR(INDEX(MAP!$L$7:$L$101,MATCH(TRIM(C1426),MAP!$I$7:$I$101,0)),"")</f>
        <v>Event</v>
      </c>
      <c r="G1426" s="1" t="n">
        <f aca="false">IFERROR(MATCH(A1426,CONFIRM!$A$5:$A$53,0),0)</f>
        <v>0</v>
      </c>
      <c r="H1426" s="48" t="str">
        <f aca="false">STACK!F1426</f>
        <v>CHIS - Clinical</v>
      </c>
      <c r="I1426" s="1" t="str">
        <f aca="false">IF(G1426&gt;0,IF(INDEX(CONFIRM!$I$5:$I$53,G1426)&lt;&gt;"",INDEX(CONFIRM!$I$5:$I$53,G1426),H1426),H1426)</f>
        <v>CHIS - Clinical</v>
      </c>
      <c r="J1426" s="1" t="str">
        <f aca="false">IFERROR(INDEX(MAP!$F$7:$F$74,MATCH(TRIM(I1426),MAP!$E$7:$E$74,0)),"UNMAPPED")</f>
        <v>Community-based clinical services</v>
      </c>
      <c r="K1426" s="1" t="str">
        <f aca="false">IFERROR(INDEX(MAP!$G$7:$G$74,MATCH(TRIM(I1426),MAP!$E$7:$E$74,0)),"UNMAPPED")</f>
        <v>7e</v>
      </c>
      <c r="L1426" s="49" t="str">
        <f aca="false">STACK!G1426</f>
        <v>02-Sep-2025</v>
      </c>
      <c r="M1426" s="59" t="n">
        <f aca="false">IF(G1426&gt;0,IF(INDEX(CONFIRM!$G$5:$G$53,G1426)&lt;&gt;"",INDEX(CONFIRM!$G$5:$G$53,G1426),IF(ISNUMBER(L1426),L1426,IFERROR(DATEVALUE(L1426),""))),IF(ISNUMBER(L1426),L1426,IFERROR(DATEVALUE(L1426),"")))</f>
        <v>45902</v>
      </c>
      <c r="N1426" s="1" t="str">
        <f aca="false">IF(M1426="","Check",IF(AND(M1426&gt;=INPUTS!$C$6,M1426&lt;=INPUTS!$C$7),"Yes","No"))</f>
        <v>Yes</v>
      </c>
      <c r="O1426" s="48" t="str">
        <f aca="false">STACK!H1426</f>
        <v>Attending Physician</v>
      </c>
      <c r="P1426" s="1" t="str">
        <f aca="false">IF(G1426&gt;0,IF(INDEX(CONFIRM!$H$5:$H$53,G1426)&lt;&gt;"",INDEX(CONFIRM!$H$5:$H$53,G1426),IFERROR(INDEX(MAP!$B$7:$B$156,MATCH(TRIM(O1426),MAP!$A$7:$A$156,0)),"UNMAPPED")),IFERROR(INDEX(MAP!$B$7:$B$156,MATCH(TRIM(O1426),MAP!$A$7:$A$156,0)),"UNMAPPED"))</f>
        <v>Physician</v>
      </c>
      <c r="Q1426" s="48" t="n">
        <f aca="false">STACK!I1426</f>
        <v>4.25</v>
      </c>
      <c r="R1426" s="60" t="n">
        <f aca="false">IF(G1426&gt;0,IF(INDEX(CONFIRM!$F$5:$F$53,G1426)&lt;&gt;"",INDEX(CONFIRM!$F$5:$F$53,G1426),IF(ISNUMBER(Q1426),Q1426,IF(Q1426="","",IFERROR(VALUE(TRIM(SUBSTITUTE(SUBSTITUTE(LOWER(Q1426),"hrs",""),"hr",""))),"")))),IF(ISNUMBER(Q1426),Q1426,IF(Q1426="","",IFERROR(VALUE(TRIM(SUBSTITUTE(SUBSTITUTE(LOWER(Q1426),"hrs",""),"hr",""))),""))))</f>
        <v>4.25</v>
      </c>
      <c r="S1426" s="57" t="n">
        <f aca="false">IFERROR(INDEX(RATES!$E$6:$E$28,MATCH(P1426,RATES!$A$6:$A$28,0)),0)</f>
        <v>151.63</v>
      </c>
      <c r="T1426" s="61" t="n">
        <f aca="false">IF(ISNUMBER(R1426),R1426,0)*S1426</f>
        <v>644.4275</v>
      </c>
      <c r="U1426" s="61" t="n">
        <f aca="false">T1426*INDEX(INPUTS!$H$10:$H$14,MATCH(B1426,INPUTS!$A$10:$A$14,0))</f>
        <v>97.3085525</v>
      </c>
      <c r="V1426" s="61" t="n">
        <f aca="false">N(STACK!K1426)</f>
        <v>275</v>
      </c>
      <c r="W1426" s="61" t="n">
        <f aca="false">T1426+U1426+V1426</f>
        <v>1016.7360525</v>
      </c>
      <c r="X1426" s="61" t="n">
        <f aca="false">N(STACK!L1426)</f>
        <v>0</v>
      </c>
      <c r="Y1426" s="61" t="n">
        <f aca="false">W1426-X1426</f>
        <v>1016.7360525</v>
      </c>
      <c r="Z1426" s="1" t="n">
        <f aca="false">N(STACK!J1426)</f>
        <v>116</v>
      </c>
      <c r="AA1426" s="1" t="str">
        <f aca="false">TRIM(IF(D1426="UNMAPPED","Program not mapped. ","")&amp;IF(OR(K1426="UNMAPPED",K1426="UNASSIGNED"),"Category needs review. ","")&amp;IF(P1426="UNMAPPED","Title not mapped. ","")&amp;IF(AND(P1426&lt;&gt;"No staff time",R1426=""),"Missing hours. ","")&amp;IF(M1426="","Date not readable. ","")&amp;IF(N1426="No","Outside fiscal year. ","")&amp;IF(AND(F1426="Event",ISNUMBER(R1426)),IF(R1426&gt;12,"Event hours look high. ",""),"")&amp;IF(G1426&gt;0,"See CONFIRM sheet.",""))</f>
        <v/>
      </c>
      <c r="AB1426" s="1" t="n">
        <f aca="false">IF(N1426="No",0,IF(REVIEW!O1426=0,0,IF(G1426&gt;0,IF(INDEX(CONFIRM!$J$5:$J$53,G1426)&lt;&gt;"",INDEX(CONFIRM!$J$5:$J$53,G1426),1),1)))</f>
        <v>1</v>
      </c>
      <c r="AC1426" s="1" t="n">
        <f aca="false">IF(AB1426=1,IF(COUNTIFS($B$5:B1426,B1426,$D$5:D1426,D1426,$AB$5:AB1426,1)=1,1,0),0)</f>
        <v>0</v>
      </c>
    </row>
    <row r="1427" customFormat="false" ht="15" hidden="false" customHeight="false" outlineLevel="0" collapsed="false">
      <c r="A1427" s="48" t="str">
        <f aca="false">STACK!A1427</f>
        <v>QHH-0046</v>
      </c>
      <c r="B1427" s="48" t="str">
        <f aca="false">STACK!B1427</f>
        <v>QHH</v>
      </c>
      <c r="C1427" s="48" t="str">
        <f aca="false">STACK!E1427</f>
        <v>Blood Pressure Clinic</v>
      </c>
      <c r="D1427" s="1" t="str">
        <f aca="false">IFERROR(INDEX(MAP!$J$7:$J$101,MATCH(TRIM(C1427),MAP!$I$7:$I$101,0)),"UNMAPPED")</f>
        <v>Community Blood Pressure Checks</v>
      </c>
      <c r="E1427" s="1" t="str">
        <f aca="false">IFERROR(INDEX(MAP!$K$7:$K$101,MATCH(TRIM(C1427),MAP!$I$7:$I$101,0)),"")</f>
        <v>Chronic disease prevention</v>
      </c>
      <c r="F1427" s="1" t="str">
        <f aca="false">IFERROR(INDEX(MAP!$L$7:$L$101,MATCH(TRIM(C1427),MAP!$I$7:$I$101,0)),"")</f>
        <v>Event</v>
      </c>
      <c r="G1427" s="1" t="n">
        <f aca="false">IFERROR(MATCH(A1427,CONFIRM!$A$5:$A$53,0),0)</f>
        <v>0</v>
      </c>
      <c r="H1427" s="48" t="str">
        <f aca="false">STACK!F1427</f>
        <v>CHIS - Clinical</v>
      </c>
      <c r="I1427" s="1" t="str">
        <f aca="false">IF(G1427&gt;0,IF(INDEX(CONFIRM!$I$5:$I$53,G1427)&lt;&gt;"",INDEX(CONFIRM!$I$5:$I$53,G1427),H1427),H1427)</f>
        <v>CHIS - Clinical</v>
      </c>
      <c r="J1427" s="1" t="str">
        <f aca="false">IFERROR(INDEX(MAP!$F$7:$F$74,MATCH(TRIM(I1427),MAP!$E$7:$E$74,0)),"UNMAPPED")</f>
        <v>Community-based clinical services</v>
      </c>
      <c r="K1427" s="1" t="str">
        <f aca="false">IFERROR(INDEX(MAP!$G$7:$G$74,MATCH(TRIM(I1427),MAP!$E$7:$E$74,0)),"UNMAPPED")</f>
        <v>7e</v>
      </c>
      <c r="L1427" s="49" t="str">
        <f aca="false">STACK!G1427</f>
        <v>13-Sep-2025</v>
      </c>
      <c r="M1427" s="59" t="n">
        <f aca="false">IF(G1427&gt;0,IF(INDEX(CONFIRM!$G$5:$G$53,G1427)&lt;&gt;"",INDEX(CONFIRM!$G$5:$G$53,G1427),IF(ISNUMBER(L1427),L1427,IFERROR(DATEVALUE(L1427),""))),IF(ISNUMBER(L1427),L1427,IFERROR(DATEVALUE(L1427),"")))</f>
        <v>45913</v>
      </c>
      <c r="N1427" s="1" t="str">
        <f aca="false">IF(M1427="","Check",IF(AND(M1427&gt;=INPUTS!$C$6,M1427&lt;=INPUTS!$C$7),"Yes","No"))</f>
        <v>Yes</v>
      </c>
      <c r="O1427" s="48" t="str">
        <f aca="false">STACK!H1427</f>
        <v>RN - Outreach</v>
      </c>
      <c r="P1427" s="1" t="str">
        <f aca="false">IF(G1427&gt;0,IF(INDEX(CONFIRM!$H$5:$H$53,G1427)&lt;&gt;"",INDEX(CONFIRM!$H$5:$H$53,G1427),IFERROR(INDEX(MAP!$B$7:$B$156,MATCH(TRIM(O1427),MAP!$A$7:$A$156,0)),"UNMAPPED")),IFERROR(INDEX(MAP!$B$7:$B$156,MATCH(TRIM(O1427),MAP!$A$7:$A$156,0)),"UNMAPPED"))</f>
        <v>Registered Nurse</v>
      </c>
      <c r="Q1427" s="48" t="n">
        <f aca="false">STACK!I1427</f>
        <v>4</v>
      </c>
      <c r="R1427" s="60" t="n">
        <f aca="false">IF(G1427&gt;0,IF(INDEX(CONFIRM!$F$5:$F$53,G1427)&lt;&gt;"",INDEX(CONFIRM!$F$5:$F$53,G1427),IF(ISNUMBER(Q1427),Q1427,IF(Q1427="","",IFERROR(VALUE(TRIM(SUBSTITUTE(SUBSTITUTE(LOWER(Q1427),"hrs",""),"hr",""))),"")))),IF(ISNUMBER(Q1427),Q1427,IF(Q1427="","",IFERROR(VALUE(TRIM(SUBSTITUTE(SUBSTITUTE(LOWER(Q1427),"hrs",""),"hr",""))),""))))</f>
        <v>4</v>
      </c>
      <c r="S1427" s="57" t="n">
        <f aca="false">IFERROR(INDEX(RATES!$E$6:$E$28,MATCH(P1427,RATES!$A$6:$A$28,0)),0)</f>
        <v>55.8975</v>
      </c>
      <c r="T1427" s="61" t="n">
        <f aca="false">IF(ISNUMBER(R1427),R1427,0)*S1427</f>
        <v>223.59</v>
      </c>
      <c r="U1427" s="61" t="n">
        <f aca="false">T1427*INDEX(INPUTS!$H$10:$H$14,MATCH(B1427,INPUTS!$A$10:$A$14,0))</f>
        <v>33.76209</v>
      </c>
      <c r="V1427" s="61" t="n">
        <f aca="false">N(STACK!K1427)</f>
        <v>110</v>
      </c>
      <c r="W1427" s="61" t="n">
        <f aca="false">T1427+U1427+V1427</f>
        <v>367.35209</v>
      </c>
      <c r="X1427" s="61" t="n">
        <f aca="false">N(STACK!L1427)</f>
        <v>0</v>
      </c>
      <c r="Y1427" s="61" t="n">
        <f aca="false">W1427-X1427</f>
        <v>367.35209</v>
      </c>
      <c r="Z1427" s="1" t="n">
        <f aca="false">N(STACK!J1427)</f>
        <v>43</v>
      </c>
      <c r="AA1427" s="1" t="str">
        <f aca="false">TRIM(IF(D1427="UNMAPPED","Program not mapped. ","")&amp;IF(OR(K1427="UNMAPPED",K1427="UNASSIGNED"),"Category needs review. ","")&amp;IF(P1427="UNMAPPED","Title not mapped. ","")&amp;IF(AND(P1427&lt;&gt;"No staff time",R1427=""),"Missing hours. ","")&amp;IF(M1427="","Date not readable. ","")&amp;IF(N1427="No","Outside fiscal year. ","")&amp;IF(AND(F1427="Event",ISNUMBER(R1427)),IF(R1427&gt;12,"Event hours look high. ",""),"")&amp;IF(G1427&gt;0,"See CONFIRM sheet.",""))</f>
        <v/>
      </c>
      <c r="AB1427" s="1" t="n">
        <f aca="false">IF(N1427="No",0,IF(REVIEW!O1427=0,0,IF(G1427&gt;0,IF(INDEX(CONFIRM!$J$5:$J$53,G1427)&lt;&gt;"",INDEX(CONFIRM!$J$5:$J$53,G1427),1),1)))</f>
        <v>1</v>
      </c>
      <c r="AC1427" s="1" t="n">
        <f aca="false">IF(AB1427=1,IF(COUNTIFS($B$5:B1427,B1427,$D$5:D1427,D1427,$AB$5:AB1427,1)=1,1,0),0)</f>
        <v>0</v>
      </c>
    </row>
    <row r="1428" customFormat="false" ht="15" hidden="false" customHeight="false" outlineLevel="0" collapsed="false">
      <c r="A1428" s="48" t="str">
        <f aca="false">STACK!A1428</f>
        <v>QHH-0047</v>
      </c>
      <c r="B1428" s="48" t="str">
        <f aca="false">STACK!B1428</f>
        <v>QHH</v>
      </c>
      <c r="C1428" s="48" t="str">
        <f aca="false">STACK!E1428</f>
        <v>Diabetes Prevention Program</v>
      </c>
      <c r="D1428" s="1" t="str">
        <f aca="false">IFERROR(INDEX(MAP!$J$7:$J$101,MATCH(TRIM(C1428),MAP!$I$7:$I$101,0)),"UNMAPPED")</f>
        <v>Diabetes Prevention Classes</v>
      </c>
      <c r="E1428" s="1" t="str">
        <f aca="false">IFERROR(INDEX(MAP!$K$7:$K$101,MATCH(TRIM(C1428),MAP!$I$7:$I$101,0)),"")</f>
        <v>Chronic disease prevention</v>
      </c>
      <c r="F1428" s="1" t="str">
        <f aca="false">IFERROR(INDEX(MAP!$L$7:$L$101,MATCH(TRIM(C1428),MAP!$I$7:$I$101,0)),"")</f>
        <v>Event</v>
      </c>
      <c r="G1428" s="1" t="n">
        <f aca="false">IFERROR(MATCH(A1428,CONFIRM!$A$5:$A$53,0),0)</f>
        <v>0</v>
      </c>
      <c r="H1428" s="48" t="str">
        <f aca="false">STACK!F1428</f>
        <v>CHIS - Education</v>
      </c>
      <c r="I1428" s="1" t="str">
        <f aca="false">IF(G1428&gt;0,IF(INDEX(CONFIRM!$I$5:$I$53,G1428)&lt;&gt;"",INDEX(CONFIRM!$I$5:$I$53,G1428),H1428),H1428)</f>
        <v>CHIS - Education</v>
      </c>
      <c r="J1428" s="1" t="str">
        <f aca="false">IFERROR(INDEX(MAP!$F$7:$F$74,MATCH(TRIM(I1428),MAP!$E$7:$E$74,0)),"UNMAPPED")</f>
        <v>Community health education</v>
      </c>
      <c r="K1428" s="1" t="str">
        <f aca="false">IFERROR(INDEX(MAP!$G$7:$G$74,MATCH(TRIM(I1428),MAP!$E$7:$E$74,0)),"UNMAPPED")</f>
        <v>7e</v>
      </c>
      <c r="L1428" s="49" t="str">
        <f aca="false">STACK!G1428</f>
        <v>20-Sep-2025</v>
      </c>
      <c r="M1428" s="59" t="n">
        <f aca="false">IF(G1428&gt;0,IF(INDEX(CONFIRM!$G$5:$G$53,G1428)&lt;&gt;"",INDEX(CONFIRM!$G$5:$G$53,G1428),IF(ISNUMBER(L1428),L1428,IFERROR(DATEVALUE(L1428),""))),IF(ISNUMBER(L1428),L1428,IFERROR(DATEVALUE(L1428),"")))</f>
        <v>45920</v>
      </c>
      <c r="N1428" s="1" t="str">
        <f aca="false">IF(M1428="","Check",IF(AND(M1428&gt;=INPUTS!$C$6,M1428&lt;=INPUTS!$C$7),"Yes","No"))</f>
        <v>Yes</v>
      </c>
      <c r="O1428" s="48" t="str">
        <f aca="false">STACK!H1428</f>
        <v>CHES</v>
      </c>
      <c r="P1428" s="1" t="str">
        <f aca="false">IF(G1428&gt;0,IF(INDEX(CONFIRM!$H$5:$H$53,G1428)&lt;&gt;"",INDEX(CONFIRM!$H$5:$H$53,G1428),IFERROR(INDEX(MAP!$B$7:$B$156,MATCH(TRIM(O1428),MAP!$A$7:$A$156,0)),"UNMAPPED")),IFERROR(INDEX(MAP!$B$7:$B$156,MATCH(TRIM(O1428),MAP!$A$7:$A$156,0)),"UNMAPPED"))</f>
        <v>Health Educator</v>
      </c>
      <c r="Q1428" s="48" t="n">
        <f aca="false">STACK!I1428</f>
        <v>2.5</v>
      </c>
      <c r="R1428" s="60" t="n">
        <f aca="false">IF(G1428&gt;0,IF(INDEX(CONFIRM!$F$5:$F$53,G1428)&lt;&gt;"",INDEX(CONFIRM!$F$5:$F$53,G1428),IF(ISNUMBER(Q1428),Q1428,IF(Q1428="","",IFERROR(VALUE(TRIM(SUBSTITUTE(SUBSTITUTE(LOWER(Q1428),"hrs",""),"hr",""))),"")))),IF(ISNUMBER(Q1428),Q1428,IF(Q1428="","",IFERROR(VALUE(TRIM(SUBSTITUTE(SUBSTITUTE(LOWER(Q1428),"hrs",""),"hr",""))),""))))</f>
        <v>2.5</v>
      </c>
      <c r="S1428" s="57" t="n">
        <f aca="false">IFERROR(INDEX(RATES!$E$6:$E$28,MATCH(P1428,RATES!$A$6:$A$28,0)),0)</f>
        <v>37.265</v>
      </c>
      <c r="T1428" s="61" t="n">
        <f aca="false">IF(ISNUMBER(R1428),R1428,0)*S1428</f>
        <v>93.1625</v>
      </c>
      <c r="U1428" s="61" t="n">
        <f aca="false">T1428*INDEX(INPUTS!$H$10:$H$14,MATCH(B1428,INPUTS!$A$10:$A$14,0))</f>
        <v>14.0675375</v>
      </c>
      <c r="V1428" s="61" t="n">
        <f aca="false">N(STACK!K1428)</f>
        <v>100</v>
      </c>
      <c r="W1428" s="61" t="n">
        <f aca="false">T1428+U1428+V1428</f>
        <v>207.2300375</v>
      </c>
      <c r="X1428" s="61" t="n">
        <f aca="false">N(STACK!L1428)</f>
        <v>0</v>
      </c>
      <c r="Y1428" s="61" t="n">
        <f aca="false">W1428-X1428</f>
        <v>207.2300375</v>
      </c>
      <c r="Z1428" s="1" t="n">
        <f aca="false">N(STACK!J1428)</f>
        <v>16</v>
      </c>
      <c r="AA1428" s="1" t="str">
        <f aca="false">TRIM(IF(D1428="UNMAPPED","Program not mapped. ","")&amp;IF(OR(K1428="UNMAPPED",K1428="UNASSIGNED"),"Category needs review. ","")&amp;IF(P1428="UNMAPPED","Title not mapped. ","")&amp;IF(AND(P1428&lt;&gt;"No staff time",R1428=""),"Missing hours. ","")&amp;IF(M1428="","Date not readable. ","")&amp;IF(N1428="No","Outside fiscal year. ","")&amp;IF(AND(F1428="Event",ISNUMBER(R1428)),IF(R1428&gt;12,"Event hours look high. ",""),"")&amp;IF(G1428&gt;0,"See CONFIRM sheet.",""))</f>
        <v/>
      </c>
      <c r="AB1428" s="1" t="n">
        <f aca="false">IF(N1428="No",0,IF(REVIEW!O1428=0,0,IF(G1428&gt;0,IF(INDEX(CONFIRM!$J$5:$J$53,G1428)&lt;&gt;"",INDEX(CONFIRM!$J$5:$J$53,G1428),1),1)))</f>
        <v>1</v>
      </c>
      <c r="AC1428" s="1" t="n">
        <f aca="false">IF(AB1428=1,IF(COUNTIFS($B$5:B1428,B1428,$D$5:D1428,D1428,$AB$5:AB1428,1)=1,1,0),0)</f>
        <v>0</v>
      </c>
    </row>
    <row r="1429" customFormat="false" ht="15" hidden="false" customHeight="false" outlineLevel="0" collapsed="false">
      <c r="A1429" s="48" t="str">
        <f aca="false">STACK!A1429</f>
        <v>QHH-0048</v>
      </c>
      <c r="B1429" s="48" t="str">
        <f aca="false">STACK!B1429</f>
        <v>QHH</v>
      </c>
      <c r="C1429" s="48" t="str">
        <f aca="false">STACK!E1429</f>
        <v>Diabetes Prevention Program</v>
      </c>
      <c r="D1429" s="1" t="str">
        <f aca="false">IFERROR(INDEX(MAP!$J$7:$J$101,MATCH(TRIM(C1429),MAP!$I$7:$I$101,0)),"UNMAPPED")</f>
        <v>Diabetes Prevention Classes</v>
      </c>
      <c r="E1429" s="1" t="str">
        <f aca="false">IFERROR(INDEX(MAP!$K$7:$K$101,MATCH(TRIM(C1429),MAP!$I$7:$I$101,0)),"")</f>
        <v>Chronic disease prevention</v>
      </c>
      <c r="F1429" s="1" t="str">
        <f aca="false">IFERROR(INDEX(MAP!$L$7:$L$101,MATCH(TRIM(C1429),MAP!$I$7:$I$101,0)),"")</f>
        <v>Event</v>
      </c>
      <c r="G1429" s="1" t="n">
        <f aca="false">IFERROR(MATCH(A1429,CONFIRM!$A$5:$A$53,0),0)</f>
        <v>0</v>
      </c>
      <c r="H1429" s="48" t="str">
        <f aca="false">STACK!F1429</f>
        <v>CHIS - Education</v>
      </c>
      <c r="I1429" s="1" t="str">
        <f aca="false">IF(G1429&gt;0,IF(INDEX(CONFIRM!$I$5:$I$53,G1429)&lt;&gt;"",INDEX(CONFIRM!$I$5:$I$53,G1429),H1429),H1429)</f>
        <v>CHIS - Education</v>
      </c>
      <c r="J1429" s="1" t="str">
        <f aca="false">IFERROR(INDEX(MAP!$F$7:$F$74,MATCH(TRIM(I1429),MAP!$E$7:$E$74,0)),"UNMAPPED")</f>
        <v>Community health education</v>
      </c>
      <c r="K1429" s="1" t="str">
        <f aca="false">IFERROR(INDEX(MAP!$G$7:$G$74,MATCH(TRIM(I1429),MAP!$E$7:$E$74,0)),"UNMAPPED")</f>
        <v>7e</v>
      </c>
      <c r="L1429" s="49" t="str">
        <f aca="false">STACK!G1429</f>
        <v>20-Sep-2025</v>
      </c>
      <c r="M1429" s="59" t="n">
        <f aca="false">IF(G1429&gt;0,IF(INDEX(CONFIRM!$G$5:$G$53,G1429)&lt;&gt;"",INDEX(CONFIRM!$G$5:$G$53,G1429),IF(ISNUMBER(L1429),L1429,IFERROR(DATEVALUE(L1429),""))),IF(ISNUMBER(L1429),L1429,IFERROR(DATEVALUE(L1429),"")))</f>
        <v>45920</v>
      </c>
      <c r="N1429" s="1" t="str">
        <f aca="false">IF(M1429="","Check",IF(AND(M1429&gt;=INPUTS!$C$6,M1429&lt;=INPUTS!$C$7),"Yes","No"))</f>
        <v>Yes</v>
      </c>
      <c r="O1429" s="48" t="str">
        <f aca="false">STACK!H1429</f>
        <v>RDN</v>
      </c>
      <c r="P1429" s="1" t="str">
        <f aca="false">IF(G1429&gt;0,IF(INDEX(CONFIRM!$H$5:$H$53,G1429)&lt;&gt;"",INDEX(CONFIRM!$H$5:$H$53,G1429),IFERROR(INDEX(MAP!$B$7:$B$156,MATCH(TRIM(O1429),MAP!$A$7:$A$156,0)),"UNMAPPED")),IFERROR(INDEX(MAP!$B$7:$B$156,MATCH(TRIM(O1429),MAP!$A$7:$A$156,0)),"UNMAPPED"))</f>
        <v>Registered Dietitian</v>
      </c>
      <c r="Q1429" s="48" t="n">
        <f aca="false">STACK!I1429</f>
        <v>2</v>
      </c>
      <c r="R1429" s="60" t="n">
        <f aca="false">IF(G1429&gt;0,IF(INDEX(CONFIRM!$F$5:$F$53,G1429)&lt;&gt;"",INDEX(CONFIRM!$F$5:$F$53,G1429),IF(ISNUMBER(Q1429),Q1429,IF(Q1429="","",IFERROR(VALUE(TRIM(SUBSTITUTE(SUBSTITUTE(LOWER(Q1429),"hrs",""),"hr",""))),"")))),IF(ISNUMBER(Q1429),Q1429,IF(Q1429="","",IFERROR(VALUE(TRIM(SUBSTITUTE(SUBSTITUTE(LOWER(Q1429),"hrs",""),"hr",""))),""))))</f>
        <v>2</v>
      </c>
      <c r="S1429" s="57" t="n">
        <f aca="false">IFERROR(INDEX(RATES!$E$6:$E$28,MATCH(P1429,RATES!$A$6:$A$28,0)),0)</f>
        <v>46.9025</v>
      </c>
      <c r="T1429" s="61" t="n">
        <f aca="false">IF(ISNUMBER(R1429),R1429,0)*S1429</f>
        <v>93.805</v>
      </c>
      <c r="U1429" s="61" t="n">
        <f aca="false">T1429*INDEX(INPUTS!$H$10:$H$14,MATCH(B1429,INPUTS!$A$10:$A$14,0))</f>
        <v>14.164555</v>
      </c>
      <c r="V1429" s="61" t="n">
        <f aca="false">N(STACK!K1429)</f>
        <v>0</v>
      </c>
      <c r="W1429" s="61" t="n">
        <f aca="false">T1429+U1429+V1429</f>
        <v>107.969555</v>
      </c>
      <c r="X1429" s="61" t="n">
        <f aca="false">N(STACK!L1429)</f>
        <v>0</v>
      </c>
      <c r="Y1429" s="61" t="n">
        <f aca="false">W1429-X1429</f>
        <v>107.969555</v>
      </c>
      <c r="Z1429" s="1" t="n">
        <f aca="false">N(STACK!J1429)</f>
        <v>0</v>
      </c>
      <c r="AA1429" s="1" t="str">
        <f aca="false">TRIM(IF(D1429="UNMAPPED","Program not mapped. ","")&amp;IF(OR(K1429="UNMAPPED",K1429="UNASSIGNED"),"Category needs review. ","")&amp;IF(P1429="UNMAPPED","Title not mapped. ","")&amp;IF(AND(P1429&lt;&gt;"No staff time",R1429=""),"Missing hours. ","")&amp;IF(M1429="","Date not readable. ","")&amp;IF(N1429="No","Outside fiscal year. ","")&amp;IF(AND(F1429="Event",ISNUMBER(R1429)),IF(R1429&gt;12,"Event hours look high. ",""),"")&amp;IF(G1429&gt;0,"See CONFIRM sheet.",""))</f>
        <v/>
      </c>
      <c r="AB1429" s="1" t="n">
        <f aca="false">IF(N1429="No",0,IF(REVIEW!O1429=0,0,IF(G1429&gt;0,IF(INDEX(CONFIRM!$J$5:$J$53,G1429)&lt;&gt;"",INDEX(CONFIRM!$J$5:$J$53,G1429),1),1)))</f>
        <v>1</v>
      </c>
      <c r="AC1429" s="1" t="n">
        <f aca="false">IF(AB1429=1,IF(COUNTIFS($B$5:B1429,B1429,$D$5:D1429,D1429,$AB$5:AB1429,1)=1,1,0),0)</f>
        <v>0</v>
      </c>
    </row>
    <row r="1430" customFormat="false" ht="15" hidden="false" customHeight="false" outlineLevel="0" collapsed="false">
      <c r="A1430" s="48" t="str">
        <f aca="false">STACK!A1430</f>
        <v>QHH-0049</v>
      </c>
      <c r="B1430" s="48" t="str">
        <f aca="false">STACK!B1430</f>
        <v>QHH</v>
      </c>
      <c r="C1430" s="48" t="str">
        <f aca="false">STACK!E1430</f>
        <v>Supply Donations</v>
      </c>
      <c r="D1430" s="1" t="str">
        <f aca="false">IFERROR(INDEX(MAP!$J$7:$J$101,MATCH(TRIM(C1430),MAP!$I$7:$I$101,0)),"UNMAPPED")</f>
        <v>In-Kind Medical Supply Donations</v>
      </c>
      <c r="E1430" s="1" t="str">
        <f aca="false">IFERROR(INDEX(MAP!$K$7:$K$101,MATCH(TRIM(C1430),MAP!$I$7:$I$101,0)),"")</f>
        <v>Access to care</v>
      </c>
      <c r="F1430" s="1" t="str">
        <f aca="false">IFERROR(INDEX(MAP!$L$7:$L$101,MATCH(TRIM(C1430),MAP!$I$7:$I$101,0)),"")</f>
        <v>Contribution</v>
      </c>
      <c r="G1430" s="1" t="n">
        <f aca="false">IFERROR(MATCH(A1430,CONFIRM!$A$5:$A$53,0),0)</f>
        <v>0</v>
      </c>
      <c r="H1430" s="48" t="str">
        <f aca="false">STACK!F1430</f>
        <v>Cash Contribution</v>
      </c>
      <c r="I1430" s="1" t="str">
        <f aca="false">IF(G1430&gt;0,IF(INDEX(CONFIRM!$I$5:$I$53,G1430)&lt;&gt;"",INDEX(CONFIRM!$I$5:$I$53,G1430),H1430),H1430)</f>
        <v>Cash Contribution</v>
      </c>
      <c r="J1430" s="1" t="str">
        <f aca="false">IFERROR(INDEX(MAP!$F$7:$F$74,MATCH(TRIM(I1430),MAP!$E$7:$E$74,0)),"UNMAPPED")</f>
        <v>Cash and in-kind contributions</v>
      </c>
      <c r="K1430" s="1" t="str">
        <f aca="false">IFERROR(INDEX(MAP!$G$7:$G$74,MATCH(TRIM(I1430),MAP!$E$7:$E$74,0)),"UNMAPPED")</f>
        <v>7i</v>
      </c>
      <c r="L1430" s="49" t="str">
        <f aca="false">STACK!G1430</f>
        <v>26-Sep-2025</v>
      </c>
      <c r="M1430" s="59" t="n">
        <f aca="false">IF(G1430&gt;0,IF(INDEX(CONFIRM!$G$5:$G$53,G1430)&lt;&gt;"",INDEX(CONFIRM!$G$5:$G$53,G1430),IF(ISNUMBER(L1430),L1430,IFERROR(DATEVALUE(L1430),""))),IF(ISNUMBER(L1430),L1430,IFERROR(DATEVALUE(L1430),"")))</f>
        <v>45926</v>
      </c>
      <c r="N1430" s="1" t="str">
        <f aca="false">IF(M1430="","Check",IF(AND(M1430&gt;=INPUTS!$C$6,M1430&lt;=INPUTS!$C$7),"Yes","No"))</f>
        <v>Yes</v>
      </c>
      <c r="O1430" s="48" t="str">
        <f aca="false">STACK!H1430</f>
        <v>n.a.</v>
      </c>
      <c r="P1430" s="1" t="str">
        <f aca="false">IF(G1430&gt;0,IF(INDEX(CONFIRM!$H$5:$H$53,G1430)&lt;&gt;"",INDEX(CONFIRM!$H$5:$H$53,G1430),IFERROR(INDEX(MAP!$B$7:$B$156,MATCH(TRIM(O1430),MAP!$A$7:$A$156,0)),"UNMAPPED")),IFERROR(INDEX(MAP!$B$7:$B$156,MATCH(TRIM(O1430),MAP!$A$7:$A$156,0)),"UNMAPPED"))</f>
        <v>No staff time</v>
      </c>
      <c r="Q1430" s="48" t="n">
        <f aca="false">STACK!I1430</f>
        <v>0</v>
      </c>
      <c r="R1430" s="60" t="n">
        <f aca="false">IF(G1430&gt;0,IF(INDEX(CONFIRM!$F$5:$F$53,G1430)&lt;&gt;"",INDEX(CONFIRM!$F$5:$F$53,G1430),IF(ISNUMBER(Q1430),Q1430,IF(Q1430="","",IFERROR(VALUE(TRIM(SUBSTITUTE(SUBSTITUTE(LOWER(Q1430),"hrs",""),"hr",""))),"")))),IF(ISNUMBER(Q1430),Q1430,IF(Q1430="","",IFERROR(VALUE(TRIM(SUBSTITUTE(SUBSTITUTE(LOWER(Q1430),"hrs",""),"hr",""))),""))))</f>
        <v>0</v>
      </c>
      <c r="S1430" s="57" t="n">
        <f aca="false">IFERROR(INDEX(RATES!$E$6:$E$28,MATCH(P1430,RATES!$A$6:$A$28,0)),0)</f>
        <v>0</v>
      </c>
      <c r="T1430" s="61" t="n">
        <f aca="false">IF(ISNUMBER(R1430),R1430,0)*S1430</f>
        <v>0</v>
      </c>
      <c r="U1430" s="61" t="n">
        <f aca="false">T1430*INDEX(INPUTS!$H$10:$H$14,MATCH(B1430,INPUTS!$A$10:$A$14,0))</f>
        <v>0</v>
      </c>
      <c r="V1430" s="61" t="n">
        <f aca="false">N(STACK!K1430)</f>
        <v>8260</v>
      </c>
      <c r="W1430" s="61" t="n">
        <f aca="false">T1430+U1430+V1430</f>
        <v>8260</v>
      </c>
      <c r="X1430" s="61" t="n">
        <f aca="false">N(STACK!L1430)</f>
        <v>0</v>
      </c>
      <c r="Y1430" s="61" t="n">
        <f aca="false">W1430-X1430</f>
        <v>8260</v>
      </c>
      <c r="Z1430" s="1" t="n">
        <f aca="false">N(STACK!J1430)</f>
        <v>0</v>
      </c>
      <c r="AA1430" s="1" t="str">
        <f aca="false">TRIM(IF(D1430="UNMAPPED","Program not mapped. ","")&amp;IF(OR(K1430="UNMAPPED",K1430="UNASSIGNED"),"Category needs review. ","")&amp;IF(P1430="UNMAPPED","Title not mapped. ","")&amp;IF(AND(P1430&lt;&gt;"No staff time",R1430=""),"Missing hours. ","")&amp;IF(M1430="","Date not readable. ","")&amp;IF(N1430="No","Outside fiscal year. ","")&amp;IF(AND(F1430="Event",ISNUMBER(R1430)),IF(R1430&gt;12,"Event hours look high. ",""),"")&amp;IF(G1430&gt;0,"See CONFIRM sheet.",""))</f>
        <v/>
      </c>
      <c r="AB1430" s="1" t="n">
        <f aca="false">IF(N1430="No",0,IF(REVIEW!O1430=0,0,IF(G1430&gt;0,IF(INDEX(CONFIRM!$J$5:$J$53,G1430)&lt;&gt;"",INDEX(CONFIRM!$J$5:$J$53,G1430),1),1)))</f>
        <v>1</v>
      </c>
      <c r="AC1430" s="1" t="n">
        <f aca="false">IF(AB1430=1,IF(COUNTIFS($B$5:B1430,B1430,$D$5:D1430,D1430,$AB$5:AB1430,1)=1,1,0),0)</f>
        <v>1</v>
      </c>
    </row>
    <row r="1431" customFormat="false" ht="15" hidden="false" customHeight="false" outlineLevel="0" collapsed="false">
      <c r="A1431" s="48" t="str">
        <f aca="false">STACK!A1431</f>
        <v>QHH-0050</v>
      </c>
      <c r="B1431" s="48" t="str">
        <f aca="false">STACK!B1431</f>
        <v>QHH</v>
      </c>
      <c r="C1431" s="48" t="str">
        <f aca="false">STACK!E1431</f>
        <v>Diabetes Prevention Program</v>
      </c>
      <c r="D1431" s="1" t="str">
        <f aca="false">IFERROR(INDEX(MAP!$J$7:$J$101,MATCH(TRIM(C1431),MAP!$I$7:$I$101,0)),"UNMAPPED")</f>
        <v>Diabetes Prevention Classes</v>
      </c>
      <c r="E1431" s="1" t="str">
        <f aca="false">IFERROR(INDEX(MAP!$K$7:$K$101,MATCH(TRIM(C1431),MAP!$I$7:$I$101,0)),"")</f>
        <v>Chronic disease prevention</v>
      </c>
      <c r="F1431" s="1" t="str">
        <f aca="false">IFERROR(INDEX(MAP!$L$7:$L$101,MATCH(TRIM(C1431),MAP!$I$7:$I$101,0)),"")</f>
        <v>Event</v>
      </c>
      <c r="G1431" s="1" t="n">
        <f aca="false">IFERROR(MATCH(A1431,CONFIRM!$A$5:$A$53,0),0)</f>
        <v>0</v>
      </c>
      <c r="H1431" s="48" t="str">
        <f aca="false">STACK!F1431</f>
        <v>CHIS - Education</v>
      </c>
      <c r="I1431" s="1" t="str">
        <f aca="false">IF(G1431&gt;0,IF(INDEX(CONFIRM!$I$5:$I$53,G1431)&lt;&gt;"",INDEX(CONFIRM!$I$5:$I$53,G1431),H1431),H1431)</f>
        <v>CHIS - Education</v>
      </c>
      <c r="J1431" s="1" t="str">
        <f aca="false">IFERROR(INDEX(MAP!$F$7:$F$74,MATCH(TRIM(I1431),MAP!$E$7:$E$74,0)),"UNMAPPED")</f>
        <v>Community health education</v>
      </c>
      <c r="K1431" s="1" t="str">
        <f aca="false">IFERROR(INDEX(MAP!$G$7:$G$74,MATCH(TRIM(I1431),MAP!$E$7:$E$74,0)),"UNMAPPED")</f>
        <v>7e</v>
      </c>
      <c r="L1431" s="49" t="str">
        <f aca="false">STACK!G1431</f>
        <v>30-Sep-2025</v>
      </c>
      <c r="M1431" s="59" t="n">
        <f aca="false">IF(G1431&gt;0,IF(INDEX(CONFIRM!$G$5:$G$53,G1431)&lt;&gt;"",INDEX(CONFIRM!$G$5:$G$53,G1431),IF(ISNUMBER(L1431),L1431,IFERROR(DATEVALUE(L1431),""))),IF(ISNUMBER(L1431),L1431,IFERROR(DATEVALUE(L1431),"")))</f>
        <v>45930</v>
      </c>
      <c r="N1431" s="1" t="str">
        <f aca="false">IF(M1431="","Check",IF(AND(M1431&gt;=INPUTS!$C$6,M1431&lt;=INPUTS!$C$7),"Yes","No"))</f>
        <v>Yes</v>
      </c>
      <c r="O1431" s="48" t="str">
        <f aca="false">STACK!H1431</f>
        <v>Health Educator</v>
      </c>
      <c r="P1431" s="1" t="str">
        <f aca="false">IF(G1431&gt;0,IF(INDEX(CONFIRM!$H$5:$H$53,G1431)&lt;&gt;"",INDEX(CONFIRM!$H$5:$H$53,G1431),IFERROR(INDEX(MAP!$B$7:$B$156,MATCH(TRIM(O1431),MAP!$A$7:$A$156,0)),"UNMAPPED")),IFERROR(INDEX(MAP!$B$7:$B$156,MATCH(TRIM(O1431),MAP!$A$7:$A$156,0)),"UNMAPPED"))</f>
        <v>Health Educator</v>
      </c>
      <c r="Q1431" s="48" t="n">
        <f aca="false">STACK!I1431</f>
        <v>3</v>
      </c>
      <c r="R1431" s="60" t="n">
        <f aca="false">IF(G1431&gt;0,IF(INDEX(CONFIRM!$F$5:$F$53,G1431)&lt;&gt;"",INDEX(CONFIRM!$F$5:$F$53,G1431),IF(ISNUMBER(Q1431),Q1431,IF(Q1431="","",IFERROR(VALUE(TRIM(SUBSTITUTE(SUBSTITUTE(LOWER(Q1431),"hrs",""),"hr",""))),"")))),IF(ISNUMBER(Q1431),Q1431,IF(Q1431="","",IFERROR(VALUE(TRIM(SUBSTITUTE(SUBSTITUTE(LOWER(Q1431),"hrs",""),"hr",""))),""))))</f>
        <v>3</v>
      </c>
      <c r="S1431" s="57" t="n">
        <f aca="false">IFERROR(INDEX(RATES!$E$6:$E$28,MATCH(P1431,RATES!$A$6:$A$28,0)),0)</f>
        <v>37.265</v>
      </c>
      <c r="T1431" s="61" t="n">
        <f aca="false">IF(ISNUMBER(R1431),R1431,0)*S1431</f>
        <v>111.795</v>
      </c>
      <c r="U1431" s="61" t="n">
        <f aca="false">T1431*INDEX(INPUTS!$H$10:$H$14,MATCH(B1431,INPUTS!$A$10:$A$14,0))</f>
        <v>16.881045</v>
      </c>
      <c r="V1431" s="61" t="n">
        <f aca="false">N(STACK!K1431)</f>
        <v>95</v>
      </c>
      <c r="W1431" s="61" t="n">
        <f aca="false">T1431+U1431+V1431</f>
        <v>223.676045</v>
      </c>
      <c r="X1431" s="61" t="n">
        <f aca="false">N(STACK!L1431)</f>
        <v>0</v>
      </c>
      <c r="Y1431" s="61" t="n">
        <f aca="false">W1431-X1431</f>
        <v>223.676045</v>
      </c>
      <c r="Z1431" s="1" t="n">
        <f aca="false">N(STACK!J1431)</f>
        <v>19</v>
      </c>
      <c r="AA1431" s="1" t="str">
        <f aca="false">TRIM(IF(D1431="UNMAPPED","Program not mapped. ","")&amp;IF(OR(K1431="UNMAPPED",K1431="UNASSIGNED"),"Category needs review. ","")&amp;IF(P1431="UNMAPPED","Title not mapped. ","")&amp;IF(AND(P1431&lt;&gt;"No staff time",R1431=""),"Missing hours. ","")&amp;IF(M1431="","Date not readable. ","")&amp;IF(N1431="No","Outside fiscal year. ","")&amp;IF(AND(F1431="Event",ISNUMBER(R1431)),IF(R1431&gt;12,"Event hours look high. ",""),"")&amp;IF(G1431&gt;0,"See CONFIRM sheet.",""))</f>
        <v/>
      </c>
      <c r="AB1431" s="1" t="n">
        <f aca="false">IF(N1431="No",0,IF(REVIEW!O1431=0,0,IF(G1431&gt;0,IF(INDEX(CONFIRM!$J$5:$J$53,G1431)&lt;&gt;"",INDEX(CONFIRM!$J$5:$J$53,G1431),1),1)))</f>
        <v>1</v>
      </c>
      <c r="AC1431" s="1" t="n">
        <f aca="false">IF(AB1431=1,IF(COUNTIFS($B$5:B1431,B1431,$D$5:D1431,D1431,$AB$5:AB1431,1)=1,1,0),0)</f>
        <v>0</v>
      </c>
    </row>
    <row r="1432" customFormat="false" ht="15" hidden="false" customHeight="false" outlineLevel="0" collapsed="false">
      <c r="A1432" s="48" t="str">
        <f aca="false">STACK!A1432</f>
        <v>QHH-0051</v>
      </c>
      <c r="B1432" s="48" t="str">
        <f aca="false">STACK!B1432</f>
        <v>QHH</v>
      </c>
      <c r="C1432" s="48" t="str">
        <f aca="false">STACK!E1432</f>
        <v>Diabetes Prevention Program</v>
      </c>
      <c r="D1432" s="1" t="str">
        <f aca="false">IFERROR(INDEX(MAP!$J$7:$J$101,MATCH(TRIM(C1432),MAP!$I$7:$I$101,0)),"UNMAPPED")</f>
        <v>Diabetes Prevention Classes</v>
      </c>
      <c r="E1432" s="1" t="str">
        <f aca="false">IFERROR(INDEX(MAP!$K$7:$K$101,MATCH(TRIM(C1432),MAP!$I$7:$I$101,0)),"")</f>
        <v>Chronic disease prevention</v>
      </c>
      <c r="F1432" s="1" t="str">
        <f aca="false">IFERROR(INDEX(MAP!$L$7:$L$101,MATCH(TRIM(C1432),MAP!$I$7:$I$101,0)),"")</f>
        <v>Event</v>
      </c>
      <c r="G1432" s="1" t="n">
        <f aca="false">IFERROR(MATCH(A1432,CONFIRM!$A$5:$A$53,0),0)</f>
        <v>0</v>
      </c>
      <c r="H1432" s="48" t="str">
        <f aca="false">STACK!F1432</f>
        <v>CHIS - Education</v>
      </c>
      <c r="I1432" s="1" t="str">
        <f aca="false">IF(G1432&gt;0,IF(INDEX(CONFIRM!$I$5:$I$53,G1432)&lt;&gt;"",INDEX(CONFIRM!$I$5:$I$53,G1432),H1432),H1432)</f>
        <v>CHIS - Education</v>
      </c>
      <c r="J1432" s="1" t="str">
        <f aca="false">IFERROR(INDEX(MAP!$F$7:$F$74,MATCH(TRIM(I1432),MAP!$E$7:$E$74,0)),"UNMAPPED")</f>
        <v>Community health education</v>
      </c>
      <c r="K1432" s="1" t="str">
        <f aca="false">IFERROR(INDEX(MAP!$G$7:$G$74,MATCH(TRIM(I1432),MAP!$E$7:$E$74,0)),"UNMAPPED")</f>
        <v>7e</v>
      </c>
      <c r="L1432" s="49" t="str">
        <f aca="false">STACK!G1432</f>
        <v>30-Sep-2025</v>
      </c>
      <c r="M1432" s="59" t="n">
        <f aca="false">IF(G1432&gt;0,IF(INDEX(CONFIRM!$G$5:$G$53,G1432)&lt;&gt;"",INDEX(CONFIRM!$G$5:$G$53,G1432),IF(ISNUMBER(L1432),L1432,IFERROR(DATEVALUE(L1432),""))),IF(ISNUMBER(L1432),L1432,IFERROR(DATEVALUE(L1432),"")))</f>
        <v>45930</v>
      </c>
      <c r="N1432" s="1" t="str">
        <f aca="false">IF(M1432="","Check",IF(AND(M1432&gt;=INPUTS!$C$6,M1432&lt;=INPUTS!$C$7),"Yes","No"))</f>
        <v>Yes</v>
      </c>
      <c r="O1432" s="48" t="str">
        <f aca="false">STACK!H1432</f>
        <v>Clinical Dietitian </v>
      </c>
      <c r="P1432" s="1" t="str">
        <f aca="false">IF(G1432&gt;0,IF(INDEX(CONFIRM!$H$5:$H$53,G1432)&lt;&gt;"",INDEX(CONFIRM!$H$5:$H$53,G1432),IFERROR(INDEX(MAP!$B$7:$B$156,MATCH(TRIM(O1432),MAP!$A$7:$A$156,0)),"UNMAPPED")),IFERROR(INDEX(MAP!$B$7:$B$156,MATCH(TRIM(O1432),MAP!$A$7:$A$156,0)),"UNMAPPED"))</f>
        <v>Registered Dietitian</v>
      </c>
      <c r="Q1432" s="48" t="n">
        <f aca="false">STACK!I1432</f>
        <v>1.75</v>
      </c>
      <c r="R1432" s="60" t="n">
        <f aca="false">IF(G1432&gt;0,IF(INDEX(CONFIRM!$F$5:$F$53,G1432)&lt;&gt;"",INDEX(CONFIRM!$F$5:$F$53,G1432),IF(ISNUMBER(Q1432),Q1432,IF(Q1432="","",IFERROR(VALUE(TRIM(SUBSTITUTE(SUBSTITUTE(LOWER(Q1432),"hrs",""),"hr",""))),"")))),IF(ISNUMBER(Q1432),Q1432,IF(Q1432="","",IFERROR(VALUE(TRIM(SUBSTITUTE(SUBSTITUTE(LOWER(Q1432),"hrs",""),"hr",""))),""))))</f>
        <v>1.75</v>
      </c>
      <c r="S1432" s="57" t="n">
        <f aca="false">IFERROR(INDEX(RATES!$E$6:$E$28,MATCH(P1432,RATES!$A$6:$A$28,0)),0)</f>
        <v>46.9025</v>
      </c>
      <c r="T1432" s="61" t="n">
        <f aca="false">IF(ISNUMBER(R1432),R1432,0)*S1432</f>
        <v>82.079375</v>
      </c>
      <c r="U1432" s="61" t="n">
        <f aca="false">T1432*INDEX(INPUTS!$H$10:$H$14,MATCH(B1432,INPUTS!$A$10:$A$14,0))</f>
        <v>12.393985625</v>
      </c>
      <c r="V1432" s="61" t="n">
        <f aca="false">N(STACK!K1432)</f>
        <v>0</v>
      </c>
      <c r="W1432" s="61" t="n">
        <f aca="false">T1432+U1432+V1432</f>
        <v>94.473360625</v>
      </c>
      <c r="X1432" s="61" t="n">
        <f aca="false">N(STACK!L1432)</f>
        <v>0</v>
      </c>
      <c r="Y1432" s="61" t="n">
        <f aca="false">W1432-X1432</f>
        <v>94.473360625</v>
      </c>
      <c r="Z1432" s="1" t="n">
        <f aca="false">N(STACK!J1432)</f>
        <v>0</v>
      </c>
      <c r="AA1432" s="1" t="str">
        <f aca="false">TRIM(IF(D1432="UNMAPPED","Program not mapped. ","")&amp;IF(OR(K1432="UNMAPPED",K1432="UNASSIGNED"),"Category needs review. ","")&amp;IF(P1432="UNMAPPED","Title not mapped. ","")&amp;IF(AND(P1432&lt;&gt;"No staff time",R1432=""),"Missing hours. ","")&amp;IF(M1432="","Date not readable. ","")&amp;IF(N1432="No","Outside fiscal year. ","")&amp;IF(AND(F1432="Event",ISNUMBER(R1432)),IF(R1432&gt;12,"Event hours look high. ",""),"")&amp;IF(G1432&gt;0,"See CONFIRM sheet.",""))</f>
        <v/>
      </c>
      <c r="AB1432" s="1" t="n">
        <f aca="false">IF(N1432="No",0,IF(REVIEW!O1432=0,0,IF(G1432&gt;0,IF(INDEX(CONFIRM!$J$5:$J$53,G1432)&lt;&gt;"",INDEX(CONFIRM!$J$5:$J$53,G1432),1),1)))</f>
        <v>1</v>
      </c>
      <c r="AC1432" s="1" t="n">
        <f aca="false">IF(AB1432=1,IF(COUNTIFS($B$5:B1432,B1432,$D$5:D1432,D1432,$AB$5:AB1432,1)=1,1,0),0)</f>
        <v>0</v>
      </c>
    </row>
    <row r="1433" customFormat="false" ht="15" hidden="false" customHeight="false" outlineLevel="0" collapsed="false">
      <c r="A1433" s="48" t="str">
        <f aca="false">STACK!A1433</f>
        <v>QHH-0052</v>
      </c>
      <c r="B1433" s="48" t="str">
        <f aca="false">STACK!B1433</f>
        <v>QHH</v>
      </c>
      <c r="C1433" s="48" t="str">
        <f aca="false">STACK!E1433</f>
        <v>Medication Assistance</v>
      </c>
      <c r="D1433" s="1" t="str">
        <f aca="false">IFERROR(INDEX(MAP!$J$7:$J$101,MATCH(TRIM(C1433),MAP!$I$7:$I$101,0)),"UNMAPPED")</f>
        <v>Medication Assistance Program</v>
      </c>
      <c r="E1433" s="1" t="str">
        <f aca="false">IFERROR(INDEX(MAP!$K$7:$K$101,MATCH(TRIM(C1433),MAP!$I$7:$I$101,0)),"")</f>
        <v>Access to care</v>
      </c>
      <c r="F1433" s="1" t="str">
        <f aca="false">IFERROR(INDEX(MAP!$L$7:$L$101,MATCH(TRIM(C1433),MAP!$I$7:$I$101,0)),"")</f>
        <v>Monthly</v>
      </c>
      <c r="G1433" s="1" t="n">
        <f aca="false">IFERROR(MATCH(A1433,CONFIRM!$A$5:$A$53,0),0)</f>
        <v>0</v>
      </c>
      <c r="H1433" s="48" t="str">
        <f aca="false">STACK!F1433</f>
        <v>CHIS - Support</v>
      </c>
      <c r="I1433" s="1" t="str">
        <f aca="false">IF(G1433&gt;0,IF(INDEX(CONFIRM!$I$5:$I$53,G1433)&lt;&gt;"",INDEX(CONFIRM!$I$5:$I$53,G1433),H1433),H1433)</f>
        <v>CHIS - Support</v>
      </c>
      <c r="J1433" s="1" t="str">
        <f aca="false">IFERROR(INDEX(MAP!$F$7:$F$74,MATCH(TRIM(I1433),MAP!$E$7:$E$74,0)),"UNMAPPED")</f>
        <v>Health care support services</v>
      </c>
      <c r="K1433" s="1" t="str">
        <f aca="false">IFERROR(INDEX(MAP!$G$7:$G$74,MATCH(TRIM(I1433),MAP!$E$7:$E$74,0)),"UNMAPPED")</f>
        <v>7e</v>
      </c>
      <c r="L1433" s="49" t="str">
        <f aca="false">STACK!G1433</f>
        <v>30-Sep-2025</v>
      </c>
      <c r="M1433" s="59" t="n">
        <f aca="false">IF(G1433&gt;0,IF(INDEX(CONFIRM!$G$5:$G$53,G1433)&lt;&gt;"",INDEX(CONFIRM!$G$5:$G$53,G1433),IF(ISNUMBER(L1433),L1433,IFERROR(DATEVALUE(L1433),""))),IF(ISNUMBER(L1433),L1433,IFERROR(DATEVALUE(L1433),"")))</f>
        <v>45930</v>
      </c>
      <c r="N1433" s="1" t="str">
        <f aca="false">IF(M1433="","Check",IF(AND(M1433&gt;=INPUTS!$C$6,M1433&lt;=INPUTS!$C$7),"Yes","No"))</f>
        <v>Yes</v>
      </c>
      <c r="O1433" s="48" t="str">
        <f aca="false">STACK!H1433</f>
        <v>Patient Navigator </v>
      </c>
      <c r="P1433" s="1" t="str">
        <f aca="false">IF(G1433&gt;0,IF(INDEX(CONFIRM!$H$5:$H$53,G1433)&lt;&gt;"",INDEX(CONFIRM!$H$5:$H$53,G1433),IFERROR(INDEX(MAP!$B$7:$B$156,MATCH(TRIM(O1433),MAP!$A$7:$A$156,0)),"UNMAPPED")),IFERROR(INDEX(MAP!$B$7:$B$156,MATCH(TRIM(O1433),MAP!$A$7:$A$156,0)),"UNMAPPED"))</f>
        <v>Patient Navigator</v>
      </c>
      <c r="Q1433" s="48" t="n">
        <f aca="false">STACK!I1433</f>
        <v>76.25</v>
      </c>
      <c r="R1433" s="60" t="n">
        <f aca="false">IF(G1433&gt;0,IF(INDEX(CONFIRM!$F$5:$F$53,G1433)&lt;&gt;"",INDEX(CONFIRM!$F$5:$F$53,G1433),IF(ISNUMBER(Q1433),Q1433,IF(Q1433="","",IFERROR(VALUE(TRIM(SUBSTITUTE(SUBSTITUTE(LOWER(Q1433),"hrs",""),"hr",""))),"")))),IF(ISNUMBER(Q1433),Q1433,IF(Q1433="","",IFERROR(VALUE(TRIM(SUBSTITUTE(SUBSTITUTE(LOWER(Q1433),"hrs",""),"hr",""))),""))))</f>
        <v>76.25</v>
      </c>
      <c r="S1433" s="57" t="n">
        <f aca="false">IFERROR(INDEX(RATES!$E$6:$E$28,MATCH(P1433,RATES!$A$6:$A$28,0)),0)</f>
        <v>30.84</v>
      </c>
      <c r="T1433" s="61" t="n">
        <f aca="false">IF(ISNUMBER(R1433),R1433,0)*S1433</f>
        <v>2351.55</v>
      </c>
      <c r="U1433" s="61" t="n">
        <f aca="false">T1433*INDEX(INPUTS!$H$10:$H$14,MATCH(B1433,INPUTS!$A$10:$A$14,0))</f>
        <v>355.08405</v>
      </c>
      <c r="V1433" s="61" t="n">
        <f aca="false">N(STACK!K1433)</f>
        <v>0</v>
      </c>
      <c r="W1433" s="61" t="n">
        <f aca="false">T1433+U1433+V1433</f>
        <v>2706.63405</v>
      </c>
      <c r="X1433" s="61" t="n">
        <f aca="false">N(STACK!L1433)</f>
        <v>0</v>
      </c>
      <c r="Y1433" s="61" t="n">
        <f aca="false">W1433-X1433</f>
        <v>2706.63405</v>
      </c>
      <c r="Z1433" s="1" t="n">
        <f aca="false">N(STACK!J1433)</f>
        <v>0</v>
      </c>
      <c r="AA1433" s="1" t="str">
        <f aca="false">TRIM(IF(D1433="UNMAPPED","Program not mapped. ","")&amp;IF(OR(K1433="UNMAPPED",K1433="UNASSIGNED"),"Category needs review. ","")&amp;IF(P1433="UNMAPPED","Title not mapped. ","")&amp;IF(AND(P1433&lt;&gt;"No staff time",R1433=""),"Missing hours. ","")&amp;IF(M1433="","Date not readable. ","")&amp;IF(N1433="No","Outside fiscal year. ","")&amp;IF(AND(F1433="Event",ISNUMBER(R1433)),IF(R1433&gt;12,"Event hours look high. ",""),"")&amp;IF(G1433&gt;0,"See CONFIRM sheet.",""))</f>
        <v/>
      </c>
      <c r="AB1433" s="1" t="n">
        <f aca="false">IF(N1433="No",0,IF(REVIEW!O1433=0,0,IF(G1433&gt;0,IF(INDEX(CONFIRM!$J$5:$J$53,G1433)&lt;&gt;"",INDEX(CONFIRM!$J$5:$J$53,G1433),1),1)))</f>
        <v>1</v>
      </c>
      <c r="AC1433" s="1" t="n">
        <f aca="false">IF(AB1433=1,IF(COUNTIFS($B$5:B1433,B1433,$D$5:D1433,D1433,$AB$5:AB1433,1)=1,1,0),0)</f>
        <v>0</v>
      </c>
    </row>
    <row r="1434" customFormat="false" ht="15" hidden="false" customHeight="false" outlineLevel="0" collapsed="false">
      <c r="A1434" s="48" t="str">
        <f aca="false">STACK!A1434</f>
        <v>QHH-0053</v>
      </c>
      <c r="B1434" s="48" t="str">
        <f aca="false">STACK!B1434</f>
        <v>QHH</v>
      </c>
      <c r="C1434" s="48" t="str">
        <f aca="false">STACK!E1434</f>
        <v>Medication Assistance</v>
      </c>
      <c r="D1434" s="1" t="str">
        <f aca="false">IFERROR(INDEX(MAP!$J$7:$J$101,MATCH(TRIM(C1434),MAP!$I$7:$I$101,0)),"UNMAPPED")</f>
        <v>Medication Assistance Program</v>
      </c>
      <c r="E1434" s="1" t="str">
        <f aca="false">IFERROR(INDEX(MAP!$K$7:$K$101,MATCH(TRIM(C1434),MAP!$I$7:$I$101,0)),"")</f>
        <v>Access to care</v>
      </c>
      <c r="F1434" s="1" t="str">
        <f aca="false">IFERROR(INDEX(MAP!$L$7:$L$101,MATCH(TRIM(C1434),MAP!$I$7:$I$101,0)),"")</f>
        <v>Monthly</v>
      </c>
      <c r="G1434" s="1" t="n">
        <f aca="false">IFERROR(MATCH(A1434,CONFIRM!$A$5:$A$53,0),0)</f>
        <v>0</v>
      </c>
      <c r="H1434" s="48" t="str">
        <f aca="false">STACK!F1434</f>
        <v>CHIS - Support</v>
      </c>
      <c r="I1434" s="1" t="str">
        <f aca="false">IF(G1434&gt;0,IF(INDEX(CONFIRM!$I$5:$I$53,G1434)&lt;&gt;"",INDEX(CONFIRM!$I$5:$I$53,G1434),H1434),H1434)</f>
        <v>CHIS - Support</v>
      </c>
      <c r="J1434" s="1" t="str">
        <f aca="false">IFERROR(INDEX(MAP!$F$7:$F$74,MATCH(TRIM(I1434),MAP!$E$7:$E$74,0)),"UNMAPPED")</f>
        <v>Health care support services</v>
      </c>
      <c r="K1434" s="1" t="str">
        <f aca="false">IFERROR(INDEX(MAP!$G$7:$G$74,MATCH(TRIM(I1434),MAP!$E$7:$E$74,0)),"UNMAPPED")</f>
        <v>7e</v>
      </c>
      <c r="L1434" s="49" t="str">
        <f aca="false">STACK!G1434</f>
        <v>30-Sep-2025</v>
      </c>
      <c r="M1434" s="59" t="n">
        <f aca="false">IF(G1434&gt;0,IF(INDEX(CONFIRM!$G$5:$G$53,G1434)&lt;&gt;"",INDEX(CONFIRM!$G$5:$G$53,G1434),IF(ISNUMBER(L1434),L1434,IFERROR(DATEVALUE(L1434),""))),IF(ISNUMBER(L1434),L1434,IFERROR(DATEVALUE(L1434),"")))</f>
        <v>45930</v>
      </c>
      <c r="N1434" s="1" t="str">
        <f aca="false">IF(M1434="","Check",IF(AND(M1434&gt;=INPUTS!$C$6,M1434&lt;=INPUTS!$C$7),"Yes","No"))</f>
        <v>Yes</v>
      </c>
      <c r="O1434" s="48" t="str">
        <f aca="false">STACK!H1434</f>
        <v>PharmD</v>
      </c>
      <c r="P1434" s="1" t="str">
        <f aca="false">IF(G1434&gt;0,IF(INDEX(CONFIRM!$H$5:$H$53,G1434)&lt;&gt;"",INDEX(CONFIRM!$H$5:$H$53,G1434),IFERROR(INDEX(MAP!$B$7:$B$156,MATCH(TRIM(O1434),MAP!$A$7:$A$156,0)),"UNMAPPED")),IFERROR(INDEX(MAP!$B$7:$B$156,MATCH(TRIM(O1434),MAP!$A$7:$A$156,0)),"UNMAPPED"))</f>
        <v>Pharmacist</v>
      </c>
      <c r="Q1434" s="48" t="n">
        <f aca="false">STACK!I1434</f>
        <v>19.75</v>
      </c>
      <c r="R1434" s="60" t="n">
        <f aca="false">IF(G1434&gt;0,IF(INDEX(CONFIRM!$F$5:$F$53,G1434)&lt;&gt;"",INDEX(CONFIRM!$F$5:$F$53,G1434),IF(ISNUMBER(Q1434),Q1434,IF(Q1434="","",IFERROR(VALUE(TRIM(SUBSTITUTE(SUBSTITUTE(LOWER(Q1434),"hrs",""),"hr",""))),"")))),IF(ISNUMBER(Q1434),Q1434,IF(Q1434="","",IFERROR(VALUE(TRIM(SUBSTITUTE(SUBSTITUTE(LOWER(Q1434),"hrs",""),"hr",""))),""))))</f>
        <v>19.75</v>
      </c>
      <c r="S1434" s="57" t="n">
        <f aca="false">IFERROR(INDEX(RATES!$E$6:$E$28,MATCH(P1434,RATES!$A$6:$A$28,0)),0)</f>
        <v>84.81</v>
      </c>
      <c r="T1434" s="61" t="n">
        <f aca="false">IF(ISNUMBER(R1434),R1434,0)*S1434</f>
        <v>1674.9975</v>
      </c>
      <c r="U1434" s="61" t="n">
        <f aca="false">T1434*INDEX(INPUTS!$H$10:$H$14,MATCH(B1434,INPUTS!$A$10:$A$14,0))</f>
        <v>252.9246225</v>
      </c>
      <c r="V1434" s="61" t="n">
        <f aca="false">N(STACK!K1434)</f>
        <v>19915</v>
      </c>
      <c r="W1434" s="61" t="n">
        <f aca="false">T1434+U1434+V1434</f>
        <v>21842.9221225</v>
      </c>
      <c r="X1434" s="61" t="n">
        <f aca="false">N(STACK!L1434)</f>
        <v>0</v>
      </c>
      <c r="Y1434" s="61" t="n">
        <f aca="false">W1434-X1434</f>
        <v>21842.9221225</v>
      </c>
      <c r="Z1434" s="1" t="n">
        <f aca="false">N(STACK!J1434)</f>
        <v>74</v>
      </c>
      <c r="AA1434" s="1" t="str">
        <f aca="false">TRIM(IF(D1434="UNMAPPED","Program not mapped. ","")&amp;IF(OR(K1434="UNMAPPED",K1434="UNASSIGNED"),"Category needs review. ","")&amp;IF(P1434="UNMAPPED","Title not mapped. ","")&amp;IF(AND(P1434&lt;&gt;"No staff time",R1434=""),"Missing hours. ","")&amp;IF(M1434="","Date not readable. ","")&amp;IF(N1434="No","Outside fiscal year. ","")&amp;IF(AND(F1434="Event",ISNUMBER(R1434)),IF(R1434&gt;12,"Event hours look high. ",""),"")&amp;IF(G1434&gt;0,"See CONFIRM sheet.",""))</f>
        <v/>
      </c>
      <c r="AB1434" s="1" t="n">
        <f aca="false">IF(N1434="No",0,IF(REVIEW!O1434=0,0,IF(G1434&gt;0,IF(INDEX(CONFIRM!$J$5:$J$53,G1434)&lt;&gt;"",INDEX(CONFIRM!$J$5:$J$53,G1434),1),1)))</f>
        <v>1</v>
      </c>
      <c r="AC1434" s="1" t="n">
        <f aca="false">IF(AB1434=1,IF(COUNTIFS($B$5:B1434,B1434,$D$5:D1434,D1434,$AB$5:AB1434,1)=1,1,0),0)</f>
        <v>0</v>
      </c>
    </row>
    <row r="1435" customFormat="false" ht="15" hidden="false" customHeight="false" outlineLevel="0" collapsed="false">
      <c r="A1435" s="48" t="str">
        <f aca="false">STACK!A1435</f>
        <v>QHH-0054</v>
      </c>
      <c r="B1435" s="48" t="str">
        <f aca="false">STACK!B1435</f>
        <v>QHH</v>
      </c>
      <c r="C1435" s="48" t="str">
        <f aca="false">STACK!E1435</f>
        <v>Community Benefit Admin.</v>
      </c>
      <c r="D1435" s="1" t="str">
        <f aca="false">IFERROR(INDEX(MAP!$J$7:$J$101,MATCH(TRIM(C1435),MAP!$I$7:$I$101,0)),"UNMAPPED")</f>
        <v>Community Benefit Program Administration</v>
      </c>
      <c r="E1435" s="1" t="str">
        <f aca="false">IFERROR(INDEX(MAP!$K$7:$K$101,MATCH(TRIM(C1435),MAP!$I$7:$I$101,0)),"")</f>
        <v>Community benefit infrastructure</v>
      </c>
      <c r="F1435" s="1" t="str">
        <f aca="false">IFERROR(INDEX(MAP!$L$7:$L$101,MATCH(TRIM(C1435),MAP!$I$7:$I$101,0)),"")</f>
        <v>Monthly</v>
      </c>
      <c r="G1435" s="1" t="n">
        <f aca="false">IFERROR(MATCH(A1435,CONFIRM!$A$5:$A$53,0),0)</f>
        <v>0</v>
      </c>
      <c r="H1435" s="48" t="str">
        <f aca="false">STACK!F1435</f>
        <v>CBO</v>
      </c>
      <c r="I1435" s="1" t="str">
        <f aca="false">IF(G1435&gt;0,IF(INDEX(CONFIRM!$I$5:$I$53,G1435)&lt;&gt;"",INDEX(CONFIRM!$I$5:$I$53,G1435),H1435),H1435)</f>
        <v>CBO</v>
      </c>
      <c r="J1435" s="1" t="str">
        <f aca="false">IFERROR(INDEX(MAP!$F$7:$F$74,MATCH(TRIM(I1435),MAP!$E$7:$E$74,0)),"UNMAPPED")</f>
        <v>Community benefit operations</v>
      </c>
      <c r="K1435" s="1" t="str">
        <f aca="false">IFERROR(INDEX(MAP!$G$7:$G$74,MATCH(TRIM(I1435),MAP!$E$7:$E$74,0)),"UNMAPPED")</f>
        <v>7e</v>
      </c>
      <c r="L1435" s="49" t="str">
        <f aca="false">STACK!G1435</f>
        <v>30-Sep-2025</v>
      </c>
      <c r="M1435" s="59" t="n">
        <f aca="false">IF(G1435&gt;0,IF(INDEX(CONFIRM!$G$5:$G$53,G1435)&lt;&gt;"",INDEX(CONFIRM!$G$5:$G$53,G1435),IF(ISNUMBER(L1435),L1435,IFERROR(DATEVALUE(L1435),""))),IF(ISNUMBER(L1435),L1435,IFERROR(DATEVALUE(L1435),"")))</f>
        <v>45930</v>
      </c>
      <c r="N1435" s="1" t="str">
        <f aca="false">IF(M1435="","Check",IF(AND(M1435&gt;=INPUTS!$C$6,M1435&lt;=INPUTS!$C$7),"Yes","No"))</f>
        <v>Yes</v>
      </c>
      <c r="O1435" s="48" t="str">
        <f aca="false">STACK!H1435</f>
        <v>Secretary</v>
      </c>
      <c r="P1435" s="1" t="str">
        <f aca="false">IF(G1435&gt;0,IF(INDEX(CONFIRM!$H$5:$H$53,G1435)&lt;&gt;"",INDEX(CONFIRM!$H$5:$H$53,G1435),IFERROR(INDEX(MAP!$B$7:$B$156,MATCH(TRIM(O1435),MAP!$A$7:$A$156,0)),"UNMAPPED")),IFERROR(INDEX(MAP!$B$7:$B$156,MATCH(TRIM(O1435),MAP!$A$7:$A$156,0)),"UNMAPPED"))</f>
        <v>Administrative Assistant</v>
      </c>
      <c r="Q1435" s="48" t="n">
        <f aca="false">STACK!I1435</f>
        <v>40</v>
      </c>
      <c r="R1435" s="60" t="n">
        <f aca="false">IF(G1435&gt;0,IF(INDEX(CONFIRM!$F$5:$F$53,G1435)&lt;&gt;"",INDEX(CONFIRM!$F$5:$F$53,G1435),IF(ISNUMBER(Q1435),Q1435,IF(Q1435="","",IFERROR(VALUE(TRIM(SUBSTITUTE(SUBSTITUTE(LOWER(Q1435),"hrs",""),"hr",""))),"")))),IF(ISNUMBER(Q1435),Q1435,IF(Q1435="","",IFERROR(VALUE(TRIM(SUBSTITUTE(SUBSTITUTE(LOWER(Q1435),"hrs",""),"hr",""))),""))))</f>
        <v>40</v>
      </c>
      <c r="S1435" s="57" t="n">
        <f aca="false">IFERROR(INDEX(RATES!$E$6:$E$28,MATCH(P1435,RATES!$A$6:$A$28,0)),0)</f>
        <v>26.985</v>
      </c>
      <c r="T1435" s="61" t="n">
        <f aca="false">IF(ISNUMBER(R1435),R1435,0)*S1435</f>
        <v>1079.4</v>
      </c>
      <c r="U1435" s="61" t="n">
        <f aca="false">T1435*INDEX(INPUTS!$H$10:$H$14,MATCH(B1435,INPUTS!$A$10:$A$14,0))</f>
        <v>162.9894</v>
      </c>
      <c r="V1435" s="61" t="n">
        <f aca="false">N(STACK!K1435)</f>
        <v>0</v>
      </c>
      <c r="W1435" s="61" t="n">
        <f aca="false">T1435+U1435+V1435</f>
        <v>1242.3894</v>
      </c>
      <c r="X1435" s="61" t="n">
        <f aca="false">N(STACK!L1435)</f>
        <v>0</v>
      </c>
      <c r="Y1435" s="61" t="n">
        <f aca="false">W1435-X1435</f>
        <v>1242.3894</v>
      </c>
      <c r="Z1435" s="1" t="n">
        <f aca="false">N(STACK!J1435)</f>
        <v>0</v>
      </c>
      <c r="AA1435" s="1" t="str">
        <f aca="false">TRIM(IF(D1435="UNMAPPED","Program not mapped. ","")&amp;IF(OR(K1435="UNMAPPED",K1435="UNASSIGNED"),"Category needs review. ","")&amp;IF(P1435="UNMAPPED","Title not mapped. ","")&amp;IF(AND(P1435&lt;&gt;"No staff time",R1435=""),"Missing hours. ","")&amp;IF(M1435="","Date not readable. ","")&amp;IF(N1435="No","Outside fiscal year. ","")&amp;IF(AND(F1435="Event",ISNUMBER(R1435)),IF(R1435&gt;12,"Event hours look high. ",""),"")&amp;IF(G1435&gt;0,"See CONFIRM sheet.",""))</f>
        <v/>
      </c>
      <c r="AB1435" s="1" t="n">
        <f aca="false">IF(N1435="No",0,IF(REVIEW!O1435=0,0,IF(G1435&gt;0,IF(INDEX(CONFIRM!$J$5:$J$53,G1435)&lt;&gt;"",INDEX(CONFIRM!$J$5:$J$53,G1435),1),1)))</f>
        <v>1</v>
      </c>
      <c r="AC1435" s="1" t="n">
        <f aca="false">IF(AB1435=1,IF(COUNTIFS($B$5:B1435,B1435,$D$5:D1435,D1435,$AB$5:AB1435,1)=1,1,0),0)</f>
        <v>0</v>
      </c>
    </row>
    <row r="1436" customFormat="false" ht="15" hidden="false" customHeight="false" outlineLevel="0" collapsed="false">
      <c r="A1436" s="48" t="str">
        <f aca="false">STACK!A1436</f>
        <v>QHH-0055</v>
      </c>
      <c r="B1436" s="48" t="str">
        <f aca="false">STACK!B1436</f>
        <v>QHH</v>
      </c>
      <c r="C1436" s="48" t="str">
        <f aca="false">STACK!E1436</f>
        <v>Community Benefit Admin.</v>
      </c>
      <c r="D1436" s="1" t="str">
        <f aca="false">IFERROR(INDEX(MAP!$J$7:$J$101,MATCH(TRIM(C1436),MAP!$I$7:$I$101,0)),"UNMAPPED")</f>
        <v>Community Benefit Program Administration</v>
      </c>
      <c r="E1436" s="1" t="str">
        <f aca="false">IFERROR(INDEX(MAP!$K$7:$K$101,MATCH(TRIM(C1436),MAP!$I$7:$I$101,0)),"")</f>
        <v>Community benefit infrastructure</v>
      </c>
      <c r="F1436" s="1" t="str">
        <f aca="false">IFERROR(INDEX(MAP!$L$7:$L$101,MATCH(TRIM(C1436),MAP!$I$7:$I$101,0)),"")</f>
        <v>Monthly</v>
      </c>
      <c r="G1436" s="1" t="n">
        <f aca="false">IFERROR(MATCH(A1436,CONFIRM!$A$5:$A$53,0),0)</f>
        <v>0</v>
      </c>
      <c r="H1436" s="48" t="str">
        <f aca="false">STACK!F1436</f>
        <v>CBO</v>
      </c>
      <c r="I1436" s="1" t="str">
        <f aca="false">IF(G1436&gt;0,IF(INDEX(CONFIRM!$I$5:$I$53,G1436)&lt;&gt;"",INDEX(CONFIRM!$I$5:$I$53,G1436),H1436),H1436)</f>
        <v>CBO</v>
      </c>
      <c r="J1436" s="1" t="str">
        <f aca="false">IFERROR(INDEX(MAP!$F$7:$F$74,MATCH(TRIM(I1436),MAP!$E$7:$E$74,0)),"UNMAPPED")</f>
        <v>Community benefit operations</v>
      </c>
      <c r="K1436" s="1" t="str">
        <f aca="false">IFERROR(INDEX(MAP!$G$7:$G$74,MATCH(TRIM(I1436),MAP!$E$7:$E$74,0)),"UNMAPPED")</f>
        <v>7e</v>
      </c>
      <c r="L1436" s="49" t="str">
        <f aca="false">STACK!G1436</f>
        <v>30-Sep-2025</v>
      </c>
      <c r="M1436" s="59" t="n">
        <f aca="false">IF(G1436&gt;0,IF(INDEX(CONFIRM!$G$5:$G$53,G1436)&lt;&gt;"",INDEX(CONFIRM!$G$5:$G$53,G1436),IF(ISNUMBER(L1436),L1436,IFERROR(DATEVALUE(L1436),""))),IF(ISNUMBER(L1436),L1436,IFERROR(DATEVALUE(L1436),"")))</f>
        <v>45930</v>
      </c>
      <c r="N1436" s="1" t="str">
        <f aca="false">IF(M1436="","Check",IF(AND(M1436&gt;=INPUTS!$C$6,M1436&lt;=INPUTS!$C$7),"Yes","No"))</f>
        <v>Yes</v>
      </c>
      <c r="O1436" s="48" t="str">
        <f aca="false">STACK!H1436</f>
        <v> Mgr, Community Benefit</v>
      </c>
      <c r="P1436" s="1" t="str">
        <f aca="false">IF(G1436&gt;0,IF(INDEX(CONFIRM!$H$5:$H$53,G1436)&lt;&gt;"",INDEX(CONFIRM!$H$5:$H$53,G1436),IFERROR(INDEX(MAP!$B$7:$B$156,MATCH(TRIM(O1436),MAP!$A$7:$A$156,0)),"UNMAPPED")),IFERROR(INDEX(MAP!$B$7:$B$156,MATCH(TRIM(O1436),MAP!$A$7:$A$156,0)),"UNMAPPED"))</f>
        <v>Community Benefit Manager</v>
      </c>
      <c r="Q1436" s="48" t="n">
        <f aca="false">STACK!I1436</f>
        <v>50.5</v>
      </c>
      <c r="R1436" s="60" t="n">
        <f aca="false">IF(G1436&gt;0,IF(INDEX(CONFIRM!$F$5:$F$53,G1436)&lt;&gt;"",INDEX(CONFIRM!$F$5:$F$53,G1436),IF(ISNUMBER(Q1436),Q1436,IF(Q1436="","",IFERROR(VALUE(TRIM(SUBSTITUTE(SUBSTITUTE(LOWER(Q1436),"hrs",""),"hr",""))),"")))),IF(ISNUMBER(Q1436),Q1436,IF(Q1436="","",IFERROR(VALUE(TRIM(SUBSTITUTE(SUBSTITUTE(LOWER(Q1436),"hrs",""),"hr",""))),""))))</f>
        <v>50.5</v>
      </c>
      <c r="S1436" s="57" t="n">
        <f aca="false">IFERROR(INDEX(RATES!$E$6:$E$28,MATCH(P1436,RATES!$A$6:$A$28,0)),0)</f>
        <v>59.11</v>
      </c>
      <c r="T1436" s="61" t="n">
        <f aca="false">IF(ISNUMBER(R1436),R1436,0)*S1436</f>
        <v>2985.055</v>
      </c>
      <c r="U1436" s="61" t="n">
        <f aca="false">T1436*INDEX(INPUTS!$H$10:$H$14,MATCH(B1436,INPUTS!$A$10:$A$14,0))</f>
        <v>450.743305</v>
      </c>
      <c r="V1436" s="61" t="n">
        <f aca="false">N(STACK!K1436)</f>
        <v>605</v>
      </c>
      <c r="W1436" s="61" t="n">
        <f aca="false">T1436+U1436+V1436</f>
        <v>4040.798305</v>
      </c>
      <c r="X1436" s="61" t="n">
        <f aca="false">N(STACK!L1436)</f>
        <v>0</v>
      </c>
      <c r="Y1436" s="61" t="n">
        <f aca="false">W1436-X1436</f>
        <v>4040.798305</v>
      </c>
      <c r="Z1436" s="1" t="n">
        <f aca="false">N(STACK!J1436)</f>
        <v>0</v>
      </c>
      <c r="AA1436" s="1" t="str">
        <f aca="false">TRIM(IF(D1436="UNMAPPED","Program not mapped. ","")&amp;IF(OR(K1436="UNMAPPED",K1436="UNASSIGNED"),"Category needs review. ","")&amp;IF(P1436="UNMAPPED","Title not mapped. ","")&amp;IF(AND(P1436&lt;&gt;"No staff time",R1436=""),"Missing hours. ","")&amp;IF(M1436="","Date not readable. ","")&amp;IF(N1436="No","Outside fiscal year. ","")&amp;IF(AND(F1436="Event",ISNUMBER(R1436)),IF(R1436&gt;12,"Event hours look high. ",""),"")&amp;IF(G1436&gt;0,"See CONFIRM sheet.",""))</f>
        <v/>
      </c>
      <c r="AB1436" s="1" t="n">
        <f aca="false">IF(N1436="No",0,IF(REVIEW!O1436=0,0,IF(G1436&gt;0,IF(INDEX(CONFIRM!$J$5:$J$53,G1436)&lt;&gt;"",INDEX(CONFIRM!$J$5:$J$53,G1436),1),1)))</f>
        <v>1</v>
      </c>
      <c r="AC1436" s="1" t="n">
        <f aca="false">IF(AB1436=1,IF(COUNTIFS($B$5:B1436,B1436,$D$5:D1436,D1436,$AB$5:AB1436,1)=1,1,0),0)</f>
        <v>0</v>
      </c>
    </row>
    <row r="1437" customFormat="false" ht="15" hidden="false" customHeight="false" outlineLevel="0" collapsed="false">
      <c r="A1437" s="48" t="str">
        <f aca="false">STACK!A1437</f>
        <v>QHH-0056</v>
      </c>
      <c r="B1437" s="48" t="str">
        <f aca="false">STACK!B1437</f>
        <v>QHH</v>
      </c>
      <c r="C1437" s="48" t="str">
        <f aca="false">STACK!E1437</f>
        <v>Community Paramedicine</v>
      </c>
      <c r="D1437" s="1" t="str">
        <f aca="false">IFERROR(INDEX(MAP!$J$7:$J$101,MATCH(TRIM(C1437),MAP!$I$7:$I$101,0)),"UNMAPPED")</f>
        <v>Community Paramedic Home Visits</v>
      </c>
      <c r="E1437" s="1" t="str">
        <f aca="false">IFERROR(INDEX(MAP!$K$7:$K$101,MATCH(TRIM(C1437),MAP!$I$7:$I$101,0)),"")</f>
        <v>Access to care</v>
      </c>
      <c r="F1437" s="1" t="str">
        <f aca="false">IFERROR(INDEX(MAP!$L$7:$L$101,MATCH(TRIM(C1437),MAP!$I$7:$I$101,0)),"")</f>
        <v>Monthly</v>
      </c>
      <c r="G1437" s="1" t="n">
        <f aca="false">IFERROR(MATCH(A1437,CONFIRM!$A$5:$A$53,0),0)</f>
        <v>0</v>
      </c>
      <c r="H1437" s="48" t="str">
        <f aca="false">STACK!F1437</f>
        <v>CHIS - Clinical</v>
      </c>
      <c r="I1437" s="1" t="str">
        <f aca="false">IF(G1437&gt;0,IF(INDEX(CONFIRM!$I$5:$I$53,G1437)&lt;&gt;"",INDEX(CONFIRM!$I$5:$I$53,G1437),H1437),H1437)</f>
        <v>CHIS - Clinical</v>
      </c>
      <c r="J1437" s="1" t="str">
        <f aca="false">IFERROR(INDEX(MAP!$F$7:$F$74,MATCH(TRIM(I1437),MAP!$E$7:$E$74,0)),"UNMAPPED")</f>
        <v>Community-based clinical services</v>
      </c>
      <c r="K1437" s="1" t="str">
        <f aca="false">IFERROR(INDEX(MAP!$G$7:$G$74,MATCH(TRIM(I1437),MAP!$E$7:$E$74,0)),"UNMAPPED")</f>
        <v>7e</v>
      </c>
      <c r="L1437" s="49" t="str">
        <f aca="false">STACK!G1437</f>
        <v>30-Sep-2025</v>
      </c>
      <c r="M1437" s="59" t="n">
        <f aca="false">IF(G1437&gt;0,IF(INDEX(CONFIRM!$G$5:$G$53,G1437)&lt;&gt;"",INDEX(CONFIRM!$G$5:$G$53,G1437),IF(ISNUMBER(L1437),L1437,IFERROR(DATEVALUE(L1437),""))),IF(ISNUMBER(L1437),L1437,IFERROR(DATEVALUE(L1437),"")))</f>
        <v>45930</v>
      </c>
      <c r="N1437" s="1" t="str">
        <f aca="false">IF(M1437="","Check",IF(AND(M1437&gt;=INPUTS!$C$6,M1437&lt;=INPUTS!$C$7),"Yes","No"))</f>
        <v>Yes</v>
      </c>
      <c r="O1437" s="48" t="str">
        <f aca="false">STACK!H1437</f>
        <v>EMS Paramedic</v>
      </c>
      <c r="P1437" s="1" t="str">
        <f aca="false">IF(G1437&gt;0,IF(INDEX(CONFIRM!$H$5:$H$53,G1437)&lt;&gt;"",INDEX(CONFIRM!$H$5:$H$53,G1437),IFERROR(INDEX(MAP!$B$7:$B$156,MATCH(TRIM(O1437),MAP!$A$7:$A$156,0)),"UNMAPPED")),IFERROR(INDEX(MAP!$B$7:$B$156,MATCH(TRIM(O1437),MAP!$A$7:$A$156,0)),"UNMAPPED"))</f>
        <v>Paramedic</v>
      </c>
      <c r="Q1437" s="48" t="n">
        <f aca="false">STACK!I1437</f>
        <v>102.5</v>
      </c>
      <c r="R1437" s="60" t="n">
        <f aca="false">IF(G1437&gt;0,IF(INDEX(CONFIRM!$F$5:$F$53,G1437)&lt;&gt;"",INDEX(CONFIRM!$F$5:$F$53,G1437),IF(ISNUMBER(Q1437),Q1437,IF(Q1437="","",IFERROR(VALUE(TRIM(SUBSTITUTE(SUBSTITUTE(LOWER(Q1437),"hrs",""),"hr",""))),"")))),IF(ISNUMBER(Q1437),Q1437,IF(Q1437="","",IFERROR(VALUE(TRIM(SUBSTITUTE(SUBSTITUTE(LOWER(Q1437),"hrs",""),"hr",""))),""))))</f>
        <v>102.5</v>
      </c>
      <c r="S1437" s="57" t="n">
        <f aca="false">IFERROR(INDEX(RATES!$E$6:$E$28,MATCH(P1437,RATES!$A$6:$A$28,0)),0)</f>
        <v>34.695</v>
      </c>
      <c r="T1437" s="61" t="n">
        <f aca="false">IF(ISNUMBER(R1437),R1437,0)*S1437</f>
        <v>3556.2375</v>
      </c>
      <c r="U1437" s="61" t="n">
        <f aca="false">T1437*INDEX(INPUTS!$H$10:$H$14,MATCH(B1437,INPUTS!$A$10:$A$14,0))</f>
        <v>536.9918625</v>
      </c>
      <c r="V1437" s="61" t="n">
        <f aca="false">N(STACK!K1437)</f>
        <v>1235</v>
      </c>
      <c r="W1437" s="61" t="n">
        <f aca="false">T1437+U1437+V1437</f>
        <v>5328.2293625</v>
      </c>
      <c r="X1437" s="61" t="n">
        <f aca="false">N(STACK!L1437)</f>
        <v>0</v>
      </c>
      <c r="Y1437" s="61" t="n">
        <f aca="false">W1437-X1437</f>
        <v>5328.2293625</v>
      </c>
      <c r="Z1437" s="1" t="n">
        <f aca="false">N(STACK!J1437)</f>
        <v>72</v>
      </c>
      <c r="AA1437" s="1" t="str">
        <f aca="false">TRIM(IF(D1437="UNMAPPED","Program not mapped. ","")&amp;IF(OR(K1437="UNMAPPED",K1437="UNASSIGNED"),"Category needs review. ","")&amp;IF(P1437="UNMAPPED","Title not mapped. ","")&amp;IF(AND(P1437&lt;&gt;"No staff time",R1437=""),"Missing hours. ","")&amp;IF(M1437="","Date not readable. ","")&amp;IF(N1437="No","Outside fiscal year. ","")&amp;IF(AND(F1437="Event",ISNUMBER(R1437)),IF(R1437&gt;12,"Event hours look high. ",""),"")&amp;IF(G1437&gt;0,"See CONFIRM sheet.",""))</f>
        <v/>
      </c>
      <c r="AB1437" s="1" t="n">
        <f aca="false">IF(N1437="No",0,IF(REVIEW!O1437=0,0,IF(G1437&gt;0,IF(INDEX(CONFIRM!$J$5:$J$53,G1437)&lt;&gt;"",INDEX(CONFIRM!$J$5:$J$53,G1437),1),1)))</f>
        <v>1</v>
      </c>
      <c r="AC1437" s="1" t="n">
        <f aca="false">IF(AB1437=1,IF(COUNTIFS($B$5:B1437,B1437,$D$5:D1437,D1437,$AB$5:AB1437,1)=1,1,0),0)</f>
        <v>0</v>
      </c>
    </row>
    <row r="1438" customFormat="false" ht="15" hidden="false" customHeight="false" outlineLevel="0" collapsed="false">
      <c r="A1438" s="48" t="str">
        <f aca="false">STACK!A1438</f>
        <v>QHH-0057</v>
      </c>
      <c r="B1438" s="48" t="str">
        <f aca="false">STACK!B1438</f>
        <v>QHH</v>
      </c>
      <c r="C1438" s="48" t="str">
        <f aca="false">STACK!E1438</f>
        <v>Nursing Clinical Rotations</v>
      </c>
      <c r="D1438" s="1" t="str">
        <f aca="false">IFERROR(INDEX(MAP!$J$7:$J$101,MATCH(TRIM(C1438),MAP!$I$7:$I$101,0)),"UNMAPPED")</f>
        <v>Nursing Student Clinical Rotations</v>
      </c>
      <c r="E1438" s="1" t="str">
        <f aca="false">IFERROR(INDEX(MAP!$K$7:$K$101,MATCH(TRIM(C1438),MAP!$I$7:$I$101,0)),"")</f>
        <v>Health workforce</v>
      </c>
      <c r="F1438" s="1" t="str">
        <f aca="false">IFERROR(INDEX(MAP!$L$7:$L$101,MATCH(TRIM(C1438),MAP!$I$7:$I$101,0)),"")</f>
        <v>Monthly</v>
      </c>
      <c r="G1438" s="1" t="n">
        <f aca="false">IFERROR(MATCH(A1438,CONFIRM!$A$5:$A$53,0),0)</f>
        <v>0</v>
      </c>
      <c r="H1438" s="48" t="str">
        <f aca="false">STACK!F1438</f>
        <v>HPE - Students</v>
      </c>
      <c r="I1438" s="1" t="str">
        <f aca="false">IF(G1438&gt;0,IF(INDEX(CONFIRM!$I$5:$I$53,G1438)&lt;&gt;"",INDEX(CONFIRM!$I$5:$I$53,G1438),H1438),H1438)</f>
        <v>HPE - Students</v>
      </c>
      <c r="J1438" s="1" t="str">
        <f aca="false">IFERROR(INDEX(MAP!$F$7:$F$74,MATCH(TRIM(I1438),MAP!$E$7:$E$74,0)),"UNMAPPED")</f>
        <v>Health professions education</v>
      </c>
      <c r="K1438" s="1" t="str">
        <f aca="false">IFERROR(INDEX(MAP!$G$7:$G$74,MATCH(TRIM(I1438),MAP!$E$7:$E$74,0)),"UNMAPPED")</f>
        <v>7f</v>
      </c>
      <c r="L1438" s="49" t="str">
        <f aca="false">STACK!G1438</f>
        <v>30-Sep-2025</v>
      </c>
      <c r="M1438" s="59" t="n">
        <f aca="false">IF(G1438&gt;0,IF(INDEX(CONFIRM!$G$5:$G$53,G1438)&lt;&gt;"",INDEX(CONFIRM!$G$5:$G$53,G1438),IF(ISNUMBER(L1438),L1438,IFERROR(DATEVALUE(L1438),""))),IF(ISNUMBER(L1438),L1438,IFERROR(DATEVALUE(L1438),"")))</f>
        <v>45930</v>
      </c>
      <c r="N1438" s="1" t="str">
        <f aca="false">IF(M1438="","Check",IF(AND(M1438&gt;=INPUTS!$C$6,M1438&lt;=INPUTS!$C$7),"Yes","No"))</f>
        <v>Yes</v>
      </c>
      <c r="O1438" s="48" t="str">
        <f aca="false">STACK!H1438</f>
        <v>Educator, Nursing</v>
      </c>
      <c r="P1438" s="1" t="str">
        <f aca="false">IF(G1438&gt;0,IF(INDEX(CONFIRM!$H$5:$H$53,G1438)&lt;&gt;"",INDEX(CONFIRM!$H$5:$H$53,G1438),IFERROR(INDEX(MAP!$B$7:$B$156,MATCH(TRIM(O1438),MAP!$A$7:$A$156,0)),"UNMAPPED")),IFERROR(INDEX(MAP!$B$7:$B$156,MATCH(TRIM(O1438),MAP!$A$7:$A$156,0)),"UNMAPPED"))</f>
        <v>Clinical Nurse Educator</v>
      </c>
      <c r="Q1438" s="48" t="n">
        <f aca="false">STACK!I1438</f>
        <v>88.5</v>
      </c>
      <c r="R1438" s="60" t="n">
        <f aca="false">IF(G1438&gt;0,IF(INDEX(CONFIRM!$F$5:$F$53,G1438)&lt;&gt;"",INDEX(CONFIRM!$F$5:$F$53,G1438),IF(ISNUMBER(Q1438),Q1438,IF(Q1438="","",IFERROR(VALUE(TRIM(SUBSTITUTE(SUBSTITUTE(LOWER(Q1438),"hrs",""),"hr",""))),"")))),IF(ISNUMBER(Q1438),Q1438,IF(Q1438="","",IFERROR(VALUE(TRIM(SUBSTITUTE(SUBSTITUTE(LOWER(Q1438),"hrs",""),"hr",""))),""))))</f>
        <v>88.5</v>
      </c>
      <c r="S1438" s="57" t="n">
        <f aca="false">IFERROR(INDEX(RATES!$E$6:$E$28,MATCH(P1438,RATES!$A$6:$A$28,0)),0)</f>
        <v>62.965</v>
      </c>
      <c r="T1438" s="61" t="n">
        <f aca="false">IF(ISNUMBER(R1438),R1438,0)*S1438</f>
        <v>5572.4025</v>
      </c>
      <c r="U1438" s="61" t="n">
        <f aca="false">T1438*INDEX(INPUTS!$H$10:$H$14,MATCH(B1438,INPUTS!$A$10:$A$14,0))</f>
        <v>841.4327775</v>
      </c>
      <c r="V1438" s="61" t="n">
        <f aca="false">N(STACK!K1438)</f>
        <v>725</v>
      </c>
      <c r="W1438" s="61" t="n">
        <f aca="false">T1438+U1438+V1438</f>
        <v>7138.8352775</v>
      </c>
      <c r="X1438" s="61" t="n">
        <f aca="false">N(STACK!L1438)</f>
        <v>0</v>
      </c>
      <c r="Y1438" s="61" t="n">
        <f aca="false">W1438-X1438</f>
        <v>7138.8352775</v>
      </c>
      <c r="Z1438" s="1" t="n">
        <f aca="false">N(STACK!J1438)</f>
        <v>38</v>
      </c>
      <c r="AA1438" s="1" t="str">
        <f aca="false">TRIM(IF(D1438="UNMAPPED","Program not mapped. ","")&amp;IF(OR(K1438="UNMAPPED",K1438="UNASSIGNED"),"Category needs review. ","")&amp;IF(P1438="UNMAPPED","Title not mapped. ","")&amp;IF(AND(P1438&lt;&gt;"No staff time",R1438=""),"Missing hours. ","")&amp;IF(M1438="","Date not readable. ","")&amp;IF(N1438="No","Outside fiscal year. ","")&amp;IF(AND(F1438="Event",ISNUMBER(R1438)),IF(R1438&gt;12,"Event hours look high. ",""),"")&amp;IF(G1438&gt;0,"See CONFIRM sheet.",""))</f>
        <v/>
      </c>
      <c r="AB1438" s="1" t="n">
        <f aca="false">IF(N1438="No",0,IF(REVIEW!O1438=0,0,IF(G1438&gt;0,IF(INDEX(CONFIRM!$J$5:$J$53,G1438)&lt;&gt;"",INDEX(CONFIRM!$J$5:$J$53,G1438),1),1)))</f>
        <v>1</v>
      </c>
      <c r="AC1438" s="1" t="n">
        <f aca="false">IF(AB1438=1,IF(COUNTIFS($B$5:B1438,B1438,$D$5:D1438,D1438,$AB$5:AB1438,1)=1,1,0),0)</f>
        <v>0</v>
      </c>
    </row>
    <row r="1439" customFormat="false" ht="15" hidden="false" customHeight="false" outlineLevel="0" collapsed="false">
      <c r="A1439" s="48" t="str">
        <f aca="false">STACK!A1439</f>
        <v>QHH-0058</v>
      </c>
      <c r="B1439" s="48" t="str">
        <f aca="false">STACK!B1439</f>
        <v>QHH</v>
      </c>
      <c r="C1439" s="48" t="str">
        <f aca="false">STACK!E1439</f>
        <v>Nursing Clinical Rotations</v>
      </c>
      <c r="D1439" s="1" t="str">
        <f aca="false">IFERROR(INDEX(MAP!$J$7:$J$101,MATCH(TRIM(C1439),MAP!$I$7:$I$101,0)),"UNMAPPED")</f>
        <v>Nursing Student Clinical Rotations</v>
      </c>
      <c r="E1439" s="1" t="str">
        <f aca="false">IFERROR(INDEX(MAP!$K$7:$K$101,MATCH(TRIM(C1439),MAP!$I$7:$I$101,0)),"")</f>
        <v>Health workforce</v>
      </c>
      <c r="F1439" s="1" t="str">
        <f aca="false">IFERROR(INDEX(MAP!$L$7:$L$101,MATCH(TRIM(C1439),MAP!$I$7:$I$101,0)),"")</f>
        <v>Monthly</v>
      </c>
      <c r="G1439" s="1" t="n">
        <f aca="false">IFERROR(MATCH(A1439,CONFIRM!$A$5:$A$53,0),0)</f>
        <v>0</v>
      </c>
      <c r="H1439" s="48" t="str">
        <f aca="false">STACK!F1439</f>
        <v>HPE - Students</v>
      </c>
      <c r="I1439" s="1" t="str">
        <f aca="false">IF(G1439&gt;0,IF(INDEX(CONFIRM!$I$5:$I$53,G1439)&lt;&gt;"",INDEX(CONFIRM!$I$5:$I$53,G1439),H1439),H1439)</f>
        <v>HPE - Students</v>
      </c>
      <c r="J1439" s="1" t="str">
        <f aca="false">IFERROR(INDEX(MAP!$F$7:$F$74,MATCH(TRIM(I1439),MAP!$E$7:$E$74,0)),"UNMAPPED")</f>
        <v>Health professions education</v>
      </c>
      <c r="K1439" s="1" t="str">
        <f aca="false">IFERROR(INDEX(MAP!$G$7:$G$74,MATCH(TRIM(I1439),MAP!$E$7:$E$74,0)),"UNMAPPED")</f>
        <v>7f</v>
      </c>
      <c r="L1439" s="49" t="str">
        <f aca="false">STACK!G1439</f>
        <v>30-Sep-2025</v>
      </c>
      <c r="M1439" s="59" t="n">
        <f aca="false">IF(G1439&gt;0,IF(INDEX(CONFIRM!$G$5:$G$53,G1439)&lt;&gt;"",INDEX(CONFIRM!$G$5:$G$53,G1439),IF(ISNUMBER(L1439),L1439,IFERROR(DATEVALUE(L1439),""))),IF(ISNUMBER(L1439),L1439,IFERROR(DATEVALUE(L1439),"")))</f>
        <v>45930</v>
      </c>
      <c r="N1439" s="1" t="str">
        <f aca="false">IF(M1439="","Check",IF(AND(M1439&gt;=INPUTS!$C$6,M1439&lt;=INPUTS!$C$7),"Yes","No"))</f>
        <v>Yes</v>
      </c>
      <c r="O1439" s="48" t="str">
        <f aca="false">STACK!H1439</f>
        <v>RN - Outreach</v>
      </c>
      <c r="P1439" s="1" t="str">
        <f aca="false">IF(G1439&gt;0,IF(INDEX(CONFIRM!$H$5:$H$53,G1439)&lt;&gt;"",INDEX(CONFIRM!$H$5:$H$53,G1439),IFERROR(INDEX(MAP!$B$7:$B$156,MATCH(TRIM(O1439),MAP!$A$7:$A$156,0)),"UNMAPPED")),IFERROR(INDEX(MAP!$B$7:$B$156,MATCH(TRIM(O1439),MAP!$A$7:$A$156,0)),"UNMAPPED"))</f>
        <v>Registered Nurse</v>
      </c>
      <c r="Q1439" s="48" t="n">
        <f aca="false">STACK!I1439</f>
        <v>141.5</v>
      </c>
      <c r="R1439" s="60" t="n">
        <f aca="false">IF(G1439&gt;0,IF(INDEX(CONFIRM!$F$5:$F$53,G1439)&lt;&gt;"",INDEX(CONFIRM!$F$5:$F$53,G1439),IF(ISNUMBER(Q1439),Q1439,IF(Q1439="","",IFERROR(VALUE(TRIM(SUBSTITUTE(SUBSTITUTE(LOWER(Q1439),"hrs",""),"hr",""))),"")))),IF(ISNUMBER(Q1439),Q1439,IF(Q1439="","",IFERROR(VALUE(TRIM(SUBSTITUTE(SUBSTITUTE(LOWER(Q1439),"hrs",""),"hr",""))),""))))</f>
        <v>141.5</v>
      </c>
      <c r="S1439" s="57" t="n">
        <f aca="false">IFERROR(INDEX(RATES!$E$6:$E$28,MATCH(P1439,RATES!$A$6:$A$28,0)),0)</f>
        <v>55.8975</v>
      </c>
      <c r="T1439" s="61" t="n">
        <f aca="false">IF(ISNUMBER(R1439),R1439,0)*S1439</f>
        <v>7909.49625</v>
      </c>
      <c r="U1439" s="61" t="n">
        <f aca="false">T1439*INDEX(INPUTS!$H$10:$H$14,MATCH(B1439,INPUTS!$A$10:$A$14,0))</f>
        <v>1194.33393375</v>
      </c>
      <c r="V1439" s="61" t="n">
        <f aca="false">N(STACK!K1439)</f>
        <v>0</v>
      </c>
      <c r="W1439" s="61" t="n">
        <f aca="false">T1439+U1439+V1439</f>
        <v>9103.83018375</v>
      </c>
      <c r="X1439" s="61" t="n">
        <f aca="false">N(STACK!L1439)</f>
        <v>0</v>
      </c>
      <c r="Y1439" s="61" t="n">
        <f aca="false">W1439-X1439</f>
        <v>9103.83018375</v>
      </c>
      <c r="Z1439" s="1" t="n">
        <f aca="false">N(STACK!J1439)</f>
        <v>0</v>
      </c>
      <c r="AA1439" s="1" t="str">
        <f aca="false">TRIM(IF(D1439="UNMAPPED","Program not mapped. ","")&amp;IF(OR(K1439="UNMAPPED",K1439="UNASSIGNED"),"Category needs review. ","")&amp;IF(P1439="UNMAPPED","Title not mapped. ","")&amp;IF(AND(P1439&lt;&gt;"No staff time",R1439=""),"Missing hours. ","")&amp;IF(M1439="","Date not readable. ","")&amp;IF(N1439="No","Outside fiscal year. ","")&amp;IF(AND(F1439="Event",ISNUMBER(R1439)),IF(R1439&gt;12,"Event hours look high. ",""),"")&amp;IF(G1439&gt;0,"See CONFIRM sheet.",""))</f>
        <v/>
      </c>
      <c r="AB1439" s="1" t="n">
        <f aca="false">IF(N1439="No",0,IF(REVIEW!O1439=0,0,IF(G1439&gt;0,IF(INDEX(CONFIRM!$J$5:$J$53,G1439)&lt;&gt;"",INDEX(CONFIRM!$J$5:$J$53,G1439),1),1)))</f>
        <v>1</v>
      </c>
      <c r="AC1439" s="1" t="n">
        <f aca="false">IF(AB1439=1,IF(COUNTIFS($B$5:B1439,B1439,$D$5:D1439,D1439,$AB$5:AB1439,1)=1,1,0),0)</f>
        <v>0</v>
      </c>
    </row>
    <row r="1440" customFormat="false" ht="15" hidden="false" customHeight="false" outlineLevel="0" collapsed="false">
      <c r="A1440" s="48" t="str">
        <f aca="false">STACK!A1440</f>
        <v>QHH-0059</v>
      </c>
      <c r="B1440" s="48" t="str">
        <f aca="false">STACK!B1440</f>
        <v>QHH</v>
      </c>
      <c r="C1440" s="48" t="str">
        <f aca="false">STACK!E1440</f>
        <v>Quit Tobacco Class</v>
      </c>
      <c r="D1440" s="1" t="str">
        <f aca="false">IFERROR(INDEX(MAP!$J$7:$J$101,MATCH(TRIM(C1440),MAP!$I$7:$I$101,0)),"UNMAPPED")</f>
        <v>Tobacco Cessation Classes</v>
      </c>
      <c r="E1440" s="1" t="str">
        <f aca="false">IFERROR(INDEX(MAP!$K$7:$K$101,MATCH(TRIM(C1440),MAP!$I$7:$I$101,0)),"")</f>
        <v>Chronic disease prevention</v>
      </c>
      <c r="F1440" s="1" t="str">
        <f aca="false">IFERROR(INDEX(MAP!$L$7:$L$101,MATCH(TRIM(C1440),MAP!$I$7:$I$101,0)),"")</f>
        <v>Event</v>
      </c>
      <c r="G1440" s="1" t="n">
        <f aca="false">IFERROR(MATCH(A1440,CONFIRM!$A$5:$A$53,0),0)</f>
        <v>0</v>
      </c>
      <c r="H1440" s="48" t="str">
        <f aca="false">STACK!F1440</f>
        <v>CHIS - Education</v>
      </c>
      <c r="I1440" s="1" t="str">
        <f aca="false">IF(G1440&gt;0,IF(INDEX(CONFIRM!$I$5:$I$53,G1440)&lt;&gt;"",INDEX(CONFIRM!$I$5:$I$53,G1440),H1440),H1440)</f>
        <v>CHIS - Education</v>
      </c>
      <c r="J1440" s="1" t="str">
        <f aca="false">IFERROR(INDEX(MAP!$F$7:$F$74,MATCH(TRIM(I1440),MAP!$E$7:$E$74,0)),"UNMAPPED")</f>
        <v>Community health education</v>
      </c>
      <c r="K1440" s="1" t="str">
        <f aca="false">IFERROR(INDEX(MAP!$G$7:$G$74,MATCH(TRIM(I1440),MAP!$E$7:$E$74,0)),"UNMAPPED")</f>
        <v>7e</v>
      </c>
      <c r="L1440" s="49" t="str">
        <f aca="false">STACK!G1440</f>
        <v>04-Oct-2025</v>
      </c>
      <c r="M1440" s="59" t="n">
        <f aca="false">IF(G1440&gt;0,IF(INDEX(CONFIRM!$G$5:$G$53,G1440)&lt;&gt;"",INDEX(CONFIRM!$G$5:$G$53,G1440),IF(ISNUMBER(L1440),L1440,IFERROR(DATEVALUE(L1440),""))),IF(ISNUMBER(L1440),L1440,IFERROR(DATEVALUE(L1440),"")))</f>
        <v>45934</v>
      </c>
      <c r="N1440" s="1" t="str">
        <f aca="false">IF(M1440="","Check",IF(AND(M1440&gt;=INPUTS!$C$6,M1440&lt;=INPUTS!$C$7),"Yes","No"))</f>
        <v>Yes</v>
      </c>
      <c r="O1440" s="48" t="str">
        <f aca="false">STACK!H1440</f>
        <v>Respiratory Therapist</v>
      </c>
      <c r="P1440" s="1" t="str">
        <f aca="false">IF(G1440&gt;0,IF(INDEX(CONFIRM!$H$5:$H$53,G1440)&lt;&gt;"",INDEX(CONFIRM!$H$5:$H$53,G1440),IFERROR(INDEX(MAP!$B$7:$B$156,MATCH(TRIM(O1440),MAP!$A$7:$A$156,0)),"UNMAPPED")),IFERROR(INDEX(MAP!$B$7:$B$156,MATCH(TRIM(O1440),MAP!$A$7:$A$156,0)),"UNMAPPED"))</f>
        <v>Licensed Therapist</v>
      </c>
      <c r="Q1440" s="48" t="n">
        <f aca="false">STACK!I1440</f>
        <v>2</v>
      </c>
      <c r="R1440" s="60" t="n">
        <f aca="false">IF(G1440&gt;0,IF(INDEX(CONFIRM!$F$5:$F$53,G1440)&lt;&gt;"",INDEX(CONFIRM!$F$5:$F$53,G1440),IF(ISNUMBER(Q1440),Q1440,IF(Q1440="","",IFERROR(VALUE(TRIM(SUBSTITUTE(SUBSTITUTE(LOWER(Q1440),"hrs",""),"hr",""))),"")))),IF(ISNUMBER(Q1440),Q1440,IF(Q1440="","",IFERROR(VALUE(TRIM(SUBSTITUTE(SUBSTITUTE(LOWER(Q1440),"hrs",""),"hr",""))),""))))</f>
        <v>2</v>
      </c>
      <c r="S1440" s="57" t="n">
        <f aca="false">IFERROR(INDEX(RATES!$E$6:$E$28,MATCH(P1440,RATES!$A$6:$A$28,0)),0)</f>
        <v>53.97</v>
      </c>
      <c r="T1440" s="61" t="n">
        <f aca="false">IF(ISNUMBER(R1440),R1440,0)*S1440</f>
        <v>107.94</v>
      </c>
      <c r="U1440" s="61" t="n">
        <f aca="false">T1440*INDEX(INPUTS!$H$10:$H$14,MATCH(B1440,INPUTS!$A$10:$A$14,0))</f>
        <v>16.29894</v>
      </c>
      <c r="V1440" s="61" t="n">
        <f aca="false">N(STACK!K1440)</f>
        <v>210</v>
      </c>
      <c r="W1440" s="61" t="n">
        <f aca="false">T1440+U1440+V1440</f>
        <v>334.23894</v>
      </c>
      <c r="X1440" s="61" t="n">
        <f aca="false">N(STACK!L1440)</f>
        <v>0</v>
      </c>
      <c r="Y1440" s="61" t="n">
        <f aca="false">W1440-X1440</f>
        <v>334.23894</v>
      </c>
      <c r="Z1440" s="1" t="n">
        <f aca="false">N(STACK!J1440)</f>
        <v>15</v>
      </c>
      <c r="AA1440" s="1" t="str">
        <f aca="false">TRIM(IF(D1440="UNMAPPED","Program not mapped. ","")&amp;IF(OR(K1440="UNMAPPED",K1440="UNASSIGNED"),"Category needs review. ","")&amp;IF(P1440="UNMAPPED","Title not mapped. ","")&amp;IF(AND(P1440&lt;&gt;"No staff time",R1440=""),"Missing hours. ","")&amp;IF(M1440="","Date not readable. ","")&amp;IF(N1440="No","Outside fiscal year. ","")&amp;IF(AND(F1440="Event",ISNUMBER(R1440)),IF(R1440&gt;12,"Event hours look high. ",""),"")&amp;IF(G1440&gt;0,"See CONFIRM sheet.",""))</f>
        <v/>
      </c>
      <c r="AB1440" s="1" t="n">
        <f aca="false">IF(N1440="No",0,IF(REVIEW!O1440=0,0,IF(G1440&gt;0,IF(INDEX(CONFIRM!$J$5:$J$53,G1440)&lt;&gt;"",INDEX(CONFIRM!$J$5:$J$53,G1440),1),1)))</f>
        <v>1</v>
      </c>
      <c r="AC1440" s="1" t="n">
        <f aca="false">IF(AB1440=1,IF(COUNTIFS($B$5:B1440,B1440,$D$5:D1440,D1440,$AB$5:AB1440,1)=1,1,0),0)</f>
        <v>0</v>
      </c>
    </row>
    <row r="1441" customFormat="false" ht="15" hidden="false" customHeight="false" outlineLevel="0" collapsed="false">
      <c r="A1441" s="48" t="str">
        <f aca="false">STACK!A1441</f>
        <v>QHH-0060</v>
      </c>
      <c r="B1441" s="48" t="str">
        <f aca="false">STACK!B1441</f>
        <v>QHH</v>
      </c>
      <c r="C1441" s="48" t="str">
        <f aca="false">STACK!E1441</f>
        <v>Childbirth Education</v>
      </c>
      <c r="D1441" s="1" t="str">
        <f aca="false">IFERROR(INDEX(MAP!$J$7:$J$101,MATCH(TRIM(C1441),MAP!$I$7:$I$101,0)),"UNMAPPED")</f>
        <v>Childbirth and Newborn Care Classes</v>
      </c>
      <c r="E1441" s="1" t="str">
        <f aca="false">IFERROR(INDEX(MAP!$K$7:$K$101,MATCH(TRIM(C1441),MAP!$I$7:$I$101,0)),"")</f>
        <v>Maternal and child health</v>
      </c>
      <c r="F1441" s="1" t="str">
        <f aca="false">IFERROR(INDEX(MAP!$L$7:$L$101,MATCH(TRIM(C1441),MAP!$I$7:$I$101,0)),"")</f>
        <v>Event</v>
      </c>
      <c r="G1441" s="1" t="n">
        <f aca="false">IFERROR(MATCH(A1441,CONFIRM!$A$5:$A$53,0),0)</f>
        <v>0</v>
      </c>
      <c r="H1441" s="48" t="str">
        <f aca="false">STACK!F1441</f>
        <v>CHIS - Education</v>
      </c>
      <c r="I1441" s="1" t="str">
        <f aca="false">IF(G1441&gt;0,IF(INDEX(CONFIRM!$I$5:$I$53,G1441)&lt;&gt;"",INDEX(CONFIRM!$I$5:$I$53,G1441),H1441),H1441)</f>
        <v>CHIS - Education</v>
      </c>
      <c r="J1441" s="1" t="str">
        <f aca="false">IFERROR(INDEX(MAP!$F$7:$F$74,MATCH(TRIM(I1441),MAP!$E$7:$E$74,0)),"UNMAPPED")</f>
        <v>Community health education</v>
      </c>
      <c r="K1441" s="1" t="str">
        <f aca="false">IFERROR(INDEX(MAP!$G$7:$G$74,MATCH(TRIM(I1441),MAP!$E$7:$E$74,0)),"UNMAPPED")</f>
        <v>7e</v>
      </c>
      <c r="L1441" s="49" t="str">
        <f aca="false">STACK!G1441</f>
        <v>06-Oct-2025</v>
      </c>
      <c r="M1441" s="59" t="n">
        <f aca="false">IF(G1441&gt;0,IF(INDEX(CONFIRM!$G$5:$G$53,G1441)&lt;&gt;"",INDEX(CONFIRM!$G$5:$G$53,G1441),IF(ISNUMBER(L1441),L1441,IFERROR(DATEVALUE(L1441),""))),IF(ISNUMBER(L1441),L1441,IFERROR(DATEVALUE(L1441),"")))</f>
        <v>45936</v>
      </c>
      <c r="N1441" s="1" t="str">
        <f aca="false">IF(M1441="","Check",IF(AND(M1441&gt;=INPUTS!$C$6,M1441&lt;=INPUTS!$C$7),"Yes","No"))</f>
        <v>Yes</v>
      </c>
      <c r="O1441" s="48" t="str">
        <f aca="false">STACK!H1441</f>
        <v>RN EDUCATOR</v>
      </c>
      <c r="P1441" s="1" t="str">
        <f aca="false">IF(G1441&gt;0,IF(INDEX(CONFIRM!$H$5:$H$53,G1441)&lt;&gt;"",INDEX(CONFIRM!$H$5:$H$53,G1441),IFERROR(INDEX(MAP!$B$7:$B$156,MATCH(TRIM(O1441),MAP!$A$7:$A$156,0)),"UNMAPPED")),IFERROR(INDEX(MAP!$B$7:$B$156,MATCH(TRIM(O1441),MAP!$A$7:$A$156,0)),"UNMAPPED"))</f>
        <v>Clinical Nurse Educator</v>
      </c>
      <c r="Q1441" s="48" t="n">
        <f aca="false">STACK!I1441</f>
        <v>3.25</v>
      </c>
      <c r="R1441" s="60" t="n">
        <f aca="false">IF(G1441&gt;0,IF(INDEX(CONFIRM!$F$5:$F$53,G1441)&lt;&gt;"",INDEX(CONFIRM!$F$5:$F$53,G1441),IF(ISNUMBER(Q1441),Q1441,IF(Q1441="","",IFERROR(VALUE(TRIM(SUBSTITUTE(SUBSTITUTE(LOWER(Q1441),"hrs",""),"hr",""))),"")))),IF(ISNUMBER(Q1441),Q1441,IF(Q1441="","",IFERROR(VALUE(TRIM(SUBSTITUTE(SUBSTITUTE(LOWER(Q1441),"hrs",""),"hr",""))),""))))</f>
        <v>3.25</v>
      </c>
      <c r="S1441" s="57" t="n">
        <f aca="false">IFERROR(INDEX(RATES!$E$6:$E$28,MATCH(P1441,RATES!$A$6:$A$28,0)),0)</f>
        <v>62.965</v>
      </c>
      <c r="T1441" s="61" t="n">
        <f aca="false">IF(ISNUMBER(R1441),R1441,0)*S1441</f>
        <v>204.63625</v>
      </c>
      <c r="U1441" s="61" t="n">
        <f aca="false">T1441*INDEX(INPUTS!$H$10:$H$14,MATCH(B1441,INPUTS!$A$10:$A$14,0))</f>
        <v>30.90007375</v>
      </c>
      <c r="V1441" s="61" t="n">
        <f aca="false">N(STACK!K1441)</f>
        <v>200</v>
      </c>
      <c r="W1441" s="61" t="n">
        <f aca="false">T1441+U1441+V1441</f>
        <v>435.53632375</v>
      </c>
      <c r="X1441" s="61" t="n">
        <f aca="false">N(STACK!L1441)</f>
        <v>280</v>
      </c>
      <c r="Y1441" s="61" t="n">
        <f aca="false">W1441-X1441</f>
        <v>155.53632375</v>
      </c>
      <c r="Z1441" s="1" t="n">
        <f aca="false">N(STACK!J1441)</f>
        <v>14</v>
      </c>
      <c r="AA1441" s="1" t="str">
        <f aca="false">TRIM(IF(D1441="UNMAPPED","Program not mapped. ","")&amp;IF(OR(K1441="UNMAPPED",K1441="UNASSIGNED"),"Category needs review. ","")&amp;IF(P1441="UNMAPPED","Title not mapped. ","")&amp;IF(AND(P1441&lt;&gt;"No staff time",R1441=""),"Missing hours. ","")&amp;IF(M1441="","Date not readable. ","")&amp;IF(N1441="No","Outside fiscal year. ","")&amp;IF(AND(F1441="Event",ISNUMBER(R1441)),IF(R1441&gt;12,"Event hours look high. ",""),"")&amp;IF(G1441&gt;0,"See CONFIRM sheet.",""))</f>
        <v/>
      </c>
      <c r="AB1441" s="1" t="n">
        <f aca="false">IF(N1441="No",0,IF(REVIEW!O1441=0,0,IF(G1441&gt;0,IF(INDEX(CONFIRM!$J$5:$J$53,G1441)&lt;&gt;"",INDEX(CONFIRM!$J$5:$J$53,G1441),1),1)))</f>
        <v>1</v>
      </c>
      <c r="AC1441" s="1" t="n">
        <f aca="false">IF(AB1441=1,IF(COUNTIFS($B$5:B1441,B1441,$D$5:D1441,D1441,$AB$5:AB1441,1)=1,1,0),0)</f>
        <v>1</v>
      </c>
    </row>
    <row r="1442" customFormat="false" ht="15" hidden="false" customHeight="false" outlineLevel="0" collapsed="false">
      <c r="A1442" s="48" t="str">
        <f aca="false">STACK!A1442</f>
        <v>QHH-0061</v>
      </c>
      <c r="B1442" s="48" t="str">
        <f aca="false">STACK!B1442</f>
        <v>QHH</v>
      </c>
      <c r="C1442" s="48" t="str">
        <f aca="false">STACK!E1442</f>
        <v>Car Seat Safety</v>
      </c>
      <c r="D1442" s="1" t="str">
        <f aca="false">IFERROR(INDEX(MAP!$J$7:$J$101,MATCH(TRIM(C1442),MAP!$I$7:$I$101,0)),"UNMAPPED")</f>
        <v>Car Seat Safety Checks</v>
      </c>
      <c r="E1442" s="1" t="str">
        <f aca="false">IFERROR(INDEX(MAP!$K$7:$K$101,MATCH(TRIM(C1442),MAP!$I$7:$I$101,0)),"")</f>
        <v>Maternal and child health</v>
      </c>
      <c r="F1442" s="1" t="str">
        <f aca="false">IFERROR(INDEX(MAP!$L$7:$L$101,MATCH(TRIM(C1442),MAP!$I$7:$I$101,0)),"")</f>
        <v>Event</v>
      </c>
      <c r="G1442" s="1" t="n">
        <f aca="false">IFERROR(MATCH(A1442,CONFIRM!$A$5:$A$53,0),0)</f>
        <v>0</v>
      </c>
      <c r="H1442" s="48" t="str">
        <f aca="false">STACK!F1442</f>
        <v>CHIS - Education</v>
      </c>
      <c r="I1442" s="1" t="str">
        <f aca="false">IF(G1442&gt;0,IF(INDEX(CONFIRM!$I$5:$I$53,G1442)&lt;&gt;"",INDEX(CONFIRM!$I$5:$I$53,G1442),H1442),H1442)</f>
        <v>CHIS - Education</v>
      </c>
      <c r="J1442" s="1" t="str">
        <f aca="false">IFERROR(INDEX(MAP!$F$7:$F$74,MATCH(TRIM(I1442),MAP!$E$7:$E$74,0)),"UNMAPPED")</f>
        <v>Community health education</v>
      </c>
      <c r="K1442" s="1" t="str">
        <f aca="false">IFERROR(INDEX(MAP!$G$7:$G$74,MATCH(TRIM(I1442),MAP!$E$7:$E$74,0)),"UNMAPPED")</f>
        <v>7e</v>
      </c>
      <c r="L1442" s="49" t="str">
        <f aca="false">STACK!G1442</f>
        <v>14-Oct-2025</v>
      </c>
      <c r="M1442" s="59" t="n">
        <f aca="false">IF(G1442&gt;0,IF(INDEX(CONFIRM!$G$5:$G$53,G1442)&lt;&gt;"",INDEX(CONFIRM!$G$5:$G$53,G1442),IF(ISNUMBER(L1442),L1442,IFERROR(DATEVALUE(L1442),""))),IF(ISNUMBER(L1442),L1442,IFERROR(DATEVALUE(L1442),"")))</f>
        <v>45944</v>
      </c>
      <c r="N1442" s="1" t="str">
        <f aca="false">IF(M1442="","Check",IF(AND(M1442&gt;=INPUTS!$C$6,M1442&lt;=INPUTS!$C$7),"Yes","No"))</f>
        <v>Yes</v>
      </c>
      <c r="O1442" s="48" t="str">
        <f aca="false">STACK!H1442</f>
        <v>Paramedic</v>
      </c>
      <c r="P1442" s="1" t="str">
        <f aca="false">IF(G1442&gt;0,IF(INDEX(CONFIRM!$H$5:$H$53,G1442)&lt;&gt;"",INDEX(CONFIRM!$H$5:$H$53,G1442),IFERROR(INDEX(MAP!$B$7:$B$156,MATCH(TRIM(O1442),MAP!$A$7:$A$156,0)),"UNMAPPED")),IFERROR(INDEX(MAP!$B$7:$B$156,MATCH(TRIM(O1442),MAP!$A$7:$A$156,0)),"UNMAPPED"))</f>
        <v>Paramedic</v>
      </c>
      <c r="Q1442" s="48" t="n">
        <f aca="false">STACK!I1442</f>
        <v>3.25</v>
      </c>
      <c r="R1442" s="60" t="n">
        <f aca="false">IF(G1442&gt;0,IF(INDEX(CONFIRM!$F$5:$F$53,G1442)&lt;&gt;"",INDEX(CONFIRM!$F$5:$F$53,G1442),IF(ISNUMBER(Q1442),Q1442,IF(Q1442="","",IFERROR(VALUE(TRIM(SUBSTITUTE(SUBSTITUTE(LOWER(Q1442),"hrs",""),"hr",""))),"")))),IF(ISNUMBER(Q1442),Q1442,IF(Q1442="","",IFERROR(VALUE(TRIM(SUBSTITUTE(SUBSTITUTE(LOWER(Q1442),"hrs",""),"hr",""))),""))))</f>
        <v>3.25</v>
      </c>
      <c r="S1442" s="57" t="n">
        <f aca="false">IFERROR(INDEX(RATES!$E$6:$E$28,MATCH(P1442,RATES!$A$6:$A$28,0)),0)</f>
        <v>34.695</v>
      </c>
      <c r="T1442" s="61" t="n">
        <f aca="false">IF(ISNUMBER(R1442),R1442,0)*S1442</f>
        <v>112.75875</v>
      </c>
      <c r="U1442" s="61" t="n">
        <f aca="false">T1442*INDEX(INPUTS!$H$10:$H$14,MATCH(B1442,INPUTS!$A$10:$A$14,0))</f>
        <v>17.02657125</v>
      </c>
      <c r="V1442" s="61" t="n">
        <f aca="false">N(STACK!K1442)</f>
        <v>350</v>
      </c>
      <c r="W1442" s="61" t="n">
        <f aca="false">T1442+U1442+V1442</f>
        <v>479.78532125</v>
      </c>
      <c r="X1442" s="61" t="n">
        <f aca="false">N(STACK!L1442)</f>
        <v>315</v>
      </c>
      <c r="Y1442" s="61" t="n">
        <f aca="false">W1442-X1442</f>
        <v>164.78532125</v>
      </c>
      <c r="Z1442" s="1" t="n">
        <f aca="false">N(STACK!J1442)</f>
        <v>27</v>
      </c>
      <c r="AA1442" s="1" t="str">
        <f aca="false">TRIM(IF(D1442="UNMAPPED","Program not mapped. ","")&amp;IF(OR(K1442="UNMAPPED",K1442="UNASSIGNED"),"Category needs review. ","")&amp;IF(P1442="UNMAPPED","Title not mapped. ","")&amp;IF(AND(P1442&lt;&gt;"No staff time",R1442=""),"Missing hours. ","")&amp;IF(M1442="","Date not readable. ","")&amp;IF(N1442="No","Outside fiscal year. ","")&amp;IF(AND(F1442="Event",ISNUMBER(R1442)),IF(R1442&gt;12,"Event hours look high. ",""),"")&amp;IF(G1442&gt;0,"See CONFIRM sheet.",""))</f>
        <v/>
      </c>
      <c r="AB1442" s="1" t="n">
        <f aca="false">IF(N1442="No",0,IF(REVIEW!O1442=0,0,IF(G1442&gt;0,IF(INDEX(CONFIRM!$J$5:$J$53,G1442)&lt;&gt;"",INDEX(CONFIRM!$J$5:$J$53,G1442),1),1)))</f>
        <v>1</v>
      </c>
      <c r="AC1442" s="1" t="n">
        <f aca="false">IF(AB1442=1,IF(COUNTIFS($B$5:B1442,B1442,$D$5:D1442,D1442,$AB$5:AB1442,1)=1,1,0),0)</f>
        <v>0</v>
      </c>
    </row>
    <row r="1443" customFormat="false" ht="15" hidden="false" customHeight="false" outlineLevel="0" collapsed="false">
      <c r="A1443" s="48" t="str">
        <f aca="false">STACK!A1443</f>
        <v>QHH-0062</v>
      </c>
      <c r="B1443" s="48" t="str">
        <f aca="false">STACK!B1443</f>
        <v>QHH</v>
      </c>
      <c r="C1443" s="48" t="str">
        <f aca="false">STACK!E1443</f>
        <v>Car Seat Safety</v>
      </c>
      <c r="D1443" s="1" t="str">
        <f aca="false">IFERROR(INDEX(MAP!$J$7:$J$101,MATCH(TRIM(C1443),MAP!$I$7:$I$101,0)),"UNMAPPED")</f>
        <v>Car Seat Safety Checks</v>
      </c>
      <c r="E1443" s="1" t="str">
        <f aca="false">IFERROR(INDEX(MAP!$K$7:$K$101,MATCH(TRIM(C1443),MAP!$I$7:$I$101,0)),"")</f>
        <v>Maternal and child health</v>
      </c>
      <c r="F1443" s="1" t="str">
        <f aca="false">IFERROR(INDEX(MAP!$L$7:$L$101,MATCH(TRIM(C1443),MAP!$I$7:$I$101,0)),"")</f>
        <v>Event</v>
      </c>
      <c r="G1443" s="1" t="n">
        <f aca="false">IFERROR(MATCH(A1443,CONFIRM!$A$5:$A$53,0),0)</f>
        <v>0</v>
      </c>
      <c r="H1443" s="48" t="str">
        <f aca="false">STACK!F1443</f>
        <v>CHIS - Education</v>
      </c>
      <c r="I1443" s="1" t="str">
        <f aca="false">IF(G1443&gt;0,IF(INDEX(CONFIRM!$I$5:$I$53,G1443)&lt;&gt;"",INDEX(CONFIRM!$I$5:$I$53,G1443),H1443),H1443)</f>
        <v>CHIS - Education</v>
      </c>
      <c r="J1443" s="1" t="str">
        <f aca="false">IFERROR(INDEX(MAP!$F$7:$F$74,MATCH(TRIM(I1443),MAP!$E$7:$E$74,0)),"UNMAPPED")</f>
        <v>Community health education</v>
      </c>
      <c r="K1443" s="1" t="str">
        <f aca="false">IFERROR(INDEX(MAP!$G$7:$G$74,MATCH(TRIM(I1443),MAP!$E$7:$E$74,0)),"UNMAPPED")</f>
        <v>7e</v>
      </c>
      <c r="L1443" s="49" t="str">
        <f aca="false">STACK!G1443</f>
        <v>14-Oct-2025</v>
      </c>
      <c r="M1443" s="59" t="n">
        <f aca="false">IF(G1443&gt;0,IF(INDEX(CONFIRM!$G$5:$G$53,G1443)&lt;&gt;"",INDEX(CONFIRM!$G$5:$G$53,G1443),IF(ISNUMBER(L1443),L1443,IFERROR(DATEVALUE(L1443),""))),IF(ISNUMBER(L1443),L1443,IFERROR(DATEVALUE(L1443),"")))</f>
        <v>45944</v>
      </c>
      <c r="N1443" s="1" t="str">
        <f aca="false">IF(M1443="","Check",IF(AND(M1443&gt;=INPUTS!$C$6,M1443&lt;=INPUTS!$C$7),"Yes","No"))</f>
        <v>Yes</v>
      </c>
      <c r="O1443" s="48" t="str">
        <f aca="false">STACK!H1443</f>
        <v>RN - Outreach</v>
      </c>
      <c r="P1443" s="1" t="str">
        <f aca="false">IF(G1443&gt;0,IF(INDEX(CONFIRM!$H$5:$H$53,G1443)&lt;&gt;"",INDEX(CONFIRM!$H$5:$H$53,G1443),IFERROR(INDEX(MAP!$B$7:$B$156,MATCH(TRIM(O1443),MAP!$A$7:$A$156,0)),"UNMAPPED")),IFERROR(INDEX(MAP!$B$7:$B$156,MATCH(TRIM(O1443),MAP!$A$7:$A$156,0)),"UNMAPPED"))</f>
        <v>Registered Nurse</v>
      </c>
      <c r="Q1443" s="48" t="n">
        <f aca="false">STACK!I1443</f>
        <v>4</v>
      </c>
      <c r="R1443" s="60" t="n">
        <f aca="false">IF(G1443&gt;0,IF(INDEX(CONFIRM!$F$5:$F$53,G1443)&lt;&gt;"",INDEX(CONFIRM!$F$5:$F$53,G1443),IF(ISNUMBER(Q1443),Q1443,IF(Q1443="","",IFERROR(VALUE(TRIM(SUBSTITUTE(SUBSTITUTE(LOWER(Q1443),"hrs",""),"hr",""))),"")))),IF(ISNUMBER(Q1443),Q1443,IF(Q1443="","",IFERROR(VALUE(TRIM(SUBSTITUTE(SUBSTITUTE(LOWER(Q1443),"hrs",""),"hr",""))),""))))</f>
        <v>4</v>
      </c>
      <c r="S1443" s="57" t="n">
        <f aca="false">IFERROR(INDEX(RATES!$E$6:$E$28,MATCH(P1443,RATES!$A$6:$A$28,0)),0)</f>
        <v>55.8975</v>
      </c>
      <c r="T1443" s="61" t="n">
        <f aca="false">IF(ISNUMBER(R1443),R1443,0)*S1443</f>
        <v>223.59</v>
      </c>
      <c r="U1443" s="61" t="n">
        <f aca="false">T1443*INDEX(INPUTS!$H$10:$H$14,MATCH(B1443,INPUTS!$A$10:$A$14,0))</f>
        <v>33.76209</v>
      </c>
      <c r="V1443" s="61" t="n">
        <f aca="false">N(STACK!K1443)</f>
        <v>0</v>
      </c>
      <c r="W1443" s="61" t="n">
        <f aca="false">T1443+U1443+V1443</f>
        <v>257.35209</v>
      </c>
      <c r="X1443" s="61" t="n">
        <f aca="false">N(STACK!L1443)</f>
        <v>0</v>
      </c>
      <c r="Y1443" s="61" t="n">
        <f aca="false">W1443-X1443</f>
        <v>257.35209</v>
      </c>
      <c r="Z1443" s="1" t="n">
        <f aca="false">N(STACK!J1443)</f>
        <v>0</v>
      </c>
      <c r="AA1443" s="1" t="str">
        <f aca="false">TRIM(IF(D1443="UNMAPPED","Program not mapped. ","")&amp;IF(OR(K1443="UNMAPPED",K1443="UNASSIGNED"),"Category needs review. ","")&amp;IF(P1443="UNMAPPED","Title not mapped. ","")&amp;IF(AND(P1443&lt;&gt;"No staff time",R1443=""),"Missing hours. ","")&amp;IF(M1443="","Date not readable. ","")&amp;IF(N1443="No","Outside fiscal year. ","")&amp;IF(AND(F1443="Event",ISNUMBER(R1443)),IF(R1443&gt;12,"Event hours look high. ",""),"")&amp;IF(G1443&gt;0,"See CONFIRM sheet.",""))</f>
        <v/>
      </c>
      <c r="AB1443" s="1" t="n">
        <f aca="false">IF(N1443="No",0,IF(REVIEW!O1443=0,0,IF(G1443&gt;0,IF(INDEX(CONFIRM!$J$5:$J$53,G1443)&lt;&gt;"",INDEX(CONFIRM!$J$5:$J$53,G1443),1),1)))</f>
        <v>1</v>
      </c>
      <c r="AC1443" s="1" t="n">
        <f aca="false">IF(AB1443=1,IF(COUNTIFS($B$5:B1443,B1443,$D$5:D1443,D1443,$AB$5:AB1443,1)=1,1,0),0)</f>
        <v>0</v>
      </c>
    </row>
    <row r="1444" customFormat="false" ht="15" hidden="false" customHeight="false" outlineLevel="0" collapsed="false">
      <c r="A1444" s="48" t="str">
        <f aca="false">STACK!A1444</f>
        <v>QHH-0063</v>
      </c>
      <c r="B1444" s="48" t="str">
        <f aca="false">STACK!B1444</f>
        <v>QHH</v>
      </c>
      <c r="C1444" s="48" t="str">
        <f aca="false">STACK!E1444</f>
        <v>Quit Tobacco Class</v>
      </c>
      <c r="D1444" s="1" t="str">
        <f aca="false">IFERROR(INDEX(MAP!$J$7:$J$101,MATCH(TRIM(C1444),MAP!$I$7:$I$101,0)),"UNMAPPED")</f>
        <v>Tobacco Cessation Classes</v>
      </c>
      <c r="E1444" s="1" t="str">
        <f aca="false">IFERROR(INDEX(MAP!$K$7:$K$101,MATCH(TRIM(C1444),MAP!$I$7:$I$101,0)),"")</f>
        <v>Chronic disease prevention</v>
      </c>
      <c r="F1444" s="1" t="str">
        <f aca="false">IFERROR(INDEX(MAP!$L$7:$L$101,MATCH(TRIM(C1444),MAP!$I$7:$I$101,0)),"")</f>
        <v>Event</v>
      </c>
      <c r="G1444" s="1" t="n">
        <f aca="false">IFERROR(MATCH(A1444,CONFIRM!$A$5:$A$53,0),0)</f>
        <v>0</v>
      </c>
      <c r="H1444" s="48" t="str">
        <f aca="false">STACK!F1444</f>
        <v>CHIS - Education</v>
      </c>
      <c r="I1444" s="1" t="str">
        <f aca="false">IF(G1444&gt;0,IF(INDEX(CONFIRM!$I$5:$I$53,G1444)&lt;&gt;"",INDEX(CONFIRM!$I$5:$I$53,G1444),H1444),H1444)</f>
        <v>CHIS - Education</v>
      </c>
      <c r="J1444" s="1" t="str">
        <f aca="false">IFERROR(INDEX(MAP!$F$7:$F$74,MATCH(TRIM(I1444),MAP!$E$7:$E$74,0)),"UNMAPPED")</f>
        <v>Community health education</v>
      </c>
      <c r="K1444" s="1" t="str">
        <f aca="false">IFERROR(INDEX(MAP!$G$7:$G$74,MATCH(TRIM(I1444),MAP!$E$7:$E$74,0)),"UNMAPPED")</f>
        <v>7e</v>
      </c>
      <c r="L1444" s="49" t="str">
        <f aca="false">STACK!G1444</f>
        <v>14-Oct-2025</v>
      </c>
      <c r="M1444" s="59" t="n">
        <f aca="false">IF(G1444&gt;0,IF(INDEX(CONFIRM!$G$5:$G$53,G1444)&lt;&gt;"",INDEX(CONFIRM!$G$5:$G$53,G1444),IF(ISNUMBER(L1444),L1444,IFERROR(DATEVALUE(L1444),""))),IF(ISNUMBER(L1444),L1444,IFERROR(DATEVALUE(L1444),"")))</f>
        <v>45944</v>
      </c>
      <c r="N1444" s="1" t="str">
        <f aca="false">IF(M1444="","Check",IF(AND(M1444&gt;=INPUTS!$C$6,M1444&lt;=INPUTS!$C$7),"Yes","No"))</f>
        <v>Yes</v>
      </c>
      <c r="O1444" s="48" t="str">
        <f aca="false">STACK!H1444</f>
        <v>Resp Therapist</v>
      </c>
      <c r="P1444" s="1" t="str">
        <f aca="false">IF(G1444&gt;0,IF(INDEX(CONFIRM!$H$5:$H$53,G1444)&lt;&gt;"",INDEX(CONFIRM!$H$5:$H$53,G1444),IFERROR(INDEX(MAP!$B$7:$B$156,MATCH(TRIM(O1444),MAP!$A$7:$A$156,0)),"UNMAPPED")),IFERROR(INDEX(MAP!$B$7:$B$156,MATCH(TRIM(O1444),MAP!$A$7:$A$156,0)),"UNMAPPED"))</f>
        <v>Licensed Therapist</v>
      </c>
      <c r="Q1444" s="48" t="n">
        <f aca="false">STACK!I1444</f>
        <v>2</v>
      </c>
      <c r="R1444" s="60" t="n">
        <f aca="false">IF(G1444&gt;0,IF(INDEX(CONFIRM!$F$5:$F$53,G1444)&lt;&gt;"",INDEX(CONFIRM!$F$5:$F$53,G1444),IF(ISNUMBER(Q1444),Q1444,IF(Q1444="","",IFERROR(VALUE(TRIM(SUBSTITUTE(SUBSTITUTE(LOWER(Q1444),"hrs",""),"hr",""))),"")))),IF(ISNUMBER(Q1444),Q1444,IF(Q1444="","",IFERROR(VALUE(TRIM(SUBSTITUTE(SUBSTITUTE(LOWER(Q1444),"hrs",""),"hr",""))),""))))</f>
        <v>2</v>
      </c>
      <c r="S1444" s="57" t="n">
        <f aca="false">IFERROR(INDEX(RATES!$E$6:$E$28,MATCH(P1444,RATES!$A$6:$A$28,0)),0)</f>
        <v>53.97</v>
      </c>
      <c r="T1444" s="61" t="n">
        <f aca="false">IF(ISNUMBER(R1444),R1444,0)*S1444</f>
        <v>107.94</v>
      </c>
      <c r="U1444" s="61" t="n">
        <f aca="false">T1444*INDEX(INPUTS!$H$10:$H$14,MATCH(B1444,INPUTS!$A$10:$A$14,0))</f>
        <v>16.29894</v>
      </c>
      <c r="V1444" s="61" t="n">
        <f aca="false">N(STACK!K1444)</f>
        <v>205</v>
      </c>
      <c r="W1444" s="61" t="n">
        <f aca="false">T1444+U1444+V1444</f>
        <v>329.23894</v>
      </c>
      <c r="X1444" s="61" t="n">
        <f aca="false">N(STACK!L1444)</f>
        <v>0</v>
      </c>
      <c r="Y1444" s="61" t="n">
        <f aca="false">W1444-X1444</f>
        <v>329.23894</v>
      </c>
      <c r="Z1444" s="1" t="n">
        <f aca="false">N(STACK!J1444)</f>
        <v>12</v>
      </c>
      <c r="AA1444" s="1" t="str">
        <f aca="false">TRIM(IF(D1444="UNMAPPED","Program not mapped. ","")&amp;IF(OR(K1444="UNMAPPED",K1444="UNASSIGNED"),"Category needs review. ","")&amp;IF(P1444="UNMAPPED","Title not mapped. ","")&amp;IF(AND(P1444&lt;&gt;"No staff time",R1444=""),"Missing hours. ","")&amp;IF(M1444="","Date not readable. ","")&amp;IF(N1444="No","Outside fiscal year. ","")&amp;IF(AND(F1444="Event",ISNUMBER(R1444)),IF(R1444&gt;12,"Event hours look high. ",""),"")&amp;IF(G1444&gt;0,"See CONFIRM sheet.",""))</f>
        <v/>
      </c>
      <c r="AB1444" s="1" t="n">
        <f aca="false">IF(N1444="No",0,IF(REVIEW!O1444=0,0,IF(G1444&gt;0,IF(INDEX(CONFIRM!$J$5:$J$53,G1444)&lt;&gt;"",INDEX(CONFIRM!$J$5:$J$53,G1444),1),1)))</f>
        <v>1</v>
      </c>
      <c r="AC1444" s="1" t="n">
        <f aca="false">IF(AB1444=1,IF(COUNTIFS($B$5:B1444,B1444,$D$5:D1444,D1444,$AB$5:AB1444,1)=1,1,0),0)</f>
        <v>0</v>
      </c>
    </row>
    <row r="1445" customFormat="false" ht="15" hidden="false" customHeight="false" outlineLevel="0" collapsed="false">
      <c r="A1445" s="48" t="str">
        <f aca="false">STACK!A1445</f>
        <v>QHH-0064</v>
      </c>
      <c r="B1445" s="48" t="str">
        <f aca="false">STACK!B1445</f>
        <v>QHH</v>
      </c>
      <c r="C1445" s="48" t="str">
        <f aca="false">STACK!E1445</f>
        <v>Childbirth Education</v>
      </c>
      <c r="D1445" s="1" t="str">
        <f aca="false">IFERROR(INDEX(MAP!$J$7:$J$101,MATCH(TRIM(C1445),MAP!$I$7:$I$101,0)),"UNMAPPED")</f>
        <v>Childbirth and Newborn Care Classes</v>
      </c>
      <c r="E1445" s="1" t="str">
        <f aca="false">IFERROR(INDEX(MAP!$K$7:$K$101,MATCH(TRIM(C1445),MAP!$I$7:$I$101,0)),"")</f>
        <v>Maternal and child health</v>
      </c>
      <c r="F1445" s="1" t="str">
        <f aca="false">IFERROR(INDEX(MAP!$L$7:$L$101,MATCH(TRIM(C1445),MAP!$I$7:$I$101,0)),"")</f>
        <v>Event</v>
      </c>
      <c r="G1445" s="1" t="n">
        <f aca="false">IFERROR(MATCH(A1445,CONFIRM!$A$5:$A$53,0),0)</f>
        <v>0</v>
      </c>
      <c r="H1445" s="48" t="str">
        <f aca="false">STACK!F1445</f>
        <v>CHIS - Education</v>
      </c>
      <c r="I1445" s="1" t="str">
        <f aca="false">IF(G1445&gt;0,IF(INDEX(CONFIRM!$I$5:$I$53,G1445)&lt;&gt;"",INDEX(CONFIRM!$I$5:$I$53,G1445),H1445),H1445)</f>
        <v>CHIS - Education</v>
      </c>
      <c r="J1445" s="1" t="str">
        <f aca="false">IFERROR(INDEX(MAP!$F$7:$F$74,MATCH(TRIM(I1445),MAP!$E$7:$E$74,0)),"UNMAPPED")</f>
        <v>Community health education</v>
      </c>
      <c r="K1445" s="1" t="str">
        <f aca="false">IFERROR(INDEX(MAP!$G$7:$G$74,MATCH(TRIM(I1445),MAP!$E$7:$E$74,0)),"UNMAPPED")</f>
        <v>7e</v>
      </c>
      <c r="L1445" s="49" t="str">
        <f aca="false">STACK!G1445</f>
        <v>17-Oct-2025</v>
      </c>
      <c r="M1445" s="59" t="n">
        <f aca="false">IF(G1445&gt;0,IF(INDEX(CONFIRM!$G$5:$G$53,G1445)&lt;&gt;"",INDEX(CONFIRM!$G$5:$G$53,G1445),IF(ISNUMBER(L1445),L1445,IFERROR(DATEVALUE(L1445),""))),IF(ISNUMBER(L1445),L1445,IFERROR(DATEVALUE(L1445),"")))</f>
        <v>45947</v>
      </c>
      <c r="N1445" s="1" t="str">
        <f aca="false">IF(M1445="","Check",IF(AND(M1445&gt;=INPUTS!$C$6,M1445&lt;=INPUTS!$C$7),"Yes","No"))</f>
        <v>Yes</v>
      </c>
      <c r="O1445" s="48" t="str">
        <f aca="false">STACK!H1445</f>
        <v>Educator, Nursing</v>
      </c>
      <c r="P1445" s="1" t="str">
        <f aca="false">IF(G1445&gt;0,IF(INDEX(CONFIRM!$H$5:$H$53,G1445)&lt;&gt;"",INDEX(CONFIRM!$H$5:$H$53,G1445),IFERROR(INDEX(MAP!$B$7:$B$156,MATCH(TRIM(O1445),MAP!$A$7:$A$156,0)),"UNMAPPED")),IFERROR(INDEX(MAP!$B$7:$B$156,MATCH(TRIM(O1445),MAP!$A$7:$A$156,0)),"UNMAPPED"))</f>
        <v>Clinical Nurse Educator</v>
      </c>
      <c r="Q1445" s="48" t="n">
        <f aca="false">STACK!I1445</f>
        <v>3.25</v>
      </c>
      <c r="R1445" s="60" t="n">
        <f aca="false">IF(G1445&gt;0,IF(INDEX(CONFIRM!$F$5:$F$53,G1445)&lt;&gt;"",INDEX(CONFIRM!$F$5:$F$53,G1445),IF(ISNUMBER(Q1445),Q1445,IF(Q1445="","",IFERROR(VALUE(TRIM(SUBSTITUTE(SUBSTITUTE(LOWER(Q1445),"hrs",""),"hr",""))),"")))),IF(ISNUMBER(Q1445),Q1445,IF(Q1445="","",IFERROR(VALUE(TRIM(SUBSTITUTE(SUBSTITUTE(LOWER(Q1445),"hrs",""),"hr",""))),""))))</f>
        <v>3.25</v>
      </c>
      <c r="S1445" s="57" t="n">
        <f aca="false">IFERROR(INDEX(RATES!$E$6:$E$28,MATCH(P1445,RATES!$A$6:$A$28,0)),0)</f>
        <v>62.965</v>
      </c>
      <c r="T1445" s="61" t="n">
        <f aca="false">IF(ISNUMBER(R1445),R1445,0)*S1445</f>
        <v>204.63625</v>
      </c>
      <c r="U1445" s="61" t="n">
        <f aca="false">T1445*INDEX(INPUTS!$H$10:$H$14,MATCH(B1445,INPUTS!$A$10:$A$14,0))</f>
        <v>30.90007375</v>
      </c>
      <c r="V1445" s="61" t="n">
        <f aca="false">N(STACK!K1445)</f>
        <v>200</v>
      </c>
      <c r="W1445" s="61" t="n">
        <f aca="false">T1445+U1445+V1445</f>
        <v>435.53632375</v>
      </c>
      <c r="X1445" s="61" t="n">
        <f aca="false">N(STACK!L1445)</f>
        <v>320</v>
      </c>
      <c r="Y1445" s="61" t="n">
        <f aca="false">W1445-X1445</f>
        <v>115.53632375</v>
      </c>
      <c r="Z1445" s="1" t="n">
        <f aca="false">N(STACK!J1445)</f>
        <v>16</v>
      </c>
      <c r="AA1445" s="1" t="str">
        <f aca="false">TRIM(IF(D1445="UNMAPPED","Program not mapped. ","")&amp;IF(OR(K1445="UNMAPPED",K1445="UNASSIGNED"),"Category needs review. ","")&amp;IF(P1445="UNMAPPED","Title not mapped. ","")&amp;IF(AND(P1445&lt;&gt;"No staff time",R1445=""),"Missing hours. ","")&amp;IF(M1445="","Date not readable. ","")&amp;IF(N1445="No","Outside fiscal year. ","")&amp;IF(AND(F1445="Event",ISNUMBER(R1445)),IF(R1445&gt;12,"Event hours look high. ",""),"")&amp;IF(G1445&gt;0,"See CONFIRM sheet.",""))</f>
        <v/>
      </c>
      <c r="AB1445" s="1" t="n">
        <f aca="false">IF(N1445="No",0,IF(REVIEW!O1445=0,0,IF(G1445&gt;0,IF(INDEX(CONFIRM!$J$5:$J$53,G1445)&lt;&gt;"",INDEX(CONFIRM!$J$5:$J$53,G1445),1),1)))</f>
        <v>1</v>
      </c>
      <c r="AC1445" s="1" t="n">
        <f aca="false">IF(AB1445=1,IF(COUNTIFS($B$5:B1445,B1445,$D$5:D1445,D1445,$AB$5:AB1445,1)=1,1,0),0)</f>
        <v>0</v>
      </c>
    </row>
    <row r="1446" customFormat="false" ht="15" hidden="false" customHeight="false" outlineLevel="0" collapsed="false">
      <c r="A1446" s="48" t="str">
        <f aca="false">STACK!A1446</f>
        <v>QHH-0065</v>
      </c>
      <c r="B1446" s="48" t="str">
        <f aca="false">STACK!B1446</f>
        <v>QHH</v>
      </c>
      <c r="C1446" s="48" t="str">
        <f aca="false">STACK!E1446</f>
        <v>Car Seat Safety</v>
      </c>
      <c r="D1446" s="1" t="str">
        <f aca="false">IFERROR(INDEX(MAP!$J$7:$J$101,MATCH(TRIM(C1446),MAP!$I$7:$I$101,0)),"UNMAPPED")</f>
        <v>Car Seat Safety Checks</v>
      </c>
      <c r="E1446" s="1" t="str">
        <f aca="false">IFERROR(INDEX(MAP!$K$7:$K$101,MATCH(TRIM(C1446),MAP!$I$7:$I$101,0)),"")</f>
        <v>Maternal and child health</v>
      </c>
      <c r="F1446" s="1" t="str">
        <f aca="false">IFERROR(INDEX(MAP!$L$7:$L$101,MATCH(TRIM(C1446),MAP!$I$7:$I$101,0)),"")</f>
        <v>Event</v>
      </c>
      <c r="G1446" s="1" t="n">
        <f aca="false">IFERROR(MATCH(A1446,CONFIRM!$A$5:$A$53,0),0)</f>
        <v>0</v>
      </c>
      <c r="H1446" s="48" t="str">
        <f aca="false">STACK!F1446</f>
        <v>CHIS - Education</v>
      </c>
      <c r="I1446" s="1" t="str">
        <f aca="false">IF(G1446&gt;0,IF(INDEX(CONFIRM!$I$5:$I$53,G1446)&lt;&gt;"",INDEX(CONFIRM!$I$5:$I$53,G1446),H1446),H1446)</f>
        <v>CHIS - Education</v>
      </c>
      <c r="J1446" s="1" t="str">
        <f aca="false">IFERROR(INDEX(MAP!$F$7:$F$74,MATCH(TRIM(I1446),MAP!$E$7:$E$74,0)),"UNMAPPED")</f>
        <v>Community health education</v>
      </c>
      <c r="K1446" s="1" t="str">
        <f aca="false">IFERROR(INDEX(MAP!$G$7:$G$74,MATCH(TRIM(I1446),MAP!$E$7:$E$74,0)),"UNMAPPED")</f>
        <v>7e</v>
      </c>
      <c r="L1446" s="49" t="str">
        <f aca="false">STACK!G1446</f>
        <v>17-Oct-2025</v>
      </c>
      <c r="M1446" s="59" t="n">
        <f aca="false">IF(G1446&gt;0,IF(INDEX(CONFIRM!$G$5:$G$53,G1446)&lt;&gt;"",INDEX(CONFIRM!$G$5:$G$53,G1446),IF(ISNUMBER(L1446),L1446,IFERROR(DATEVALUE(L1446),""))),IF(ISNUMBER(L1446),L1446,IFERROR(DATEVALUE(L1446),"")))</f>
        <v>45947</v>
      </c>
      <c r="N1446" s="1" t="str">
        <f aca="false">IF(M1446="","Check",IF(AND(M1446&gt;=INPUTS!$C$6,M1446&lt;=INPUTS!$C$7),"Yes","No"))</f>
        <v>Yes</v>
      </c>
      <c r="O1446" s="48" t="str">
        <f aca="false">STACK!H1446</f>
        <v>EMS Paramedic</v>
      </c>
      <c r="P1446" s="1" t="str">
        <f aca="false">IF(G1446&gt;0,IF(INDEX(CONFIRM!$H$5:$H$53,G1446)&lt;&gt;"",INDEX(CONFIRM!$H$5:$H$53,G1446),IFERROR(INDEX(MAP!$B$7:$B$156,MATCH(TRIM(O1446),MAP!$A$7:$A$156,0)),"UNMAPPED")),IFERROR(INDEX(MAP!$B$7:$B$156,MATCH(TRIM(O1446),MAP!$A$7:$A$156,0)),"UNMAPPED"))</f>
        <v>Paramedic</v>
      </c>
      <c r="Q1446" s="48" t="n">
        <f aca="false">STACK!I1446</f>
        <v>3.5</v>
      </c>
      <c r="R1446" s="60" t="n">
        <f aca="false">IF(G1446&gt;0,IF(INDEX(CONFIRM!$F$5:$F$53,G1446)&lt;&gt;"",INDEX(CONFIRM!$F$5:$F$53,G1446),IF(ISNUMBER(Q1446),Q1446,IF(Q1446="","",IFERROR(VALUE(TRIM(SUBSTITUTE(SUBSTITUTE(LOWER(Q1446),"hrs",""),"hr",""))),"")))),IF(ISNUMBER(Q1446),Q1446,IF(Q1446="","",IFERROR(VALUE(TRIM(SUBSTITUTE(SUBSTITUTE(LOWER(Q1446),"hrs",""),"hr",""))),""))))</f>
        <v>3.5</v>
      </c>
      <c r="S1446" s="57" t="n">
        <f aca="false">IFERROR(INDEX(RATES!$E$6:$E$28,MATCH(P1446,RATES!$A$6:$A$28,0)),0)</f>
        <v>34.695</v>
      </c>
      <c r="T1446" s="61" t="n">
        <f aca="false">IF(ISNUMBER(R1446),R1446,0)*S1446</f>
        <v>121.4325</v>
      </c>
      <c r="U1446" s="61" t="n">
        <f aca="false">T1446*INDEX(INPUTS!$H$10:$H$14,MATCH(B1446,INPUTS!$A$10:$A$14,0))</f>
        <v>18.3363075</v>
      </c>
      <c r="V1446" s="61" t="n">
        <f aca="false">N(STACK!K1446)</f>
        <v>870</v>
      </c>
      <c r="W1446" s="61" t="n">
        <f aca="false">T1446+U1446+V1446</f>
        <v>1009.7688075</v>
      </c>
      <c r="X1446" s="61" t="n">
        <f aca="false">N(STACK!L1446)</f>
        <v>320</v>
      </c>
      <c r="Y1446" s="61" t="n">
        <f aca="false">W1446-X1446</f>
        <v>689.7688075</v>
      </c>
      <c r="Z1446" s="1" t="n">
        <f aca="false">N(STACK!J1446)</f>
        <v>27</v>
      </c>
      <c r="AA1446" s="1" t="str">
        <f aca="false">TRIM(IF(D1446="UNMAPPED","Program not mapped. ","")&amp;IF(OR(K1446="UNMAPPED",K1446="UNASSIGNED"),"Category needs review. ","")&amp;IF(P1446="UNMAPPED","Title not mapped. ","")&amp;IF(AND(P1446&lt;&gt;"No staff time",R1446=""),"Missing hours. ","")&amp;IF(M1446="","Date not readable. ","")&amp;IF(N1446="No","Outside fiscal year. ","")&amp;IF(AND(F1446="Event",ISNUMBER(R1446)),IF(R1446&gt;12,"Event hours look high. ",""),"")&amp;IF(G1446&gt;0,"See CONFIRM sheet.",""))</f>
        <v/>
      </c>
      <c r="AB1446" s="1" t="n">
        <f aca="false">IF(N1446="No",0,IF(REVIEW!O1446=0,0,IF(G1446&gt;0,IF(INDEX(CONFIRM!$J$5:$J$53,G1446)&lt;&gt;"",INDEX(CONFIRM!$J$5:$J$53,G1446),1),1)))</f>
        <v>1</v>
      </c>
      <c r="AC1446" s="1" t="n">
        <f aca="false">IF(AB1446=1,IF(COUNTIFS($B$5:B1446,B1446,$D$5:D1446,D1446,$AB$5:AB1446,1)=1,1,0),0)</f>
        <v>0</v>
      </c>
    </row>
    <row r="1447" customFormat="false" ht="15" hidden="false" customHeight="false" outlineLevel="0" collapsed="false">
      <c r="A1447" s="48" t="str">
        <f aca="false">STACK!A1447</f>
        <v>QHH-0066</v>
      </c>
      <c r="B1447" s="48" t="str">
        <f aca="false">STACK!B1447</f>
        <v>QHH</v>
      </c>
      <c r="C1447" s="48" t="str">
        <f aca="false">STACK!E1447</f>
        <v>Car Seat Safety</v>
      </c>
      <c r="D1447" s="1" t="str">
        <f aca="false">IFERROR(INDEX(MAP!$J$7:$J$101,MATCH(TRIM(C1447),MAP!$I$7:$I$101,0)),"UNMAPPED")</f>
        <v>Car Seat Safety Checks</v>
      </c>
      <c r="E1447" s="1" t="str">
        <f aca="false">IFERROR(INDEX(MAP!$K$7:$K$101,MATCH(TRIM(C1447),MAP!$I$7:$I$101,0)),"")</f>
        <v>Maternal and child health</v>
      </c>
      <c r="F1447" s="1" t="str">
        <f aca="false">IFERROR(INDEX(MAP!$L$7:$L$101,MATCH(TRIM(C1447),MAP!$I$7:$I$101,0)),"")</f>
        <v>Event</v>
      </c>
      <c r="G1447" s="1" t="n">
        <f aca="false">IFERROR(MATCH(A1447,CONFIRM!$A$5:$A$53,0),0)</f>
        <v>0</v>
      </c>
      <c r="H1447" s="48" t="str">
        <f aca="false">STACK!F1447</f>
        <v>CHIS - Education</v>
      </c>
      <c r="I1447" s="1" t="str">
        <f aca="false">IF(G1447&gt;0,IF(INDEX(CONFIRM!$I$5:$I$53,G1447)&lt;&gt;"",INDEX(CONFIRM!$I$5:$I$53,G1447),H1447),H1447)</f>
        <v>CHIS - Education</v>
      </c>
      <c r="J1447" s="1" t="str">
        <f aca="false">IFERROR(INDEX(MAP!$F$7:$F$74,MATCH(TRIM(I1447),MAP!$E$7:$E$74,0)),"UNMAPPED")</f>
        <v>Community health education</v>
      </c>
      <c r="K1447" s="1" t="str">
        <f aca="false">IFERROR(INDEX(MAP!$G$7:$G$74,MATCH(TRIM(I1447),MAP!$E$7:$E$74,0)),"UNMAPPED")</f>
        <v>7e</v>
      </c>
      <c r="L1447" s="49" t="str">
        <f aca="false">STACK!G1447</f>
        <v>17-Oct-2025</v>
      </c>
      <c r="M1447" s="59" t="n">
        <f aca="false">IF(G1447&gt;0,IF(INDEX(CONFIRM!$G$5:$G$53,G1447)&lt;&gt;"",INDEX(CONFIRM!$G$5:$G$53,G1447),IF(ISNUMBER(L1447),L1447,IFERROR(DATEVALUE(L1447),""))),IF(ISNUMBER(L1447),L1447,IFERROR(DATEVALUE(L1447),"")))</f>
        <v>45947</v>
      </c>
      <c r="N1447" s="1" t="str">
        <f aca="false">IF(M1447="","Check",IF(AND(M1447&gt;=INPUTS!$C$6,M1447&lt;=INPUTS!$C$7),"Yes","No"))</f>
        <v>Yes</v>
      </c>
      <c r="O1447" s="48" t="str">
        <f aca="false">STACK!H1447</f>
        <v> Registered Nurse</v>
      </c>
      <c r="P1447" s="1" t="str">
        <f aca="false">IF(G1447&gt;0,IF(INDEX(CONFIRM!$H$5:$H$53,G1447)&lt;&gt;"",INDEX(CONFIRM!$H$5:$H$53,G1447),IFERROR(INDEX(MAP!$B$7:$B$156,MATCH(TRIM(O1447),MAP!$A$7:$A$156,0)),"UNMAPPED")),IFERROR(INDEX(MAP!$B$7:$B$156,MATCH(TRIM(O1447),MAP!$A$7:$A$156,0)),"UNMAPPED"))</f>
        <v>Registered Nurse</v>
      </c>
      <c r="Q1447" s="48" t="n">
        <f aca="false">STACK!I1447</f>
        <v>3</v>
      </c>
      <c r="R1447" s="60" t="n">
        <f aca="false">IF(G1447&gt;0,IF(INDEX(CONFIRM!$F$5:$F$53,G1447)&lt;&gt;"",INDEX(CONFIRM!$F$5:$F$53,G1447),IF(ISNUMBER(Q1447),Q1447,IF(Q1447="","",IFERROR(VALUE(TRIM(SUBSTITUTE(SUBSTITUTE(LOWER(Q1447),"hrs",""),"hr",""))),"")))),IF(ISNUMBER(Q1447),Q1447,IF(Q1447="","",IFERROR(VALUE(TRIM(SUBSTITUTE(SUBSTITUTE(LOWER(Q1447),"hrs",""),"hr",""))),""))))</f>
        <v>3</v>
      </c>
      <c r="S1447" s="57" t="n">
        <f aca="false">IFERROR(INDEX(RATES!$E$6:$E$28,MATCH(P1447,RATES!$A$6:$A$28,0)),0)</f>
        <v>55.8975</v>
      </c>
      <c r="T1447" s="61" t="n">
        <f aca="false">IF(ISNUMBER(R1447),R1447,0)*S1447</f>
        <v>167.6925</v>
      </c>
      <c r="U1447" s="61" t="n">
        <f aca="false">T1447*INDEX(INPUTS!$H$10:$H$14,MATCH(B1447,INPUTS!$A$10:$A$14,0))</f>
        <v>25.3215675</v>
      </c>
      <c r="V1447" s="61" t="n">
        <f aca="false">N(STACK!K1447)</f>
        <v>0</v>
      </c>
      <c r="W1447" s="61" t="n">
        <f aca="false">T1447+U1447+V1447</f>
        <v>193.0140675</v>
      </c>
      <c r="X1447" s="61" t="n">
        <f aca="false">N(STACK!L1447)</f>
        <v>0</v>
      </c>
      <c r="Y1447" s="61" t="n">
        <f aca="false">W1447-X1447</f>
        <v>193.0140675</v>
      </c>
      <c r="Z1447" s="1" t="n">
        <f aca="false">N(STACK!J1447)</f>
        <v>0</v>
      </c>
      <c r="AA1447" s="1" t="str">
        <f aca="false">TRIM(IF(D1447="UNMAPPED","Program not mapped. ","")&amp;IF(OR(K1447="UNMAPPED",K1447="UNASSIGNED"),"Category needs review. ","")&amp;IF(P1447="UNMAPPED","Title not mapped. ","")&amp;IF(AND(P1447&lt;&gt;"No staff time",R1447=""),"Missing hours. ","")&amp;IF(M1447="","Date not readable. ","")&amp;IF(N1447="No","Outside fiscal year. ","")&amp;IF(AND(F1447="Event",ISNUMBER(R1447)),IF(R1447&gt;12,"Event hours look high. ",""),"")&amp;IF(G1447&gt;0,"See CONFIRM sheet.",""))</f>
        <v/>
      </c>
      <c r="AB1447" s="1" t="n">
        <f aca="false">IF(N1447="No",0,IF(REVIEW!O1447=0,0,IF(G1447&gt;0,IF(INDEX(CONFIRM!$J$5:$J$53,G1447)&lt;&gt;"",INDEX(CONFIRM!$J$5:$J$53,G1447),1),1)))</f>
        <v>1</v>
      </c>
      <c r="AC1447" s="1" t="n">
        <f aca="false">IF(AB1447=1,IF(COUNTIFS($B$5:B1447,B1447,$D$5:D1447,D1447,$AB$5:AB1447,1)=1,1,0),0)</f>
        <v>0</v>
      </c>
    </row>
    <row r="1448" customFormat="false" ht="15" hidden="false" customHeight="false" outlineLevel="0" collapsed="false">
      <c r="A1448" s="48" t="str">
        <f aca="false">STACK!A1448</f>
        <v>QHH-0067</v>
      </c>
      <c r="B1448" s="48" t="str">
        <f aca="false">STACK!B1448</f>
        <v>QHH</v>
      </c>
      <c r="C1448" s="48" t="str">
        <f aca="false">STACK!E1448</f>
        <v>Green Space Project</v>
      </c>
      <c r="D1448" s="1" t="str">
        <f aca="false">IFERROR(INDEX(MAP!$J$7:$J$101,MATCH(TRIM(C1448),MAP!$I$7:$I$101,0)),"UNMAPPED")</f>
        <v>Community Garden and Green Space Project</v>
      </c>
      <c r="E1448" s="1" t="str">
        <f aca="false">IFERROR(INDEX(MAP!$K$7:$K$101,MATCH(TRIM(C1448),MAP!$I$7:$I$101,0)),"")</f>
        <v>Food and housing security</v>
      </c>
      <c r="F1448" s="1" t="str">
        <f aca="false">IFERROR(INDEX(MAP!$L$7:$L$101,MATCH(TRIM(C1448),MAP!$I$7:$I$101,0)),"")</f>
        <v>Event</v>
      </c>
      <c r="G1448" s="1" t="n">
        <f aca="false">IFERROR(MATCH(A1448,CONFIRM!$A$5:$A$53,0),0)</f>
        <v>0</v>
      </c>
      <c r="H1448" s="48" t="str">
        <f aca="false">STACK!F1448</f>
        <v>Environmental (CB)</v>
      </c>
      <c r="I1448" s="1" t="str">
        <f aca="false">IF(G1448&gt;0,IF(INDEX(CONFIRM!$I$5:$I$53,G1448)&lt;&gt;"",INDEX(CONFIRM!$I$5:$I$53,G1448),H1448),H1448)</f>
        <v>Environmental (CB)</v>
      </c>
      <c r="J1448" s="1" t="str">
        <f aca="false">IFERROR(INDEX(MAP!$F$7:$F$74,MATCH(TRIM(I1448),MAP!$E$7:$E$74,0)),"UNMAPPED")</f>
        <v>Community building: environmental improvements</v>
      </c>
      <c r="K1448" s="1" t="str">
        <f aca="false">IFERROR(INDEX(MAP!$G$7:$G$74,MATCH(TRIM(I1448),MAP!$E$7:$E$74,0)),"UNMAPPED")</f>
        <v>II-4</v>
      </c>
      <c r="L1448" s="49" t="str">
        <f aca="false">STACK!G1448</f>
        <v>17-Oct-2025</v>
      </c>
      <c r="M1448" s="59" t="n">
        <f aca="false">IF(G1448&gt;0,IF(INDEX(CONFIRM!$G$5:$G$53,G1448)&lt;&gt;"",INDEX(CONFIRM!$G$5:$G$53,G1448),IF(ISNUMBER(L1448),L1448,IFERROR(DATEVALUE(L1448),""))),IF(ISNUMBER(L1448),L1448,IFERROR(DATEVALUE(L1448),"")))</f>
        <v>45947</v>
      </c>
      <c r="N1448" s="1" t="str">
        <f aca="false">IF(M1448="","Check",IF(AND(M1448&gt;=INPUTS!$C$6,M1448&lt;=INPUTS!$C$7),"Yes","No"))</f>
        <v>Yes</v>
      </c>
      <c r="O1448" s="48" t="str">
        <f aca="false">STACK!H1448</f>
        <v>Event Coordinator</v>
      </c>
      <c r="P1448" s="1" t="str">
        <f aca="false">IF(G1448&gt;0,IF(INDEX(CONFIRM!$H$5:$H$53,G1448)&lt;&gt;"",INDEX(CONFIRM!$H$5:$H$53,G1448),IFERROR(INDEX(MAP!$B$7:$B$156,MATCH(TRIM(O1448),MAP!$A$7:$A$156,0)),"UNMAPPED")),IFERROR(INDEX(MAP!$B$7:$B$156,MATCH(TRIM(O1448),MAP!$A$7:$A$156,0)),"UNMAPPED"))</f>
        <v>Program Coordinator</v>
      </c>
      <c r="Q1448" s="48" t="n">
        <f aca="false">STACK!I1448</f>
        <v>7.75</v>
      </c>
      <c r="R1448" s="60" t="n">
        <f aca="false">IF(G1448&gt;0,IF(INDEX(CONFIRM!$F$5:$F$53,G1448)&lt;&gt;"",INDEX(CONFIRM!$F$5:$F$53,G1448),IF(ISNUMBER(Q1448),Q1448,IF(Q1448="","",IFERROR(VALUE(TRIM(SUBSTITUTE(SUBSTITUTE(LOWER(Q1448),"hrs",""),"hr",""))),"")))),IF(ISNUMBER(Q1448),Q1448,IF(Q1448="","",IFERROR(VALUE(TRIM(SUBSTITUTE(SUBSTITUTE(LOWER(Q1448),"hrs",""),"hr",""))),""))))</f>
        <v>7.75</v>
      </c>
      <c r="S1448" s="57" t="n">
        <f aca="false">IFERROR(INDEX(RATES!$E$6:$E$28,MATCH(P1448,RATES!$A$6:$A$28,0)),0)</f>
        <v>35.3375</v>
      </c>
      <c r="T1448" s="61" t="n">
        <f aca="false">IF(ISNUMBER(R1448),R1448,0)*S1448</f>
        <v>273.865625</v>
      </c>
      <c r="U1448" s="61" t="n">
        <f aca="false">T1448*INDEX(INPUTS!$H$10:$H$14,MATCH(B1448,INPUTS!$A$10:$A$14,0))</f>
        <v>41.353709375</v>
      </c>
      <c r="V1448" s="61" t="n">
        <f aca="false">N(STACK!K1448)</f>
        <v>3105</v>
      </c>
      <c r="W1448" s="61" t="n">
        <f aca="false">T1448+U1448+V1448</f>
        <v>3420.219334375</v>
      </c>
      <c r="X1448" s="61" t="n">
        <f aca="false">N(STACK!L1448)</f>
        <v>0</v>
      </c>
      <c r="Y1448" s="61" t="n">
        <f aca="false">W1448-X1448</f>
        <v>3420.219334375</v>
      </c>
      <c r="Z1448" s="1" t="n">
        <f aca="false">N(STACK!J1448)</f>
        <v>51</v>
      </c>
      <c r="AA1448" s="1" t="str">
        <f aca="false">TRIM(IF(D1448="UNMAPPED","Program not mapped. ","")&amp;IF(OR(K1448="UNMAPPED",K1448="UNASSIGNED"),"Category needs review. ","")&amp;IF(P1448="UNMAPPED","Title not mapped. ","")&amp;IF(AND(P1448&lt;&gt;"No staff time",R1448=""),"Missing hours. ","")&amp;IF(M1448="","Date not readable. ","")&amp;IF(N1448="No","Outside fiscal year. ","")&amp;IF(AND(F1448="Event",ISNUMBER(R1448)),IF(R1448&gt;12,"Event hours look high. ",""),"")&amp;IF(G1448&gt;0,"See CONFIRM sheet.",""))</f>
        <v/>
      </c>
      <c r="AB1448" s="1" t="n">
        <f aca="false">IF(N1448="No",0,IF(REVIEW!O1448=0,0,IF(G1448&gt;0,IF(INDEX(CONFIRM!$J$5:$J$53,G1448)&lt;&gt;"",INDEX(CONFIRM!$J$5:$J$53,G1448),1),1)))</f>
        <v>1</v>
      </c>
      <c r="AC1448" s="1" t="n">
        <f aca="false">IF(AB1448=1,IF(COUNTIFS($B$5:B1448,B1448,$D$5:D1448,D1448,$AB$5:AB1448,1)=1,1,0),0)</f>
        <v>0</v>
      </c>
    </row>
    <row r="1449" customFormat="false" ht="15" hidden="false" customHeight="false" outlineLevel="0" collapsed="false">
      <c r="A1449" s="48" t="str">
        <f aca="false">STACK!A1449</f>
        <v>QHH-0068</v>
      </c>
      <c r="B1449" s="48" t="str">
        <f aca="false">STACK!B1449</f>
        <v>QHH</v>
      </c>
      <c r="C1449" s="48" t="str">
        <f aca="false">STACK!E1449</f>
        <v>Blood Pressure Clinic</v>
      </c>
      <c r="D1449" s="1" t="str">
        <f aca="false">IFERROR(INDEX(MAP!$J$7:$J$101,MATCH(TRIM(C1449),MAP!$I$7:$I$101,0)),"UNMAPPED")</f>
        <v>Community Blood Pressure Checks</v>
      </c>
      <c r="E1449" s="1" t="str">
        <f aca="false">IFERROR(INDEX(MAP!$K$7:$K$101,MATCH(TRIM(C1449),MAP!$I$7:$I$101,0)),"")</f>
        <v>Chronic disease prevention</v>
      </c>
      <c r="F1449" s="1" t="str">
        <f aca="false">IFERROR(INDEX(MAP!$L$7:$L$101,MATCH(TRIM(C1449),MAP!$I$7:$I$101,0)),"")</f>
        <v>Event</v>
      </c>
      <c r="G1449" s="1" t="n">
        <f aca="false">IFERROR(MATCH(A1449,CONFIRM!$A$5:$A$53,0),0)</f>
        <v>0</v>
      </c>
      <c r="H1449" s="48" t="str">
        <f aca="false">STACK!F1449</f>
        <v>CHIS - Clinical</v>
      </c>
      <c r="I1449" s="1" t="str">
        <f aca="false">IF(G1449&gt;0,IF(INDEX(CONFIRM!$I$5:$I$53,G1449)&lt;&gt;"",INDEX(CONFIRM!$I$5:$I$53,G1449),H1449),H1449)</f>
        <v>CHIS - Clinical</v>
      </c>
      <c r="J1449" s="1" t="str">
        <f aca="false">IFERROR(INDEX(MAP!$F$7:$F$74,MATCH(TRIM(I1449),MAP!$E$7:$E$74,0)),"UNMAPPED")</f>
        <v>Community-based clinical services</v>
      </c>
      <c r="K1449" s="1" t="str">
        <f aca="false">IFERROR(INDEX(MAP!$G$7:$G$74,MATCH(TRIM(I1449),MAP!$E$7:$E$74,0)),"UNMAPPED")</f>
        <v>7e</v>
      </c>
      <c r="L1449" s="49" t="str">
        <f aca="false">STACK!G1449</f>
        <v>31-Oct-2025</v>
      </c>
      <c r="M1449" s="59" t="n">
        <f aca="false">IF(G1449&gt;0,IF(INDEX(CONFIRM!$G$5:$G$53,G1449)&lt;&gt;"",INDEX(CONFIRM!$G$5:$G$53,G1449),IF(ISNUMBER(L1449),L1449,IFERROR(DATEVALUE(L1449),""))),IF(ISNUMBER(L1449),L1449,IFERROR(DATEVALUE(L1449),"")))</f>
        <v>45961</v>
      </c>
      <c r="N1449" s="1" t="str">
        <f aca="false">IF(M1449="","Check",IF(AND(M1449&gt;=INPUTS!$C$6,M1449&lt;=INPUTS!$C$7),"Yes","No"))</f>
        <v>Yes</v>
      </c>
      <c r="O1449" s="48" t="str">
        <f aca="false">STACK!H1449</f>
        <v>Clinical RN</v>
      </c>
      <c r="P1449" s="1" t="str">
        <f aca="false">IF(G1449&gt;0,IF(INDEX(CONFIRM!$H$5:$H$53,G1449)&lt;&gt;"",INDEX(CONFIRM!$H$5:$H$53,G1449),IFERROR(INDEX(MAP!$B$7:$B$156,MATCH(TRIM(O1449),MAP!$A$7:$A$156,0)),"UNMAPPED")),IFERROR(INDEX(MAP!$B$7:$B$156,MATCH(TRIM(O1449),MAP!$A$7:$A$156,0)),"UNMAPPED"))</f>
        <v>Registered Nurse</v>
      </c>
      <c r="Q1449" s="48" t="n">
        <f aca="false">STACK!I1449</f>
        <v>3.5</v>
      </c>
      <c r="R1449" s="60" t="n">
        <f aca="false">IF(G1449&gt;0,IF(INDEX(CONFIRM!$F$5:$F$53,G1449)&lt;&gt;"",INDEX(CONFIRM!$F$5:$F$53,G1449),IF(ISNUMBER(Q1449),Q1449,IF(Q1449="","",IFERROR(VALUE(TRIM(SUBSTITUTE(SUBSTITUTE(LOWER(Q1449),"hrs",""),"hr",""))),"")))),IF(ISNUMBER(Q1449),Q1449,IF(Q1449="","",IFERROR(VALUE(TRIM(SUBSTITUTE(SUBSTITUTE(LOWER(Q1449),"hrs",""),"hr",""))),""))))</f>
        <v>3.5</v>
      </c>
      <c r="S1449" s="57" t="n">
        <f aca="false">IFERROR(INDEX(RATES!$E$6:$E$28,MATCH(P1449,RATES!$A$6:$A$28,0)),0)</f>
        <v>55.8975</v>
      </c>
      <c r="T1449" s="61" t="n">
        <f aca="false">IF(ISNUMBER(R1449),R1449,0)*S1449</f>
        <v>195.64125</v>
      </c>
      <c r="U1449" s="61" t="n">
        <f aca="false">T1449*INDEX(INPUTS!$H$10:$H$14,MATCH(B1449,INPUTS!$A$10:$A$14,0))</f>
        <v>29.54182875</v>
      </c>
      <c r="V1449" s="61" t="n">
        <f aca="false">N(STACK!K1449)</f>
        <v>115</v>
      </c>
      <c r="W1449" s="61" t="n">
        <f aca="false">T1449+U1449+V1449</f>
        <v>340.18307875</v>
      </c>
      <c r="X1449" s="61" t="n">
        <f aca="false">N(STACK!L1449)</f>
        <v>0</v>
      </c>
      <c r="Y1449" s="61" t="n">
        <f aca="false">W1449-X1449</f>
        <v>340.18307875</v>
      </c>
      <c r="Z1449" s="1" t="n">
        <f aca="false">N(STACK!J1449)</f>
        <v>66</v>
      </c>
      <c r="AA1449" s="1" t="str">
        <f aca="false">TRIM(IF(D1449="UNMAPPED","Program not mapped. ","")&amp;IF(OR(K1449="UNMAPPED",K1449="UNASSIGNED"),"Category needs review. ","")&amp;IF(P1449="UNMAPPED","Title not mapped. ","")&amp;IF(AND(P1449&lt;&gt;"No staff time",R1449=""),"Missing hours. ","")&amp;IF(M1449="","Date not readable. ","")&amp;IF(N1449="No","Outside fiscal year. ","")&amp;IF(AND(F1449="Event",ISNUMBER(R1449)),IF(R1449&gt;12,"Event hours look high. ",""),"")&amp;IF(G1449&gt;0,"See CONFIRM sheet.",""))</f>
        <v/>
      </c>
      <c r="AB1449" s="1" t="n">
        <f aca="false">IF(N1449="No",0,IF(REVIEW!O1449=0,0,IF(G1449&gt;0,IF(INDEX(CONFIRM!$J$5:$J$53,G1449)&lt;&gt;"",INDEX(CONFIRM!$J$5:$J$53,G1449),1),1)))</f>
        <v>1</v>
      </c>
      <c r="AC1449" s="1" t="n">
        <f aca="false">IF(AB1449=1,IF(COUNTIFS($B$5:B1449,B1449,$D$5:D1449,D1449,$AB$5:AB1449,1)=1,1,0),0)</f>
        <v>0</v>
      </c>
    </row>
    <row r="1450" customFormat="false" ht="15" hidden="false" customHeight="false" outlineLevel="0" collapsed="false">
      <c r="A1450" s="48" t="str">
        <f aca="false">STACK!A1450</f>
        <v>QHH-0069</v>
      </c>
      <c r="B1450" s="48" t="str">
        <f aca="false">STACK!B1450</f>
        <v>QHH</v>
      </c>
      <c r="C1450" s="48" t="str">
        <f aca="false">STACK!E1450</f>
        <v>Car Seat Safety</v>
      </c>
      <c r="D1450" s="1" t="str">
        <f aca="false">IFERROR(INDEX(MAP!$J$7:$J$101,MATCH(TRIM(C1450),MAP!$I$7:$I$101,0)),"UNMAPPED")</f>
        <v>Car Seat Safety Checks</v>
      </c>
      <c r="E1450" s="1" t="str">
        <f aca="false">IFERROR(INDEX(MAP!$K$7:$K$101,MATCH(TRIM(C1450),MAP!$I$7:$I$101,0)),"")</f>
        <v>Maternal and child health</v>
      </c>
      <c r="F1450" s="1" t="str">
        <f aca="false">IFERROR(INDEX(MAP!$L$7:$L$101,MATCH(TRIM(C1450),MAP!$I$7:$I$101,0)),"")</f>
        <v>Event</v>
      </c>
      <c r="G1450" s="1" t="n">
        <f aca="false">IFERROR(MATCH(A1450,CONFIRM!$A$5:$A$53,0),0)</f>
        <v>0</v>
      </c>
      <c r="H1450" s="48" t="str">
        <f aca="false">STACK!F1450</f>
        <v>CHIS - Education</v>
      </c>
      <c r="I1450" s="1" t="str">
        <f aca="false">IF(G1450&gt;0,IF(INDEX(CONFIRM!$I$5:$I$53,G1450)&lt;&gt;"",INDEX(CONFIRM!$I$5:$I$53,G1450),H1450),H1450)</f>
        <v>CHIS - Education</v>
      </c>
      <c r="J1450" s="1" t="str">
        <f aca="false">IFERROR(INDEX(MAP!$F$7:$F$74,MATCH(TRIM(I1450),MAP!$E$7:$E$74,0)),"UNMAPPED")</f>
        <v>Community health education</v>
      </c>
      <c r="K1450" s="1" t="str">
        <f aca="false">IFERROR(INDEX(MAP!$G$7:$G$74,MATCH(TRIM(I1450),MAP!$E$7:$E$74,0)),"UNMAPPED")</f>
        <v>7e</v>
      </c>
      <c r="L1450" s="49" t="str">
        <f aca="false">STACK!G1450</f>
        <v>31-Oct-2025</v>
      </c>
      <c r="M1450" s="59" t="n">
        <f aca="false">IF(G1450&gt;0,IF(INDEX(CONFIRM!$G$5:$G$53,G1450)&lt;&gt;"",INDEX(CONFIRM!$G$5:$G$53,G1450),IF(ISNUMBER(L1450),L1450,IFERROR(DATEVALUE(L1450),""))),IF(ISNUMBER(L1450),L1450,IFERROR(DATEVALUE(L1450),"")))</f>
        <v>45961</v>
      </c>
      <c r="N1450" s="1" t="str">
        <f aca="false">IF(M1450="","Check",IF(AND(M1450&gt;=INPUTS!$C$6,M1450&lt;=INPUTS!$C$7),"Yes","No"))</f>
        <v>Yes</v>
      </c>
      <c r="O1450" s="48" t="str">
        <f aca="false">STACK!H1450</f>
        <v>EMT-P</v>
      </c>
      <c r="P1450" s="1" t="str">
        <f aca="false">IF(G1450&gt;0,IF(INDEX(CONFIRM!$H$5:$H$53,G1450)&lt;&gt;"",INDEX(CONFIRM!$H$5:$H$53,G1450),IFERROR(INDEX(MAP!$B$7:$B$156,MATCH(TRIM(O1450),MAP!$A$7:$A$156,0)),"UNMAPPED")),IFERROR(INDEX(MAP!$B$7:$B$156,MATCH(TRIM(O1450),MAP!$A$7:$A$156,0)),"UNMAPPED"))</f>
        <v>Paramedic</v>
      </c>
      <c r="Q1450" s="48" t="n">
        <f aca="false">STACK!I1450</f>
        <v>3.75</v>
      </c>
      <c r="R1450" s="60" t="n">
        <f aca="false">IF(G1450&gt;0,IF(INDEX(CONFIRM!$F$5:$F$53,G1450)&lt;&gt;"",INDEX(CONFIRM!$F$5:$F$53,G1450),IF(ISNUMBER(Q1450),Q1450,IF(Q1450="","",IFERROR(VALUE(TRIM(SUBSTITUTE(SUBSTITUTE(LOWER(Q1450),"hrs",""),"hr",""))),"")))),IF(ISNUMBER(Q1450),Q1450,IF(Q1450="","",IFERROR(VALUE(TRIM(SUBSTITUTE(SUBSTITUTE(LOWER(Q1450),"hrs",""),"hr",""))),""))))</f>
        <v>3.75</v>
      </c>
      <c r="S1450" s="57" t="n">
        <f aca="false">IFERROR(INDEX(RATES!$E$6:$E$28,MATCH(P1450,RATES!$A$6:$A$28,0)),0)</f>
        <v>34.695</v>
      </c>
      <c r="T1450" s="61" t="n">
        <f aca="false">IF(ISNUMBER(R1450),R1450,0)*S1450</f>
        <v>130.10625</v>
      </c>
      <c r="U1450" s="61" t="n">
        <f aca="false">T1450*INDEX(INPUTS!$H$10:$H$14,MATCH(B1450,INPUTS!$A$10:$A$14,0))</f>
        <v>19.64604375</v>
      </c>
      <c r="V1450" s="61" t="n">
        <f aca="false">N(STACK!K1450)</f>
        <v>885</v>
      </c>
      <c r="W1450" s="61" t="n">
        <f aca="false">T1450+U1450+V1450</f>
        <v>1034.75229375</v>
      </c>
      <c r="X1450" s="61" t="n">
        <f aca="false">N(STACK!L1450)</f>
        <v>15</v>
      </c>
      <c r="Y1450" s="61" t="n">
        <f aca="false">W1450-X1450</f>
        <v>1019.75229375</v>
      </c>
      <c r="Z1450" s="1" t="n">
        <f aca="false">N(STACK!J1450)</f>
        <v>24</v>
      </c>
      <c r="AA1450" s="1" t="str">
        <f aca="false">TRIM(IF(D1450="UNMAPPED","Program not mapped. ","")&amp;IF(OR(K1450="UNMAPPED",K1450="UNASSIGNED"),"Category needs review. ","")&amp;IF(P1450="UNMAPPED","Title not mapped. ","")&amp;IF(AND(P1450&lt;&gt;"No staff time",R1450=""),"Missing hours. ","")&amp;IF(M1450="","Date not readable. ","")&amp;IF(N1450="No","Outside fiscal year. ","")&amp;IF(AND(F1450="Event",ISNUMBER(R1450)),IF(R1450&gt;12,"Event hours look high. ",""),"")&amp;IF(G1450&gt;0,"See CONFIRM sheet.",""))</f>
        <v/>
      </c>
      <c r="AB1450" s="1" t="n">
        <f aca="false">IF(N1450="No",0,IF(REVIEW!O1450=0,0,IF(G1450&gt;0,IF(INDEX(CONFIRM!$J$5:$J$53,G1450)&lt;&gt;"",INDEX(CONFIRM!$J$5:$J$53,G1450),1),1)))</f>
        <v>1</v>
      </c>
      <c r="AC1450" s="1" t="n">
        <f aca="false">IF(AB1450=1,IF(COUNTIFS($B$5:B1450,B1450,$D$5:D1450,D1450,$AB$5:AB1450,1)=1,1,0),0)</f>
        <v>0</v>
      </c>
    </row>
    <row r="1451" customFormat="false" ht="15" hidden="false" customHeight="false" outlineLevel="0" collapsed="false">
      <c r="A1451" s="48" t="str">
        <f aca="false">STACK!A1451</f>
        <v>QHH-0070</v>
      </c>
      <c r="B1451" s="48" t="str">
        <f aca="false">STACK!B1451</f>
        <v>QHH</v>
      </c>
      <c r="C1451" s="48" t="str">
        <f aca="false">STACK!E1451</f>
        <v>Car Seat Safety</v>
      </c>
      <c r="D1451" s="1" t="str">
        <f aca="false">IFERROR(INDEX(MAP!$J$7:$J$101,MATCH(TRIM(C1451),MAP!$I$7:$I$101,0)),"UNMAPPED")</f>
        <v>Car Seat Safety Checks</v>
      </c>
      <c r="E1451" s="1" t="str">
        <f aca="false">IFERROR(INDEX(MAP!$K$7:$K$101,MATCH(TRIM(C1451),MAP!$I$7:$I$101,0)),"")</f>
        <v>Maternal and child health</v>
      </c>
      <c r="F1451" s="1" t="str">
        <f aca="false">IFERROR(INDEX(MAP!$L$7:$L$101,MATCH(TRIM(C1451),MAP!$I$7:$I$101,0)),"")</f>
        <v>Event</v>
      </c>
      <c r="G1451" s="1" t="n">
        <f aca="false">IFERROR(MATCH(A1451,CONFIRM!$A$5:$A$53,0),0)</f>
        <v>0</v>
      </c>
      <c r="H1451" s="48" t="str">
        <f aca="false">STACK!F1451</f>
        <v>CHIS - Education</v>
      </c>
      <c r="I1451" s="1" t="str">
        <f aca="false">IF(G1451&gt;0,IF(INDEX(CONFIRM!$I$5:$I$53,G1451)&lt;&gt;"",INDEX(CONFIRM!$I$5:$I$53,G1451),H1451),H1451)</f>
        <v>CHIS - Education</v>
      </c>
      <c r="J1451" s="1" t="str">
        <f aca="false">IFERROR(INDEX(MAP!$F$7:$F$74,MATCH(TRIM(I1451),MAP!$E$7:$E$74,0)),"UNMAPPED")</f>
        <v>Community health education</v>
      </c>
      <c r="K1451" s="1" t="str">
        <f aca="false">IFERROR(INDEX(MAP!$G$7:$G$74,MATCH(TRIM(I1451),MAP!$E$7:$E$74,0)),"UNMAPPED")</f>
        <v>7e</v>
      </c>
      <c r="L1451" s="49" t="str">
        <f aca="false">STACK!G1451</f>
        <v>31-Oct-2025</v>
      </c>
      <c r="M1451" s="59" t="n">
        <f aca="false">IF(G1451&gt;0,IF(INDEX(CONFIRM!$G$5:$G$53,G1451)&lt;&gt;"",INDEX(CONFIRM!$G$5:$G$53,G1451),IF(ISNUMBER(L1451),L1451,IFERROR(DATEVALUE(L1451),""))),IF(ISNUMBER(L1451),L1451,IFERROR(DATEVALUE(L1451),"")))</f>
        <v>45961</v>
      </c>
      <c r="N1451" s="1" t="str">
        <f aca="false">IF(M1451="","Check",IF(AND(M1451&gt;=INPUTS!$C$6,M1451&lt;=INPUTS!$C$7),"Yes","No"))</f>
        <v>Yes</v>
      </c>
      <c r="O1451" s="48" t="str">
        <f aca="false">STACK!H1451</f>
        <v>RN II</v>
      </c>
      <c r="P1451" s="1" t="str">
        <f aca="false">IF(G1451&gt;0,IF(INDEX(CONFIRM!$H$5:$H$53,G1451)&lt;&gt;"",INDEX(CONFIRM!$H$5:$H$53,G1451),IFERROR(INDEX(MAP!$B$7:$B$156,MATCH(TRIM(O1451),MAP!$A$7:$A$156,0)),"UNMAPPED")),IFERROR(INDEX(MAP!$B$7:$B$156,MATCH(TRIM(O1451),MAP!$A$7:$A$156,0)),"UNMAPPED"))</f>
        <v>Registered Nurse</v>
      </c>
      <c r="Q1451" s="48" t="n">
        <f aca="false">STACK!I1451</f>
        <v>3.25</v>
      </c>
      <c r="R1451" s="60" t="n">
        <f aca="false">IF(G1451&gt;0,IF(INDEX(CONFIRM!$F$5:$F$53,G1451)&lt;&gt;"",INDEX(CONFIRM!$F$5:$F$53,G1451),IF(ISNUMBER(Q1451),Q1451,IF(Q1451="","",IFERROR(VALUE(TRIM(SUBSTITUTE(SUBSTITUTE(LOWER(Q1451),"hrs",""),"hr",""))),"")))),IF(ISNUMBER(Q1451),Q1451,IF(Q1451="","",IFERROR(VALUE(TRIM(SUBSTITUTE(SUBSTITUTE(LOWER(Q1451),"hrs",""),"hr",""))),""))))</f>
        <v>3.25</v>
      </c>
      <c r="S1451" s="57" t="n">
        <f aca="false">IFERROR(INDEX(RATES!$E$6:$E$28,MATCH(P1451,RATES!$A$6:$A$28,0)),0)</f>
        <v>55.8975</v>
      </c>
      <c r="T1451" s="61" t="n">
        <f aca="false">IF(ISNUMBER(R1451),R1451,0)*S1451</f>
        <v>181.666875</v>
      </c>
      <c r="U1451" s="61" t="n">
        <f aca="false">T1451*INDEX(INPUTS!$H$10:$H$14,MATCH(B1451,INPUTS!$A$10:$A$14,0))</f>
        <v>27.431698125</v>
      </c>
      <c r="V1451" s="61" t="n">
        <f aca="false">N(STACK!K1451)</f>
        <v>0</v>
      </c>
      <c r="W1451" s="61" t="n">
        <f aca="false">T1451+U1451+V1451</f>
        <v>209.098573125</v>
      </c>
      <c r="X1451" s="61" t="n">
        <f aca="false">N(STACK!L1451)</f>
        <v>0</v>
      </c>
      <c r="Y1451" s="61" t="n">
        <f aca="false">W1451-X1451</f>
        <v>209.098573125</v>
      </c>
      <c r="Z1451" s="1" t="n">
        <f aca="false">N(STACK!J1451)</f>
        <v>0</v>
      </c>
      <c r="AA1451" s="1" t="str">
        <f aca="false">TRIM(IF(D1451="UNMAPPED","Program not mapped. ","")&amp;IF(OR(K1451="UNMAPPED",K1451="UNASSIGNED"),"Category needs review. ","")&amp;IF(P1451="UNMAPPED","Title not mapped. ","")&amp;IF(AND(P1451&lt;&gt;"No staff time",R1451=""),"Missing hours. ","")&amp;IF(M1451="","Date not readable. ","")&amp;IF(N1451="No","Outside fiscal year. ","")&amp;IF(AND(F1451="Event",ISNUMBER(R1451)),IF(R1451&gt;12,"Event hours look high. ",""),"")&amp;IF(G1451&gt;0,"See CONFIRM sheet.",""))</f>
        <v/>
      </c>
      <c r="AB1451" s="1" t="n">
        <f aca="false">IF(N1451="No",0,IF(REVIEW!O1451=0,0,IF(G1451&gt;0,IF(INDEX(CONFIRM!$J$5:$J$53,G1451)&lt;&gt;"",INDEX(CONFIRM!$J$5:$J$53,G1451),1),1)))</f>
        <v>1</v>
      </c>
      <c r="AC1451" s="1" t="n">
        <f aca="false">IF(AB1451=1,IF(COUNTIFS($B$5:B1451,B1451,$D$5:D1451,D1451,$AB$5:AB1451,1)=1,1,0),0)</f>
        <v>0</v>
      </c>
    </row>
    <row r="1452" customFormat="false" ht="15" hidden="false" customHeight="false" outlineLevel="0" collapsed="false">
      <c r="A1452" s="48" t="str">
        <f aca="false">STACK!A1452</f>
        <v>QHH-0071</v>
      </c>
      <c r="B1452" s="48" t="str">
        <f aca="false">STACK!B1452</f>
        <v>QHH</v>
      </c>
      <c r="C1452" s="48" t="str">
        <f aca="false">STACK!E1452</f>
        <v>Grief Support Group</v>
      </c>
      <c r="D1452" s="1" t="str">
        <f aca="false">IFERROR(INDEX(MAP!$J$7:$J$101,MATCH(TRIM(C1452),MAP!$I$7:$I$101,0)),"UNMAPPED")</f>
        <v>Grief Support Group</v>
      </c>
      <c r="E1452" s="1" t="str">
        <f aca="false">IFERROR(INDEX(MAP!$K$7:$K$101,MATCH(TRIM(C1452),MAP!$I$7:$I$101,0)),"")</f>
        <v>Behavioral health</v>
      </c>
      <c r="F1452" s="1" t="str">
        <f aca="false">IFERROR(INDEX(MAP!$L$7:$L$101,MATCH(TRIM(C1452),MAP!$I$7:$I$101,0)),"")</f>
        <v>Event</v>
      </c>
      <c r="G1452" s="1" t="n">
        <f aca="false">IFERROR(MATCH(A1452,CONFIRM!$A$5:$A$53,0),0)</f>
        <v>0</v>
      </c>
      <c r="H1452" s="48" t="str">
        <f aca="false">STACK!F1452</f>
        <v>CHIS - Support</v>
      </c>
      <c r="I1452" s="1" t="str">
        <f aca="false">IF(G1452&gt;0,IF(INDEX(CONFIRM!$I$5:$I$53,G1452)&lt;&gt;"",INDEX(CONFIRM!$I$5:$I$53,G1452),H1452),H1452)</f>
        <v>CHIS - Support</v>
      </c>
      <c r="J1452" s="1" t="str">
        <f aca="false">IFERROR(INDEX(MAP!$F$7:$F$74,MATCH(TRIM(I1452),MAP!$E$7:$E$74,0)),"UNMAPPED")</f>
        <v>Health care support services</v>
      </c>
      <c r="K1452" s="1" t="str">
        <f aca="false">IFERROR(INDEX(MAP!$G$7:$G$74,MATCH(TRIM(I1452),MAP!$E$7:$E$74,0)),"UNMAPPED")</f>
        <v>7e</v>
      </c>
      <c r="L1452" s="49" t="str">
        <f aca="false">STACK!G1452</f>
        <v>31-Oct-2025</v>
      </c>
      <c r="M1452" s="59" t="n">
        <f aca="false">IF(G1452&gt;0,IF(INDEX(CONFIRM!$G$5:$G$53,G1452)&lt;&gt;"",INDEX(CONFIRM!$G$5:$G$53,G1452),IF(ISNUMBER(L1452),L1452,IFERROR(DATEVALUE(L1452),""))),IF(ISNUMBER(L1452),L1452,IFERROR(DATEVALUE(L1452),"")))</f>
        <v>45961</v>
      </c>
      <c r="N1452" s="1" t="str">
        <f aca="false">IF(M1452="","Check",IF(AND(M1452&gt;=INPUTS!$C$6,M1452&lt;=INPUTS!$C$7),"Yes","No"))</f>
        <v>Yes</v>
      </c>
      <c r="O1452" s="48" t="str">
        <f aca="false">STACK!H1452</f>
        <v>Pastoral Care</v>
      </c>
      <c r="P1452" s="1" t="str">
        <f aca="false">IF(G1452&gt;0,IF(INDEX(CONFIRM!$H$5:$H$53,G1452)&lt;&gt;"",INDEX(CONFIRM!$H$5:$H$53,G1452),IFERROR(INDEX(MAP!$B$7:$B$156,MATCH(TRIM(O1452),MAP!$A$7:$A$156,0)),"UNMAPPED")),IFERROR(INDEX(MAP!$B$7:$B$156,MATCH(TRIM(O1452),MAP!$A$7:$A$156,0)),"UNMAPPED"))</f>
        <v>Chaplain</v>
      </c>
      <c r="Q1452" s="48" t="n">
        <f aca="false">STACK!I1452</f>
        <v>2.25</v>
      </c>
      <c r="R1452" s="60" t="n">
        <f aca="false">IF(G1452&gt;0,IF(INDEX(CONFIRM!$F$5:$F$53,G1452)&lt;&gt;"",INDEX(CONFIRM!$F$5:$F$53,G1452),IF(ISNUMBER(Q1452),Q1452,IF(Q1452="","",IFERROR(VALUE(TRIM(SUBSTITUTE(SUBSTITUTE(LOWER(Q1452),"hrs",""),"hr",""))),"")))),IF(ISNUMBER(Q1452),Q1452,IF(Q1452="","",IFERROR(VALUE(TRIM(SUBSTITUTE(SUBSTITUTE(LOWER(Q1452),"hrs",""),"hr",""))),""))))</f>
        <v>2.25</v>
      </c>
      <c r="S1452" s="57" t="n">
        <f aca="false">IFERROR(INDEX(RATES!$E$6:$E$28,MATCH(P1452,RATES!$A$6:$A$28,0)),0)</f>
        <v>39.835</v>
      </c>
      <c r="T1452" s="61" t="n">
        <f aca="false">IF(ISNUMBER(R1452),R1452,0)*S1452</f>
        <v>89.62875</v>
      </c>
      <c r="U1452" s="61" t="n">
        <f aca="false">T1452*INDEX(INPUTS!$H$10:$H$14,MATCH(B1452,INPUTS!$A$10:$A$14,0))</f>
        <v>13.53394125</v>
      </c>
      <c r="V1452" s="61" t="n">
        <f aca="false">N(STACK!K1452)</f>
        <v>45</v>
      </c>
      <c r="W1452" s="61" t="n">
        <f aca="false">T1452+U1452+V1452</f>
        <v>148.16269125</v>
      </c>
      <c r="X1452" s="61" t="n">
        <f aca="false">N(STACK!L1452)</f>
        <v>0</v>
      </c>
      <c r="Y1452" s="61" t="n">
        <f aca="false">W1452-X1452</f>
        <v>148.16269125</v>
      </c>
      <c r="Z1452" s="1" t="n">
        <f aca="false">N(STACK!J1452)</f>
        <v>11</v>
      </c>
      <c r="AA1452" s="1" t="str">
        <f aca="false">TRIM(IF(D1452="UNMAPPED","Program not mapped. ","")&amp;IF(OR(K1452="UNMAPPED",K1452="UNASSIGNED"),"Category needs review. ","")&amp;IF(P1452="UNMAPPED","Title not mapped. ","")&amp;IF(AND(P1452&lt;&gt;"No staff time",R1452=""),"Missing hours. ","")&amp;IF(M1452="","Date not readable. ","")&amp;IF(N1452="No","Outside fiscal year. ","")&amp;IF(AND(F1452="Event",ISNUMBER(R1452)),IF(R1452&gt;12,"Event hours look high. ",""),"")&amp;IF(G1452&gt;0,"See CONFIRM sheet.",""))</f>
        <v/>
      </c>
      <c r="AB1452" s="1" t="n">
        <f aca="false">IF(N1452="No",0,IF(REVIEW!O1452=0,0,IF(G1452&gt;0,IF(INDEX(CONFIRM!$J$5:$J$53,G1452)&lt;&gt;"",INDEX(CONFIRM!$J$5:$J$53,G1452),1),1)))</f>
        <v>1</v>
      </c>
      <c r="AC1452" s="1" t="n">
        <f aca="false">IF(AB1452=1,IF(COUNTIFS($B$5:B1452,B1452,$D$5:D1452,D1452,$AB$5:AB1452,1)=1,1,0),0)</f>
        <v>1</v>
      </c>
    </row>
    <row r="1453" customFormat="false" ht="15" hidden="false" customHeight="false" outlineLevel="0" collapsed="false">
      <c r="A1453" s="48" t="str">
        <f aca="false">STACK!A1453</f>
        <v>QHH-0072</v>
      </c>
      <c r="B1453" s="48" t="str">
        <f aca="false">STACK!B1453</f>
        <v>QHH</v>
      </c>
      <c r="C1453" s="48" t="str">
        <f aca="false">STACK!E1453</f>
        <v>Grief Support Group</v>
      </c>
      <c r="D1453" s="1" t="str">
        <f aca="false">IFERROR(INDEX(MAP!$J$7:$J$101,MATCH(TRIM(C1453),MAP!$I$7:$I$101,0)),"UNMAPPED")</f>
        <v>Grief Support Group</v>
      </c>
      <c r="E1453" s="1" t="str">
        <f aca="false">IFERROR(INDEX(MAP!$K$7:$K$101,MATCH(TRIM(C1453),MAP!$I$7:$I$101,0)),"")</f>
        <v>Behavioral health</v>
      </c>
      <c r="F1453" s="1" t="str">
        <f aca="false">IFERROR(INDEX(MAP!$L$7:$L$101,MATCH(TRIM(C1453),MAP!$I$7:$I$101,0)),"")</f>
        <v>Event</v>
      </c>
      <c r="G1453" s="1" t="n">
        <f aca="false">IFERROR(MATCH(A1453,CONFIRM!$A$5:$A$53,0),0)</f>
        <v>0</v>
      </c>
      <c r="H1453" s="48" t="str">
        <f aca="false">STACK!F1453</f>
        <v>CHIS - Support</v>
      </c>
      <c r="I1453" s="1" t="str">
        <f aca="false">IF(G1453&gt;0,IF(INDEX(CONFIRM!$I$5:$I$53,G1453)&lt;&gt;"",INDEX(CONFIRM!$I$5:$I$53,G1453),H1453),H1453)</f>
        <v>CHIS - Support</v>
      </c>
      <c r="J1453" s="1" t="str">
        <f aca="false">IFERROR(INDEX(MAP!$F$7:$F$74,MATCH(TRIM(I1453),MAP!$E$7:$E$74,0)),"UNMAPPED")</f>
        <v>Health care support services</v>
      </c>
      <c r="K1453" s="1" t="str">
        <f aca="false">IFERROR(INDEX(MAP!$G$7:$G$74,MATCH(TRIM(I1453),MAP!$E$7:$E$74,0)),"UNMAPPED")</f>
        <v>7e</v>
      </c>
      <c r="L1453" s="49" t="str">
        <f aca="false">STACK!G1453</f>
        <v>31-Oct-2025</v>
      </c>
      <c r="M1453" s="59" t="n">
        <f aca="false">IF(G1453&gt;0,IF(INDEX(CONFIRM!$G$5:$G$53,G1453)&lt;&gt;"",INDEX(CONFIRM!$G$5:$G$53,G1453),IF(ISNUMBER(L1453),L1453,IFERROR(DATEVALUE(L1453),""))),IF(ISNUMBER(L1453),L1453,IFERROR(DATEVALUE(L1453),"")))</f>
        <v>45961</v>
      </c>
      <c r="N1453" s="1" t="str">
        <f aca="false">IF(M1453="","Check",IF(AND(M1453&gt;=INPUTS!$C$6,M1453&lt;=INPUTS!$C$7),"Yes","No"))</f>
        <v>Yes</v>
      </c>
      <c r="O1453" s="48" t="str">
        <f aca="false">STACK!H1453</f>
        <v>Social Worker</v>
      </c>
      <c r="P1453" s="1" t="str">
        <f aca="false">IF(G1453&gt;0,IF(INDEX(CONFIRM!$H$5:$H$53,G1453)&lt;&gt;"",INDEX(CONFIRM!$H$5:$H$53,G1453),IFERROR(INDEX(MAP!$B$7:$B$156,MATCH(TRIM(O1453),MAP!$A$7:$A$156,0)),"UNMAPPED")),IFERROR(INDEX(MAP!$B$7:$B$156,MATCH(TRIM(O1453),MAP!$A$7:$A$156,0)),"UNMAPPED"))</f>
        <v>Social Worker</v>
      </c>
      <c r="Q1453" s="48" t="n">
        <f aca="false">STACK!I1453</f>
        <v>1.75</v>
      </c>
      <c r="R1453" s="60" t="n">
        <f aca="false">IF(G1453&gt;0,IF(INDEX(CONFIRM!$F$5:$F$53,G1453)&lt;&gt;"",INDEX(CONFIRM!$F$5:$F$53,G1453),IF(ISNUMBER(Q1453),Q1453,IF(Q1453="","",IFERROR(VALUE(TRIM(SUBSTITUTE(SUBSTITUTE(LOWER(Q1453),"hrs",""),"hr",""))),"")))),IF(ISNUMBER(Q1453),Q1453,IF(Q1453="","",IFERROR(VALUE(TRIM(SUBSTITUTE(SUBSTITUTE(LOWER(Q1453),"hrs",""),"hr",""))),""))))</f>
        <v>1.75</v>
      </c>
      <c r="S1453" s="57" t="n">
        <f aca="false">IFERROR(INDEX(RATES!$E$6:$E$28,MATCH(P1453,RATES!$A$6:$A$28,0)),0)</f>
        <v>45.6175</v>
      </c>
      <c r="T1453" s="61" t="n">
        <f aca="false">IF(ISNUMBER(R1453),R1453,0)*S1453</f>
        <v>79.830625</v>
      </c>
      <c r="U1453" s="61" t="n">
        <f aca="false">T1453*INDEX(INPUTS!$H$10:$H$14,MATCH(B1453,INPUTS!$A$10:$A$14,0))</f>
        <v>12.054424375</v>
      </c>
      <c r="V1453" s="61" t="n">
        <f aca="false">N(STACK!K1453)</f>
        <v>0</v>
      </c>
      <c r="W1453" s="61" t="n">
        <f aca="false">T1453+U1453+V1453</f>
        <v>91.885049375</v>
      </c>
      <c r="X1453" s="61" t="n">
        <f aca="false">N(STACK!L1453)</f>
        <v>0</v>
      </c>
      <c r="Y1453" s="61" t="n">
        <f aca="false">W1453-X1453</f>
        <v>91.885049375</v>
      </c>
      <c r="Z1453" s="1" t="n">
        <f aca="false">N(STACK!J1453)</f>
        <v>0</v>
      </c>
      <c r="AA1453" s="1" t="str">
        <f aca="false">TRIM(IF(D1453="UNMAPPED","Program not mapped. ","")&amp;IF(OR(K1453="UNMAPPED",K1453="UNASSIGNED"),"Category needs review. ","")&amp;IF(P1453="UNMAPPED","Title not mapped. ","")&amp;IF(AND(P1453&lt;&gt;"No staff time",R1453=""),"Missing hours. ","")&amp;IF(M1453="","Date not readable. ","")&amp;IF(N1453="No","Outside fiscal year. ","")&amp;IF(AND(F1453="Event",ISNUMBER(R1453)),IF(R1453&gt;12,"Event hours look high. ",""),"")&amp;IF(G1453&gt;0,"See CONFIRM sheet.",""))</f>
        <v/>
      </c>
      <c r="AB1453" s="1" t="n">
        <f aca="false">IF(N1453="No",0,IF(REVIEW!O1453=0,0,IF(G1453&gt;0,IF(INDEX(CONFIRM!$J$5:$J$53,G1453)&lt;&gt;"",INDEX(CONFIRM!$J$5:$J$53,G1453),1),1)))</f>
        <v>1</v>
      </c>
      <c r="AC1453" s="1" t="n">
        <f aca="false">IF(AB1453=1,IF(COUNTIFS($B$5:B1453,B1453,$D$5:D1453,D1453,$AB$5:AB1453,1)=1,1,0),0)</f>
        <v>0</v>
      </c>
    </row>
    <row r="1454" customFormat="false" ht="15" hidden="false" customHeight="false" outlineLevel="0" collapsed="false">
      <c r="A1454" s="48" t="str">
        <f aca="false">STACK!A1454</f>
        <v>QHH-0073</v>
      </c>
      <c r="B1454" s="48" t="str">
        <f aca="false">STACK!B1454</f>
        <v>QHH</v>
      </c>
      <c r="C1454" s="48" t="str">
        <f aca="false">STACK!E1454</f>
        <v>Medication Assistance</v>
      </c>
      <c r="D1454" s="1" t="str">
        <f aca="false">IFERROR(INDEX(MAP!$J$7:$J$101,MATCH(TRIM(C1454),MAP!$I$7:$I$101,0)),"UNMAPPED")</f>
        <v>Medication Assistance Program</v>
      </c>
      <c r="E1454" s="1" t="str">
        <f aca="false">IFERROR(INDEX(MAP!$K$7:$K$101,MATCH(TRIM(C1454),MAP!$I$7:$I$101,0)),"")</f>
        <v>Access to care</v>
      </c>
      <c r="F1454" s="1" t="str">
        <f aca="false">IFERROR(INDEX(MAP!$L$7:$L$101,MATCH(TRIM(C1454),MAP!$I$7:$I$101,0)),"")</f>
        <v>Monthly</v>
      </c>
      <c r="G1454" s="1" t="n">
        <f aca="false">IFERROR(MATCH(A1454,CONFIRM!$A$5:$A$53,0),0)</f>
        <v>0</v>
      </c>
      <c r="H1454" s="48" t="str">
        <f aca="false">STACK!F1454</f>
        <v>CHIS - Support</v>
      </c>
      <c r="I1454" s="1" t="str">
        <f aca="false">IF(G1454&gt;0,IF(INDEX(CONFIRM!$I$5:$I$53,G1454)&lt;&gt;"",INDEX(CONFIRM!$I$5:$I$53,G1454),H1454),H1454)</f>
        <v>CHIS - Support</v>
      </c>
      <c r="J1454" s="1" t="str">
        <f aca="false">IFERROR(INDEX(MAP!$F$7:$F$74,MATCH(TRIM(I1454),MAP!$E$7:$E$74,0)),"UNMAPPED")</f>
        <v>Health care support services</v>
      </c>
      <c r="K1454" s="1" t="str">
        <f aca="false">IFERROR(INDEX(MAP!$G$7:$G$74,MATCH(TRIM(I1454),MAP!$E$7:$E$74,0)),"UNMAPPED")</f>
        <v>7e</v>
      </c>
      <c r="L1454" s="49" t="str">
        <f aca="false">STACK!G1454</f>
        <v>31-Oct-2025</v>
      </c>
      <c r="M1454" s="59" t="n">
        <f aca="false">IF(G1454&gt;0,IF(INDEX(CONFIRM!$G$5:$G$53,G1454)&lt;&gt;"",INDEX(CONFIRM!$G$5:$G$53,G1454),IF(ISNUMBER(L1454),L1454,IFERROR(DATEVALUE(L1454),""))),IF(ISNUMBER(L1454),L1454,IFERROR(DATEVALUE(L1454),"")))</f>
        <v>45961</v>
      </c>
      <c r="N1454" s="1" t="str">
        <f aca="false">IF(M1454="","Check",IF(AND(M1454&gt;=INPUTS!$C$6,M1454&lt;=INPUTS!$C$7),"Yes","No"))</f>
        <v>Yes</v>
      </c>
      <c r="O1454" s="48" t="str">
        <f aca="false">STACK!H1454</f>
        <v>Pt Navigator</v>
      </c>
      <c r="P1454" s="1" t="str">
        <f aca="false">IF(G1454&gt;0,IF(INDEX(CONFIRM!$H$5:$H$53,G1454)&lt;&gt;"",INDEX(CONFIRM!$H$5:$H$53,G1454),IFERROR(INDEX(MAP!$B$7:$B$156,MATCH(TRIM(O1454),MAP!$A$7:$A$156,0)),"UNMAPPED")),IFERROR(INDEX(MAP!$B$7:$B$156,MATCH(TRIM(O1454),MAP!$A$7:$A$156,0)),"UNMAPPED"))</f>
        <v>Patient Navigator</v>
      </c>
      <c r="Q1454" s="48" t="n">
        <f aca="false">STACK!I1454</f>
        <v>63</v>
      </c>
      <c r="R1454" s="60" t="n">
        <f aca="false">IF(G1454&gt;0,IF(INDEX(CONFIRM!$F$5:$F$53,G1454)&lt;&gt;"",INDEX(CONFIRM!$F$5:$F$53,G1454),IF(ISNUMBER(Q1454),Q1454,IF(Q1454="","",IFERROR(VALUE(TRIM(SUBSTITUTE(SUBSTITUTE(LOWER(Q1454),"hrs",""),"hr",""))),"")))),IF(ISNUMBER(Q1454),Q1454,IF(Q1454="","",IFERROR(VALUE(TRIM(SUBSTITUTE(SUBSTITUTE(LOWER(Q1454),"hrs",""),"hr",""))),""))))</f>
        <v>63</v>
      </c>
      <c r="S1454" s="57" t="n">
        <f aca="false">IFERROR(INDEX(RATES!$E$6:$E$28,MATCH(P1454,RATES!$A$6:$A$28,0)),0)</f>
        <v>30.84</v>
      </c>
      <c r="T1454" s="61" t="n">
        <f aca="false">IF(ISNUMBER(R1454),R1454,0)*S1454</f>
        <v>1942.92</v>
      </c>
      <c r="U1454" s="61" t="n">
        <f aca="false">T1454*INDEX(INPUTS!$H$10:$H$14,MATCH(B1454,INPUTS!$A$10:$A$14,0))</f>
        <v>293.38092</v>
      </c>
      <c r="V1454" s="61" t="n">
        <f aca="false">N(STACK!K1454)</f>
        <v>0</v>
      </c>
      <c r="W1454" s="61" t="n">
        <f aca="false">T1454+U1454+V1454</f>
        <v>2236.30092</v>
      </c>
      <c r="X1454" s="61" t="n">
        <f aca="false">N(STACK!L1454)</f>
        <v>0</v>
      </c>
      <c r="Y1454" s="61" t="n">
        <f aca="false">W1454-X1454</f>
        <v>2236.30092</v>
      </c>
      <c r="Z1454" s="1" t="n">
        <f aca="false">N(STACK!J1454)</f>
        <v>0</v>
      </c>
      <c r="AA1454" s="1" t="str">
        <f aca="false">TRIM(IF(D1454="UNMAPPED","Program not mapped. ","")&amp;IF(OR(K1454="UNMAPPED",K1454="UNASSIGNED"),"Category needs review. ","")&amp;IF(P1454="UNMAPPED","Title not mapped. ","")&amp;IF(AND(P1454&lt;&gt;"No staff time",R1454=""),"Missing hours. ","")&amp;IF(M1454="","Date not readable. ","")&amp;IF(N1454="No","Outside fiscal year. ","")&amp;IF(AND(F1454="Event",ISNUMBER(R1454)),IF(R1454&gt;12,"Event hours look high. ",""),"")&amp;IF(G1454&gt;0,"See CONFIRM sheet.",""))</f>
        <v/>
      </c>
      <c r="AB1454" s="1" t="n">
        <f aca="false">IF(N1454="No",0,IF(REVIEW!O1454=0,0,IF(G1454&gt;0,IF(INDEX(CONFIRM!$J$5:$J$53,G1454)&lt;&gt;"",INDEX(CONFIRM!$J$5:$J$53,G1454),1),1)))</f>
        <v>1</v>
      </c>
      <c r="AC1454" s="1" t="n">
        <f aca="false">IF(AB1454=1,IF(COUNTIFS($B$5:B1454,B1454,$D$5:D1454,D1454,$AB$5:AB1454,1)=1,1,0),0)</f>
        <v>0</v>
      </c>
    </row>
    <row r="1455" customFormat="false" ht="15" hidden="false" customHeight="false" outlineLevel="0" collapsed="false">
      <c r="A1455" s="48" t="str">
        <f aca="false">STACK!A1455</f>
        <v>QHH-0074</v>
      </c>
      <c r="B1455" s="48" t="str">
        <f aca="false">STACK!B1455</f>
        <v>QHH</v>
      </c>
      <c r="C1455" s="48" t="str">
        <f aca="false">STACK!E1455</f>
        <v>Medication Assistance</v>
      </c>
      <c r="D1455" s="1" t="str">
        <f aca="false">IFERROR(INDEX(MAP!$J$7:$J$101,MATCH(TRIM(C1455),MAP!$I$7:$I$101,0)),"UNMAPPED")</f>
        <v>Medication Assistance Program</v>
      </c>
      <c r="E1455" s="1" t="str">
        <f aca="false">IFERROR(INDEX(MAP!$K$7:$K$101,MATCH(TRIM(C1455),MAP!$I$7:$I$101,0)),"")</f>
        <v>Access to care</v>
      </c>
      <c r="F1455" s="1" t="str">
        <f aca="false">IFERROR(INDEX(MAP!$L$7:$L$101,MATCH(TRIM(C1455),MAP!$I$7:$I$101,0)),"")</f>
        <v>Monthly</v>
      </c>
      <c r="G1455" s="1" t="n">
        <f aca="false">IFERROR(MATCH(A1455,CONFIRM!$A$5:$A$53,0),0)</f>
        <v>0</v>
      </c>
      <c r="H1455" s="48" t="str">
        <f aca="false">STACK!F1455</f>
        <v>CHIS - Support</v>
      </c>
      <c r="I1455" s="1" t="str">
        <f aca="false">IF(G1455&gt;0,IF(INDEX(CONFIRM!$I$5:$I$53,G1455)&lt;&gt;"",INDEX(CONFIRM!$I$5:$I$53,G1455),H1455),H1455)</f>
        <v>CHIS - Support</v>
      </c>
      <c r="J1455" s="1" t="str">
        <f aca="false">IFERROR(INDEX(MAP!$F$7:$F$74,MATCH(TRIM(I1455),MAP!$E$7:$E$74,0)),"UNMAPPED")</f>
        <v>Health care support services</v>
      </c>
      <c r="K1455" s="1" t="str">
        <f aca="false">IFERROR(INDEX(MAP!$G$7:$G$74,MATCH(TRIM(I1455),MAP!$E$7:$E$74,0)),"UNMAPPED")</f>
        <v>7e</v>
      </c>
      <c r="L1455" s="49" t="str">
        <f aca="false">STACK!G1455</f>
        <v>31-Oct-2025</v>
      </c>
      <c r="M1455" s="59" t="n">
        <f aca="false">IF(G1455&gt;0,IF(INDEX(CONFIRM!$G$5:$G$53,G1455)&lt;&gt;"",INDEX(CONFIRM!$G$5:$G$53,G1455),IF(ISNUMBER(L1455),L1455,IFERROR(DATEVALUE(L1455),""))),IF(ISNUMBER(L1455),L1455,IFERROR(DATEVALUE(L1455),"")))</f>
        <v>45961</v>
      </c>
      <c r="N1455" s="1" t="str">
        <f aca="false">IF(M1455="","Check",IF(AND(M1455&gt;=INPUTS!$C$6,M1455&lt;=INPUTS!$C$7),"Yes","No"))</f>
        <v>Yes</v>
      </c>
      <c r="O1455" s="48" t="str">
        <f aca="false">STACK!H1455</f>
        <v> Pharm.D.</v>
      </c>
      <c r="P1455" s="1" t="str">
        <f aca="false">IF(G1455&gt;0,IF(INDEX(CONFIRM!$H$5:$H$53,G1455)&lt;&gt;"",INDEX(CONFIRM!$H$5:$H$53,G1455),IFERROR(INDEX(MAP!$B$7:$B$156,MATCH(TRIM(O1455),MAP!$A$7:$A$156,0)),"UNMAPPED")),IFERROR(INDEX(MAP!$B$7:$B$156,MATCH(TRIM(O1455),MAP!$A$7:$A$156,0)),"UNMAPPED"))</f>
        <v>Pharmacist</v>
      </c>
      <c r="Q1455" s="48" t="n">
        <f aca="false">STACK!I1455</f>
        <v>20</v>
      </c>
      <c r="R1455" s="60" t="n">
        <f aca="false">IF(G1455&gt;0,IF(INDEX(CONFIRM!$F$5:$F$53,G1455)&lt;&gt;"",INDEX(CONFIRM!$F$5:$F$53,G1455),IF(ISNUMBER(Q1455),Q1455,IF(Q1455="","",IFERROR(VALUE(TRIM(SUBSTITUTE(SUBSTITUTE(LOWER(Q1455),"hrs",""),"hr",""))),"")))),IF(ISNUMBER(Q1455),Q1455,IF(Q1455="","",IFERROR(VALUE(TRIM(SUBSTITUTE(SUBSTITUTE(LOWER(Q1455),"hrs",""),"hr",""))),""))))</f>
        <v>20</v>
      </c>
      <c r="S1455" s="57" t="n">
        <f aca="false">IFERROR(INDEX(RATES!$E$6:$E$28,MATCH(P1455,RATES!$A$6:$A$28,0)),0)</f>
        <v>84.81</v>
      </c>
      <c r="T1455" s="61" t="n">
        <f aca="false">IF(ISNUMBER(R1455),R1455,0)*S1455</f>
        <v>1696.2</v>
      </c>
      <c r="U1455" s="61" t="n">
        <f aca="false">T1455*INDEX(INPUTS!$H$10:$H$14,MATCH(B1455,INPUTS!$A$10:$A$14,0))</f>
        <v>256.1262</v>
      </c>
      <c r="V1455" s="61" t="n">
        <f aca="false">N(STACK!K1455)</f>
        <v>14055</v>
      </c>
      <c r="W1455" s="61" t="n">
        <f aca="false">T1455+U1455+V1455</f>
        <v>16007.3262</v>
      </c>
      <c r="X1455" s="61" t="n">
        <f aca="false">N(STACK!L1455)</f>
        <v>0</v>
      </c>
      <c r="Y1455" s="61" t="n">
        <f aca="false">W1455-X1455</f>
        <v>16007.3262</v>
      </c>
      <c r="Z1455" s="1" t="n">
        <f aca="false">N(STACK!J1455)</f>
        <v>79</v>
      </c>
      <c r="AA1455" s="1" t="str">
        <f aca="false">TRIM(IF(D1455="UNMAPPED","Program not mapped. ","")&amp;IF(OR(K1455="UNMAPPED",K1455="UNASSIGNED"),"Category needs review. ","")&amp;IF(P1455="UNMAPPED","Title not mapped. ","")&amp;IF(AND(P1455&lt;&gt;"No staff time",R1455=""),"Missing hours. ","")&amp;IF(M1455="","Date not readable. ","")&amp;IF(N1455="No","Outside fiscal year. ","")&amp;IF(AND(F1455="Event",ISNUMBER(R1455)),IF(R1455&gt;12,"Event hours look high. ",""),"")&amp;IF(G1455&gt;0,"See CONFIRM sheet.",""))</f>
        <v/>
      </c>
      <c r="AB1455" s="1" t="n">
        <f aca="false">IF(N1455="No",0,IF(REVIEW!O1455=0,0,IF(G1455&gt;0,IF(INDEX(CONFIRM!$J$5:$J$53,G1455)&lt;&gt;"",INDEX(CONFIRM!$J$5:$J$53,G1455),1),1)))</f>
        <v>1</v>
      </c>
      <c r="AC1455" s="1" t="n">
        <f aca="false">IF(AB1455=1,IF(COUNTIFS($B$5:B1455,B1455,$D$5:D1455,D1455,$AB$5:AB1455,1)=1,1,0),0)</f>
        <v>0</v>
      </c>
    </row>
    <row r="1456" customFormat="false" ht="15" hidden="false" customHeight="false" outlineLevel="0" collapsed="false">
      <c r="A1456" s="48" t="str">
        <f aca="false">STACK!A1456</f>
        <v>QHH-0075</v>
      </c>
      <c r="B1456" s="48" t="str">
        <f aca="false">STACK!B1456</f>
        <v>QHH</v>
      </c>
      <c r="C1456" s="48" t="str">
        <f aca="false">STACK!E1456</f>
        <v>Community Benefit Admin.</v>
      </c>
      <c r="D1456" s="1" t="str">
        <f aca="false">IFERROR(INDEX(MAP!$J$7:$J$101,MATCH(TRIM(C1456),MAP!$I$7:$I$101,0)),"UNMAPPED")</f>
        <v>Community Benefit Program Administration</v>
      </c>
      <c r="E1456" s="1" t="str">
        <f aca="false">IFERROR(INDEX(MAP!$K$7:$K$101,MATCH(TRIM(C1456),MAP!$I$7:$I$101,0)),"")</f>
        <v>Community benefit infrastructure</v>
      </c>
      <c r="F1456" s="1" t="str">
        <f aca="false">IFERROR(INDEX(MAP!$L$7:$L$101,MATCH(TRIM(C1456),MAP!$I$7:$I$101,0)),"")</f>
        <v>Monthly</v>
      </c>
      <c r="G1456" s="1" t="n">
        <f aca="false">IFERROR(MATCH(A1456,CONFIRM!$A$5:$A$53,0),0)</f>
        <v>0</v>
      </c>
      <c r="H1456" s="48" t="str">
        <f aca="false">STACK!F1456</f>
        <v>CBO</v>
      </c>
      <c r="I1456" s="1" t="str">
        <f aca="false">IF(G1456&gt;0,IF(INDEX(CONFIRM!$I$5:$I$53,G1456)&lt;&gt;"",INDEX(CONFIRM!$I$5:$I$53,G1456),H1456),H1456)</f>
        <v>CBO</v>
      </c>
      <c r="J1456" s="1" t="str">
        <f aca="false">IFERROR(INDEX(MAP!$F$7:$F$74,MATCH(TRIM(I1456),MAP!$E$7:$E$74,0)),"UNMAPPED")</f>
        <v>Community benefit operations</v>
      </c>
      <c r="K1456" s="1" t="str">
        <f aca="false">IFERROR(INDEX(MAP!$G$7:$G$74,MATCH(TRIM(I1456),MAP!$E$7:$E$74,0)),"UNMAPPED")</f>
        <v>7e</v>
      </c>
      <c r="L1456" s="49" t="str">
        <f aca="false">STACK!G1456</f>
        <v>31-Oct-2025</v>
      </c>
      <c r="M1456" s="59" t="n">
        <f aca="false">IF(G1456&gt;0,IF(INDEX(CONFIRM!$G$5:$G$53,G1456)&lt;&gt;"",INDEX(CONFIRM!$G$5:$G$53,G1456),IF(ISNUMBER(L1456),L1456,IFERROR(DATEVALUE(L1456),""))),IF(ISNUMBER(L1456),L1456,IFERROR(DATEVALUE(L1456),"")))</f>
        <v>45961</v>
      </c>
      <c r="N1456" s="1" t="str">
        <f aca="false">IF(M1456="","Check",IF(AND(M1456&gt;=INPUTS!$C$6,M1456&lt;=INPUTS!$C$7),"Yes","No"))</f>
        <v>Yes</v>
      </c>
      <c r="O1456" s="48" t="str">
        <f aca="false">STACK!H1456</f>
        <v>Admin Asst</v>
      </c>
      <c r="P1456" s="1" t="str">
        <f aca="false">IF(G1456&gt;0,IF(INDEX(CONFIRM!$H$5:$H$53,G1456)&lt;&gt;"",INDEX(CONFIRM!$H$5:$H$53,G1456),IFERROR(INDEX(MAP!$B$7:$B$156,MATCH(TRIM(O1456),MAP!$A$7:$A$156,0)),"UNMAPPED")),IFERROR(INDEX(MAP!$B$7:$B$156,MATCH(TRIM(O1456),MAP!$A$7:$A$156,0)),"UNMAPPED"))</f>
        <v>Administrative Assistant</v>
      </c>
      <c r="Q1456" s="48" t="n">
        <f aca="false">STACK!I1456</f>
        <v>34.75</v>
      </c>
      <c r="R1456" s="60" t="n">
        <f aca="false">IF(G1456&gt;0,IF(INDEX(CONFIRM!$F$5:$F$53,G1456)&lt;&gt;"",INDEX(CONFIRM!$F$5:$F$53,G1456),IF(ISNUMBER(Q1456),Q1456,IF(Q1456="","",IFERROR(VALUE(TRIM(SUBSTITUTE(SUBSTITUTE(LOWER(Q1456),"hrs",""),"hr",""))),"")))),IF(ISNUMBER(Q1456),Q1456,IF(Q1456="","",IFERROR(VALUE(TRIM(SUBSTITUTE(SUBSTITUTE(LOWER(Q1456),"hrs",""),"hr",""))),""))))</f>
        <v>34.75</v>
      </c>
      <c r="S1456" s="57" t="n">
        <f aca="false">IFERROR(INDEX(RATES!$E$6:$E$28,MATCH(P1456,RATES!$A$6:$A$28,0)),0)</f>
        <v>26.985</v>
      </c>
      <c r="T1456" s="61" t="n">
        <f aca="false">IF(ISNUMBER(R1456),R1456,0)*S1456</f>
        <v>937.72875</v>
      </c>
      <c r="U1456" s="61" t="n">
        <f aca="false">T1456*INDEX(INPUTS!$H$10:$H$14,MATCH(B1456,INPUTS!$A$10:$A$14,0))</f>
        <v>141.59704125</v>
      </c>
      <c r="V1456" s="61" t="n">
        <f aca="false">N(STACK!K1456)</f>
        <v>0</v>
      </c>
      <c r="W1456" s="61" t="n">
        <f aca="false">T1456+U1456+V1456</f>
        <v>1079.32579125</v>
      </c>
      <c r="X1456" s="61" t="n">
        <f aca="false">N(STACK!L1456)</f>
        <v>0</v>
      </c>
      <c r="Y1456" s="61" t="n">
        <f aca="false">W1456-X1456</f>
        <v>1079.32579125</v>
      </c>
      <c r="Z1456" s="1" t="n">
        <f aca="false">N(STACK!J1456)</f>
        <v>0</v>
      </c>
      <c r="AA1456" s="1" t="str">
        <f aca="false">TRIM(IF(D1456="UNMAPPED","Program not mapped. ","")&amp;IF(OR(K1456="UNMAPPED",K1456="UNASSIGNED"),"Category needs review. ","")&amp;IF(P1456="UNMAPPED","Title not mapped. ","")&amp;IF(AND(P1456&lt;&gt;"No staff time",R1456=""),"Missing hours. ","")&amp;IF(M1456="","Date not readable. ","")&amp;IF(N1456="No","Outside fiscal year. ","")&amp;IF(AND(F1456="Event",ISNUMBER(R1456)),IF(R1456&gt;12,"Event hours look high. ",""),"")&amp;IF(G1456&gt;0,"See CONFIRM sheet.",""))</f>
        <v/>
      </c>
      <c r="AB1456" s="1" t="n">
        <f aca="false">IF(N1456="No",0,IF(REVIEW!O1456=0,0,IF(G1456&gt;0,IF(INDEX(CONFIRM!$J$5:$J$53,G1456)&lt;&gt;"",INDEX(CONFIRM!$J$5:$J$53,G1456),1),1)))</f>
        <v>1</v>
      </c>
      <c r="AC1456" s="1" t="n">
        <f aca="false">IF(AB1456=1,IF(COUNTIFS($B$5:B1456,B1456,$D$5:D1456,D1456,$AB$5:AB1456,1)=1,1,0),0)</f>
        <v>0</v>
      </c>
    </row>
    <row r="1457" customFormat="false" ht="15" hidden="false" customHeight="false" outlineLevel="0" collapsed="false">
      <c r="A1457" s="48" t="str">
        <f aca="false">STACK!A1457</f>
        <v>QHH-0076</v>
      </c>
      <c r="B1457" s="48" t="str">
        <f aca="false">STACK!B1457</f>
        <v>QHH</v>
      </c>
      <c r="C1457" s="48" t="str">
        <f aca="false">STACK!E1457</f>
        <v>Community Benefit Admin.</v>
      </c>
      <c r="D1457" s="1" t="str">
        <f aca="false">IFERROR(INDEX(MAP!$J$7:$J$101,MATCH(TRIM(C1457),MAP!$I$7:$I$101,0)),"UNMAPPED")</f>
        <v>Community Benefit Program Administration</v>
      </c>
      <c r="E1457" s="1" t="str">
        <f aca="false">IFERROR(INDEX(MAP!$K$7:$K$101,MATCH(TRIM(C1457),MAP!$I$7:$I$101,0)),"")</f>
        <v>Community benefit infrastructure</v>
      </c>
      <c r="F1457" s="1" t="str">
        <f aca="false">IFERROR(INDEX(MAP!$L$7:$L$101,MATCH(TRIM(C1457),MAP!$I$7:$I$101,0)),"")</f>
        <v>Monthly</v>
      </c>
      <c r="G1457" s="1" t="n">
        <f aca="false">IFERROR(MATCH(A1457,CONFIRM!$A$5:$A$53,0),0)</f>
        <v>0</v>
      </c>
      <c r="H1457" s="48" t="str">
        <f aca="false">STACK!F1457</f>
        <v>CBO</v>
      </c>
      <c r="I1457" s="1" t="str">
        <f aca="false">IF(G1457&gt;0,IF(INDEX(CONFIRM!$I$5:$I$53,G1457)&lt;&gt;"",INDEX(CONFIRM!$I$5:$I$53,G1457),H1457),H1457)</f>
        <v>CBO</v>
      </c>
      <c r="J1457" s="1" t="str">
        <f aca="false">IFERROR(INDEX(MAP!$F$7:$F$74,MATCH(TRIM(I1457),MAP!$E$7:$E$74,0)),"UNMAPPED")</f>
        <v>Community benefit operations</v>
      </c>
      <c r="K1457" s="1" t="str">
        <f aca="false">IFERROR(INDEX(MAP!$G$7:$G$74,MATCH(TRIM(I1457),MAP!$E$7:$E$74,0)),"UNMAPPED")</f>
        <v>7e</v>
      </c>
      <c r="L1457" s="49" t="str">
        <f aca="false">STACK!G1457</f>
        <v>31-Oct-2025</v>
      </c>
      <c r="M1457" s="59" t="n">
        <f aca="false">IF(G1457&gt;0,IF(INDEX(CONFIRM!$G$5:$G$53,G1457)&lt;&gt;"",INDEX(CONFIRM!$G$5:$G$53,G1457),IF(ISNUMBER(L1457),L1457,IFERROR(DATEVALUE(L1457),""))),IF(ISNUMBER(L1457),L1457,IFERROR(DATEVALUE(L1457),"")))</f>
        <v>45961</v>
      </c>
      <c r="N1457" s="1" t="str">
        <f aca="false">IF(M1457="","Check",IF(AND(M1457&gt;=INPUTS!$C$6,M1457&lt;=INPUTS!$C$7),"Yes","No"))</f>
        <v>Yes</v>
      </c>
      <c r="O1457" s="48" t="str">
        <f aca="false">STACK!H1457</f>
        <v>Manager Community Benefit</v>
      </c>
      <c r="P1457" s="1" t="str">
        <f aca="false">IF(G1457&gt;0,IF(INDEX(CONFIRM!$H$5:$H$53,G1457)&lt;&gt;"",INDEX(CONFIRM!$H$5:$H$53,G1457),IFERROR(INDEX(MAP!$B$7:$B$156,MATCH(TRIM(O1457),MAP!$A$7:$A$156,0)),"UNMAPPED")),IFERROR(INDEX(MAP!$B$7:$B$156,MATCH(TRIM(O1457),MAP!$A$7:$A$156,0)),"UNMAPPED"))</f>
        <v>Community Benefit Manager</v>
      </c>
      <c r="Q1457" s="48" t="n">
        <f aca="false">STACK!I1457</f>
        <v>52.25</v>
      </c>
      <c r="R1457" s="60" t="n">
        <f aca="false">IF(G1457&gt;0,IF(INDEX(CONFIRM!$F$5:$F$53,G1457)&lt;&gt;"",INDEX(CONFIRM!$F$5:$F$53,G1457),IF(ISNUMBER(Q1457),Q1457,IF(Q1457="","",IFERROR(VALUE(TRIM(SUBSTITUTE(SUBSTITUTE(LOWER(Q1457),"hrs",""),"hr",""))),"")))),IF(ISNUMBER(Q1457),Q1457,IF(Q1457="","",IFERROR(VALUE(TRIM(SUBSTITUTE(SUBSTITUTE(LOWER(Q1457),"hrs",""),"hr",""))),""))))</f>
        <v>52.25</v>
      </c>
      <c r="S1457" s="57" t="n">
        <f aca="false">IFERROR(INDEX(RATES!$E$6:$E$28,MATCH(P1457,RATES!$A$6:$A$28,0)),0)</f>
        <v>59.11</v>
      </c>
      <c r="T1457" s="61" t="n">
        <f aca="false">IF(ISNUMBER(R1457),R1457,0)*S1457</f>
        <v>3088.4975</v>
      </c>
      <c r="U1457" s="61" t="n">
        <f aca="false">T1457*INDEX(INPUTS!$H$10:$H$14,MATCH(B1457,INPUTS!$A$10:$A$14,0))</f>
        <v>466.3631225</v>
      </c>
      <c r="V1457" s="61" t="n">
        <f aca="false">N(STACK!K1457)</f>
        <v>260</v>
      </c>
      <c r="W1457" s="61" t="n">
        <f aca="false">T1457+U1457+V1457</f>
        <v>3814.8606225</v>
      </c>
      <c r="X1457" s="61" t="n">
        <f aca="false">N(STACK!L1457)</f>
        <v>0</v>
      </c>
      <c r="Y1457" s="61" t="n">
        <f aca="false">W1457-X1457</f>
        <v>3814.8606225</v>
      </c>
      <c r="Z1457" s="1" t="n">
        <f aca="false">N(STACK!J1457)</f>
        <v>0</v>
      </c>
      <c r="AA1457" s="1" t="str">
        <f aca="false">TRIM(IF(D1457="UNMAPPED","Program not mapped. ","")&amp;IF(OR(K1457="UNMAPPED",K1457="UNASSIGNED"),"Category needs review. ","")&amp;IF(P1457="UNMAPPED","Title not mapped. ","")&amp;IF(AND(P1457&lt;&gt;"No staff time",R1457=""),"Missing hours. ","")&amp;IF(M1457="","Date not readable. ","")&amp;IF(N1457="No","Outside fiscal year. ","")&amp;IF(AND(F1457="Event",ISNUMBER(R1457)),IF(R1457&gt;12,"Event hours look high. ",""),"")&amp;IF(G1457&gt;0,"See CONFIRM sheet.",""))</f>
        <v/>
      </c>
      <c r="AB1457" s="1" t="n">
        <f aca="false">IF(N1457="No",0,IF(REVIEW!O1457=0,0,IF(G1457&gt;0,IF(INDEX(CONFIRM!$J$5:$J$53,G1457)&lt;&gt;"",INDEX(CONFIRM!$J$5:$J$53,G1457),1),1)))</f>
        <v>1</v>
      </c>
      <c r="AC1457" s="1" t="n">
        <f aca="false">IF(AB1457=1,IF(COUNTIFS($B$5:B1457,B1457,$D$5:D1457,D1457,$AB$5:AB1457,1)=1,1,0),0)</f>
        <v>0</v>
      </c>
    </row>
    <row r="1458" customFormat="false" ht="15" hidden="false" customHeight="false" outlineLevel="0" collapsed="false">
      <c r="A1458" s="48" t="str">
        <f aca="false">STACK!A1458</f>
        <v>QHH-0077</v>
      </c>
      <c r="B1458" s="48" t="str">
        <f aca="false">STACK!B1458</f>
        <v>QHH</v>
      </c>
      <c r="C1458" s="48" t="str">
        <f aca="false">STACK!E1458</f>
        <v>Community Paramedicine</v>
      </c>
      <c r="D1458" s="1" t="str">
        <f aca="false">IFERROR(INDEX(MAP!$J$7:$J$101,MATCH(TRIM(C1458),MAP!$I$7:$I$101,0)),"UNMAPPED")</f>
        <v>Community Paramedic Home Visits</v>
      </c>
      <c r="E1458" s="1" t="str">
        <f aca="false">IFERROR(INDEX(MAP!$K$7:$K$101,MATCH(TRIM(C1458),MAP!$I$7:$I$101,0)),"")</f>
        <v>Access to care</v>
      </c>
      <c r="F1458" s="1" t="str">
        <f aca="false">IFERROR(INDEX(MAP!$L$7:$L$101,MATCH(TRIM(C1458),MAP!$I$7:$I$101,0)),"")</f>
        <v>Monthly</v>
      </c>
      <c r="G1458" s="1" t="n">
        <f aca="false">IFERROR(MATCH(A1458,CONFIRM!$A$5:$A$53,0),0)</f>
        <v>0</v>
      </c>
      <c r="H1458" s="48" t="str">
        <f aca="false">STACK!F1458</f>
        <v>CHIS - Clinical</v>
      </c>
      <c r="I1458" s="1" t="str">
        <f aca="false">IF(G1458&gt;0,IF(INDEX(CONFIRM!$I$5:$I$53,G1458)&lt;&gt;"",INDEX(CONFIRM!$I$5:$I$53,G1458),H1458),H1458)</f>
        <v>CHIS - Clinical</v>
      </c>
      <c r="J1458" s="1" t="str">
        <f aca="false">IFERROR(INDEX(MAP!$F$7:$F$74,MATCH(TRIM(I1458),MAP!$E$7:$E$74,0)),"UNMAPPED")</f>
        <v>Community-based clinical services</v>
      </c>
      <c r="K1458" s="1" t="str">
        <f aca="false">IFERROR(INDEX(MAP!$G$7:$G$74,MATCH(TRIM(I1458),MAP!$E$7:$E$74,0)),"UNMAPPED")</f>
        <v>7e</v>
      </c>
      <c r="L1458" s="49" t="str">
        <f aca="false">STACK!G1458</f>
        <v>31-Oct-2025</v>
      </c>
      <c r="M1458" s="59" t="n">
        <f aca="false">IF(G1458&gt;0,IF(INDEX(CONFIRM!$G$5:$G$53,G1458)&lt;&gt;"",INDEX(CONFIRM!$G$5:$G$53,G1458),IF(ISNUMBER(L1458),L1458,IFERROR(DATEVALUE(L1458),""))),IF(ISNUMBER(L1458),L1458,IFERROR(DATEVALUE(L1458),"")))</f>
        <v>45961</v>
      </c>
      <c r="N1458" s="1" t="str">
        <f aca="false">IF(M1458="","Check",IF(AND(M1458&gt;=INPUTS!$C$6,M1458&lt;=INPUTS!$C$7),"Yes","No"))</f>
        <v>Yes</v>
      </c>
      <c r="O1458" s="48" t="str">
        <f aca="false">STACK!H1458</f>
        <v>Flight Paramedic</v>
      </c>
      <c r="P1458" s="1" t="str">
        <f aca="false">IF(G1458&gt;0,IF(INDEX(CONFIRM!$H$5:$H$53,G1458)&lt;&gt;"",INDEX(CONFIRM!$H$5:$H$53,G1458),IFERROR(INDEX(MAP!$B$7:$B$156,MATCH(TRIM(O1458),MAP!$A$7:$A$156,0)),"UNMAPPED")),IFERROR(INDEX(MAP!$B$7:$B$156,MATCH(TRIM(O1458),MAP!$A$7:$A$156,0)),"UNMAPPED"))</f>
        <v>Paramedic</v>
      </c>
      <c r="Q1458" s="48" t="n">
        <f aca="false">STACK!I1458</f>
        <v>104.5</v>
      </c>
      <c r="R1458" s="60" t="n">
        <f aca="false">IF(G1458&gt;0,IF(INDEX(CONFIRM!$F$5:$F$53,G1458)&lt;&gt;"",INDEX(CONFIRM!$F$5:$F$53,G1458),IF(ISNUMBER(Q1458),Q1458,IF(Q1458="","",IFERROR(VALUE(TRIM(SUBSTITUTE(SUBSTITUTE(LOWER(Q1458),"hrs",""),"hr",""))),"")))),IF(ISNUMBER(Q1458),Q1458,IF(Q1458="","",IFERROR(VALUE(TRIM(SUBSTITUTE(SUBSTITUTE(LOWER(Q1458),"hrs",""),"hr",""))),""))))</f>
        <v>104.5</v>
      </c>
      <c r="S1458" s="57" t="n">
        <f aca="false">IFERROR(INDEX(RATES!$E$6:$E$28,MATCH(P1458,RATES!$A$6:$A$28,0)),0)</f>
        <v>34.695</v>
      </c>
      <c r="T1458" s="61" t="n">
        <f aca="false">IF(ISNUMBER(R1458),R1458,0)*S1458</f>
        <v>3625.6275</v>
      </c>
      <c r="U1458" s="61" t="n">
        <f aca="false">T1458*INDEX(INPUTS!$H$10:$H$14,MATCH(B1458,INPUTS!$A$10:$A$14,0))</f>
        <v>547.4697525</v>
      </c>
      <c r="V1458" s="61" t="n">
        <f aca="false">N(STACK!K1458)</f>
        <v>860</v>
      </c>
      <c r="W1458" s="61" t="n">
        <f aca="false">T1458+U1458+V1458</f>
        <v>5033.0972525</v>
      </c>
      <c r="X1458" s="61" t="n">
        <f aca="false">N(STACK!L1458)</f>
        <v>0</v>
      </c>
      <c r="Y1458" s="61" t="n">
        <f aca="false">W1458-X1458</f>
        <v>5033.0972525</v>
      </c>
      <c r="Z1458" s="1" t="n">
        <f aca="false">N(STACK!J1458)</f>
        <v>49</v>
      </c>
      <c r="AA1458" s="1" t="str">
        <f aca="false">TRIM(IF(D1458="UNMAPPED","Program not mapped. ","")&amp;IF(OR(K1458="UNMAPPED",K1458="UNASSIGNED"),"Category needs review. ","")&amp;IF(P1458="UNMAPPED","Title not mapped. ","")&amp;IF(AND(P1458&lt;&gt;"No staff time",R1458=""),"Missing hours. ","")&amp;IF(M1458="","Date not readable. ","")&amp;IF(N1458="No","Outside fiscal year. ","")&amp;IF(AND(F1458="Event",ISNUMBER(R1458)),IF(R1458&gt;12,"Event hours look high. ",""),"")&amp;IF(G1458&gt;0,"See CONFIRM sheet.",""))</f>
        <v/>
      </c>
      <c r="AB1458" s="1" t="n">
        <f aca="false">IF(N1458="No",0,IF(REVIEW!O1458=0,0,IF(G1458&gt;0,IF(INDEX(CONFIRM!$J$5:$J$53,G1458)&lt;&gt;"",INDEX(CONFIRM!$J$5:$J$53,G1458),1),1)))</f>
        <v>1</v>
      </c>
      <c r="AC1458" s="1" t="n">
        <f aca="false">IF(AB1458=1,IF(COUNTIFS($B$5:B1458,B1458,$D$5:D1458,D1458,$AB$5:AB1458,1)=1,1,0),0)</f>
        <v>0</v>
      </c>
    </row>
    <row r="1459" customFormat="false" ht="15" hidden="false" customHeight="false" outlineLevel="0" collapsed="false">
      <c r="A1459" s="48" t="str">
        <f aca="false">STACK!A1459</f>
        <v>QHH-0078</v>
      </c>
      <c r="B1459" s="48" t="str">
        <f aca="false">STACK!B1459</f>
        <v>QHH</v>
      </c>
      <c r="C1459" s="48" t="str">
        <f aca="false">STACK!E1459</f>
        <v>Nursing Clinical Rotations</v>
      </c>
      <c r="D1459" s="1" t="str">
        <f aca="false">IFERROR(INDEX(MAP!$J$7:$J$101,MATCH(TRIM(C1459),MAP!$I$7:$I$101,0)),"UNMAPPED")</f>
        <v>Nursing Student Clinical Rotations</v>
      </c>
      <c r="E1459" s="1" t="str">
        <f aca="false">IFERROR(INDEX(MAP!$K$7:$K$101,MATCH(TRIM(C1459),MAP!$I$7:$I$101,0)),"")</f>
        <v>Health workforce</v>
      </c>
      <c r="F1459" s="1" t="str">
        <f aca="false">IFERROR(INDEX(MAP!$L$7:$L$101,MATCH(TRIM(C1459),MAP!$I$7:$I$101,0)),"")</f>
        <v>Monthly</v>
      </c>
      <c r="G1459" s="1" t="n">
        <f aca="false">IFERROR(MATCH(A1459,CONFIRM!$A$5:$A$53,0),0)</f>
        <v>0</v>
      </c>
      <c r="H1459" s="48" t="str">
        <f aca="false">STACK!F1459</f>
        <v>HPE - Students</v>
      </c>
      <c r="I1459" s="1" t="str">
        <f aca="false">IF(G1459&gt;0,IF(INDEX(CONFIRM!$I$5:$I$53,G1459)&lt;&gt;"",INDEX(CONFIRM!$I$5:$I$53,G1459),H1459),H1459)</f>
        <v>HPE - Students</v>
      </c>
      <c r="J1459" s="1" t="str">
        <f aca="false">IFERROR(INDEX(MAP!$F$7:$F$74,MATCH(TRIM(I1459),MAP!$E$7:$E$74,0)),"UNMAPPED")</f>
        <v>Health professions education</v>
      </c>
      <c r="K1459" s="1" t="str">
        <f aca="false">IFERROR(INDEX(MAP!$G$7:$G$74,MATCH(TRIM(I1459),MAP!$E$7:$E$74,0)),"UNMAPPED")</f>
        <v>7f</v>
      </c>
      <c r="L1459" s="49" t="str">
        <f aca="false">STACK!G1459</f>
        <v>31-Oct-2025</v>
      </c>
      <c r="M1459" s="59" t="n">
        <f aca="false">IF(G1459&gt;0,IF(INDEX(CONFIRM!$G$5:$G$53,G1459)&lt;&gt;"",INDEX(CONFIRM!$G$5:$G$53,G1459),IF(ISNUMBER(L1459),L1459,IFERROR(DATEVALUE(L1459),""))),IF(ISNUMBER(L1459),L1459,IFERROR(DATEVALUE(L1459),"")))</f>
        <v>45961</v>
      </c>
      <c r="N1459" s="1" t="str">
        <f aca="false">IF(M1459="","Check",IF(AND(M1459&gt;=INPUTS!$C$6,M1459&lt;=INPUTS!$C$7),"Yes","No"))</f>
        <v>Yes</v>
      </c>
      <c r="O1459" s="48" t="str">
        <f aca="false">STACK!H1459</f>
        <v>Clinical Nurse Educator</v>
      </c>
      <c r="P1459" s="1" t="str">
        <f aca="false">IF(G1459&gt;0,IF(INDEX(CONFIRM!$H$5:$H$53,G1459)&lt;&gt;"",INDEX(CONFIRM!$H$5:$H$53,G1459),IFERROR(INDEX(MAP!$B$7:$B$156,MATCH(TRIM(O1459),MAP!$A$7:$A$156,0)),"UNMAPPED")),IFERROR(INDEX(MAP!$B$7:$B$156,MATCH(TRIM(O1459),MAP!$A$7:$A$156,0)),"UNMAPPED"))</f>
        <v>Clinical Nurse Educator</v>
      </c>
      <c r="Q1459" s="48" t="n">
        <f aca="false">STACK!I1459</f>
        <v>112.5</v>
      </c>
      <c r="R1459" s="60" t="n">
        <f aca="false">IF(G1459&gt;0,IF(INDEX(CONFIRM!$F$5:$F$53,G1459)&lt;&gt;"",INDEX(CONFIRM!$F$5:$F$53,G1459),IF(ISNUMBER(Q1459),Q1459,IF(Q1459="","",IFERROR(VALUE(TRIM(SUBSTITUTE(SUBSTITUTE(LOWER(Q1459),"hrs",""),"hr",""))),"")))),IF(ISNUMBER(Q1459),Q1459,IF(Q1459="","",IFERROR(VALUE(TRIM(SUBSTITUTE(SUBSTITUTE(LOWER(Q1459),"hrs",""),"hr",""))),""))))</f>
        <v>112.5</v>
      </c>
      <c r="S1459" s="57" t="n">
        <f aca="false">IFERROR(INDEX(RATES!$E$6:$E$28,MATCH(P1459,RATES!$A$6:$A$28,0)),0)</f>
        <v>62.965</v>
      </c>
      <c r="T1459" s="61" t="n">
        <f aca="false">IF(ISNUMBER(R1459),R1459,0)*S1459</f>
        <v>7083.5625</v>
      </c>
      <c r="U1459" s="61" t="n">
        <f aca="false">T1459*INDEX(INPUTS!$H$10:$H$14,MATCH(B1459,INPUTS!$A$10:$A$14,0))</f>
        <v>1069.6179375</v>
      </c>
      <c r="V1459" s="61" t="n">
        <f aca="false">N(STACK!K1459)</f>
        <v>980</v>
      </c>
      <c r="W1459" s="61" t="n">
        <f aca="false">T1459+U1459+V1459</f>
        <v>9133.1804375</v>
      </c>
      <c r="X1459" s="61" t="n">
        <f aca="false">N(STACK!L1459)</f>
        <v>0</v>
      </c>
      <c r="Y1459" s="61" t="n">
        <f aca="false">W1459-X1459</f>
        <v>9133.1804375</v>
      </c>
      <c r="Z1459" s="1" t="n">
        <f aca="false">N(STACK!J1459)</f>
        <v>17</v>
      </c>
      <c r="AA1459" s="1" t="str">
        <f aca="false">TRIM(IF(D1459="UNMAPPED","Program not mapped. ","")&amp;IF(OR(K1459="UNMAPPED",K1459="UNASSIGNED"),"Category needs review. ","")&amp;IF(P1459="UNMAPPED","Title not mapped. ","")&amp;IF(AND(P1459&lt;&gt;"No staff time",R1459=""),"Missing hours. ","")&amp;IF(M1459="","Date not readable. ","")&amp;IF(N1459="No","Outside fiscal year. ","")&amp;IF(AND(F1459="Event",ISNUMBER(R1459)),IF(R1459&gt;12,"Event hours look high. ",""),"")&amp;IF(G1459&gt;0,"See CONFIRM sheet.",""))</f>
        <v/>
      </c>
      <c r="AB1459" s="1" t="n">
        <f aca="false">IF(N1459="No",0,IF(REVIEW!O1459=0,0,IF(G1459&gt;0,IF(INDEX(CONFIRM!$J$5:$J$53,G1459)&lt;&gt;"",INDEX(CONFIRM!$J$5:$J$53,G1459),1),1)))</f>
        <v>1</v>
      </c>
      <c r="AC1459" s="1" t="n">
        <f aca="false">IF(AB1459=1,IF(COUNTIFS($B$5:B1459,B1459,$D$5:D1459,D1459,$AB$5:AB1459,1)=1,1,0),0)</f>
        <v>0</v>
      </c>
    </row>
    <row r="1460" customFormat="false" ht="15" hidden="false" customHeight="false" outlineLevel="0" collapsed="false">
      <c r="A1460" s="48" t="str">
        <f aca="false">STACK!A1460</f>
        <v>QHH-0079</v>
      </c>
      <c r="B1460" s="48" t="str">
        <f aca="false">STACK!B1460</f>
        <v>QHH</v>
      </c>
      <c r="C1460" s="48" t="str">
        <f aca="false">STACK!E1460</f>
        <v>Nursing Clinical Rotations</v>
      </c>
      <c r="D1460" s="1" t="str">
        <f aca="false">IFERROR(INDEX(MAP!$J$7:$J$101,MATCH(TRIM(C1460),MAP!$I$7:$I$101,0)),"UNMAPPED")</f>
        <v>Nursing Student Clinical Rotations</v>
      </c>
      <c r="E1460" s="1" t="str">
        <f aca="false">IFERROR(INDEX(MAP!$K$7:$K$101,MATCH(TRIM(C1460),MAP!$I$7:$I$101,0)),"")</f>
        <v>Health workforce</v>
      </c>
      <c r="F1460" s="1" t="str">
        <f aca="false">IFERROR(INDEX(MAP!$L$7:$L$101,MATCH(TRIM(C1460),MAP!$I$7:$I$101,0)),"")</f>
        <v>Monthly</v>
      </c>
      <c r="G1460" s="1" t="n">
        <f aca="false">IFERROR(MATCH(A1460,CONFIRM!$A$5:$A$53,0),0)</f>
        <v>0</v>
      </c>
      <c r="H1460" s="48" t="str">
        <f aca="false">STACK!F1460</f>
        <v>HPE - Students</v>
      </c>
      <c r="I1460" s="1" t="str">
        <f aca="false">IF(G1460&gt;0,IF(INDEX(CONFIRM!$I$5:$I$53,G1460)&lt;&gt;"",INDEX(CONFIRM!$I$5:$I$53,G1460),H1460),H1460)</f>
        <v>HPE - Students</v>
      </c>
      <c r="J1460" s="1" t="str">
        <f aca="false">IFERROR(INDEX(MAP!$F$7:$F$74,MATCH(TRIM(I1460),MAP!$E$7:$E$74,0)),"UNMAPPED")</f>
        <v>Health professions education</v>
      </c>
      <c r="K1460" s="1" t="str">
        <f aca="false">IFERROR(INDEX(MAP!$G$7:$G$74,MATCH(TRIM(I1460),MAP!$E$7:$E$74,0)),"UNMAPPED")</f>
        <v>7f</v>
      </c>
      <c r="L1460" s="49" t="str">
        <f aca="false">STACK!G1460</f>
        <v>31-Oct-2025</v>
      </c>
      <c r="M1460" s="59" t="n">
        <f aca="false">IF(G1460&gt;0,IF(INDEX(CONFIRM!$G$5:$G$53,G1460)&lt;&gt;"",INDEX(CONFIRM!$G$5:$G$53,G1460),IF(ISNUMBER(L1460),L1460,IFERROR(DATEVALUE(L1460),""))),IF(ISNUMBER(L1460),L1460,IFERROR(DATEVALUE(L1460),"")))</f>
        <v>45961</v>
      </c>
      <c r="N1460" s="1" t="str">
        <f aca="false">IF(M1460="","Check",IF(AND(M1460&gt;=INPUTS!$C$6,M1460&lt;=INPUTS!$C$7),"Yes","No"))</f>
        <v>Yes</v>
      </c>
      <c r="O1460" s="48" t="str">
        <f aca="false">STACK!H1460</f>
        <v>Reg Nurse</v>
      </c>
      <c r="P1460" s="1" t="str">
        <f aca="false">IF(G1460&gt;0,IF(INDEX(CONFIRM!$H$5:$H$53,G1460)&lt;&gt;"",INDEX(CONFIRM!$H$5:$H$53,G1460),IFERROR(INDEX(MAP!$B$7:$B$156,MATCH(TRIM(O1460),MAP!$A$7:$A$156,0)),"UNMAPPED")),IFERROR(INDEX(MAP!$B$7:$B$156,MATCH(TRIM(O1460),MAP!$A$7:$A$156,0)),"UNMAPPED"))</f>
        <v>Registered Nurse</v>
      </c>
      <c r="Q1460" s="48" t="n">
        <f aca="false">STACK!I1460</f>
        <v>185</v>
      </c>
      <c r="R1460" s="60" t="n">
        <f aca="false">IF(G1460&gt;0,IF(INDEX(CONFIRM!$F$5:$F$53,G1460)&lt;&gt;"",INDEX(CONFIRM!$F$5:$F$53,G1460),IF(ISNUMBER(Q1460),Q1460,IF(Q1460="","",IFERROR(VALUE(TRIM(SUBSTITUTE(SUBSTITUTE(LOWER(Q1460),"hrs",""),"hr",""))),"")))),IF(ISNUMBER(Q1460),Q1460,IF(Q1460="","",IFERROR(VALUE(TRIM(SUBSTITUTE(SUBSTITUTE(LOWER(Q1460),"hrs",""),"hr",""))),""))))</f>
        <v>185</v>
      </c>
      <c r="S1460" s="57" t="n">
        <f aca="false">IFERROR(INDEX(RATES!$E$6:$E$28,MATCH(P1460,RATES!$A$6:$A$28,0)),0)</f>
        <v>55.8975</v>
      </c>
      <c r="T1460" s="61" t="n">
        <f aca="false">IF(ISNUMBER(R1460),R1460,0)*S1460</f>
        <v>10341.0375</v>
      </c>
      <c r="U1460" s="61" t="n">
        <f aca="false">T1460*INDEX(INPUTS!$H$10:$H$14,MATCH(B1460,INPUTS!$A$10:$A$14,0))</f>
        <v>1561.4966625</v>
      </c>
      <c r="V1460" s="61" t="n">
        <f aca="false">N(STACK!K1460)</f>
        <v>0</v>
      </c>
      <c r="W1460" s="61" t="n">
        <f aca="false">T1460+U1460+V1460</f>
        <v>11902.5341625</v>
      </c>
      <c r="X1460" s="61" t="n">
        <f aca="false">N(STACK!L1460)</f>
        <v>0</v>
      </c>
      <c r="Y1460" s="61" t="n">
        <f aca="false">W1460-X1460</f>
        <v>11902.5341625</v>
      </c>
      <c r="Z1460" s="1" t="n">
        <f aca="false">N(STACK!J1460)</f>
        <v>0</v>
      </c>
      <c r="AA1460" s="1" t="str">
        <f aca="false">TRIM(IF(D1460="UNMAPPED","Program not mapped. ","")&amp;IF(OR(K1460="UNMAPPED",K1460="UNASSIGNED"),"Category needs review. ","")&amp;IF(P1460="UNMAPPED","Title not mapped. ","")&amp;IF(AND(P1460&lt;&gt;"No staff time",R1460=""),"Missing hours. ","")&amp;IF(M1460="","Date not readable. ","")&amp;IF(N1460="No","Outside fiscal year. ","")&amp;IF(AND(F1460="Event",ISNUMBER(R1460)),IF(R1460&gt;12,"Event hours look high. ",""),"")&amp;IF(G1460&gt;0,"See CONFIRM sheet.",""))</f>
        <v/>
      </c>
      <c r="AB1460" s="1" t="n">
        <f aca="false">IF(N1460="No",0,IF(REVIEW!O1460=0,0,IF(G1460&gt;0,IF(INDEX(CONFIRM!$J$5:$J$53,G1460)&lt;&gt;"",INDEX(CONFIRM!$J$5:$J$53,G1460),1),1)))</f>
        <v>1</v>
      </c>
      <c r="AC1460" s="1" t="n">
        <f aca="false">IF(AB1460=1,IF(COUNTIFS($B$5:B1460,B1460,$D$5:D1460,D1460,$AB$5:AB1460,1)=1,1,0),0)</f>
        <v>0</v>
      </c>
    </row>
    <row r="1461" customFormat="false" ht="15" hidden="false" customHeight="false" outlineLevel="0" collapsed="false">
      <c r="A1461" s="48" t="str">
        <f aca="false">STACK!A1461</f>
        <v>QHH-0080</v>
      </c>
      <c r="B1461" s="48" t="str">
        <f aca="false">STACK!B1461</f>
        <v>QHH</v>
      </c>
      <c r="C1461" s="48" t="str">
        <f aca="false">STACK!E1461</f>
        <v>Grief Support Group</v>
      </c>
      <c r="D1461" s="1" t="str">
        <f aca="false">IFERROR(INDEX(MAP!$J$7:$J$101,MATCH(TRIM(C1461),MAP!$I$7:$I$101,0)),"UNMAPPED")</f>
        <v>Grief Support Group</v>
      </c>
      <c r="E1461" s="1" t="str">
        <f aca="false">IFERROR(INDEX(MAP!$K$7:$K$101,MATCH(TRIM(C1461),MAP!$I$7:$I$101,0)),"")</f>
        <v>Behavioral health</v>
      </c>
      <c r="F1461" s="1" t="str">
        <f aca="false">IFERROR(INDEX(MAP!$L$7:$L$101,MATCH(TRIM(C1461),MAP!$I$7:$I$101,0)),"")</f>
        <v>Event</v>
      </c>
      <c r="G1461" s="1" t="n">
        <f aca="false">IFERROR(MATCH(A1461,CONFIRM!$A$5:$A$53,0),0)</f>
        <v>0</v>
      </c>
      <c r="H1461" s="48" t="str">
        <f aca="false">STACK!F1461</f>
        <v>CHIS - Support</v>
      </c>
      <c r="I1461" s="1" t="str">
        <f aca="false">IF(G1461&gt;0,IF(INDEX(CONFIRM!$I$5:$I$53,G1461)&lt;&gt;"",INDEX(CONFIRM!$I$5:$I$53,G1461),H1461),H1461)</f>
        <v>CHIS - Support</v>
      </c>
      <c r="J1461" s="1" t="str">
        <f aca="false">IFERROR(INDEX(MAP!$F$7:$F$74,MATCH(TRIM(I1461),MAP!$E$7:$E$74,0)),"UNMAPPED")</f>
        <v>Health care support services</v>
      </c>
      <c r="K1461" s="1" t="str">
        <f aca="false">IFERROR(INDEX(MAP!$G$7:$G$74,MATCH(TRIM(I1461),MAP!$E$7:$E$74,0)),"UNMAPPED")</f>
        <v>7e</v>
      </c>
      <c r="L1461" s="49" t="str">
        <f aca="false">STACK!G1461</f>
        <v>01-Nov-2025</v>
      </c>
      <c r="M1461" s="59" t="n">
        <f aca="false">IF(G1461&gt;0,IF(INDEX(CONFIRM!$G$5:$G$53,G1461)&lt;&gt;"",INDEX(CONFIRM!$G$5:$G$53,G1461),IF(ISNUMBER(L1461),L1461,IFERROR(DATEVALUE(L1461),""))),IF(ISNUMBER(L1461),L1461,IFERROR(DATEVALUE(L1461),"")))</f>
        <v>45962</v>
      </c>
      <c r="N1461" s="1" t="str">
        <f aca="false">IF(M1461="","Check",IF(AND(M1461&gt;=INPUTS!$C$6,M1461&lt;=INPUTS!$C$7),"Yes","No"))</f>
        <v>Yes</v>
      </c>
      <c r="O1461" s="48" t="str">
        <f aca="false">STACK!H1461</f>
        <v>Chaplain Resident</v>
      </c>
      <c r="P1461" s="1" t="str">
        <f aca="false">IF(G1461&gt;0,IF(INDEX(CONFIRM!$H$5:$H$53,G1461)&lt;&gt;"",INDEX(CONFIRM!$H$5:$H$53,G1461),IFERROR(INDEX(MAP!$B$7:$B$156,MATCH(TRIM(O1461),MAP!$A$7:$A$156,0)),"UNMAPPED")),IFERROR(INDEX(MAP!$B$7:$B$156,MATCH(TRIM(O1461),MAP!$A$7:$A$156,0)),"UNMAPPED"))</f>
        <v>Chaplain</v>
      </c>
      <c r="Q1461" s="48" t="n">
        <f aca="false">STACK!I1461</f>
        <v>2</v>
      </c>
      <c r="R1461" s="60" t="n">
        <f aca="false">IF(G1461&gt;0,IF(INDEX(CONFIRM!$F$5:$F$53,G1461)&lt;&gt;"",INDEX(CONFIRM!$F$5:$F$53,G1461),IF(ISNUMBER(Q1461),Q1461,IF(Q1461="","",IFERROR(VALUE(TRIM(SUBSTITUTE(SUBSTITUTE(LOWER(Q1461),"hrs",""),"hr",""))),"")))),IF(ISNUMBER(Q1461),Q1461,IF(Q1461="","",IFERROR(VALUE(TRIM(SUBSTITUTE(SUBSTITUTE(LOWER(Q1461),"hrs",""),"hr",""))),""))))</f>
        <v>2</v>
      </c>
      <c r="S1461" s="57" t="n">
        <f aca="false">IFERROR(INDEX(RATES!$E$6:$E$28,MATCH(P1461,RATES!$A$6:$A$28,0)),0)</f>
        <v>39.835</v>
      </c>
      <c r="T1461" s="61" t="n">
        <f aca="false">IF(ISNUMBER(R1461),R1461,0)*S1461</f>
        <v>79.67</v>
      </c>
      <c r="U1461" s="61" t="n">
        <f aca="false">T1461*INDEX(INPUTS!$H$10:$H$14,MATCH(B1461,INPUTS!$A$10:$A$14,0))</f>
        <v>12.03017</v>
      </c>
      <c r="V1461" s="61" t="n">
        <f aca="false">N(STACK!K1461)</f>
        <v>35</v>
      </c>
      <c r="W1461" s="61" t="n">
        <f aca="false">T1461+U1461+V1461</f>
        <v>126.70017</v>
      </c>
      <c r="X1461" s="61" t="n">
        <f aca="false">N(STACK!L1461)</f>
        <v>0</v>
      </c>
      <c r="Y1461" s="61" t="n">
        <f aca="false">W1461-X1461</f>
        <v>126.70017</v>
      </c>
      <c r="Z1461" s="1" t="n">
        <f aca="false">N(STACK!J1461)</f>
        <v>9</v>
      </c>
      <c r="AA1461" s="1" t="str">
        <f aca="false">TRIM(IF(D1461="UNMAPPED","Program not mapped. ","")&amp;IF(OR(K1461="UNMAPPED",K1461="UNASSIGNED"),"Category needs review. ","")&amp;IF(P1461="UNMAPPED","Title not mapped. ","")&amp;IF(AND(P1461&lt;&gt;"No staff time",R1461=""),"Missing hours. ","")&amp;IF(M1461="","Date not readable. ","")&amp;IF(N1461="No","Outside fiscal year. ","")&amp;IF(AND(F1461="Event",ISNUMBER(R1461)),IF(R1461&gt;12,"Event hours look high. ",""),"")&amp;IF(G1461&gt;0,"See CONFIRM sheet.",""))</f>
        <v/>
      </c>
      <c r="AB1461" s="1" t="n">
        <f aca="false">IF(N1461="No",0,IF(REVIEW!O1461=0,0,IF(G1461&gt;0,IF(INDEX(CONFIRM!$J$5:$J$53,G1461)&lt;&gt;"",INDEX(CONFIRM!$J$5:$J$53,G1461),1),1)))</f>
        <v>1</v>
      </c>
      <c r="AC1461" s="1" t="n">
        <f aca="false">IF(AB1461=1,IF(COUNTIFS($B$5:B1461,B1461,$D$5:D1461,D1461,$AB$5:AB1461,1)=1,1,0),0)</f>
        <v>0</v>
      </c>
    </row>
    <row r="1462" customFormat="false" ht="15" hidden="false" customHeight="false" outlineLevel="0" collapsed="false">
      <c r="A1462" s="48" t="str">
        <f aca="false">STACK!A1462</f>
        <v>QHH-0081</v>
      </c>
      <c r="B1462" s="48" t="str">
        <f aca="false">STACK!B1462</f>
        <v>QHH</v>
      </c>
      <c r="C1462" s="48" t="str">
        <f aca="false">STACK!E1462</f>
        <v>Grief Support Group</v>
      </c>
      <c r="D1462" s="1" t="str">
        <f aca="false">IFERROR(INDEX(MAP!$J$7:$J$101,MATCH(TRIM(C1462),MAP!$I$7:$I$101,0)),"UNMAPPED")</f>
        <v>Grief Support Group</v>
      </c>
      <c r="E1462" s="1" t="str">
        <f aca="false">IFERROR(INDEX(MAP!$K$7:$K$101,MATCH(TRIM(C1462),MAP!$I$7:$I$101,0)),"")</f>
        <v>Behavioral health</v>
      </c>
      <c r="F1462" s="1" t="str">
        <f aca="false">IFERROR(INDEX(MAP!$L$7:$L$101,MATCH(TRIM(C1462),MAP!$I$7:$I$101,0)),"")</f>
        <v>Event</v>
      </c>
      <c r="G1462" s="1" t="n">
        <f aca="false">IFERROR(MATCH(A1462,CONFIRM!$A$5:$A$53,0),0)</f>
        <v>0</v>
      </c>
      <c r="H1462" s="48" t="str">
        <f aca="false">STACK!F1462</f>
        <v>CHIS - Support</v>
      </c>
      <c r="I1462" s="1" t="str">
        <f aca="false">IF(G1462&gt;0,IF(INDEX(CONFIRM!$I$5:$I$53,G1462)&lt;&gt;"",INDEX(CONFIRM!$I$5:$I$53,G1462),H1462),H1462)</f>
        <v>CHIS - Support</v>
      </c>
      <c r="J1462" s="1" t="str">
        <f aca="false">IFERROR(INDEX(MAP!$F$7:$F$74,MATCH(TRIM(I1462),MAP!$E$7:$E$74,0)),"UNMAPPED")</f>
        <v>Health care support services</v>
      </c>
      <c r="K1462" s="1" t="str">
        <f aca="false">IFERROR(INDEX(MAP!$G$7:$G$74,MATCH(TRIM(I1462),MAP!$E$7:$E$74,0)),"UNMAPPED")</f>
        <v>7e</v>
      </c>
      <c r="L1462" s="49" t="str">
        <f aca="false">STACK!G1462</f>
        <v>01-Nov-2025</v>
      </c>
      <c r="M1462" s="59" t="n">
        <f aca="false">IF(G1462&gt;0,IF(INDEX(CONFIRM!$G$5:$G$53,G1462)&lt;&gt;"",INDEX(CONFIRM!$G$5:$G$53,G1462),IF(ISNUMBER(L1462),L1462,IFERROR(DATEVALUE(L1462),""))),IF(ISNUMBER(L1462),L1462,IFERROR(DATEVALUE(L1462),"")))</f>
        <v>45962</v>
      </c>
      <c r="N1462" s="1" t="str">
        <f aca="false">IF(M1462="","Check",IF(AND(M1462&gt;=INPUTS!$C$6,M1462&lt;=INPUTS!$C$7),"Yes","No"))</f>
        <v>Yes</v>
      </c>
      <c r="O1462" s="48" t="str">
        <f aca="false">STACK!H1462</f>
        <v>Social Work</v>
      </c>
      <c r="P1462" s="1" t="str">
        <f aca="false">IF(G1462&gt;0,IF(INDEX(CONFIRM!$H$5:$H$53,G1462)&lt;&gt;"",INDEX(CONFIRM!$H$5:$H$53,G1462),IFERROR(INDEX(MAP!$B$7:$B$156,MATCH(TRIM(O1462),MAP!$A$7:$A$156,0)),"UNMAPPED")),IFERROR(INDEX(MAP!$B$7:$B$156,MATCH(TRIM(O1462),MAP!$A$7:$A$156,0)),"UNMAPPED"))</f>
        <v>Social Worker</v>
      </c>
      <c r="Q1462" s="48" t="n">
        <f aca="false">STACK!I1462</f>
        <v>1.5</v>
      </c>
      <c r="R1462" s="60" t="n">
        <f aca="false">IF(G1462&gt;0,IF(INDEX(CONFIRM!$F$5:$F$53,G1462)&lt;&gt;"",INDEX(CONFIRM!$F$5:$F$53,G1462),IF(ISNUMBER(Q1462),Q1462,IF(Q1462="","",IFERROR(VALUE(TRIM(SUBSTITUTE(SUBSTITUTE(LOWER(Q1462),"hrs",""),"hr",""))),"")))),IF(ISNUMBER(Q1462),Q1462,IF(Q1462="","",IFERROR(VALUE(TRIM(SUBSTITUTE(SUBSTITUTE(LOWER(Q1462),"hrs",""),"hr",""))),""))))</f>
        <v>1.5</v>
      </c>
      <c r="S1462" s="57" t="n">
        <f aca="false">IFERROR(INDEX(RATES!$E$6:$E$28,MATCH(P1462,RATES!$A$6:$A$28,0)),0)</f>
        <v>45.6175</v>
      </c>
      <c r="T1462" s="61" t="n">
        <f aca="false">IF(ISNUMBER(R1462),R1462,0)*S1462</f>
        <v>68.42625</v>
      </c>
      <c r="U1462" s="61" t="n">
        <f aca="false">T1462*INDEX(INPUTS!$H$10:$H$14,MATCH(B1462,INPUTS!$A$10:$A$14,0))</f>
        <v>10.33236375</v>
      </c>
      <c r="V1462" s="61" t="n">
        <f aca="false">N(STACK!K1462)</f>
        <v>0</v>
      </c>
      <c r="W1462" s="61" t="n">
        <f aca="false">T1462+U1462+V1462</f>
        <v>78.75861375</v>
      </c>
      <c r="X1462" s="61" t="n">
        <f aca="false">N(STACK!L1462)</f>
        <v>0</v>
      </c>
      <c r="Y1462" s="61" t="n">
        <f aca="false">W1462-X1462</f>
        <v>78.75861375</v>
      </c>
      <c r="Z1462" s="1" t="n">
        <f aca="false">N(STACK!J1462)</f>
        <v>0</v>
      </c>
      <c r="AA1462" s="1" t="str">
        <f aca="false">TRIM(IF(D1462="UNMAPPED","Program not mapped. ","")&amp;IF(OR(K1462="UNMAPPED",K1462="UNASSIGNED"),"Category needs review. ","")&amp;IF(P1462="UNMAPPED","Title not mapped. ","")&amp;IF(AND(P1462&lt;&gt;"No staff time",R1462=""),"Missing hours. ","")&amp;IF(M1462="","Date not readable. ","")&amp;IF(N1462="No","Outside fiscal year. ","")&amp;IF(AND(F1462="Event",ISNUMBER(R1462)),IF(R1462&gt;12,"Event hours look high. ",""),"")&amp;IF(G1462&gt;0,"See CONFIRM sheet.",""))</f>
        <v/>
      </c>
      <c r="AB1462" s="1" t="n">
        <f aca="false">IF(N1462="No",0,IF(REVIEW!O1462=0,0,IF(G1462&gt;0,IF(INDEX(CONFIRM!$J$5:$J$53,G1462)&lt;&gt;"",INDEX(CONFIRM!$J$5:$J$53,G1462),1),1)))</f>
        <v>1</v>
      </c>
      <c r="AC1462" s="1" t="n">
        <f aca="false">IF(AB1462=1,IF(COUNTIFS($B$5:B1462,B1462,$D$5:D1462,D1462,$AB$5:AB1462,1)=1,1,0),0)</f>
        <v>0</v>
      </c>
    </row>
    <row r="1463" customFormat="false" ht="15" hidden="false" customHeight="false" outlineLevel="0" collapsed="false">
      <c r="A1463" s="48" t="str">
        <f aca="false">STACK!A1463</f>
        <v>QHH-0082</v>
      </c>
      <c r="B1463" s="48" t="str">
        <f aca="false">STACK!B1463</f>
        <v>QHH</v>
      </c>
      <c r="C1463" s="48" t="str">
        <f aca="false">STACK!E1463</f>
        <v>Youth Pathway Program</v>
      </c>
      <c r="D1463" s="1" t="str">
        <f aca="false">IFERROR(INDEX(MAP!$J$7:$J$101,MATCH(TRIM(C1463),MAP!$I$7:$I$101,0)),"UNMAPPED")</f>
        <v>Youth Health Careers Pathway</v>
      </c>
      <c r="E1463" s="1" t="str">
        <f aca="false">IFERROR(INDEX(MAP!$K$7:$K$101,MATCH(TRIM(C1463),MAP!$I$7:$I$101,0)),"")</f>
        <v>Health workforce</v>
      </c>
      <c r="F1463" s="1" t="str">
        <f aca="false">IFERROR(INDEX(MAP!$L$7:$L$101,MATCH(TRIM(C1463),MAP!$I$7:$I$101,0)),"")</f>
        <v>Event</v>
      </c>
      <c r="G1463" s="1" t="n">
        <f aca="false">IFERROR(MATCH(A1463,CONFIRM!$A$5:$A$53,0),0)</f>
        <v>0</v>
      </c>
      <c r="H1463" s="48" t="str">
        <f aca="false">STACK!F1463</f>
        <v>Workforce Dev (CB)</v>
      </c>
      <c r="I1463" s="1" t="str">
        <f aca="false">IF(G1463&gt;0,IF(INDEX(CONFIRM!$I$5:$I$53,G1463)&lt;&gt;"",INDEX(CONFIRM!$I$5:$I$53,G1463),H1463),H1463)</f>
        <v>Workforce Dev (CB)</v>
      </c>
      <c r="J1463" s="1" t="str">
        <f aca="false">IFERROR(INDEX(MAP!$F$7:$F$74,MATCH(TRIM(I1463),MAP!$E$7:$E$74,0)),"UNMAPPED")</f>
        <v>Community building: workforce development</v>
      </c>
      <c r="K1463" s="1" t="str">
        <f aca="false">IFERROR(INDEX(MAP!$G$7:$G$74,MATCH(TRIM(I1463),MAP!$E$7:$E$74,0)),"UNMAPPED")</f>
        <v>II-8</v>
      </c>
      <c r="L1463" s="49" t="str">
        <f aca="false">STACK!G1463</f>
        <v>05-Nov-2025</v>
      </c>
      <c r="M1463" s="59" t="n">
        <f aca="false">IF(G1463&gt;0,IF(INDEX(CONFIRM!$G$5:$G$53,G1463)&lt;&gt;"",INDEX(CONFIRM!$G$5:$G$53,G1463),IF(ISNUMBER(L1463),L1463,IFERROR(DATEVALUE(L1463),""))),IF(ISNUMBER(L1463),L1463,IFERROR(DATEVALUE(L1463),"")))</f>
        <v>45966</v>
      </c>
      <c r="N1463" s="1" t="str">
        <f aca="false">IF(M1463="","Check",IF(AND(M1463&gt;=INPUTS!$C$6,M1463&lt;=INPUTS!$C$7),"Yes","No"))</f>
        <v>Yes</v>
      </c>
      <c r="O1463" s="48" t="str">
        <f aca="false">STACK!H1463</f>
        <v>RN Educator</v>
      </c>
      <c r="P1463" s="1" t="str">
        <f aca="false">IF(G1463&gt;0,IF(INDEX(CONFIRM!$H$5:$H$53,G1463)&lt;&gt;"",INDEX(CONFIRM!$H$5:$H$53,G1463),IFERROR(INDEX(MAP!$B$7:$B$156,MATCH(TRIM(O1463),MAP!$A$7:$A$156,0)),"UNMAPPED")),IFERROR(INDEX(MAP!$B$7:$B$156,MATCH(TRIM(O1463),MAP!$A$7:$A$156,0)),"UNMAPPED"))</f>
        <v>Clinical Nurse Educator</v>
      </c>
      <c r="Q1463" s="48" t="n">
        <f aca="false">STACK!I1463</f>
        <v>3.25</v>
      </c>
      <c r="R1463" s="60" t="n">
        <f aca="false">IF(G1463&gt;0,IF(INDEX(CONFIRM!$F$5:$F$53,G1463)&lt;&gt;"",INDEX(CONFIRM!$F$5:$F$53,G1463),IF(ISNUMBER(Q1463),Q1463,IF(Q1463="","",IFERROR(VALUE(TRIM(SUBSTITUTE(SUBSTITUTE(LOWER(Q1463),"hrs",""),"hr",""))),"")))),IF(ISNUMBER(Q1463),Q1463,IF(Q1463="","",IFERROR(VALUE(TRIM(SUBSTITUTE(SUBSTITUTE(LOWER(Q1463),"hrs",""),"hr",""))),""))))</f>
        <v>3.25</v>
      </c>
      <c r="S1463" s="57" t="n">
        <f aca="false">IFERROR(INDEX(RATES!$E$6:$E$28,MATCH(P1463,RATES!$A$6:$A$28,0)),0)</f>
        <v>62.965</v>
      </c>
      <c r="T1463" s="61" t="n">
        <f aca="false">IF(ISNUMBER(R1463),R1463,0)*S1463</f>
        <v>204.63625</v>
      </c>
      <c r="U1463" s="61" t="n">
        <f aca="false">T1463*INDEX(INPUTS!$H$10:$H$14,MATCH(B1463,INPUTS!$A$10:$A$14,0))</f>
        <v>30.90007375</v>
      </c>
      <c r="V1463" s="61" t="n">
        <f aca="false">N(STACK!K1463)</f>
        <v>0</v>
      </c>
      <c r="W1463" s="61" t="n">
        <f aca="false">T1463+U1463+V1463</f>
        <v>235.53632375</v>
      </c>
      <c r="X1463" s="61" t="n">
        <f aca="false">N(STACK!L1463)</f>
        <v>0</v>
      </c>
      <c r="Y1463" s="61" t="n">
        <f aca="false">W1463-X1463</f>
        <v>235.53632375</v>
      </c>
      <c r="Z1463" s="1" t="n">
        <f aca="false">N(STACK!J1463)</f>
        <v>0</v>
      </c>
      <c r="AA1463" s="1" t="str">
        <f aca="false">TRIM(IF(D1463="UNMAPPED","Program not mapped. ","")&amp;IF(OR(K1463="UNMAPPED",K1463="UNASSIGNED"),"Category needs review. ","")&amp;IF(P1463="UNMAPPED","Title not mapped. ","")&amp;IF(AND(P1463&lt;&gt;"No staff time",R1463=""),"Missing hours. ","")&amp;IF(M1463="","Date not readable. ","")&amp;IF(N1463="No","Outside fiscal year. ","")&amp;IF(AND(F1463="Event",ISNUMBER(R1463)),IF(R1463&gt;12,"Event hours look high. ",""),"")&amp;IF(G1463&gt;0,"See CONFIRM sheet.",""))</f>
        <v/>
      </c>
      <c r="AB1463" s="1" t="n">
        <f aca="false">IF(N1463="No",0,IF(REVIEW!O1463=0,0,IF(G1463&gt;0,IF(INDEX(CONFIRM!$J$5:$J$53,G1463)&lt;&gt;"",INDEX(CONFIRM!$J$5:$J$53,G1463),1),1)))</f>
        <v>1</v>
      </c>
      <c r="AC1463" s="1" t="n">
        <f aca="false">IF(AB1463=1,IF(COUNTIFS($B$5:B1463,B1463,$D$5:D1463,D1463,$AB$5:AB1463,1)=1,1,0),0)</f>
        <v>1</v>
      </c>
    </row>
    <row r="1464" customFormat="false" ht="15" hidden="false" customHeight="false" outlineLevel="0" collapsed="false">
      <c r="A1464" s="48" t="str">
        <f aca="false">STACK!A1464</f>
        <v>QHH-0083</v>
      </c>
      <c r="B1464" s="48" t="str">
        <f aca="false">STACK!B1464</f>
        <v>QHH</v>
      </c>
      <c r="C1464" s="48" t="str">
        <f aca="false">STACK!E1464</f>
        <v>Youth Pathway Program</v>
      </c>
      <c r="D1464" s="1" t="str">
        <f aca="false">IFERROR(INDEX(MAP!$J$7:$J$101,MATCH(TRIM(C1464),MAP!$I$7:$I$101,0)),"UNMAPPED")</f>
        <v>Youth Health Careers Pathway</v>
      </c>
      <c r="E1464" s="1" t="str">
        <f aca="false">IFERROR(INDEX(MAP!$K$7:$K$101,MATCH(TRIM(C1464),MAP!$I$7:$I$101,0)),"")</f>
        <v>Health workforce</v>
      </c>
      <c r="F1464" s="1" t="str">
        <f aca="false">IFERROR(INDEX(MAP!$L$7:$L$101,MATCH(TRIM(C1464),MAP!$I$7:$I$101,0)),"")</f>
        <v>Event</v>
      </c>
      <c r="G1464" s="1" t="n">
        <f aca="false">IFERROR(MATCH(A1464,CONFIRM!$A$5:$A$53,0),0)</f>
        <v>0</v>
      </c>
      <c r="H1464" s="48" t="str">
        <f aca="false">STACK!F1464</f>
        <v>Workforce Dev (CB)</v>
      </c>
      <c r="I1464" s="1" t="str">
        <f aca="false">IF(G1464&gt;0,IF(INDEX(CONFIRM!$I$5:$I$53,G1464)&lt;&gt;"",INDEX(CONFIRM!$I$5:$I$53,G1464),H1464),H1464)</f>
        <v>Workforce Dev (CB)</v>
      </c>
      <c r="J1464" s="1" t="str">
        <f aca="false">IFERROR(INDEX(MAP!$F$7:$F$74,MATCH(TRIM(I1464),MAP!$E$7:$E$74,0)),"UNMAPPED")</f>
        <v>Community building: workforce development</v>
      </c>
      <c r="K1464" s="1" t="str">
        <f aca="false">IFERROR(INDEX(MAP!$G$7:$G$74,MATCH(TRIM(I1464),MAP!$E$7:$E$74,0)),"UNMAPPED")</f>
        <v>II-8</v>
      </c>
      <c r="L1464" s="49" t="str">
        <f aca="false">STACK!G1464</f>
        <v>05-Nov-2025</v>
      </c>
      <c r="M1464" s="59" t="n">
        <f aca="false">IF(G1464&gt;0,IF(INDEX(CONFIRM!$G$5:$G$53,G1464)&lt;&gt;"",INDEX(CONFIRM!$G$5:$G$53,G1464),IF(ISNUMBER(L1464),L1464,IFERROR(DATEVALUE(L1464),""))),IF(ISNUMBER(L1464),L1464,IFERROR(DATEVALUE(L1464),"")))</f>
        <v>45966</v>
      </c>
      <c r="N1464" s="1" t="str">
        <f aca="false">IF(M1464="","Check",IF(AND(M1464&gt;=INPUTS!$C$6,M1464&lt;=INPUTS!$C$7),"Yes","No"))</f>
        <v>Yes</v>
      </c>
      <c r="O1464" s="48" t="str">
        <f aca="false">STACK!H1464</f>
        <v>Residency Coordinator</v>
      </c>
      <c r="P1464" s="1" t="str">
        <f aca="false">IF(G1464&gt;0,IF(INDEX(CONFIRM!$H$5:$H$53,G1464)&lt;&gt;"",INDEX(CONFIRM!$H$5:$H$53,G1464),IFERROR(INDEX(MAP!$B$7:$B$156,MATCH(TRIM(O1464),MAP!$A$7:$A$156,0)),"UNMAPPED")),IFERROR(INDEX(MAP!$B$7:$B$156,MATCH(TRIM(O1464),MAP!$A$7:$A$156,0)),"UNMAPPED"))</f>
        <v>Program Coordinator</v>
      </c>
      <c r="Q1464" s="48" t="n">
        <f aca="false">STACK!I1464</f>
        <v>6.75</v>
      </c>
      <c r="R1464" s="60" t="n">
        <f aca="false">IF(G1464&gt;0,IF(INDEX(CONFIRM!$F$5:$F$53,G1464)&lt;&gt;"",INDEX(CONFIRM!$F$5:$F$53,G1464),IF(ISNUMBER(Q1464),Q1464,IF(Q1464="","",IFERROR(VALUE(TRIM(SUBSTITUTE(SUBSTITUTE(LOWER(Q1464),"hrs",""),"hr",""))),"")))),IF(ISNUMBER(Q1464),Q1464,IF(Q1464="","",IFERROR(VALUE(TRIM(SUBSTITUTE(SUBSTITUTE(LOWER(Q1464),"hrs",""),"hr",""))),""))))</f>
        <v>6.75</v>
      </c>
      <c r="S1464" s="57" t="n">
        <f aca="false">IFERROR(INDEX(RATES!$E$6:$E$28,MATCH(P1464,RATES!$A$6:$A$28,0)),0)</f>
        <v>35.3375</v>
      </c>
      <c r="T1464" s="61" t="n">
        <f aca="false">IF(ISNUMBER(R1464),R1464,0)*S1464</f>
        <v>238.528125</v>
      </c>
      <c r="U1464" s="61" t="n">
        <f aca="false">T1464*INDEX(INPUTS!$H$10:$H$14,MATCH(B1464,INPUTS!$A$10:$A$14,0))</f>
        <v>36.017746875</v>
      </c>
      <c r="V1464" s="61" t="n">
        <f aca="false">N(STACK!K1464)</f>
        <v>615</v>
      </c>
      <c r="W1464" s="61" t="n">
        <f aca="false">T1464+U1464+V1464</f>
        <v>889.545871875</v>
      </c>
      <c r="X1464" s="61" t="n">
        <f aca="false">N(STACK!L1464)</f>
        <v>0</v>
      </c>
      <c r="Y1464" s="61" t="n">
        <f aca="false">W1464-X1464</f>
        <v>889.545871875</v>
      </c>
      <c r="Z1464" s="1" t="n">
        <f aca="false">N(STACK!J1464)</f>
        <v>21</v>
      </c>
      <c r="AA1464" s="1" t="str">
        <f aca="false">TRIM(IF(D1464="UNMAPPED","Program not mapped. ","")&amp;IF(OR(K1464="UNMAPPED",K1464="UNASSIGNED"),"Category needs review. ","")&amp;IF(P1464="UNMAPPED","Title not mapped. ","")&amp;IF(AND(P1464&lt;&gt;"No staff time",R1464=""),"Missing hours. ","")&amp;IF(M1464="","Date not readable. ","")&amp;IF(N1464="No","Outside fiscal year. ","")&amp;IF(AND(F1464="Event",ISNUMBER(R1464)),IF(R1464&gt;12,"Event hours look high. ",""),"")&amp;IF(G1464&gt;0,"See CONFIRM sheet.",""))</f>
        <v/>
      </c>
      <c r="AB1464" s="1" t="n">
        <f aca="false">IF(N1464="No",0,IF(REVIEW!O1464=0,0,IF(G1464&gt;0,IF(INDEX(CONFIRM!$J$5:$J$53,G1464)&lt;&gt;"",INDEX(CONFIRM!$J$5:$J$53,G1464),1),1)))</f>
        <v>1</v>
      </c>
      <c r="AC1464" s="1" t="n">
        <f aca="false">IF(AB1464=1,IF(COUNTIFS($B$5:B1464,B1464,$D$5:D1464,D1464,$AB$5:AB1464,1)=1,1,0),0)</f>
        <v>0</v>
      </c>
    </row>
    <row r="1465" customFormat="false" ht="15" hidden="false" customHeight="false" outlineLevel="0" collapsed="false">
      <c r="A1465" s="48" t="str">
        <f aca="false">STACK!A1465</f>
        <v>QHH-0084</v>
      </c>
      <c r="B1465" s="48" t="str">
        <f aca="false">STACK!B1465</f>
        <v>QHH</v>
      </c>
      <c r="C1465" s="48" t="str">
        <f aca="false">STACK!E1465</f>
        <v>Childbirth Education</v>
      </c>
      <c r="D1465" s="1" t="str">
        <f aca="false">IFERROR(INDEX(MAP!$J$7:$J$101,MATCH(TRIM(C1465),MAP!$I$7:$I$101,0)),"UNMAPPED")</f>
        <v>Childbirth and Newborn Care Classes</v>
      </c>
      <c r="E1465" s="1" t="str">
        <f aca="false">IFERROR(INDEX(MAP!$K$7:$K$101,MATCH(TRIM(C1465),MAP!$I$7:$I$101,0)),"")</f>
        <v>Maternal and child health</v>
      </c>
      <c r="F1465" s="1" t="str">
        <f aca="false">IFERROR(INDEX(MAP!$L$7:$L$101,MATCH(TRIM(C1465),MAP!$I$7:$I$101,0)),"")</f>
        <v>Event</v>
      </c>
      <c r="G1465" s="1" t="n">
        <f aca="false">IFERROR(MATCH(A1465,CONFIRM!$A$5:$A$53,0),0)</f>
        <v>0</v>
      </c>
      <c r="H1465" s="48" t="str">
        <f aca="false">STACK!F1465</f>
        <v>CHIS - Education</v>
      </c>
      <c r="I1465" s="1" t="str">
        <f aca="false">IF(G1465&gt;0,IF(INDEX(CONFIRM!$I$5:$I$53,G1465)&lt;&gt;"",INDEX(CONFIRM!$I$5:$I$53,G1465),H1465),H1465)</f>
        <v>CHIS - Education</v>
      </c>
      <c r="J1465" s="1" t="str">
        <f aca="false">IFERROR(INDEX(MAP!$F$7:$F$74,MATCH(TRIM(I1465),MAP!$E$7:$E$74,0)),"UNMAPPED")</f>
        <v>Community health education</v>
      </c>
      <c r="K1465" s="1" t="str">
        <f aca="false">IFERROR(INDEX(MAP!$G$7:$G$74,MATCH(TRIM(I1465),MAP!$E$7:$E$74,0)),"UNMAPPED")</f>
        <v>7e</v>
      </c>
      <c r="L1465" s="49" t="str">
        <f aca="false">STACK!G1465</f>
        <v>10-Nov-2025</v>
      </c>
      <c r="M1465" s="59" t="n">
        <f aca="false">IF(G1465&gt;0,IF(INDEX(CONFIRM!$G$5:$G$53,G1465)&lt;&gt;"",INDEX(CONFIRM!$G$5:$G$53,G1465),IF(ISNUMBER(L1465),L1465,IFERROR(DATEVALUE(L1465),""))),IF(ISNUMBER(L1465),L1465,IFERROR(DATEVALUE(L1465),"")))</f>
        <v>45971</v>
      </c>
      <c r="N1465" s="1" t="str">
        <f aca="false">IF(M1465="","Check",IF(AND(M1465&gt;=INPUTS!$C$6,M1465&lt;=INPUTS!$C$7),"Yes","No"))</f>
        <v>Yes</v>
      </c>
      <c r="O1465" s="48" t="str">
        <f aca="false">STACK!H1465</f>
        <v>Educator, Nursing</v>
      </c>
      <c r="P1465" s="1" t="str">
        <f aca="false">IF(G1465&gt;0,IF(INDEX(CONFIRM!$H$5:$H$53,G1465)&lt;&gt;"",INDEX(CONFIRM!$H$5:$H$53,G1465),IFERROR(INDEX(MAP!$B$7:$B$156,MATCH(TRIM(O1465),MAP!$A$7:$A$156,0)),"UNMAPPED")),IFERROR(INDEX(MAP!$B$7:$B$156,MATCH(TRIM(O1465),MAP!$A$7:$A$156,0)),"UNMAPPED"))</f>
        <v>Clinical Nurse Educator</v>
      </c>
      <c r="Q1465" s="48" t="n">
        <f aca="false">STACK!I1465</f>
        <v>3.25</v>
      </c>
      <c r="R1465" s="60" t="n">
        <f aca="false">IF(G1465&gt;0,IF(INDEX(CONFIRM!$F$5:$F$53,G1465)&lt;&gt;"",INDEX(CONFIRM!$F$5:$F$53,G1465),IF(ISNUMBER(Q1465),Q1465,IF(Q1465="","",IFERROR(VALUE(TRIM(SUBSTITUTE(SUBSTITUTE(LOWER(Q1465),"hrs",""),"hr",""))),"")))),IF(ISNUMBER(Q1465),Q1465,IF(Q1465="","",IFERROR(VALUE(TRIM(SUBSTITUTE(SUBSTITUTE(LOWER(Q1465),"hrs",""),"hr",""))),""))))</f>
        <v>3.25</v>
      </c>
      <c r="S1465" s="57" t="n">
        <f aca="false">IFERROR(INDEX(RATES!$E$6:$E$28,MATCH(P1465,RATES!$A$6:$A$28,0)),0)</f>
        <v>62.965</v>
      </c>
      <c r="T1465" s="61" t="n">
        <f aca="false">IF(ISNUMBER(R1465),R1465,0)*S1465</f>
        <v>204.63625</v>
      </c>
      <c r="U1465" s="61" t="n">
        <f aca="false">T1465*INDEX(INPUTS!$H$10:$H$14,MATCH(B1465,INPUTS!$A$10:$A$14,0))</f>
        <v>30.90007375</v>
      </c>
      <c r="V1465" s="61" t="n">
        <f aca="false">N(STACK!K1465)</f>
        <v>115</v>
      </c>
      <c r="W1465" s="61" t="n">
        <f aca="false">T1465+U1465+V1465</f>
        <v>350.53632375</v>
      </c>
      <c r="X1465" s="61" t="n">
        <f aca="false">N(STACK!L1465)</f>
        <v>400</v>
      </c>
      <c r="Y1465" s="61" t="n">
        <f aca="false">W1465-X1465</f>
        <v>-49.4636762500001</v>
      </c>
      <c r="Z1465" s="1" t="n">
        <f aca="false">N(STACK!J1465)</f>
        <v>20</v>
      </c>
      <c r="AA1465" s="1" t="str">
        <f aca="false">TRIM(IF(D1465="UNMAPPED","Program not mapped. ","")&amp;IF(OR(K1465="UNMAPPED",K1465="UNASSIGNED"),"Category needs review. ","")&amp;IF(P1465="UNMAPPED","Title not mapped. ","")&amp;IF(AND(P1465&lt;&gt;"No staff time",R1465=""),"Missing hours. ","")&amp;IF(M1465="","Date not readable. ","")&amp;IF(N1465="No","Outside fiscal year. ","")&amp;IF(AND(F1465="Event",ISNUMBER(R1465)),IF(R1465&gt;12,"Event hours look high. ",""),"")&amp;IF(G1465&gt;0,"See CONFIRM sheet.",""))</f>
        <v/>
      </c>
      <c r="AB1465" s="1" t="n">
        <f aca="false">IF(N1465="No",0,IF(REVIEW!O1465=0,0,IF(G1465&gt;0,IF(INDEX(CONFIRM!$J$5:$J$53,G1465)&lt;&gt;"",INDEX(CONFIRM!$J$5:$J$53,G1465),1),1)))</f>
        <v>1</v>
      </c>
      <c r="AC1465" s="1" t="n">
        <f aca="false">IF(AB1465=1,IF(COUNTIFS($B$5:B1465,B1465,$D$5:D1465,D1465,$AB$5:AB1465,1)=1,1,0),0)</f>
        <v>0</v>
      </c>
    </row>
    <row r="1466" customFormat="false" ht="15" hidden="false" customHeight="false" outlineLevel="0" collapsed="false">
      <c r="A1466" s="48" t="str">
        <f aca="false">STACK!A1466</f>
        <v>QHH-0085</v>
      </c>
      <c r="B1466" s="48" t="str">
        <f aca="false">STACK!B1466</f>
        <v>QHH</v>
      </c>
      <c r="C1466" s="48" t="str">
        <f aca="false">STACK!E1466</f>
        <v>Blood Pressure Clinic</v>
      </c>
      <c r="D1466" s="1" t="str">
        <f aca="false">IFERROR(INDEX(MAP!$J$7:$J$101,MATCH(TRIM(C1466),MAP!$I$7:$I$101,0)),"UNMAPPED")</f>
        <v>Community Blood Pressure Checks</v>
      </c>
      <c r="E1466" s="1" t="str">
        <f aca="false">IFERROR(INDEX(MAP!$K$7:$K$101,MATCH(TRIM(C1466),MAP!$I$7:$I$101,0)),"")</f>
        <v>Chronic disease prevention</v>
      </c>
      <c r="F1466" s="1" t="str">
        <f aca="false">IFERROR(INDEX(MAP!$L$7:$L$101,MATCH(TRIM(C1466),MAP!$I$7:$I$101,0)),"")</f>
        <v>Event</v>
      </c>
      <c r="G1466" s="1" t="n">
        <f aca="false">IFERROR(MATCH(A1466,CONFIRM!$A$5:$A$53,0),0)</f>
        <v>0</v>
      </c>
      <c r="H1466" s="48" t="str">
        <f aca="false">STACK!F1466</f>
        <v>CHIS - Clinical</v>
      </c>
      <c r="I1466" s="1" t="str">
        <f aca="false">IF(G1466&gt;0,IF(INDEX(CONFIRM!$I$5:$I$53,G1466)&lt;&gt;"",INDEX(CONFIRM!$I$5:$I$53,G1466),H1466),H1466)</f>
        <v>CHIS - Clinical</v>
      </c>
      <c r="J1466" s="1" t="str">
        <f aca="false">IFERROR(INDEX(MAP!$F$7:$F$74,MATCH(TRIM(I1466),MAP!$E$7:$E$74,0)),"UNMAPPED")</f>
        <v>Community-based clinical services</v>
      </c>
      <c r="K1466" s="1" t="str">
        <f aca="false">IFERROR(INDEX(MAP!$G$7:$G$74,MATCH(TRIM(I1466),MAP!$E$7:$E$74,0)),"UNMAPPED")</f>
        <v>7e</v>
      </c>
      <c r="L1466" s="49" t="str">
        <f aca="false">STACK!G1466</f>
        <v>12-Nov-2025</v>
      </c>
      <c r="M1466" s="59" t="n">
        <f aca="false">IF(G1466&gt;0,IF(INDEX(CONFIRM!$G$5:$G$53,G1466)&lt;&gt;"",INDEX(CONFIRM!$G$5:$G$53,G1466),IF(ISNUMBER(L1466),L1466,IFERROR(DATEVALUE(L1466),""))),IF(ISNUMBER(L1466),L1466,IFERROR(DATEVALUE(L1466),"")))</f>
        <v>45973</v>
      </c>
      <c r="N1466" s="1" t="str">
        <f aca="false">IF(M1466="","Check",IF(AND(M1466&gt;=INPUTS!$C$6,M1466&lt;=INPUTS!$C$7),"Yes","No"))</f>
        <v>Yes</v>
      </c>
      <c r="O1466" s="48" t="str">
        <f aca="false">STACK!H1466</f>
        <v>Clinical RN</v>
      </c>
      <c r="P1466" s="1" t="str">
        <f aca="false">IF(G1466&gt;0,IF(INDEX(CONFIRM!$H$5:$H$53,G1466)&lt;&gt;"",INDEX(CONFIRM!$H$5:$H$53,G1466),IFERROR(INDEX(MAP!$B$7:$B$156,MATCH(TRIM(O1466),MAP!$A$7:$A$156,0)),"UNMAPPED")),IFERROR(INDEX(MAP!$B$7:$B$156,MATCH(TRIM(O1466),MAP!$A$7:$A$156,0)),"UNMAPPED"))</f>
        <v>Registered Nurse</v>
      </c>
      <c r="Q1466" s="48" t="n">
        <f aca="false">STACK!I1466</f>
        <v>3.75</v>
      </c>
      <c r="R1466" s="60" t="n">
        <f aca="false">IF(G1466&gt;0,IF(INDEX(CONFIRM!$F$5:$F$53,G1466)&lt;&gt;"",INDEX(CONFIRM!$F$5:$F$53,G1466),IF(ISNUMBER(Q1466),Q1466,IF(Q1466="","",IFERROR(VALUE(TRIM(SUBSTITUTE(SUBSTITUTE(LOWER(Q1466),"hrs",""),"hr",""))),"")))),IF(ISNUMBER(Q1466),Q1466,IF(Q1466="","",IFERROR(VALUE(TRIM(SUBSTITUTE(SUBSTITUTE(LOWER(Q1466),"hrs",""),"hr",""))),""))))</f>
        <v>3.75</v>
      </c>
      <c r="S1466" s="57" t="n">
        <f aca="false">IFERROR(INDEX(RATES!$E$6:$E$28,MATCH(P1466,RATES!$A$6:$A$28,0)),0)</f>
        <v>55.8975</v>
      </c>
      <c r="T1466" s="61" t="n">
        <f aca="false">IF(ISNUMBER(R1466),R1466,0)*S1466</f>
        <v>209.615625</v>
      </c>
      <c r="U1466" s="61" t="n">
        <f aca="false">T1466*INDEX(INPUTS!$H$10:$H$14,MATCH(B1466,INPUTS!$A$10:$A$14,0))</f>
        <v>31.651959375</v>
      </c>
      <c r="V1466" s="61" t="n">
        <f aca="false">N(STACK!K1466)</f>
        <v>95</v>
      </c>
      <c r="W1466" s="61" t="n">
        <f aca="false">T1466+U1466+V1466</f>
        <v>336.267584375</v>
      </c>
      <c r="X1466" s="61" t="n">
        <f aca="false">N(STACK!L1466)</f>
        <v>0</v>
      </c>
      <c r="Y1466" s="61" t="n">
        <f aca="false">W1466-X1466</f>
        <v>336.267584375</v>
      </c>
      <c r="Z1466" s="1" t="n">
        <f aca="false">N(STACK!J1466)</f>
        <v>67</v>
      </c>
      <c r="AA1466" s="1" t="str">
        <f aca="false">TRIM(IF(D1466="UNMAPPED","Program not mapped. ","")&amp;IF(OR(K1466="UNMAPPED",K1466="UNASSIGNED"),"Category needs review. ","")&amp;IF(P1466="UNMAPPED","Title not mapped. ","")&amp;IF(AND(P1466&lt;&gt;"No staff time",R1466=""),"Missing hours. ","")&amp;IF(M1466="","Date not readable. ","")&amp;IF(N1466="No","Outside fiscal year. ","")&amp;IF(AND(F1466="Event",ISNUMBER(R1466)),IF(R1466&gt;12,"Event hours look high. ",""),"")&amp;IF(G1466&gt;0,"See CONFIRM sheet.",""))</f>
        <v/>
      </c>
      <c r="AB1466" s="1" t="n">
        <f aca="false">IF(N1466="No",0,IF(REVIEW!O1466=0,0,IF(G1466&gt;0,IF(INDEX(CONFIRM!$J$5:$J$53,G1466)&lt;&gt;"",INDEX(CONFIRM!$J$5:$J$53,G1466),1),1)))</f>
        <v>1</v>
      </c>
      <c r="AC1466" s="1" t="n">
        <f aca="false">IF(AB1466=1,IF(COUNTIFS($B$5:B1466,B1466,$D$5:D1466,D1466,$AB$5:AB1466,1)=1,1,0),0)</f>
        <v>0</v>
      </c>
    </row>
    <row r="1467" customFormat="false" ht="15" hidden="false" customHeight="false" outlineLevel="0" collapsed="false">
      <c r="A1467" s="48" t="str">
        <f aca="false">STACK!A1467</f>
        <v>QHH-0086</v>
      </c>
      <c r="B1467" s="48" t="str">
        <f aca="false">STACK!B1467</f>
        <v>QHH</v>
      </c>
      <c r="C1467" s="48" t="str">
        <f aca="false">STACK!E1467</f>
        <v>Blood Pressure Clinic</v>
      </c>
      <c r="D1467" s="1" t="str">
        <f aca="false">IFERROR(INDEX(MAP!$J$7:$J$101,MATCH(TRIM(C1467),MAP!$I$7:$I$101,0)),"UNMAPPED")</f>
        <v>Community Blood Pressure Checks</v>
      </c>
      <c r="E1467" s="1" t="str">
        <f aca="false">IFERROR(INDEX(MAP!$K$7:$K$101,MATCH(TRIM(C1467),MAP!$I$7:$I$101,0)),"")</f>
        <v>Chronic disease prevention</v>
      </c>
      <c r="F1467" s="1" t="str">
        <f aca="false">IFERROR(INDEX(MAP!$L$7:$L$101,MATCH(TRIM(C1467),MAP!$I$7:$I$101,0)),"")</f>
        <v>Event</v>
      </c>
      <c r="G1467" s="1" t="n">
        <f aca="false">IFERROR(MATCH(A1467,CONFIRM!$A$5:$A$53,0),0)</f>
        <v>0</v>
      </c>
      <c r="H1467" s="48" t="str">
        <f aca="false">STACK!F1467</f>
        <v>CHIS - Clinical</v>
      </c>
      <c r="I1467" s="1" t="str">
        <f aca="false">IF(G1467&gt;0,IF(INDEX(CONFIRM!$I$5:$I$53,G1467)&lt;&gt;"",INDEX(CONFIRM!$I$5:$I$53,G1467),H1467),H1467)</f>
        <v>CHIS - Clinical</v>
      </c>
      <c r="J1467" s="1" t="str">
        <f aca="false">IFERROR(INDEX(MAP!$F$7:$F$74,MATCH(TRIM(I1467),MAP!$E$7:$E$74,0)),"UNMAPPED")</f>
        <v>Community-based clinical services</v>
      </c>
      <c r="K1467" s="1" t="str">
        <f aca="false">IFERROR(INDEX(MAP!$G$7:$G$74,MATCH(TRIM(I1467),MAP!$E$7:$E$74,0)),"UNMAPPED")</f>
        <v>7e</v>
      </c>
      <c r="L1467" s="49" t="str">
        <f aca="false">STACK!G1467</f>
        <v>19-Nov-2025</v>
      </c>
      <c r="M1467" s="59" t="n">
        <f aca="false">IF(G1467&gt;0,IF(INDEX(CONFIRM!$G$5:$G$53,G1467)&lt;&gt;"",INDEX(CONFIRM!$G$5:$G$53,G1467),IF(ISNUMBER(L1467),L1467,IFERROR(DATEVALUE(L1467),""))),IF(ISNUMBER(L1467),L1467,IFERROR(DATEVALUE(L1467),"")))</f>
        <v>45980</v>
      </c>
      <c r="N1467" s="1" t="str">
        <f aca="false">IF(M1467="","Check",IF(AND(M1467&gt;=INPUTS!$C$6,M1467&lt;=INPUTS!$C$7),"Yes","No"))</f>
        <v>Yes</v>
      </c>
      <c r="O1467" s="48" t="str">
        <f aca="false">STACK!H1467</f>
        <v>Clinical RN</v>
      </c>
      <c r="P1467" s="1" t="str">
        <f aca="false">IF(G1467&gt;0,IF(INDEX(CONFIRM!$H$5:$H$53,G1467)&lt;&gt;"",INDEX(CONFIRM!$H$5:$H$53,G1467),IFERROR(INDEX(MAP!$B$7:$B$156,MATCH(TRIM(O1467),MAP!$A$7:$A$156,0)),"UNMAPPED")),IFERROR(INDEX(MAP!$B$7:$B$156,MATCH(TRIM(O1467),MAP!$A$7:$A$156,0)),"UNMAPPED"))</f>
        <v>Registered Nurse</v>
      </c>
      <c r="Q1467" s="48" t="n">
        <f aca="false">STACK!I1467</f>
        <v>4.5</v>
      </c>
      <c r="R1467" s="60" t="n">
        <f aca="false">IF(G1467&gt;0,IF(INDEX(CONFIRM!$F$5:$F$53,G1467)&lt;&gt;"",INDEX(CONFIRM!$F$5:$F$53,G1467),IF(ISNUMBER(Q1467),Q1467,IF(Q1467="","",IFERROR(VALUE(TRIM(SUBSTITUTE(SUBSTITUTE(LOWER(Q1467),"hrs",""),"hr",""))),"")))),IF(ISNUMBER(Q1467),Q1467,IF(Q1467="","",IFERROR(VALUE(TRIM(SUBSTITUTE(SUBSTITUTE(LOWER(Q1467),"hrs",""),"hr",""))),""))))</f>
        <v>4.5</v>
      </c>
      <c r="S1467" s="57" t="n">
        <f aca="false">IFERROR(INDEX(RATES!$E$6:$E$28,MATCH(P1467,RATES!$A$6:$A$28,0)),0)</f>
        <v>55.8975</v>
      </c>
      <c r="T1467" s="61" t="n">
        <f aca="false">IF(ISNUMBER(R1467),R1467,0)*S1467</f>
        <v>251.53875</v>
      </c>
      <c r="U1467" s="61" t="n">
        <f aca="false">T1467*INDEX(INPUTS!$H$10:$H$14,MATCH(B1467,INPUTS!$A$10:$A$14,0))</f>
        <v>37.98235125</v>
      </c>
      <c r="V1467" s="61" t="n">
        <f aca="false">N(STACK!K1467)</f>
        <v>90</v>
      </c>
      <c r="W1467" s="61" t="n">
        <f aca="false">T1467+U1467+V1467</f>
        <v>379.52110125</v>
      </c>
      <c r="X1467" s="61" t="n">
        <f aca="false">N(STACK!L1467)</f>
        <v>0</v>
      </c>
      <c r="Y1467" s="61" t="n">
        <f aca="false">W1467-X1467</f>
        <v>379.52110125</v>
      </c>
      <c r="Z1467" s="1" t="n">
        <f aca="false">N(STACK!J1467)</f>
        <v>33</v>
      </c>
      <c r="AA1467" s="1" t="str">
        <f aca="false">TRIM(IF(D1467="UNMAPPED","Program not mapped. ","")&amp;IF(OR(K1467="UNMAPPED",K1467="UNASSIGNED"),"Category needs review. ","")&amp;IF(P1467="UNMAPPED","Title not mapped. ","")&amp;IF(AND(P1467&lt;&gt;"No staff time",R1467=""),"Missing hours. ","")&amp;IF(M1467="","Date not readable. ","")&amp;IF(N1467="No","Outside fiscal year. ","")&amp;IF(AND(F1467="Event",ISNUMBER(R1467)),IF(R1467&gt;12,"Event hours look high. ",""),"")&amp;IF(G1467&gt;0,"See CONFIRM sheet.",""))</f>
        <v/>
      </c>
      <c r="AB1467" s="1" t="n">
        <f aca="false">IF(N1467="No",0,IF(REVIEW!O1467=0,0,IF(G1467&gt;0,IF(INDEX(CONFIRM!$J$5:$J$53,G1467)&lt;&gt;"",INDEX(CONFIRM!$J$5:$J$53,G1467),1),1)))</f>
        <v>1</v>
      </c>
      <c r="AC1467" s="1" t="n">
        <f aca="false">IF(AB1467=1,IF(COUNTIFS($B$5:B1467,B1467,$D$5:D1467,D1467,$AB$5:AB1467,1)=1,1,0),0)</f>
        <v>0</v>
      </c>
    </row>
    <row r="1468" customFormat="false" ht="15" hidden="false" customHeight="false" outlineLevel="0" collapsed="false">
      <c r="A1468" s="48" t="str">
        <f aca="false">STACK!A1468</f>
        <v>QHH-0087</v>
      </c>
      <c r="B1468" s="48" t="str">
        <f aca="false">STACK!B1468</f>
        <v>QHH</v>
      </c>
      <c r="C1468" s="48" t="str">
        <f aca="false">STACK!E1468</f>
        <v>Diabetes Prevention Program</v>
      </c>
      <c r="D1468" s="1" t="str">
        <f aca="false">IFERROR(INDEX(MAP!$J$7:$J$101,MATCH(TRIM(C1468),MAP!$I$7:$I$101,0)),"UNMAPPED")</f>
        <v>Diabetes Prevention Classes</v>
      </c>
      <c r="E1468" s="1" t="str">
        <f aca="false">IFERROR(INDEX(MAP!$K$7:$K$101,MATCH(TRIM(C1468),MAP!$I$7:$I$101,0)),"")</f>
        <v>Chronic disease prevention</v>
      </c>
      <c r="F1468" s="1" t="str">
        <f aca="false">IFERROR(INDEX(MAP!$L$7:$L$101,MATCH(TRIM(C1468),MAP!$I$7:$I$101,0)),"")</f>
        <v>Event</v>
      </c>
      <c r="G1468" s="1" t="n">
        <f aca="false">IFERROR(MATCH(A1468,CONFIRM!$A$5:$A$53,0),0)</f>
        <v>0</v>
      </c>
      <c r="H1468" s="48" t="str">
        <f aca="false">STACK!F1468</f>
        <v>CHIS - Education</v>
      </c>
      <c r="I1468" s="1" t="str">
        <f aca="false">IF(G1468&gt;0,IF(INDEX(CONFIRM!$I$5:$I$53,G1468)&lt;&gt;"",INDEX(CONFIRM!$I$5:$I$53,G1468),H1468),H1468)</f>
        <v>CHIS - Education</v>
      </c>
      <c r="J1468" s="1" t="str">
        <f aca="false">IFERROR(INDEX(MAP!$F$7:$F$74,MATCH(TRIM(I1468),MAP!$E$7:$E$74,0)),"UNMAPPED")</f>
        <v>Community health education</v>
      </c>
      <c r="K1468" s="1" t="str">
        <f aca="false">IFERROR(INDEX(MAP!$G$7:$G$74,MATCH(TRIM(I1468),MAP!$E$7:$E$74,0)),"UNMAPPED")</f>
        <v>7e</v>
      </c>
      <c r="L1468" s="49" t="str">
        <f aca="false">STACK!G1468</f>
        <v>22-Nov-2025</v>
      </c>
      <c r="M1468" s="59" t="n">
        <f aca="false">IF(G1468&gt;0,IF(INDEX(CONFIRM!$G$5:$G$53,G1468)&lt;&gt;"",INDEX(CONFIRM!$G$5:$G$53,G1468),IF(ISNUMBER(L1468),L1468,IFERROR(DATEVALUE(L1468),""))),IF(ISNUMBER(L1468),L1468,IFERROR(DATEVALUE(L1468),"")))</f>
        <v>45983</v>
      </c>
      <c r="N1468" s="1" t="str">
        <f aca="false">IF(M1468="","Check",IF(AND(M1468&gt;=INPUTS!$C$6,M1468&lt;=INPUTS!$C$7),"Yes","No"))</f>
        <v>Yes</v>
      </c>
      <c r="O1468" s="48" t="str">
        <f aca="false">STACK!H1468</f>
        <v>Health Education Specialist</v>
      </c>
      <c r="P1468" s="1" t="str">
        <f aca="false">IF(G1468&gt;0,IF(INDEX(CONFIRM!$H$5:$H$53,G1468)&lt;&gt;"",INDEX(CONFIRM!$H$5:$H$53,G1468),IFERROR(INDEX(MAP!$B$7:$B$156,MATCH(TRIM(O1468),MAP!$A$7:$A$156,0)),"UNMAPPED")),IFERROR(INDEX(MAP!$B$7:$B$156,MATCH(TRIM(O1468),MAP!$A$7:$A$156,0)),"UNMAPPED"))</f>
        <v>Health Educator</v>
      </c>
      <c r="Q1468" s="48" t="n">
        <f aca="false">STACK!I1468</f>
        <v>2.25</v>
      </c>
      <c r="R1468" s="60" t="n">
        <f aca="false">IF(G1468&gt;0,IF(INDEX(CONFIRM!$F$5:$F$53,G1468)&lt;&gt;"",INDEX(CONFIRM!$F$5:$F$53,G1468),IF(ISNUMBER(Q1468),Q1468,IF(Q1468="","",IFERROR(VALUE(TRIM(SUBSTITUTE(SUBSTITUTE(LOWER(Q1468),"hrs",""),"hr",""))),"")))),IF(ISNUMBER(Q1468),Q1468,IF(Q1468="","",IFERROR(VALUE(TRIM(SUBSTITUTE(SUBSTITUTE(LOWER(Q1468),"hrs",""),"hr",""))),""))))</f>
        <v>2.25</v>
      </c>
      <c r="S1468" s="57" t="n">
        <f aca="false">IFERROR(INDEX(RATES!$E$6:$E$28,MATCH(P1468,RATES!$A$6:$A$28,0)),0)</f>
        <v>37.265</v>
      </c>
      <c r="T1468" s="61" t="n">
        <f aca="false">IF(ISNUMBER(R1468),R1468,0)*S1468</f>
        <v>83.84625</v>
      </c>
      <c r="U1468" s="61" t="n">
        <f aca="false">T1468*INDEX(INPUTS!$H$10:$H$14,MATCH(B1468,INPUTS!$A$10:$A$14,0))</f>
        <v>12.66078375</v>
      </c>
      <c r="V1468" s="61" t="n">
        <f aca="false">N(STACK!K1468)</f>
        <v>170</v>
      </c>
      <c r="W1468" s="61" t="n">
        <f aca="false">T1468+U1468+V1468</f>
        <v>266.50703375</v>
      </c>
      <c r="X1468" s="61" t="n">
        <f aca="false">N(STACK!L1468)</f>
        <v>0</v>
      </c>
      <c r="Y1468" s="61" t="n">
        <f aca="false">W1468-X1468</f>
        <v>266.50703375</v>
      </c>
      <c r="Z1468" s="1" t="n">
        <f aca="false">N(STACK!J1468)</f>
        <v>16</v>
      </c>
      <c r="AA1468" s="1" t="str">
        <f aca="false">TRIM(IF(D1468="UNMAPPED","Program not mapped. ","")&amp;IF(OR(K1468="UNMAPPED",K1468="UNASSIGNED"),"Category needs review. ","")&amp;IF(P1468="UNMAPPED","Title not mapped. ","")&amp;IF(AND(P1468&lt;&gt;"No staff time",R1468=""),"Missing hours. ","")&amp;IF(M1468="","Date not readable. ","")&amp;IF(N1468="No","Outside fiscal year. ","")&amp;IF(AND(F1468="Event",ISNUMBER(R1468)),IF(R1468&gt;12,"Event hours look high. ",""),"")&amp;IF(G1468&gt;0,"See CONFIRM sheet.",""))</f>
        <v/>
      </c>
      <c r="AB1468" s="1" t="n">
        <f aca="false">IF(N1468="No",0,IF(REVIEW!O1468=0,0,IF(G1468&gt;0,IF(INDEX(CONFIRM!$J$5:$J$53,G1468)&lt;&gt;"",INDEX(CONFIRM!$J$5:$J$53,G1468),1),1)))</f>
        <v>1</v>
      </c>
      <c r="AC1468" s="1" t="n">
        <f aca="false">IF(AB1468=1,IF(COUNTIFS($B$5:B1468,B1468,$D$5:D1468,D1468,$AB$5:AB1468,1)=1,1,0),0)</f>
        <v>0</v>
      </c>
    </row>
    <row r="1469" customFormat="false" ht="15" hidden="false" customHeight="false" outlineLevel="0" collapsed="false">
      <c r="A1469" s="48" t="str">
        <f aca="false">STACK!A1469</f>
        <v>QHH-0088</v>
      </c>
      <c r="B1469" s="48" t="str">
        <f aca="false">STACK!B1469</f>
        <v>QHH</v>
      </c>
      <c r="C1469" s="48" t="str">
        <f aca="false">STACK!E1469</f>
        <v>Diabetes Prevention Program</v>
      </c>
      <c r="D1469" s="1" t="str">
        <f aca="false">IFERROR(INDEX(MAP!$J$7:$J$101,MATCH(TRIM(C1469),MAP!$I$7:$I$101,0)),"UNMAPPED")</f>
        <v>Diabetes Prevention Classes</v>
      </c>
      <c r="E1469" s="1" t="str">
        <f aca="false">IFERROR(INDEX(MAP!$K$7:$K$101,MATCH(TRIM(C1469),MAP!$I$7:$I$101,0)),"")</f>
        <v>Chronic disease prevention</v>
      </c>
      <c r="F1469" s="1" t="str">
        <f aca="false">IFERROR(INDEX(MAP!$L$7:$L$101,MATCH(TRIM(C1469),MAP!$I$7:$I$101,0)),"")</f>
        <v>Event</v>
      </c>
      <c r="G1469" s="1" t="n">
        <f aca="false">IFERROR(MATCH(A1469,CONFIRM!$A$5:$A$53,0),0)</f>
        <v>0</v>
      </c>
      <c r="H1469" s="48" t="str">
        <f aca="false">STACK!F1469</f>
        <v>CHIS - Education</v>
      </c>
      <c r="I1469" s="1" t="str">
        <f aca="false">IF(G1469&gt;0,IF(INDEX(CONFIRM!$I$5:$I$53,G1469)&lt;&gt;"",INDEX(CONFIRM!$I$5:$I$53,G1469),H1469),H1469)</f>
        <v>CHIS - Education</v>
      </c>
      <c r="J1469" s="1" t="str">
        <f aca="false">IFERROR(INDEX(MAP!$F$7:$F$74,MATCH(TRIM(I1469),MAP!$E$7:$E$74,0)),"UNMAPPED")</f>
        <v>Community health education</v>
      </c>
      <c r="K1469" s="1" t="str">
        <f aca="false">IFERROR(INDEX(MAP!$G$7:$G$74,MATCH(TRIM(I1469),MAP!$E$7:$E$74,0)),"UNMAPPED")</f>
        <v>7e</v>
      </c>
      <c r="L1469" s="49" t="str">
        <f aca="false">STACK!G1469</f>
        <v>22-Nov-2025</v>
      </c>
      <c r="M1469" s="59" t="n">
        <f aca="false">IF(G1469&gt;0,IF(INDEX(CONFIRM!$G$5:$G$53,G1469)&lt;&gt;"",INDEX(CONFIRM!$G$5:$G$53,G1469),IF(ISNUMBER(L1469),L1469,IFERROR(DATEVALUE(L1469),""))),IF(ISNUMBER(L1469),L1469,IFERROR(DATEVALUE(L1469),"")))</f>
        <v>45983</v>
      </c>
      <c r="N1469" s="1" t="str">
        <f aca="false">IF(M1469="","Check",IF(AND(M1469&gt;=INPUTS!$C$6,M1469&lt;=INPUTS!$C$7),"Yes","No"))</f>
        <v>Yes</v>
      </c>
      <c r="O1469" s="48" t="str">
        <f aca="false">STACK!H1469</f>
        <v>Nutritionist</v>
      </c>
      <c r="P1469" s="1" t="str">
        <f aca="false">IF(G1469&gt;0,IF(INDEX(CONFIRM!$H$5:$H$53,G1469)&lt;&gt;"",INDEX(CONFIRM!$H$5:$H$53,G1469),IFERROR(INDEX(MAP!$B$7:$B$156,MATCH(TRIM(O1469),MAP!$A$7:$A$156,0)),"UNMAPPED")),IFERROR(INDEX(MAP!$B$7:$B$156,MATCH(TRIM(O1469),MAP!$A$7:$A$156,0)),"UNMAPPED"))</f>
        <v>Registered Dietitian</v>
      </c>
      <c r="Q1469" s="48" t="n">
        <f aca="false">STACK!I1469</f>
        <v>1.5</v>
      </c>
      <c r="R1469" s="60" t="n">
        <f aca="false">IF(G1469&gt;0,IF(INDEX(CONFIRM!$F$5:$F$53,G1469)&lt;&gt;"",INDEX(CONFIRM!$F$5:$F$53,G1469),IF(ISNUMBER(Q1469),Q1469,IF(Q1469="","",IFERROR(VALUE(TRIM(SUBSTITUTE(SUBSTITUTE(LOWER(Q1469),"hrs",""),"hr",""))),"")))),IF(ISNUMBER(Q1469),Q1469,IF(Q1469="","",IFERROR(VALUE(TRIM(SUBSTITUTE(SUBSTITUTE(LOWER(Q1469),"hrs",""),"hr",""))),""))))</f>
        <v>1.5</v>
      </c>
      <c r="S1469" s="57" t="n">
        <f aca="false">IFERROR(INDEX(RATES!$E$6:$E$28,MATCH(P1469,RATES!$A$6:$A$28,0)),0)</f>
        <v>46.9025</v>
      </c>
      <c r="T1469" s="61" t="n">
        <f aca="false">IF(ISNUMBER(R1469),R1469,0)*S1469</f>
        <v>70.35375</v>
      </c>
      <c r="U1469" s="61" t="n">
        <f aca="false">T1469*INDEX(INPUTS!$H$10:$H$14,MATCH(B1469,INPUTS!$A$10:$A$14,0))</f>
        <v>10.62341625</v>
      </c>
      <c r="V1469" s="61" t="n">
        <f aca="false">N(STACK!K1469)</f>
        <v>0</v>
      </c>
      <c r="W1469" s="61" t="n">
        <f aca="false">T1469+U1469+V1469</f>
        <v>80.97716625</v>
      </c>
      <c r="X1469" s="61" t="n">
        <f aca="false">N(STACK!L1469)</f>
        <v>0</v>
      </c>
      <c r="Y1469" s="61" t="n">
        <f aca="false">W1469-X1469</f>
        <v>80.97716625</v>
      </c>
      <c r="Z1469" s="1" t="n">
        <f aca="false">N(STACK!J1469)</f>
        <v>0</v>
      </c>
      <c r="AA1469" s="1" t="str">
        <f aca="false">TRIM(IF(D1469="UNMAPPED","Program not mapped. ","")&amp;IF(OR(K1469="UNMAPPED",K1469="UNASSIGNED"),"Category needs review. ","")&amp;IF(P1469="UNMAPPED","Title not mapped. ","")&amp;IF(AND(P1469&lt;&gt;"No staff time",R1469=""),"Missing hours. ","")&amp;IF(M1469="","Date not readable. ","")&amp;IF(N1469="No","Outside fiscal year. ","")&amp;IF(AND(F1469="Event",ISNUMBER(R1469)),IF(R1469&gt;12,"Event hours look high. ",""),"")&amp;IF(G1469&gt;0,"See CONFIRM sheet.",""))</f>
        <v/>
      </c>
      <c r="AB1469" s="1" t="n">
        <f aca="false">IF(N1469="No",0,IF(REVIEW!O1469=0,0,IF(G1469&gt;0,IF(INDEX(CONFIRM!$J$5:$J$53,G1469)&lt;&gt;"",INDEX(CONFIRM!$J$5:$J$53,G1469),1),1)))</f>
        <v>1</v>
      </c>
      <c r="AC1469" s="1" t="n">
        <f aca="false">IF(AB1469=1,IF(COUNTIFS($B$5:B1469,B1469,$D$5:D1469,D1469,$AB$5:AB1469,1)=1,1,0),0)</f>
        <v>0</v>
      </c>
    </row>
    <row r="1470" customFormat="false" ht="15" hidden="false" customHeight="false" outlineLevel="0" collapsed="false">
      <c r="A1470" s="48" t="str">
        <f aca="false">STACK!A1470</f>
        <v>QHH-0089</v>
      </c>
      <c r="B1470" s="48" t="str">
        <f aca="false">STACK!B1470</f>
        <v>QHH</v>
      </c>
      <c r="C1470" s="48" t="str">
        <f aca="false">STACK!E1470</f>
        <v>Grief Support Group</v>
      </c>
      <c r="D1470" s="1" t="str">
        <f aca="false">IFERROR(INDEX(MAP!$J$7:$J$101,MATCH(TRIM(C1470),MAP!$I$7:$I$101,0)),"UNMAPPED")</f>
        <v>Grief Support Group</v>
      </c>
      <c r="E1470" s="1" t="str">
        <f aca="false">IFERROR(INDEX(MAP!$K$7:$K$101,MATCH(TRIM(C1470),MAP!$I$7:$I$101,0)),"")</f>
        <v>Behavioral health</v>
      </c>
      <c r="F1470" s="1" t="str">
        <f aca="false">IFERROR(INDEX(MAP!$L$7:$L$101,MATCH(TRIM(C1470),MAP!$I$7:$I$101,0)),"")</f>
        <v>Event</v>
      </c>
      <c r="G1470" s="1" t="n">
        <f aca="false">IFERROR(MATCH(A1470,CONFIRM!$A$5:$A$53,0),0)</f>
        <v>0</v>
      </c>
      <c r="H1470" s="48" t="str">
        <f aca="false">STACK!F1470</f>
        <v>CHIS - Support</v>
      </c>
      <c r="I1470" s="1" t="str">
        <f aca="false">IF(G1470&gt;0,IF(INDEX(CONFIRM!$I$5:$I$53,G1470)&lt;&gt;"",INDEX(CONFIRM!$I$5:$I$53,G1470),H1470),H1470)</f>
        <v>CHIS - Support</v>
      </c>
      <c r="J1470" s="1" t="str">
        <f aca="false">IFERROR(INDEX(MAP!$F$7:$F$74,MATCH(TRIM(I1470),MAP!$E$7:$E$74,0)),"UNMAPPED")</f>
        <v>Health care support services</v>
      </c>
      <c r="K1470" s="1" t="str">
        <f aca="false">IFERROR(INDEX(MAP!$G$7:$G$74,MATCH(TRIM(I1470),MAP!$E$7:$E$74,0)),"UNMAPPED")</f>
        <v>7e</v>
      </c>
      <c r="L1470" s="49" t="str">
        <f aca="false">STACK!G1470</f>
        <v>22-Nov-2025</v>
      </c>
      <c r="M1470" s="59" t="n">
        <f aca="false">IF(G1470&gt;0,IF(INDEX(CONFIRM!$G$5:$G$53,G1470)&lt;&gt;"",INDEX(CONFIRM!$G$5:$G$53,G1470),IF(ISNUMBER(L1470),L1470,IFERROR(DATEVALUE(L1470),""))),IF(ISNUMBER(L1470),L1470,IFERROR(DATEVALUE(L1470),"")))</f>
        <v>45983</v>
      </c>
      <c r="N1470" s="1" t="str">
        <f aca="false">IF(M1470="","Check",IF(AND(M1470&gt;=INPUTS!$C$6,M1470&lt;=INPUTS!$C$7),"Yes","No"))</f>
        <v>Yes</v>
      </c>
      <c r="O1470" s="48" t="str">
        <f aca="false">STACK!H1470</f>
        <v>Chaplain Resident</v>
      </c>
      <c r="P1470" s="1" t="str">
        <f aca="false">IF(G1470&gt;0,IF(INDEX(CONFIRM!$H$5:$H$53,G1470)&lt;&gt;"",INDEX(CONFIRM!$H$5:$H$53,G1470),IFERROR(INDEX(MAP!$B$7:$B$156,MATCH(TRIM(O1470),MAP!$A$7:$A$156,0)),"UNMAPPED")),IFERROR(INDEX(MAP!$B$7:$B$156,MATCH(TRIM(O1470),MAP!$A$7:$A$156,0)),"UNMAPPED"))</f>
        <v>Chaplain</v>
      </c>
      <c r="Q1470" s="48" t="n">
        <f aca="false">STACK!I1470</f>
        <v>2</v>
      </c>
      <c r="R1470" s="60" t="n">
        <f aca="false">IF(G1470&gt;0,IF(INDEX(CONFIRM!$F$5:$F$53,G1470)&lt;&gt;"",INDEX(CONFIRM!$F$5:$F$53,G1470),IF(ISNUMBER(Q1470),Q1470,IF(Q1470="","",IFERROR(VALUE(TRIM(SUBSTITUTE(SUBSTITUTE(LOWER(Q1470),"hrs",""),"hr",""))),"")))),IF(ISNUMBER(Q1470),Q1470,IF(Q1470="","",IFERROR(VALUE(TRIM(SUBSTITUTE(SUBSTITUTE(LOWER(Q1470),"hrs",""),"hr",""))),""))))</f>
        <v>2</v>
      </c>
      <c r="S1470" s="57" t="n">
        <f aca="false">IFERROR(INDEX(RATES!$E$6:$E$28,MATCH(P1470,RATES!$A$6:$A$28,0)),0)</f>
        <v>39.835</v>
      </c>
      <c r="T1470" s="61" t="n">
        <f aca="false">IF(ISNUMBER(R1470),R1470,0)*S1470</f>
        <v>79.67</v>
      </c>
      <c r="U1470" s="61" t="n">
        <f aca="false">T1470*INDEX(INPUTS!$H$10:$H$14,MATCH(B1470,INPUTS!$A$10:$A$14,0))</f>
        <v>12.03017</v>
      </c>
      <c r="V1470" s="61" t="n">
        <f aca="false">N(STACK!K1470)</f>
        <v>25</v>
      </c>
      <c r="W1470" s="61" t="n">
        <f aca="false">T1470+U1470+V1470</f>
        <v>116.70017</v>
      </c>
      <c r="X1470" s="61" t="n">
        <f aca="false">N(STACK!L1470)</f>
        <v>0</v>
      </c>
      <c r="Y1470" s="61" t="n">
        <f aca="false">W1470-X1470</f>
        <v>116.70017</v>
      </c>
      <c r="Z1470" s="1" t="n">
        <f aca="false">N(STACK!J1470)</f>
        <v>14</v>
      </c>
      <c r="AA1470" s="1" t="str">
        <f aca="false">TRIM(IF(D1470="UNMAPPED","Program not mapped. ","")&amp;IF(OR(K1470="UNMAPPED",K1470="UNASSIGNED"),"Category needs review. ","")&amp;IF(P1470="UNMAPPED","Title not mapped. ","")&amp;IF(AND(P1470&lt;&gt;"No staff time",R1470=""),"Missing hours. ","")&amp;IF(M1470="","Date not readable. ","")&amp;IF(N1470="No","Outside fiscal year. ","")&amp;IF(AND(F1470="Event",ISNUMBER(R1470)),IF(R1470&gt;12,"Event hours look high. ",""),"")&amp;IF(G1470&gt;0,"See CONFIRM sheet.",""))</f>
        <v/>
      </c>
      <c r="AB1470" s="1" t="n">
        <f aca="false">IF(N1470="No",0,IF(REVIEW!O1470=0,0,IF(G1470&gt;0,IF(INDEX(CONFIRM!$J$5:$J$53,G1470)&lt;&gt;"",INDEX(CONFIRM!$J$5:$J$53,G1470),1),1)))</f>
        <v>1</v>
      </c>
      <c r="AC1470" s="1" t="n">
        <f aca="false">IF(AB1470=1,IF(COUNTIFS($B$5:B1470,B1470,$D$5:D1470,D1470,$AB$5:AB1470,1)=1,1,0),0)</f>
        <v>0</v>
      </c>
    </row>
    <row r="1471" customFormat="false" ht="15" hidden="false" customHeight="false" outlineLevel="0" collapsed="false">
      <c r="A1471" s="48" t="str">
        <f aca="false">STACK!A1471</f>
        <v>QHH-0090</v>
      </c>
      <c r="B1471" s="48" t="str">
        <f aca="false">STACK!B1471</f>
        <v>QHH</v>
      </c>
      <c r="C1471" s="48" t="str">
        <f aca="false">STACK!E1471</f>
        <v>Grief Support Group</v>
      </c>
      <c r="D1471" s="1" t="str">
        <f aca="false">IFERROR(INDEX(MAP!$J$7:$J$101,MATCH(TRIM(C1471),MAP!$I$7:$I$101,0)),"UNMAPPED")</f>
        <v>Grief Support Group</v>
      </c>
      <c r="E1471" s="1" t="str">
        <f aca="false">IFERROR(INDEX(MAP!$K$7:$K$101,MATCH(TRIM(C1471),MAP!$I$7:$I$101,0)),"")</f>
        <v>Behavioral health</v>
      </c>
      <c r="F1471" s="1" t="str">
        <f aca="false">IFERROR(INDEX(MAP!$L$7:$L$101,MATCH(TRIM(C1471),MAP!$I$7:$I$101,0)),"")</f>
        <v>Event</v>
      </c>
      <c r="G1471" s="1" t="n">
        <f aca="false">IFERROR(MATCH(A1471,CONFIRM!$A$5:$A$53,0),0)</f>
        <v>0</v>
      </c>
      <c r="H1471" s="48" t="str">
        <f aca="false">STACK!F1471</f>
        <v>CHIS - Support</v>
      </c>
      <c r="I1471" s="1" t="str">
        <f aca="false">IF(G1471&gt;0,IF(INDEX(CONFIRM!$I$5:$I$53,G1471)&lt;&gt;"",INDEX(CONFIRM!$I$5:$I$53,G1471),H1471),H1471)</f>
        <v>CHIS - Support</v>
      </c>
      <c r="J1471" s="1" t="str">
        <f aca="false">IFERROR(INDEX(MAP!$F$7:$F$74,MATCH(TRIM(I1471),MAP!$E$7:$E$74,0)),"UNMAPPED")</f>
        <v>Health care support services</v>
      </c>
      <c r="K1471" s="1" t="str">
        <f aca="false">IFERROR(INDEX(MAP!$G$7:$G$74,MATCH(TRIM(I1471),MAP!$E$7:$E$74,0)),"UNMAPPED")</f>
        <v>7e</v>
      </c>
      <c r="L1471" s="49" t="str">
        <f aca="false">STACK!G1471</f>
        <v>22-Nov-2025</v>
      </c>
      <c r="M1471" s="59" t="n">
        <f aca="false">IF(G1471&gt;0,IF(INDEX(CONFIRM!$G$5:$G$53,G1471)&lt;&gt;"",INDEX(CONFIRM!$G$5:$G$53,G1471),IF(ISNUMBER(L1471),L1471,IFERROR(DATEVALUE(L1471),""))),IF(ISNUMBER(L1471),L1471,IFERROR(DATEVALUE(L1471),"")))</f>
        <v>45983</v>
      </c>
      <c r="N1471" s="1" t="str">
        <f aca="false">IF(M1471="","Check",IF(AND(M1471&gt;=INPUTS!$C$6,M1471&lt;=INPUTS!$C$7),"Yes","No"))</f>
        <v>Yes</v>
      </c>
      <c r="O1471" s="48" t="str">
        <f aca="false">STACK!H1471</f>
        <v>LCSW</v>
      </c>
      <c r="P1471" s="1" t="str">
        <f aca="false">IF(G1471&gt;0,IF(INDEX(CONFIRM!$H$5:$H$53,G1471)&lt;&gt;"",INDEX(CONFIRM!$H$5:$H$53,G1471),IFERROR(INDEX(MAP!$B$7:$B$156,MATCH(TRIM(O1471),MAP!$A$7:$A$156,0)),"UNMAPPED")),IFERROR(INDEX(MAP!$B$7:$B$156,MATCH(TRIM(O1471),MAP!$A$7:$A$156,0)),"UNMAPPED"))</f>
        <v>Social Worker</v>
      </c>
      <c r="Q1471" s="48" t="n">
        <f aca="false">STACK!I1471</f>
        <v>1.75</v>
      </c>
      <c r="R1471" s="60" t="n">
        <f aca="false">IF(G1471&gt;0,IF(INDEX(CONFIRM!$F$5:$F$53,G1471)&lt;&gt;"",INDEX(CONFIRM!$F$5:$F$53,G1471),IF(ISNUMBER(Q1471),Q1471,IF(Q1471="","",IFERROR(VALUE(TRIM(SUBSTITUTE(SUBSTITUTE(LOWER(Q1471),"hrs",""),"hr",""))),"")))),IF(ISNUMBER(Q1471),Q1471,IF(Q1471="","",IFERROR(VALUE(TRIM(SUBSTITUTE(SUBSTITUTE(LOWER(Q1471),"hrs",""),"hr",""))),""))))</f>
        <v>1.75</v>
      </c>
      <c r="S1471" s="57" t="n">
        <f aca="false">IFERROR(INDEX(RATES!$E$6:$E$28,MATCH(P1471,RATES!$A$6:$A$28,0)),0)</f>
        <v>45.6175</v>
      </c>
      <c r="T1471" s="61" t="n">
        <f aca="false">IF(ISNUMBER(R1471),R1471,0)*S1471</f>
        <v>79.830625</v>
      </c>
      <c r="U1471" s="61" t="n">
        <f aca="false">T1471*INDEX(INPUTS!$H$10:$H$14,MATCH(B1471,INPUTS!$A$10:$A$14,0))</f>
        <v>12.054424375</v>
      </c>
      <c r="V1471" s="61" t="n">
        <f aca="false">N(STACK!K1471)</f>
        <v>0</v>
      </c>
      <c r="W1471" s="61" t="n">
        <f aca="false">T1471+U1471+V1471</f>
        <v>91.885049375</v>
      </c>
      <c r="X1471" s="61" t="n">
        <f aca="false">N(STACK!L1471)</f>
        <v>0</v>
      </c>
      <c r="Y1471" s="61" t="n">
        <f aca="false">W1471-X1471</f>
        <v>91.885049375</v>
      </c>
      <c r="Z1471" s="1" t="n">
        <f aca="false">N(STACK!J1471)</f>
        <v>0</v>
      </c>
      <c r="AA1471" s="1" t="str">
        <f aca="false">TRIM(IF(D1471="UNMAPPED","Program not mapped. ","")&amp;IF(OR(K1471="UNMAPPED",K1471="UNASSIGNED"),"Category needs review. ","")&amp;IF(P1471="UNMAPPED","Title not mapped. ","")&amp;IF(AND(P1471&lt;&gt;"No staff time",R1471=""),"Missing hours. ","")&amp;IF(M1471="","Date not readable. ","")&amp;IF(N1471="No","Outside fiscal year. ","")&amp;IF(AND(F1471="Event",ISNUMBER(R1471)),IF(R1471&gt;12,"Event hours look high. ",""),"")&amp;IF(G1471&gt;0,"See CONFIRM sheet.",""))</f>
        <v/>
      </c>
      <c r="AB1471" s="1" t="n">
        <f aca="false">IF(N1471="No",0,IF(REVIEW!O1471=0,0,IF(G1471&gt;0,IF(INDEX(CONFIRM!$J$5:$J$53,G1471)&lt;&gt;"",INDEX(CONFIRM!$J$5:$J$53,G1471),1),1)))</f>
        <v>1</v>
      </c>
      <c r="AC1471" s="1" t="n">
        <f aca="false">IF(AB1471=1,IF(COUNTIFS($B$5:B1471,B1471,$D$5:D1471,D1471,$AB$5:AB1471,1)=1,1,0),0)</f>
        <v>0</v>
      </c>
    </row>
    <row r="1472" customFormat="false" ht="15" hidden="false" customHeight="false" outlineLevel="0" collapsed="false">
      <c r="A1472" s="48" t="str">
        <f aca="false">STACK!A1472</f>
        <v>QHH-0091</v>
      </c>
      <c r="B1472" s="48" t="str">
        <f aca="false">STACK!B1472</f>
        <v>QHH</v>
      </c>
      <c r="C1472" s="48" t="str">
        <f aca="false">STACK!E1472</f>
        <v>Grief Support Group</v>
      </c>
      <c r="D1472" s="1" t="str">
        <f aca="false">IFERROR(INDEX(MAP!$J$7:$J$101,MATCH(TRIM(C1472),MAP!$I$7:$I$101,0)),"UNMAPPED")</f>
        <v>Grief Support Group</v>
      </c>
      <c r="E1472" s="1" t="str">
        <f aca="false">IFERROR(INDEX(MAP!$K$7:$K$101,MATCH(TRIM(C1472),MAP!$I$7:$I$101,0)),"")</f>
        <v>Behavioral health</v>
      </c>
      <c r="F1472" s="1" t="str">
        <f aca="false">IFERROR(INDEX(MAP!$L$7:$L$101,MATCH(TRIM(C1472),MAP!$I$7:$I$101,0)),"")</f>
        <v>Event</v>
      </c>
      <c r="G1472" s="1" t="n">
        <f aca="false">IFERROR(MATCH(A1472,CONFIRM!$A$5:$A$53,0),0)</f>
        <v>0</v>
      </c>
      <c r="H1472" s="48" t="str">
        <f aca="false">STACK!F1472</f>
        <v>CHIS - Support</v>
      </c>
      <c r="I1472" s="1" t="str">
        <f aca="false">IF(G1472&gt;0,IF(INDEX(CONFIRM!$I$5:$I$53,G1472)&lt;&gt;"",INDEX(CONFIRM!$I$5:$I$53,G1472),H1472),H1472)</f>
        <v>CHIS - Support</v>
      </c>
      <c r="J1472" s="1" t="str">
        <f aca="false">IFERROR(INDEX(MAP!$F$7:$F$74,MATCH(TRIM(I1472),MAP!$E$7:$E$74,0)),"UNMAPPED")</f>
        <v>Health care support services</v>
      </c>
      <c r="K1472" s="1" t="str">
        <f aca="false">IFERROR(INDEX(MAP!$G$7:$G$74,MATCH(TRIM(I1472),MAP!$E$7:$E$74,0)),"UNMAPPED")</f>
        <v>7e</v>
      </c>
      <c r="L1472" s="49" t="str">
        <f aca="false">STACK!G1472</f>
        <v>24-Nov-2025</v>
      </c>
      <c r="M1472" s="59" t="n">
        <f aca="false">IF(G1472&gt;0,IF(INDEX(CONFIRM!$G$5:$G$53,G1472)&lt;&gt;"",INDEX(CONFIRM!$G$5:$G$53,G1472),IF(ISNUMBER(L1472),L1472,IFERROR(DATEVALUE(L1472),""))),IF(ISNUMBER(L1472),L1472,IFERROR(DATEVALUE(L1472),"")))</f>
        <v>45985</v>
      </c>
      <c r="N1472" s="1" t="str">
        <f aca="false">IF(M1472="","Check",IF(AND(M1472&gt;=INPUTS!$C$6,M1472&lt;=INPUTS!$C$7),"Yes","No"))</f>
        <v>Yes</v>
      </c>
      <c r="O1472" s="48" t="str">
        <f aca="false">STACK!H1472</f>
        <v>Chaplain Resident</v>
      </c>
      <c r="P1472" s="1" t="str">
        <f aca="false">IF(G1472&gt;0,IF(INDEX(CONFIRM!$H$5:$H$53,G1472)&lt;&gt;"",INDEX(CONFIRM!$H$5:$H$53,G1472),IFERROR(INDEX(MAP!$B$7:$B$156,MATCH(TRIM(O1472),MAP!$A$7:$A$156,0)),"UNMAPPED")),IFERROR(INDEX(MAP!$B$7:$B$156,MATCH(TRIM(O1472),MAP!$A$7:$A$156,0)),"UNMAPPED"))</f>
        <v>Chaplain</v>
      </c>
      <c r="Q1472" s="48" t="n">
        <f aca="false">STACK!I1472</f>
        <v>2.5</v>
      </c>
      <c r="R1472" s="60" t="n">
        <f aca="false">IF(G1472&gt;0,IF(INDEX(CONFIRM!$F$5:$F$53,G1472)&lt;&gt;"",INDEX(CONFIRM!$F$5:$F$53,G1472),IF(ISNUMBER(Q1472),Q1472,IF(Q1472="","",IFERROR(VALUE(TRIM(SUBSTITUTE(SUBSTITUTE(LOWER(Q1472),"hrs",""),"hr",""))),"")))),IF(ISNUMBER(Q1472),Q1472,IF(Q1472="","",IFERROR(VALUE(TRIM(SUBSTITUTE(SUBSTITUTE(LOWER(Q1472),"hrs",""),"hr",""))),""))))</f>
        <v>2.5</v>
      </c>
      <c r="S1472" s="57" t="n">
        <f aca="false">IFERROR(INDEX(RATES!$E$6:$E$28,MATCH(P1472,RATES!$A$6:$A$28,0)),0)</f>
        <v>39.835</v>
      </c>
      <c r="T1472" s="61" t="n">
        <f aca="false">IF(ISNUMBER(R1472),R1472,0)*S1472</f>
        <v>99.5875</v>
      </c>
      <c r="U1472" s="61" t="n">
        <f aca="false">T1472*INDEX(INPUTS!$H$10:$H$14,MATCH(B1472,INPUTS!$A$10:$A$14,0))</f>
        <v>15.0377125</v>
      </c>
      <c r="V1472" s="61" t="n">
        <f aca="false">N(STACK!K1472)</f>
        <v>35</v>
      </c>
      <c r="W1472" s="61" t="n">
        <f aca="false">T1472+U1472+V1472</f>
        <v>149.6252125</v>
      </c>
      <c r="X1472" s="61" t="n">
        <f aca="false">N(STACK!L1472)</f>
        <v>0</v>
      </c>
      <c r="Y1472" s="61" t="n">
        <f aca="false">W1472-X1472</f>
        <v>149.6252125</v>
      </c>
      <c r="Z1472" s="1" t="n">
        <f aca="false">N(STACK!J1472)</f>
        <v>13</v>
      </c>
      <c r="AA1472" s="1" t="str">
        <f aca="false">TRIM(IF(D1472="UNMAPPED","Program not mapped. ","")&amp;IF(OR(K1472="UNMAPPED",K1472="UNASSIGNED"),"Category needs review. ","")&amp;IF(P1472="UNMAPPED","Title not mapped. ","")&amp;IF(AND(P1472&lt;&gt;"No staff time",R1472=""),"Missing hours. ","")&amp;IF(M1472="","Date not readable. ","")&amp;IF(N1472="No","Outside fiscal year. ","")&amp;IF(AND(F1472="Event",ISNUMBER(R1472)),IF(R1472&gt;12,"Event hours look high. ",""),"")&amp;IF(G1472&gt;0,"See CONFIRM sheet.",""))</f>
        <v/>
      </c>
      <c r="AB1472" s="1" t="n">
        <f aca="false">IF(N1472="No",0,IF(REVIEW!O1472=0,0,IF(G1472&gt;0,IF(INDEX(CONFIRM!$J$5:$J$53,G1472)&lt;&gt;"",INDEX(CONFIRM!$J$5:$J$53,G1472),1),1)))</f>
        <v>1</v>
      </c>
      <c r="AC1472" s="1" t="n">
        <f aca="false">IF(AB1472=1,IF(COUNTIFS($B$5:B1472,B1472,$D$5:D1472,D1472,$AB$5:AB1472,1)=1,1,0),0)</f>
        <v>0</v>
      </c>
    </row>
    <row r="1473" customFormat="false" ht="15" hidden="false" customHeight="false" outlineLevel="0" collapsed="false">
      <c r="A1473" s="48" t="str">
        <f aca="false">STACK!A1473</f>
        <v>QHH-0092</v>
      </c>
      <c r="B1473" s="48" t="str">
        <f aca="false">STACK!B1473</f>
        <v>QHH</v>
      </c>
      <c r="C1473" s="48" t="str">
        <f aca="false">STACK!E1473</f>
        <v>Grief Support Group</v>
      </c>
      <c r="D1473" s="1" t="str">
        <f aca="false">IFERROR(INDEX(MAP!$J$7:$J$101,MATCH(TRIM(C1473),MAP!$I$7:$I$101,0)),"UNMAPPED")</f>
        <v>Grief Support Group</v>
      </c>
      <c r="E1473" s="1" t="str">
        <f aca="false">IFERROR(INDEX(MAP!$K$7:$K$101,MATCH(TRIM(C1473),MAP!$I$7:$I$101,0)),"")</f>
        <v>Behavioral health</v>
      </c>
      <c r="F1473" s="1" t="str">
        <f aca="false">IFERROR(INDEX(MAP!$L$7:$L$101,MATCH(TRIM(C1473),MAP!$I$7:$I$101,0)),"")</f>
        <v>Event</v>
      </c>
      <c r="G1473" s="1" t="n">
        <f aca="false">IFERROR(MATCH(A1473,CONFIRM!$A$5:$A$53,0),0)</f>
        <v>0</v>
      </c>
      <c r="H1473" s="48" t="str">
        <f aca="false">STACK!F1473</f>
        <v>CHIS - Support</v>
      </c>
      <c r="I1473" s="1" t="str">
        <f aca="false">IF(G1473&gt;0,IF(INDEX(CONFIRM!$I$5:$I$53,G1473)&lt;&gt;"",INDEX(CONFIRM!$I$5:$I$53,G1473),H1473),H1473)</f>
        <v>CHIS - Support</v>
      </c>
      <c r="J1473" s="1" t="str">
        <f aca="false">IFERROR(INDEX(MAP!$F$7:$F$74,MATCH(TRIM(I1473),MAP!$E$7:$E$74,0)),"UNMAPPED")</f>
        <v>Health care support services</v>
      </c>
      <c r="K1473" s="1" t="str">
        <f aca="false">IFERROR(INDEX(MAP!$G$7:$G$74,MATCH(TRIM(I1473),MAP!$E$7:$E$74,0)),"UNMAPPED")</f>
        <v>7e</v>
      </c>
      <c r="L1473" s="49" t="str">
        <f aca="false">STACK!G1473</f>
        <v>24-Nov-2025</v>
      </c>
      <c r="M1473" s="59" t="n">
        <f aca="false">IF(G1473&gt;0,IF(INDEX(CONFIRM!$G$5:$G$53,G1473)&lt;&gt;"",INDEX(CONFIRM!$G$5:$G$53,G1473),IF(ISNUMBER(L1473),L1473,IFERROR(DATEVALUE(L1473),""))),IF(ISNUMBER(L1473),L1473,IFERROR(DATEVALUE(L1473),"")))</f>
        <v>45985</v>
      </c>
      <c r="N1473" s="1" t="str">
        <f aca="false">IF(M1473="","Check",IF(AND(M1473&gt;=INPUTS!$C$6,M1473&lt;=INPUTS!$C$7),"Yes","No"))</f>
        <v>Yes</v>
      </c>
      <c r="O1473" s="48" t="str">
        <f aca="false">STACK!H1473</f>
        <v>Clinical Social Worker</v>
      </c>
      <c r="P1473" s="1" t="str">
        <f aca="false">IF(G1473&gt;0,IF(INDEX(CONFIRM!$H$5:$H$53,G1473)&lt;&gt;"",INDEX(CONFIRM!$H$5:$H$53,G1473),IFERROR(INDEX(MAP!$B$7:$B$156,MATCH(TRIM(O1473),MAP!$A$7:$A$156,0)),"UNMAPPED")),IFERROR(INDEX(MAP!$B$7:$B$156,MATCH(TRIM(O1473),MAP!$A$7:$A$156,0)),"UNMAPPED"))</f>
        <v>Social Worker</v>
      </c>
      <c r="Q1473" s="48" t="n">
        <f aca="false">STACK!I1473</f>
        <v>2</v>
      </c>
      <c r="R1473" s="60" t="n">
        <f aca="false">IF(G1473&gt;0,IF(INDEX(CONFIRM!$F$5:$F$53,G1473)&lt;&gt;"",INDEX(CONFIRM!$F$5:$F$53,G1473),IF(ISNUMBER(Q1473),Q1473,IF(Q1473="","",IFERROR(VALUE(TRIM(SUBSTITUTE(SUBSTITUTE(LOWER(Q1473),"hrs",""),"hr",""))),"")))),IF(ISNUMBER(Q1473),Q1473,IF(Q1473="","",IFERROR(VALUE(TRIM(SUBSTITUTE(SUBSTITUTE(LOWER(Q1473),"hrs",""),"hr",""))),""))))</f>
        <v>2</v>
      </c>
      <c r="S1473" s="57" t="n">
        <f aca="false">IFERROR(INDEX(RATES!$E$6:$E$28,MATCH(P1473,RATES!$A$6:$A$28,0)),0)</f>
        <v>45.6175</v>
      </c>
      <c r="T1473" s="61" t="n">
        <f aca="false">IF(ISNUMBER(R1473),R1473,0)*S1473</f>
        <v>91.235</v>
      </c>
      <c r="U1473" s="61" t="n">
        <f aca="false">T1473*INDEX(INPUTS!$H$10:$H$14,MATCH(B1473,INPUTS!$A$10:$A$14,0))</f>
        <v>13.776485</v>
      </c>
      <c r="V1473" s="61" t="n">
        <f aca="false">N(STACK!K1473)</f>
        <v>0</v>
      </c>
      <c r="W1473" s="61" t="n">
        <f aca="false">T1473+U1473+V1473</f>
        <v>105.011485</v>
      </c>
      <c r="X1473" s="61" t="n">
        <f aca="false">N(STACK!L1473)</f>
        <v>0</v>
      </c>
      <c r="Y1473" s="61" t="n">
        <f aca="false">W1473-X1473</f>
        <v>105.011485</v>
      </c>
      <c r="Z1473" s="1" t="n">
        <f aca="false">N(STACK!J1473)</f>
        <v>0</v>
      </c>
      <c r="AA1473" s="1" t="str">
        <f aca="false">TRIM(IF(D1473="UNMAPPED","Program not mapped. ","")&amp;IF(OR(K1473="UNMAPPED",K1473="UNASSIGNED"),"Category needs review. ","")&amp;IF(P1473="UNMAPPED","Title not mapped. ","")&amp;IF(AND(P1473&lt;&gt;"No staff time",R1473=""),"Missing hours. ","")&amp;IF(M1473="","Date not readable. ","")&amp;IF(N1473="No","Outside fiscal year. ","")&amp;IF(AND(F1473="Event",ISNUMBER(R1473)),IF(R1473&gt;12,"Event hours look high. ",""),"")&amp;IF(G1473&gt;0,"See CONFIRM sheet.",""))</f>
        <v/>
      </c>
      <c r="AB1473" s="1" t="n">
        <f aca="false">IF(N1473="No",0,IF(REVIEW!O1473=0,0,IF(G1473&gt;0,IF(INDEX(CONFIRM!$J$5:$J$53,G1473)&lt;&gt;"",INDEX(CONFIRM!$J$5:$J$53,G1473),1),1)))</f>
        <v>1</v>
      </c>
      <c r="AC1473" s="1" t="n">
        <f aca="false">IF(AB1473=1,IF(COUNTIFS($B$5:B1473,B1473,$D$5:D1473,D1473,$AB$5:AB1473,1)=1,1,0),0)</f>
        <v>0</v>
      </c>
    </row>
    <row r="1474" customFormat="false" ht="15" hidden="false" customHeight="false" outlineLevel="0" collapsed="false">
      <c r="A1474" s="48" t="str">
        <f aca="false">STACK!A1474</f>
        <v>QHH-0093</v>
      </c>
      <c r="B1474" s="48" t="str">
        <f aca="false">STACK!B1474</f>
        <v>QHH</v>
      </c>
      <c r="C1474" s="48" t="str">
        <f aca="false">STACK!E1474</f>
        <v>Diabetes Prevention Program</v>
      </c>
      <c r="D1474" s="1" t="str">
        <f aca="false">IFERROR(INDEX(MAP!$J$7:$J$101,MATCH(TRIM(C1474),MAP!$I$7:$I$101,0)),"UNMAPPED")</f>
        <v>Diabetes Prevention Classes</v>
      </c>
      <c r="E1474" s="1" t="str">
        <f aca="false">IFERROR(INDEX(MAP!$K$7:$K$101,MATCH(TRIM(C1474),MAP!$I$7:$I$101,0)),"")</f>
        <v>Chronic disease prevention</v>
      </c>
      <c r="F1474" s="1" t="str">
        <f aca="false">IFERROR(INDEX(MAP!$L$7:$L$101,MATCH(TRIM(C1474),MAP!$I$7:$I$101,0)),"")</f>
        <v>Event</v>
      </c>
      <c r="G1474" s="1" t="n">
        <f aca="false">IFERROR(MATCH(A1474,CONFIRM!$A$5:$A$53,0),0)</f>
        <v>0</v>
      </c>
      <c r="H1474" s="48" t="str">
        <f aca="false">STACK!F1474</f>
        <v>CHIS - Education</v>
      </c>
      <c r="I1474" s="1" t="str">
        <f aca="false">IF(G1474&gt;0,IF(INDEX(CONFIRM!$I$5:$I$53,G1474)&lt;&gt;"",INDEX(CONFIRM!$I$5:$I$53,G1474),H1474),H1474)</f>
        <v>CHIS - Education</v>
      </c>
      <c r="J1474" s="1" t="str">
        <f aca="false">IFERROR(INDEX(MAP!$F$7:$F$74,MATCH(TRIM(I1474),MAP!$E$7:$E$74,0)),"UNMAPPED")</f>
        <v>Community health education</v>
      </c>
      <c r="K1474" s="1" t="str">
        <f aca="false">IFERROR(INDEX(MAP!$G$7:$G$74,MATCH(TRIM(I1474),MAP!$E$7:$E$74,0)),"UNMAPPED")</f>
        <v>7e</v>
      </c>
      <c r="L1474" s="49" t="str">
        <f aca="false">STACK!G1474</f>
        <v>25-Nov-2025</v>
      </c>
      <c r="M1474" s="59" t="n">
        <f aca="false">IF(G1474&gt;0,IF(INDEX(CONFIRM!$G$5:$G$53,G1474)&lt;&gt;"",INDEX(CONFIRM!$G$5:$G$53,G1474),IF(ISNUMBER(L1474),L1474,IFERROR(DATEVALUE(L1474),""))),IF(ISNUMBER(L1474),L1474,IFERROR(DATEVALUE(L1474),"")))</f>
        <v>45986</v>
      </c>
      <c r="N1474" s="1" t="str">
        <f aca="false">IF(M1474="","Check",IF(AND(M1474&gt;=INPUTS!$C$6,M1474&lt;=INPUTS!$C$7),"Yes","No"))</f>
        <v>Yes</v>
      </c>
      <c r="O1474" s="48" t="str">
        <f aca="false">STACK!H1474</f>
        <v>Wellness Educator</v>
      </c>
      <c r="P1474" s="1" t="str">
        <f aca="false">IF(G1474&gt;0,IF(INDEX(CONFIRM!$H$5:$H$53,G1474)&lt;&gt;"",INDEX(CONFIRM!$H$5:$H$53,G1474),IFERROR(INDEX(MAP!$B$7:$B$156,MATCH(TRIM(O1474),MAP!$A$7:$A$156,0)),"UNMAPPED")),IFERROR(INDEX(MAP!$B$7:$B$156,MATCH(TRIM(O1474),MAP!$A$7:$A$156,0)),"UNMAPPED"))</f>
        <v>Health Educator</v>
      </c>
      <c r="Q1474" s="48" t="n">
        <f aca="false">STACK!I1474</f>
        <v>2.25</v>
      </c>
      <c r="R1474" s="60" t="n">
        <f aca="false">IF(G1474&gt;0,IF(INDEX(CONFIRM!$F$5:$F$53,G1474)&lt;&gt;"",INDEX(CONFIRM!$F$5:$F$53,G1474),IF(ISNUMBER(Q1474),Q1474,IF(Q1474="","",IFERROR(VALUE(TRIM(SUBSTITUTE(SUBSTITUTE(LOWER(Q1474),"hrs",""),"hr",""))),"")))),IF(ISNUMBER(Q1474),Q1474,IF(Q1474="","",IFERROR(VALUE(TRIM(SUBSTITUTE(SUBSTITUTE(LOWER(Q1474),"hrs",""),"hr",""))),""))))</f>
        <v>2.25</v>
      </c>
      <c r="S1474" s="57" t="n">
        <f aca="false">IFERROR(INDEX(RATES!$E$6:$E$28,MATCH(P1474,RATES!$A$6:$A$28,0)),0)</f>
        <v>37.265</v>
      </c>
      <c r="T1474" s="61" t="n">
        <f aca="false">IF(ISNUMBER(R1474),R1474,0)*S1474</f>
        <v>83.84625</v>
      </c>
      <c r="U1474" s="61" t="n">
        <f aca="false">T1474*INDEX(INPUTS!$H$10:$H$14,MATCH(B1474,INPUTS!$A$10:$A$14,0))</f>
        <v>12.66078375</v>
      </c>
      <c r="V1474" s="61" t="n">
        <f aca="false">N(STACK!K1474)</f>
        <v>95</v>
      </c>
      <c r="W1474" s="61" t="n">
        <f aca="false">T1474+U1474+V1474</f>
        <v>191.50703375</v>
      </c>
      <c r="X1474" s="61" t="n">
        <f aca="false">N(STACK!L1474)</f>
        <v>0</v>
      </c>
      <c r="Y1474" s="61" t="n">
        <f aca="false">W1474-X1474</f>
        <v>191.50703375</v>
      </c>
      <c r="Z1474" s="1" t="n">
        <f aca="false">N(STACK!J1474)</f>
        <v>10</v>
      </c>
      <c r="AA1474" s="1" t="str">
        <f aca="false">TRIM(IF(D1474="UNMAPPED","Program not mapped. ","")&amp;IF(OR(K1474="UNMAPPED",K1474="UNASSIGNED"),"Category needs review. ","")&amp;IF(P1474="UNMAPPED","Title not mapped. ","")&amp;IF(AND(P1474&lt;&gt;"No staff time",R1474=""),"Missing hours. ","")&amp;IF(M1474="","Date not readable. ","")&amp;IF(N1474="No","Outside fiscal year. ","")&amp;IF(AND(F1474="Event",ISNUMBER(R1474)),IF(R1474&gt;12,"Event hours look high. ",""),"")&amp;IF(G1474&gt;0,"See CONFIRM sheet.",""))</f>
        <v/>
      </c>
      <c r="AB1474" s="1" t="n">
        <f aca="false">IF(N1474="No",0,IF(REVIEW!O1474=0,0,IF(G1474&gt;0,IF(INDEX(CONFIRM!$J$5:$J$53,G1474)&lt;&gt;"",INDEX(CONFIRM!$J$5:$J$53,G1474),1),1)))</f>
        <v>1</v>
      </c>
      <c r="AC1474" s="1" t="n">
        <f aca="false">IF(AB1474=1,IF(COUNTIFS($B$5:B1474,B1474,$D$5:D1474,D1474,$AB$5:AB1474,1)=1,1,0),0)</f>
        <v>0</v>
      </c>
    </row>
    <row r="1475" customFormat="false" ht="15" hidden="false" customHeight="false" outlineLevel="0" collapsed="false">
      <c r="A1475" s="48" t="str">
        <f aca="false">STACK!A1475</f>
        <v>QHH-0094</v>
      </c>
      <c r="B1475" s="48" t="str">
        <f aca="false">STACK!B1475</f>
        <v>QHH</v>
      </c>
      <c r="C1475" s="48" t="str">
        <f aca="false">STACK!E1475</f>
        <v>Diabetes Prevention Program</v>
      </c>
      <c r="D1475" s="1" t="str">
        <f aca="false">IFERROR(INDEX(MAP!$J$7:$J$101,MATCH(TRIM(C1475),MAP!$I$7:$I$101,0)),"UNMAPPED")</f>
        <v>Diabetes Prevention Classes</v>
      </c>
      <c r="E1475" s="1" t="str">
        <f aca="false">IFERROR(INDEX(MAP!$K$7:$K$101,MATCH(TRIM(C1475),MAP!$I$7:$I$101,0)),"")</f>
        <v>Chronic disease prevention</v>
      </c>
      <c r="F1475" s="1" t="str">
        <f aca="false">IFERROR(INDEX(MAP!$L$7:$L$101,MATCH(TRIM(C1475),MAP!$I$7:$I$101,0)),"")</f>
        <v>Event</v>
      </c>
      <c r="G1475" s="1" t="n">
        <f aca="false">IFERROR(MATCH(A1475,CONFIRM!$A$5:$A$53,0),0)</f>
        <v>0</v>
      </c>
      <c r="H1475" s="48" t="str">
        <f aca="false">STACK!F1475</f>
        <v>CHIS - Education</v>
      </c>
      <c r="I1475" s="1" t="str">
        <f aca="false">IF(G1475&gt;0,IF(INDEX(CONFIRM!$I$5:$I$53,G1475)&lt;&gt;"",INDEX(CONFIRM!$I$5:$I$53,G1475),H1475),H1475)</f>
        <v>CHIS - Education</v>
      </c>
      <c r="J1475" s="1" t="str">
        <f aca="false">IFERROR(INDEX(MAP!$F$7:$F$74,MATCH(TRIM(I1475),MAP!$E$7:$E$74,0)),"UNMAPPED")</f>
        <v>Community health education</v>
      </c>
      <c r="K1475" s="1" t="str">
        <f aca="false">IFERROR(INDEX(MAP!$G$7:$G$74,MATCH(TRIM(I1475),MAP!$E$7:$E$74,0)),"UNMAPPED")</f>
        <v>7e</v>
      </c>
      <c r="L1475" s="49" t="str">
        <f aca="false">STACK!G1475</f>
        <v>25-Nov-2025</v>
      </c>
      <c r="M1475" s="59" t="n">
        <f aca="false">IF(G1475&gt;0,IF(INDEX(CONFIRM!$G$5:$G$53,G1475)&lt;&gt;"",INDEX(CONFIRM!$G$5:$G$53,G1475),IF(ISNUMBER(L1475),L1475,IFERROR(DATEVALUE(L1475),""))),IF(ISNUMBER(L1475),L1475,IFERROR(DATEVALUE(L1475),"")))</f>
        <v>45986</v>
      </c>
      <c r="N1475" s="1" t="str">
        <f aca="false">IF(M1475="","Check",IF(AND(M1475&gt;=INPUTS!$C$6,M1475&lt;=INPUTS!$C$7),"Yes","No"))</f>
        <v>Yes</v>
      </c>
      <c r="O1475" s="48" t="str">
        <f aca="false">STACK!H1475</f>
        <v>RDN</v>
      </c>
      <c r="P1475" s="1" t="str">
        <f aca="false">IF(G1475&gt;0,IF(INDEX(CONFIRM!$H$5:$H$53,G1475)&lt;&gt;"",INDEX(CONFIRM!$H$5:$H$53,G1475),IFERROR(INDEX(MAP!$B$7:$B$156,MATCH(TRIM(O1475),MAP!$A$7:$A$156,0)),"UNMAPPED")),IFERROR(INDEX(MAP!$B$7:$B$156,MATCH(TRIM(O1475),MAP!$A$7:$A$156,0)),"UNMAPPED"))</f>
        <v>Registered Dietitian</v>
      </c>
      <c r="Q1475" s="48" t="n">
        <f aca="false">STACK!I1475</f>
        <v>2</v>
      </c>
      <c r="R1475" s="60" t="n">
        <f aca="false">IF(G1475&gt;0,IF(INDEX(CONFIRM!$F$5:$F$53,G1475)&lt;&gt;"",INDEX(CONFIRM!$F$5:$F$53,G1475),IF(ISNUMBER(Q1475),Q1475,IF(Q1475="","",IFERROR(VALUE(TRIM(SUBSTITUTE(SUBSTITUTE(LOWER(Q1475),"hrs",""),"hr",""))),"")))),IF(ISNUMBER(Q1475),Q1475,IF(Q1475="","",IFERROR(VALUE(TRIM(SUBSTITUTE(SUBSTITUTE(LOWER(Q1475),"hrs",""),"hr",""))),""))))</f>
        <v>2</v>
      </c>
      <c r="S1475" s="57" t="n">
        <f aca="false">IFERROR(INDEX(RATES!$E$6:$E$28,MATCH(P1475,RATES!$A$6:$A$28,0)),0)</f>
        <v>46.9025</v>
      </c>
      <c r="T1475" s="61" t="n">
        <f aca="false">IF(ISNUMBER(R1475),R1475,0)*S1475</f>
        <v>93.805</v>
      </c>
      <c r="U1475" s="61" t="n">
        <f aca="false">T1475*INDEX(INPUTS!$H$10:$H$14,MATCH(B1475,INPUTS!$A$10:$A$14,0))</f>
        <v>14.164555</v>
      </c>
      <c r="V1475" s="61" t="n">
        <f aca="false">N(STACK!K1475)</f>
        <v>0</v>
      </c>
      <c r="W1475" s="61" t="n">
        <f aca="false">T1475+U1475+V1475</f>
        <v>107.969555</v>
      </c>
      <c r="X1475" s="61" t="n">
        <f aca="false">N(STACK!L1475)</f>
        <v>0</v>
      </c>
      <c r="Y1475" s="61" t="n">
        <f aca="false">W1475-X1475</f>
        <v>107.969555</v>
      </c>
      <c r="Z1475" s="1" t="n">
        <f aca="false">N(STACK!J1475)</f>
        <v>0</v>
      </c>
      <c r="AA1475" s="1" t="str">
        <f aca="false">TRIM(IF(D1475="UNMAPPED","Program not mapped. ","")&amp;IF(OR(K1475="UNMAPPED",K1475="UNASSIGNED"),"Category needs review. ","")&amp;IF(P1475="UNMAPPED","Title not mapped. ","")&amp;IF(AND(P1475&lt;&gt;"No staff time",R1475=""),"Missing hours. ","")&amp;IF(M1475="","Date not readable. ","")&amp;IF(N1475="No","Outside fiscal year. ","")&amp;IF(AND(F1475="Event",ISNUMBER(R1475)),IF(R1475&gt;12,"Event hours look high. ",""),"")&amp;IF(G1475&gt;0,"See CONFIRM sheet.",""))</f>
        <v/>
      </c>
      <c r="AB1475" s="1" t="n">
        <f aca="false">IF(N1475="No",0,IF(REVIEW!O1475=0,0,IF(G1475&gt;0,IF(INDEX(CONFIRM!$J$5:$J$53,G1475)&lt;&gt;"",INDEX(CONFIRM!$J$5:$J$53,G1475),1),1)))</f>
        <v>1</v>
      </c>
      <c r="AC1475" s="1" t="n">
        <f aca="false">IF(AB1475=1,IF(COUNTIFS($B$5:B1475,B1475,$D$5:D1475,D1475,$AB$5:AB1475,1)=1,1,0),0)</f>
        <v>0</v>
      </c>
    </row>
    <row r="1476" customFormat="false" ht="15" hidden="false" customHeight="false" outlineLevel="0" collapsed="false">
      <c r="A1476" s="48" t="str">
        <f aca="false">STACK!A1476</f>
        <v>QHH-0095</v>
      </c>
      <c r="B1476" s="48" t="str">
        <f aca="false">STACK!B1476</f>
        <v>QHH</v>
      </c>
      <c r="C1476" s="48" t="str">
        <f aca="false">STACK!E1476</f>
        <v>Medication Assistance</v>
      </c>
      <c r="D1476" s="1" t="str">
        <f aca="false">IFERROR(INDEX(MAP!$J$7:$J$101,MATCH(TRIM(C1476),MAP!$I$7:$I$101,0)),"UNMAPPED")</f>
        <v>Medication Assistance Program</v>
      </c>
      <c r="E1476" s="1" t="str">
        <f aca="false">IFERROR(INDEX(MAP!$K$7:$K$101,MATCH(TRIM(C1476),MAP!$I$7:$I$101,0)),"")</f>
        <v>Access to care</v>
      </c>
      <c r="F1476" s="1" t="str">
        <f aca="false">IFERROR(INDEX(MAP!$L$7:$L$101,MATCH(TRIM(C1476),MAP!$I$7:$I$101,0)),"")</f>
        <v>Monthly</v>
      </c>
      <c r="G1476" s="1" t="n">
        <f aca="false">IFERROR(MATCH(A1476,CONFIRM!$A$5:$A$53,0),0)</f>
        <v>0</v>
      </c>
      <c r="H1476" s="48" t="str">
        <f aca="false">STACK!F1476</f>
        <v>CHIS - Support</v>
      </c>
      <c r="I1476" s="1" t="str">
        <f aca="false">IF(G1476&gt;0,IF(INDEX(CONFIRM!$I$5:$I$53,G1476)&lt;&gt;"",INDEX(CONFIRM!$I$5:$I$53,G1476),H1476),H1476)</f>
        <v>CHIS - Support</v>
      </c>
      <c r="J1476" s="1" t="str">
        <f aca="false">IFERROR(INDEX(MAP!$F$7:$F$74,MATCH(TRIM(I1476),MAP!$E$7:$E$74,0)),"UNMAPPED")</f>
        <v>Health care support services</v>
      </c>
      <c r="K1476" s="1" t="str">
        <f aca="false">IFERROR(INDEX(MAP!$G$7:$G$74,MATCH(TRIM(I1476),MAP!$E$7:$E$74,0)),"UNMAPPED")</f>
        <v>7e</v>
      </c>
      <c r="L1476" s="49" t="str">
        <f aca="false">STACK!G1476</f>
        <v>30-Nov-2025</v>
      </c>
      <c r="M1476" s="59" t="n">
        <f aca="false">IF(G1476&gt;0,IF(INDEX(CONFIRM!$G$5:$G$53,G1476)&lt;&gt;"",INDEX(CONFIRM!$G$5:$G$53,G1476),IF(ISNUMBER(L1476),L1476,IFERROR(DATEVALUE(L1476),""))),IF(ISNUMBER(L1476),L1476,IFERROR(DATEVALUE(L1476),"")))</f>
        <v>45991</v>
      </c>
      <c r="N1476" s="1" t="str">
        <f aca="false">IF(M1476="","Check",IF(AND(M1476&gt;=INPUTS!$C$6,M1476&lt;=INPUTS!$C$7),"Yes","No"))</f>
        <v>Yes</v>
      </c>
      <c r="O1476" s="48" t="str">
        <f aca="false">STACK!H1476</f>
        <v>Care Navigator</v>
      </c>
      <c r="P1476" s="1" t="str">
        <f aca="false">IF(G1476&gt;0,IF(INDEX(CONFIRM!$H$5:$H$53,G1476)&lt;&gt;"",INDEX(CONFIRM!$H$5:$H$53,G1476),IFERROR(INDEX(MAP!$B$7:$B$156,MATCH(TRIM(O1476),MAP!$A$7:$A$156,0)),"UNMAPPED")),IFERROR(INDEX(MAP!$B$7:$B$156,MATCH(TRIM(O1476),MAP!$A$7:$A$156,0)),"UNMAPPED"))</f>
        <v>Patient Navigator</v>
      </c>
      <c r="Q1476" s="48" t="n">
        <f aca="false">STACK!I1476</f>
        <v>71.25</v>
      </c>
      <c r="R1476" s="60" t="n">
        <f aca="false">IF(G1476&gt;0,IF(INDEX(CONFIRM!$F$5:$F$53,G1476)&lt;&gt;"",INDEX(CONFIRM!$F$5:$F$53,G1476),IF(ISNUMBER(Q1476),Q1476,IF(Q1476="","",IFERROR(VALUE(TRIM(SUBSTITUTE(SUBSTITUTE(LOWER(Q1476),"hrs",""),"hr",""))),"")))),IF(ISNUMBER(Q1476),Q1476,IF(Q1476="","",IFERROR(VALUE(TRIM(SUBSTITUTE(SUBSTITUTE(LOWER(Q1476),"hrs",""),"hr",""))),""))))</f>
        <v>71.25</v>
      </c>
      <c r="S1476" s="57" t="n">
        <f aca="false">IFERROR(INDEX(RATES!$E$6:$E$28,MATCH(P1476,RATES!$A$6:$A$28,0)),0)</f>
        <v>30.84</v>
      </c>
      <c r="T1476" s="61" t="n">
        <f aca="false">IF(ISNUMBER(R1476),R1476,0)*S1476</f>
        <v>2197.35</v>
      </c>
      <c r="U1476" s="61" t="n">
        <f aca="false">T1476*INDEX(INPUTS!$H$10:$H$14,MATCH(B1476,INPUTS!$A$10:$A$14,0))</f>
        <v>331.79985</v>
      </c>
      <c r="V1476" s="61" t="n">
        <f aca="false">N(STACK!K1476)</f>
        <v>0</v>
      </c>
      <c r="W1476" s="61" t="n">
        <f aca="false">T1476+U1476+V1476</f>
        <v>2529.14985</v>
      </c>
      <c r="X1476" s="61" t="n">
        <f aca="false">N(STACK!L1476)</f>
        <v>0</v>
      </c>
      <c r="Y1476" s="61" t="n">
        <f aca="false">W1476-X1476</f>
        <v>2529.14985</v>
      </c>
      <c r="Z1476" s="1" t="n">
        <f aca="false">N(STACK!J1476)</f>
        <v>0</v>
      </c>
      <c r="AA1476" s="1" t="str">
        <f aca="false">TRIM(IF(D1476="UNMAPPED","Program not mapped. ","")&amp;IF(OR(K1476="UNMAPPED",K1476="UNASSIGNED"),"Category needs review. ","")&amp;IF(P1476="UNMAPPED","Title not mapped. ","")&amp;IF(AND(P1476&lt;&gt;"No staff time",R1476=""),"Missing hours. ","")&amp;IF(M1476="","Date not readable. ","")&amp;IF(N1476="No","Outside fiscal year. ","")&amp;IF(AND(F1476="Event",ISNUMBER(R1476)),IF(R1476&gt;12,"Event hours look high. ",""),"")&amp;IF(G1476&gt;0,"See CONFIRM sheet.",""))</f>
        <v/>
      </c>
      <c r="AB1476" s="1" t="n">
        <f aca="false">IF(N1476="No",0,IF(REVIEW!O1476=0,0,IF(G1476&gt;0,IF(INDEX(CONFIRM!$J$5:$J$53,G1476)&lt;&gt;"",INDEX(CONFIRM!$J$5:$J$53,G1476),1),1)))</f>
        <v>1</v>
      </c>
      <c r="AC1476" s="1" t="n">
        <f aca="false">IF(AB1476=1,IF(COUNTIFS($B$5:B1476,B1476,$D$5:D1476,D1476,$AB$5:AB1476,1)=1,1,0),0)</f>
        <v>0</v>
      </c>
    </row>
    <row r="1477" customFormat="false" ht="15" hidden="false" customHeight="false" outlineLevel="0" collapsed="false">
      <c r="A1477" s="48" t="str">
        <f aca="false">STACK!A1477</f>
        <v>QHH-0096</v>
      </c>
      <c r="B1477" s="48" t="str">
        <f aca="false">STACK!B1477</f>
        <v>QHH</v>
      </c>
      <c r="C1477" s="48" t="str">
        <f aca="false">STACK!E1477</f>
        <v>Medication Assistance</v>
      </c>
      <c r="D1477" s="1" t="str">
        <f aca="false">IFERROR(INDEX(MAP!$J$7:$J$101,MATCH(TRIM(C1477),MAP!$I$7:$I$101,0)),"UNMAPPED")</f>
        <v>Medication Assistance Program</v>
      </c>
      <c r="E1477" s="1" t="str">
        <f aca="false">IFERROR(INDEX(MAP!$K$7:$K$101,MATCH(TRIM(C1477),MAP!$I$7:$I$101,0)),"")</f>
        <v>Access to care</v>
      </c>
      <c r="F1477" s="1" t="str">
        <f aca="false">IFERROR(INDEX(MAP!$L$7:$L$101,MATCH(TRIM(C1477),MAP!$I$7:$I$101,0)),"")</f>
        <v>Monthly</v>
      </c>
      <c r="G1477" s="1" t="n">
        <f aca="false">IFERROR(MATCH(A1477,CONFIRM!$A$5:$A$53,0),0)</f>
        <v>0</v>
      </c>
      <c r="H1477" s="48" t="str">
        <f aca="false">STACK!F1477</f>
        <v>CHIS - Support</v>
      </c>
      <c r="I1477" s="1" t="str">
        <f aca="false">IF(G1477&gt;0,IF(INDEX(CONFIRM!$I$5:$I$53,G1477)&lt;&gt;"",INDEX(CONFIRM!$I$5:$I$53,G1477),H1477),H1477)</f>
        <v>CHIS - Support</v>
      </c>
      <c r="J1477" s="1" t="str">
        <f aca="false">IFERROR(INDEX(MAP!$F$7:$F$74,MATCH(TRIM(I1477),MAP!$E$7:$E$74,0)),"UNMAPPED")</f>
        <v>Health care support services</v>
      </c>
      <c r="K1477" s="1" t="str">
        <f aca="false">IFERROR(INDEX(MAP!$G$7:$G$74,MATCH(TRIM(I1477),MAP!$E$7:$E$74,0)),"UNMAPPED")</f>
        <v>7e</v>
      </c>
      <c r="L1477" s="49" t="str">
        <f aca="false">STACK!G1477</f>
        <v>30-Nov-2025</v>
      </c>
      <c r="M1477" s="59" t="n">
        <f aca="false">IF(G1477&gt;0,IF(INDEX(CONFIRM!$G$5:$G$53,G1477)&lt;&gt;"",INDEX(CONFIRM!$G$5:$G$53,G1477),IF(ISNUMBER(L1477),L1477,IFERROR(DATEVALUE(L1477),""))),IF(ISNUMBER(L1477),L1477,IFERROR(DATEVALUE(L1477),"")))</f>
        <v>45991</v>
      </c>
      <c r="N1477" s="1" t="str">
        <f aca="false">IF(M1477="","Check",IF(AND(M1477&gt;=INPUTS!$C$6,M1477&lt;=INPUTS!$C$7),"Yes","No"))</f>
        <v>Yes</v>
      </c>
      <c r="O1477" s="48" t="str">
        <f aca="false">STACK!H1477</f>
        <v>Staff Pharmacist</v>
      </c>
      <c r="P1477" s="1" t="str">
        <f aca="false">IF(G1477&gt;0,IF(INDEX(CONFIRM!$H$5:$H$53,G1477)&lt;&gt;"",INDEX(CONFIRM!$H$5:$H$53,G1477),IFERROR(INDEX(MAP!$B$7:$B$156,MATCH(TRIM(O1477),MAP!$A$7:$A$156,0)),"UNMAPPED")),IFERROR(INDEX(MAP!$B$7:$B$156,MATCH(TRIM(O1477),MAP!$A$7:$A$156,0)),"UNMAPPED"))</f>
        <v>Pharmacist</v>
      </c>
      <c r="Q1477" s="48" t="n">
        <f aca="false">STACK!I1477</f>
        <v>21</v>
      </c>
      <c r="R1477" s="60" t="n">
        <f aca="false">IF(G1477&gt;0,IF(INDEX(CONFIRM!$F$5:$F$53,G1477)&lt;&gt;"",INDEX(CONFIRM!$F$5:$F$53,G1477),IF(ISNUMBER(Q1477),Q1477,IF(Q1477="","",IFERROR(VALUE(TRIM(SUBSTITUTE(SUBSTITUTE(LOWER(Q1477),"hrs",""),"hr",""))),"")))),IF(ISNUMBER(Q1477),Q1477,IF(Q1477="","",IFERROR(VALUE(TRIM(SUBSTITUTE(SUBSTITUTE(LOWER(Q1477),"hrs",""),"hr",""))),""))))</f>
        <v>21</v>
      </c>
      <c r="S1477" s="57" t="n">
        <f aca="false">IFERROR(INDEX(RATES!$E$6:$E$28,MATCH(P1477,RATES!$A$6:$A$28,0)),0)</f>
        <v>84.81</v>
      </c>
      <c r="T1477" s="61" t="n">
        <f aca="false">IF(ISNUMBER(R1477),R1477,0)*S1477</f>
        <v>1781.01</v>
      </c>
      <c r="U1477" s="61" t="n">
        <f aca="false">T1477*INDEX(INPUTS!$H$10:$H$14,MATCH(B1477,INPUTS!$A$10:$A$14,0))</f>
        <v>268.93251</v>
      </c>
      <c r="V1477" s="61" t="n">
        <f aca="false">N(STACK!K1477)</f>
        <v>14115</v>
      </c>
      <c r="W1477" s="61" t="n">
        <f aca="false">T1477+U1477+V1477</f>
        <v>16164.94251</v>
      </c>
      <c r="X1477" s="61" t="n">
        <f aca="false">N(STACK!L1477)</f>
        <v>0</v>
      </c>
      <c r="Y1477" s="61" t="n">
        <f aca="false">W1477-X1477</f>
        <v>16164.94251</v>
      </c>
      <c r="Z1477" s="1" t="n">
        <f aca="false">N(STACK!J1477)</f>
        <v>105</v>
      </c>
      <c r="AA1477" s="1" t="str">
        <f aca="false">TRIM(IF(D1477="UNMAPPED","Program not mapped. ","")&amp;IF(OR(K1477="UNMAPPED",K1477="UNASSIGNED"),"Category needs review. ","")&amp;IF(P1477="UNMAPPED","Title not mapped. ","")&amp;IF(AND(P1477&lt;&gt;"No staff time",R1477=""),"Missing hours. ","")&amp;IF(M1477="","Date not readable. ","")&amp;IF(N1477="No","Outside fiscal year. ","")&amp;IF(AND(F1477="Event",ISNUMBER(R1477)),IF(R1477&gt;12,"Event hours look high. ",""),"")&amp;IF(G1477&gt;0,"See CONFIRM sheet.",""))</f>
        <v/>
      </c>
      <c r="AB1477" s="1" t="n">
        <f aca="false">IF(N1477="No",0,IF(REVIEW!O1477=0,0,IF(G1477&gt;0,IF(INDEX(CONFIRM!$J$5:$J$53,G1477)&lt;&gt;"",INDEX(CONFIRM!$J$5:$J$53,G1477),1),1)))</f>
        <v>1</v>
      </c>
      <c r="AC1477" s="1" t="n">
        <f aca="false">IF(AB1477=1,IF(COUNTIFS($B$5:B1477,B1477,$D$5:D1477,D1477,$AB$5:AB1477,1)=1,1,0),0)</f>
        <v>0</v>
      </c>
    </row>
    <row r="1478" customFormat="false" ht="15" hidden="false" customHeight="false" outlineLevel="0" collapsed="false">
      <c r="A1478" s="48" t="str">
        <f aca="false">STACK!A1478</f>
        <v>QHH-0097</v>
      </c>
      <c r="B1478" s="48" t="str">
        <f aca="false">STACK!B1478</f>
        <v>QHH</v>
      </c>
      <c r="C1478" s="48" t="str">
        <f aca="false">STACK!E1478</f>
        <v>Community Benefit Admin.</v>
      </c>
      <c r="D1478" s="1" t="str">
        <f aca="false">IFERROR(INDEX(MAP!$J$7:$J$101,MATCH(TRIM(C1478),MAP!$I$7:$I$101,0)),"UNMAPPED")</f>
        <v>Community Benefit Program Administration</v>
      </c>
      <c r="E1478" s="1" t="str">
        <f aca="false">IFERROR(INDEX(MAP!$K$7:$K$101,MATCH(TRIM(C1478),MAP!$I$7:$I$101,0)),"")</f>
        <v>Community benefit infrastructure</v>
      </c>
      <c r="F1478" s="1" t="str">
        <f aca="false">IFERROR(INDEX(MAP!$L$7:$L$101,MATCH(TRIM(C1478),MAP!$I$7:$I$101,0)),"")</f>
        <v>Monthly</v>
      </c>
      <c r="G1478" s="1" t="n">
        <f aca="false">IFERROR(MATCH(A1478,CONFIRM!$A$5:$A$53,0),0)</f>
        <v>0</v>
      </c>
      <c r="H1478" s="48" t="str">
        <f aca="false">STACK!F1478</f>
        <v>CBO</v>
      </c>
      <c r="I1478" s="1" t="str">
        <f aca="false">IF(G1478&gt;0,IF(INDEX(CONFIRM!$I$5:$I$53,G1478)&lt;&gt;"",INDEX(CONFIRM!$I$5:$I$53,G1478),H1478),H1478)</f>
        <v>CBO</v>
      </c>
      <c r="J1478" s="1" t="str">
        <f aca="false">IFERROR(INDEX(MAP!$F$7:$F$74,MATCH(TRIM(I1478),MAP!$E$7:$E$74,0)),"UNMAPPED")</f>
        <v>Community benefit operations</v>
      </c>
      <c r="K1478" s="1" t="str">
        <f aca="false">IFERROR(INDEX(MAP!$G$7:$G$74,MATCH(TRIM(I1478),MAP!$E$7:$E$74,0)),"UNMAPPED")</f>
        <v>7e</v>
      </c>
      <c r="L1478" s="49" t="str">
        <f aca="false">STACK!G1478</f>
        <v>30-Nov-2025</v>
      </c>
      <c r="M1478" s="59" t="n">
        <f aca="false">IF(G1478&gt;0,IF(INDEX(CONFIRM!$G$5:$G$53,G1478)&lt;&gt;"",INDEX(CONFIRM!$G$5:$G$53,G1478),IF(ISNUMBER(L1478),L1478,IFERROR(DATEVALUE(L1478),""))),IF(ISNUMBER(L1478),L1478,IFERROR(DATEVALUE(L1478),"")))</f>
        <v>45991</v>
      </c>
      <c r="N1478" s="1" t="str">
        <f aca="false">IF(M1478="","Check",IF(AND(M1478&gt;=INPUTS!$C$6,M1478&lt;=INPUTS!$C$7),"Yes","No"))</f>
        <v>Yes</v>
      </c>
      <c r="O1478" s="48" t="str">
        <f aca="false">STACK!H1478</f>
        <v>Office Coordinator</v>
      </c>
      <c r="P1478" s="1" t="str">
        <f aca="false">IF(G1478&gt;0,IF(INDEX(CONFIRM!$H$5:$H$53,G1478)&lt;&gt;"",INDEX(CONFIRM!$H$5:$H$53,G1478),IFERROR(INDEX(MAP!$B$7:$B$156,MATCH(TRIM(O1478),MAP!$A$7:$A$156,0)),"UNMAPPED")),IFERROR(INDEX(MAP!$B$7:$B$156,MATCH(TRIM(O1478),MAP!$A$7:$A$156,0)),"UNMAPPED"))</f>
        <v>Administrative Assistant</v>
      </c>
      <c r="Q1478" s="48" t="n">
        <f aca="false">STACK!I1478</f>
        <v>29.75</v>
      </c>
      <c r="R1478" s="60" t="n">
        <f aca="false">IF(G1478&gt;0,IF(INDEX(CONFIRM!$F$5:$F$53,G1478)&lt;&gt;"",INDEX(CONFIRM!$F$5:$F$53,G1478),IF(ISNUMBER(Q1478),Q1478,IF(Q1478="","",IFERROR(VALUE(TRIM(SUBSTITUTE(SUBSTITUTE(LOWER(Q1478),"hrs",""),"hr",""))),"")))),IF(ISNUMBER(Q1478),Q1478,IF(Q1478="","",IFERROR(VALUE(TRIM(SUBSTITUTE(SUBSTITUTE(LOWER(Q1478),"hrs",""),"hr",""))),""))))</f>
        <v>29.75</v>
      </c>
      <c r="S1478" s="57" t="n">
        <f aca="false">IFERROR(INDEX(RATES!$E$6:$E$28,MATCH(P1478,RATES!$A$6:$A$28,0)),0)</f>
        <v>26.985</v>
      </c>
      <c r="T1478" s="61" t="n">
        <f aca="false">IF(ISNUMBER(R1478),R1478,0)*S1478</f>
        <v>802.80375</v>
      </c>
      <c r="U1478" s="61" t="n">
        <f aca="false">T1478*INDEX(INPUTS!$H$10:$H$14,MATCH(B1478,INPUTS!$A$10:$A$14,0))</f>
        <v>121.22336625</v>
      </c>
      <c r="V1478" s="61" t="n">
        <f aca="false">N(STACK!K1478)</f>
        <v>0</v>
      </c>
      <c r="W1478" s="61" t="n">
        <f aca="false">T1478+U1478+V1478</f>
        <v>924.02711625</v>
      </c>
      <c r="X1478" s="61" t="n">
        <f aca="false">N(STACK!L1478)</f>
        <v>0</v>
      </c>
      <c r="Y1478" s="61" t="n">
        <f aca="false">W1478-X1478</f>
        <v>924.02711625</v>
      </c>
      <c r="Z1478" s="1" t="n">
        <f aca="false">N(STACK!J1478)</f>
        <v>0</v>
      </c>
      <c r="AA1478" s="1" t="str">
        <f aca="false">TRIM(IF(D1478="UNMAPPED","Program not mapped. ","")&amp;IF(OR(K1478="UNMAPPED",K1478="UNASSIGNED"),"Category needs review. ","")&amp;IF(P1478="UNMAPPED","Title not mapped. ","")&amp;IF(AND(P1478&lt;&gt;"No staff time",R1478=""),"Missing hours. ","")&amp;IF(M1478="","Date not readable. ","")&amp;IF(N1478="No","Outside fiscal year. ","")&amp;IF(AND(F1478="Event",ISNUMBER(R1478)),IF(R1478&gt;12,"Event hours look high. ",""),"")&amp;IF(G1478&gt;0,"See CONFIRM sheet.",""))</f>
        <v/>
      </c>
      <c r="AB1478" s="1" t="n">
        <f aca="false">IF(N1478="No",0,IF(REVIEW!O1478=0,0,IF(G1478&gt;0,IF(INDEX(CONFIRM!$J$5:$J$53,G1478)&lt;&gt;"",INDEX(CONFIRM!$J$5:$J$53,G1478),1),1)))</f>
        <v>1</v>
      </c>
      <c r="AC1478" s="1" t="n">
        <f aca="false">IF(AB1478=1,IF(COUNTIFS($B$5:B1478,B1478,$D$5:D1478,D1478,$AB$5:AB1478,1)=1,1,0),0)</f>
        <v>0</v>
      </c>
    </row>
    <row r="1479" customFormat="false" ht="15" hidden="false" customHeight="false" outlineLevel="0" collapsed="false">
      <c r="A1479" s="48" t="str">
        <f aca="false">STACK!A1479</f>
        <v>QHH-0098</v>
      </c>
      <c r="B1479" s="48" t="str">
        <f aca="false">STACK!B1479</f>
        <v>QHH</v>
      </c>
      <c r="C1479" s="48" t="str">
        <f aca="false">STACK!E1479</f>
        <v>Community Benefit Admin.</v>
      </c>
      <c r="D1479" s="1" t="str">
        <f aca="false">IFERROR(INDEX(MAP!$J$7:$J$101,MATCH(TRIM(C1479),MAP!$I$7:$I$101,0)),"UNMAPPED")</f>
        <v>Community Benefit Program Administration</v>
      </c>
      <c r="E1479" s="1" t="str">
        <f aca="false">IFERROR(INDEX(MAP!$K$7:$K$101,MATCH(TRIM(C1479),MAP!$I$7:$I$101,0)),"")</f>
        <v>Community benefit infrastructure</v>
      </c>
      <c r="F1479" s="1" t="str">
        <f aca="false">IFERROR(INDEX(MAP!$L$7:$L$101,MATCH(TRIM(C1479),MAP!$I$7:$I$101,0)),"")</f>
        <v>Monthly</v>
      </c>
      <c r="G1479" s="1" t="n">
        <f aca="false">IFERROR(MATCH(A1479,CONFIRM!$A$5:$A$53,0),0)</f>
        <v>0</v>
      </c>
      <c r="H1479" s="48" t="str">
        <f aca="false">STACK!F1479</f>
        <v>CBO</v>
      </c>
      <c r="I1479" s="1" t="str">
        <f aca="false">IF(G1479&gt;0,IF(INDEX(CONFIRM!$I$5:$I$53,G1479)&lt;&gt;"",INDEX(CONFIRM!$I$5:$I$53,G1479),H1479),H1479)</f>
        <v>CBO</v>
      </c>
      <c r="J1479" s="1" t="str">
        <f aca="false">IFERROR(INDEX(MAP!$F$7:$F$74,MATCH(TRIM(I1479),MAP!$E$7:$E$74,0)),"UNMAPPED")</f>
        <v>Community benefit operations</v>
      </c>
      <c r="K1479" s="1" t="str">
        <f aca="false">IFERROR(INDEX(MAP!$G$7:$G$74,MATCH(TRIM(I1479),MAP!$E$7:$E$74,0)),"UNMAPPED")</f>
        <v>7e</v>
      </c>
      <c r="L1479" s="49" t="str">
        <f aca="false">STACK!G1479</f>
        <v>30-Nov-2025</v>
      </c>
      <c r="M1479" s="59" t="n">
        <f aca="false">IF(G1479&gt;0,IF(INDEX(CONFIRM!$G$5:$G$53,G1479)&lt;&gt;"",INDEX(CONFIRM!$G$5:$G$53,G1479),IF(ISNUMBER(L1479),L1479,IFERROR(DATEVALUE(L1479),""))),IF(ISNUMBER(L1479),L1479,IFERROR(DATEVALUE(L1479),"")))</f>
        <v>45991</v>
      </c>
      <c r="N1479" s="1" t="str">
        <f aca="false">IF(M1479="","Check",IF(AND(M1479&gt;=INPUTS!$C$6,M1479&lt;=INPUTS!$C$7),"Yes","No"))</f>
        <v>Yes</v>
      </c>
      <c r="O1479" s="48" t="str">
        <f aca="false">STACK!H1479</f>
        <v>Manager Community Benefit</v>
      </c>
      <c r="P1479" s="1" t="str">
        <f aca="false">IF(G1479&gt;0,IF(INDEX(CONFIRM!$H$5:$H$53,G1479)&lt;&gt;"",INDEX(CONFIRM!$H$5:$H$53,G1479),IFERROR(INDEX(MAP!$B$7:$B$156,MATCH(TRIM(O1479),MAP!$A$7:$A$156,0)),"UNMAPPED")),IFERROR(INDEX(MAP!$B$7:$B$156,MATCH(TRIM(O1479),MAP!$A$7:$A$156,0)),"UNMAPPED"))</f>
        <v>Community Benefit Manager</v>
      </c>
      <c r="Q1479" s="48" t="n">
        <f aca="false">STACK!I1479</f>
        <v>50</v>
      </c>
      <c r="R1479" s="60" t="n">
        <f aca="false">IF(G1479&gt;0,IF(INDEX(CONFIRM!$F$5:$F$53,G1479)&lt;&gt;"",INDEX(CONFIRM!$F$5:$F$53,G1479),IF(ISNUMBER(Q1479),Q1479,IF(Q1479="","",IFERROR(VALUE(TRIM(SUBSTITUTE(SUBSTITUTE(LOWER(Q1479),"hrs",""),"hr",""))),"")))),IF(ISNUMBER(Q1479),Q1479,IF(Q1479="","",IFERROR(VALUE(TRIM(SUBSTITUTE(SUBSTITUTE(LOWER(Q1479),"hrs",""),"hr",""))),""))))</f>
        <v>50</v>
      </c>
      <c r="S1479" s="57" t="n">
        <f aca="false">IFERROR(INDEX(RATES!$E$6:$E$28,MATCH(P1479,RATES!$A$6:$A$28,0)),0)</f>
        <v>59.11</v>
      </c>
      <c r="T1479" s="61" t="n">
        <f aca="false">IF(ISNUMBER(R1479),R1479,0)*S1479</f>
        <v>2955.5</v>
      </c>
      <c r="U1479" s="61" t="n">
        <f aca="false">T1479*INDEX(INPUTS!$H$10:$H$14,MATCH(B1479,INPUTS!$A$10:$A$14,0))</f>
        <v>446.2805</v>
      </c>
      <c r="V1479" s="61" t="n">
        <f aca="false">N(STACK!K1479)</f>
        <v>500</v>
      </c>
      <c r="W1479" s="61" t="n">
        <f aca="false">T1479+U1479+V1479</f>
        <v>3901.7805</v>
      </c>
      <c r="X1479" s="61" t="n">
        <f aca="false">N(STACK!L1479)</f>
        <v>0</v>
      </c>
      <c r="Y1479" s="61" t="n">
        <f aca="false">W1479-X1479</f>
        <v>3901.7805</v>
      </c>
      <c r="Z1479" s="1" t="n">
        <f aca="false">N(STACK!J1479)</f>
        <v>0</v>
      </c>
      <c r="AA1479" s="1" t="str">
        <f aca="false">TRIM(IF(D1479="UNMAPPED","Program not mapped. ","")&amp;IF(OR(K1479="UNMAPPED",K1479="UNASSIGNED"),"Category needs review. ","")&amp;IF(P1479="UNMAPPED","Title not mapped. ","")&amp;IF(AND(P1479&lt;&gt;"No staff time",R1479=""),"Missing hours. ","")&amp;IF(M1479="","Date not readable. ","")&amp;IF(N1479="No","Outside fiscal year. ","")&amp;IF(AND(F1479="Event",ISNUMBER(R1479)),IF(R1479&gt;12,"Event hours look high. ",""),"")&amp;IF(G1479&gt;0,"See CONFIRM sheet.",""))</f>
        <v/>
      </c>
      <c r="AB1479" s="1" t="n">
        <f aca="false">IF(N1479="No",0,IF(REVIEW!O1479=0,0,IF(G1479&gt;0,IF(INDEX(CONFIRM!$J$5:$J$53,G1479)&lt;&gt;"",INDEX(CONFIRM!$J$5:$J$53,G1479),1),1)))</f>
        <v>1</v>
      </c>
      <c r="AC1479" s="1" t="n">
        <f aca="false">IF(AB1479=1,IF(COUNTIFS($B$5:B1479,B1479,$D$5:D1479,D1479,$AB$5:AB1479,1)=1,1,0),0)</f>
        <v>0</v>
      </c>
    </row>
    <row r="1480" customFormat="false" ht="15" hidden="false" customHeight="false" outlineLevel="0" collapsed="false">
      <c r="A1480" s="48" t="str">
        <f aca="false">STACK!A1480</f>
        <v>QHH-0099</v>
      </c>
      <c r="B1480" s="48" t="str">
        <f aca="false">STACK!B1480</f>
        <v>QHH</v>
      </c>
      <c r="C1480" s="48" t="str">
        <f aca="false">STACK!E1480</f>
        <v>Community Paramedicine</v>
      </c>
      <c r="D1480" s="1" t="str">
        <f aca="false">IFERROR(INDEX(MAP!$J$7:$J$101,MATCH(TRIM(C1480),MAP!$I$7:$I$101,0)),"UNMAPPED")</f>
        <v>Community Paramedic Home Visits</v>
      </c>
      <c r="E1480" s="1" t="str">
        <f aca="false">IFERROR(INDEX(MAP!$K$7:$K$101,MATCH(TRIM(C1480),MAP!$I$7:$I$101,0)),"")</f>
        <v>Access to care</v>
      </c>
      <c r="F1480" s="1" t="str">
        <f aca="false">IFERROR(INDEX(MAP!$L$7:$L$101,MATCH(TRIM(C1480),MAP!$I$7:$I$101,0)),"")</f>
        <v>Monthly</v>
      </c>
      <c r="G1480" s="1" t="n">
        <f aca="false">IFERROR(MATCH(A1480,CONFIRM!$A$5:$A$53,0),0)</f>
        <v>0</v>
      </c>
      <c r="H1480" s="48" t="str">
        <f aca="false">STACK!F1480</f>
        <v>CHIS - Clinical</v>
      </c>
      <c r="I1480" s="1" t="str">
        <f aca="false">IF(G1480&gt;0,IF(INDEX(CONFIRM!$I$5:$I$53,G1480)&lt;&gt;"",INDEX(CONFIRM!$I$5:$I$53,G1480),H1480),H1480)</f>
        <v>CHIS - Clinical</v>
      </c>
      <c r="J1480" s="1" t="str">
        <f aca="false">IFERROR(INDEX(MAP!$F$7:$F$74,MATCH(TRIM(I1480),MAP!$E$7:$E$74,0)),"UNMAPPED")</f>
        <v>Community-based clinical services</v>
      </c>
      <c r="K1480" s="1" t="str">
        <f aca="false">IFERROR(INDEX(MAP!$G$7:$G$74,MATCH(TRIM(I1480),MAP!$E$7:$E$74,0)),"UNMAPPED")</f>
        <v>7e</v>
      </c>
      <c r="L1480" s="49" t="str">
        <f aca="false">STACK!G1480</f>
        <v>30-Nov-2025</v>
      </c>
      <c r="M1480" s="59" t="n">
        <f aca="false">IF(G1480&gt;0,IF(INDEX(CONFIRM!$G$5:$G$53,G1480)&lt;&gt;"",INDEX(CONFIRM!$G$5:$G$53,G1480),IF(ISNUMBER(L1480),L1480,IFERROR(DATEVALUE(L1480),""))),IF(ISNUMBER(L1480),L1480,IFERROR(DATEVALUE(L1480),"")))</f>
        <v>45991</v>
      </c>
      <c r="N1480" s="1" t="str">
        <f aca="false">IF(M1480="","Check",IF(AND(M1480&gt;=INPUTS!$C$6,M1480&lt;=INPUTS!$C$7),"Yes","No"))</f>
        <v>Yes</v>
      </c>
      <c r="O1480" s="48" t="str">
        <f aca="false">STACK!H1480</f>
        <v>Paramedic</v>
      </c>
      <c r="P1480" s="1" t="str">
        <f aca="false">IF(G1480&gt;0,IF(INDEX(CONFIRM!$H$5:$H$53,G1480)&lt;&gt;"",INDEX(CONFIRM!$H$5:$H$53,G1480),IFERROR(INDEX(MAP!$B$7:$B$156,MATCH(TRIM(O1480),MAP!$A$7:$A$156,0)),"UNMAPPED")),IFERROR(INDEX(MAP!$B$7:$B$156,MATCH(TRIM(O1480),MAP!$A$7:$A$156,0)),"UNMAPPED"))</f>
        <v>Paramedic</v>
      </c>
      <c r="Q1480" s="48" t="n">
        <f aca="false">STACK!I1480</f>
        <v>69</v>
      </c>
      <c r="R1480" s="60" t="n">
        <f aca="false">IF(G1480&gt;0,IF(INDEX(CONFIRM!$F$5:$F$53,G1480)&lt;&gt;"",INDEX(CONFIRM!$F$5:$F$53,G1480),IF(ISNUMBER(Q1480),Q1480,IF(Q1480="","",IFERROR(VALUE(TRIM(SUBSTITUTE(SUBSTITUTE(LOWER(Q1480),"hrs",""),"hr",""))),"")))),IF(ISNUMBER(Q1480),Q1480,IF(Q1480="","",IFERROR(VALUE(TRIM(SUBSTITUTE(SUBSTITUTE(LOWER(Q1480),"hrs",""),"hr",""))),""))))</f>
        <v>69</v>
      </c>
      <c r="S1480" s="57" t="n">
        <f aca="false">IFERROR(INDEX(RATES!$E$6:$E$28,MATCH(P1480,RATES!$A$6:$A$28,0)),0)</f>
        <v>34.695</v>
      </c>
      <c r="T1480" s="61" t="n">
        <f aca="false">IF(ISNUMBER(R1480),R1480,0)*S1480</f>
        <v>2393.955</v>
      </c>
      <c r="U1480" s="61" t="n">
        <f aca="false">T1480*INDEX(INPUTS!$H$10:$H$14,MATCH(B1480,INPUTS!$A$10:$A$14,0))</f>
        <v>361.487205</v>
      </c>
      <c r="V1480" s="61" t="n">
        <f aca="false">N(STACK!K1480)</f>
        <v>625</v>
      </c>
      <c r="W1480" s="61" t="n">
        <f aca="false">T1480+U1480+V1480</f>
        <v>3380.442205</v>
      </c>
      <c r="X1480" s="61" t="n">
        <f aca="false">N(STACK!L1480)</f>
        <v>0</v>
      </c>
      <c r="Y1480" s="61" t="n">
        <f aca="false">W1480-X1480</f>
        <v>3380.442205</v>
      </c>
      <c r="Z1480" s="1" t="n">
        <f aca="false">N(STACK!J1480)</f>
        <v>69</v>
      </c>
      <c r="AA1480" s="1" t="str">
        <f aca="false">TRIM(IF(D1480="UNMAPPED","Program not mapped. ","")&amp;IF(OR(K1480="UNMAPPED",K1480="UNASSIGNED"),"Category needs review. ","")&amp;IF(P1480="UNMAPPED","Title not mapped. ","")&amp;IF(AND(P1480&lt;&gt;"No staff time",R1480=""),"Missing hours. ","")&amp;IF(M1480="","Date not readable. ","")&amp;IF(N1480="No","Outside fiscal year. ","")&amp;IF(AND(F1480="Event",ISNUMBER(R1480)),IF(R1480&gt;12,"Event hours look high. ",""),"")&amp;IF(G1480&gt;0,"See CONFIRM sheet.",""))</f>
        <v/>
      </c>
      <c r="AB1480" s="1" t="n">
        <f aca="false">IF(N1480="No",0,IF(REVIEW!O1480=0,0,IF(G1480&gt;0,IF(INDEX(CONFIRM!$J$5:$J$53,G1480)&lt;&gt;"",INDEX(CONFIRM!$J$5:$J$53,G1480),1),1)))</f>
        <v>1</v>
      </c>
      <c r="AC1480" s="1" t="n">
        <f aca="false">IF(AB1480=1,IF(COUNTIFS($B$5:B1480,B1480,$D$5:D1480,D1480,$AB$5:AB1480,1)=1,1,0),0)</f>
        <v>0</v>
      </c>
    </row>
    <row r="1481" customFormat="false" ht="15" hidden="false" customHeight="false" outlineLevel="0" collapsed="false">
      <c r="A1481" s="48" t="str">
        <f aca="false">STACK!A1481</f>
        <v>QHH-0100</v>
      </c>
      <c r="B1481" s="48" t="str">
        <f aca="false">STACK!B1481</f>
        <v>QHH</v>
      </c>
      <c r="C1481" s="48" t="str">
        <f aca="false">STACK!E1481</f>
        <v>Nursing Clinical Rotations</v>
      </c>
      <c r="D1481" s="1" t="str">
        <f aca="false">IFERROR(INDEX(MAP!$J$7:$J$101,MATCH(TRIM(C1481),MAP!$I$7:$I$101,0)),"UNMAPPED")</f>
        <v>Nursing Student Clinical Rotations</v>
      </c>
      <c r="E1481" s="1" t="str">
        <f aca="false">IFERROR(INDEX(MAP!$K$7:$K$101,MATCH(TRIM(C1481),MAP!$I$7:$I$101,0)),"")</f>
        <v>Health workforce</v>
      </c>
      <c r="F1481" s="1" t="str">
        <f aca="false">IFERROR(INDEX(MAP!$L$7:$L$101,MATCH(TRIM(C1481),MAP!$I$7:$I$101,0)),"")</f>
        <v>Monthly</v>
      </c>
      <c r="G1481" s="1" t="n">
        <f aca="false">IFERROR(MATCH(A1481,CONFIRM!$A$5:$A$53,0),0)</f>
        <v>0</v>
      </c>
      <c r="H1481" s="48" t="str">
        <f aca="false">STACK!F1481</f>
        <v>HPE - Students</v>
      </c>
      <c r="I1481" s="1" t="str">
        <f aca="false">IF(G1481&gt;0,IF(INDEX(CONFIRM!$I$5:$I$53,G1481)&lt;&gt;"",INDEX(CONFIRM!$I$5:$I$53,G1481),H1481),H1481)</f>
        <v>HPE - Students</v>
      </c>
      <c r="J1481" s="1" t="str">
        <f aca="false">IFERROR(INDEX(MAP!$F$7:$F$74,MATCH(TRIM(I1481),MAP!$E$7:$E$74,0)),"UNMAPPED")</f>
        <v>Health professions education</v>
      </c>
      <c r="K1481" s="1" t="str">
        <f aca="false">IFERROR(INDEX(MAP!$G$7:$G$74,MATCH(TRIM(I1481),MAP!$E$7:$E$74,0)),"UNMAPPED")</f>
        <v>7f</v>
      </c>
      <c r="L1481" s="49" t="str">
        <f aca="false">STACK!G1481</f>
        <v>30-Nov-2025</v>
      </c>
      <c r="M1481" s="59" t="n">
        <f aca="false">IF(G1481&gt;0,IF(INDEX(CONFIRM!$G$5:$G$53,G1481)&lt;&gt;"",INDEX(CONFIRM!$G$5:$G$53,G1481),IF(ISNUMBER(L1481),L1481,IFERROR(DATEVALUE(L1481),""))),IF(ISNUMBER(L1481),L1481,IFERROR(DATEVALUE(L1481),"")))</f>
        <v>45991</v>
      </c>
      <c r="N1481" s="1" t="str">
        <f aca="false">IF(M1481="","Check",IF(AND(M1481&gt;=INPUTS!$C$6,M1481&lt;=INPUTS!$C$7),"Yes","No"))</f>
        <v>Yes</v>
      </c>
      <c r="O1481" s="48" t="str">
        <f aca="false">STACK!H1481</f>
        <v>Educator, Nursing</v>
      </c>
      <c r="P1481" s="1" t="str">
        <f aca="false">IF(G1481&gt;0,IF(INDEX(CONFIRM!$H$5:$H$53,G1481)&lt;&gt;"",INDEX(CONFIRM!$H$5:$H$53,G1481),IFERROR(INDEX(MAP!$B$7:$B$156,MATCH(TRIM(O1481),MAP!$A$7:$A$156,0)),"UNMAPPED")),IFERROR(INDEX(MAP!$B$7:$B$156,MATCH(TRIM(O1481),MAP!$A$7:$A$156,0)),"UNMAPPED"))</f>
        <v>Clinical Nurse Educator</v>
      </c>
      <c r="Q1481" s="48" t="n">
        <f aca="false">STACK!I1481</f>
        <v>91.5</v>
      </c>
      <c r="R1481" s="60" t="n">
        <f aca="false">IF(G1481&gt;0,IF(INDEX(CONFIRM!$F$5:$F$53,G1481)&lt;&gt;"",INDEX(CONFIRM!$F$5:$F$53,G1481),IF(ISNUMBER(Q1481),Q1481,IF(Q1481="","",IFERROR(VALUE(TRIM(SUBSTITUTE(SUBSTITUTE(LOWER(Q1481),"hrs",""),"hr",""))),"")))),IF(ISNUMBER(Q1481),Q1481,IF(Q1481="","",IFERROR(VALUE(TRIM(SUBSTITUTE(SUBSTITUTE(LOWER(Q1481),"hrs",""),"hr",""))),""))))</f>
        <v>91.5</v>
      </c>
      <c r="S1481" s="57" t="n">
        <f aca="false">IFERROR(INDEX(RATES!$E$6:$E$28,MATCH(P1481,RATES!$A$6:$A$28,0)),0)</f>
        <v>62.965</v>
      </c>
      <c r="T1481" s="61" t="n">
        <f aca="false">IF(ISNUMBER(R1481),R1481,0)*S1481</f>
        <v>5761.2975</v>
      </c>
      <c r="U1481" s="61" t="n">
        <f aca="false">T1481*INDEX(INPUTS!$H$10:$H$14,MATCH(B1481,INPUTS!$A$10:$A$14,0))</f>
        <v>869.9559225</v>
      </c>
      <c r="V1481" s="61" t="n">
        <f aca="false">N(STACK!K1481)</f>
        <v>820</v>
      </c>
      <c r="W1481" s="61" t="n">
        <f aca="false">T1481+U1481+V1481</f>
        <v>7451.2534225</v>
      </c>
      <c r="X1481" s="61" t="n">
        <f aca="false">N(STACK!L1481)</f>
        <v>0</v>
      </c>
      <c r="Y1481" s="61" t="n">
        <f aca="false">W1481-X1481</f>
        <v>7451.2534225</v>
      </c>
      <c r="Z1481" s="1" t="n">
        <f aca="false">N(STACK!J1481)</f>
        <v>28</v>
      </c>
      <c r="AA1481" s="1" t="str">
        <f aca="false">TRIM(IF(D1481="UNMAPPED","Program not mapped. ","")&amp;IF(OR(K1481="UNMAPPED",K1481="UNASSIGNED"),"Category needs review. ","")&amp;IF(P1481="UNMAPPED","Title not mapped. ","")&amp;IF(AND(P1481&lt;&gt;"No staff time",R1481=""),"Missing hours. ","")&amp;IF(M1481="","Date not readable. ","")&amp;IF(N1481="No","Outside fiscal year. ","")&amp;IF(AND(F1481="Event",ISNUMBER(R1481)),IF(R1481&gt;12,"Event hours look high. ",""),"")&amp;IF(G1481&gt;0,"See CONFIRM sheet.",""))</f>
        <v/>
      </c>
      <c r="AB1481" s="1" t="n">
        <f aca="false">IF(N1481="No",0,IF(REVIEW!O1481=0,0,IF(G1481&gt;0,IF(INDEX(CONFIRM!$J$5:$J$53,G1481)&lt;&gt;"",INDEX(CONFIRM!$J$5:$J$53,G1481),1),1)))</f>
        <v>1</v>
      </c>
      <c r="AC1481" s="1" t="n">
        <f aca="false">IF(AB1481=1,IF(COUNTIFS($B$5:B1481,B1481,$D$5:D1481,D1481,$AB$5:AB1481,1)=1,1,0),0)</f>
        <v>0</v>
      </c>
    </row>
    <row r="1482" customFormat="false" ht="15" hidden="false" customHeight="false" outlineLevel="0" collapsed="false">
      <c r="A1482" s="48" t="str">
        <f aca="false">STACK!A1482</f>
        <v>QHH-0101</v>
      </c>
      <c r="B1482" s="48" t="str">
        <f aca="false">STACK!B1482</f>
        <v>QHH</v>
      </c>
      <c r="C1482" s="48" t="str">
        <f aca="false">STACK!E1482</f>
        <v>Nursing Clinical Rotations</v>
      </c>
      <c r="D1482" s="1" t="str">
        <f aca="false">IFERROR(INDEX(MAP!$J$7:$J$101,MATCH(TRIM(C1482),MAP!$I$7:$I$101,0)),"UNMAPPED")</f>
        <v>Nursing Student Clinical Rotations</v>
      </c>
      <c r="E1482" s="1" t="str">
        <f aca="false">IFERROR(INDEX(MAP!$K$7:$K$101,MATCH(TRIM(C1482),MAP!$I$7:$I$101,0)),"")</f>
        <v>Health workforce</v>
      </c>
      <c r="F1482" s="1" t="str">
        <f aca="false">IFERROR(INDEX(MAP!$L$7:$L$101,MATCH(TRIM(C1482),MAP!$I$7:$I$101,0)),"")</f>
        <v>Monthly</v>
      </c>
      <c r="G1482" s="1" t="n">
        <f aca="false">IFERROR(MATCH(A1482,CONFIRM!$A$5:$A$53,0),0)</f>
        <v>0</v>
      </c>
      <c r="H1482" s="48" t="str">
        <f aca="false">STACK!F1482</f>
        <v>HPE - Students</v>
      </c>
      <c r="I1482" s="1" t="str">
        <f aca="false">IF(G1482&gt;0,IF(INDEX(CONFIRM!$I$5:$I$53,G1482)&lt;&gt;"",INDEX(CONFIRM!$I$5:$I$53,G1482),H1482),H1482)</f>
        <v>HPE - Students</v>
      </c>
      <c r="J1482" s="1" t="str">
        <f aca="false">IFERROR(INDEX(MAP!$F$7:$F$74,MATCH(TRIM(I1482),MAP!$E$7:$E$74,0)),"UNMAPPED")</f>
        <v>Health professions education</v>
      </c>
      <c r="K1482" s="1" t="str">
        <f aca="false">IFERROR(INDEX(MAP!$G$7:$G$74,MATCH(TRIM(I1482),MAP!$E$7:$E$74,0)),"UNMAPPED")</f>
        <v>7f</v>
      </c>
      <c r="L1482" s="49" t="str">
        <f aca="false">STACK!G1482</f>
        <v>30-Nov-2025</v>
      </c>
      <c r="M1482" s="59" t="n">
        <f aca="false">IF(G1482&gt;0,IF(INDEX(CONFIRM!$G$5:$G$53,G1482)&lt;&gt;"",INDEX(CONFIRM!$G$5:$G$53,G1482),IF(ISNUMBER(L1482),L1482,IFERROR(DATEVALUE(L1482),""))),IF(ISNUMBER(L1482),L1482,IFERROR(DATEVALUE(L1482),"")))</f>
        <v>45991</v>
      </c>
      <c r="N1482" s="1" t="str">
        <f aca="false">IF(M1482="","Check",IF(AND(M1482&gt;=INPUTS!$C$6,M1482&lt;=INPUTS!$C$7),"Yes","No"))</f>
        <v>Yes</v>
      </c>
      <c r="O1482" s="48" t="str">
        <f aca="false">STACK!H1482</f>
        <v>Clinical RN</v>
      </c>
      <c r="P1482" s="1" t="str">
        <f aca="false">IF(G1482&gt;0,IF(INDEX(CONFIRM!$H$5:$H$53,G1482)&lt;&gt;"",INDEX(CONFIRM!$H$5:$H$53,G1482),IFERROR(INDEX(MAP!$B$7:$B$156,MATCH(TRIM(O1482),MAP!$A$7:$A$156,0)),"UNMAPPED")),IFERROR(INDEX(MAP!$B$7:$B$156,MATCH(TRIM(O1482),MAP!$A$7:$A$156,0)),"UNMAPPED"))</f>
        <v>Registered Nurse</v>
      </c>
      <c r="Q1482" s="48" t="n">
        <f aca="false">STACK!I1482</f>
        <v>162.5</v>
      </c>
      <c r="R1482" s="60" t="n">
        <f aca="false">IF(G1482&gt;0,IF(INDEX(CONFIRM!$F$5:$F$53,G1482)&lt;&gt;"",INDEX(CONFIRM!$F$5:$F$53,G1482),IF(ISNUMBER(Q1482),Q1482,IF(Q1482="","",IFERROR(VALUE(TRIM(SUBSTITUTE(SUBSTITUTE(LOWER(Q1482),"hrs",""),"hr",""))),"")))),IF(ISNUMBER(Q1482),Q1482,IF(Q1482="","",IFERROR(VALUE(TRIM(SUBSTITUTE(SUBSTITUTE(LOWER(Q1482),"hrs",""),"hr",""))),""))))</f>
        <v>162.5</v>
      </c>
      <c r="S1482" s="57" t="n">
        <f aca="false">IFERROR(INDEX(RATES!$E$6:$E$28,MATCH(P1482,RATES!$A$6:$A$28,0)),0)</f>
        <v>55.8975</v>
      </c>
      <c r="T1482" s="61" t="n">
        <f aca="false">IF(ISNUMBER(R1482),R1482,0)*S1482</f>
        <v>9083.34375</v>
      </c>
      <c r="U1482" s="61" t="n">
        <f aca="false">T1482*INDEX(INPUTS!$H$10:$H$14,MATCH(B1482,INPUTS!$A$10:$A$14,0))</f>
        <v>1371.58490625</v>
      </c>
      <c r="V1482" s="61" t="n">
        <f aca="false">N(STACK!K1482)</f>
        <v>0</v>
      </c>
      <c r="W1482" s="61" t="n">
        <f aca="false">T1482+U1482+V1482</f>
        <v>10454.92865625</v>
      </c>
      <c r="X1482" s="61" t="n">
        <f aca="false">N(STACK!L1482)</f>
        <v>0</v>
      </c>
      <c r="Y1482" s="61" t="n">
        <f aca="false">W1482-X1482</f>
        <v>10454.92865625</v>
      </c>
      <c r="Z1482" s="1" t="n">
        <f aca="false">N(STACK!J1482)</f>
        <v>0</v>
      </c>
      <c r="AA1482" s="1" t="str">
        <f aca="false">TRIM(IF(D1482="UNMAPPED","Program not mapped. ","")&amp;IF(OR(K1482="UNMAPPED",K1482="UNASSIGNED"),"Category needs review. ","")&amp;IF(P1482="UNMAPPED","Title not mapped. ","")&amp;IF(AND(P1482&lt;&gt;"No staff time",R1482=""),"Missing hours. ","")&amp;IF(M1482="","Date not readable. ","")&amp;IF(N1482="No","Outside fiscal year. ","")&amp;IF(AND(F1482="Event",ISNUMBER(R1482)),IF(R1482&gt;12,"Event hours look high. ",""),"")&amp;IF(G1482&gt;0,"See CONFIRM sheet.",""))</f>
        <v/>
      </c>
      <c r="AB1482" s="1" t="n">
        <f aca="false">IF(N1482="No",0,IF(REVIEW!O1482=0,0,IF(G1482&gt;0,IF(INDEX(CONFIRM!$J$5:$J$53,G1482)&lt;&gt;"",INDEX(CONFIRM!$J$5:$J$53,G1482),1),1)))</f>
        <v>1</v>
      </c>
      <c r="AC1482" s="1" t="n">
        <f aca="false">IF(AB1482=1,IF(COUNTIFS($B$5:B1482,B1482,$D$5:D1482,D1482,$AB$5:AB1482,1)=1,1,0),0)</f>
        <v>0</v>
      </c>
    </row>
    <row r="1483" customFormat="false" ht="15" hidden="false" customHeight="false" outlineLevel="0" collapsed="false">
      <c r="A1483" s="48" t="str">
        <f aca="false">STACK!A1483</f>
        <v>QHH-0102</v>
      </c>
      <c r="B1483" s="48" t="str">
        <f aca="false">STACK!B1483</f>
        <v>QHH</v>
      </c>
      <c r="C1483" s="48" t="str">
        <f aca="false">STACK!E1483</f>
        <v>Regional Coalition</v>
      </c>
      <c r="D1483" s="1" t="str">
        <f aca="false">IFERROR(INDEX(MAP!$J$7:$J$101,MATCH(TRIM(C1483),MAP!$I$7:$I$101,0)),"UNMAPPED")</f>
        <v>Regional Health Coalition</v>
      </c>
      <c r="E1483" s="1" t="str">
        <f aca="false">IFERROR(INDEX(MAP!$K$7:$K$101,MATCH(TRIM(C1483),MAP!$I$7:$I$101,0)),"")</f>
        <v>Community benefit infrastructure</v>
      </c>
      <c r="F1483" s="1" t="str">
        <f aca="false">IFERROR(INDEX(MAP!$L$7:$L$101,MATCH(TRIM(C1483),MAP!$I$7:$I$101,0)),"")</f>
        <v>Event</v>
      </c>
      <c r="G1483" s="1" t="n">
        <f aca="false">IFERROR(MATCH(A1483,CONFIRM!$A$5:$A$53,0),0)</f>
        <v>0</v>
      </c>
      <c r="H1483" s="48" t="str">
        <f aca="false">STACK!F1483</f>
        <v>Coalition (CB)</v>
      </c>
      <c r="I1483" s="1" t="str">
        <f aca="false">IF(G1483&gt;0,IF(INDEX(CONFIRM!$I$5:$I$53,G1483)&lt;&gt;"",INDEX(CONFIRM!$I$5:$I$53,G1483),H1483),H1483)</f>
        <v>Coalition (CB)</v>
      </c>
      <c r="J1483" s="1" t="str">
        <f aca="false">IFERROR(INDEX(MAP!$F$7:$F$74,MATCH(TRIM(I1483),MAP!$E$7:$E$74,0)),"UNMAPPED")</f>
        <v>Community building: coalition building</v>
      </c>
      <c r="K1483" s="1" t="str">
        <f aca="false">IFERROR(INDEX(MAP!$G$7:$G$74,MATCH(TRIM(I1483),MAP!$E$7:$E$74,0)),"UNMAPPED")</f>
        <v>II-6</v>
      </c>
      <c r="L1483" s="49" t="str">
        <f aca="false">STACK!G1483</f>
        <v>03-Dec-2025</v>
      </c>
      <c r="M1483" s="59" t="n">
        <f aca="false">IF(G1483&gt;0,IF(INDEX(CONFIRM!$G$5:$G$53,G1483)&lt;&gt;"",INDEX(CONFIRM!$G$5:$G$53,G1483),IF(ISNUMBER(L1483),L1483,IFERROR(DATEVALUE(L1483),""))),IF(ISNUMBER(L1483),L1483,IFERROR(DATEVALUE(L1483),"")))</f>
        <v>45994</v>
      </c>
      <c r="N1483" s="1" t="str">
        <f aca="false">IF(M1483="","Check",IF(AND(M1483&gt;=INPUTS!$C$6,M1483&lt;=INPUTS!$C$7),"Yes","No"))</f>
        <v>Yes</v>
      </c>
      <c r="O1483" s="48" t="str">
        <f aca="false">STACK!H1483</f>
        <v>Manager Community Benefit</v>
      </c>
      <c r="P1483" s="1" t="str">
        <f aca="false">IF(G1483&gt;0,IF(INDEX(CONFIRM!$H$5:$H$53,G1483)&lt;&gt;"",INDEX(CONFIRM!$H$5:$H$53,G1483),IFERROR(INDEX(MAP!$B$7:$B$156,MATCH(TRIM(O1483),MAP!$A$7:$A$156,0)),"UNMAPPED")),IFERROR(INDEX(MAP!$B$7:$B$156,MATCH(TRIM(O1483),MAP!$A$7:$A$156,0)),"UNMAPPED"))</f>
        <v>Community Benefit Manager</v>
      </c>
      <c r="Q1483" s="48" t="n">
        <f aca="false">STACK!I1483</f>
        <v>2.75</v>
      </c>
      <c r="R1483" s="60" t="n">
        <f aca="false">IF(G1483&gt;0,IF(INDEX(CONFIRM!$F$5:$F$53,G1483)&lt;&gt;"",INDEX(CONFIRM!$F$5:$F$53,G1483),IF(ISNUMBER(Q1483),Q1483,IF(Q1483="","",IFERROR(VALUE(TRIM(SUBSTITUTE(SUBSTITUTE(LOWER(Q1483),"hrs",""),"hr",""))),"")))),IF(ISNUMBER(Q1483),Q1483,IF(Q1483="","",IFERROR(VALUE(TRIM(SUBSTITUTE(SUBSTITUTE(LOWER(Q1483),"hrs",""),"hr",""))),""))))</f>
        <v>2.75</v>
      </c>
      <c r="S1483" s="57" t="n">
        <f aca="false">IFERROR(INDEX(RATES!$E$6:$E$28,MATCH(P1483,RATES!$A$6:$A$28,0)),0)</f>
        <v>59.11</v>
      </c>
      <c r="T1483" s="61" t="n">
        <f aca="false">IF(ISNUMBER(R1483),R1483,0)*S1483</f>
        <v>162.5525</v>
      </c>
      <c r="U1483" s="61" t="n">
        <f aca="false">T1483*INDEX(INPUTS!$H$10:$H$14,MATCH(B1483,INPUTS!$A$10:$A$14,0))</f>
        <v>24.5454275</v>
      </c>
      <c r="V1483" s="61" t="n">
        <f aca="false">N(STACK!K1483)</f>
        <v>0</v>
      </c>
      <c r="W1483" s="61" t="n">
        <f aca="false">T1483+U1483+V1483</f>
        <v>187.0979275</v>
      </c>
      <c r="X1483" s="61" t="n">
        <f aca="false">N(STACK!L1483)</f>
        <v>0</v>
      </c>
      <c r="Y1483" s="61" t="n">
        <f aca="false">W1483-X1483</f>
        <v>187.0979275</v>
      </c>
      <c r="Z1483" s="1" t="n">
        <f aca="false">N(STACK!J1483)</f>
        <v>0</v>
      </c>
      <c r="AA1483" s="1" t="str">
        <f aca="false">TRIM(IF(D1483="UNMAPPED","Program not mapped. ","")&amp;IF(OR(K1483="UNMAPPED",K1483="UNASSIGNED"),"Category needs review. ","")&amp;IF(P1483="UNMAPPED","Title not mapped. ","")&amp;IF(AND(P1483&lt;&gt;"No staff time",R1483=""),"Missing hours. ","")&amp;IF(M1483="","Date not readable. ","")&amp;IF(N1483="No","Outside fiscal year. ","")&amp;IF(AND(F1483="Event",ISNUMBER(R1483)),IF(R1483&gt;12,"Event hours look high. ",""),"")&amp;IF(G1483&gt;0,"See CONFIRM sheet.",""))</f>
        <v/>
      </c>
      <c r="AB1483" s="1" t="n">
        <f aca="false">IF(N1483="No",0,IF(REVIEW!O1483=0,0,IF(G1483&gt;0,IF(INDEX(CONFIRM!$J$5:$J$53,G1483)&lt;&gt;"",INDEX(CONFIRM!$J$5:$J$53,G1483),1),1)))</f>
        <v>1</v>
      </c>
      <c r="AC1483" s="1" t="n">
        <f aca="false">IF(AB1483=1,IF(COUNTIFS($B$5:B1483,B1483,$D$5:D1483,D1483,$AB$5:AB1483,1)=1,1,0),0)</f>
        <v>0</v>
      </c>
    </row>
    <row r="1484" customFormat="false" ht="15" hidden="false" customHeight="false" outlineLevel="0" collapsed="false">
      <c r="A1484" s="48" t="str">
        <f aca="false">STACK!A1484</f>
        <v>QHH-0103</v>
      </c>
      <c r="B1484" s="48" t="str">
        <f aca="false">STACK!B1484</f>
        <v>QHH</v>
      </c>
      <c r="C1484" s="48" t="str">
        <f aca="false">STACK!E1484</f>
        <v>Regional Coalition</v>
      </c>
      <c r="D1484" s="1" t="str">
        <f aca="false">IFERROR(INDEX(MAP!$J$7:$J$101,MATCH(TRIM(C1484),MAP!$I$7:$I$101,0)),"UNMAPPED")</f>
        <v>Regional Health Coalition</v>
      </c>
      <c r="E1484" s="1" t="str">
        <f aca="false">IFERROR(INDEX(MAP!$K$7:$K$101,MATCH(TRIM(C1484),MAP!$I$7:$I$101,0)),"")</f>
        <v>Community benefit infrastructure</v>
      </c>
      <c r="F1484" s="1" t="str">
        <f aca="false">IFERROR(INDEX(MAP!$L$7:$L$101,MATCH(TRIM(C1484),MAP!$I$7:$I$101,0)),"")</f>
        <v>Event</v>
      </c>
      <c r="G1484" s="1" t="n">
        <f aca="false">IFERROR(MATCH(A1484,CONFIRM!$A$5:$A$53,0),0)</f>
        <v>0</v>
      </c>
      <c r="H1484" s="48" t="str">
        <f aca="false">STACK!F1484</f>
        <v>Coalition (CB)</v>
      </c>
      <c r="I1484" s="1" t="str">
        <f aca="false">IF(G1484&gt;0,IF(INDEX(CONFIRM!$I$5:$I$53,G1484)&lt;&gt;"",INDEX(CONFIRM!$I$5:$I$53,G1484),H1484),H1484)</f>
        <v>Coalition (CB)</v>
      </c>
      <c r="J1484" s="1" t="str">
        <f aca="false">IFERROR(INDEX(MAP!$F$7:$F$74,MATCH(TRIM(I1484),MAP!$E$7:$E$74,0)),"UNMAPPED")</f>
        <v>Community building: coalition building</v>
      </c>
      <c r="K1484" s="1" t="str">
        <f aca="false">IFERROR(INDEX(MAP!$G$7:$G$74,MATCH(TRIM(I1484),MAP!$E$7:$E$74,0)),"UNMAPPED")</f>
        <v>II-6</v>
      </c>
      <c r="L1484" s="49" t="str">
        <f aca="false">STACK!G1484</f>
        <v>03-Dec-2025</v>
      </c>
      <c r="M1484" s="59" t="n">
        <f aca="false">IF(G1484&gt;0,IF(INDEX(CONFIRM!$G$5:$G$53,G1484)&lt;&gt;"",INDEX(CONFIRM!$G$5:$G$53,G1484),IF(ISNUMBER(L1484),L1484,IFERROR(DATEVALUE(L1484),""))),IF(ISNUMBER(L1484),L1484,IFERROR(DATEVALUE(L1484),"")))</f>
        <v>45994</v>
      </c>
      <c r="N1484" s="1" t="str">
        <f aca="false">IF(M1484="","Check",IF(AND(M1484&gt;=INPUTS!$C$6,M1484&lt;=INPUTS!$C$7),"Yes","No"))</f>
        <v>Yes</v>
      </c>
      <c r="O1484" s="48" t="str">
        <f aca="false">STACK!H1484</f>
        <v>Executive Director</v>
      </c>
      <c r="P1484" s="1" t="str">
        <f aca="false">IF(G1484&gt;0,IF(INDEX(CONFIRM!$H$5:$H$53,G1484)&lt;&gt;"",INDEX(CONFIRM!$H$5:$H$53,G1484),IFERROR(INDEX(MAP!$B$7:$B$156,MATCH(TRIM(O1484),MAP!$A$7:$A$156,0)),"UNMAPPED")),IFERROR(INDEX(MAP!$B$7:$B$156,MATCH(TRIM(O1484),MAP!$A$7:$A$156,0)),"UNMAPPED"))</f>
        <v>Director</v>
      </c>
      <c r="Q1484" s="48" t="n">
        <f aca="false">STACK!I1484</f>
        <v>2.75</v>
      </c>
      <c r="R1484" s="60" t="n">
        <f aca="false">IF(G1484&gt;0,IF(INDEX(CONFIRM!$F$5:$F$53,G1484)&lt;&gt;"",INDEX(CONFIRM!$F$5:$F$53,G1484),IF(ISNUMBER(Q1484),Q1484,IF(Q1484="","",IFERROR(VALUE(TRIM(SUBSTITUTE(SUBSTITUTE(LOWER(Q1484),"hrs",""),"hr",""))),"")))),IF(ISNUMBER(Q1484),Q1484,IF(Q1484="","",IFERROR(VALUE(TRIM(SUBSTITUTE(SUBSTITUTE(LOWER(Q1484),"hrs",""),"hr",""))),""))))</f>
        <v>2.75</v>
      </c>
      <c r="S1484" s="57" t="n">
        <f aca="false">IFERROR(INDEX(RATES!$E$6:$E$28,MATCH(P1484,RATES!$A$6:$A$28,0)),0)</f>
        <v>92.52</v>
      </c>
      <c r="T1484" s="61" t="n">
        <f aca="false">IF(ISNUMBER(R1484),R1484,0)*S1484</f>
        <v>254.43</v>
      </c>
      <c r="U1484" s="61" t="n">
        <f aca="false">T1484*INDEX(INPUTS!$H$10:$H$14,MATCH(B1484,INPUTS!$A$10:$A$14,0))</f>
        <v>38.41893</v>
      </c>
      <c r="V1484" s="61" t="n">
        <f aca="false">N(STACK!K1484)</f>
        <v>45</v>
      </c>
      <c r="W1484" s="61" t="n">
        <f aca="false">T1484+U1484+V1484</f>
        <v>337.84893</v>
      </c>
      <c r="X1484" s="61" t="n">
        <f aca="false">N(STACK!L1484)</f>
        <v>0</v>
      </c>
      <c r="Y1484" s="61" t="n">
        <f aca="false">W1484-X1484</f>
        <v>337.84893</v>
      </c>
      <c r="Z1484" s="1" t="n">
        <f aca="false">N(STACK!J1484)</f>
        <v>0</v>
      </c>
      <c r="AA1484" s="1" t="str">
        <f aca="false">TRIM(IF(D1484="UNMAPPED","Program not mapped. ","")&amp;IF(OR(K1484="UNMAPPED",K1484="UNASSIGNED"),"Category needs review. ","")&amp;IF(P1484="UNMAPPED","Title not mapped. ","")&amp;IF(AND(P1484&lt;&gt;"No staff time",R1484=""),"Missing hours. ","")&amp;IF(M1484="","Date not readable. ","")&amp;IF(N1484="No","Outside fiscal year. ","")&amp;IF(AND(F1484="Event",ISNUMBER(R1484)),IF(R1484&gt;12,"Event hours look high. ",""),"")&amp;IF(G1484&gt;0,"See CONFIRM sheet.",""))</f>
        <v/>
      </c>
      <c r="AB1484" s="1" t="n">
        <f aca="false">IF(N1484="No",0,IF(REVIEW!O1484=0,0,IF(G1484&gt;0,IF(INDEX(CONFIRM!$J$5:$J$53,G1484)&lt;&gt;"",INDEX(CONFIRM!$J$5:$J$53,G1484),1),1)))</f>
        <v>1</v>
      </c>
      <c r="AC1484" s="1" t="n">
        <f aca="false">IF(AB1484=1,IF(COUNTIFS($B$5:B1484,B1484,$D$5:D1484,D1484,$AB$5:AB1484,1)=1,1,0),0)</f>
        <v>0</v>
      </c>
    </row>
    <row r="1485" customFormat="false" ht="15" hidden="false" customHeight="false" outlineLevel="0" collapsed="false">
      <c r="A1485" s="48" t="str">
        <f aca="false">STACK!A1485</f>
        <v>QHH-0104</v>
      </c>
      <c r="B1485" s="48" t="str">
        <f aca="false">STACK!B1485</f>
        <v>QHH</v>
      </c>
      <c r="C1485" s="48" t="str">
        <f aca="false">STACK!E1485</f>
        <v>Youth Pathway Program</v>
      </c>
      <c r="D1485" s="1" t="str">
        <f aca="false">IFERROR(INDEX(MAP!$J$7:$J$101,MATCH(TRIM(C1485),MAP!$I$7:$I$101,0)),"UNMAPPED")</f>
        <v>Youth Health Careers Pathway</v>
      </c>
      <c r="E1485" s="1" t="str">
        <f aca="false">IFERROR(INDEX(MAP!$K$7:$K$101,MATCH(TRIM(C1485),MAP!$I$7:$I$101,0)),"")</f>
        <v>Health workforce</v>
      </c>
      <c r="F1485" s="1" t="str">
        <f aca="false">IFERROR(INDEX(MAP!$L$7:$L$101,MATCH(TRIM(C1485),MAP!$I$7:$I$101,0)),"")</f>
        <v>Event</v>
      </c>
      <c r="G1485" s="1" t="n">
        <f aca="false">IFERROR(MATCH(A1485,CONFIRM!$A$5:$A$53,0),0)</f>
        <v>0</v>
      </c>
      <c r="H1485" s="48" t="str">
        <f aca="false">STACK!F1485</f>
        <v>Workforce Dev (CB)</v>
      </c>
      <c r="I1485" s="1" t="str">
        <f aca="false">IF(G1485&gt;0,IF(INDEX(CONFIRM!$I$5:$I$53,G1485)&lt;&gt;"",INDEX(CONFIRM!$I$5:$I$53,G1485),H1485),H1485)</f>
        <v>Workforce Dev (CB)</v>
      </c>
      <c r="J1485" s="1" t="str">
        <f aca="false">IFERROR(INDEX(MAP!$F$7:$F$74,MATCH(TRIM(I1485),MAP!$E$7:$E$74,0)),"UNMAPPED")</f>
        <v>Community building: workforce development</v>
      </c>
      <c r="K1485" s="1" t="str">
        <f aca="false">IFERROR(INDEX(MAP!$G$7:$G$74,MATCH(TRIM(I1485),MAP!$E$7:$E$74,0)),"UNMAPPED")</f>
        <v>II-8</v>
      </c>
      <c r="L1485" s="49" t="str">
        <f aca="false">STACK!G1485</f>
        <v>08-Dec-2025</v>
      </c>
      <c r="M1485" s="59" t="n">
        <f aca="false">IF(G1485&gt;0,IF(INDEX(CONFIRM!$G$5:$G$53,G1485)&lt;&gt;"",INDEX(CONFIRM!$G$5:$G$53,G1485),IF(ISNUMBER(L1485),L1485,IFERROR(DATEVALUE(L1485),""))),IF(ISNUMBER(L1485),L1485,IFERROR(DATEVALUE(L1485),"")))</f>
        <v>45999</v>
      </c>
      <c r="N1485" s="1" t="str">
        <f aca="false">IF(M1485="","Check",IF(AND(M1485&gt;=INPUTS!$C$6,M1485&lt;=INPUTS!$C$7),"Yes","No"))</f>
        <v>Yes</v>
      </c>
      <c r="O1485" s="48" t="str">
        <f aca="false">STACK!H1485</f>
        <v>RN Educator</v>
      </c>
      <c r="P1485" s="1" t="str">
        <f aca="false">IF(G1485&gt;0,IF(INDEX(CONFIRM!$H$5:$H$53,G1485)&lt;&gt;"",INDEX(CONFIRM!$H$5:$H$53,G1485),IFERROR(INDEX(MAP!$B$7:$B$156,MATCH(TRIM(O1485),MAP!$A$7:$A$156,0)),"UNMAPPED")),IFERROR(INDEX(MAP!$B$7:$B$156,MATCH(TRIM(O1485),MAP!$A$7:$A$156,0)),"UNMAPPED"))</f>
        <v>Clinical Nurse Educator</v>
      </c>
      <c r="Q1485" s="48" t="n">
        <f aca="false">STACK!I1485</f>
        <v>4.5</v>
      </c>
      <c r="R1485" s="60" t="n">
        <f aca="false">IF(G1485&gt;0,IF(INDEX(CONFIRM!$F$5:$F$53,G1485)&lt;&gt;"",INDEX(CONFIRM!$F$5:$F$53,G1485),IF(ISNUMBER(Q1485),Q1485,IF(Q1485="","",IFERROR(VALUE(TRIM(SUBSTITUTE(SUBSTITUTE(LOWER(Q1485),"hrs",""),"hr",""))),"")))),IF(ISNUMBER(Q1485),Q1485,IF(Q1485="","",IFERROR(VALUE(TRIM(SUBSTITUTE(SUBSTITUTE(LOWER(Q1485),"hrs",""),"hr",""))),""))))</f>
        <v>4.5</v>
      </c>
      <c r="S1485" s="57" t="n">
        <f aca="false">IFERROR(INDEX(RATES!$E$6:$E$28,MATCH(P1485,RATES!$A$6:$A$28,0)),0)</f>
        <v>62.965</v>
      </c>
      <c r="T1485" s="61" t="n">
        <f aca="false">IF(ISNUMBER(R1485),R1485,0)*S1485</f>
        <v>283.3425</v>
      </c>
      <c r="U1485" s="61" t="n">
        <f aca="false">T1485*INDEX(INPUTS!$H$10:$H$14,MATCH(B1485,INPUTS!$A$10:$A$14,0))</f>
        <v>42.7847175</v>
      </c>
      <c r="V1485" s="61" t="n">
        <f aca="false">N(STACK!K1485)</f>
        <v>0</v>
      </c>
      <c r="W1485" s="61" t="n">
        <f aca="false">T1485+U1485+V1485</f>
        <v>326.1272175</v>
      </c>
      <c r="X1485" s="61" t="n">
        <f aca="false">N(STACK!L1485)</f>
        <v>0</v>
      </c>
      <c r="Y1485" s="61" t="n">
        <f aca="false">W1485-X1485</f>
        <v>326.1272175</v>
      </c>
      <c r="Z1485" s="1" t="n">
        <f aca="false">N(STACK!J1485)</f>
        <v>0</v>
      </c>
      <c r="AA1485" s="1" t="str">
        <f aca="false">TRIM(IF(D1485="UNMAPPED","Program not mapped. ","")&amp;IF(OR(K1485="UNMAPPED",K1485="UNASSIGNED"),"Category needs review. ","")&amp;IF(P1485="UNMAPPED","Title not mapped. ","")&amp;IF(AND(P1485&lt;&gt;"No staff time",R1485=""),"Missing hours. ","")&amp;IF(M1485="","Date not readable. ","")&amp;IF(N1485="No","Outside fiscal year. ","")&amp;IF(AND(F1485="Event",ISNUMBER(R1485)),IF(R1485&gt;12,"Event hours look high. ",""),"")&amp;IF(G1485&gt;0,"See CONFIRM sheet.",""))</f>
        <v/>
      </c>
      <c r="AB1485" s="1" t="n">
        <f aca="false">IF(N1485="No",0,IF(REVIEW!O1485=0,0,IF(G1485&gt;0,IF(INDEX(CONFIRM!$J$5:$J$53,G1485)&lt;&gt;"",INDEX(CONFIRM!$J$5:$J$53,G1485),1),1)))</f>
        <v>1</v>
      </c>
      <c r="AC1485" s="1" t="n">
        <f aca="false">IF(AB1485=1,IF(COUNTIFS($B$5:B1485,B1485,$D$5:D1485,D1485,$AB$5:AB1485,1)=1,1,0),0)</f>
        <v>0</v>
      </c>
    </row>
    <row r="1486" customFormat="false" ht="15" hidden="false" customHeight="false" outlineLevel="0" collapsed="false">
      <c r="A1486" s="48" t="str">
        <f aca="false">STACK!A1486</f>
        <v>QHH-0105</v>
      </c>
      <c r="B1486" s="48" t="str">
        <f aca="false">STACK!B1486</f>
        <v>QHH</v>
      </c>
      <c r="C1486" s="48" t="str">
        <f aca="false">STACK!E1486</f>
        <v>Youth Pathway Program</v>
      </c>
      <c r="D1486" s="1" t="str">
        <f aca="false">IFERROR(INDEX(MAP!$J$7:$J$101,MATCH(TRIM(C1486),MAP!$I$7:$I$101,0)),"UNMAPPED")</f>
        <v>Youth Health Careers Pathway</v>
      </c>
      <c r="E1486" s="1" t="str">
        <f aca="false">IFERROR(INDEX(MAP!$K$7:$K$101,MATCH(TRIM(C1486),MAP!$I$7:$I$101,0)),"")</f>
        <v>Health workforce</v>
      </c>
      <c r="F1486" s="1" t="str">
        <f aca="false">IFERROR(INDEX(MAP!$L$7:$L$101,MATCH(TRIM(C1486),MAP!$I$7:$I$101,0)),"")</f>
        <v>Event</v>
      </c>
      <c r="G1486" s="1" t="n">
        <f aca="false">IFERROR(MATCH(A1486,CONFIRM!$A$5:$A$53,0),0)</f>
        <v>0</v>
      </c>
      <c r="H1486" s="48" t="str">
        <f aca="false">STACK!F1486</f>
        <v>Workforce Dev (CB)</v>
      </c>
      <c r="I1486" s="1" t="str">
        <f aca="false">IF(G1486&gt;0,IF(INDEX(CONFIRM!$I$5:$I$53,G1486)&lt;&gt;"",INDEX(CONFIRM!$I$5:$I$53,G1486),H1486),H1486)</f>
        <v>Workforce Dev (CB)</v>
      </c>
      <c r="J1486" s="1" t="str">
        <f aca="false">IFERROR(INDEX(MAP!$F$7:$F$74,MATCH(TRIM(I1486),MAP!$E$7:$E$74,0)),"UNMAPPED")</f>
        <v>Community building: workforce development</v>
      </c>
      <c r="K1486" s="1" t="str">
        <f aca="false">IFERROR(INDEX(MAP!$G$7:$G$74,MATCH(TRIM(I1486),MAP!$E$7:$E$74,0)),"UNMAPPED")</f>
        <v>II-8</v>
      </c>
      <c r="L1486" s="49" t="str">
        <f aca="false">STACK!G1486</f>
        <v>08-Dec-2025</v>
      </c>
      <c r="M1486" s="59" t="n">
        <f aca="false">IF(G1486&gt;0,IF(INDEX(CONFIRM!$G$5:$G$53,G1486)&lt;&gt;"",INDEX(CONFIRM!$G$5:$G$53,G1486),IF(ISNUMBER(L1486),L1486,IFERROR(DATEVALUE(L1486),""))),IF(ISNUMBER(L1486),L1486,IFERROR(DATEVALUE(L1486),"")))</f>
        <v>45999</v>
      </c>
      <c r="N1486" s="1" t="str">
        <f aca="false">IF(M1486="","Check",IF(AND(M1486&gt;=INPUTS!$C$6,M1486&lt;=INPUTS!$C$7),"Yes","No"))</f>
        <v>Yes</v>
      </c>
      <c r="O1486" s="48" t="str">
        <f aca="false">STACK!H1486</f>
        <v>Program Coordinator</v>
      </c>
      <c r="P1486" s="1" t="str">
        <f aca="false">IF(G1486&gt;0,IF(INDEX(CONFIRM!$H$5:$H$53,G1486)&lt;&gt;"",INDEX(CONFIRM!$H$5:$H$53,G1486),IFERROR(INDEX(MAP!$B$7:$B$156,MATCH(TRIM(O1486),MAP!$A$7:$A$156,0)),"UNMAPPED")),IFERROR(INDEX(MAP!$B$7:$B$156,MATCH(TRIM(O1486),MAP!$A$7:$A$156,0)),"UNMAPPED"))</f>
        <v>Program Coordinator</v>
      </c>
      <c r="Q1486" s="48" t="n">
        <f aca="false">STACK!I1486</f>
        <v>6.25</v>
      </c>
      <c r="R1486" s="60" t="n">
        <f aca="false">IF(G1486&gt;0,IF(INDEX(CONFIRM!$F$5:$F$53,G1486)&lt;&gt;"",INDEX(CONFIRM!$F$5:$F$53,G1486),IF(ISNUMBER(Q1486),Q1486,IF(Q1486="","",IFERROR(VALUE(TRIM(SUBSTITUTE(SUBSTITUTE(LOWER(Q1486),"hrs",""),"hr",""))),"")))),IF(ISNUMBER(Q1486),Q1486,IF(Q1486="","",IFERROR(VALUE(TRIM(SUBSTITUTE(SUBSTITUTE(LOWER(Q1486),"hrs",""),"hr",""))),""))))</f>
        <v>6.25</v>
      </c>
      <c r="S1486" s="57" t="n">
        <f aca="false">IFERROR(INDEX(RATES!$E$6:$E$28,MATCH(P1486,RATES!$A$6:$A$28,0)),0)</f>
        <v>35.3375</v>
      </c>
      <c r="T1486" s="61" t="n">
        <f aca="false">IF(ISNUMBER(R1486),R1486,0)*S1486</f>
        <v>220.859375</v>
      </c>
      <c r="U1486" s="61" t="n">
        <f aca="false">T1486*INDEX(INPUTS!$H$10:$H$14,MATCH(B1486,INPUTS!$A$10:$A$14,0))</f>
        <v>33.349765625</v>
      </c>
      <c r="V1486" s="61" t="n">
        <f aca="false">N(STACK!K1486)</f>
        <v>700</v>
      </c>
      <c r="W1486" s="61" t="n">
        <f aca="false">T1486+U1486+V1486</f>
        <v>954.209140625</v>
      </c>
      <c r="X1486" s="61" t="n">
        <f aca="false">N(STACK!L1486)</f>
        <v>0</v>
      </c>
      <c r="Y1486" s="61" t="n">
        <f aca="false">W1486-X1486</f>
        <v>954.209140625</v>
      </c>
      <c r="Z1486" s="1" t="n">
        <f aca="false">N(STACK!J1486)</f>
        <v>35</v>
      </c>
      <c r="AA1486" s="1" t="str">
        <f aca="false">TRIM(IF(D1486="UNMAPPED","Program not mapped. ","")&amp;IF(OR(K1486="UNMAPPED",K1486="UNASSIGNED"),"Category needs review. ","")&amp;IF(P1486="UNMAPPED","Title not mapped. ","")&amp;IF(AND(P1486&lt;&gt;"No staff time",R1486=""),"Missing hours. ","")&amp;IF(M1486="","Date not readable. ","")&amp;IF(N1486="No","Outside fiscal year. ","")&amp;IF(AND(F1486="Event",ISNUMBER(R1486)),IF(R1486&gt;12,"Event hours look high. ",""),"")&amp;IF(G1486&gt;0,"See CONFIRM sheet.",""))</f>
        <v/>
      </c>
      <c r="AB1486" s="1" t="n">
        <f aca="false">IF(N1486="No",0,IF(REVIEW!O1486=0,0,IF(G1486&gt;0,IF(INDEX(CONFIRM!$J$5:$J$53,G1486)&lt;&gt;"",INDEX(CONFIRM!$J$5:$J$53,G1486),1),1)))</f>
        <v>1</v>
      </c>
      <c r="AC1486" s="1" t="n">
        <f aca="false">IF(AB1486=1,IF(COUNTIFS($B$5:B1486,B1486,$D$5:D1486,D1486,$AB$5:AB1486,1)=1,1,0),0)</f>
        <v>0</v>
      </c>
    </row>
    <row r="1487" customFormat="false" ht="15" hidden="false" customHeight="false" outlineLevel="0" collapsed="false">
      <c r="A1487" s="48" t="str">
        <f aca="false">STACK!A1487</f>
        <v>QHH-0106</v>
      </c>
      <c r="B1487" s="48" t="str">
        <f aca="false">STACK!B1487</f>
        <v>QHH</v>
      </c>
      <c r="C1487" s="48" t="str">
        <f aca="false">STACK!E1487</f>
        <v>Grief Support Group</v>
      </c>
      <c r="D1487" s="1" t="str">
        <f aca="false">IFERROR(INDEX(MAP!$J$7:$J$101,MATCH(TRIM(C1487),MAP!$I$7:$I$101,0)),"UNMAPPED")</f>
        <v>Grief Support Group</v>
      </c>
      <c r="E1487" s="1" t="str">
        <f aca="false">IFERROR(INDEX(MAP!$K$7:$K$101,MATCH(TRIM(C1487),MAP!$I$7:$I$101,0)),"")</f>
        <v>Behavioral health</v>
      </c>
      <c r="F1487" s="1" t="str">
        <f aca="false">IFERROR(INDEX(MAP!$L$7:$L$101,MATCH(TRIM(C1487),MAP!$I$7:$I$101,0)),"")</f>
        <v>Event</v>
      </c>
      <c r="G1487" s="1" t="n">
        <f aca="false">IFERROR(MATCH(A1487,CONFIRM!$A$5:$A$53,0),0)</f>
        <v>0</v>
      </c>
      <c r="H1487" s="48" t="str">
        <f aca="false">STACK!F1487</f>
        <v>CHIS - Support</v>
      </c>
      <c r="I1487" s="1" t="str">
        <f aca="false">IF(G1487&gt;0,IF(INDEX(CONFIRM!$I$5:$I$53,G1487)&lt;&gt;"",INDEX(CONFIRM!$I$5:$I$53,G1487),H1487),H1487)</f>
        <v>CHIS - Support</v>
      </c>
      <c r="J1487" s="1" t="str">
        <f aca="false">IFERROR(INDEX(MAP!$F$7:$F$74,MATCH(TRIM(I1487),MAP!$E$7:$E$74,0)),"UNMAPPED")</f>
        <v>Health care support services</v>
      </c>
      <c r="K1487" s="1" t="str">
        <f aca="false">IFERROR(INDEX(MAP!$G$7:$G$74,MATCH(TRIM(I1487),MAP!$E$7:$E$74,0)),"UNMAPPED")</f>
        <v>7e</v>
      </c>
      <c r="L1487" s="49" t="str">
        <f aca="false">STACK!G1487</f>
        <v>11-Dec-2025</v>
      </c>
      <c r="M1487" s="59" t="n">
        <f aca="false">IF(G1487&gt;0,IF(INDEX(CONFIRM!$G$5:$G$53,G1487)&lt;&gt;"",INDEX(CONFIRM!$G$5:$G$53,G1487),IF(ISNUMBER(L1487),L1487,IFERROR(DATEVALUE(L1487),""))),IF(ISNUMBER(L1487),L1487,IFERROR(DATEVALUE(L1487),"")))</f>
        <v>46002</v>
      </c>
      <c r="N1487" s="1" t="str">
        <f aca="false">IF(M1487="","Check",IF(AND(M1487&gt;=INPUTS!$C$6,M1487&lt;=INPUTS!$C$7),"Yes","No"))</f>
        <v>Yes</v>
      </c>
      <c r="O1487" s="48" t="str">
        <f aca="false">STACK!H1487</f>
        <v>Chaplain Resident</v>
      </c>
      <c r="P1487" s="1" t="str">
        <f aca="false">IF(G1487&gt;0,IF(INDEX(CONFIRM!$H$5:$H$53,G1487)&lt;&gt;"",INDEX(CONFIRM!$H$5:$H$53,G1487),IFERROR(INDEX(MAP!$B$7:$B$156,MATCH(TRIM(O1487),MAP!$A$7:$A$156,0)),"UNMAPPED")),IFERROR(INDEX(MAP!$B$7:$B$156,MATCH(TRIM(O1487),MAP!$A$7:$A$156,0)),"UNMAPPED"))</f>
        <v>Chaplain</v>
      </c>
      <c r="Q1487" s="48" t="n">
        <f aca="false">STACK!I1487</f>
        <v>2.5</v>
      </c>
      <c r="R1487" s="60" t="n">
        <f aca="false">IF(G1487&gt;0,IF(INDEX(CONFIRM!$F$5:$F$53,G1487)&lt;&gt;"",INDEX(CONFIRM!$F$5:$F$53,G1487),IF(ISNUMBER(Q1487),Q1487,IF(Q1487="","",IFERROR(VALUE(TRIM(SUBSTITUTE(SUBSTITUTE(LOWER(Q1487),"hrs",""),"hr",""))),"")))),IF(ISNUMBER(Q1487),Q1487,IF(Q1487="","",IFERROR(VALUE(TRIM(SUBSTITUTE(SUBSTITUTE(LOWER(Q1487),"hrs",""),"hr",""))),""))))</f>
        <v>2.5</v>
      </c>
      <c r="S1487" s="57" t="n">
        <f aca="false">IFERROR(INDEX(RATES!$E$6:$E$28,MATCH(P1487,RATES!$A$6:$A$28,0)),0)</f>
        <v>39.835</v>
      </c>
      <c r="T1487" s="61" t="n">
        <f aca="false">IF(ISNUMBER(R1487),R1487,0)*S1487</f>
        <v>99.5875</v>
      </c>
      <c r="U1487" s="61" t="n">
        <f aca="false">T1487*INDEX(INPUTS!$H$10:$H$14,MATCH(B1487,INPUTS!$A$10:$A$14,0))</f>
        <v>15.0377125</v>
      </c>
      <c r="V1487" s="61" t="n">
        <f aca="false">N(STACK!K1487)</f>
        <v>50</v>
      </c>
      <c r="W1487" s="61" t="n">
        <f aca="false">T1487+U1487+V1487</f>
        <v>164.6252125</v>
      </c>
      <c r="X1487" s="61" t="n">
        <f aca="false">N(STACK!L1487)</f>
        <v>0</v>
      </c>
      <c r="Y1487" s="61" t="n">
        <f aca="false">W1487-X1487</f>
        <v>164.6252125</v>
      </c>
      <c r="Z1487" s="1" t="n">
        <f aca="false">N(STACK!J1487)</f>
        <v>8</v>
      </c>
      <c r="AA1487" s="1" t="str">
        <f aca="false">TRIM(IF(D1487="UNMAPPED","Program not mapped. ","")&amp;IF(OR(K1487="UNMAPPED",K1487="UNASSIGNED"),"Category needs review. ","")&amp;IF(P1487="UNMAPPED","Title not mapped. ","")&amp;IF(AND(P1487&lt;&gt;"No staff time",R1487=""),"Missing hours. ","")&amp;IF(M1487="","Date not readable. ","")&amp;IF(N1487="No","Outside fiscal year. ","")&amp;IF(AND(F1487="Event",ISNUMBER(R1487)),IF(R1487&gt;12,"Event hours look high. ",""),"")&amp;IF(G1487&gt;0,"See CONFIRM sheet.",""))</f>
        <v/>
      </c>
      <c r="AB1487" s="1" t="n">
        <f aca="false">IF(N1487="No",0,IF(REVIEW!O1487=0,0,IF(G1487&gt;0,IF(INDEX(CONFIRM!$J$5:$J$53,G1487)&lt;&gt;"",INDEX(CONFIRM!$J$5:$J$53,G1487),1),1)))</f>
        <v>1</v>
      </c>
      <c r="AC1487" s="1" t="n">
        <f aca="false">IF(AB1487=1,IF(COUNTIFS($B$5:B1487,B1487,$D$5:D1487,D1487,$AB$5:AB1487,1)=1,1,0),0)</f>
        <v>0</v>
      </c>
    </row>
    <row r="1488" customFormat="false" ht="15" hidden="false" customHeight="false" outlineLevel="0" collapsed="false">
      <c r="A1488" s="48" t="str">
        <f aca="false">STACK!A1488</f>
        <v>QHH-0107</v>
      </c>
      <c r="B1488" s="48" t="str">
        <f aca="false">STACK!B1488</f>
        <v>QHH</v>
      </c>
      <c r="C1488" s="48" t="str">
        <f aca="false">STACK!E1488</f>
        <v>Grief Support Group</v>
      </c>
      <c r="D1488" s="1" t="str">
        <f aca="false">IFERROR(INDEX(MAP!$J$7:$J$101,MATCH(TRIM(C1488),MAP!$I$7:$I$101,0)),"UNMAPPED")</f>
        <v>Grief Support Group</v>
      </c>
      <c r="E1488" s="1" t="str">
        <f aca="false">IFERROR(INDEX(MAP!$K$7:$K$101,MATCH(TRIM(C1488),MAP!$I$7:$I$101,0)),"")</f>
        <v>Behavioral health</v>
      </c>
      <c r="F1488" s="1" t="str">
        <f aca="false">IFERROR(INDEX(MAP!$L$7:$L$101,MATCH(TRIM(C1488),MAP!$I$7:$I$101,0)),"")</f>
        <v>Event</v>
      </c>
      <c r="G1488" s="1" t="n">
        <f aca="false">IFERROR(MATCH(A1488,CONFIRM!$A$5:$A$53,0),0)</f>
        <v>0</v>
      </c>
      <c r="H1488" s="48" t="str">
        <f aca="false">STACK!F1488</f>
        <v>CHIS - Support</v>
      </c>
      <c r="I1488" s="1" t="str">
        <f aca="false">IF(G1488&gt;0,IF(INDEX(CONFIRM!$I$5:$I$53,G1488)&lt;&gt;"",INDEX(CONFIRM!$I$5:$I$53,G1488),H1488),H1488)</f>
        <v>CHIS - Support</v>
      </c>
      <c r="J1488" s="1" t="str">
        <f aca="false">IFERROR(INDEX(MAP!$F$7:$F$74,MATCH(TRIM(I1488),MAP!$E$7:$E$74,0)),"UNMAPPED")</f>
        <v>Health care support services</v>
      </c>
      <c r="K1488" s="1" t="str">
        <f aca="false">IFERROR(INDEX(MAP!$G$7:$G$74,MATCH(TRIM(I1488),MAP!$E$7:$E$74,0)),"UNMAPPED")</f>
        <v>7e</v>
      </c>
      <c r="L1488" s="49" t="str">
        <f aca="false">STACK!G1488</f>
        <v>11-Dec-2025</v>
      </c>
      <c r="M1488" s="59" t="n">
        <f aca="false">IF(G1488&gt;0,IF(INDEX(CONFIRM!$G$5:$G$53,G1488)&lt;&gt;"",INDEX(CONFIRM!$G$5:$G$53,G1488),IF(ISNUMBER(L1488),L1488,IFERROR(DATEVALUE(L1488),""))),IF(ISNUMBER(L1488),L1488,IFERROR(DATEVALUE(L1488),"")))</f>
        <v>46002</v>
      </c>
      <c r="N1488" s="1" t="str">
        <f aca="false">IF(M1488="","Check",IF(AND(M1488&gt;=INPUTS!$C$6,M1488&lt;=INPUTS!$C$7),"Yes","No"))</f>
        <v>Yes</v>
      </c>
      <c r="O1488" s="48" t="str">
        <f aca="false">STACK!H1488</f>
        <v>Clinical Social Worker</v>
      </c>
      <c r="P1488" s="1" t="str">
        <f aca="false">IF(G1488&gt;0,IF(INDEX(CONFIRM!$H$5:$H$53,G1488)&lt;&gt;"",INDEX(CONFIRM!$H$5:$H$53,G1488),IFERROR(INDEX(MAP!$B$7:$B$156,MATCH(TRIM(O1488),MAP!$A$7:$A$156,0)),"UNMAPPED")),IFERROR(INDEX(MAP!$B$7:$B$156,MATCH(TRIM(O1488),MAP!$A$7:$A$156,0)),"UNMAPPED"))</f>
        <v>Social Worker</v>
      </c>
      <c r="Q1488" s="48" t="n">
        <f aca="false">STACK!I1488</f>
        <v>1.75</v>
      </c>
      <c r="R1488" s="60" t="n">
        <f aca="false">IF(G1488&gt;0,IF(INDEX(CONFIRM!$F$5:$F$53,G1488)&lt;&gt;"",INDEX(CONFIRM!$F$5:$F$53,G1488),IF(ISNUMBER(Q1488),Q1488,IF(Q1488="","",IFERROR(VALUE(TRIM(SUBSTITUTE(SUBSTITUTE(LOWER(Q1488),"hrs",""),"hr",""))),"")))),IF(ISNUMBER(Q1488),Q1488,IF(Q1488="","",IFERROR(VALUE(TRIM(SUBSTITUTE(SUBSTITUTE(LOWER(Q1488),"hrs",""),"hr",""))),""))))</f>
        <v>1.75</v>
      </c>
      <c r="S1488" s="57" t="n">
        <f aca="false">IFERROR(INDEX(RATES!$E$6:$E$28,MATCH(P1488,RATES!$A$6:$A$28,0)),0)</f>
        <v>45.6175</v>
      </c>
      <c r="T1488" s="61" t="n">
        <f aca="false">IF(ISNUMBER(R1488),R1488,0)*S1488</f>
        <v>79.830625</v>
      </c>
      <c r="U1488" s="61" t="n">
        <f aca="false">T1488*INDEX(INPUTS!$H$10:$H$14,MATCH(B1488,INPUTS!$A$10:$A$14,0))</f>
        <v>12.054424375</v>
      </c>
      <c r="V1488" s="61" t="n">
        <f aca="false">N(STACK!K1488)</f>
        <v>0</v>
      </c>
      <c r="W1488" s="61" t="n">
        <f aca="false">T1488+U1488+V1488</f>
        <v>91.885049375</v>
      </c>
      <c r="X1488" s="61" t="n">
        <f aca="false">N(STACK!L1488)</f>
        <v>0</v>
      </c>
      <c r="Y1488" s="61" t="n">
        <f aca="false">W1488-X1488</f>
        <v>91.885049375</v>
      </c>
      <c r="Z1488" s="1" t="n">
        <f aca="false">N(STACK!J1488)</f>
        <v>0</v>
      </c>
      <c r="AA1488" s="1" t="str">
        <f aca="false">TRIM(IF(D1488="UNMAPPED","Program not mapped. ","")&amp;IF(OR(K1488="UNMAPPED",K1488="UNASSIGNED"),"Category needs review. ","")&amp;IF(P1488="UNMAPPED","Title not mapped. ","")&amp;IF(AND(P1488&lt;&gt;"No staff time",R1488=""),"Missing hours. ","")&amp;IF(M1488="","Date not readable. ","")&amp;IF(N1488="No","Outside fiscal year. ","")&amp;IF(AND(F1488="Event",ISNUMBER(R1488)),IF(R1488&gt;12,"Event hours look high. ",""),"")&amp;IF(G1488&gt;0,"See CONFIRM sheet.",""))</f>
        <v/>
      </c>
      <c r="AB1488" s="1" t="n">
        <f aca="false">IF(N1488="No",0,IF(REVIEW!O1488=0,0,IF(G1488&gt;0,IF(INDEX(CONFIRM!$J$5:$J$53,G1488)&lt;&gt;"",INDEX(CONFIRM!$J$5:$J$53,G1488),1),1)))</f>
        <v>1</v>
      </c>
      <c r="AC1488" s="1" t="n">
        <f aca="false">IF(AB1488=1,IF(COUNTIFS($B$5:B1488,B1488,$D$5:D1488,D1488,$AB$5:AB1488,1)=1,1,0),0)</f>
        <v>0</v>
      </c>
    </row>
    <row r="1489" customFormat="false" ht="15" hidden="false" customHeight="false" outlineLevel="0" collapsed="false">
      <c r="A1489" s="48" t="str">
        <f aca="false">STACK!A1489</f>
        <v>QHH-0108</v>
      </c>
      <c r="B1489" s="48" t="str">
        <f aca="false">STACK!B1489</f>
        <v>QHH</v>
      </c>
      <c r="C1489" s="48" t="str">
        <f aca="false">STACK!E1489</f>
        <v>Sports Physicals</v>
      </c>
      <c r="D1489" s="1" t="str">
        <f aca="false">IFERROR(INDEX(MAP!$J$7:$J$101,MATCH(TRIM(C1489),MAP!$I$7:$I$101,0)),"UNMAPPED")</f>
        <v>Free Sports Physicals</v>
      </c>
      <c r="E1489" s="1" t="str">
        <f aca="false">IFERROR(INDEX(MAP!$K$7:$K$101,MATCH(TRIM(C1489),MAP!$I$7:$I$101,0)),"")</f>
        <v>Maternal and child health</v>
      </c>
      <c r="F1489" s="1" t="str">
        <f aca="false">IFERROR(INDEX(MAP!$L$7:$L$101,MATCH(TRIM(C1489),MAP!$I$7:$I$101,0)),"")</f>
        <v>Event</v>
      </c>
      <c r="G1489" s="1" t="n">
        <f aca="false">IFERROR(MATCH(A1489,CONFIRM!$A$5:$A$53,0),0)</f>
        <v>0</v>
      </c>
      <c r="H1489" s="48" t="str">
        <f aca="false">STACK!F1489</f>
        <v>CHIS - Clinical</v>
      </c>
      <c r="I1489" s="1" t="str">
        <f aca="false">IF(G1489&gt;0,IF(INDEX(CONFIRM!$I$5:$I$53,G1489)&lt;&gt;"",INDEX(CONFIRM!$I$5:$I$53,G1489),H1489),H1489)</f>
        <v>CHIS - Clinical</v>
      </c>
      <c r="J1489" s="1" t="str">
        <f aca="false">IFERROR(INDEX(MAP!$F$7:$F$74,MATCH(TRIM(I1489),MAP!$E$7:$E$74,0)),"UNMAPPED")</f>
        <v>Community-based clinical services</v>
      </c>
      <c r="K1489" s="1" t="str">
        <f aca="false">IFERROR(INDEX(MAP!$G$7:$G$74,MATCH(TRIM(I1489),MAP!$E$7:$E$74,0)),"UNMAPPED")</f>
        <v>7e</v>
      </c>
      <c r="L1489" s="49" t="str">
        <f aca="false">STACK!G1489</f>
        <v>11-Dec-2025</v>
      </c>
      <c r="M1489" s="59" t="n">
        <f aca="false">IF(G1489&gt;0,IF(INDEX(CONFIRM!$G$5:$G$53,G1489)&lt;&gt;"",INDEX(CONFIRM!$G$5:$G$53,G1489),IF(ISNUMBER(L1489),L1489,IFERROR(DATEVALUE(L1489),""))),IF(ISNUMBER(L1489),L1489,IFERROR(DATEVALUE(L1489),"")))</f>
        <v>46002</v>
      </c>
      <c r="N1489" s="1" t="str">
        <f aca="false">IF(M1489="","Check",IF(AND(M1489&gt;=INPUTS!$C$6,M1489&lt;=INPUTS!$C$7),"Yes","No"))</f>
        <v>Yes</v>
      </c>
      <c r="O1489" s="48" t="str">
        <f aca="false">STACK!H1489</f>
        <v>CMA</v>
      </c>
      <c r="P1489" s="1" t="str">
        <f aca="false">IF(G1489&gt;0,IF(INDEX(CONFIRM!$H$5:$H$53,G1489)&lt;&gt;"",INDEX(CONFIRM!$H$5:$H$53,G1489),IFERROR(INDEX(MAP!$B$7:$B$156,MATCH(TRIM(O1489),MAP!$A$7:$A$156,0)),"UNMAPPED")),IFERROR(INDEX(MAP!$B$7:$B$156,MATCH(TRIM(O1489),MAP!$A$7:$A$156,0)),"UNMAPPED"))</f>
        <v>Medical Assistant</v>
      </c>
      <c r="Q1489" s="48" t="n">
        <f aca="false">STACK!I1489</f>
        <v>4.5</v>
      </c>
      <c r="R1489" s="60" t="n">
        <f aca="false">IF(G1489&gt;0,IF(INDEX(CONFIRM!$F$5:$F$53,G1489)&lt;&gt;"",INDEX(CONFIRM!$F$5:$F$53,G1489),IF(ISNUMBER(Q1489),Q1489,IF(Q1489="","",IFERROR(VALUE(TRIM(SUBSTITUTE(SUBSTITUTE(LOWER(Q1489),"hrs",""),"hr",""))),"")))),IF(ISNUMBER(Q1489),Q1489,IF(Q1489="","",IFERROR(VALUE(TRIM(SUBSTITUTE(SUBSTITUTE(LOWER(Q1489),"hrs",""),"hr",""))),""))))</f>
        <v>4.5</v>
      </c>
      <c r="S1489" s="57" t="n">
        <f aca="false">IFERROR(INDEX(RATES!$E$6:$E$28,MATCH(P1489,RATES!$A$6:$A$28,0)),0)</f>
        <v>25.37875</v>
      </c>
      <c r="T1489" s="61" t="n">
        <f aca="false">IF(ISNUMBER(R1489),R1489,0)*S1489</f>
        <v>114.204375</v>
      </c>
      <c r="U1489" s="61" t="n">
        <f aca="false">T1489*INDEX(INPUTS!$H$10:$H$14,MATCH(B1489,INPUTS!$A$10:$A$14,0))</f>
        <v>17.244860625</v>
      </c>
      <c r="V1489" s="61" t="n">
        <f aca="false">N(STACK!K1489)</f>
        <v>0</v>
      </c>
      <c r="W1489" s="61" t="n">
        <f aca="false">T1489+U1489+V1489</f>
        <v>131.449235625</v>
      </c>
      <c r="X1489" s="61" t="n">
        <f aca="false">N(STACK!L1489)</f>
        <v>0</v>
      </c>
      <c r="Y1489" s="61" t="n">
        <f aca="false">W1489-X1489</f>
        <v>131.449235625</v>
      </c>
      <c r="Z1489" s="1" t="n">
        <f aca="false">N(STACK!J1489)</f>
        <v>0</v>
      </c>
      <c r="AA1489" s="1" t="str">
        <f aca="false">TRIM(IF(D1489="UNMAPPED","Program not mapped. ","")&amp;IF(OR(K1489="UNMAPPED",K1489="UNASSIGNED"),"Category needs review. ","")&amp;IF(P1489="UNMAPPED","Title not mapped. ","")&amp;IF(AND(P1489&lt;&gt;"No staff time",R1489=""),"Missing hours. ","")&amp;IF(M1489="","Date not readable. ","")&amp;IF(N1489="No","Outside fiscal year. ","")&amp;IF(AND(F1489="Event",ISNUMBER(R1489)),IF(R1489&gt;12,"Event hours look high. ",""),"")&amp;IF(G1489&gt;0,"See CONFIRM sheet.",""))</f>
        <v/>
      </c>
      <c r="AB1489" s="1" t="n">
        <f aca="false">IF(N1489="No",0,IF(REVIEW!O1489=0,0,IF(G1489&gt;0,IF(INDEX(CONFIRM!$J$5:$J$53,G1489)&lt;&gt;"",INDEX(CONFIRM!$J$5:$J$53,G1489),1),1)))</f>
        <v>1</v>
      </c>
      <c r="AC1489" s="1" t="n">
        <f aca="false">IF(AB1489=1,IF(COUNTIFS($B$5:B1489,B1489,$D$5:D1489,D1489,$AB$5:AB1489,1)=1,1,0),0)</f>
        <v>0</v>
      </c>
    </row>
    <row r="1490" customFormat="false" ht="15" hidden="false" customHeight="false" outlineLevel="0" collapsed="false">
      <c r="A1490" s="48" t="str">
        <f aca="false">STACK!A1490</f>
        <v>QHH-0109</v>
      </c>
      <c r="B1490" s="48" t="str">
        <f aca="false">STACK!B1490</f>
        <v>QHH</v>
      </c>
      <c r="C1490" s="48" t="str">
        <f aca="false">STACK!E1490</f>
        <v>Sports Physicals</v>
      </c>
      <c r="D1490" s="1" t="str">
        <f aca="false">IFERROR(INDEX(MAP!$J$7:$J$101,MATCH(TRIM(C1490),MAP!$I$7:$I$101,0)),"UNMAPPED")</f>
        <v>Free Sports Physicals</v>
      </c>
      <c r="E1490" s="1" t="str">
        <f aca="false">IFERROR(INDEX(MAP!$K$7:$K$101,MATCH(TRIM(C1490),MAP!$I$7:$I$101,0)),"")</f>
        <v>Maternal and child health</v>
      </c>
      <c r="F1490" s="1" t="str">
        <f aca="false">IFERROR(INDEX(MAP!$L$7:$L$101,MATCH(TRIM(C1490),MAP!$I$7:$I$101,0)),"")</f>
        <v>Event</v>
      </c>
      <c r="G1490" s="1" t="n">
        <f aca="false">IFERROR(MATCH(A1490,CONFIRM!$A$5:$A$53,0),0)</f>
        <v>0</v>
      </c>
      <c r="H1490" s="48" t="str">
        <f aca="false">STACK!F1490</f>
        <v>CHIS - Clinical</v>
      </c>
      <c r="I1490" s="1" t="str">
        <f aca="false">IF(G1490&gt;0,IF(INDEX(CONFIRM!$I$5:$I$53,G1490)&lt;&gt;"",INDEX(CONFIRM!$I$5:$I$53,G1490),H1490),H1490)</f>
        <v>CHIS - Clinical</v>
      </c>
      <c r="J1490" s="1" t="str">
        <f aca="false">IFERROR(INDEX(MAP!$F$7:$F$74,MATCH(TRIM(I1490),MAP!$E$7:$E$74,0)),"UNMAPPED")</f>
        <v>Community-based clinical services</v>
      </c>
      <c r="K1490" s="1" t="str">
        <f aca="false">IFERROR(INDEX(MAP!$G$7:$G$74,MATCH(TRIM(I1490),MAP!$E$7:$E$74,0)),"UNMAPPED")</f>
        <v>7e</v>
      </c>
      <c r="L1490" s="49" t="str">
        <f aca="false">STACK!G1490</f>
        <v>11-Dec-2025</v>
      </c>
      <c r="M1490" s="59" t="n">
        <f aca="false">IF(G1490&gt;0,IF(INDEX(CONFIRM!$G$5:$G$53,G1490)&lt;&gt;"",INDEX(CONFIRM!$G$5:$G$53,G1490),IF(ISNUMBER(L1490),L1490,IFERROR(DATEVALUE(L1490),""))),IF(ISNUMBER(L1490),L1490,IFERROR(DATEVALUE(L1490),"")))</f>
        <v>46002</v>
      </c>
      <c r="N1490" s="1" t="str">
        <f aca="false">IF(M1490="","Check",IF(AND(M1490&gt;=INPUTS!$C$6,M1490&lt;=INPUTS!$C$7),"Yes","No"))</f>
        <v>Yes</v>
      </c>
      <c r="O1490" s="48" t="str">
        <f aca="false">STACK!H1490</f>
        <v>Family NP</v>
      </c>
      <c r="P1490" s="1" t="str">
        <f aca="false">IF(G1490&gt;0,IF(INDEX(CONFIRM!$H$5:$H$53,G1490)&lt;&gt;"",INDEX(CONFIRM!$H$5:$H$53,G1490),IFERROR(INDEX(MAP!$B$7:$B$156,MATCH(TRIM(O1490),MAP!$A$7:$A$156,0)),"UNMAPPED")),IFERROR(INDEX(MAP!$B$7:$B$156,MATCH(TRIM(O1490),MAP!$A$7:$A$156,0)),"UNMAPPED"))</f>
        <v>Nurse Practitioner</v>
      </c>
      <c r="Q1490" s="48" t="n">
        <f aca="false">STACK!I1490</f>
        <v>4.75</v>
      </c>
      <c r="R1490" s="60" t="n">
        <f aca="false">IF(G1490&gt;0,IF(INDEX(CONFIRM!$F$5:$F$53,G1490)&lt;&gt;"",INDEX(CONFIRM!$F$5:$F$53,G1490),IF(ISNUMBER(Q1490),Q1490,IF(Q1490="","",IFERROR(VALUE(TRIM(SUBSTITUTE(SUBSTITUTE(LOWER(Q1490),"hrs",""),"hr",""))),"")))),IF(ISNUMBER(Q1490),Q1490,IF(Q1490="","",IFERROR(VALUE(TRIM(SUBSTITUTE(SUBSTITUTE(LOWER(Q1490),"hrs",""),"hr",""))),""))))</f>
        <v>4.75</v>
      </c>
      <c r="S1490" s="57" t="n">
        <f aca="false">IFERROR(INDEX(RATES!$E$6:$E$28,MATCH(P1490,RATES!$A$6:$A$28,0)),0)</f>
        <v>79.67</v>
      </c>
      <c r="T1490" s="61" t="n">
        <f aca="false">IF(ISNUMBER(R1490),R1490,0)*S1490</f>
        <v>378.4325</v>
      </c>
      <c r="U1490" s="61" t="n">
        <f aca="false">T1490*INDEX(INPUTS!$H$10:$H$14,MATCH(B1490,INPUTS!$A$10:$A$14,0))</f>
        <v>57.1433075</v>
      </c>
      <c r="V1490" s="61" t="n">
        <f aca="false">N(STACK!K1490)</f>
        <v>0</v>
      </c>
      <c r="W1490" s="61" t="n">
        <f aca="false">T1490+U1490+V1490</f>
        <v>435.5758075</v>
      </c>
      <c r="X1490" s="61" t="n">
        <f aca="false">N(STACK!L1490)</f>
        <v>0</v>
      </c>
      <c r="Y1490" s="61" t="n">
        <f aca="false">W1490-X1490</f>
        <v>435.5758075</v>
      </c>
      <c r="Z1490" s="1" t="n">
        <f aca="false">N(STACK!J1490)</f>
        <v>0</v>
      </c>
      <c r="AA1490" s="1" t="str">
        <f aca="false">TRIM(IF(D1490="UNMAPPED","Program not mapped. ","")&amp;IF(OR(K1490="UNMAPPED",K1490="UNASSIGNED"),"Category needs review. ","")&amp;IF(P1490="UNMAPPED","Title not mapped. ","")&amp;IF(AND(P1490&lt;&gt;"No staff time",R1490=""),"Missing hours. ","")&amp;IF(M1490="","Date not readable. ","")&amp;IF(N1490="No","Outside fiscal year. ","")&amp;IF(AND(F1490="Event",ISNUMBER(R1490)),IF(R1490&gt;12,"Event hours look high. ",""),"")&amp;IF(G1490&gt;0,"See CONFIRM sheet.",""))</f>
        <v/>
      </c>
      <c r="AB1490" s="1" t="n">
        <f aca="false">IF(N1490="No",0,IF(REVIEW!O1490=0,0,IF(G1490&gt;0,IF(INDEX(CONFIRM!$J$5:$J$53,G1490)&lt;&gt;"",INDEX(CONFIRM!$J$5:$J$53,G1490),1),1)))</f>
        <v>1</v>
      </c>
      <c r="AC1490" s="1" t="n">
        <f aca="false">IF(AB1490=1,IF(COUNTIFS($B$5:B1490,B1490,$D$5:D1490,D1490,$AB$5:AB1490,1)=1,1,0),0)</f>
        <v>0</v>
      </c>
    </row>
    <row r="1491" customFormat="false" ht="15" hidden="false" customHeight="false" outlineLevel="0" collapsed="false">
      <c r="A1491" s="48" t="str">
        <f aca="false">STACK!A1491</f>
        <v>QHH-0110</v>
      </c>
      <c r="B1491" s="48" t="str">
        <f aca="false">STACK!B1491</f>
        <v>QHH</v>
      </c>
      <c r="C1491" s="48" t="str">
        <f aca="false">STACK!E1491</f>
        <v>Sports Physicals</v>
      </c>
      <c r="D1491" s="1" t="str">
        <f aca="false">IFERROR(INDEX(MAP!$J$7:$J$101,MATCH(TRIM(C1491),MAP!$I$7:$I$101,0)),"UNMAPPED")</f>
        <v>Free Sports Physicals</v>
      </c>
      <c r="E1491" s="1" t="str">
        <f aca="false">IFERROR(INDEX(MAP!$K$7:$K$101,MATCH(TRIM(C1491),MAP!$I$7:$I$101,0)),"")</f>
        <v>Maternal and child health</v>
      </c>
      <c r="F1491" s="1" t="str">
        <f aca="false">IFERROR(INDEX(MAP!$L$7:$L$101,MATCH(TRIM(C1491),MAP!$I$7:$I$101,0)),"")</f>
        <v>Event</v>
      </c>
      <c r="G1491" s="1" t="n">
        <f aca="false">IFERROR(MATCH(A1491,CONFIRM!$A$5:$A$53,0),0)</f>
        <v>0</v>
      </c>
      <c r="H1491" s="48" t="str">
        <f aca="false">STACK!F1491</f>
        <v>CHIS - Clinical</v>
      </c>
      <c r="I1491" s="1" t="str">
        <f aca="false">IF(G1491&gt;0,IF(INDEX(CONFIRM!$I$5:$I$53,G1491)&lt;&gt;"",INDEX(CONFIRM!$I$5:$I$53,G1491),H1491),H1491)</f>
        <v>CHIS - Clinical</v>
      </c>
      <c r="J1491" s="1" t="str">
        <f aca="false">IFERROR(INDEX(MAP!$F$7:$F$74,MATCH(TRIM(I1491),MAP!$E$7:$E$74,0)),"UNMAPPED")</f>
        <v>Community-based clinical services</v>
      </c>
      <c r="K1491" s="1" t="str">
        <f aca="false">IFERROR(INDEX(MAP!$G$7:$G$74,MATCH(TRIM(I1491),MAP!$E$7:$E$74,0)),"UNMAPPED")</f>
        <v>7e</v>
      </c>
      <c r="L1491" s="49" t="str">
        <f aca="false">STACK!G1491</f>
        <v>11-Dec-2025</v>
      </c>
      <c r="M1491" s="59" t="n">
        <f aca="false">IF(G1491&gt;0,IF(INDEX(CONFIRM!$G$5:$G$53,G1491)&lt;&gt;"",INDEX(CONFIRM!$G$5:$G$53,G1491),IF(ISNUMBER(L1491),L1491,IFERROR(DATEVALUE(L1491),""))),IF(ISNUMBER(L1491),L1491,IFERROR(DATEVALUE(L1491),"")))</f>
        <v>46002</v>
      </c>
      <c r="N1491" s="1" t="str">
        <f aca="false">IF(M1491="","Check",IF(AND(M1491&gt;=INPUTS!$C$6,M1491&lt;=INPUTS!$C$7),"Yes","No"))</f>
        <v>Yes</v>
      </c>
      <c r="O1491" s="48" t="str">
        <f aca="false">STACK!H1491</f>
        <v>Faculty Physician</v>
      </c>
      <c r="P1491" s="1" t="str">
        <f aca="false">IF(G1491&gt;0,IF(INDEX(CONFIRM!$H$5:$H$53,G1491)&lt;&gt;"",INDEX(CONFIRM!$H$5:$H$53,G1491),IFERROR(INDEX(MAP!$B$7:$B$156,MATCH(TRIM(O1491),MAP!$A$7:$A$156,0)),"UNMAPPED")),IFERROR(INDEX(MAP!$B$7:$B$156,MATCH(TRIM(O1491),MAP!$A$7:$A$156,0)),"UNMAPPED"))</f>
        <v>Physician</v>
      </c>
      <c r="Q1491" s="48" t="n">
        <f aca="false">STACK!I1491</f>
        <v>4.25</v>
      </c>
      <c r="R1491" s="60" t="n">
        <f aca="false">IF(G1491&gt;0,IF(INDEX(CONFIRM!$F$5:$F$53,G1491)&lt;&gt;"",INDEX(CONFIRM!$F$5:$F$53,G1491),IF(ISNUMBER(Q1491),Q1491,IF(Q1491="","",IFERROR(VALUE(TRIM(SUBSTITUTE(SUBSTITUTE(LOWER(Q1491),"hrs",""),"hr",""))),"")))),IF(ISNUMBER(Q1491),Q1491,IF(Q1491="","",IFERROR(VALUE(TRIM(SUBSTITUTE(SUBSTITUTE(LOWER(Q1491),"hrs",""),"hr",""))),""))))</f>
        <v>4.25</v>
      </c>
      <c r="S1491" s="57" t="n">
        <f aca="false">IFERROR(INDEX(RATES!$E$6:$E$28,MATCH(P1491,RATES!$A$6:$A$28,0)),0)</f>
        <v>151.63</v>
      </c>
      <c r="T1491" s="61" t="n">
        <f aca="false">IF(ISNUMBER(R1491),R1491,0)*S1491</f>
        <v>644.4275</v>
      </c>
      <c r="U1491" s="61" t="n">
        <f aca="false">T1491*INDEX(INPUTS!$H$10:$H$14,MATCH(B1491,INPUTS!$A$10:$A$14,0))</f>
        <v>97.3085525</v>
      </c>
      <c r="V1491" s="61" t="n">
        <f aca="false">N(STACK!K1491)</f>
        <v>460</v>
      </c>
      <c r="W1491" s="61" t="n">
        <f aca="false">T1491+U1491+V1491</f>
        <v>1201.7360525</v>
      </c>
      <c r="X1491" s="61" t="n">
        <f aca="false">N(STACK!L1491)</f>
        <v>0</v>
      </c>
      <c r="Y1491" s="61" t="n">
        <f aca="false">W1491-X1491</f>
        <v>1201.7360525</v>
      </c>
      <c r="Z1491" s="1" t="n">
        <f aca="false">N(STACK!J1491)</f>
        <v>116</v>
      </c>
      <c r="AA1491" s="1" t="str">
        <f aca="false">TRIM(IF(D1491="UNMAPPED","Program not mapped. ","")&amp;IF(OR(K1491="UNMAPPED",K1491="UNASSIGNED"),"Category needs review. ","")&amp;IF(P1491="UNMAPPED","Title not mapped. ","")&amp;IF(AND(P1491&lt;&gt;"No staff time",R1491=""),"Missing hours. ","")&amp;IF(M1491="","Date not readable. ","")&amp;IF(N1491="No","Outside fiscal year. ","")&amp;IF(AND(F1491="Event",ISNUMBER(R1491)),IF(R1491&gt;12,"Event hours look high. ",""),"")&amp;IF(G1491&gt;0,"See CONFIRM sheet.",""))</f>
        <v/>
      </c>
      <c r="AB1491" s="1" t="n">
        <f aca="false">IF(N1491="No",0,IF(REVIEW!O1491=0,0,IF(G1491&gt;0,IF(INDEX(CONFIRM!$J$5:$J$53,G1491)&lt;&gt;"",INDEX(CONFIRM!$J$5:$J$53,G1491),1),1)))</f>
        <v>1</v>
      </c>
      <c r="AC1491" s="1" t="n">
        <f aca="false">IF(AB1491=1,IF(COUNTIFS($B$5:B1491,B1491,$D$5:D1491,D1491,$AB$5:AB1491,1)=1,1,0),0)</f>
        <v>0</v>
      </c>
    </row>
    <row r="1492" customFormat="false" ht="15" hidden="false" customHeight="false" outlineLevel="0" collapsed="false">
      <c r="A1492" s="48" t="str">
        <f aca="false">STACK!A1492</f>
        <v>QHH-0111</v>
      </c>
      <c r="B1492" s="48" t="str">
        <f aca="false">STACK!B1492</f>
        <v>QHH</v>
      </c>
      <c r="C1492" s="48" t="str">
        <f aca="false">STACK!E1492</f>
        <v>Grief Support Group</v>
      </c>
      <c r="D1492" s="1" t="str">
        <f aca="false">IFERROR(INDEX(MAP!$J$7:$J$101,MATCH(TRIM(C1492),MAP!$I$7:$I$101,0)),"UNMAPPED")</f>
        <v>Grief Support Group</v>
      </c>
      <c r="E1492" s="1" t="str">
        <f aca="false">IFERROR(INDEX(MAP!$K$7:$K$101,MATCH(TRIM(C1492),MAP!$I$7:$I$101,0)),"")</f>
        <v>Behavioral health</v>
      </c>
      <c r="F1492" s="1" t="str">
        <f aca="false">IFERROR(INDEX(MAP!$L$7:$L$101,MATCH(TRIM(C1492),MAP!$I$7:$I$101,0)),"")</f>
        <v>Event</v>
      </c>
      <c r="G1492" s="1" t="n">
        <f aca="false">IFERROR(MATCH(A1492,CONFIRM!$A$5:$A$53,0),0)</f>
        <v>0</v>
      </c>
      <c r="H1492" s="48" t="str">
        <f aca="false">STACK!F1492</f>
        <v>CHIS - Support</v>
      </c>
      <c r="I1492" s="1" t="str">
        <f aca="false">IF(G1492&gt;0,IF(INDEX(CONFIRM!$I$5:$I$53,G1492)&lt;&gt;"",INDEX(CONFIRM!$I$5:$I$53,G1492),H1492),H1492)</f>
        <v>CHIS - Support</v>
      </c>
      <c r="J1492" s="1" t="str">
        <f aca="false">IFERROR(INDEX(MAP!$F$7:$F$74,MATCH(TRIM(I1492),MAP!$E$7:$E$74,0)),"UNMAPPED")</f>
        <v>Health care support services</v>
      </c>
      <c r="K1492" s="1" t="str">
        <f aca="false">IFERROR(INDEX(MAP!$G$7:$G$74,MATCH(TRIM(I1492),MAP!$E$7:$E$74,0)),"UNMAPPED")</f>
        <v>7e</v>
      </c>
      <c r="L1492" s="49" t="str">
        <f aca="false">STACK!G1492</f>
        <v>16-Dec-2025</v>
      </c>
      <c r="M1492" s="59" t="n">
        <f aca="false">IF(G1492&gt;0,IF(INDEX(CONFIRM!$G$5:$G$53,G1492)&lt;&gt;"",INDEX(CONFIRM!$G$5:$G$53,G1492),IF(ISNUMBER(L1492),L1492,IFERROR(DATEVALUE(L1492),""))),IF(ISNUMBER(L1492),L1492,IFERROR(DATEVALUE(L1492),"")))</f>
        <v>46007</v>
      </c>
      <c r="N1492" s="1" t="str">
        <f aca="false">IF(M1492="","Check",IF(AND(M1492&gt;=INPUTS!$C$6,M1492&lt;=INPUTS!$C$7),"Yes","No"))</f>
        <v>Yes</v>
      </c>
      <c r="O1492" s="48" t="str">
        <f aca="false">STACK!H1492</f>
        <v>Chaplain Resident</v>
      </c>
      <c r="P1492" s="1" t="str">
        <f aca="false">IF(G1492&gt;0,IF(INDEX(CONFIRM!$H$5:$H$53,G1492)&lt;&gt;"",INDEX(CONFIRM!$H$5:$H$53,G1492),IFERROR(INDEX(MAP!$B$7:$B$156,MATCH(TRIM(O1492),MAP!$A$7:$A$156,0)),"UNMAPPED")),IFERROR(INDEX(MAP!$B$7:$B$156,MATCH(TRIM(O1492),MAP!$A$7:$A$156,0)),"UNMAPPED"))</f>
        <v>Chaplain</v>
      </c>
      <c r="Q1492" s="48" t="n">
        <f aca="false">STACK!I1492</f>
        <v>2</v>
      </c>
      <c r="R1492" s="60" t="n">
        <f aca="false">IF(G1492&gt;0,IF(INDEX(CONFIRM!$F$5:$F$53,G1492)&lt;&gt;"",INDEX(CONFIRM!$F$5:$F$53,G1492),IF(ISNUMBER(Q1492),Q1492,IF(Q1492="","",IFERROR(VALUE(TRIM(SUBSTITUTE(SUBSTITUTE(LOWER(Q1492),"hrs",""),"hr",""))),"")))),IF(ISNUMBER(Q1492),Q1492,IF(Q1492="","",IFERROR(VALUE(TRIM(SUBSTITUTE(SUBSTITUTE(LOWER(Q1492),"hrs",""),"hr",""))),""))))</f>
        <v>2</v>
      </c>
      <c r="S1492" s="57" t="n">
        <f aca="false">IFERROR(INDEX(RATES!$E$6:$E$28,MATCH(P1492,RATES!$A$6:$A$28,0)),0)</f>
        <v>39.835</v>
      </c>
      <c r="T1492" s="61" t="n">
        <f aca="false">IF(ISNUMBER(R1492),R1492,0)*S1492</f>
        <v>79.67</v>
      </c>
      <c r="U1492" s="61" t="n">
        <f aca="false">T1492*INDEX(INPUTS!$H$10:$H$14,MATCH(B1492,INPUTS!$A$10:$A$14,0))</f>
        <v>12.03017</v>
      </c>
      <c r="V1492" s="61" t="n">
        <f aca="false">N(STACK!K1492)</f>
        <v>20</v>
      </c>
      <c r="W1492" s="61" t="n">
        <f aca="false">T1492+U1492+V1492</f>
        <v>111.70017</v>
      </c>
      <c r="X1492" s="61" t="n">
        <f aca="false">N(STACK!L1492)</f>
        <v>0</v>
      </c>
      <c r="Y1492" s="61" t="n">
        <f aca="false">W1492-X1492</f>
        <v>111.70017</v>
      </c>
      <c r="Z1492" s="1" t="n">
        <f aca="false">N(STACK!J1492)</f>
        <v>11</v>
      </c>
      <c r="AA1492" s="1" t="str">
        <f aca="false">TRIM(IF(D1492="UNMAPPED","Program not mapped. ","")&amp;IF(OR(K1492="UNMAPPED",K1492="UNASSIGNED"),"Category needs review. ","")&amp;IF(P1492="UNMAPPED","Title not mapped. ","")&amp;IF(AND(P1492&lt;&gt;"No staff time",R1492=""),"Missing hours. ","")&amp;IF(M1492="","Date not readable. ","")&amp;IF(N1492="No","Outside fiscal year. ","")&amp;IF(AND(F1492="Event",ISNUMBER(R1492)),IF(R1492&gt;12,"Event hours look high. ",""),"")&amp;IF(G1492&gt;0,"See CONFIRM sheet.",""))</f>
        <v/>
      </c>
      <c r="AB1492" s="1" t="n">
        <f aca="false">IF(N1492="No",0,IF(REVIEW!O1492=0,0,IF(G1492&gt;0,IF(INDEX(CONFIRM!$J$5:$J$53,G1492)&lt;&gt;"",INDEX(CONFIRM!$J$5:$J$53,G1492),1),1)))</f>
        <v>1</v>
      </c>
      <c r="AC1492" s="1" t="n">
        <f aca="false">IF(AB1492=1,IF(COUNTIFS($B$5:B1492,B1492,$D$5:D1492,D1492,$AB$5:AB1492,1)=1,1,0),0)</f>
        <v>0</v>
      </c>
    </row>
    <row r="1493" customFormat="false" ht="15" hidden="false" customHeight="false" outlineLevel="0" collapsed="false">
      <c r="A1493" s="48" t="str">
        <f aca="false">STACK!A1493</f>
        <v>QHH-0112</v>
      </c>
      <c r="B1493" s="48" t="str">
        <f aca="false">STACK!B1493</f>
        <v>QHH</v>
      </c>
      <c r="C1493" s="48" t="str">
        <f aca="false">STACK!E1493</f>
        <v>Grief Support Group</v>
      </c>
      <c r="D1493" s="1" t="str">
        <f aca="false">IFERROR(INDEX(MAP!$J$7:$J$101,MATCH(TRIM(C1493),MAP!$I$7:$I$101,0)),"UNMAPPED")</f>
        <v>Grief Support Group</v>
      </c>
      <c r="E1493" s="1" t="str">
        <f aca="false">IFERROR(INDEX(MAP!$K$7:$K$101,MATCH(TRIM(C1493),MAP!$I$7:$I$101,0)),"")</f>
        <v>Behavioral health</v>
      </c>
      <c r="F1493" s="1" t="str">
        <f aca="false">IFERROR(INDEX(MAP!$L$7:$L$101,MATCH(TRIM(C1493),MAP!$I$7:$I$101,0)),"")</f>
        <v>Event</v>
      </c>
      <c r="G1493" s="1" t="n">
        <f aca="false">IFERROR(MATCH(A1493,CONFIRM!$A$5:$A$53,0),0)</f>
        <v>0</v>
      </c>
      <c r="H1493" s="48" t="str">
        <f aca="false">STACK!F1493</f>
        <v>CHIS - Support</v>
      </c>
      <c r="I1493" s="1" t="str">
        <f aca="false">IF(G1493&gt;0,IF(INDEX(CONFIRM!$I$5:$I$53,G1493)&lt;&gt;"",INDEX(CONFIRM!$I$5:$I$53,G1493),H1493),H1493)</f>
        <v>CHIS - Support</v>
      </c>
      <c r="J1493" s="1" t="str">
        <f aca="false">IFERROR(INDEX(MAP!$F$7:$F$74,MATCH(TRIM(I1493),MAP!$E$7:$E$74,0)),"UNMAPPED")</f>
        <v>Health care support services</v>
      </c>
      <c r="K1493" s="1" t="str">
        <f aca="false">IFERROR(INDEX(MAP!$G$7:$G$74,MATCH(TRIM(I1493),MAP!$E$7:$E$74,0)),"UNMAPPED")</f>
        <v>7e</v>
      </c>
      <c r="L1493" s="49" t="str">
        <f aca="false">STACK!G1493</f>
        <v>16-Dec-2025</v>
      </c>
      <c r="M1493" s="59" t="n">
        <f aca="false">IF(G1493&gt;0,IF(INDEX(CONFIRM!$G$5:$G$53,G1493)&lt;&gt;"",INDEX(CONFIRM!$G$5:$G$53,G1493),IF(ISNUMBER(L1493),L1493,IFERROR(DATEVALUE(L1493),""))),IF(ISNUMBER(L1493),L1493,IFERROR(DATEVALUE(L1493),"")))</f>
        <v>46007</v>
      </c>
      <c r="N1493" s="1" t="str">
        <f aca="false">IF(M1493="","Check",IF(AND(M1493&gt;=INPUTS!$C$6,M1493&lt;=INPUTS!$C$7),"Yes","No"))</f>
        <v>Yes</v>
      </c>
      <c r="O1493" s="48" t="str">
        <f aca="false">STACK!H1493</f>
        <v>MSW</v>
      </c>
      <c r="P1493" s="1" t="str">
        <f aca="false">IF(G1493&gt;0,IF(INDEX(CONFIRM!$H$5:$H$53,G1493)&lt;&gt;"",INDEX(CONFIRM!$H$5:$H$53,G1493),IFERROR(INDEX(MAP!$B$7:$B$156,MATCH(TRIM(O1493),MAP!$A$7:$A$156,0)),"UNMAPPED")),IFERROR(INDEX(MAP!$B$7:$B$156,MATCH(TRIM(O1493),MAP!$A$7:$A$156,0)),"UNMAPPED"))</f>
        <v>Social Worker</v>
      </c>
      <c r="Q1493" s="48" t="n">
        <f aca="false">STACK!I1493</f>
        <v>1.75</v>
      </c>
      <c r="R1493" s="60" t="n">
        <f aca="false">IF(G1493&gt;0,IF(INDEX(CONFIRM!$F$5:$F$53,G1493)&lt;&gt;"",INDEX(CONFIRM!$F$5:$F$53,G1493),IF(ISNUMBER(Q1493),Q1493,IF(Q1493="","",IFERROR(VALUE(TRIM(SUBSTITUTE(SUBSTITUTE(LOWER(Q1493),"hrs",""),"hr",""))),"")))),IF(ISNUMBER(Q1493),Q1493,IF(Q1493="","",IFERROR(VALUE(TRIM(SUBSTITUTE(SUBSTITUTE(LOWER(Q1493),"hrs",""),"hr",""))),""))))</f>
        <v>1.75</v>
      </c>
      <c r="S1493" s="57" t="n">
        <f aca="false">IFERROR(INDEX(RATES!$E$6:$E$28,MATCH(P1493,RATES!$A$6:$A$28,0)),0)</f>
        <v>45.6175</v>
      </c>
      <c r="T1493" s="61" t="n">
        <f aca="false">IF(ISNUMBER(R1493),R1493,0)*S1493</f>
        <v>79.830625</v>
      </c>
      <c r="U1493" s="61" t="n">
        <f aca="false">T1493*INDEX(INPUTS!$H$10:$H$14,MATCH(B1493,INPUTS!$A$10:$A$14,0))</f>
        <v>12.054424375</v>
      </c>
      <c r="V1493" s="61" t="n">
        <f aca="false">N(STACK!K1493)</f>
        <v>0</v>
      </c>
      <c r="W1493" s="61" t="n">
        <f aca="false">T1493+U1493+V1493</f>
        <v>91.885049375</v>
      </c>
      <c r="X1493" s="61" t="n">
        <f aca="false">N(STACK!L1493)</f>
        <v>0</v>
      </c>
      <c r="Y1493" s="61" t="n">
        <f aca="false">W1493-X1493</f>
        <v>91.885049375</v>
      </c>
      <c r="Z1493" s="1" t="n">
        <f aca="false">N(STACK!J1493)</f>
        <v>0</v>
      </c>
      <c r="AA1493" s="1" t="str">
        <f aca="false">TRIM(IF(D1493="UNMAPPED","Program not mapped. ","")&amp;IF(OR(K1493="UNMAPPED",K1493="UNASSIGNED"),"Category needs review. ","")&amp;IF(P1493="UNMAPPED","Title not mapped. ","")&amp;IF(AND(P1493&lt;&gt;"No staff time",R1493=""),"Missing hours. ","")&amp;IF(M1493="","Date not readable. ","")&amp;IF(N1493="No","Outside fiscal year. ","")&amp;IF(AND(F1493="Event",ISNUMBER(R1493)),IF(R1493&gt;12,"Event hours look high. ",""),"")&amp;IF(G1493&gt;0,"See CONFIRM sheet.",""))</f>
        <v/>
      </c>
      <c r="AB1493" s="1" t="n">
        <f aca="false">IF(N1493="No",0,IF(REVIEW!O1493=0,0,IF(G1493&gt;0,IF(INDEX(CONFIRM!$J$5:$J$53,G1493)&lt;&gt;"",INDEX(CONFIRM!$J$5:$J$53,G1493),1),1)))</f>
        <v>1</v>
      </c>
      <c r="AC1493" s="1" t="n">
        <f aca="false">IF(AB1493=1,IF(COUNTIFS($B$5:B1493,B1493,$D$5:D1493,D1493,$AB$5:AB1493,1)=1,1,0),0)</f>
        <v>0</v>
      </c>
    </row>
    <row r="1494" customFormat="false" ht="15" hidden="false" customHeight="false" outlineLevel="0" collapsed="false">
      <c r="A1494" s="48" t="str">
        <f aca="false">STACK!A1494</f>
        <v>QHH-0113</v>
      </c>
      <c r="B1494" s="48" t="str">
        <f aca="false">STACK!B1494</f>
        <v>QHH</v>
      </c>
      <c r="C1494" s="48" t="str">
        <f aca="false">STACK!E1494</f>
        <v>Grief Support Group</v>
      </c>
      <c r="D1494" s="1" t="str">
        <f aca="false">IFERROR(INDEX(MAP!$J$7:$J$101,MATCH(TRIM(C1494),MAP!$I$7:$I$101,0)),"UNMAPPED")</f>
        <v>Grief Support Group</v>
      </c>
      <c r="E1494" s="1" t="str">
        <f aca="false">IFERROR(INDEX(MAP!$K$7:$K$101,MATCH(TRIM(C1494),MAP!$I$7:$I$101,0)),"")</f>
        <v>Behavioral health</v>
      </c>
      <c r="F1494" s="1" t="str">
        <f aca="false">IFERROR(INDEX(MAP!$L$7:$L$101,MATCH(TRIM(C1494),MAP!$I$7:$I$101,0)),"")</f>
        <v>Event</v>
      </c>
      <c r="G1494" s="1" t="n">
        <f aca="false">IFERROR(MATCH(A1494,CONFIRM!$A$5:$A$53,0),0)</f>
        <v>0</v>
      </c>
      <c r="H1494" s="48" t="str">
        <f aca="false">STACK!F1494</f>
        <v>CHIS - Support</v>
      </c>
      <c r="I1494" s="1" t="str">
        <f aca="false">IF(G1494&gt;0,IF(INDEX(CONFIRM!$I$5:$I$53,G1494)&lt;&gt;"",INDEX(CONFIRM!$I$5:$I$53,G1494),H1494),H1494)</f>
        <v>CHIS - Support</v>
      </c>
      <c r="J1494" s="1" t="str">
        <f aca="false">IFERROR(INDEX(MAP!$F$7:$F$74,MATCH(TRIM(I1494),MAP!$E$7:$E$74,0)),"UNMAPPED")</f>
        <v>Health care support services</v>
      </c>
      <c r="K1494" s="1" t="str">
        <f aca="false">IFERROR(INDEX(MAP!$G$7:$G$74,MATCH(TRIM(I1494),MAP!$E$7:$E$74,0)),"UNMAPPED")</f>
        <v>7e</v>
      </c>
      <c r="L1494" s="49" t="str">
        <f aca="false">STACK!G1494</f>
        <v>20-Dec-2025</v>
      </c>
      <c r="M1494" s="59" t="n">
        <f aca="false">IF(G1494&gt;0,IF(INDEX(CONFIRM!$G$5:$G$53,G1494)&lt;&gt;"",INDEX(CONFIRM!$G$5:$G$53,G1494),IF(ISNUMBER(L1494),L1494,IFERROR(DATEVALUE(L1494),""))),IF(ISNUMBER(L1494),L1494,IFERROR(DATEVALUE(L1494),"")))</f>
        <v>46011</v>
      </c>
      <c r="N1494" s="1" t="str">
        <f aca="false">IF(M1494="","Check",IF(AND(M1494&gt;=INPUTS!$C$6,M1494&lt;=INPUTS!$C$7),"Yes","No"))</f>
        <v>Yes</v>
      </c>
      <c r="O1494" s="48" t="str">
        <f aca="false">STACK!H1494</f>
        <v>Chaplain Resident</v>
      </c>
      <c r="P1494" s="1" t="str">
        <f aca="false">IF(G1494&gt;0,IF(INDEX(CONFIRM!$H$5:$H$53,G1494)&lt;&gt;"",INDEX(CONFIRM!$H$5:$H$53,G1494),IFERROR(INDEX(MAP!$B$7:$B$156,MATCH(TRIM(O1494),MAP!$A$7:$A$156,0)),"UNMAPPED")),IFERROR(INDEX(MAP!$B$7:$B$156,MATCH(TRIM(O1494),MAP!$A$7:$A$156,0)),"UNMAPPED"))</f>
        <v>Chaplain</v>
      </c>
      <c r="Q1494" s="48" t="n">
        <f aca="false">STACK!I1494</f>
        <v>2</v>
      </c>
      <c r="R1494" s="60" t="n">
        <f aca="false">IF(G1494&gt;0,IF(INDEX(CONFIRM!$F$5:$F$53,G1494)&lt;&gt;"",INDEX(CONFIRM!$F$5:$F$53,G1494),IF(ISNUMBER(Q1494),Q1494,IF(Q1494="","",IFERROR(VALUE(TRIM(SUBSTITUTE(SUBSTITUTE(LOWER(Q1494),"hrs",""),"hr",""))),"")))),IF(ISNUMBER(Q1494),Q1494,IF(Q1494="","",IFERROR(VALUE(TRIM(SUBSTITUTE(SUBSTITUTE(LOWER(Q1494),"hrs",""),"hr",""))),""))))</f>
        <v>2</v>
      </c>
      <c r="S1494" s="57" t="n">
        <f aca="false">IFERROR(INDEX(RATES!$E$6:$E$28,MATCH(P1494,RATES!$A$6:$A$28,0)),0)</f>
        <v>39.835</v>
      </c>
      <c r="T1494" s="61" t="n">
        <f aca="false">IF(ISNUMBER(R1494),R1494,0)*S1494</f>
        <v>79.67</v>
      </c>
      <c r="U1494" s="61" t="n">
        <f aca="false">T1494*INDEX(INPUTS!$H$10:$H$14,MATCH(B1494,INPUTS!$A$10:$A$14,0))</f>
        <v>12.03017</v>
      </c>
      <c r="V1494" s="61" t="n">
        <f aca="false">N(STACK!K1494)</f>
        <v>45</v>
      </c>
      <c r="W1494" s="61" t="n">
        <f aca="false">T1494+U1494+V1494</f>
        <v>136.70017</v>
      </c>
      <c r="X1494" s="61" t="n">
        <f aca="false">N(STACK!L1494)</f>
        <v>0</v>
      </c>
      <c r="Y1494" s="61" t="n">
        <f aca="false">W1494-X1494</f>
        <v>136.70017</v>
      </c>
      <c r="Z1494" s="1" t="n">
        <f aca="false">N(STACK!J1494)</f>
        <v>11</v>
      </c>
      <c r="AA1494" s="1" t="str">
        <f aca="false">TRIM(IF(D1494="UNMAPPED","Program not mapped. ","")&amp;IF(OR(K1494="UNMAPPED",K1494="UNASSIGNED"),"Category needs review. ","")&amp;IF(P1494="UNMAPPED","Title not mapped. ","")&amp;IF(AND(P1494&lt;&gt;"No staff time",R1494=""),"Missing hours. ","")&amp;IF(M1494="","Date not readable. ","")&amp;IF(N1494="No","Outside fiscal year. ","")&amp;IF(AND(F1494="Event",ISNUMBER(R1494)),IF(R1494&gt;12,"Event hours look high. ",""),"")&amp;IF(G1494&gt;0,"See CONFIRM sheet.",""))</f>
        <v/>
      </c>
      <c r="AB1494" s="1" t="n">
        <f aca="false">IF(N1494="No",0,IF(REVIEW!O1494=0,0,IF(G1494&gt;0,IF(INDEX(CONFIRM!$J$5:$J$53,G1494)&lt;&gt;"",INDEX(CONFIRM!$J$5:$J$53,G1494),1),1)))</f>
        <v>1</v>
      </c>
      <c r="AC1494" s="1" t="n">
        <f aca="false">IF(AB1494=1,IF(COUNTIFS($B$5:B1494,B1494,$D$5:D1494,D1494,$AB$5:AB1494,1)=1,1,0),0)</f>
        <v>0</v>
      </c>
    </row>
    <row r="1495" customFormat="false" ht="15" hidden="false" customHeight="false" outlineLevel="0" collapsed="false">
      <c r="A1495" s="48" t="str">
        <f aca="false">STACK!A1495</f>
        <v>QHH-0114</v>
      </c>
      <c r="B1495" s="48" t="str">
        <f aca="false">STACK!B1495</f>
        <v>QHH</v>
      </c>
      <c r="C1495" s="48" t="str">
        <f aca="false">STACK!E1495</f>
        <v>Grief Support Group</v>
      </c>
      <c r="D1495" s="1" t="str">
        <f aca="false">IFERROR(INDEX(MAP!$J$7:$J$101,MATCH(TRIM(C1495),MAP!$I$7:$I$101,0)),"UNMAPPED")</f>
        <v>Grief Support Group</v>
      </c>
      <c r="E1495" s="1" t="str">
        <f aca="false">IFERROR(INDEX(MAP!$K$7:$K$101,MATCH(TRIM(C1495),MAP!$I$7:$I$101,0)),"")</f>
        <v>Behavioral health</v>
      </c>
      <c r="F1495" s="1" t="str">
        <f aca="false">IFERROR(INDEX(MAP!$L$7:$L$101,MATCH(TRIM(C1495),MAP!$I$7:$I$101,0)),"")</f>
        <v>Event</v>
      </c>
      <c r="G1495" s="1" t="n">
        <f aca="false">IFERROR(MATCH(A1495,CONFIRM!$A$5:$A$53,0),0)</f>
        <v>0</v>
      </c>
      <c r="H1495" s="48" t="str">
        <f aca="false">STACK!F1495</f>
        <v>CHIS - Support</v>
      </c>
      <c r="I1495" s="1" t="str">
        <f aca="false">IF(G1495&gt;0,IF(INDEX(CONFIRM!$I$5:$I$53,G1495)&lt;&gt;"",INDEX(CONFIRM!$I$5:$I$53,G1495),H1495),H1495)</f>
        <v>CHIS - Support</v>
      </c>
      <c r="J1495" s="1" t="str">
        <f aca="false">IFERROR(INDEX(MAP!$F$7:$F$74,MATCH(TRIM(I1495),MAP!$E$7:$E$74,0)),"UNMAPPED")</f>
        <v>Health care support services</v>
      </c>
      <c r="K1495" s="1" t="str">
        <f aca="false">IFERROR(INDEX(MAP!$G$7:$G$74,MATCH(TRIM(I1495),MAP!$E$7:$E$74,0)),"UNMAPPED")</f>
        <v>7e</v>
      </c>
      <c r="L1495" s="49" t="str">
        <f aca="false">STACK!G1495</f>
        <v>20-Dec-2025</v>
      </c>
      <c r="M1495" s="59" t="n">
        <f aca="false">IF(G1495&gt;0,IF(INDEX(CONFIRM!$G$5:$G$53,G1495)&lt;&gt;"",INDEX(CONFIRM!$G$5:$G$53,G1495),IF(ISNUMBER(L1495),L1495,IFERROR(DATEVALUE(L1495),""))),IF(ISNUMBER(L1495),L1495,IFERROR(DATEVALUE(L1495),"")))</f>
        <v>46011</v>
      </c>
      <c r="N1495" s="1" t="str">
        <f aca="false">IF(M1495="","Check",IF(AND(M1495&gt;=INPUTS!$C$6,M1495&lt;=INPUTS!$C$7),"Yes","No"))</f>
        <v>Yes</v>
      </c>
      <c r="O1495" s="48" t="str">
        <f aca="false">STACK!H1495</f>
        <v>Clinical Social Worker</v>
      </c>
      <c r="P1495" s="1" t="str">
        <f aca="false">IF(G1495&gt;0,IF(INDEX(CONFIRM!$H$5:$H$53,G1495)&lt;&gt;"",INDEX(CONFIRM!$H$5:$H$53,G1495),IFERROR(INDEX(MAP!$B$7:$B$156,MATCH(TRIM(O1495),MAP!$A$7:$A$156,0)),"UNMAPPED")),IFERROR(INDEX(MAP!$B$7:$B$156,MATCH(TRIM(O1495),MAP!$A$7:$A$156,0)),"UNMAPPED"))</f>
        <v>Social Worker</v>
      </c>
      <c r="Q1495" s="48" t="n">
        <f aca="false">STACK!I1495</f>
        <v>1.75</v>
      </c>
      <c r="R1495" s="60" t="n">
        <f aca="false">IF(G1495&gt;0,IF(INDEX(CONFIRM!$F$5:$F$53,G1495)&lt;&gt;"",INDEX(CONFIRM!$F$5:$F$53,G1495),IF(ISNUMBER(Q1495),Q1495,IF(Q1495="","",IFERROR(VALUE(TRIM(SUBSTITUTE(SUBSTITUTE(LOWER(Q1495),"hrs",""),"hr",""))),"")))),IF(ISNUMBER(Q1495),Q1495,IF(Q1495="","",IFERROR(VALUE(TRIM(SUBSTITUTE(SUBSTITUTE(LOWER(Q1495),"hrs",""),"hr",""))),""))))</f>
        <v>1.75</v>
      </c>
      <c r="S1495" s="57" t="n">
        <f aca="false">IFERROR(INDEX(RATES!$E$6:$E$28,MATCH(P1495,RATES!$A$6:$A$28,0)),0)</f>
        <v>45.6175</v>
      </c>
      <c r="T1495" s="61" t="n">
        <f aca="false">IF(ISNUMBER(R1495),R1495,0)*S1495</f>
        <v>79.830625</v>
      </c>
      <c r="U1495" s="61" t="n">
        <f aca="false">T1495*INDEX(INPUTS!$H$10:$H$14,MATCH(B1495,INPUTS!$A$10:$A$14,0))</f>
        <v>12.054424375</v>
      </c>
      <c r="V1495" s="61" t="n">
        <f aca="false">N(STACK!K1495)</f>
        <v>0</v>
      </c>
      <c r="W1495" s="61" t="n">
        <f aca="false">T1495+U1495+V1495</f>
        <v>91.885049375</v>
      </c>
      <c r="X1495" s="61" t="n">
        <f aca="false">N(STACK!L1495)</f>
        <v>0</v>
      </c>
      <c r="Y1495" s="61" t="n">
        <f aca="false">W1495-X1495</f>
        <v>91.885049375</v>
      </c>
      <c r="Z1495" s="1" t="n">
        <f aca="false">N(STACK!J1495)</f>
        <v>0</v>
      </c>
      <c r="AA1495" s="1" t="str">
        <f aca="false">TRIM(IF(D1495="UNMAPPED","Program not mapped. ","")&amp;IF(OR(K1495="UNMAPPED",K1495="UNASSIGNED"),"Category needs review. ","")&amp;IF(P1495="UNMAPPED","Title not mapped. ","")&amp;IF(AND(P1495&lt;&gt;"No staff time",R1495=""),"Missing hours. ","")&amp;IF(M1495="","Date not readable. ","")&amp;IF(N1495="No","Outside fiscal year. ","")&amp;IF(AND(F1495="Event",ISNUMBER(R1495)),IF(R1495&gt;12,"Event hours look high. ",""),"")&amp;IF(G1495&gt;0,"See CONFIRM sheet.",""))</f>
        <v/>
      </c>
      <c r="AB1495" s="1" t="n">
        <f aca="false">IF(N1495="No",0,IF(REVIEW!O1495=0,0,IF(G1495&gt;0,IF(INDEX(CONFIRM!$J$5:$J$53,G1495)&lt;&gt;"",INDEX(CONFIRM!$J$5:$J$53,G1495),1),1)))</f>
        <v>1</v>
      </c>
      <c r="AC1495" s="1" t="n">
        <f aca="false">IF(AB1495=1,IF(COUNTIFS($B$5:B1495,B1495,$D$5:D1495,D1495,$AB$5:AB1495,1)=1,1,0),0)</f>
        <v>0</v>
      </c>
    </row>
    <row r="1496" customFormat="false" ht="15" hidden="false" customHeight="false" outlineLevel="0" collapsed="false">
      <c r="A1496" s="48" t="str">
        <f aca="false">STACK!A1496</f>
        <v>QHH-0115</v>
      </c>
      <c r="B1496" s="48" t="str">
        <f aca="false">STACK!B1496</f>
        <v>QHH</v>
      </c>
      <c r="C1496" s="48" t="str">
        <f aca="false">STACK!E1496</f>
        <v>Food Bank Contribution</v>
      </c>
      <c r="D1496" s="1" t="str">
        <f aca="false">IFERROR(INDEX(MAP!$J$7:$J$101,MATCH(TRIM(C1496),MAP!$I$7:$I$101,0)),"UNMAPPED")</f>
        <v>Regional Food Bank Contribution</v>
      </c>
      <c r="E1496" s="1" t="str">
        <f aca="false">IFERROR(INDEX(MAP!$K$7:$K$101,MATCH(TRIM(C1496),MAP!$I$7:$I$101,0)),"")</f>
        <v>Food and housing security</v>
      </c>
      <c r="F1496" s="1" t="str">
        <f aca="false">IFERROR(INDEX(MAP!$L$7:$L$101,MATCH(TRIM(C1496),MAP!$I$7:$I$101,0)),"")</f>
        <v>Contribution</v>
      </c>
      <c r="G1496" s="1" t="n">
        <f aca="false">IFERROR(MATCH(A1496,CONFIRM!$A$5:$A$53,0),0)</f>
        <v>0</v>
      </c>
      <c r="H1496" s="48" t="str">
        <f aca="false">STACK!F1496</f>
        <v>Cash Contribution</v>
      </c>
      <c r="I1496" s="1" t="str">
        <f aca="false">IF(G1496&gt;0,IF(INDEX(CONFIRM!$I$5:$I$53,G1496)&lt;&gt;"",INDEX(CONFIRM!$I$5:$I$53,G1496),H1496),H1496)</f>
        <v>Cash Contribution</v>
      </c>
      <c r="J1496" s="1" t="str">
        <f aca="false">IFERROR(INDEX(MAP!$F$7:$F$74,MATCH(TRIM(I1496),MAP!$E$7:$E$74,0)),"UNMAPPED")</f>
        <v>Cash and in-kind contributions</v>
      </c>
      <c r="K1496" s="1" t="str">
        <f aca="false">IFERROR(INDEX(MAP!$G$7:$G$74,MATCH(TRIM(I1496),MAP!$E$7:$E$74,0)),"UNMAPPED")</f>
        <v>7i</v>
      </c>
      <c r="L1496" s="49" t="str">
        <f aca="false">STACK!G1496</f>
        <v>23-Dec-2025</v>
      </c>
      <c r="M1496" s="59" t="n">
        <f aca="false">IF(G1496&gt;0,IF(INDEX(CONFIRM!$G$5:$G$53,G1496)&lt;&gt;"",INDEX(CONFIRM!$G$5:$G$53,G1496),IF(ISNUMBER(L1496),L1496,IFERROR(DATEVALUE(L1496),""))),IF(ISNUMBER(L1496),L1496,IFERROR(DATEVALUE(L1496),"")))</f>
        <v>46014</v>
      </c>
      <c r="N1496" s="1" t="str">
        <f aca="false">IF(M1496="","Check",IF(AND(M1496&gt;=INPUTS!$C$6,M1496&lt;=INPUTS!$C$7),"Yes","No"))</f>
        <v>Yes</v>
      </c>
      <c r="O1496" s="48" t="str">
        <f aca="false">STACK!H1496</f>
        <v> -</v>
      </c>
      <c r="P1496" s="1" t="str">
        <f aca="false">IF(G1496&gt;0,IF(INDEX(CONFIRM!$H$5:$H$53,G1496)&lt;&gt;"",INDEX(CONFIRM!$H$5:$H$53,G1496),IFERROR(INDEX(MAP!$B$7:$B$156,MATCH(TRIM(O1496),MAP!$A$7:$A$156,0)),"UNMAPPED")),IFERROR(INDEX(MAP!$B$7:$B$156,MATCH(TRIM(O1496),MAP!$A$7:$A$156,0)),"UNMAPPED"))</f>
        <v>No staff time</v>
      </c>
      <c r="Q1496" s="48" t="n">
        <f aca="false">STACK!I1496</f>
        <v>0</v>
      </c>
      <c r="R1496" s="60" t="n">
        <f aca="false">IF(G1496&gt;0,IF(INDEX(CONFIRM!$F$5:$F$53,G1496)&lt;&gt;"",INDEX(CONFIRM!$F$5:$F$53,G1496),IF(ISNUMBER(Q1496),Q1496,IF(Q1496="","",IFERROR(VALUE(TRIM(SUBSTITUTE(SUBSTITUTE(LOWER(Q1496),"hrs",""),"hr",""))),"")))),IF(ISNUMBER(Q1496),Q1496,IF(Q1496="","",IFERROR(VALUE(TRIM(SUBSTITUTE(SUBSTITUTE(LOWER(Q1496),"hrs",""),"hr",""))),""))))</f>
        <v>0</v>
      </c>
      <c r="S1496" s="57" t="n">
        <f aca="false">IFERROR(INDEX(RATES!$E$6:$E$28,MATCH(P1496,RATES!$A$6:$A$28,0)),0)</f>
        <v>0</v>
      </c>
      <c r="T1496" s="61" t="n">
        <f aca="false">IF(ISNUMBER(R1496),R1496,0)*S1496</f>
        <v>0</v>
      </c>
      <c r="U1496" s="61" t="n">
        <f aca="false">T1496*INDEX(INPUTS!$H$10:$H$14,MATCH(B1496,INPUTS!$A$10:$A$14,0))</f>
        <v>0</v>
      </c>
      <c r="V1496" s="61" t="n">
        <f aca="false">N(STACK!K1496)</f>
        <v>50745</v>
      </c>
      <c r="W1496" s="61" t="n">
        <f aca="false">T1496+U1496+V1496</f>
        <v>50745</v>
      </c>
      <c r="X1496" s="61" t="n">
        <f aca="false">N(STACK!L1496)</f>
        <v>0</v>
      </c>
      <c r="Y1496" s="61" t="n">
        <f aca="false">W1496-X1496</f>
        <v>50745</v>
      </c>
      <c r="Z1496" s="1" t="n">
        <f aca="false">N(STACK!J1496)</f>
        <v>0</v>
      </c>
      <c r="AA1496" s="1" t="str">
        <f aca="false">TRIM(IF(D1496="UNMAPPED","Program not mapped. ","")&amp;IF(OR(K1496="UNMAPPED",K1496="UNASSIGNED"),"Category needs review. ","")&amp;IF(P1496="UNMAPPED","Title not mapped. ","")&amp;IF(AND(P1496&lt;&gt;"No staff time",R1496=""),"Missing hours. ","")&amp;IF(M1496="","Date not readable. ","")&amp;IF(N1496="No","Outside fiscal year. ","")&amp;IF(AND(F1496="Event",ISNUMBER(R1496)),IF(R1496&gt;12,"Event hours look high. ",""),"")&amp;IF(G1496&gt;0,"See CONFIRM sheet.",""))</f>
        <v/>
      </c>
      <c r="AB1496" s="1" t="n">
        <f aca="false">IF(N1496="No",0,IF(REVIEW!O1496=0,0,IF(G1496&gt;0,IF(INDEX(CONFIRM!$J$5:$J$53,G1496)&lt;&gt;"",INDEX(CONFIRM!$J$5:$J$53,G1496),1),1)))</f>
        <v>1</v>
      </c>
      <c r="AC1496" s="1" t="n">
        <f aca="false">IF(AB1496=1,IF(COUNTIFS($B$5:B1496,B1496,$D$5:D1496,D1496,$AB$5:AB1496,1)=1,1,0),0)</f>
        <v>1</v>
      </c>
    </row>
    <row r="1497" customFormat="false" ht="15" hidden="false" customHeight="false" outlineLevel="0" collapsed="false">
      <c r="A1497" s="48" t="str">
        <f aca="false">STACK!A1497</f>
        <v>QHH-0116</v>
      </c>
      <c r="B1497" s="48" t="str">
        <f aca="false">STACK!B1497</f>
        <v>QHH</v>
      </c>
      <c r="C1497" s="48" t="str">
        <f aca="false">STACK!E1497</f>
        <v>Youth Pathway Program</v>
      </c>
      <c r="D1497" s="1" t="str">
        <f aca="false">IFERROR(INDEX(MAP!$J$7:$J$101,MATCH(TRIM(C1497),MAP!$I$7:$I$101,0)),"UNMAPPED")</f>
        <v>Youth Health Careers Pathway</v>
      </c>
      <c r="E1497" s="1" t="str">
        <f aca="false">IFERROR(INDEX(MAP!$K$7:$K$101,MATCH(TRIM(C1497),MAP!$I$7:$I$101,0)),"")</f>
        <v>Health workforce</v>
      </c>
      <c r="F1497" s="1" t="str">
        <f aca="false">IFERROR(INDEX(MAP!$L$7:$L$101,MATCH(TRIM(C1497),MAP!$I$7:$I$101,0)),"")</f>
        <v>Event</v>
      </c>
      <c r="G1497" s="1" t="n">
        <f aca="false">IFERROR(MATCH(A1497,CONFIRM!$A$5:$A$53,0),0)</f>
        <v>0</v>
      </c>
      <c r="H1497" s="48" t="str">
        <f aca="false">STACK!F1497</f>
        <v>Workforce Dev (CB)</v>
      </c>
      <c r="I1497" s="1" t="str">
        <f aca="false">IF(G1497&gt;0,IF(INDEX(CONFIRM!$I$5:$I$53,G1497)&lt;&gt;"",INDEX(CONFIRM!$I$5:$I$53,G1497),H1497),H1497)</f>
        <v>Workforce Dev (CB)</v>
      </c>
      <c r="J1497" s="1" t="str">
        <f aca="false">IFERROR(INDEX(MAP!$F$7:$F$74,MATCH(TRIM(I1497),MAP!$E$7:$E$74,0)),"UNMAPPED")</f>
        <v>Community building: workforce development</v>
      </c>
      <c r="K1497" s="1" t="str">
        <f aca="false">IFERROR(INDEX(MAP!$G$7:$G$74,MATCH(TRIM(I1497),MAP!$E$7:$E$74,0)),"UNMAPPED")</f>
        <v>II-8</v>
      </c>
      <c r="L1497" s="49" t="str">
        <f aca="false">STACK!G1497</f>
        <v>26-Dec-2025</v>
      </c>
      <c r="M1497" s="59" t="n">
        <f aca="false">IF(G1497&gt;0,IF(INDEX(CONFIRM!$G$5:$G$53,G1497)&lt;&gt;"",INDEX(CONFIRM!$G$5:$G$53,G1497),IF(ISNUMBER(L1497),L1497,IFERROR(DATEVALUE(L1497),""))),IF(ISNUMBER(L1497),L1497,IFERROR(DATEVALUE(L1497),"")))</f>
        <v>46017</v>
      </c>
      <c r="N1497" s="1" t="str">
        <f aca="false">IF(M1497="","Check",IF(AND(M1497&gt;=INPUTS!$C$6,M1497&lt;=INPUTS!$C$7),"Yes","No"))</f>
        <v>Yes</v>
      </c>
      <c r="O1497" s="48" t="str">
        <f aca="false">STACK!H1497</f>
        <v>Educator, Nursing</v>
      </c>
      <c r="P1497" s="1" t="str">
        <f aca="false">IF(G1497&gt;0,IF(INDEX(CONFIRM!$H$5:$H$53,G1497)&lt;&gt;"",INDEX(CONFIRM!$H$5:$H$53,G1497),IFERROR(INDEX(MAP!$B$7:$B$156,MATCH(TRIM(O1497),MAP!$A$7:$A$156,0)),"UNMAPPED")),IFERROR(INDEX(MAP!$B$7:$B$156,MATCH(TRIM(O1497),MAP!$A$7:$A$156,0)),"UNMAPPED"))</f>
        <v>Clinical Nurse Educator</v>
      </c>
      <c r="Q1497" s="48" t="n">
        <f aca="false">STACK!I1497</f>
        <v>5</v>
      </c>
      <c r="R1497" s="60" t="n">
        <f aca="false">IF(G1497&gt;0,IF(INDEX(CONFIRM!$F$5:$F$53,G1497)&lt;&gt;"",INDEX(CONFIRM!$F$5:$F$53,G1497),IF(ISNUMBER(Q1497),Q1497,IF(Q1497="","",IFERROR(VALUE(TRIM(SUBSTITUTE(SUBSTITUTE(LOWER(Q1497),"hrs",""),"hr",""))),"")))),IF(ISNUMBER(Q1497),Q1497,IF(Q1497="","",IFERROR(VALUE(TRIM(SUBSTITUTE(SUBSTITUTE(LOWER(Q1497),"hrs",""),"hr",""))),""))))</f>
        <v>5</v>
      </c>
      <c r="S1497" s="57" t="n">
        <f aca="false">IFERROR(INDEX(RATES!$E$6:$E$28,MATCH(P1497,RATES!$A$6:$A$28,0)),0)</f>
        <v>62.965</v>
      </c>
      <c r="T1497" s="61" t="n">
        <f aca="false">IF(ISNUMBER(R1497),R1497,0)*S1497</f>
        <v>314.825</v>
      </c>
      <c r="U1497" s="61" t="n">
        <f aca="false">T1497*INDEX(INPUTS!$H$10:$H$14,MATCH(B1497,INPUTS!$A$10:$A$14,0))</f>
        <v>47.538575</v>
      </c>
      <c r="V1497" s="61" t="n">
        <f aca="false">N(STACK!K1497)</f>
        <v>0</v>
      </c>
      <c r="W1497" s="61" t="n">
        <f aca="false">T1497+U1497+V1497</f>
        <v>362.363575</v>
      </c>
      <c r="X1497" s="61" t="n">
        <f aca="false">N(STACK!L1497)</f>
        <v>0</v>
      </c>
      <c r="Y1497" s="61" t="n">
        <f aca="false">W1497-X1497</f>
        <v>362.363575</v>
      </c>
      <c r="Z1497" s="1" t="n">
        <f aca="false">N(STACK!J1497)</f>
        <v>0</v>
      </c>
      <c r="AA1497" s="1" t="str">
        <f aca="false">TRIM(IF(D1497="UNMAPPED","Program not mapped. ","")&amp;IF(OR(K1497="UNMAPPED",K1497="UNASSIGNED"),"Category needs review. ","")&amp;IF(P1497="UNMAPPED","Title not mapped. ","")&amp;IF(AND(P1497&lt;&gt;"No staff time",R1497=""),"Missing hours. ","")&amp;IF(M1497="","Date not readable. ","")&amp;IF(N1497="No","Outside fiscal year. ","")&amp;IF(AND(F1497="Event",ISNUMBER(R1497)),IF(R1497&gt;12,"Event hours look high. ",""),"")&amp;IF(G1497&gt;0,"See CONFIRM sheet.",""))</f>
        <v/>
      </c>
      <c r="AB1497" s="1" t="n">
        <f aca="false">IF(N1497="No",0,IF(REVIEW!O1497=0,0,IF(G1497&gt;0,IF(INDEX(CONFIRM!$J$5:$J$53,G1497)&lt;&gt;"",INDEX(CONFIRM!$J$5:$J$53,G1497),1),1)))</f>
        <v>1</v>
      </c>
      <c r="AC1497" s="1" t="n">
        <f aca="false">IF(AB1497=1,IF(COUNTIFS($B$5:B1497,B1497,$D$5:D1497,D1497,$AB$5:AB1497,1)=1,1,0),0)</f>
        <v>0</v>
      </c>
    </row>
    <row r="1498" customFormat="false" ht="15" hidden="false" customHeight="false" outlineLevel="0" collapsed="false">
      <c r="A1498" s="48" t="str">
        <f aca="false">STACK!A1498</f>
        <v>QHH-0117</v>
      </c>
      <c r="B1498" s="48" t="str">
        <f aca="false">STACK!B1498</f>
        <v>QHH</v>
      </c>
      <c r="C1498" s="48" t="str">
        <f aca="false">STACK!E1498</f>
        <v>Youth Pathway Program</v>
      </c>
      <c r="D1498" s="1" t="str">
        <f aca="false">IFERROR(INDEX(MAP!$J$7:$J$101,MATCH(TRIM(C1498),MAP!$I$7:$I$101,0)),"UNMAPPED")</f>
        <v>Youth Health Careers Pathway</v>
      </c>
      <c r="E1498" s="1" t="str">
        <f aca="false">IFERROR(INDEX(MAP!$K$7:$K$101,MATCH(TRIM(C1498),MAP!$I$7:$I$101,0)),"")</f>
        <v>Health workforce</v>
      </c>
      <c r="F1498" s="1" t="str">
        <f aca="false">IFERROR(INDEX(MAP!$L$7:$L$101,MATCH(TRIM(C1498),MAP!$I$7:$I$101,0)),"")</f>
        <v>Event</v>
      </c>
      <c r="G1498" s="1" t="n">
        <f aca="false">IFERROR(MATCH(A1498,CONFIRM!$A$5:$A$53,0),0)</f>
        <v>0</v>
      </c>
      <c r="H1498" s="48" t="str">
        <f aca="false">STACK!F1498</f>
        <v>Workforce Dev (CB)</v>
      </c>
      <c r="I1498" s="1" t="str">
        <f aca="false">IF(G1498&gt;0,IF(INDEX(CONFIRM!$I$5:$I$53,G1498)&lt;&gt;"",INDEX(CONFIRM!$I$5:$I$53,G1498),H1498),H1498)</f>
        <v>Workforce Dev (CB)</v>
      </c>
      <c r="J1498" s="1" t="str">
        <f aca="false">IFERROR(INDEX(MAP!$F$7:$F$74,MATCH(TRIM(I1498),MAP!$E$7:$E$74,0)),"UNMAPPED")</f>
        <v>Community building: workforce development</v>
      </c>
      <c r="K1498" s="1" t="str">
        <f aca="false">IFERROR(INDEX(MAP!$G$7:$G$74,MATCH(TRIM(I1498),MAP!$E$7:$E$74,0)),"UNMAPPED")</f>
        <v>II-8</v>
      </c>
      <c r="L1498" s="49" t="str">
        <f aca="false">STACK!G1498</f>
        <v>26-Dec-2025</v>
      </c>
      <c r="M1498" s="59" t="n">
        <f aca="false">IF(G1498&gt;0,IF(INDEX(CONFIRM!$G$5:$G$53,G1498)&lt;&gt;"",INDEX(CONFIRM!$G$5:$G$53,G1498),IF(ISNUMBER(L1498),L1498,IFERROR(DATEVALUE(L1498),""))),IF(ISNUMBER(L1498),L1498,IFERROR(DATEVALUE(L1498),"")))</f>
        <v>46017</v>
      </c>
      <c r="N1498" s="1" t="str">
        <f aca="false">IF(M1498="","Check",IF(AND(M1498&gt;=INPUTS!$C$6,M1498&lt;=INPUTS!$C$7),"Yes","No"))</f>
        <v>Yes</v>
      </c>
      <c r="O1498" s="48" t="str">
        <f aca="false">STACK!H1498</f>
        <v>Volunteer Coordinator</v>
      </c>
      <c r="P1498" s="1" t="str">
        <f aca="false">IF(G1498&gt;0,IF(INDEX(CONFIRM!$H$5:$H$53,G1498)&lt;&gt;"",INDEX(CONFIRM!$H$5:$H$53,G1498),IFERROR(INDEX(MAP!$B$7:$B$156,MATCH(TRIM(O1498),MAP!$A$7:$A$156,0)),"UNMAPPED")),IFERROR(INDEX(MAP!$B$7:$B$156,MATCH(TRIM(O1498),MAP!$A$7:$A$156,0)),"UNMAPPED"))</f>
        <v>Program Coordinator</v>
      </c>
      <c r="Q1498" s="48" t="n">
        <f aca="false">STACK!I1498</f>
        <v>6.5</v>
      </c>
      <c r="R1498" s="60" t="n">
        <f aca="false">IF(G1498&gt;0,IF(INDEX(CONFIRM!$F$5:$F$53,G1498)&lt;&gt;"",INDEX(CONFIRM!$F$5:$F$53,G1498),IF(ISNUMBER(Q1498),Q1498,IF(Q1498="","",IFERROR(VALUE(TRIM(SUBSTITUTE(SUBSTITUTE(LOWER(Q1498),"hrs",""),"hr",""))),"")))),IF(ISNUMBER(Q1498),Q1498,IF(Q1498="","",IFERROR(VALUE(TRIM(SUBSTITUTE(SUBSTITUTE(LOWER(Q1498),"hrs",""),"hr",""))),""))))</f>
        <v>6.5</v>
      </c>
      <c r="S1498" s="57" t="n">
        <f aca="false">IFERROR(INDEX(RATES!$E$6:$E$28,MATCH(P1498,RATES!$A$6:$A$28,0)),0)</f>
        <v>35.3375</v>
      </c>
      <c r="T1498" s="61" t="n">
        <f aca="false">IF(ISNUMBER(R1498),R1498,0)*S1498</f>
        <v>229.69375</v>
      </c>
      <c r="U1498" s="61" t="n">
        <f aca="false">T1498*INDEX(INPUTS!$H$10:$H$14,MATCH(B1498,INPUTS!$A$10:$A$14,0))</f>
        <v>34.68375625</v>
      </c>
      <c r="V1498" s="61" t="n">
        <f aca="false">N(STACK!K1498)</f>
        <v>670</v>
      </c>
      <c r="W1498" s="61" t="n">
        <f aca="false">T1498+U1498+V1498</f>
        <v>934.37750625</v>
      </c>
      <c r="X1498" s="61" t="n">
        <f aca="false">N(STACK!L1498)</f>
        <v>0</v>
      </c>
      <c r="Y1498" s="61" t="n">
        <f aca="false">W1498-X1498</f>
        <v>934.37750625</v>
      </c>
      <c r="Z1498" s="1" t="n">
        <f aca="false">N(STACK!J1498)</f>
        <v>35</v>
      </c>
      <c r="AA1498" s="1" t="str">
        <f aca="false">TRIM(IF(D1498="UNMAPPED","Program not mapped. ","")&amp;IF(OR(K1498="UNMAPPED",K1498="UNASSIGNED"),"Category needs review. ","")&amp;IF(P1498="UNMAPPED","Title not mapped. ","")&amp;IF(AND(P1498&lt;&gt;"No staff time",R1498=""),"Missing hours. ","")&amp;IF(M1498="","Date not readable. ","")&amp;IF(N1498="No","Outside fiscal year. ","")&amp;IF(AND(F1498="Event",ISNUMBER(R1498)),IF(R1498&gt;12,"Event hours look high. ",""),"")&amp;IF(G1498&gt;0,"See CONFIRM sheet.",""))</f>
        <v/>
      </c>
      <c r="AB1498" s="1" t="n">
        <f aca="false">IF(N1498="No",0,IF(REVIEW!O1498=0,0,IF(G1498&gt;0,IF(INDEX(CONFIRM!$J$5:$J$53,G1498)&lt;&gt;"",INDEX(CONFIRM!$J$5:$J$53,G1498),1),1)))</f>
        <v>1</v>
      </c>
      <c r="AC1498" s="1" t="n">
        <f aca="false">IF(AB1498=1,IF(COUNTIFS($B$5:B1498,B1498,$D$5:D1498,D1498,$AB$5:AB1498,1)=1,1,0),0)</f>
        <v>0</v>
      </c>
    </row>
    <row r="1499" customFormat="false" ht="15" hidden="false" customHeight="false" outlineLevel="0" collapsed="false">
      <c r="A1499" s="48" t="str">
        <f aca="false">STACK!A1499</f>
        <v>QHH-0118</v>
      </c>
      <c r="B1499" s="48" t="str">
        <f aca="false">STACK!B1499</f>
        <v>QHH</v>
      </c>
      <c r="C1499" s="48" t="str">
        <f aca="false">STACK!E1499</f>
        <v>Diabetes Prevention Program</v>
      </c>
      <c r="D1499" s="1" t="str">
        <f aca="false">IFERROR(INDEX(MAP!$J$7:$J$101,MATCH(TRIM(C1499),MAP!$I$7:$I$101,0)),"UNMAPPED")</f>
        <v>Diabetes Prevention Classes</v>
      </c>
      <c r="E1499" s="1" t="str">
        <f aca="false">IFERROR(INDEX(MAP!$K$7:$K$101,MATCH(TRIM(C1499),MAP!$I$7:$I$101,0)),"")</f>
        <v>Chronic disease prevention</v>
      </c>
      <c r="F1499" s="1" t="str">
        <f aca="false">IFERROR(INDEX(MAP!$L$7:$L$101,MATCH(TRIM(C1499),MAP!$I$7:$I$101,0)),"")</f>
        <v>Event</v>
      </c>
      <c r="G1499" s="1" t="n">
        <f aca="false">IFERROR(MATCH(A1499,CONFIRM!$A$5:$A$53,0),0)</f>
        <v>0</v>
      </c>
      <c r="H1499" s="48" t="str">
        <f aca="false">STACK!F1499</f>
        <v>CHIS - Education</v>
      </c>
      <c r="I1499" s="1" t="str">
        <f aca="false">IF(G1499&gt;0,IF(INDEX(CONFIRM!$I$5:$I$53,G1499)&lt;&gt;"",INDEX(CONFIRM!$I$5:$I$53,G1499),H1499),H1499)</f>
        <v>CHIS - Education</v>
      </c>
      <c r="J1499" s="1" t="str">
        <f aca="false">IFERROR(INDEX(MAP!$F$7:$F$74,MATCH(TRIM(I1499),MAP!$E$7:$E$74,0)),"UNMAPPED")</f>
        <v>Community health education</v>
      </c>
      <c r="K1499" s="1" t="str">
        <f aca="false">IFERROR(INDEX(MAP!$G$7:$G$74,MATCH(TRIM(I1499),MAP!$E$7:$E$74,0)),"UNMAPPED")</f>
        <v>7e</v>
      </c>
      <c r="L1499" s="49" t="str">
        <f aca="false">STACK!G1499</f>
        <v>27-Dec-2025</v>
      </c>
      <c r="M1499" s="59" t="n">
        <f aca="false">IF(G1499&gt;0,IF(INDEX(CONFIRM!$G$5:$G$53,G1499)&lt;&gt;"",INDEX(CONFIRM!$G$5:$G$53,G1499),IF(ISNUMBER(L1499),L1499,IFERROR(DATEVALUE(L1499),""))),IF(ISNUMBER(L1499),L1499,IFERROR(DATEVALUE(L1499),"")))</f>
        <v>46018</v>
      </c>
      <c r="N1499" s="1" t="str">
        <f aca="false">IF(M1499="","Check",IF(AND(M1499&gt;=INPUTS!$C$6,M1499&lt;=INPUTS!$C$7),"Yes","No"))</f>
        <v>Yes</v>
      </c>
      <c r="O1499" s="48" t="str">
        <f aca="false">STACK!H1499</f>
        <v>Health Education Specialist</v>
      </c>
      <c r="P1499" s="1" t="str">
        <f aca="false">IF(G1499&gt;0,IF(INDEX(CONFIRM!$H$5:$H$53,G1499)&lt;&gt;"",INDEX(CONFIRM!$H$5:$H$53,G1499),IFERROR(INDEX(MAP!$B$7:$B$156,MATCH(TRIM(O1499),MAP!$A$7:$A$156,0)),"UNMAPPED")),IFERROR(INDEX(MAP!$B$7:$B$156,MATCH(TRIM(O1499),MAP!$A$7:$A$156,0)),"UNMAPPED"))</f>
        <v>Health Educator</v>
      </c>
      <c r="Q1499" s="48" t="n">
        <f aca="false">STACK!I1499</f>
        <v>3</v>
      </c>
      <c r="R1499" s="60" t="n">
        <f aca="false">IF(G1499&gt;0,IF(INDEX(CONFIRM!$F$5:$F$53,G1499)&lt;&gt;"",INDEX(CONFIRM!$F$5:$F$53,G1499),IF(ISNUMBER(Q1499),Q1499,IF(Q1499="","",IFERROR(VALUE(TRIM(SUBSTITUTE(SUBSTITUTE(LOWER(Q1499),"hrs",""),"hr",""))),"")))),IF(ISNUMBER(Q1499),Q1499,IF(Q1499="","",IFERROR(VALUE(TRIM(SUBSTITUTE(SUBSTITUTE(LOWER(Q1499),"hrs",""),"hr",""))),""))))</f>
        <v>3</v>
      </c>
      <c r="S1499" s="57" t="n">
        <f aca="false">IFERROR(INDEX(RATES!$E$6:$E$28,MATCH(P1499,RATES!$A$6:$A$28,0)),0)</f>
        <v>37.265</v>
      </c>
      <c r="T1499" s="61" t="n">
        <f aca="false">IF(ISNUMBER(R1499),R1499,0)*S1499</f>
        <v>111.795</v>
      </c>
      <c r="U1499" s="61" t="n">
        <f aca="false">T1499*INDEX(INPUTS!$H$10:$H$14,MATCH(B1499,INPUTS!$A$10:$A$14,0))</f>
        <v>16.881045</v>
      </c>
      <c r="V1499" s="61" t="n">
        <f aca="false">N(STACK!K1499)</f>
        <v>140</v>
      </c>
      <c r="W1499" s="61" t="n">
        <f aca="false">T1499+U1499+V1499</f>
        <v>268.676045</v>
      </c>
      <c r="X1499" s="61" t="n">
        <f aca="false">N(STACK!L1499)</f>
        <v>0</v>
      </c>
      <c r="Y1499" s="61" t="n">
        <f aca="false">W1499-X1499</f>
        <v>268.676045</v>
      </c>
      <c r="Z1499" s="1" t="n">
        <f aca="false">N(STACK!J1499)</f>
        <v>14</v>
      </c>
      <c r="AA1499" s="1" t="str">
        <f aca="false">TRIM(IF(D1499="UNMAPPED","Program not mapped. ","")&amp;IF(OR(K1499="UNMAPPED",K1499="UNASSIGNED"),"Category needs review. ","")&amp;IF(P1499="UNMAPPED","Title not mapped. ","")&amp;IF(AND(P1499&lt;&gt;"No staff time",R1499=""),"Missing hours. ","")&amp;IF(M1499="","Date not readable. ","")&amp;IF(N1499="No","Outside fiscal year. ","")&amp;IF(AND(F1499="Event",ISNUMBER(R1499)),IF(R1499&gt;12,"Event hours look high. ",""),"")&amp;IF(G1499&gt;0,"See CONFIRM sheet.",""))</f>
        <v/>
      </c>
      <c r="AB1499" s="1" t="n">
        <f aca="false">IF(N1499="No",0,IF(REVIEW!O1499=0,0,IF(G1499&gt;0,IF(INDEX(CONFIRM!$J$5:$J$53,G1499)&lt;&gt;"",INDEX(CONFIRM!$J$5:$J$53,G1499),1),1)))</f>
        <v>1</v>
      </c>
      <c r="AC1499" s="1" t="n">
        <f aca="false">IF(AB1499=1,IF(COUNTIFS($B$5:B1499,B1499,$D$5:D1499,D1499,$AB$5:AB1499,1)=1,1,0),0)</f>
        <v>0</v>
      </c>
    </row>
    <row r="1500" customFormat="false" ht="15" hidden="false" customHeight="false" outlineLevel="0" collapsed="false">
      <c r="A1500" s="48" t="str">
        <f aca="false">STACK!A1500</f>
        <v>QHH-0119</v>
      </c>
      <c r="B1500" s="48" t="str">
        <f aca="false">STACK!B1500</f>
        <v>QHH</v>
      </c>
      <c r="C1500" s="48" t="str">
        <f aca="false">STACK!E1500</f>
        <v>Diabetes Prevention Program</v>
      </c>
      <c r="D1500" s="1" t="str">
        <f aca="false">IFERROR(INDEX(MAP!$J$7:$J$101,MATCH(TRIM(C1500),MAP!$I$7:$I$101,0)),"UNMAPPED")</f>
        <v>Diabetes Prevention Classes</v>
      </c>
      <c r="E1500" s="1" t="str">
        <f aca="false">IFERROR(INDEX(MAP!$K$7:$K$101,MATCH(TRIM(C1500),MAP!$I$7:$I$101,0)),"")</f>
        <v>Chronic disease prevention</v>
      </c>
      <c r="F1500" s="1" t="str">
        <f aca="false">IFERROR(INDEX(MAP!$L$7:$L$101,MATCH(TRIM(C1500),MAP!$I$7:$I$101,0)),"")</f>
        <v>Event</v>
      </c>
      <c r="G1500" s="1" t="n">
        <f aca="false">IFERROR(MATCH(A1500,CONFIRM!$A$5:$A$53,0),0)</f>
        <v>0</v>
      </c>
      <c r="H1500" s="48" t="str">
        <f aca="false">STACK!F1500</f>
        <v>CHIS - Education</v>
      </c>
      <c r="I1500" s="1" t="str">
        <f aca="false">IF(G1500&gt;0,IF(INDEX(CONFIRM!$I$5:$I$53,G1500)&lt;&gt;"",INDEX(CONFIRM!$I$5:$I$53,G1500),H1500),H1500)</f>
        <v>CHIS - Education</v>
      </c>
      <c r="J1500" s="1" t="str">
        <f aca="false">IFERROR(INDEX(MAP!$F$7:$F$74,MATCH(TRIM(I1500),MAP!$E$7:$E$74,0)),"UNMAPPED")</f>
        <v>Community health education</v>
      </c>
      <c r="K1500" s="1" t="str">
        <f aca="false">IFERROR(INDEX(MAP!$G$7:$G$74,MATCH(TRIM(I1500),MAP!$E$7:$E$74,0)),"UNMAPPED")</f>
        <v>7e</v>
      </c>
      <c r="L1500" s="49" t="str">
        <f aca="false">STACK!G1500</f>
        <v>27-Dec-2025</v>
      </c>
      <c r="M1500" s="59" t="n">
        <f aca="false">IF(G1500&gt;0,IF(INDEX(CONFIRM!$G$5:$G$53,G1500)&lt;&gt;"",INDEX(CONFIRM!$G$5:$G$53,G1500),IF(ISNUMBER(L1500),L1500,IFERROR(DATEVALUE(L1500),""))),IF(ISNUMBER(L1500),L1500,IFERROR(DATEVALUE(L1500),"")))</f>
        <v>46018</v>
      </c>
      <c r="N1500" s="1" t="str">
        <f aca="false">IF(M1500="","Check",IF(AND(M1500&gt;=INPUTS!$C$6,M1500&lt;=INPUTS!$C$7),"Yes","No"))</f>
        <v>Yes</v>
      </c>
      <c r="O1500" s="48" t="str">
        <f aca="false">STACK!H1500</f>
        <v>Dietitian</v>
      </c>
      <c r="P1500" s="1" t="str">
        <f aca="false">IF(G1500&gt;0,IF(INDEX(CONFIRM!$H$5:$H$53,G1500)&lt;&gt;"",INDEX(CONFIRM!$H$5:$H$53,G1500),IFERROR(INDEX(MAP!$B$7:$B$156,MATCH(TRIM(O1500),MAP!$A$7:$A$156,0)),"UNMAPPED")),IFERROR(INDEX(MAP!$B$7:$B$156,MATCH(TRIM(O1500),MAP!$A$7:$A$156,0)),"UNMAPPED"))</f>
        <v>Registered Dietitian</v>
      </c>
      <c r="Q1500" s="48" t="n">
        <f aca="false">STACK!I1500</f>
        <v>2</v>
      </c>
      <c r="R1500" s="60" t="n">
        <f aca="false">IF(G1500&gt;0,IF(INDEX(CONFIRM!$F$5:$F$53,G1500)&lt;&gt;"",INDEX(CONFIRM!$F$5:$F$53,G1500),IF(ISNUMBER(Q1500),Q1500,IF(Q1500="","",IFERROR(VALUE(TRIM(SUBSTITUTE(SUBSTITUTE(LOWER(Q1500),"hrs",""),"hr",""))),"")))),IF(ISNUMBER(Q1500),Q1500,IF(Q1500="","",IFERROR(VALUE(TRIM(SUBSTITUTE(SUBSTITUTE(LOWER(Q1500),"hrs",""),"hr",""))),""))))</f>
        <v>2</v>
      </c>
      <c r="S1500" s="57" t="n">
        <f aca="false">IFERROR(INDEX(RATES!$E$6:$E$28,MATCH(P1500,RATES!$A$6:$A$28,0)),0)</f>
        <v>46.9025</v>
      </c>
      <c r="T1500" s="61" t="n">
        <f aca="false">IF(ISNUMBER(R1500),R1500,0)*S1500</f>
        <v>93.805</v>
      </c>
      <c r="U1500" s="61" t="n">
        <f aca="false">T1500*INDEX(INPUTS!$H$10:$H$14,MATCH(B1500,INPUTS!$A$10:$A$14,0))</f>
        <v>14.164555</v>
      </c>
      <c r="V1500" s="61" t="n">
        <f aca="false">N(STACK!K1500)</f>
        <v>0</v>
      </c>
      <c r="W1500" s="61" t="n">
        <f aca="false">T1500+U1500+V1500</f>
        <v>107.969555</v>
      </c>
      <c r="X1500" s="61" t="n">
        <f aca="false">N(STACK!L1500)</f>
        <v>0</v>
      </c>
      <c r="Y1500" s="61" t="n">
        <f aca="false">W1500-X1500</f>
        <v>107.969555</v>
      </c>
      <c r="Z1500" s="1" t="n">
        <f aca="false">N(STACK!J1500)</f>
        <v>0</v>
      </c>
      <c r="AA1500" s="1" t="str">
        <f aca="false">TRIM(IF(D1500="UNMAPPED","Program not mapped. ","")&amp;IF(OR(K1500="UNMAPPED",K1500="UNASSIGNED"),"Category needs review. ","")&amp;IF(P1500="UNMAPPED","Title not mapped. ","")&amp;IF(AND(P1500&lt;&gt;"No staff time",R1500=""),"Missing hours. ","")&amp;IF(M1500="","Date not readable. ","")&amp;IF(N1500="No","Outside fiscal year. ","")&amp;IF(AND(F1500="Event",ISNUMBER(R1500)),IF(R1500&gt;12,"Event hours look high. ",""),"")&amp;IF(G1500&gt;0,"See CONFIRM sheet.",""))</f>
        <v/>
      </c>
      <c r="AB1500" s="1" t="n">
        <f aca="false">IF(N1500="No",0,IF(REVIEW!O1500=0,0,IF(G1500&gt;0,IF(INDEX(CONFIRM!$J$5:$J$53,G1500)&lt;&gt;"",INDEX(CONFIRM!$J$5:$J$53,G1500),1),1)))</f>
        <v>1</v>
      </c>
      <c r="AC1500" s="1" t="n">
        <f aca="false">IF(AB1500=1,IF(COUNTIFS($B$5:B1500,B1500,$D$5:D1500,D1500,$AB$5:AB1500,1)=1,1,0),0)</f>
        <v>0</v>
      </c>
    </row>
    <row r="1501" customFormat="false" ht="15" hidden="false" customHeight="false" outlineLevel="0" collapsed="false">
      <c r="A1501" s="48" t="str">
        <f aca="false">STACK!A1501</f>
        <v>QHH-0120</v>
      </c>
      <c r="B1501" s="48" t="str">
        <f aca="false">STACK!B1501</f>
        <v>QHH</v>
      </c>
      <c r="C1501" s="48" t="str">
        <f aca="false">STACK!E1501</f>
        <v>Fall Prevention Class</v>
      </c>
      <c r="D1501" s="1" t="str">
        <f aca="false">IFERROR(INDEX(MAP!$J$7:$J$101,MATCH(TRIM(C1501),MAP!$I$7:$I$101,0)),"UNMAPPED")</f>
        <v>Fall Prevention Classes for Older Adults</v>
      </c>
      <c r="E1501" s="1" t="str">
        <f aca="false">IFERROR(INDEX(MAP!$K$7:$K$101,MATCH(TRIM(C1501),MAP!$I$7:$I$101,0)),"")</f>
        <v>Chronic disease prevention</v>
      </c>
      <c r="F1501" s="1" t="str">
        <f aca="false">IFERROR(INDEX(MAP!$L$7:$L$101,MATCH(TRIM(C1501),MAP!$I$7:$I$101,0)),"")</f>
        <v>Event</v>
      </c>
      <c r="G1501" s="1" t="n">
        <f aca="false">IFERROR(MATCH(A1501,CONFIRM!$A$5:$A$53,0),0)</f>
        <v>0</v>
      </c>
      <c r="H1501" s="48" t="str">
        <f aca="false">STACK!F1501</f>
        <v>CHIS - Education</v>
      </c>
      <c r="I1501" s="1" t="str">
        <f aca="false">IF(G1501&gt;0,IF(INDEX(CONFIRM!$I$5:$I$53,G1501)&lt;&gt;"",INDEX(CONFIRM!$I$5:$I$53,G1501),H1501),H1501)</f>
        <v>CHIS - Education</v>
      </c>
      <c r="J1501" s="1" t="str">
        <f aca="false">IFERROR(INDEX(MAP!$F$7:$F$74,MATCH(TRIM(I1501),MAP!$E$7:$E$74,0)),"UNMAPPED")</f>
        <v>Community health education</v>
      </c>
      <c r="K1501" s="1" t="str">
        <f aca="false">IFERROR(INDEX(MAP!$G$7:$G$74,MATCH(TRIM(I1501),MAP!$E$7:$E$74,0)),"UNMAPPED")</f>
        <v>7e</v>
      </c>
      <c r="L1501" s="49" t="str">
        <f aca="false">STACK!G1501</f>
        <v>27-Dec-2025</v>
      </c>
      <c r="M1501" s="59" t="n">
        <f aca="false">IF(G1501&gt;0,IF(INDEX(CONFIRM!$G$5:$G$53,G1501)&lt;&gt;"",INDEX(CONFIRM!$G$5:$G$53,G1501),IF(ISNUMBER(L1501),L1501,IFERROR(DATEVALUE(L1501),""))),IF(ISNUMBER(L1501),L1501,IFERROR(DATEVALUE(L1501),"")))</f>
        <v>46018</v>
      </c>
      <c r="N1501" s="1" t="str">
        <f aca="false">IF(M1501="","Check",IF(AND(M1501&gt;=INPUTS!$C$6,M1501&lt;=INPUTS!$C$7),"Yes","No"))</f>
        <v>Yes</v>
      </c>
      <c r="O1501" s="48" t="str">
        <f aca="false">STACK!H1501</f>
        <v>RRT</v>
      </c>
      <c r="P1501" s="1" t="str">
        <f aca="false">IF(G1501&gt;0,IF(INDEX(CONFIRM!$H$5:$H$53,G1501)&lt;&gt;"",INDEX(CONFIRM!$H$5:$H$53,G1501),IFERROR(INDEX(MAP!$B$7:$B$156,MATCH(TRIM(O1501),MAP!$A$7:$A$156,0)),"UNMAPPED")),IFERROR(INDEX(MAP!$B$7:$B$156,MATCH(TRIM(O1501),MAP!$A$7:$A$156,0)),"UNMAPPED"))</f>
        <v>Licensed Therapist</v>
      </c>
      <c r="Q1501" s="48" t="n">
        <f aca="false">STACK!I1501</f>
        <v>2</v>
      </c>
      <c r="R1501" s="60" t="n">
        <f aca="false">IF(G1501&gt;0,IF(INDEX(CONFIRM!$F$5:$F$53,G1501)&lt;&gt;"",INDEX(CONFIRM!$F$5:$F$53,G1501),IF(ISNUMBER(Q1501),Q1501,IF(Q1501="","",IFERROR(VALUE(TRIM(SUBSTITUTE(SUBSTITUTE(LOWER(Q1501),"hrs",""),"hr",""))),"")))),IF(ISNUMBER(Q1501),Q1501,IF(Q1501="","",IFERROR(VALUE(TRIM(SUBSTITUTE(SUBSTITUTE(LOWER(Q1501),"hrs",""),"hr",""))),""))))</f>
        <v>2</v>
      </c>
      <c r="S1501" s="57" t="n">
        <f aca="false">IFERROR(INDEX(RATES!$E$6:$E$28,MATCH(P1501,RATES!$A$6:$A$28,0)),0)</f>
        <v>53.97</v>
      </c>
      <c r="T1501" s="61" t="n">
        <f aca="false">IF(ISNUMBER(R1501),R1501,0)*S1501</f>
        <v>107.94</v>
      </c>
      <c r="U1501" s="61" t="n">
        <f aca="false">T1501*INDEX(INPUTS!$H$10:$H$14,MATCH(B1501,INPUTS!$A$10:$A$14,0))</f>
        <v>16.29894</v>
      </c>
      <c r="V1501" s="61" t="n">
        <f aca="false">N(STACK!K1501)</f>
        <v>60</v>
      </c>
      <c r="W1501" s="61" t="n">
        <f aca="false">T1501+U1501+V1501</f>
        <v>184.23894</v>
      </c>
      <c r="X1501" s="61" t="n">
        <f aca="false">N(STACK!L1501)</f>
        <v>0</v>
      </c>
      <c r="Y1501" s="61" t="n">
        <f aca="false">W1501-X1501</f>
        <v>184.23894</v>
      </c>
      <c r="Z1501" s="1" t="n">
        <f aca="false">N(STACK!J1501)</f>
        <v>16</v>
      </c>
      <c r="AA1501" s="1" t="str">
        <f aca="false">TRIM(IF(D1501="UNMAPPED","Program not mapped. ","")&amp;IF(OR(K1501="UNMAPPED",K1501="UNASSIGNED"),"Category needs review. ","")&amp;IF(P1501="UNMAPPED","Title not mapped. ","")&amp;IF(AND(P1501&lt;&gt;"No staff time",R1501=""),"Missing hours. ","")&amp;IF(M1501="","Date not readable. ","")&amp;IF(N1501="No","Outside fiscal year. ","")&amp;IF(AND(F1501="Event",ISNUMBER(R1501)),IF(R1501&gt;12,"Event hours look high. ",""),"")&amp;IF(G1501&gt;0,"See CONFIRM sheet.",""))</f>
        <v/>
      </c>
      <c r="AB1501" s="1" t="n">
        <f aca="false">IF(N1501="No",0,IF(REVIEW!O1501=0,0,IF(G1501&gt;0,IF(INDEX(CONFIRM!$J$5:$J$53,G1501)&lt;&gt;"",INDEX(CONFIRM!$J$5:$J$53,G1501),1),1)))</f>
        <v>1</v>
      </c>
      <c r="AC1501" s="1" t="n">
        <f aca="false">IF(AB1501=1,IF(COUNTIFS($B$5:B1501,B1501,$D$5:D1501,D1501,$AB$5:AB1501,1)=1,1,0),0)</f>
        <v>0</v>
      </c>
    </row>
    <row r="1502" customFormat="false" ht="15" hidden="false" customHeight="false" outlineLevel="0" collapsed="false">
      <c r="A1502" s="48" t="str">
        <f aca="false">STACK!A1502</f>
        <v>QHH-0121</v>
      </c>
      <c r="B1502" s="48" t="str">
        <f aca="false">STACK!B1502</f>
        <v>QHH</v>
      </c>
      <c r="C1502" s="48" t="str">
        <f aca="false">STACK!E1502</f>
        <v>Blood Pressure Clinic</v>
      </c>
      <c r="D1502" s="1" t="str">
        <f aca="false">IFERROR(INDEX(MAP!$J$7:$J$101,MATCH(TRIM(C1502),MAP!$I$7:$I$101,0)),"UNMAPPED")</f>
        <v>Community Blood Pressure Checks</v>
      </c>
      <c r="E1502" s="1" t="str">
        <f aca="false">IFERROR(INDEX(MAP!$K$7:$K$101,MATCH(TRIM(C1502),MAP!$I$7:$I$101,0)),"")</f>
        <v>Chronic disease prevention</v>
      </c>
      <c r="F1502" s="1" t="str">
        <f aca="false">IFERROR(INDEX(MAP!$L$7:$L$101,MATCH(TRIM(C1502),MAP!$I$7:$I$101,0)),"")</f>
        <v>Event</v>
      </c>
      <c r="G1502" s="1" t="n">
        <f aca="false">IFERROR(MATCH(A1502,CONFIRM!$A$5:$A$53,0),0)</f>
        <v>0</v>
      </c>
      <c r="H1502" s="48" t="str">
        <f aca="false">STACK!F1502</f>
        <v>CHIS - Clinical</v>
      </c>
      <c r="I1502" s="1" t="str">
        <f aca="false">IF(G1502&gt;0,IF(INDEX(CONFIRM!$I$5:$I$53,G1502)&lt;&gt;"",INDEX(CONFIRM!$I$5:$I$53,G1502),H1502),H1502)</f>
        <v>CHIS - Clinical</v>
      </c>
      <c r="J1502" s="1" t="str">
        <f aca="false">IFERROR(INDEX(MAP!$F$7:$F$74,MATCH(TRIM(I1502),MAP!$E$7:$E$74,0)),"UNMAPPED")</f>
        <v>Community-based clinical services</v>
      </c>
      <c r="K1502" s="1" t="str">
        <f aca="false">IFERROR(INDEX(MAP!$G$7:$G$74,MATCH(TRIM(I1502),MAP!$E$7:$E$74,0)),"UNMAPPED")</f>
        <v>7e</v>
      </c>
      <c r="L1502" s="49" t="str">
        <f aca="false">STACK!G1502</f>
        <v>30-Dec-2025</v>
      </c>
      <c r="M1502" s="59" t="n">
        <f aca="false">IF(G1502&gt;0,IF(INDEX(CONFIRM!$G$5:$G$53,G1502)&lt;&gt;"",INDEX(CONFIRM!$G$5:$G$53,G1502),IF(ISNUMBER(L1502),L1502,IFERROR(DATEVALUE(L1502),""))),IF(ISNUMBER(L1502),L1502,IFERROR(DATEVALUE(L1502),"")))</f>
        <v>46021</v>
      </c>
      <c r="N1502" s="1" t="str">
        <f aca="false">IF(M1502="","Check",IF(AND(M1502&gt;=INPUTS!$C$6,M1502&lt;=INPUTS!$C$7),"Yes","No"))</f>
        <v>Yes</v>
      </c>
      <c r="O1502" s="48" t="str">
        <f aca="false">STACK!H1502</f>
        <v>Clinical RN</v>
      </c>
      <c r="P1502" s="1" t="str">
        <f aca="false">IF(G1502&gt;0,IF(INDEX(CONFIRM!$H$5:$H$53,G1502)&lt;&gt;"",INDEX(CONFIRM!$H$5:$H$53,G1502),IFERROR(INDEX(MAP!$B$7:$B$156,MATCH(TRIM(O1502),MAP!$A$7:$A$156,0)),"UNMAPPED")),IFERROR(INDEX(MAP!$B$7:$B$156,MATCH(TRIM(O1502),MAP!$A$7:$A$156,0)),"UNMAPPED"))</f>
        <v>Registered Nurse</v>
      </c>
      <c r="Q1502" s="48" t="n">
        <f aca="false">STACK!I1502</f>
        <v>3.25</v>
      </c>
      <c r="R1502" s="60" t="n">
        <f aca="false">IF(G1502&gt;0,IF(INDEX(CONFIRM!$F$5:$F$53,G1502)&lt;&gt;"",INDEX(CONFIRM!$F$5:$F$53,G1502),IF(ISNUMBER(Q1502),Q1502,IF(Q1502="","",IFERROR(VALUE(TRIM(SUBSTITUTE(SUBSTITUTE(LOWER(Q1502),"hrs",""),"hr",""))),"")))),IF(ISNUMBER(Q1502),Q1502,IF(Q1502="","",IFERROR(VALUE(TRIM(SUBSTITUTE(SUBSTITUTE(LOWER(Q1502),"hrs",""),"hr",""))),""))))</f>
        <v>3.25</v>
      </c>
      <c r="S1502" s="57" t="n">
        <f aca="false">IFERROR(INDEX(RATES!$E$6:$E$28,MATCH(P1502,RATES!$A$6:$A$28,0)),0)</f>
        <v>55.8975</v>
      </c>
      <c r="T1502" s="61" t="n">
        <f aca="false">IF(ISNUMBER(R1502),R1502,0)*S1502</f>
        <v>181.666875</v>
      </c>
      <c r="U1502" s="61" t="n">
        <f aca="false">T1502*INDEX(INPUTS!$H$10:$H$14,MATCH(B1502,INPUTS!$A$10:$A$14,0))</f>
        <v>27.431698125</v>
      </c>
      <c r="V1502" s="61" t="n">
        <f aca="false">N(STACK!K1502)</f>
        <v>100</v>
      </c>
      <c r="W1502" s="61" t="n">
        <f aca="false">T1502+U1502+V1502</f>
        <v>309.098573125</v>
      </c>
      <c r="X1502" s="61" t="n">
        <f aca="false">N(STACK!L1502)</f>
        <v>0</v>
      </c>
      <c r="Y1502" s="61" t="n">
        <f aca="false">W1502-X1502</f>
        <v>309.098573125</v>
      </c>
      <c r="Z1502" s="1" t="n">
        <f aca="false">N(STACK!J1502)</f>
        <v>36</v>
      </c>
      <c r="AA1502" s="1" t="str">
        <f aca="false">TRIM(IF(D1502="UNMAPPED","Program not mapped. ","")&amp;IF(OR(K1502="UNMAPPED",K1502="UNASSIGNED"),"Category needs review. ","")&amp;IF(P1502="UNMAPPED","Title not mapped. ","")&amp;IF(AND(P1502&lt;&gt;"No staff time",R1502=""),"Missing hours. ","")&amp;IF(M1502="","Date not readable. ","")&amp;IF(N1502="No","Outside fiscal year. ","")&amp;IF(AND(F1502="Event",ISNUMBER(R1502)),IF(R1502&gt;12,"Event hours look high. ",""),"")&amp;IF(G1502&gt;0,"See CONFIRM sheet.",""))</f>
        <v/>
      </c>
      <c r="AB1502" s="1" t="n">
        <f aca="false">IF(N1502="No",0,IF(REVIEW!O1502=0,0,IF(G1502&gt;0,IF(INDEX(CONFIRM!$J$5:$J$53,G1502)&lt;&gt;"",INDEX(CONFIRM!$J$5:$J$53,G1502),1),1)))</f>
        <v>1</v>
      </c>
      <c r="AC1502" s="1" t="n">
        <f aca="false">IF(AB1502=1,IF(COUNTIFS($B$5:B1502,B1502,$D$5:D1502,D1502,$AB$5:AB1502,1)=1,1,0),0)</f>
        <v>0</v>
      </c>
    </row>
    <row r="1503" customFormat="false" ht="15" hidden="false" customHeight="false" outlineLevel="0" collapsed="false">
      <c r="A1503" s="48" t="str">
        <f aca="false">STACK!A1503</f>
        <v>QHH-0122</v>
      </c>
      <c r="B1503" s="48" t="str">
        <f aca="false">STACK!B1503</f>
        <v>QHH</v>
      </c>
      <c r="C1503" s="48" t="str">
        <f aca="false">STACK!E1503</f>
        <v>Medication Assistance</v>
      </c>
      <c r="D1503" s="1" t="str">
        <f aca="false">IFERROR(INDEX(MAP!$J$7:$J$101,MATCH(TRIM(C1503),MAP!$I$7:$I$101,0)),"UNMAPPED")</f>
        <v>Medication Assistance Program</v>
      </c>
      <c r="E1503" s="1" t="str">
        <f aca="false">IFERROR(INDEX(MAP!$K$7:$K$101,MATCH(TRIM(C1503),MAP!$I$7:$I$101,0)),"")</f>
        <v>Access to care</v>
      </c>
      <c r="F1503" s="1" t="str">
        <f aca="false">IFERROR(INDEX(MAP!$L$7:$L$101,MATCH(TRIM(C1503),MAP!$I$7:$I$101,0)),"")</f>
        <v>Monthly</v>
      </c>
      <c r="G1503" s="1" t="n">
        <f aca="false">IFERROR(MATCH(A1503,CONFIRM!$A$5:$A$53,0),0)</f>
        <v>0</v>
      </c>
      <c r="H1503" s="48" t="str">
        <f aca="false">STACK!F1503</f>
        <v>CHIS - Support</v>
      </c>
      <c r="I1503" s="1" t="str">
        <f aca="false">IF(G1503&gt;0,IF(INDEX(CONFIRM!$I$5:$I$53,G1503)&lt;&gt;"",INDEX(CONFIRM!$I$5:$I$53,G1503),H1503),H1503)</f>
        <v>CHIS - Support</v>
      </c>
      <c r="J1503" s="1" t="str">
        <f aca="false">IFERROR(INDEX(MAP!$F$7:$F$74,MATCH(TRIM(I1503),MAP!$E$7:$E$74,0)),"UNMAPPED")</f>
        <v>Health care support services</v>
      </c>
      <c r="K1503" s="1" t="str">
        <f aca="false">IFERROR(INDEX(MAP!$G$7:$G$74,MATCH(TRIM(I1503),MAP!$E$7:$E$74,0)),"UNMAPPED")</f>
        <v>7e</v>
      </c>
      <c r="L1503" s="49" t="str">
        <f aca="false">STACK!G1503</f>
        <v>31-Dec-2025</v>
      </c>
      <c r="M1503" s="59" t="n">
        <f aca="false">IF(G1503&gt;0,IF(INDEX(CONFIRM!$G$5:$G$53,G1503)&lt;&gt;"",INDEX(CONFIRM!$G$5:$G$53,G1503),IF(ISNUMBER(L1503),L1503,IFERROR(DATEVALUE(L1503),""))),IF(ISNUMBER(L1503),L1503,IFERROR(DATEVALUE(L1503),"")))</f>
        <v>46022</v>
      </c>
      <c r="N1503" s="1" t="str">
        <f aca="false">IF(M1503="","Check",IF(AND(M1503&gt;=INPUTS!$C$6,M1503&lt;=INPUTS!$C$7),"Yes","No"))</f>
        <v>Yes</v>
      </c>
      <c r="O1503" s="48" t="str">
        <f aca="false">STACK!H1503</f>
        <v>Patient Navigator</v>
      </c>
      <c r="P1503" s="1" t="str">
        <f aca="false">IF(G1503&gt;0,IF(INDEX(CONFIRM!$H$5:$H$53,G1503)&lt;&gt;"",INDEX(CONFIRM!$H$5:$H$53,G1503),IFERROR(INDEX(MAP!$B$7:$B$156,MATCH(TRIM(O1503),MAP!$A$7:$A$156,0)),"UNMAPPED")),IFERROR(INDEX(MAP!$B$7:$B$156,MATCH(TRIM(O1503),MAP!$A$7:$A$156,0)),"UNMAPPED"))</f>
        <v>Patient Navigator</v>
      </c>
      <c r="Q1503" s="48" t="n">
        <f aca="false">STACK!I1503</f>
        <v>72.25</v>
      </c>
      <c r="R1503" s="60" t="n">
        <f aca="false">IF(G1503&gt;0,IF(INDEX(CONFIRM!$F$5:$F$53,G1503)&lt;&gt;"",INDEX(CONFIRM!$F$5:$F$53,G1503),IF(ISNUMBER(Q1503),Q1503,IF(Q1503="","",IFERROR(VALUE(TRIM(SUBSTITUTE(SUBSTITUTE(LOWER(Q1503),"hrs",""),"hr",""))),"")))),IF(ISNUMBER(Q1503),Q1503,IF(Q1503="","",IFERROR(VALUE(TRIM(SUBSTITUTE(SUBSTITUTE(LOWER(Q1503),"hrs",""),"hr",""))),""))))</f>
        <v>72.25</v>
      </c>
      <c r="S1503" s="57" t="n">
        <f aca="false">IFERROR(INDEX(RATES!$E$6:$E$28,MATCH(P1503,RATES!$A$6:$A$28,0)),0)</f>
        <v>30.84</v>
      </c>
      <c r="T1503" s="61" t="n">
        <f aca="false">IF(ISNUMBER(R1503),R1503,0)*S1503</f>
        <v>2228.19</v>
      </c>
      <c r="U1503" s="61" t="n">
        <f aca="false">T1503*INDEX(INPUTS!$H$10:$H$14,MATCH(B1503,INPUTS!$A$10:$A$14,0))</f>
        <v>336.45669</v>
      </c>
      <c r="V1503" s="61" t="n">
        <f aca="false">N(STACK!K1503)</f>
        <v>0</v>
      </c>
      <c r="W1503" s="61" t="n">
        <f aca="false">T1503+U1503+V1503</f>
        <v>2564.64669</v>
      </c>
      <c r="X1503" s="61" t="n">
        <f aca="false">N(STACK!L1503)</f>
        <v>0</v>
      </c>
      <c r="Y1503" s="61" t="n">
        <f aca="false">W1503-X1503</f>
        <v>2564.64669</v>
      </c>
      <c r="Z1503" s="1" t="n">
        <f aca="false">N(STACK!J1503)</f>
        <v>0</v>
      </c>
      <c r="AA1503" s="1" t="str">
        <f aca="false">TRIM(IF(D1503="UNMAPPED","Program not mapped. ","")&amp;IF(OR(K1503="UNMAPPED",K1503="UNASSIGNED"),"Category needs review. ","")&amp;IF(P1503="UNMAPPED","Title not mapped. ","")&amp;IF(AND(P1503&lt;&gt;"No staff time",R1503=""),"Missing hours. ","")&amp;IF(M1503="","Date not readable. ","")&amp;IF(N1503="No","Outside fiscal year. ","")&amp;IF(AND(F1503="Event",ISNUMBER(R1503)),IF(R1503&gt;12,"Event hours look high. ",""),"")&amp;IF(G1503&gt;0,"See CONFIRM sheet.",""))</f>
        <v/>
      </c>
      <c r="AB1503" s="1" t="n">
        <f aca="false">IF(N1503="No",0,IF(REVIEW!O1503=0,0,IF(G1503&gt;0,IF(INDEX(CONFIRM!$J$5:$J$53,G1503)&lt;&gt;"",INDEX(CONFIRM!$J$5:$J$53,G1503),1),1)))</f>
        <v>1</v>
      </c>
      <c r="AC1503" s="1" t="n">
        <f aca="false">IF(AB1503=1,IF(COUNTIFS($B$5:B1503,B1503,$D$5:D1503,D1503,$AB$5:AB1503,1)=1,1,0),0)</f>
        <v>0</v>
      </c>
    </row>
    <row r="1504" customFormat="false" ht="15" hidden="false" customHeight="false" outlineLevel="0" collapsed="false">
      <c r="A1504" s="48" t="str">
        <f aca="false">STACK!A1504</f>
        <v>QHH-0123</v>
      </c>
      <c r="B1504" s="48" t="str">
        <f aca="false">STACK!B1504</f>
        <v>QHH</v>
      </c>
      <c r="C1504" s="48" t="str">
        <f aca="false">STACK!E1504</f>
        <v>Medication Assistance</v>
      </c>
      <c r="D1504" s="1" t="str">
        <f aca="false">IFERROR(INDEX(MAP!$J$7:$J$101,MATCH(TRIM(C1504),MAP!$I$7:$I$101,0)),"UNMAPPED")</f>
        <v>Medication Assistance Program</v>
      </c>
      <c r="E1504" s="1" t="str">
        <f aca="false">IFERROR(INDEX(MAP!$K$7:$K$101,MATCH(TRIM(C1504),MAP!$I$7:$I$101,0)),"")</f>
        <v>Access to care</v>
      </c>
      <c r="F1504" s="1" t="str">
        <f aca="false">IFERROR(INDEX(MAP!$L$7:$L$101,MATCH(TRIM(C1504),MAP!$I$7:$I$101,0)),"")</f>
        <v>Monthly</v>
      </c>
      <c r="G1504" s="1" t="n">
        <f aca="false">IFERROR(MATCH(A1504,CONFIRM!$A$5:$A$53,0),0)</f>
        <v>0</v>
      </c>
      <c r="H1504" s="48" t="str">
        <f aca="false">STACK!F1504</f>
        <v>CHIS - Support</v>
      </c>
      <c r="I1504" s="1" t="str">
        <f aca="false">IF(G1504&gt;0,IF(INDEX(CONFIRM!$I$5:$I$53,G1504)&lt;&gt;"",INDEX(CONFIRM!$I$5:$I$53,G1504),H1504),H1504)</f>
        <v>CHIS - Support</v>
      </c>
      <c r="J1504" s="1" t="str">
        <f aca="false">IFERROR(INDEX(MAP!$F$7:$F$74,MATCH(TRIM(I1504),MAP!$E$7:$E$74,0)),"UNMAPPED")</f>
        <v>Health care support services</v>
      </c>
      <c r="K1504" s="1" t="str">
        <f aca="false">IFERROR(INDEX(MAP!$G$7:$G$74,MATCH(TRIM(I1504),MAP!$E$7:$E$74,0)),"UNMAPPED")</f>
        <v>7e</v>
      </c>
      <c r="L1504" s="49" t="str">
        <f aca="false">STACK!G1504</f>
        <v>31-Dec-2025</v>
      </c>
      <c r="M1504" s="59" t="n">
        <f aca="false">IF(G1504&gt;0,IF(INDEX(CONFIRM!$G$5:$G$53,G1504)&lt;&gt;"",INDEX(CONFIRM!$G$5:$G$53,G1504),IF(ISNUMBER(L1504),L1504,IFERROR(DATEVALUE(L1504),""))),IF(ISNUMBER(L1504),L1504,IFERROR(DATEVALUE(L1504),"")))</f>
        <v>46022</v>
      </c>
      <c r="N1504" s="1" t="str">
        <f aca="false">IF(M1504="","Check",IF(AND(M1504&gt;=INPUTS!$C$6,M1504&lt;=INPUTS!$C$7),"Yes","No"))</f>
        <v>Yes</v>
      </c>
      <c r="O1504" s="48" t="str">
        <f aca="false">STACK!H1504</f>
        <v>Staff Pharmacist</v>
      </c>
      <c r="P1504" s="1" t="str">
        <f aca="false">IF(G1504&gt;0,IF(INDEX(CONFIRM!$H$5:$H$53,G1504)&lt;&gt;"",INDEX(CONFIRM!$H$5:$H$53,G1504),IFERROR(INDEX(MAP!$B$7:$B$156,MATCH(TRIM(O1504),MAP!$A$7:$A$156,0)),"UNMAPPED")),IFERROR(INDEX(MAP!$B$7:$B$156,MATCH(TRIM(O1504),MAP!$A$7:$A$156,0)),"UNMAPPED"))</f>
        <v>Pharmacist</v>
      </c>
      <c r="Q1504" s="48" t="n">
        <f aca="false">STACK!I1504</f>
        <v>19.75</v>
      </c>
      <c r="R1504" s="60" t="n">
        <f aca="false">IF(G1504&gt;0,IF(INDEX(CONFIRM!$F$5:$F$53,G1504)&lt;&gt;"",INDEX(CONFIRM!$F$5:$F$53,G1504),IF(ISNUMBER(Q1504),Q1504,IF(Q1504="","",IFERROR(VALUE(TRIM(SUBSTITUTE(SUBSTITUTE(LOWER(Q1504),"hrs",""),"hr",""))),"")))),IF(ISNUMBER(Q1504),Q1504,IF(Q1504="","",IFERROR(VALUE(TRIM(SUBSTITUTE(SUBSTITUTE(LOWER(Q1504),"hrs",""),"hr",""))),""))))</f>
        <v>19.75</v>
      </c>
      <c r="S1504" s="57" t="n">
        <f aca="false">IFERROR(INDEX(RATES!$E$6:$E$28,MATCH(P1504,RATES!$A$6:$A$28,0)),0)</f>
        <v>84.81</v>
      </c>
      <c r="T1504" s="61" t="n">
        <f aca="false">IF(ISNUMBER(R1504),R1504,0)*S1504</f>
        <v>1674.9975</v>
      </c>
      <c r="U1504" s="61" t="n">
        <f aca="false">T1504*INDEX(INPUTS!$H$10:$H$14,MATCH(B1504,INPUTS!$A$10:$A$14,0))</f>
        <v>252.9246225</v>
      </c>
      <c r="V1504" s="61" t="n">
        <f aca="false">N(STACK!K1504)</f>
        <v>16040</v>
      </c>
      <c r="W1504" s="61" t="n">
        <f aca="false">T1504+U1504+V1504</f>
        <v>17967.9221225</v>
      </c>
      <c r="X1504" s="61" t="n">
        <f aca="false">N(STACK!L1504)</f>
        <v>0</v>
      </c>
      <c r="Y1504" s="61" t="n">
        <f aca="false">W1504-X1504</f>
        <v>17967.9221225</v>
      </c>
      <c r="Z1504" s="1" t="n">
        <f aca="false">N(STACK!J1504)</f>
        <v>72</v>
      </c>
      <c r="AA1504" s="1" t="str">
        <f aca="false">TRIM(IF(D1504="UNMAPPED","Program not mapped. ","")&amp;IF(OR(K1504="UNMAPPED",K1504="UNASSIGNED"),"Category needs review. ","")&amp;IF(P1504="UNMAPPED","Title not mapped. ","")&amp;IF(AND(P1504&lt;&gt;"No staff time",R1504=""),"Missing hours. ","")&amp;IF(M1504="","Date not readable. ","")&amp;IF(N1504="No","Outside fiscal year. ","")&amp;IF(AND(F1504="Event",ISNUMBER(R1504)),IF(R1504&gt;12,"Event hours look high. ",""),"")&amp;IF(G1504&gt;0,"See CONFIRM sheet.",""))</f>
        <v/>
      </c>
      <c r="AB1504" s="1" t="n">
        <f aca="false">IF(N1504="No",0,IF(REVIEW!O1504=0,0,IF(G1504&gt;0,IF(INDEX(CONFIRM!$J$5:$J$53,G1504)&lt;&gt;"",INDEX(CONFIRM!$J$5:$J$53,G1504),1),1)))</f>
        <v>1</v>
      </c>
      <c r="AC1504" s="1" t="n">
        <f aca="false">IF(AB1504=1,IF(COUNTIFS($B$5:B1504,B1504,$D$5:D1504,D1504,$AB$5:AB1504,1)=1,1,0),0)</f>
        <v>0</v>
      </c>
    </row>
    <row r="1505" customFormat="false" ht="15" hidden="false" customHeight="false" outlineLevel="0" collapsed="false">
      <c r="A1505" s="48" t="str">
        <f aca="false">STACK!A1505</f>
        <v>QHH-0124</v>
      </c>
      <c r="B1505" s="48" t="str">
        <f aca="false">STACK!B1505</f>
        <v>QHH</v>
      </c>
      <c r="C1505" s="48" t="str">
        <f aca="false">STACK!E1505</f>
        <v>Community Benefit Admin.</v>
      </c>
      <c r="D1505" s="1" t="str">
        <f aca="false">IFERROR(INDEX(MAP!$J$7:$J$101,MATCH(TRIM(C1505),MAP!$I$7:$I$101,0)),"UNMAPPED")</f>
        <v>Community Benefit Program Administration</v>
      </c>
      <c r="E1505" s="1" t="str">
        <f aca="false">IFERROR(INDEX(MAP!$K$7:$K$101,MATCH(TRIM(C1505),MAP!$I$7:$I$101,0)),"")</f>
        <v>Community benefit infrastructure</v>
      </c>
      <c r="F1505" s="1" t="str">
        <f aca="false">IFERROR(INDEX(MAP!$L$7:$L$101,MATCH(TRIM(C1505),MAP!$I$7:$I$101,0)),"")</f>
        <v>Monthly</v>
      </c>
      <c r="G1505" s="1" t="n">
        <f aca="false">IFERROR(MATCH(A1505,CONFIRM!$A$5:$A$53,0),0)</f>
        <v>0</v>
      </c>
      <c r="H1505" s="48" t="str">
        <f aca="false">STACK!F1505</f>
        <v>CBO</v>
      </c>
      <c r="I1505" s="1" t="str">
        <f aca="false">IF(G1505&gt;0,IF(INDEX(CONFIRM!$I$5:$I$53,G1505)&lt;&gt;"",INDEX(CONFIRM!$I$5:$I$53,G1505),H1505),H1505)</f>
        <v>CBO</v>
      </c>
      <c r="J1505" s="1" t="str">
        <f aca="false">IFERROR(INDEX(MAP!$F$7:$F$74,MATCH(TRIM(I1505),MAP!$E$7:$E$74,0)),"UNMAPPED")</f>
        <v>Community benefit operations</v>
      </c>
      <c r="K1505" s="1" t="str">
        <f aca="false">IFERROR(INDEX(MAP!$G$7:$G$74,MATCH(TRIM(I1505),MAP!$E$7:$E$74,0)),"UNMAPPED")</f>
        <v>7e</v>
      </c>
      <c r="L1505" s="49" t="str">
        <f aca="false">STACK!G1505</f>
        <v>31-Dec-2025</v>
      </c>
      <c r="M1505" s="59" t="n">
        <f aca="false">IF(G1505&gt;0,IF(INDEX(CONFIRM!$G$5:$G$53,G1505)&lt;&gt;"",INDEX(CONFIRM!$G$5:$G$53,G1505),IF(ISNUMBER(L1505),L1505,IFERROR(DATEVALUE(L1505),""))),IF(ISNUMBER(L1505),L1505,IFERROR(DATEVALUE(L1505),"")))</f>
        <v>46022</v>
      </c>
      <c r="N1505" s="1" t="str">
        <f aca="false">IF(M1505="","Check",IF(AND(M1505&gt;=INPUTS!$C$6,M1505&lt;=INPUTS!$C$7),"Yes","No"))</f>
        <v>Yes</v>
      </c>
      <c r="O1505" s="48" t="str">
        <f aca="false">STACK!H1505</f>
        <v>Admin. Assistant</v>
      </c>
      <c r="P1505" s="1" t="str">
        <f aca="false">IF(G1505&gt;0,IF(INDEX(CONFIRM!$H$5:$H$53,G1505)&lt;&gt;"",INDEX(CONFIRM!$H$5:$H$53,G1505),IFERROR(INDEX(MAP!$B$7:$B$156,MATCH(TRIM(O1505),MAP!$A$7:$A$156,0)),"UNMAPPED")),IFERROR(INDEX(MAP!$B$7:$B$156,MATCH(TRIM(O1505),MAP!$A$7:$A$156,0)),"UNMAPPED"))</f>
        <v>Administrative Assistant</v>
      </c>
      <c r="Q1505" s="48" t="n">
        <f aca="false">STACK!I1505</f>
        <v>49.75</v>
      </c>
      <c r="R1505" s="60" t="n">
        <f aca="false">IF(G1505&gt;0,IF(INDEX(CONFIRM!$F$5:$F$53,G1505)&lt;&gt;"",INDEX(CONFIRM!$F$5:$F$53,G1505),IF(ISNUMBER(Q1505),Q1505,IF(Q1505="","",IFERROR(VALUE(TRIM(SUBSTITUTE(SUBSTITUTE(LOWER(Q1505),"hrs",""),"hr",""))),"")))),IF(ISNUMBER(Q1505),Q1505,IF(Q1505="","",IFERROR(VALUE(TRIM(SUBSTITUTE(SUBSTITUTE(LOWER(Q1505),"hrs",""),"hr",""))),""))))</f>
        <v>49.75</v>
      </c>
      <c r="S1505" s="57" t="n">
        <f aca="false">IFERROR(INDEX(RATES!$E$6:$E$28,MATCH(P1505,RATES!$A$6:$A$28,0)),0)</f>
        <v>26.985</v>
      </c>
      <c r="T1505" s="61" t="n">
        <f aca="false">IF(ISNUMBER(R1505),R1505,0)*S1505</f>
        <v>1342.50375</v>
      </c>
      <c r="U1505" s="61" t="n">
        <f aca="false">T1505*INDEX(INPUTS!$H$10:$H$14,MATCH(B1505,INPUTS!$A$10:$A$14,0))</f>
        <v>202.71806625</v>
      </c>
      <c r="V1505" s="61" t="n">
        <f aca="false">N(STACK!K1505)</f>
        <v>0</v>
      </c>
      <c r="W1505" s="61" t="n">
        <f aca="false">T1505+U1505+V1505</f>
        <v>1545.22181625</v>
      </c>
      <c r="X1505" s="61" t="n">
        <f aca="false">N(STACK!L1505)</f>
        <v>0</v>
      </c>
      <c r="Y1505" s="61" t="n">
        <f aca="false">W1505-X1505</f>
        <v>1545.22181625</v>
      </c>
      <c r="Z1505" s="1" t="n">
        <f aca="false">N(STACK!J1505)</f>
        <v>0</v>
      </c>
      <c r="AA1505" s="1" t="str">
        <f aca="false">TRIM(IF(D1505="UNMAPPED","Program not mapped. ","")&amp;IF(OR(K1505="UNMAPPED",K1505="UNASSIGNED"),"Category needs review. ","")&amp;IF(P1505="UNMAPPED","Title not mapped. ","")&amp;IF(AND(P1505&lt;&gt;"No staff time",R1505=""),"Missing hours. ","")&amp;IF(M1505="","Date not readable. ","")&amp;IF(N1505="No","Outside fiscal year. ","")&amp;IF(AND(F1505="Event",ISNUMBER(R1505)),IF(R1505&gt;12,"Event hours look high. ",""),"")&amp;IF(G1505&gt;0,"See CONFIRM sheet.",""))</f>
        <v/>
      </c>
      <c r="AB1505" s="1" t="n">
        <f aca="false">IF(N1505="No",0,IF(REVIEW!O1505=0,0,IF(G1505&gt;0,IF(INDEX(CONFIRM!$J$5:$J$53,G1505)&lt;&gt;"",INDEX(CONFIRM!$J$5:$J$53,G1505),1),1)))</f>
        <v>1</v>
      </c>
      <c r="AC1505" s="1" t="n">
        <f aca="false">IF(AB1505=1,IF(COUNTIFS($B$5:B1505,B1505,$D$5:D1505,D1505,$AB$5:AB1505,1)=1,1,0),0)</f>
        <v>0</v>
      </c>
    </row>
    <row r="1506" customFormat="false" ht="15" hidden="false" customHeight="false" outlineLevel="0" collapsed="false">
      <c r="A1506" s="48" t="str">
        <f aca="false">STACK!A1506</f>
        <v>QHH-0125</v>
      </c>
      <c r="B1506" s="48" t="str">
        <f aca="false">STACK!B1506</f>
        <v>QHH</v>
      </c>
      <c r="C1506" s="48" t="str">
        <f aca="false">STACK!E1506</f>
        <v>Community Benefit Admin.</v>
      </c>
      <c r="D1506" s="1" t="str">
        <f aca="false">IFERROR(INDEX(MAP!$J$7:$J$101,MATCH(TRIM(C1506),MAP!$I$7:$I$101,0)),"UNMAPPED")</f>
        <v>Community Benefit Program Administration</v>
      </c>
      <c r="E1506" s="1" t="str">
        <f aca="false">IFERROR(INDEX(MAP!$K$7:$K$101,MATCH(TRIM(C1506),MAP!$I$7:$I$101,0)),"")</f>
        <v>Community benefit infrastructure</v>
      </c>
      <c r="F1506" s="1" t="str">
        <f aca="false">IFERROR(INDEX(MAP!$L$7:$L$101,MATCH(TRIM(C1506),MAP!$I$7:$I$101,0)),"")</f>
        <v>Monthly</v>
      </c>
      <c r="G1506" s="1" t="n">
        <f aca="false">IFERROR(MATCH(A1506,CONFIRM!$A$5:$A$53,0),0)</f>
        <v>0</v>
      </c>
      <c r="H1506" s="48" t="str">
        <f aca="false">STACK!F1506</f>
        <v>CBO</v>
      </c>
      <c r="I1506" s="1" t="str">
        <f aca="false">IF(G1506&gt;0,IF(INDEX(CONFIRM!$I$5:$I$53,G1506)&lt;&gt;"",INDEX(CONFIRM!$I$5:$I$53,G1506),H1506),H1506)</f>
        <v>CBO</v>
      </c>
      <c r="J1506" s="1" t="str">
        <f aca="false">IFERROR(INDEX(MAP!$F$7:$F$74,MATCH(TRIM(I1506),MAP!$E$7:$E$74,0)),"UNMAPPED")</f>
        <v>Community benefit operations</v>
      </c>
      <c r="K1506" s="1" t="str">
        <f aca="false">IFERROR(INDEX(MAP!$G$7:$G$74,MATCH(TRIM(I1506),MAP!$E$7:$E$74,0)),"UNMAPPED")</f>
        <v>7e</v>
      </c>
      <c r="L1506" s="49" t="str">
        <f aca="false">STACK!G1506</f>
        <v>31-Dec-2025</v>
      </c>
      <c r="M1506" s="59" t="n">
        <f aca="false">IF(G1506&gt;0,IF(INDEX(CONFIRM!$G$5:$G$53,G1506)&lt;&gt;"",INDEX(CONFIRM!$G$5:$G$53,G1506),IF(ISNUMBER(L1506),L1506,IFERROR(DATEVALUE(L1506),""))),IF(ISNUMBER(L1506),L1506,IFERROR(DATEVALUE(L1506),"")))</f>
        <v>46022</v>
      </c>
      <c r="N1506" s="1" t="str">
        <f aca="false">IF(M1506="","Check",IF(AND(M1506&gt;=INPUTS!$C$6,M1506&lt;=INPUTS!$C$7),"Yes","No"))</f>
        <v>Yes</v>
      </c>
      <c r="O1506" s="48" t="str">
        <f aca="false">STACK!H1506</f>
        <v>Community Benefit Mgr</v>
      </c>
      <c r="P1506" s="1" t="str">
        <f aca="false">IF(G1506&gt;0,IF(INDEX(CONFIRM!$H$5:$H$53,G1506)&lt;&gt;"",INDEX(CONFIRM!$H$5:$H$53,G1506),IFERROR(INDEX(MAP!$B$7:$B$156,MATCH(TRIM(O1506),MAP!$A$7:$A$156,0)),"UNMAPPED")),IFERROR(INDEX(MAP!$B$7:$B$156,MATCH(TRIM(O1506),MAP!$A$7:$A$156,0)),"UNMAPPED"))</f>
        <v>Community Benefit Manager</v>
      </c>
      <c r="Q1506" s="48" t="n">
        <f aca="false">STACK!I1506</f>
        <v>48.75</v>
      </c>
      <c r="R1506" s="60" t="n">
        <f aca="false">IF(G1506&gt;0,IF(INDEX(CONFIRM!$F$5:$F$53,G1506)&lt;&gt;"",INDEX(CONFIRM!$F$5:$F$53,G1506),IF(ISNUMBER(Q1506),Q1506,IF(Q1506="","",IFERROR(VALUE(TRIM(SUBSTITUTE(SUBSTITUTE(LOWER(Q1506),"hrs",""),"hr",""))),"")))),IF(ISNUMBER(Q1506),Q1506,IF(Q1506="","",IFERROR(VALUE(TRIM(SUBSTITUTE(SUBSTITUTE(LOWER(Q1506),"hrs",""),"hr",""))),""))))</f>
        <v>48.75</v>
      </c>
      <c r="S1506" s="57" t="n">
        <f aca="false">IFERROR(INDEX(RATES!$E$6:$E$28,MATCH(P1506,RATES!$A$6:$A$28,0)),0)</f>
        <v>59.11</v>
      </c>
      <c r="T1506" s="61" t="n">
        <f aca="false">IF(ISNUMBER(R1506),R1506,0)*S1506</f>
        <v>2881.6125</v>
      </c>
      <c r="U1506" s="61" t="n">
        <f aca="false">T1506*INDEX(INPUTS!$H$10:$H$14,MATCH(B1506,INPUTS!$A$10:$A$14,0))</f>
        <v>435.1234875</v>
      </c>
      <c r="V1506" s="61" t="n">
        <f aca="false">N(STACK!K1506)</f>
        <v>635</v>
      </c>
      <c r="W1506" s="61" t="n">
        <f aca="false">T1506+U1506+V1506</f>
        <v>3951.7359875</v>
      </c>
      <c r="X1506" s="61" t="n">
        <f aca="false">N(STACK!L1506)</f>
        <v>0</v>
      </c>
      <c r="Y1506" s="61" t="n">
        <f aca="false">W1506-X1506</f>
        <v>3951.7359875</v>
      </c>
      <c r="Z1506" s="1" t="n">
        <f aca="false">N(STACK!J1506)</f>
        <v>0</v>
      </c>
      <c r="AA1506" s="1" t="str">
        <f aca="false">TRIM(IF(D1506="UNMAPPED","Program not mapped. ","")&amp;IF(OR(K1506="UNMAPPED",K1506="UNASSIGNED"),"Category needs review. ","")&amp;IF(P1506="UNMAPPED","Title not mapped. ","")&amp;IF(AND(P1506&lt;&gt;"No staff time",R1506=""),"Missing hours. ","")&amp;IF(M1506="","Date not readable. ","")&amp;IF(N1506="No","Outside fiscal year. ","")&amp;IF(AND(F1506="Event",ISNUMBER(R1506)),IF(R1506&gt;12,"Event hours look high. ",""),"")&amp;IF(G1506&gt;0,"See CONFIRM sheet.",""))</f>
        <v/>
      </c>
      <c r="AB1506" s="1" t="n">
        <f aca="false">IF(N1506="No",0,IF(REVIEW!O1506=0,0,IF(G1506&gt;0,IF(INDEX(CONFIRM!$J$5:$J$53,G1506)&lt;&gt;"",INDEX(CONFIRM!$J$5:$J$53,G1506),1),1)))</f>
        <v>1</v>
      </c>
      <c r="AC1506" s="1" t="n">
        <f aca="false">IF(AB1506=1,IF(COUNTIFS($B$5:B1506,B1506,$D$5:D1506,D1506,$AB$5:AB1506,1)=1,1,0),0)</f>
        <v>0</v>
      </c>
    </row>
    <row r="1507" customFormat="false" ht="15" hidden="false" customHeight="false" outlineLevel="0" collapsed="false">
      <c r="A1507" s="48" t="str">
        <f aca="false">STACK!A1507</f>
        <v>QHH-0126</v>
      </c>
      <c r="B1507" s="48" t="str">
        <f aca="false">STACK!B1507</f>
        <v>QHH</v>
      </c>
      <c r="C1507" s="48" t="str">
        <f aca="false">STACK!E1507</f>
        <v>Community Paramedicine</v>
      </c>
      <c r="D1507" s="1" t="str">
        <f aca="false">IFERROR(INDEX(MAP!$J$7:$J$101,MATCH(TRIM(C1507),MAP!$I$7:$I$101,0)),"UNMAPPED")</f>
        <v>Community Paramedic Home Visits</v>
      </c>
      <c r="E1507" s="1" t="str">
        <f aca="false">IFERROR(INDEX(MAP!$K$7:$K$101,MATCH(TRIM(C1507),MAP!$I$7:$I$101,0)),"")</f>
        <v>Access to care</v>
      </c>
      <c r="F1507" s="1" t="str">
        <f aca="false">IFERROR(INDEX(MAP!$L$7:$L$101,MATCH(TRIM(C1507),MAP!$I$7:$I$101,0)),"")</f>
        <v>Monthly</v>
      </c>
      <c r="G1507" s="1" t="n">
        <f aca="false">IFERROR(MATCH(A1507,CONFIRM!$A$5:$A$53,0),0)</f>
        <v>0</v>
      </c>
      <c r="H1507" s="48" t="str">
        <f aca="false">STACK!F1507</f>
        <v>CHIS - Clinical</v>
      </c>
      <c r="I1507" s="1" t="str">
        <f aca="false">IF(G1507&gt;0,IF(INDEX(CONFIRM!$I$5:$I$53,G1507)&lt;&gt;"",INDEX(CONFIRM!$I$5:$I$53,G1507),H1507),H1507)</f>
        <v>CHIS - Clinical</v>
      </c>
      <c r="J1507" s="1" t="str">
        <f aca="false">IFERROR(INDEX(MAP!$F$7:$F$74,MATCH(TRIM(I1507),MAP!$E$7:$E$74,0)),"UNMAPPED")</f>
        <v>Community-based clinical services</v>
      </c>
      <c r="K1507" s="1" t="str">
        <f aca="false">IFERROR(INDEX(MAP!$G$7:$G$74,MATCH(TRIM(I1507),MAP!$E$7:$E$74,0)),"UNMAPPED")</f>
        <v>7e</v>
      </c>
      <c r="L1507" s="49" t="str">
        <f aca="false">STACK!G1507</f>
        <v>31-Dec-2025</v>
      </c>
      <c r="M1507" s="59" t="n">
        <f aca="false">IF(G1507&gt;0,IF(INDEX(CONFIRM!$G$5:$G$53,G1507)&lt;&gt;"",INDEX(CONFIRM!$G$5:$G$53,G1507),IF(ISNUMBER(L1507),L1507,IFERROR(DATEVALUE(L1507),""))),IF(ISNUMBER(L1507),L1507,IFERROR(DATEVALUE(L1507),"")))</f>
        <v>46022</v>
      </c>
      <c r="N1507" s="1" t="str">
        <f aca="false">IF(M1507="","Check",IF(AND(M1507&gt;=INPUTS!$C$6,M1507&lt;=INPUTS!$C$7),"Yes","No"))</f>
        <v>Yes</v>
      </c>
      <c r="O1507" s="48" t="str">
        <f aca="false">STACK!H1507</f>
        <v>Paramedic</v>
      </c>
      <c r="P1507" s="1" t="str">
        <f aca="false">IF(G1507&gt;0,IF(INDEX(CONFIRM!$H$5:$H$53,G1507)&lt;&gt;"",INDEX(CONFIRM!$H$5:$H$53,G1507),IFERROR(INDEX(MAP!$B$7:$B$156,MATCH(TRIM(O1507),MAP!$A$7:$A$156,0)),"UNMAPPED")),IFERROR(INDEX(MAP!$B$7:$B$156,MATCH(TRIM(O1507),MAP!$A$7:$A$156,0)),"UNMAPPED"))</f>
        <v>Paramedic</v>
      </c>
      <c r="Q1507" s="48" t="n">
        <f aca="false">STACK!I1507</f>
        <v>63.75</v>
      </c>
      <c r="R1507" s="60" t="n">
        <f aca="false">IF(G1507&gt;0,IF(INDEX(CONFIRM!$F$5:$F$53,G1507)&lt;&gt;"",INDEX(CONFIRM!$F$5:$F$53,G1507),IF(ISNUMBER(Q1507),Q1507,IF(Q1507="","",IFERROR(VALUE(TRIM(SUBSTITUTE(SUBSTITUTE(LOWER(Q1507),"hrs",""),"hr",""))),"")))),IF(ISNUMBER(Q1507),Q1507,IF(Q1507="","",IFERROR(VALUE(TRIM(SUBSTITUTE(SUBSTITUTE(LOWER(Q1507),"hrs",""),"hr",""))),""))))</f>
        <v>63.75</v>
      </c>
      <c r="S1507" s="57" t="n">
        <f aca="false">IFERROR(INDEX(RATES!$E$6:$E$28,MATCH(P1507,RATES!$A$6:$A$28,0)),0)</f>
        <v>34.695</v>
      </c>
      <c r="T1507" s="61" t="n">
        <f aca="false">IF(ISNUMBER(R1507),R1507,0)*S1507</f>
        <v>2211.80625</v>
      </c>
      <c r="U1507" s="61" t="n">
        <f aca="false">T1507*INDEX(INPUTS!$H$10:$H$14,MATCH(B1507,INPUTS!$A$10:$A$14,0))</f>
        <v>333.98274375</v>
      </c>
      <c r="V1507" s="61" t="n">
        <f aca="false">N(STACK!K1507)</f>
        <v>460</v>
      </c>
      <c r="W1507" s="61" t="n">
        <f aca="false">T1507+U1507+V1507</f>
        <v>3005.78899375</v>
      </c>
      <c r="X1507" s="61" t="n">
        <f aca="false">N(STACK!L1507)</f>
        <v>0</v>
      </c>
      <c r="Y1507" s="61" t="n">
        <f aca="false">W1507-X1507</f>
        <v>3005.78899375</v>
      </c>
      <c r="Z1507" s="1" t="n">
        <f aca="false">N(STACK!J1507)</f>
        <v>53</v>
      </c>
      <c r="AA1507" s="1" t="str">
        <f aca="false">TRIM(IF(D1507="UNMAPPED","Program not mapped. ","")&amp;IF(OR(K1507="UNMAPPED",K1507="UNASSIGNED"),"Category needs review. ","")&amp;IF(P1507="UNMAPPED","Title not mapped. ","")&amp;IF(AND(P1507&lt;&gt;"No staff time",R1507=""),"Missing hours. ","")&amp;IF(M1507="","Date not readable. ","")&amp;IF(N1507="No","Outside fiscal year. ","")&amp;IF(AND(F1507="Event",ISNUMBER(R1507)),IF(R1507&gt;12,"Event hours look high. ",""),"")&amp;IF(G1507&gt;0,"See CONFIRM sheet.",""))</f>
        <v/>
      </c>
      <c r="AB1507" s="1" t="n">
        <f aca="false">IF(N1507="No",0,IF(REVIEW!O1507=0,0,IF(G1507&gt;0,IF(INDEX(CONFIRM!$J$5:$J$53,G1507)&lt;&gt;"",INDEX(CONFIRM!$J$5:$J$53,G1507),1),1)))</f>
        <v>1</v>
      </c>
      <c r="AC1507" s="1" t="n">
        <f aca="false">IF(AB1507=1,IF(COUNTIFS($B$5:B1507,B1507,$D$5:D1507,D1507,$AB$5:AB1507,1)=1,1,0),0)</f>
        <v>0</v>
      </c>
    </row>
    <row r="1508" customFormat="false" ht="15" hidden="false" customHeight="false" outlineLevel="0" collapsed="false">
      <c r="A1508" s="48" t="str">
        <f aca="false">STACK!A1508</f>
        <v>QHH-0127</v>
      </c>
      <c r="B1508" s="48" t="str">
        <f aca="false">STACK!B1508</f>
        <v>QHH</v>
      </c>
      <c r="C1508" s="48" t="str">
        <f aca="false">STACK!E1508</f>
        <v>Nursing Clinical Rotations</v>
      </c>
      <c r="D1508" s="1" t="str">
        <f aca="false">IFERROR(INDEX(MAP!$J$7:$J$101,MATCH(TRIM(C1508),MAP!$I$7:$I$101,0)),"UNMAPPED")</f>
        <v>Nursing Student Clinical Rotations</v>
      </c>
      <c r="E1508" s="1" t="str">
        <f aca="false">IFERROR(INDEX(MAP!$K$7:$K$101,MATCH(TRIM(C1508),MAP!$I$7:$I$101,0)),"")</f>
        <v>Health workforce</v>
      </c>
      <c r="F1508" s="1" t="str">
        <f aca="false">IFERROR(INDEX(MAP!$L$7:$L$101,MATCH(TRIM(C1508),MAP!$I$7:$I$101,0)),"")</f>
        <v>Monthly</v>
      </c>
      <c r="G1508" s="1" t="n">
        <f aca="false">IFERROR(MATCH(A1508,CONFIRM!$A$5:$A$53,0),0)</f>
        <v>0</v>
      </c>
      <c r="H1508" s="48" t="str">
        <f aca="false">STACK!F1508</f>
        <v>HPE - Students</v>
      </c>
      <c r="I1508" s="1" t="str">
        <f aca="false">IF(G1508&gt;0,IF(INDEX(CONFIRM!$I$5:$I$53,G1508)&lt;&gt;"",INDEX(CONFIRM!$I$5:$I$53,G1508),H1508),H1508)</f>
        <v>HPE - Students</v>
      </c>
      <c r="J1508" s="1" t="str">
        <f aca="false">IFERROR(INDEX(MAP!$F$7:$F$74,MATCH(TRIM(I1508),MAP!$E$7:$E$74,0)),"UNMAPPED")</f>
        <v>Health professions education</v>
      </c>
      <c r="K1508" s="1" t="str">
        <f aca="false">IFERROR(INDEX(MAP!$G$7:$G$74,MATCH(TRIM(I1508),MAP!$E$7:$E$74,0)),"UNMAPPED")</f>
        <v>7f</v>
      </c>
      <c r="L1508" s="49" t="str">
        <f aca="false">STACK!G1508</f>
        <v>31-Dec-2025</v>
      </c>
      <c r="M1508" s="59" t="n">
        <f aca="false">IF(G1508&gt;0,IF(INDEX(CONFIRM!$G$5:$G$53,G1508)&lt;&gt;"",INDEX(CONFIRM!$G$5:$G$53,G1508),IF(ISNUMBER(L1508),L1508,IFERROR(DATEVALUE(L1508),""))),IF(ISNUMBER(L1508),L1508,IFERROR(DATEVALUE(L1508),"")))</f>
        <v>46022</v>
      </c>
      <c r="N1508" s="1" t="str">
        <f aca="false">IF(M1508="","Check",IF(AND(M1508&gt;=INPUTS!$C$6,M1508&lt;=INPUTS!$C$7),"Yes","No"))</f>
        <v>Yes</v>
      </c>
      <c r="O1508" s="48" t="str">
        <f aca="false">STACK!H1508</f>
        <v>RN Educator</v>
      </c>
      <c r="P1508" s="1" t="str">
        <f aca="false">IF(G1508&gt;0,IF(INDEX(CONFIRM!$H$5:$H$53,G1508)&lt;&gt;"",INDEX(CONFIRM!$H$5:$H$53,G1508),IFERROR(INDEX(MAP!$B$7:$B$156,MATCH(TRIM(O1508),MAP!$A$7:$A$156,0)),"UNMAPPED")),IFERROR(INDEX(MAP!$B$7:$B$156,MATCH(TRIM(O1508),MAP!$A$7:$A$156,0)),"UNMAPPED"))</f>
        <v>Clinical Nurse Educator</v>
      </c>
      <c r="Q1508" s="48" t="n">
        <f aca="false">STACK!I1508</f>
        <v>50.25</v>
      </c>
      <c r="R1508" s="60" t="n">
        <f aca="false">IF(G1508&gt;0,IF(INDEX(CONFIRM!$F$5:$F$53,G1508)&lt;&gt;"",INDEX(CONFIRM!$F$5:$F$53,G1508),IF(ISNUMBER(Q1508),Q1508,IF(Q1508="","",IFERROR(VALUE(TRIM(SUBSTITUTE(SUBSTITUTE(LOWER(Q1508),"hrs",""),"hr",""))),"")))),IF(ISNUMBER(Q1508),Q1508,IF(Q1508="","",IFERROR(VALUE(TRIM(SUBSTITUTE(SUBSTITUTE(LOWER(Q1508),"hrs",""),"hr",""))),""))))</f>
        <v>50.25</v>
      </c>
      <c r="S1508" s="57" t="n">
        <f aca="false">IFERROR(INDEX(RATES!$E$6:$E$28,MATCH(P1508,RATES!$A$6:$A$28,0)),0)</f>
        <v>62.965</v>
      </c>
      <c r="T1508" s="61" t="n">
        <f aca="false">IF(ISNUMBER(R1508),R1508,0)*S1508</f>
        <v>3163.99125</v>
      </c>
      <c r="U1508" s="61" t="n">
        <f aca="false">T1508*INDEX(INPUTS!$H$10:$H$14,MATCH(B1508,INPUTS!$A$10:$A$14,0))</f>
        <v>477.76267875</v>
      </c>
      <c r="V1508" s="61" t="n">
        <f aca="false">N(STACK!K1508)</f>
        <v>285</v>
      </c>
      <c r="W1508" s="61" t="n">
        <f aca="false">T1508+U1508+V1508</f>
        <v>3926.75392875</v>
      </c>
      <c r="X1508" s="61" t="n">
        <f aca="false">N(STACK!L1508)</f>
        <v>0</v>
      </c>
      <c r="Y1508" s="61" t="n">
        <f aca="false">W1508-X1508</f>
        <v>3926.75392875</v>
      </c>
      <c r="Z1508" s="1" t="n">
        <f aca="false">N(STACK!J1508)</f>
        <v>12</v>
      </c>
      <c r="AA1508" s="1" t="str">
        <f aca="false">TRIM(IF(D1508="UNMAPPED","Program not mapped. ","")&amp;IF(OR(K1508="UNMAPPED",K1508="UNASSIGNED"),"Category needs review. ","")&amp;IF(P1508="UNMAPPED","Title not mapped. ","")&amp;IF(AND(P1508&lt;&gt;"No staff time",R1508=""),"Missing hours. ","")&amp;IF(M1508="","Date not readable. ","")&amp;IF(N1508="No","Outside fiscal year. ","")&amp;IF(AND(F1508="Event",ISNUMBER(R1508)),IF(R1508&gt;12,"Event hours look high. ",""),"")&amp;IF(G1508&gt;0,"See CONFIRM sheet.",""))</f>
        <v/>
      </c>
      <c r="AB1508" s="1" t="n">
        <f aca="false">IF(N1508="No",0,IF(REVIEW!O1508=0,0,IF(G1508&gt;0,IF(INDEX(CONFIRM!$J$5:$J$53,G1508)&lt;&gt;"",INDEX(CONFIRM!$J$5:$J$53,G1508),1),1)))</f>
        <v>1</v>
      </c>
      <c r="AC1508" s="1" t="n">
        <f aca="false">IF(AB1508=1,IF(COUNTIFS($B$5:B1508,B1508,$D$5:D1508,D1508,$AB$5:AB1508,1)=1,1,0),0)</f>
        <v>0</v>
      </c>
    </row>
    <row r="1509" customFormat="false" ht="15" hidden="false" customHeight="false" outlineLevel="0" collapsed="false">
      <c r="A1509" s="48" t="str">
        <f aca="false">STACK!A1509</f>
        <v>QHH-0128</v>
      </c>
      <c r="B1509" s="48" t="str">
        <f aca="false">STACK!B1509</f>
        <v>QHH</v>
      </c>
      <c r="C1509" s="48" t="str">
        <f aca="false">STACK!E1509</f>
        <v>Nursing Clinical Rotations</v>
      </c>
      <c r="D1509" s="1" t="str">
        <f aca="false">IFERROR(INDEX(MAP!$J$7:$J$101,MATCH(TRIM(C1509),MAP!$I$7:$I$101,0)),"UNMAPPED")</f>
        <v>Nursing Student Clinical Rotations</v>
      </c>
      <c r="E1509" s="1" t="str">
        <f aca="false">IFERROR(INDEX(MAP!$K$7:$K$101,MATCH(TRIM(C1509),MAP!$I$7:$I$101,0)),"")</f>
        <v>Health workforce</v>
      </c>
      <c r="F1509" s="1" t="str">
        <f aca="false">IFERROR(INDEX(MAP!$L$7:$L$101,MATCH(TRIM(C1509),MAP!$I$7:$I$101,0)),"")</f>
        <v>Monthly</v>
      </c>
      <c r="G1509" s="1" t="n">
        <f aca="false">IFERROR(MATCH(A1509,CONFIRM!$A$5:$A$53,0),0)</f>
        <v>0</v>
      </c>
      <c r="H1509" s="48" t="str">
        <f aca="false">STACK!F1509</f>
        <v>HPE - Students</v>
      </c>
      <c r="I1509" s="1" t="str">
        <f aca="false">IF(G1509&gt;0,IF(INDEX(CONFIRM!$I$5:$I$53,G1509)&lt;&gt;"",INDEX(CONFIRM!$I$5:$I$53,G1509),H1509),H1509)</f>
        <v>HPE - Students</v>
      </c>
      <c r="J1509" s="1" t="str">
        <f aca="false">IFERROR(INDEX(MAP!$F$7:$F$74,MATCH(TRIM(I1509),MAP!$E$7:$E$74,0)),"UNMAPPED")</f>
        <v>Health professions education</v>
      </c>
      <c r="K1509" s="1" t="str">
        <f aca="false">IFERROR(INDEX(MAP!$G$7:$G$74,MATCH(TRIM(I1509),MAP!$E$7:$E$74,0)),"UNMAPPED")</f>
        <v>7f</v>
      </c>
      <c r="L1509" s="49" t="str">
        <f aca="false">STACK!G1509</f>
        <v>31-Dec-2025</v>
      </c>
      <c r="M1509" s="59" t="n">
        <f aca="false">IF(G1509&gt;0,IF(INDEX(CONFIRM!$G$5:$G$53,G1509)&lt;&gt;"",INDEX(CONFIRM!$G$5:$G$53,G1509),IF(ISNUMBER(L1509),L1509,IFERROR(DATEVALUE(L1509),""))),IF(ISNUMBER(L1509),L1509,IFERROR(DATEVALUE(L1509),"")))</f>
        <v>46022</v>
      </c>
      <c r="N1509" s="1" t="str">
        <f aca="false">IF(M1509="","Check",IF(AND(M1509&gt;=INPUTS!$C$6,M1509&lt;=INPUTS!$C$7),"Yes","No"))</f>
        <v>Yes</v>
      </c>
      <c r="O1509" s="48" t="str">
        <f aca="false">STACK!H1509</f>
        <v>RN III</v>
      </c>
      <c r="P1509" s="1" t="str">
        <f aca="false">IF(G1509&gt;0,IF(INDEX(CONFIRM!$H$5:$H$53,G1509)&lt;&gt;"",INDEX(CONFIRM!$H$5:$H$53,G1509),IFERROR(INDEX(MAP!$B$7:$B$156,MATCH(TRIM(O1509),MAP!$A$7:$A$156,0)),"UNMAPPED")),IFERROR(INDEX(MAP!$B$7:$B$156,MATCH(TRIM(O1509),MAP!$A$7:$A$156,0)),"UNMAPPED"))</f>
        <v>Registered Nurse</v>
      </c>
      <c r="Q1509" s="48" t="n">
        <f aca="false">STACK!I1509</f>
        <v>58.75</v>
      </c>
      <c r="R1509" s="60" t="n">
        <f aca="false">IF(G1509&gt;0,IF(INDEX(CONFIRM!$F$5:$F$53,G1509)&lt;&gt;"",INDEX(CONFIRM!$F$5:$F$53,G1509),IF(ISNUMBER(Q1509),Q1509,IF(Q1509="","",IFERROR(VALUE(TRIM(SUBSTITUTE(SUBSTITUTE(LOWER(Q1509),"hrs",""),"hr",""))),"")))),IF(ISNUMBER(Q1509),Q1509,IF(Q1509="","",IFERROR(VALUE(TRIM(SUBSTITUTE(SUBSTITUTE(LOWER(Q1509),"hrs",""),"hr",""))),""))))</f>
        <v>58.75</v>
      </c>
      <c r="S1509" s="57" t="n">
        <f aca="false">IFERROR(INDEX(RATES!$E$6:$E$28,MATCH(P1509,RATES!$A$6:$A$28,0)),0)</f>
        <v>55.8975</v>
      </c>
      <c r="T1509" s="61" t="n">
        <f aca="false">IF(ISNUMBER(R1509),R1509,0)*S1509</f>
        <v>3283.978125</v>
      </c>
      <c r="U1509" s="61" t="n">
        <f aca="false">T1509*INDEX(INPUTS!$H$10:$H$14,MATCH(B1509,INPUTS!$A$10:$A$14,0))</f>
        <v>495.880696875</v>
      </c>
      <c r="V1509" s="61" t="n">
        <f aca="false">N(STACK!K1509)</f>
        <v>0</v>
      </c>
      <c r="W1509" s="61" t="n">
        <f aca="false">T1509+U1509+V1509</f>
        <v>3779.858821875</v>
      </c>
      <c r="X1509" s="61" t="n">
        <f aca="false">N(STACK!L1509)</f>
        <v>0</v>
      </c>
      <c r="Y1509" s="61" t="n">
        <f aca="false">W1509-X1509</f>
        <v>3779.858821875</v>
      </c>
      <c r="Z1509" s="1" t="n">
        <f aca="false">N(STACK!J1509)</f>
        <v>0</v>
      </c>
      <c r="AA1509" s="1" t="str">
        <f aca="false">TRIM(IF(D1509="UNMAPPED","Program not mapped. ","")&amp;IF(OR(K1509="UNMAPPED",K1509="UNASSIGNED"),"Category needs review. ","")&amp;IF(P1509="UNMAPPED","Title not mapped. ","")&amp;IF(AND(P1509&lt;&gt;"No staff time",R1509=""),"Missing hours. ","")&amp;IF(M1509="","Date not readable. ","")&amp;IF(N1509="No","Outside fiscal year. ","")&amp;IF(AND(F1509="Event",ISNUMBER(R1509)),IF(R1509&gt;12,"Event hours look high. ",""),"")&amp;IF(G1509&gt;0,"See CONFIRM sheet.",""))</f>
        <v/>
      </c>
      <c r="AB1509" s="1" t="n">
        <f aca="false">IF(N1509="No",0,IF(REVIEW!O1509=0,0,IF(G1509&gt;0,IF(INDEX(CONFIRM!$J$5:$J$53,G1509)&lt;&gt;"",INDEX(CONFIRM!$J$5:$J$53,G1509),1),1)))</f>
        <v>1</v>
      </c>
      <c r="AC1509" s="1" t="n">
        <f aca="false">IF(AB1509=1,IF(COUNTIFS($B$5:B1509,B1509,$D$5:D1509,D1509,$AB$5:AB1509,1)=1,1,0),0)</f>
        <v>0</v>
      </c>
    </row>
    <row r="1510" customFormat="false" ht="15" hidden="false" customHeight="false" outlineLevel="0" collapsed="false">
      <c r="A1510" s="48" t="str">
        <f aca="false">STACK!A1510</f>
        <v>QHH-0129</v>
      </c>
      <c r="B1510" s="48" t="str">
        <f aca="false">STACK!B1510</f>
        <v>QHH</v>
      </c>
      <c r="C1510" s="48" t="str">
        <f aca="false">STACK!E1510</f>
        <v>Car Seat Safety</v>
      </c>
      <c r="D1510" s="1" t="str">
        <f aca="false">IFERROR(INDEX(MAP!$J$7:$J$101,MATCH(TRIM(C1510),MAP!$I$7:$I$101,0)),"UNMAPPED")</f>
        <v>Car Seat Safety Checks</v>
      </c>
      <c r="E1510" s="1" t="str">
        <f aca="false">IFERROR(INDEX(MAP!$K$7:$K$101,MATCH(TRIM(C1510),MAP!$I$7:$I$101,0)),"")</f>
        <v>Maternal and child health</v>
      </c>
      <c r="F1510" s="1" t="str">
        <f aca="false">IFERROR(INDEX(MAP!$L$7:$L$101,MATCH(TRIM(C1510),MAP!$I$7:$I$101,0)),"")</f>
        <v>Event</v>
      </c>
      <c r="G1510" s="1" t="n">
        <f aca="false">IFERROR(MATCH(A1510,CONFIRM!$A$5:$A$53,0),0)</f>
        <v>0</v>
      </c>
      <c r="H1510" s="48" t="str">
        <f aca="false">STACK!F1510</f>
        <v>CHIS - Education</v>
      </c>
      <c r="I1510" s="1" t="str">
        <f aca="false">IF(G1510&gt;0,IF(INDEX(CONFIRM!$I$5:$I$53,G1510)&lt;&gt;"",INDEX(CONFIRM!$I$5:$I$53,G1510),H1510),H1510)</f>
        <v>CHIS - Education</v>
      </c>
      <c r="J1510" s="1" t="str">
        <f aca="false">IFERROR(INDEX(MAP!$F$7:$F$74,MATCH(TRIM(I1510),MAP!$E$7:$E$74,0)),"UNMAPPED")</f>
        <v>Community health education</v>
      </c>
      <c r="K1510" s="1" t="str">
        <f aca="false">IFERROR(INDEX(MAP!$G$7:$G$74,MATCH(TRIM(I1510),MAP!$E$7:$E$74,0)),"UNMAPPED")</f>
        <v>7e</v>
      </c>
      <c r="L1510" s="49" t="str">
        <f aca="false">STACK!G1510</f>
        <v>03-Jan-2026</v>
      </c>
      <c r="M1510" s="59" t="n">
        <f aca="false">IF(G1510&gt;0,IF(INDEX(CONFIRM!$G$5:$G$53,G1510)&lt;&gt;"",INDEX(CONFIRM!$G$5:$G$53,G1510),IF(ISNUMBER(L1510),L1510,IFERROR(DATEVALUE(L1510),""))),IF(ISNUMBER(L1510),L1510,IFERROR(DATEVALUE(L1510),"")))</f>
        <v>46025</v>
      </c>
      <c r="N1510" s="1" t="str">
        <f aca="false">IF(M1510="","Check",IF(AND(M1510&gt;=INPUTS!$C$6,M1510&lt;=INPUTS!$C$7),"Yes","No"))</f>
        <v>Yes</v>
      </c>
      <c r="O1510" s="48" t="str">
        <f aca="false">STACK!H1510</f>
        <v>EMT-P</v>
      </c>
      <c r="P1510" s="1" t="str">
        <f aca="false">IF(G1510&gt;0,IF(INDEX(CONFIRM!$H$5:$H$53,G1510)&lt;&gt;"",INDEX(CONFIRM!$H$5:$H$53,G1510),IFERROR(INDEX(MAP!$B$7:$B$156,MATCH(TRIM(O1510),MAP!$A$7:$A$156,0)),"UNMAPPED")),IFERROR(INDEX(MAP!$B$7:$B$156,MATCH(TRIM(O1510),MAP!$A$7:$A$156,0)),"UNMAPPED"))</f>
        <v>Paramedic</v>
      </c>
      <c r="Q1510" s="48" t="n">
        <f aca="false">STACK!I1510</f>
        <v>3</v>
      </c>
      <c r="R1510" s="60" t="n">
        <f aca="false">IF(G1510&gt;0,IF(INDEX(CONFIRM!$F$5:$F$53,G1510)&lt;&gt;"",INDEX(CONFIRM!$F$5:$F$53,G1510),IF(ISNUMBER(Q1510),Q1510,IF(Q1510="","",IFERROR(VALUE(TRIM(SUBSTITUTE(SUBSTITUTE(LOWER(Q1510),"hrs",""),"hr",""))),"")))),IF(ISNUMBER(Q1510),Q1510,IF(Q1510="","",IFERROR(VALUE(TRIM(SUBSTITUTE(SUBSTITUTE(LOWER(Q1510),"hrs",""),"hr",""))),""))))</f>
        <v>3</v>
      </c>
      <c r="S1510" s="57" t="n">
        <f aca="false">IFERROR(INDEX(RATES!$E$6:$E$28,MATCH(P1510,RATES!$A$6:$A$28,0)),0)</f>
        <v>34.695</v>
      </c>
      <c r="T1510" s="61" t="n">
        <f aca="false">IF(ISNUMBER(R1510),R1510,0)*S1510</f>
        <v>104.085</v>
      </c>
      <c r="U1510" s="61" t="n">
        <f aca="false">T1510*INDEX(INPUTS!$H$10:$H$14,MATCH(B1510,INPUTS!$A$10:$A$14,0))</f>
        <v>15.716835</v>
      </c>
      <c r="V1510" s="61" t="n">
        <f aca="false">N(STACK!K1510)</f>
        <v>570</v>
      </c>
      <c r="W1510" s="61" t="n">
        <f aca="false">T1510+U1510+V1510</f>
        <v>689.801835</v>
      </c>
      <c r="X1510" s="61" t="n">
        <f aca="false">N(STACK!L1510)</f>
        <v>120</v>
      </c>
      <c r="Y1510" s="61" t="n">
        <f aca="false">W1510-X1510</f>
        <v>569.801835</v>
      </c>
      <c r="Z1510" s="1" t="n">
        <f aca="false">N(STACK!J1510)</f>
        <v>32</v>
      </c>
      <c r="AA1510" s="1" t="str">
        <f aca="false">TRIM(IF(D1510="UNMAPPED","Program not mapped. ","")&amp;IF(OR(K1510="UNMAPPED",K1510="UNASSIGNED"),"Category needs review. ","")&amp;IF(P1510="UNMAPPED","Title not mapped. ","")&amp;IF(AND(P1510&lt;&gt;"No staff time",R1510=""),"Missing hours. ","")&amp;IF(M1510="","Date not readable. ","")&amp;IF(N1510="No","Outside fiscal year. ","")&amp;IF(AND(F1510="Event",ISNUMBER(R1510)),IF(R1510&gt;12,"Event hours look high. ",""),"")&amp;IF(G1510&gt;0,"See CONFIRM sheet.",""))</f>
        <v/>
      </c>
      <c r="AB1510" s="1" t="n">
        <f aca="false">IF(N1510="No",0,IF(REVIEW!O1510=0,0,IF(G1510&gt;0,IF(INDEX(CONFIRM!$J$5:$J$53,G1510)&lt;&gt;"",INDEX(CONFIRM!$J$5:$J$53,G1510),1),1)))</f>
        <v>1</v>
      </c>
      <c r="AC1510" s="1" t="n">
        <f aca="false">IF(AB1510=1,IF(COUNTIFS($B$5:B1510,B1510,$D$5:D1510,D1510,$AB$5:AB1510,1)=1,1,0),0)</f>
        <v>0</v>
      </c>
    </row>
    <row r="1511" customFormat="false" ht="15" hidden="false" customHeight="false" outlineLevel="0" collapsed="false">
      <c r="A1511" s="48" t="str">
        <f aca="false">STACK!A1511</f>
        <v>QHH-0130</v>
      </c>
      <c r="B1511" s="48" t="str">
        <f aca="false">STACK!B1511</f>
        <v>QHH</v>
      </c>
      <c r="C1511" s="48" t="str">
        <f aca="false">STACK!E1511</f>
        <v>Car Seat Safety</v>
      </c>
      <c r="D1511" s="1" t="str">
        <f aca="false">IFERROR(INDEX(MAP!$J$7:$J$101,MATCH(TRIM(C1511),MAP!$I$7:$I$101,0)),"UNMAPPED")</f>
        <v>Car Seat Safety Checks</v>
      </c>
      <c r="E1511" s="1" t="str">
        <f aca="false">IFERROR(INDEX(MAP!$K$7:$K$101,MATCH(TRIM(C1511),MAP!$I$7:$I$101,0)),"")</f>
        <v>Maternal and child health</v>
      </c>
      <c r="F1511" s="1" t="str">
        <f aca="false">IFERROR(INDEX(MAP!$L$7:$L$101,MATCH(TRIM(C1511),MAP!$I$7:$I$101,0)),"")</f>
        <v>Event</v>
      </c>
      <c r="G1511" s="1" t="n">
        <f aca="false">IFERROR(MATCH(A1511,CONFIRM!$A$5:$A$53,0),0)</f>
        <v>0</v>
      </c>
      <c r="H1511" s="48" t="str">
        <f aca="false">STACK!F1511</f>
        <v>CHIS - Education</v>
      </c>
      <c r="I1511" s="1" t="str">
        <f aca="false">IF(G1511&gt;0,IF(INDEX(CONFIRM!$I$5:$I$53,G1511)&lt;&gt;"",INDEX(CONFIRM!$I$5:$I$53,G1511),H1511),H1511)</f>
        <v>CHIS - Education</v>
      </c>
      <c r="J1511" s="1" t="str">
        <f aca="false">IFERROR(INDEX(MAP!$F$7:$F$74,MATCH(TRIM(I1511),MAP!$E$7:$E$74,0)),"UNMAPPED")</f>
        <v>Community health education</v>
      </c>
      <c r="K1511" s="1" t="str">
        <f aca="false">IFERROR(INDEX(MAP!$G$7:$G$74,MATCH(TRIM(I1511),MAP!$E$7:$E$74,0)),"UNMAPPED")</f>
        <v>7e</v>
      </c>
      <c r="L1511" s="49" t="str">
        <f aca="false">STACK!G1511</f>
        <v>03-Jan-2026</v>
      </c>
      <c r="M1511" s="59" t="n">
        <f aca="false">IF(G1511&gt;0,IF(INDEX(CONFIRM!$G$5:$G$53,G1511)&lt;&gt;"",INDEX(CONFIRM!$G$5:$G$53,G1511),IF(ISNUMBER(L1511),L1511,IFERROR(DATEVALUE(L1511),""))),IF(ISNUMBER(L1511),L1511,IFERROR(DATEVALUE(L1511),"")))</f>
        <v>46025</v>
      </c>
      <c r="N1511" s="1" t="str">
        <f aca="false">IF(M1511="","Check",IF(AND(M1511&gt;=INPUTS!$C$6,M1511&lt;=INPUTS!$C$7),"Yes","No"))</f>
        <v>Yes</v>
      </c>
      <c r="O1511" s="48" t="str">
        <f aca="false">STACK!H1511</f>
        <v> R.N.</v>
      </c>
      <c r="P1511" s="1" t="str">
        <f aca="false">IF(G1511&gt;0,IF(INDEX(CONFIRM!$H$5:$H$53,G1511)&lt;&gt;"",INDEX(CONFIRM!$H$5:$H$53,G1511),IFERROR(INDEX(MAP!$B$7:$B$156,MATCH(TRIM(O1511),MAP!$A$7:$A$156,0)),"UNMAPPED")),IFERROR(INDEX(MAP!$B$7:$B$156,MATCH(TRIM(O1511),MAP!$A$7:$A$156,0)),"UNMAPPED"))</f>
        <v>Registered Nurse</v>
      </c>
      <c r="Q1511" s="48" t="n">
        <f aca="false">STACK!I1511</f>
        <v>4</v>
      </c>
      <c r="R1511" s="60" t="n">
        <f aca="false">IF(G1511&gt;0,IF(INDEX(CONFIRM!$F$5:$F$53,G1511)&lt;&gt;"",INDEX(CONFIRM!$F$5:$F$53,G1511),IF(ISNUMBER(Q1511),Q1511,IF(Q1511="","",IFERROR(VALUE(TRIM(SUBSTITUTE(SUBSTITUTE(LOWER(Q1511),"hrs",""),"hr",""))),"")))),IF(ISNUMBER(Q1511),Q1511,IF(Q1511="","",IFERROR(VALUE(TRIM(SUBSTITUTE(SUBSTITUTE(LOWER(Q1511),"hrs",""),"hr",""))),""))))</f>
        <v>4</v>
      </c>
      <c r="S1511" s="57" t="n">
        <f aca="false">IFERROR(INDEX(RATES!$E$6:$E$28,MATCH(P1511,RATES!$A$6:$A$28,0)),0)</f>
        <v>55.8975</v>
      </c>
      <c r="T1511" s="61" t="n">
        <f aca="false">IF(ISNUMBER(R1511),R1511,0)*S1511</f>
        <v>223.59</v>
      </c>
      <c r="U1511" s="61" t="n">
        <f aca="false">T1511*INDEX(INPUTS!$H$10:$H$14,MATCH(B1511,INPUTS!$A$10:$A$14,0))</f>
        <v>33.76209</v>
      </c>
      <c r="V1511" s="61" t="n">
        <f aca="false">N(STACK!K1511)</f>
        <v>0</v>
      </c>
      <c r="W1511" s="61" t="n">
        <f aca="false">T1511+U1511+V1511</f>
        <v>257.35209</v>
      </c>
      <c r="X1511" s="61" t="n">
        <f aca="false">N(STACK!L1511)</f>
        <v>0</v>
      </c>
      <c r="Y1511" s="61" t="n">
        <f aca="false">W1511-X1511</f>
        <v>257.35209</v>
      </c>
      <c r="Z1511" s="1" t="n">
        <f aca="false">N(STACK!J1511)</f>
        <v>0</v>
      </c>
      <c r="AA1511" s="1" t="str">
        <f aca="false">TRIM(IF(D1511="UNMAPPED","Program not mapped. ","")&amp;IF(OR(K1511="UNMAPPED",K1511="UNASSIGNED"),"Category needs review. ","")&amp;IF(P1511="UNMAPPED","Title not mapped. ","")&amp;IF(AND(P1511&lt;&gt;"No staff time",R1511=""),"Missing hours. ","")&amp;IF(M1511="","Date not readable. ","")&amp;IF(N1511="No","Outside fiscal year. ","")&amp;IF(AND(F1511="Event",ISNUMBER(R1511)),IF(R1511&gt;12,"Event hours look high. ",""),"")&amp;IF(G1511&gt;0,"See CONFIRM sheet.",""))</f>
        <v/>
      </c>
      <c r="AB1511" s="1" t="n">
        <f aca="false">IF(N1511="No",0,IF(REVIEW!O1511=0,0,IF(G1511&gt;0,IF(INDEX(CONFIRM!$J$5:$J$53,G1511)&lt;&gt;"",INDEX(CONFIRM!$J$5:$J$53,G1511),1),1)))</f>
        <v>1</v>
      </c>
      <c r="AC1511" s="1" t="n">
        <f aca="false">IF(AB1511=1,IF(COUNTIFS($B$5:B1511,B1511,$D$5:D1511,D1511,$AB$5:AB1511,1)=1,1,0),0)</f>
        <v>0</v>
      </c>
    </row>
    <row r="1512" customFormat="false" ht="15" hidden="false" customHeight="false" outlineLevel="0" collapsed="false">
      <c r="A1512" s="48" t="str">
        <f aca="false">STACK!A1512</f>
        <v>QHH-0131</v>
      </c>
      <c r="B1512" s="48" t="str">
        <f aca="false">STACK!B1512</f>
        <v>QHH</v>
      </c>
      <c r="C1512" s="48" t="str">
        <f aca="false">STACK!E1512</f>
        <v>Fall Prevention Class</v>
      </c>
      <c r="D1512" s="1" t="str">
        <f aca="false">IFERROR(INDEX(MAP!$J$7:$J$101,MATCH(TRIM(C1512),MAP!$I$7:$I$101,0)),"UNMAPPED")</f>
        <v>Fall Prevention Classes for Older Adults</v>
      </c>
      <c r="E1512" s="1" t="str">
        <f aca="false">IFERROR(INDEX(MAP!$K$7:$K$101,MATCH(TRIM(C1512),MAP!$I$7:$I$101,0)),"")</f>
        <v>Chronic disease prevention</v>
      </c>
      <c r="F1512" s="1" t="str">
        <f aca="false">IFERROR(INDEX(MAP!$L$7:$L$101,MATCH(TRIM(C1512),MAP!$I$7:$I$101,0)),"")</f>
        <v>Event</v>
      </c>
      <c r="G1512" s="1" t="n">
        <f aca="false">IFERROR(MATCH(A1512,CONFIRM!$A$5:$A$53,0),0)</f>
        <v>0</v>
      </c>
      <c r="H1512" s="48" t="str">
        <f aca="false">STACK!F1512</f>
        <v>CHIS - Education</v>
      </c>
      <c r="I1512" s="1" t="str">
        <f aca="false">IF(G1512&gt;0,IF(INDEX(CONFIRM!$I$5:$I$53,G1512)&lt;&gt;"",INDEX(CONFIRM!$I$5:$I$53,G1512),H1512),H1512)</f>
        <v>CHIS - Education</v>
      </c>
      <c r="J1512" s="1" t="str">
        <f aca="false">IFERROR(INDEX(MAP!$F$7:$F$74,MATCH(TRIM(I1512),MAP!$E$7:$E$74,0)),"UNMAPPED")</f>
        <v>Community health education</v>
      </c>
      <c r="K1512" s="1" t="str">
        <f aca="false">IFERROR(INDEX(MAP!$G$7:$G$74,MATCH(TRIM(I1512),MAP!$E$7:$E$74,0)),"UNMAPPED")</f>
        <v>7e</v>
      </c>
      <c r="L1512" s="49" t="str">
        <f aca="false">STACK!G1512</f>
        <v>10-Jan-2026</v>
      </c>
      <c r="M1512" s="59" t="n">
        <f aca="false">IF(G1512&gt;0,IF(INDEX(CONFIRM!$G$5:$G$53,G1512)&lt;&gt;"",INDEX(CONFIRM!$G$5:$G$53,G1512),IF(ISNUMBER(L1512),L1512,IFERROR(DATEVALUE(L1512),""))),IF(ISNUMBER(L1512),L1512,IFERROR(DATEVALUE(L1512),"")))</f>
        <v>46032</v>
      </c>
      <c r="N1512" s="1" t="str">
        <f aca="false">IF(M1512="","Check",IF(AND(M1512&gt;=INPUTS!$C$6,M1512&lt;=INPUTS!$C$7),"Yes","No"))</f>
        <v>Yes</v>
      </c>
      <c r="O1512" s="48" t="str">
        <f aca="false">STACK!H1512</f>
        <v>Phys Therapist</v>
      </c>
      <c r="P1512" s="1" t="str">
        <f aca="false">IF(G1512&gt;0,IF(INDEX(CONFIRM!$H$5:$H$53,G1512)&lt;&gt;"",INDEX(CONFIRM!$H$5:$H$53,G1512),IFERROR(INDEX(MAP!$B$7:$B$156,MATCH(TRIM(O1512),MAP!$A$7:$A$156,0)),"UNMAPPED")),IFERROR(INDEX(MAP!$B$7:$B$156,MATCH(TRIM(O1512),MAP!$A$7:$A$156,0)),"UNMAPPED"))</f>
        <v>Licensed Therapist</v>
      </c>
      <c r="Q1512" s="48" t="n">
        <f aca="false">STACK!I1512</f>
        <v>2.25</v>
      </c>
      <c r="R1512" s="60" t="n">
        <f aca="false">IF(G1512&gt;0,IF(INDEX(CONFIRM!$F$5:$F$53,G1512)&lt;&gt;"",INDEX(CONFIRM!$F$5:$F$53,G1512),IF(ISNUMBER(Q1512),Q1512,IF(Q1512="","",IFERROR(VALUE(TRIM(SUBSTITUTE(SUBSTITUTE(LOWER(Q1512),"hrs",""),"hr",""))),"")))),IF(ISNUMBER(Q1512),Q1512,IF(Q1512="","",IFERROR(VALUE(TRIM(SUBSTITUTE(SUBSTITUTE(LOWER(Q1512),"hrs",""),"hr",""))),""))))</f>
        <v>2.25</v>
      </c>
      <c r="S1512" s="57" t="n">
        <f aca="false">IFERROR(INDEX(RATES!$E$6:$E$28,MATCH(P1512,RATES!$A$6:$A$28,0)),0)</f>
        <v>53.97</v>
      </c>
      <c r="T1512" s="61" t="n">
        <f aca="false">IF(ISNUMBER(R1512),R1512,0)*S1512</f>
        <v>121.4325</v>
      </c>
      <c r="U1512" s="61" t="n">
        <f aca="false">T1512*INDEX(INPUTS!$H$10:$H$14,MATCH(B1512,INPUTS!$A$10:$A$14,0))</f>
        <v>18.3363075</v>
      </c>
      <c r="V1512" s="61" t="n">
        <f aca="false">N(STACK!K1512)</f>
        <v>85</v>
      </c>
      <c r="W1512" s="61" t="n">
        <f aca="false">T1512+U1512+V1512</f>
        <v>224.7688075</v>
      </c>
      <c r="X1512" s="61" t="n">
        <f aca="false">N(STACK!L1512)</f>
        <v>0</v>
      </c>
      <c r="Y1512" s="61" t="n">
        <f aca="false">W1512-X1512</f>
        <v>224.7688075</v>
      </c>
      <c r="Z1512" s="1" t="n">
        <f aca="false">N(STACK!J1512)</f>
        <v>13</v>
      </c>
      <c r="AA1512" s="1" t="str">
        <f aca="false">TRIM(IF(D1512="UNMAPPED","Program not mapped. ","")&amp;IF(OR(K1512="UNMAPPED",K1512="UNASSIGNED"),"Category needs review. ","")&amp;IF(P1512="UNMAPPED","Title not mapped. ","")&amp;IF(AND(P1512&lt;&gt;"No staff time",R1512=""),"Missing hours. ","")&amp;IF(M1512="","Date not readable. ","")&amp;IF(N1512="No","Outside fiscal year. ","")&amp;IF(AND(F1512="Event",ISNUMBER(R1512)),IF(R1512&gt;12,"Event hours look high. ",""),"")&amp;IF(G1512&gt;0,"See CONFIRM sheet.",""))</f>
        <v/>
      </c>
      <c r="AB1512" s="1" t="n">
        <f aca="false">IF(N1512="No",0,IF(REVIEW!O1512=0,0,IF(G1512&gt;0,IF(INDEX(CONFIRM!$J$5:$J$53,G1512)&lt;&gt;"",INDEX(CONFIRM!$J$5:$J$53,G1512),1),1)))</f>
        <v>1</v>
      </c>
      <c r="AC1512" s="1" t="n">
        <f aca="false">IF(AB1512=1,IF(COUNTIFS($B$5:B1512,B1512,$D$5:D1512,D1512,$AB$5:AB1512,1)=1,1,0),0)</f>
        <v>0</v>
      </c>
    </row>
    <row r="1513" customFormat="false" ht="15" hidden="false" customHeight="false" outlineLevel="0" collapsed="false">
      <c r="A1513" s="48" t="str">
        <f aca="false">STACK!A1513</f>
        <v>QHH-0132</v>
      </c>
      <c r="B1513" s="48" t="str">
        <f aca="false">STACK!B1513</f>
        <v>QHH</v>
      </c>
      <c r="C1513" s="48" t="str">
        <f aca="false">STACK!E1513</f>
        <v>Grief Support Group</v>
      </c>
      <c r="D1513" s="1" t="str">
        <f aca="false">IFERROR(INDEX(MAP!$J$7:$J$101,MATCH(TRIM(C1513),MAP!$I$7:$I$101,0)),"UNMAPPED")</f>
        <v>Grief Support Group</v>
      </c>
      <c r="E1513" s="1" t="str">
        <f aca="false">IFERROR(INDEX(MAP!$K$7:$K$101,MATCH(TRIM(C1513),MAP!$I$7:$I$101,0)),"")</f>
        <v>Behavioral health</v>
      </c>
      <c r="F1513" s="1" t="str">
        <f aca="false">IFERROR(INDEX(MAP!$L$7:$L$101,MATCH(TRIM(C1513),MAP!$I$7:$I$101,0)),"")</f>
        <v>Event</v>
      </c>
      <c r="G1513" s="1" t="n">
        <f aca="false">IFERROR(MATCH(A1513,CONFIRM!$A$5:$A$53,0),0)</f>
        <v>46</v>
      </c>
      <c r="H1513" s="48" t="str">
        <f aca="false">STACK!F1513</f>
        <v>CHIS - Support</v>
      </c>
      <c r="I1513" s="1" t="str">
        <f aca="false">IF(G1513&gt;0,IF(INDEX(CONFIRM!$I$5:$I$53,G1513)&lt;&gt;"",INDEX(CONFIRM!$I$5:$I$53,G1513),H1513),H1513)</f>
        <v>CHIS - Support</v>
      </c>
      <c r="J1513" s="1" t="str">
        <f aca="false">IFERROR(INDEX(MAP!$F$7:$F$74,MATCH(TRIM(I1513),MAP!$E$7:$E$74,0)),"UNMAPPED")</f>
        <v>Health care support services</v>
      </c>
      <c r="K1513" s="1" t="str">
        <f aca="false">IFERROR(INDEX(MAP!$G$7:$G$74,MATCH(TRIM(I1513),MAP!$E$7:$E$74,0)),"UNMAPPED")</f>
        <v>7e</v>
      </c>
      <c r="L1513" s="49" t="str">
        <f aca="false">STACK!G1513</f>
        <v>16-Jan-2026</v>
      </c>
      <c r="M1513" s="59" t="n">
        <f aca="false">IF(G1513&gt;0,IF(INDEX(CONFIRM!$G$5:$G$53,G1513)&lt;&gt;"",INDEX(CONFIRM!$G$5:$G$53,G1513),IF(ISNUMBER(L1513),L1513,IFERROR(DATEVALUE(L1513),""))),IF(ISNUMBER(L1513),L1513,IFERROR(DATEVALUE(L1513),"")))</f>
        <v>46038</v>
      </c>
      <c r="N1513" s="1" t="str">
        <f aca="false">IF(M1513="","Check",IF(AND(M1513&gt;=INPUTS!$C$6,M1513&lt;=INPUTS!$C$7),"Yes","No"))</f>
        <v>Yes</v>
      </c>
      <c r="O1513" s="48" t="str">
        <f aca="false">STACK!H1513</f>
        <v>Chaplain Resident</v>
      </c>
      <c r="P1513" s="1" t="str">
        <f aca="false">IF(G1513&gt;0,IF(INDEX(CONFIRM!$H$5:$H$53,G1513)&lt;&gt;"",INDEX(CONFIRM!$H$5:$H$53,G1513),IFERROR(INDEX(MAP!$B$7:$B$156,MATCH(TRIM(O1513),MAP!$A$7:$A$156,0)),"UNMAPPED")),IFERROR(INDEX(MAP!$B$7:$B$156,MATCH(TRIM(O1513),MAP!$A$7:$A$156,0)),"UNMAPPED"))</f>
        <v>Chaplain</v>
      </c>
      <c r="Q1513" s="48" t="str">
        <f aca="false">STACK!I1513</f>
        <v/>
      </c>
      <c r="R1513" s="60" t="str">
        <f aca="false">IF(G1513&gt;0,IF(INDEX(CONFIRM!$F$5:$F$53,G1513)&lt;&gt;"",INDEX(CONFIRM!$F$5:$F$53,G1513),IF(ISNUMBER(Q1513),Q1513,IF(Q1513="","",IFERROR(VALUE(TRIM(SUBSTITUTE(SUBSTITUTE(LOWER(Q1513),"hrs",""),"hr",""))),"")))),IF(ISNUMBER(Q1513),Q1513,IF(Q1513="","",IFERROR(VALUE(TRIM(SUBSTITUTE(SUBSTITUTE(LOWER(Q1513),"hrs",""),"hr",""))),""))))</f>
        <v/>
      </c>
      <c r="S1513" s="57" t="n">
        <f aca="false">IFERROR(INDEX(RATES!$E$6:$E$28,MATCH(P1513,RATES!$A$6:$A$28,0)),0)</f>
        <v>39.835</v>
      </c>
      <c r="T1513" s="61" t="n">
        <f aca="false">IF(ISNUMBER(R1513),R1513,0)*S1513</f>
        <v>0</v>
      </c>
      <c r="U1513" s="61" t="n">
        <f aca="false">T1513*INDEX(INPUTS!$H$10:$H$14,MATCH(B1513,INPUTS!$A$10:$A$14,0))</f>
        <v>0</v>
      </c>
      <c r="V1513" s="61" t="n">
        <f aca="false">N(STACK!K1513)</f>
        <v>40</v>
      </c>
      <c r="W1513" s="61" t="n">
        <f aca="false">T1513+U1513+V1513</f>
        <v>40</v>
      </c>
      <c r="X1513" s="61" t="n">
        <f aca="false">N(STACK!L1513)</f>
        <v>0</v>
      </c>
      <c r="Y1513" s="61" t="n">
        <f aca="false">W1513-X1513</f>
        <v>40</v>
      </c>
      <c r="Z1513" s="1" t="n">
        <f aca="false">N(STACK!J1513)</f>
        <v>9</v>
      </c>
      <c r="AA1513" s="1" t="str">
        <f aca="false">TRIM(IF(D1513="UNMAPPED","Program not mapped. ","")&amp;IF(OR(K1513="UNMAPPED",K1513="UNASSIGNED"),"Category needs review. ","")&amp;IF(P1513="UNMAPPED","Title not mapped. ","")&amp;IF(AND(P1513&lt;&gt;"No staff time",R1513=""),"Missing hours. ","")&amp;IF(M1513="","Date not readable. ","")&amp;IF(N1513="No","Outside fiscal year. ","")&amp;IF(AND(F1513="Event",ISNUMBER(R1513)),IF(R1513&gt;12,"Event hours look high. ",""),"")&amp;IF(G1513&gt;0,"See CONFIRM sheet.",""))</f>
        <v>Missing hours. See CONFIRM sheet.</v>
      </c>
      <c r="AB1513" s="1" t="n">
        <f aca="false">IF(N1513="No",0,IF(REVIEW!O1513=0,0,IF(G1513&gt;0,IF(INDEX(CONFIRM!$J$5:$J$53,G1513)&lt;&gt;"",INDEX(CONFIRM!$J$5:$J$53,G1513),1),1)))</f>
        <v>0</v>
      </c>
      <c r="AC1513" s="1" t="n">
        <f aca="false">IF(AB1513=1,IF(COUNTIFS($B$5:B1513,B1513,$D$5:D1513,D1513,$AB$5:AB1513,1)=1,1,0),0)</f>
        <v>0</v>
      </c>
    </row>
    <row r="1514" customFormat="false" ht="15" hidden="false" customHeight="false" outlineLevel="0" collapsed="false">
      <c r="A1514" s="48" t="str">
        <f aca="false">STACK!A1514</f>
        <v>QHH-0133</v>
      </c>
      <c r="B1514" s="48" t="str">
        <f aca="false">STACK!B1514</f>
        <v>QHH</v>
      </c>
      <c r="C1514" s="48" t="str">
        <f aca="false">STACK!E1514</f>
        <v>Grief Support Group</v>
      </c>
      <c r="D1514" s="1" t="str">
        <f aca="false">IFERROR(INDEX(MAP!$J$7:$J$101,MATCH(TRIM(C1514),MAP!$I$7:$I$101,0)),"UNMAPPED")</f>
        <v>Grief Support Group</v>
      </c>
      <c r="E1514" s="1" t="str">
        <f aca="false">IFERROR(INDEX(MAP!$K$7:$K$101,MATCH(TRIM(C1514),MAP!$I$7:$I$101,0)),"")</f>
        <v>Behavioral health</v>
      </c>
      <c r="F1514" s="1" t="str">
        <f aca="false">IFERROR(INDEX(MAP!$L$7:$L$101,MATCH(TRIM(C1514),MAP!$I$7:$I$101,0)),"")</f>
        <v>Event</v>
      </c>
      <c r="G1514" s="1" t="n">
        <f aca="false">IFERROR(MATCH(A1514,CONFIRM!$A$5:$A$53,0),0)</f>
        <v>0</v>
      </c>
      <c r="H1514" s="48" t="str">
        <f aca="false">STACK!F1514</f>
        <v>CHIS - Support</v>
      </c>
      <c r="I1514" s="1" t="str">
        <f aca="false">IF(G1514&gt;0,IF(INDEX(CONFIRM!$I$5:$I$53,G1514)&lt;&gt;"",INDEX(CONFIRM!$I$5:$I$53,G1514),H1514),H1514)</f>
        <v>CHIS - Support</v>
      </c>
      <c r="J1514" s="1" t="str">
        <f aca="false">IFERROR(INDEX(MAP!$F$7:$F$74,MATCH(TRIM(I1514),MAP!$E$7:$E$74,0)),"UNMAPPED")</f>
        <v>Health care support services</v>
      </c>
      <c r="K1514" s="1" t="str">
        <f aca="false">IFERROR(INDEX(MAP!$G$7:$G$74,MATCH(TRIM(I1514),MAP!$E$7:$E$74,0)),"UNMAPPED")</f>
        <v>7e</v>
      </c>
      <c r="L1514" s="49" t="str">
        <f aca="false">STACK!G1514</f>
        <v>16-Jan-2026</v>
      </c>
      <c r="M1514" s="59" t="n">
        <f aca="false">IF(G1514&gt;0,IF(INDEX(CONFIRM!$G$5:$G$53,G1514)&lt;&gt;"",INDEX(CONFIRM!$G$5:$G$53,G1514),IF(ISNUMBER(L1514),L1514,IFERROR(DATEVALUE(L1514),""))),IF(ISNUMBER(L1514),L1514,IFERROR(DATEVALUE(L1514),"")))</f>
        <v>46038</v>
      </c>
      <c r="N1514" s="1" t="str">
        <f aca="false">IF(M1514="","Check",IF(AND(M1514&gt;=INPUTS!$C$6,M1514&lt;=INPUTS!$C$7),"Yes","No"))</f>
        <v>Yes</v>
      </c>
      <c r="O1514" s="48" t="str">
        <f aca="false">STACK!H1514</f>
        <v>LCSW</v>
      </c>
      <c r="P1514" s="1" t="str">
        <f aca="false">IF(G1514&gt;0,IF(INDEX(CONFIRM!$H$5:$H$53,G1514)&lt;&gt;"",INDEX(CONFIRM!$H$5:$H$53,G1514),IFERROR(INDEX(MAP!$B$7:$B$156,MATCH(TRIM(O1514),MAP!$A$7:$A$156,0)),"UNMAPPED")),IFERROR(INDEX(MAP!$B$7:$B$156,MATCH(TRIM(O1514),MAP!$A$7:$A$156,0)),"UNMAPPED"))</f>
        <v>Social Worker</v>
      </c>
      <c r="Q1514" s="48" t="n">
        <f aca="false">STACK!I1514</f>
        <v>1.75</v>
      </c>
      <c r="R1514" s="60" t="n">
        <f aca="false">IF(G1514&gt;0,IF(INDEX(CONFIRM!$F$5:$F$53,G1514)&lt;&gt;"",INDEX(CONFIRM!$F$5:$F$53,G1514),IF(ISNUMBER(Q1514),Q1514,IF(Q1514="","",IFERROR(VALUE(TRIM(SUBSTITUTE(SUBSTITUTE(LOWER(Q1514),"hrs",""),"hr",""))),"")))),IF(ISNUMBER(Q1514),Q1514,IF(Q1514="","",IFERROR(VALUE(TRIM(SUBSTITUTE(SUBSTITUTE(LOWER(Q1514),"hrs",""),"hr",""))),""))))</f>
        <v>1.75</v>
      </c>
      <c r="S1514" s="57" t="n">
        <f aca="false">IFERROR(INDEX(RATES!$E$6:$E$28,MATCH(P1514,RATES!$A$6:$A$28,0)),0)</f>
        <v>45.6175</v>
      </c>
      <c r="T1514" s="61" t="n">
        <f aca="false">IF(ISNUMBER(R1514),R1514,0)*S1514</f>
        <v>79.830625</v>
      </c>
      <c r="U1514" s="61" t="n">
        <f aca="false">T1514*INDEX(INPUTS!$H$10:$H$14,MATCH(B1514,INPUTS!$A$10:$A$14,0))</f>
        <v>12.054424375</v>
      </c>
      <c r="V1514" s="61" t="n">
        <f aca="false">N(STACK!K1514)</f>
        <v>0</v>
      </c>
      <c r="W1514" s="61" t="n">
        <f aca="false">T1514+U1514+V1514</f>
        <v>91.885049375</v>
      </c>
      <c r="X1514" s="61" t="n">
        <f aca="false">N(STACK!L1514)</f>
        <v>0</v>
      </c>
      <c r="Y1514" s="61" t="n">
        <f aca="false">W1514-X1514</f>
        <v>91.885049375</v>
      </c>
      <c r="Z1514" s="1" t="n">
        <f aca="false">N(STACK!J1514)</f>
        <v>0</v>
      </c>
      <c r="AA1514" s="1" t="str">
        <f aca="false">TRIM(IF(D1514="UNMAPPED","Program not mapped. ","")&amp;IF(OR(K1514="UNMAPPED",K1514="UNASSIGNED"),"Category needs review. ","")&amp;IF(P1514="UNMAPPED","Title not mapped. ","")&amp;IF(AND(P1514&lt;&gt;"No staff time",R1514=""),"Missing hours. ","")&amp;IF(M1514="","Date not readable. ","")&amp;IF(N1514="No","Outside fiscal year. ","")&amp;IF(AND(F1514="Event",ISNUMBER(R1514)),IF(R1514&gt;12,"Event hours look high. ",""),"")&amp;IF(G1514&gt;0,"See CONFIRM sheet.",""))</f>
        <v/>
      </c>
      <c r="AB1514" s="1" t="n">
        <f aca="false">IF(N1514="No",0,IF(REVIEW!O1514=0,0,IF(G1514&gt;0,IF(INDEX(CONFIRM!$J$5:$J$53,G1514)&lt;&gt;"",INDEX(CONFIRM!$J$5:$J$53,G1514),1),1)))</f>
        <v>1</v>
      </c>
      <c r="AC1514" s="1" t="n">
        <f aca="false">IF(AB1514=1,IF(COUNTIFS($B$5:B1514,B1514,$D$5:D1514,D1514,$AB$5:AB1514,1)=1,1,0),0)</f>
        <v>0</v>
      </c>
    </row>
    <row r="1515" customFormat="false" ht="15" hidden="false" customHeight="false" outlineLevel="0" collapsed="false">
      <c r="A1515" s="48" t="str">
        <f aca="false">STACK!A1515</f>
        <v>QHH-0134</v>
      </c>
      <c r="B1515" s="48" t="str">
        <f aca="false">STACK!B1515</f>
        <v>QHH</v>
      </c>
      <c r="C1515" s="48" t="str">
        <f aca="false">STACK!E1515</f>
        <v>Grief Support Group</v>
      </c>
      <c r="D1515" s="1" t="str">
        <f aca="false">IFERROR(INDEX(MAP!$J$7:$J$101,MATCH(TRIM(C1515),MAP!$I$7:$I$101,0)),"UNMAPPED")</f>
        <v>Grief Support Group</v>
      </c>
      <c r="E1515" s="1" t="str">
        <f aca="false">IFERROR(INDEX(MAP!$K$7:$K$101,MATCH(TRIM(C1515),MAP!$I$7:$I$101,0)),"")</f>
        <v>Behavioral health</v>
      </c>
      <c r="F1515" s="1" t="str">
        <f aca="false">IFERROR(INDEX(MAP!$L$7:$L$101,MATCH(TRIM(C1515),MAP!$I$7:$I$101,0)),"")</f>
        <v>Event</v>
      </c>
      <c r="G1515" s="1" t="n">
        <f aca="false">IFERROR(MATCH(A1515,CONFIRM!$A$5:$A$53,0),0)</f>
        <v>47</v>
      </c>
      <c r="H1515" s="48" t="str">
        <f aca="false">STACK!F1515</f>
        <v>CHIS - Support</v>
      </c>
      <c r="I1515" s="1" t="str">
        <f aca="false">IF(G1515&gt;0,IF(INDEX(CONFIRM!$I$5:$I$53,G1515)&lt;&gt;"",INDEX(CONFIRM!$I$5:$I$53,G1515),H1515),H1515)</f>
        <v>CHIS - Support</v>
      </c>
      <c r="J1515" s="1" t="str">
        <f aca="false">IFERROR(INDEX(MAP!$F$7:$F$74,MATCH(TRIM(I1515),MAP!$E$7:$E$74,0)),"UNMAPPED")</f>
        <v>Health care support services</v>
      </c>
      <c r="K1515" s="1" t="str">
        <f aca="false">IFERROR(INDEX(MAP!$G$7:$G$74,MATCH(TRIM(I1515),MAP!$E$7:$E$74,0)),"UNMAPPED")</f>
        <v>7e</v>
      </c>
      <c r="L1515" s="49" t="str">
        <f aca="false">STACK!G1515</f>
        <v>17-Jan-2026</v>
      </c>
      <c r="M1515" s="59" t="n">
        <f aca="false">IF(G1515&gt;0,IF(INDEX(CONFIRM!$G$5:$G$53,G1515)&lt;&gt;"",INDEX(CONFIRM!$G$5:$G$53,G1515),IF(ISNUMBER(L1515),L1515,IFERROR(DATEVALUE(L1515),""))),IF(ISNUMBER(L1515),L1515,IFERROR(DATEVALUE(L1515),"")))</f>
        <v>46039</v>
      </c>
      <c r="N1515" s="1" t="str">
        <f aca="false">IF(M1515="","Check",IF(AND(M1515&gt;=INPUTS!$C$6,M1515&lt;=INPUTS!$C$7),"Yes","No"))</f>
        <v>Yes</v>
      </c>
      <c r="O1515" s="48" t="str">
        <f aca="false">STACK!H1515</f>
        <v>Chaplain Resident</v>
      </c>
      <c r="P1515" s="1" t="str">
        <f aca="false">IF(G1515&gt;0,IF(INDEX(CONFIRM!$H$5:$H$53,G1515)&lt;&gt;"",INDEX(CONFIRM!$H$5:$H$53,G1515),IFERROR(INDEX(MAP!$B$7:$B$156,MATCH(TRIM(O1515),MAP!$A$7:$A$156,0)),"UNMAPPED")),IFERROR(INDEX(MAP!$B$7:$B$156,MATCH(TRIM(O1515),MAP!$A$7:$A$156,0)),"UNMAPPED"))</f>
        <v>Chaplain</v>
      </c>
      <c r="Q1515" s="48" t="str">
        <f aca="false">STACK!I1515</f>
        <v/>
      </c>
      <c r="R1515" s="60" t="n">
        <f aca="false">IF(G1515&gt;0,IF(INDEX(CONFIRM!$F$5:$F$53,G1515)&lt;&gt;"",INDEX(CONFIRM!$F$5:$F$53,G1515),IF(ISNUMBER(Q1515),Q1515,IF(Q1515="","",IFERROR(VALUE(TRIM(SUBSTITUTE(SUBSTITUTE(LOWER(Q1515),"hrs",""),"hr",""))),"")))),IF(ISNUMBER(Q1515),Q1515,IF(Q1515="","",IFERROR(VALUE(TRIM(SUBSTITUTE(SUBSTITUTE(LOWER(Q1515),"hrs",""),"hr",""))),""))))</f>
        <v>2.5</v>
      </c>
      <c r="S1515" s="57" t="n">
        <f aca="false">IFERROR(INDEX(RATES!$E$6:$E$28,MATCH(P1515,RATES!$A$6:$A$28,0)),0)</f>
        <v>39.835</v>
      </c>
      <c r="T1515" s="61" t="n">
        <f aca="false">IF(ISNUMBER(R1515),R1515,0)*S1515</f>
        <v>99.5875</v>
      </c>
      <c r="U1515" s="61" t="n">
        <f aca="false">T1515*INDEX(INPUTS!$H$10:$H$14,MATCH(B1515,INPUTS!$A$10:$A$14,0))</f>
        <v>15.0377125</v>
      </c>
      <c r="V1515" s="61" t="n">
        <f aca="false">N(STACK!K1515)</f>
        <v>35</v>
      </c>
      <c r="W1515" s="61" t="n">
        <f aca="false">T1515+U1515+V1515</f>
        <v>149.6252125</v>
      </c>
      <c r="X1515" s="61" t="n">
        <f aca="false">N(STACK!L1515)</f>
        <v>0</v>
      </c>
      <c r="Y1515" s="61" t="n">
        <f aca="false">W1515-X1515</f>
        <v>149.6252125</v>
      </c>
      <c r="Z1515" s="1" t="n">
        <f aca="false">N(STACK!J1515)</f>
        <v>7</v>
      </c>
      <c r="AA1515" s="1" t="str">
        <f aca="false">TRIM(IF(D1515="UNMAPPED","Program not mapped. ","")&amp;IF(OR(K1515="UNMAPPED",K1515="UNASSIGNED"),"Category needs review. ","")&amp;IF(P1515="UNMAPPED","Title not mapped. ","")&amp;IF(AND(P1515&lt;&gt;"No staff time",R1515=""),"Missing hours. ","")&amp;IF(M1515="","Date not readable. ","")&amp;IF(N1515="No","Outside fiscal year. ","")&amp;IF(AND(F1515="Event",ISNUMBER(R1515)),IF(R1515&gt;12,"Event hours look high. ",""),"")&amp;IF(G1515&gt;0,"See CONFIRM sheet.",""))</f>
        <v>See CONFIRM sheet.</v>
      </c>
      <c r="AB1515" s="1" t="n">
        <f aca="false">IF(N1515="No",0,IF(REVIEW!O1515=0,0,IF(G1515&gt;0,IF(INDEX(CONFIRM!$J$5:$J$53,G1515)&lt;&gt;"",INDEX(CONFIRM!$J$5:$J$53,G1515),1),1)))</f>
        <v>1</v>
      </c>
      <c r="AC1515" s="1" t="n">
        <f aca="false">IF(AB1515=1,IF(COUNTIFS($B$5:B1515,B1515,$D$5:D1515,D1515,$AB$5:AB1515,1)=1,1,0),0)</f>
        <v>0</v>
      </c>
    </row>
    <row r="1516" customFormat="false" ht="15" hidden="false" customHeight="false" outlineLevel="0" collapsed="false">
      <c r="A1516" s="48" t="str">
        <f aca="false">STACK!A1516</f>
        <v>QHH-0135</v>
      </c>
      <c r="B1516" s="48" t="str">
        <f aca="false">STACK!B1516</f>
        <v>QHH</v>
      </c>
      <c r="C1516" s="48" t="str">
        <f aca="false">STACK!E1516</f>
        <v>Grief Support Group</v>
      </c>
      <c r="D1516" s="1" t="str">
        <f aca="false">IFERROR(INDEX(MAP!$J$7:$J$101,MATCH(TRIM(C1516),MAP!$I$7:$I$101,0)),"UNMAPPED")</f>
        <v>Grief Support Group</v>
      </c>
      <c r="E1516" s="1" t="str">
        <f aca="false">IFERROR(INDEX(MAP!$K$7:$K$101,MATCH(TRIM(C1516),MAP!$I$7:$I$101,0)),"")</f>
        <v>Behavioral health</v>
      </c>
      <c r="F1516" s="1" t="str">
        <f aca="false">IFERROR(INDEX(MAP!$L$7:$L$101,MATCH(TRIM(C1516),MAP!$I$7:$I$101,0)),"")</f>
        <v>Event</v>
      </c>
      <c r="G1516" s="1" t="n">
        <f aca="false">IFERROR(MATCH(A1516,CONFIRM!$A$5:$A$53,0),0)</f>
        <v>0</v>
      </c>
      <c r="H1516" s="48" t="str">
        <f aca="false">STACK!F1516</f>
        <v>CHIS - Support</v>
      </c>
      <c r="I1516" s="1" t="str">
        <f aca="false">IF(G1516&gt;0,IF(INDEX(CONFIRM!$I$5:$I$53,G1516)&lt;&gt;"",INDEX(CONFIRM!$I$5:$I$53,G1516),H1516),H1516)</f>
        <v>CHIS - Support</v>
      </c>
      <c r="J1516" s="1" t="str">
        <f aca="false">IFERROR(INDEX(MAP!$F$7:$F$74,MATCH(TRIM(I1516),MAP!$E$7:$E$74,0)),"UNMAPPED")</f>
        <v>Health care support services</v>
      </c>
      <c r="K1516" s="1" t="str">
        <f aca="false">IFERROR(INDEX(MAP!$G$7:$G$74,MATCH(TRIM(I1516),MAP!$E$7:$E$74,0)),"UNMAPPED")</f>
        <v>7e</v>
      </c>
      <c r="L1516" s="49" t="str">
        <f aca="false">STACK!G1516</f>
        <v>17-Jan-2026</v>
      </c>
      <c r="M1516" s="59" t="n">
        <f aca="false">IF(G1516&gt;0,IF(INDEX(CONFIRM!$G$5:$G$53,G1516)&lt;&gt;"",INDEX(CONFIRM!$G$5:$G$53,G1516),IF(ISNUMBER(L1516),L1516,IFERROR(DATEVALUE(L1516),""))),IF(ISNUMBER(L1516),L1516,IFERROR(DATEVALUE(L1516),"")))</f>
        <v>46039</v>
      </c>
      <c r="N1516" s="1" t="str">
        <f aca="false">IF(M1516="","Check",IF(AND(M1516&gt;=INPUTS!$C$6,M1516&lt;=INPUTS!$C$7),"Yes","No"))</f>
        <v>Yes</v>
      </c>
      <c r="O1516" s="48" t="str">
        <f aca="false">STACK!H1516</f>
        <v>Clinical Social Worker</v>
      </c>
      <c r="P1516" s="1" t="str">
        <f aca="false">IF(G1516&gt;0,IF(INDEX(CONFIRM!$H$5:$H$53,G1516)&lt;&gt;"",INDEX(CONFIRM!$H$5:$H$53,G1516),IFERROR(INDEX(MAP!$B$7:$B$156,MATCH(TRIM(O1516),MAP!$A$7:$A$156,0)),"UNMAPPED")),IFERROR(INDEX(MAP!$B$7:$B$156,MATCH(TRIM(O1516),MAP!$A$7:$A$156,0)),"UNMAPPED"))</f>
        <v>Social Worker</v>
      </c>
      <c r="Q1516" s="48" t="n">
        <f aca="false">STACK!I1516</f>
        <v>1.75</v>
      </c>
      <c r="R1516" s="60" t="n">
        <f aca="false">IF(G1516&gt;0,IF(INDEX(CONFIRM!$F$5:$F$53,G1516)&lt;&gt;"",INDEX(CONFIRM!$F$5:$F$53,G1516),IF(ISNUMBER(Q1516),Q1516,IF(Q1516="","",IFERROR(VALUE(TRIM(SUBSTITUTE(SUBSTITUTE(LOWER(Q1516),"hrs",""),"hr",""))),"")))),IF(ISNUMBER(Q1516),Q1516,IF(Q1516="","",IFERROR(VALUE(TRIM(SUBSTITUTE(SUBSTITUTE(LOWER(Q1516),"hrs",""),"hr",""))),""))))</f>
        <v>1.75</v>
      </c>
      <c r="S1516" s="57" t="n">
        <f aca="false">IFERROR(INDEX(RATES!$E$6:$E$28,MATCH(P1516,RATES!$A$6:$A$28,0)),0)</f>
        <v>45.6175</v>
      </c>
      <c r="T1516" s="61" t="n">
        <f aca="false">IF(ISNUMBER(R1516),R1516,0)*S1516</f>
        <v>79.830625</v>
      </c>
      <c r="U1516" s="61" t="n">
        <f aca="false">T1516*INDEX(INPUTS!$H$10:$H$14,MATCH(B1516,INPUTS!$A$10:$A$14,0))</f>
        <v>12.054424375</v>
      </c>
      <c r="V1516" s="61" t="n">
        <f aca="false">N(STACK!K1516)</f>
        <v>0</v>
      </c>
      <c r="W1516" s="61" t="n">
        <f aca="false">T1516+U1516+V1516</f>
        <v>91.885049375</v>
      </c>
      <c r="X1516" s="61" t="n">
        <f aca="false">N(STACK!L1516)</f>
        <v>0</v>
      </c>
      <c r="Y1516" s="61" t="n">
        <f aca="false">W1516-X1516</f>
        <v>91.885049375</v>
      </c>
      <c r="Z1516" s="1" t="n">
        <f aca="false">N(STACK!J1516)</f>
        <v>0</v>
      </c>
      <c r="AA1516" s="1" t="str">
        <f aca="false">TRIM(IF(D1516="UNMAPPED","Program not mapped. ","")&amp;IF(OR(K1516="UNMAPPED",K1516="UNASSIGNED"),"Category needs review. ","")&amp;IF(P1516="UNMAPPED","Title not mapped. ","")&amp;IF(AND(P1516&lt;&gt;"No staff time",R1516=""),"Missing hours. ","")&amp;IF(M1516="","Date not readable. ","")&amp;IF(N1516="No","Outside fiscal year. ","")&amp;IF(AND(F1516="Event",ISNUMBER(R1516)),IF(R1516&gt;12,"Event hours look high. ",""),"")&amp;IF(G1516&gt;0,"See CONFIRM sheet.",""))</f>
        <v/>
      </c>
      <c r="AB1516" s="1" t="n">
        <f aca="false">IF(N1516="No",0,IF(REVIEW!O1516=0,0,IF(G1516&gt;0,IF(INDEX(CONFIRM!$J$5:$J$53,G1516)&lt;&gt;"",INDEX(CONFIRM!$J$5:$J$53,G1516),1),1)))</f>
        <v>1</v>
      </c>
      <c r="AC1516" s="1" t="n">
        <f aca="false">IF(AB1516=1,IF(COUNTIFS($B$5:B1516,B1516,$D$5:D1516,D1516,$AB$5:AB1516,1)=1,1,0),0)</f>
        <v>0</v>
      </c>
    </row>
    <row r="1517" customFormat="false" ht="15" hidden="false" customHeight="false" outlineLevel="0" collapsed="false">
      <c r="A1517" s="48" t="str">
        <f aca="false">STACK!A1517</f>
        <v>QHH-0136</v>
      </c>
      <c r="B1517" s="48" t="str">
        <f aca="false">STACK!B1517</f>
        <v>QHH</v>
      </c>
      <c r="C1517" s="48" t="str">
        <f aca="false">STACK!E1517</f>
        <v>Blood Pressure Clinic</v>
      </c>
      <c r="D1517" s="1" t="str">
        <f aca="false">IFERROR(INDEX(MAP!$J$7:$J$101,MATCH(TRIM(C1517),MAP!$I$7:$I$101,0)),"UNMAPPED")</f>
        <v>Community Blood Pressure Checks</v>
      </c>
      <c r="E1517" s="1" t="str">
        <f aca="false">IFERROR(INDEX(MAP!$K$7:$K$101,MATCH(TRIM(C1517),MAP!$I$7:$I$101,0)),"")</f>
        <v>Chronic disease prevention</v>
      </c>
      <c r="F1517" s="1" t="str">
        <f aca="false">IFERROR(INDEX(MAP!$L$7:$L$101,MATCH(TRIM(C1517),MAP!$I$7:$I$101,0)),"")</f>
        <v>Event</v>
      </c>
      <c r="G1517" s="1" t="n">
        <f aca="false">IFERROR(MATCH(A1517,CONFIRM!$A$5:$A$53,0),0)</f>
        <v>0</v>
      </c>
      <c r="H1517" s="48" t="str">
        <f aca="false">STACK!F1517</f>
        <v>CHIS - Clinical</v>
      </c>
      <c r="I1517" s="1" t="str">
        <f aca="false">IF(G1517&gt;0,IF(INDEX(CONFIRM!$I$5:$I$53,G1517)&lt;&gt;"",INDEX(CONFIRM!$I$5:$I$53,G1517),H1517),H1517)</f>
        <v>CHIS - Clinical</v>
      </c>
      <c r="J1517" s="1" t="str">
        <f aca="false">IFERROR(INDEX(MAP!$F$7:$F$74,MATCH(TRIM(I1517),MAP!$E$7:$E$74,0)),"UNMAPPED")</f>
        <v>Community-based clinical services</v>
      </c>
      <c r="K1517" s="1" t="str">
        <f aca="false">IFERROR(INDEX(MAP!$G$7:$G$74,MATCH(TRIM(I1517),MAP!$E$7:$E$74,0)),"UNMAPPED")</f>
        <v>7e</v>
      </c>
      <c r="L1517" s="49" t="str">
        <f aca="false">STACK!G1517</f>
        <v>24-Jan-2026</v>
      </c>
      <c r="M1517" s="59" t="n">
        <f aca="false">IF(G1517&gt;0,IF(INDEX(CONFIRM!$G$5:$G$53,G1517)&lt;&gt;"",INDEX(CONFIRM!$G$5:$G$53,G1517),IF(ISNUMBER(L1517),L1517,IFERROR(DATEVALUE(L1517),""))),IF(ISNUMBER(L1517),L1517,IFERROR(DATEVALUE(L1517),"")))</f>
        <v>46046</v>
      </c>
      <c r="N1517" s="1" t="str">
        <f aca="false">IF(M1517="","Check",IF(AND(M1517&gt;=INPUTS!$C$6,M1517&lt;=INPUTS!$C$7),"Yes","No"))</f>
        <v>Yes</v>
      </c>
      <c r="O1517" s="48" t="str">
        <f aca="false">STACK!H1517</f>
        <v>RN II</v>
      </c>
      <c r="P1517" s="1" t="str">
        <f aca="false">IF(G1517&gt;0,IF(INDEX(CONFIRM!$H$5:$H$53,G1517)&lt;&gt;"",INDEX(CONFIRM!$H$5:$H$53,G1517),IFERROR(INDEX(MAP!$B$7:$B$156,MATCH(TRIM(O1517),MAP!$A$7:$A$156,0)),"UNMAPPED")),IFERROR(INDEX(MAP!$B$7:$B$156,MATCH(TRIM(O1517),MAP!$A$7:$A$156,0)),"UNMAPPED"))</f>
        <v>Registered Nurse</v>
      </c>
      <c r="Q1517" s="48" t="n">
        <f aca="false">STACK!I1517</f>
        <v>3.5</v>
      </c>
      <c r="R1517" s="60" t="n">
        <f aca="false">IF(G1517&gt;0,IF(INDEX(CONFIRM!$F$5:$F$53,G1517)&lt;&gt;"",INDEX(CONFIRM!$F$5:$F$53,G1517),IF(ISNUMBER(Q1517),Q1517,IF(Q1517="","",IFERROR(VALUE(TRIM(SUBSTITUTE(SUBSTITUTE(LOWER(Q1517),"hrs",""),"hr",""))),"")))),IF(ISNUMBER(Q1517),Q1517,IF(Q1517="","",IFERROR(VALUE(TRIM(SUBSTITUTE(SUBSTITUTE(LOWER(Q1517),"hrs",""),"hr",""))),""))))</f>
        <v>3.5</v>
      </c>
      <c r="S1517" s="57" t="n">
        <f aca="false">IFERROR(INDEX(RATES!$E$6:$E$28,MATCH(P1517,RATES!$A$6:$A$28,0)),0)</f>
        <v>55.8975</v>
      </c>
      <c r="T1517" s="61" t="n">
        <f aca="false">IF(ISNUMBER(R1517),R1517,0)*S1517</f>
        <v>195.64125</v>
      </c>
      <c r="U1517" s="61" t="n">
        <f aca="false">T1517*INDEX(INPUTS!$H$10:$H$14,MATCH(B1517,INPUTS!$A$10:$A$14,0))</f>
        <v>29.54182875</v>
      </c>
      <c r="V1517" s="61" t="n">
        <f aca="false">N(STACK!K1517)</f>
        <v>105</v>
      </c>
      <c r="W1517" s="61" t="n">
        <f aca="false">T1517+U1517+V1517</f>
        <v>330.18307875</v>
      </c>
      <c r="X1517" s="61" t="n">
        <f aca="false">N(STACK!L1517)</f>
        <v>0</v>
      </c>
      <c r="Y1517" s="61" t="n">
        <f aca="false">W1517-X1517</f>
        <v>330.18307875</v>
      </c>
      <c r="Z1517" s="1" t="n">
        <f aca="false">N(STACK!J1517)</f>
        <v>33</v>
      </c>
      <c r="AA1517" s="1" t="str">
        <f aca="false">TRIM(IF(D1517="UNMAPPED","Program not mapped. ","")&amp;IF(OR(K1517="UNMAPPED",K1517="UNASSIGNED"),"Category needs review. ","")&amp;IF(P1517="UNMAPPED","Title not mapped. ","")&amp;IF(AND(P1517&lt;&gt;"No staff time",R1517=""),"Missing hours. ","")&amp;IF(M1517="","Date not readable. ","")&amp;IF(N1517="No","Outside fiscal year. ","")&amp;IF(AND(F1517="Event",ISNUMBER(R1517)),IF(R1517&gt;12,"Event hours look high. ",""),"")&amp;IF(G1517&gt;0,"See CONFIRM sheet.",""))</f>
        <v/>
      </c>
      <c r="AB1517" s="1" t="n">
        <f aca="false">IF(N1517="No",0,IF(REVIEW!O1517=0,0,IF(G1517&gt;0,IF(INDEX(CONFIRM!$J$5:$J$53,G1517)&lt;&gt;"",INDEX(CONFIRM!$J$5:$J$53,G1517),1),1)))</f>
        <v>1</v>
      </c>
      <c r="AC1517" s="1" t="n">
        <f aca="false">IF(AB1517=1,IF(COUNTIFS($B$5:B1517,B1517,$D$5:D1517,D1517,$AB$5:AB1517,1)=1,1,0),0)</f>
        <v>0</v>
      </c>
    </row>
    <row r="1518" customFormat="false" ht="15" hidden="false" customHeight="false" outlineLevel="0" collapsed="false">
      <c r="A1518" s="48" t="str">
        <f aca="false">STACK!A1518</f>
        <v>QHH-0137</v>
      </c>
      <c r="B1518" s="48" t="str">
        <f aca="false">STACK!B1518</f>
        <v>QHH</v>
      </c>
      <c r="C1518" s="48" t="str">
        <f aca="false">STACK!E1518</f>
        <v>Diabetes Prevention Program</v>
      </c>
      <c r="D1518" s="1" t="str">
        <f aca="false">IFERROR(INDEX(MAP!$J$7:$J$101,MATCH(TRIM(C1518),MAP!$I$7:$I$101,0)),"UNMAPPED")</f>
        <v>Diabetes Prevention Classes</v>
      </c>
      <c r="E1518" s="1" t="str">
        <f aca="false">IFERROR(INDEX(MAP!$K$7:$K$101,MATCH(TRIM(C1518),MAP!$I$7:$I$101,0)),"")</f>
        <v>Chronic disease prevention</v>
      </c>
      <c r="F1518" s="1" t="str">
        <f aca="false">IFERROR(INDEX(MAP!$L$7:$L$101,MATCH(TRIM(C1518),MAP!$I$7:$I$101,0)),"")</f>
        <v>Event</v>
      </c>
      <c r="G1518" s="1" t="n">
        <f aca="false">IFERROR(MATCH(A1518,CONFIRM!$A$5:$A$53,0),0)</f>
        <v>0</v>
      </c>
      <c r="H1518" s="48" t="str">
        <f aca="false">STACK!F1518</f>
        <v>CHIS - Education</v>
      </c>
      <c r="I1518" s="1" t="str">
        <f aca="false">IF(G1518&gt;0,IF(INDEX(CONFIRM!$I$5:$I$53,G1518)&lt;&gt;"",INDEX(CONFIRM!$I$5:$I$53,G1518),H1518),H1518)</f>
        <v>CHIS - Education</v>
      </c>
      <c r="J1518" s="1" t="str">
        <f aca="false">IFERROR(INDEX(MAP!$F$7:$F$74,MATCH(TRIM(I1518),MAP!$E$7:$E$74,0)),"UNMAPPED")</f>
        <v>Community health education</v>
      </c>
      <c r="K1518" s="1" t="str">
        <f aca="false">IFERROR(INDEX(MAP!$G$7:$G$74,MATCH(TRIM(I1518),MAP!$E$7:$E$74,0)),"UNMAPPED")</f>
        <v>7e</v>
      </c>
      <c r="L1518" s="49" t="str">
        <f aca="false">STACK!G1518</f>
        <v>28-Jan-2026</v>
      </c>
      <c r="M1518" s="59" t="n">
        <f aca="false">IF(G1518&gt;0,IF(INDEX(CONFIRM!$G$5:$G$53,G1518)&lt;&gt;"",INDEX(CONFIRM!$G$5:$G$53,G1518),IF(ISNUMBER(L1518),L1518,IFERROR(DATEVALUE(L1518),""))),IF(ISNUMBER(L1518),L1518,IFERROR(DATEVALUE(L1518),"")))</f>
        <v>46050</v>
      </c>
      <c r="N1518" s="1" t="str">
        <f aca="false">IF(M1518="","Check",IF(AND(M1518&gt;=INPUTS!$C$6,M1518&lt;=INPUTS!$C$7),"Yes","No"))</f>
        <v>Yes</v>
      </c>
      <c r="O1518" s="48" t="str">
        <f aca="false">STACK!H1518</f>
        <v>Hlth Educator</v>
      </c>
      <c r="P1518" s="1" t="str">
        <f aca="false">IF(G1518&gt;0,IF(INDEX(CONFIRM!$H$5:$H$53,G1518)&lt;&gt;"",INDEX(CONFIRM!$H$5:$H$53,G1518),IFERROR(INDEX(MAP!$B$7:$B$156,MATCH(TRIM(O1518),MAP!$A$7:$A$156,0)),"UNMAPPED")),IFERROR(INDEX(MAP!$B$7:$B$156,MATCH(TRIM(O1518),MAP!$A$7:$A$156,0)),"UNMAPPED"))</f>
        <v>Health Educator</v>
      </c>
      <c r="Q1518" s="48" t="n">
        <f aca="false">STACK!I1518</f>
        <v>2.25</v>
      </c>
      <c r="R1518" s="60" t="n">
        <f aca="false">IF(G1518&gt;0,IF(INDEX(CONFIRM!$F$5:$F$53,G1518)&lt;&gt;"",INDEX(CONFIRM!$F$5:$F$53,G1518),IF(ISNUMBER(Q1518),Q1518,IF(Q1518="","",IFERROR(VALUE(TRIM(SUBSTITUTE(SUBSTITUTE(LOWER(Q1518),"hrs",""),"hr",""))),"")))),IF(ISNUMBER(Q1518),Q1518,IF(Q1518="","",IFERROR(VALUE(TRIM(SUBSTITUTE(SUBSTITUTE(LOWER(Q1518),"hrs",""),"hr",""))),""))))</f>
        <v>2.25</v>
      </c>
      <c r="S1518" s="57" t="n">
        <f aca="false">IFERROR(INDEX(RATES!$E$6:$E$28,MATCH(P1518,RATES!$A$6:$A$28,0)),0)</f>
        <v>37.265</v>
      </c>
      <c r="T1518" s="61" t="n">
        <f aca="false">IF(ISNUMBER(R1518),R1518,0)*S1518</f>
        <v>83.84625</v>
      </c>
      <c r="U1518" s="61" t="n">
        <f aca="false">T1518*INDEX(INPUTS!$H$10:$H$14,MATCH(B1518,INPUTS!$A$10:$A$14,0))</f>
        <v>12.66078375</v>
      </c>
      <c r="V1518" s="61" t="n">
        <f aca="false">N(STACK!K1518)</f>
        <v>170</v>
      </c>
      <c r="W1518" s="61" t="n">
        <f aca="false">T1518+U1518+V1518</f>
        <v>266.50703375</v>
      </c>
      <c r="X1518" s="61" t="n">
        <f aca="false">N(STACK!L1518)</f>
        <v>0</v>
      </c>
      <c r="Y1518" s="61" t="n">
        <f aca="false">W1518-X1518</f>
        <v>266.50703375</v>
      </c>
      <c r="Z1518" s="1" t="n">
        <f aca="false">N(STACK!J1518)</f>
        <v>16</v>
      </c>
      <c r="AA1518" s="1" t="str">
        <f aca="false">TRIM(IF(D1518="UNMAPPED","Program not mapped. ","")&amp;IF(OR(K1518="UNMAPPED",K1518="UNASSIGNED"),"Category needs review. ","")&amp;IF(P1518="UNMAPPED","Title not mapped. ","")&amp;IF(AND(P1518&lt;&gt;"No staff time",R1518=""),"Missing hours. ","")&amp;IF(M1518="","Date not readable. ","")&amp;IF(N1518="No","Outside fiscal year. ","")&amp;IF(AND(F1518="Event",ISNUMBER(R1518)),IF(R1518&gt;12,"Event hours look high. ",""),"")&amp;IF(G1518&gt;0,"See CONFIRM sheet.",""))</f>
        <v/>
      </c>
      <c r="AB1518" s="1" t="n">
        <f aca="false">IF(N1518="No",0,IF(REVIEW!O1518=0,0,IF(G1518&gt;0,IF(INDEX(CONFIRM!$J$5:$J$53,G1518)&lt;&gt;"",INDEX(CONFIRM!$J$5:$J$53,G1518),1),1)))</f>
        <v>1</v>
      </c>
      <c r="AC1518" s="1" t="n">
        <f aca="false">IF(AB1518=1,IF(COUNTIFS($B$5:B1518,B1518,$D$5:D1518,D1518,$AB$5:AB1518,1)=1,1,0),0)</f>
        <v>0</v>
      </c>
    </row>
    <row r="1519" customFormat="false" ht="15" hidden="false" customHeight="false" outlineLevel="0" collapsed="false">
      <c r="A1519" s="48" t="str">
        <f aca="false">STACK!A1519</f>
        <v>QHH-0138</v>
      </c>
      <c r="B1519" s="48" t="str">
        <f aca="false">STACK!B1519</f>
        <v>QHH</v>
      </c>
      <c r="C1519" s="48" t="str">
        <f aca="false">STACK!E1519</f>
        <v>Diabetes Prevention Program</v>
      </c>
      <c r="D1519" s="1" t="str">
        <f aca="false">IFERROR(INDEX(MAP!$J$7:$J$101,MATCH(TRIM(C1519),MAP!$I$7:$I$101,0)),"UNMAPPED")</f>
        <v>Diabetes Prevention Classes</v>
      </c>
      <c r="E1519" s="1" t="str">
        <f aca="false">IFERROR(INDEX(MAP!$K$7:$K$101,MATCH(TRIM(C1519),MAP!$I$7:$I$101,0)),"")</f>
        <v>Chronic disease prevention</v>
      </c>
      <c r="F1519" s="1" t="str">
        <f aca="false">IFERROR(INDEX(MAP!$L$7:$L$101,MATCH(TRIM(C1519),MAP!$I$7:$I$101,0)),"")</f>
        <v>Event</v>
      </c>
      <c r="G1519" s="1" t="n">
        <f aca="false">IFERROR(MATCH(A1519,CONFIRM!$A$5:$A$53,0),0)</f>
        <v>0</v>
      </c>
      <c r="H1519" s="48" t="str">
        <f aca="false">STACK!F1519</f>
        <v>CHIS - Education</v>
      </c>
      <c r="I1519" s="1" t="str">
        <f aca="false">IF(G1519&gt;0,IF(INDEX(CONFIRM!$I$5:$I$53,G1519)&lt;&gt;"",INDEX(CONFIRM!$I$5:$I$53,G1519),H1519),H1519)</f>
        <v>CHIS - Education</v>
      </c>
      <c r="J1519" s="1" t="str">
        <f aca="false">IFERROR(INDEX(MAP!$F$7:$F$74,MATCH(TRIM(I1519),MAP!$E$7:$E$74,0)),"UNMAPPED")</f>
        <v>Community health education</v>
      </c>
      <c r="K1519" s="1" t="str">
        <f aca="false">IFERROR(INDEX(MAP!$G$7:$G$74,MATCH(TRIM(I1519),MAP!$E$7:$E$74,0)),"UNMAPPED")</f>
        <v>7e</v>
      </c>
      <c r="L1519" s="49" t="str">
        <f aca="false">STACK!G1519</f>
        <v>28-Jan-2026</v>
      </c>
      <c r="M1519" s="59" t="n">
        <f aca="false">IF(G1519&gt;0,IF(INDEX(CONFIRM!$G$5:$G$53,G1519)&lt;&gt;"",INDEX(CONFIRM!$G$5:$G$53,G1519),IF(ISNUMBER(L1519),L1519,IFERROR(DATEVALUE(L1519),""))),IF(ISNUMBER(L1519),L1519,IFERROR(DATEVALUE(L1519),"")))</f>
        <v>46050</v>
      </c>
      <c r="N1519" s="1" t="str">
        <f aca="false">IF(M1519="","Check",IF(AND(M1519&gt;=INPUTS!$C$6,M1519&lt;=INPUTS!$C$7),"Yes","No"))</f>
        <v>Yes</v>
      </c>
      <c r="O1519" s="48" t="str">
        <f aca="false">STACK!H1519</f>
        <v>Clinical Dietitian</v>
      </c>
      <c r="P1519" s="1" t="str">
        <f aca="false">IF(G1519&gt;0,IF(INDEX(CONFIRM!$H$5:$H$53,G1519)&lt;&gt;"",INDEX(CONFIRM!$H$5:$H$53,G1519),IFERROR(INDEX(MAP!$B$7:$B$156,MATCH(TRIM(O1519),MAP!$A$7:$A$156,0)),"UNMAPPED")),IFERROR(INDEX(MAP!$B$7:$B$156,MATCH(TRIM(O1519),MAP!$A$7:$A$156,0)),"UNMAPPED"))</f>
        <v>Registered Dietitian</v>
      </c>
      <c r="Q1519" s="48" t="n">
        <f aca="false">STACK!I1519</f>
        <v>1.75</v>
      </c>
      <c r="R1519" s="60" t="n">
        <f aca="false">IF(G1519&gt;0,IF(INDEX(CONFIRM!$F$5:$F$53,G1519)&lt;&gt;"",INDEX(CONFIRM!$F$5:$F$53,G1519),IF(ISNUMBER(Q1519),Q1519,IF(Q1519="","",IFERROR(VALUE(TRIM(SUBSTITUTE(SUBSTITUTE(LOWER(Q1519),"hrs",""),"hr",""))),"")))),IF(ISNUMBER(Q1519),Q1519,IF(Q1519="","",IFERROR(VALUE(TRIM(SUBSTITUTE(SUBSTITUTE(LOWER(Q1519),"hrs",""),"hr",""))),""))))</f>
        <v>1.75</v>
      </c>
      <c r="S1519" s="57" t="n">
        <f aca="false">IFERROR(INDEX(RATES!$E$6:$E$28,MATCH(P1519,RATES!$A$6:$A$28,0)),0)</f>
        <v>46.9025</v>
      </c>
      <c r="T1519" s="61" t="n">
        <f aca="false">IF(ISNUMBER(R1519),R1519,0)*S1519</f>
        <v>82.079375</v>
      </c>
      <c r="U1519" s="61" t="n">
        <f aca="false">T1519*INDEX(INPUTS!$H$10:$H$14,MATCH(B1519,INPUTS!$A$10:$A$14,0))</f>
        <v>12.393985625</v>
      </c>
      <c r="V1519" s="61" t="n">
        <f aca="false">N(STACK!K1519)</f>
        <v>0</v>
      </c>
      <c r="W1519" s="61" t="n">
        <f aca="false">T1519+U1519+V1519</f>
        <v>94.473360625</v>
      </c>
      <c r="X1519" s="61" t="n">
        <f aca="false">N(STACK!L1519)</f>
        <v>0</v>
      </c>
      <c r="Y1519" s="61" t="n">
        <f aca="false">W1519-X1519</f>
        <v>94.473360625</v>
      </c>
      <c r="Z1519" s="1" t="n">
        <f aca="false">N(STACK!J1519)</f>
        <v>0</v>
      </c>
      <c r="AA1519" s="1" t="str">
        <f aca="false">TRIM(IF(D1519="UNMAPPED","Program not mapped. ","")&amp;IF(OR(K1519="UNMAPPED",K1519="UNASSIGNED"),"Category needs review. ","")&amp;IF(P1519="UNMAPPED","Title not mapped. ","")&amp;IF(AND(P1519&lt;&gt;"No staff time",R1519=""),"Missing hours. ","")&amp;IF(M1519="","Date not readable. ","")&amp;IF(N1519="No","Outside fiscal year. ","")&amp;IF(AND(F1519="Event",ISNUMBER(R1519)),IF(R1519&gt;12,"Event hours look high. ",""),"")&amp;IF(G1519&gt;0,"See CONFIRM sheet.",""))</f>
        <v/>
      </c>
      <c r="AB1519" s="1" t="n">
        <f aca="false">IF(N1519="No",0,IF(REVIEW!O1519=0,0,IF(G1519&gt;0,IF(INDEX(CONFIRM!$J$5:$J$53,G1519)&lt;&gt;"",INDEX(CONFIRM!$J$5:$J$53,G1519),1),1)))</f>
        <v>1</v>
      </c>
      <c r="AC1519" s="1" t="n">
        <f aca="false">IF(AB1519=1,IF(COUNTIFS($B$5:B1519,B1519,$D$5:D1519,D1519,$AB$5:AB1519,1)=1,1,0),0)</f>
        <v>0</v>
      </c>
    </row>
    <row r="1520" customFormat="false" ht="15" hidden="false" customHeight="false" outlineLevel="0" collapsed="false">
      <c r="A1520" s="48" t="str">
        <f aca="false">STACK!A1520</f>
        <v>QHH-0139</v>
      </c>
      <c r="B1520" s="48" t="str">
        <f aca="false">STACK!B1520</f>
        <v>QHH</v>
      </c>
      <c r="C1520" s="48" t="str">
        <f aca="false">STACK!E1520</f>
        <v>Regional Coalition</v>
      </c>
      <c r="D1520" s="1" t="str">
        <f aca="false">IFERROR(INDEX(MAP!$J$7:$J$101,MATCH(TRIM(C1520),MAP!$I$7:$I$101,0)),"UNMAPPED")</f>
        <v>Regional Health Coalition</v>
      </c>
      <c r="E1520" s="1" t="str">
        <f aca="false">IFERROR(INDEX(MAP!$K$7:$K$101,MATCH(TRIM(C1520),MAP!$I$7:$I$101,0)),"")</f>
        <v>Community benefit infrastructure</v>
      </c>
      <c r="F1520" s="1" t="str">
        <f aca="false">IFERROR(INDEX(MAP!$L$7:$L$101,MATCH(TRIM(C1520),MAP!$I$7:$I$101,0)),"")</f>
        <v>Event</v>
      </c>
      <c r="G1520" s="1" t="n">
        <f aca="false">IFERROR(MATCH(A1520,CONFIRM!$A$5:$A$53,0),0)</f>
        <v>0</v>
      </c>
      <c r="H1520" s="48" t="str">
        <f aca="false">STACK!F1520</f>
        <v>Coalition (CB)</v>
      </c>
      <c r="I1520" s="1" t="str">
        <f aca="false">IF(G1520&gt;0,IF(INDEX(CONFIRM!$I$5:$I$53,G1520)&lt;&gt;"",INDEX(CONFIRM!$I$5:$I$53,G1520),H1520),H1520)</f>
        <v>Coalition (CB)</v>
      </c>
      <c r="J1520" s="1" t="str">
        <f aca="false">IFERROR(INDEX(MAP!$F$7:$F$74,MATCH(TRIM(I1520),MAP!$E$7:$E$74,0)),"UNMAPPED")</f>
        <v>Community building: coalition building</v>
      </c>
      <c r="K1520" s="1" t="str">
        <f aca="false">IFERROR(INDEX(MAP!$G$7:$G$74,MATCH(TRIM(I1520),MAP!$E$7:$E$74,0)),"UNMAPPED")</f>
        <v>II-6</v>
      </c>
      <c r="L1520" s="49" t="str">
        <f aca="false">STACK!G1520</f>
        <v>28-Jan-2026</v>
      </c>
      <c r="M1520" s="59" t="n">
        <f aca="false">IF(G1520&gt;0,IF(INDEX(CONFIRM!$G$5:$G$53,G1520)&lt;&gt;"",INDEX(CONFIRM!$G$5:$G$53,G1520),IF(ISNUMBER(L1520),L1520,IFERROR(DATEVALUE(L1520),""))),IF(ISNUMBER(L1520),L1520,IFERROR(DATEVALUE(L1520),"")))</f>
        <v>46050</v>
      </c>
      <c r="N1520" s="1" t="str">
        <f aca="false">IF(M1520="","Check",IF(AND(M1520&gt;=INPUTS!$C$6,M1520&lt;=INPUTS!$C$7),"Yes","No"))</f>
        <v>Yes</v>
      </c>
      <c r="O1520" s="48" t="str">
        <f aca="false">STACK!H1520</f>
        <v>Community Health Manager</v>
      </c>
      <c r="P1520" s="1" t="str">
        <f aca="false">IF(G1520&gt;0,IF(INDEX(CONFIRM!$H$5:$H$53,G1520)&lt;&gt;"",INDEX(CONFIRM!$H$5:$H$53,G1520),IFERROR(INDEX(MAP!$B$7:$B$156,MATCH(TRIM(O1520),MAP!$A$7:$A$156,0)),"UNMAPPED")),IFERROR(INDEX(MAP!$B$7:$B$156,MATCH(TRIM(O1520),MAP!$A$7:$A$156,0)),"UNMAPPED"))</f>
        <v>Community Benefit Manager</v>
      </c>
      <c r="Q1520" s="48" t="n">
        <f aca="false">STACK!I1520</f>
        <v>2.5</v>
      </c>
      <c r="R1520" s="60" t="n">
        <f aca="false">IF(G1520&gt;0,IF(INDEX(CONFIRM!$F$5:$F$53,G1520)&lt;&gt;"",INDEX(CONFIRM!$F$5:$F$53,G1520),IF(ISNUMBER(Q1520),Q1520,IF(Q1520="","",IFERROR(VALUE(TRIM(SUBSTITUTE(SUBSTITUTE(LOWER(Q1520),"hrs",""),"hr",""))),"")))),IF(ISNUMBER(Q1520),Q1520,IF(Q1520="","",IFERROR(VALUE(TRIM(SUBSTITUTE(SUBSTITUTE(LOWER(Q1520),"hrs",""),"hr",""))),""))))</f>
        <v>2.5</v>
      </c>
      <c r="S1520" s="57" t="n">
        <f aca="false">IFERROR(INDEX(RATES!$E$6:$E$28,MATCH(P1520,RATES!$A$6:$A$28,0)),0)</f>
        <v>59.11</v>
      </c>
      <c r="T1520" s="61" t="n">
        <f aca="false">IF(ISNUMBER(R1520),R1520,0)*S1520</f>
        <v>147.775</v>
      </c>
      <c r="U1520" s="61" t="n">
        <f aca="false">T1520*INDEX(INPUTS!$H$10:$H$14,MATCH(B1520,INPUTS!$A$10:$A$14,0))</f>
        <v>22.314025</v>
      </c>
      <c r="V1520" s="61" t="n">
        <f aca="false">N(STACK!K1520)</f>
        <v>0</v>
      </c>
      <c r="W1520" s="61" t="n">
        <f aca="false">T1520+U1520+V1520</f>
        <v>170.089025</v>
      </c>
      <c r="X1520" s="61" t="n">
        <f aca="false">N(STACK!L1520)</f>
        <v>0</v>
      </c>
      <c r="Y1520" s="61" t="n">
        <f aca="false">W1520-X1520</f>
        <v>170.089025</v>
      </c>
      <c r="Z1520" s="1" t="n">
        <f aca="false">N(STACK!J1520)</f>
        <v>0</v>
      </c>
      <c r="AA1520" s="1" t="str">
        <f aca="false">TRIM(IF(D1520="UNMAPPED","Program not mapped. ","")&amp;IF(OR(K1520="UNMAPPED",K1520="UNASSIGNED"),"Category needs review. ","")&amp;IF(P1520="UNMAPPED","Title not mapped. ","")&amp;IF(AND(P1520&lt;&gt;"No staff time",R1520=""),"Missing hours. ","")&amp;IF(M1520="","Date not readable. ","")&amp;IF(N1520="No","Outside fiscal year. ","")&amp;IF(AND(F1520="Event",ISNUMBER(R1520)),IF(R1520&gt;12,"Event hours look high. ",""),"")&amp;IF(G1520&gt;0,"See CONFIRM sheet.",""))</f>
        <v/>
      </c>
      <c r="AB1520" s="1" t="n">
        <f aca="false">IF(N1520="No",0,IF(REVIEW!O1520=0,0,IF(G1520&gt;0,IF(INDEX(CONFIRM!$J$5:$J$53,G1520)&lt;&gt;"",INDEX(CONFIRM!$J$5:$J$53,G1520),1),1)))</f>
        <v>1</v>
      </c>
      <c r="AC1520" s="1" t="n">
        <f aca="false">IF(AB1520=1,IF(COUNTIFS($B$5:B1520,B1520,$D$5:D1520,D1520,$AB$5:AB1520,1)=1,1,0),0)</f>
        <v>0</v>
      </c>
    </row>
    <row r="1521" customFormat="false" ht="15" hidden="false" customHeight="false" outlineLevel="0" collapsed="false">
      <c r="A1521" s="48" t="str">
        <f aca="false">STACK!A1521</f>
        <v>QHH-0140</v>
      </c>
      <c r="B1521" s="48" t="str">
        <f aca="false">STACK!B1521</f>
        <v>QHH</v>
      </c>
      <c r="C1521" s="48" t="str">
        <f aca="false">STACK!E1521</f>
        <v>Regional Coalition</v>
      </c>
      <c r="D1521" s="1" t="str">
        <f aca="false">IFERROR(INDEX(MAP!$J$7:$J$101,MATCH(TRIM(C1521),MAP!$I$7:$I$101,0)),"UNMAPPED")</f>
        <v>Regional Health Coalition</v>
      </c>
      <c r="E1521" s="1" t="str">
        <f aca="false">IFERROR(INDEX(MAP!$K$7:$K$101,MATCH(TRIM(C1521),MAP!$I$7:$I$101,0)),"")</f>
        <v>Community benefit infrastructure</v>
      </c>
      <c r="F1521" s="1" t="str">
        <f aca="false">IFERROR(INDEX(MAP!$L$7:$L$101,MATCH(TRIM(C1521),MAP!$I$7:$I$101,0)),"")</f>
        <v>Event</v>
      </c>
      <c r="G1521" s="1" t="n">
        <f aca="false">IFERROR(MATCH(A1521,CONFIRM!$A$5:$A$53,0),0)</f>
        <v>0</v>
      </c>
      <c r="H1521" s="48" t="str">
        <f aca="false">STACK!F1521</f>
        <v>Coalition (CB)</v>
      </c>
      <c r="I1521" s="1" t="str">
        <f aca="false">IF(G1521&gt;0,IF(INDEX(CONFIRM!$I$5:$I$53,G1521)&lt;&gt;"",INDEX(CONFIRM!$I$5:$I$53,G1521),H1521),H1521)</f>
        <v>Coalition (CB)</v>
      </c>
      <c r="J1521" s="1" t="str">
        <f aca="false">IFERROR(INDEX(MAP!$F$7:$F$74,MATCH(TRIM(I1521),MAP!$E$7:$E$74,0)),"UNMAPPED")</f>
        <v>Community building: coalition building</v>
      </c>
      <c r="K1521" s="1" t="str">
        <f aca="false">IFERROR(INDEX(MAP!$G$7:$G$74,MATCH(TRIM(I1521),MAP!$E$7:$E$74,0)),"UNMAPPED")</f>
        <v>II-6</v>
      </c>
      <c r="L1521" s="49" t="str">
        <f aca="false">STACK!G1521</f>
        <v>28-Jan-2026</v>
      </c>
      <c r="M1521" s="59" t="n">
        <f aca="false">IF(G1521&gt;0,IF(INDEX(CONFIRM!$G$5:$G$53,G1521)&lt;&gt;"",INDEX(CONFIRM!$G$5:$G$53,G1521),IF(ISNUMBER(L1521),L1521,IFERROR(DATEVALUE(L1521),""))),IF(ISNUMBER(L1521),L1521,IFERROR(DATEVALUE(L1521),"")))</f>
        <v>46050</v>
      </c>
      <c r="N1521" s="1" t="str">
        <f aca="false">IF(M1521="","Check",IF(AND(M1521&gt;=INPUTS!$C$6,M1521&lt;=INPUTS!$C$7),"Yes","No"))</f>
        <v>Yes</v>
      </c>
      <c r="O1521" s="48" t="str">
        <f aca="false">STACK!H1521</f>
        <v>Assoc. Director</v>
      </c>
      <c r="P1521" s="1" t="str">
        <f aca="false">IF(G1521&gt;0,IF(INDEX(CONFIRM!$H$5:$H$53,G1521)&lt;&gt;"",INDEX(CONFIRM!$H$5:$H$53,G1521),IFERROR(INDEX(MAP!$B$7:$B$156,MATCH(TRIM(O1521),MAP!$A$7:$A$156,0)),"UNMAPPED")),IFERROR(INDEX(MAP!$B$7:$B$156,MATCH(TRIM(O1521),MAP!$A$7:$A$156,0)),"UNMAPPED"))</f>
        <v>Director</v>
      </c>
      <c r="Q1521" s="48" t="n">
        <f aca="false">STACK!I1521</f>
        <v>2.25</v>
      </c>
      <c r="R1521" s="60" t="n">
        <f aca="false">IF(G1521&gt;0,IF(INDEX(CONFIRM!$F$5:$F$53,G1521)&lt;&gt;"",INDEX(CONFIRM!$F$5:$F$53,G1521),IF(ISNUMBER(Q1521),Q1521,IF(Q1521="","",IFERROR(VALUE(TRIM(SUBSTITUTE(SUBSTITUTE(LOWER(Q1521),"hrs",""),"hr",""))),"")))),IF(ISNUMBER(Q1521),Q1521,IF(Q1521="","",IFERROR(VALUE(TRIM(SUBSTITUTE(SUBSTITUTE(LOWER(Q1521),"hrs",""),"hr",""))),""))))</f>
        <v>2.25</v>
      </c>
      <c r="S1521" s="57" t="n">
        <f aca="false">IFERROR(INDEX(RATES!$E$6:$E$28,MATCH(P1521,RATES!$A$6:$A$28,0)),0)</f>
        <v>92.52</v>
      </c>
      <c r="T1521" s="61" t="n">
        <f aca="false">IF(ISNUMBER(R1521),R1521,0)*S1521</f>
        <v>208.17</v>
      </c>
      <c r="U1521" s="61" t="n">
        <f aca="false">T1521*INDEX(INPUTS!$H$10:$H$14,MATCH(B1521,INPUTS!$A$10:$A$14,0))</f>
        <v>31.43367</v>
      </c>
      <c r="V1521" s="61" t="n">
        <f aca="false">N(STACK!K1521)</f>
        <v>35</v>
      </c>
      <c r="W1521" s="61" t="n">
        <f aca="false">T1521+U1521+V1521</f>
        <v>274.60367</v>
      </c>
      <c r="X1521" s="61" t="n">
        <f aca="false">N(STACK!L1521)</f>
        <v>0</v>
      </c>
      <c r="Y1521" s="61" t="n">
        <f aca="false">W1521-X1521</f>
        <v>274.60367</v>
      </c>
      <c r="Z1521" s="1" t="n">
        <f aca="false">N(STACK!J1521)</f>
        <v>0</v>
      </c>
      <c r="AA1521" s="1" t="str">
        <f aca="false">TRIM(IF(D1521="UNMAPPED","Program not mapped. ","")&amp;IF(OR(K1521="UNMAPPED",K1521="UNASSIGNED"),"Category needs review. ","")&amp;IF(P1521="UNMAPPED","Title not mapped. ","")&amp;IF(AND(P1521&lt;&gt;"No staff time",R1521=""),"Missing hours. ","")&amp;IF(M1521="","Date not readable. ","")&amp;IF(N1521="No","Outside fiscal year. ","")&amp;IF(AND(F1521="Event",ISNUMBER(R1521)),IF(R1521&gt;12,"Event hours look high. ",""),"")&amp;IF(G1521&gt;0,"See CONFIRM sheet.",""))</f>
        <v/>
      </c>
      <c r="AB1521" s="1" t="n">
        <f aca="false">IF(N1521="No",0,IF(REVIEW!O1521=0,0,IF(G1521&gt;0,IF(INDEX(CONFIRM!$J$5:$J$53,G1521)&lt;&gt;"",INDEX(CONFIRM!$J$5:$J$53,G1521),1),1)))</f>
        <v>1</v>
      </c>
      <c r="AC1521" s="1" t="n">
        <f aca="false">IF(AB1521=1,IF(COUNTIFS($B$5:B1521,B1521,$D$5:D1521,D1521,$AB$5:AB1521,1)=1,1,0),0)</f>
        <v>0</v>
      </c>
    </row>
    <row r="1522" customFormat="false" ht="15" hidden="false" customHeight="false" outlineLevel="0" collapsed="false">
      <c r="A1522" s="48" t="str">
        <f aca="false">STACK!A1522</f>
        <v>QHH-0141</v>
      </c>
      <c r="B1522" s="48" t="str">
        <f aca="false">STACK!B1522</f>
        <v>QHH</v>
      </c>
      <c r="C1522" s="48" t="str">
        <f aca="false">STACK!E1522</f>
        <v>Quit Tobacco Class</v>
      </c>
      <c r="D1522" s="1" t="str">
        <f aca="false">IFERROR(INDEX(MAP!$J$7:$J$101,MATCH(TRIM(C1522),MAP!$I$7:$I$101,0)),"UNMAPPED")</f>
        <v>Tobacco Cessation Classes</v>
      </c>
      <c r="E1522" s="1" t="str">
        <f aca="false">IFERROR(INDEX(MAP!$K$7:$K$101,MATCH(TRIM(C1522),MAP!$I$7:$I$101,0)),"")</f>
        <v>Chronic disease prevention</v>
      </c>
      <c r="F1522" s="1" t="str">
        <f aca="false">IFERROR(INDEX(MAP!$L$7:$L$101,MATCH(TRIM(C1522),MAP!$I$7:$I$101,0)),"")</f>
        <v>Event</v>
      </c>
      <c r="G1522" s="1" t="n">
        <f aca="false">IFERROR(MATCH(A1522,CONFIRM!$A$5:$A$53,0),0)</f>
        <v>0</v>
      </c>
      <c r="H1522" s="48" t="str">
        <f aca="false">STACK!F1522</f>
        <v>CHIS - Education</v>
      </c>
      <c r="I1522" s="1" t="str">
        <f aca="false">IF(G1522&gt;0,IF(INDEX(CONFIRM!$I$5:$I$53,G1522)&lt;&gt;"",INDEX(CONFIRM!$I$5:$I$53,G1522),H1522),H1522)</f>
        <v>CHIS - Education</v>
      </c>
      <c r="J1522" s="1" t="str">
        <f aca="false">IFERROR(INDEX(MAP!$F$7:$F$74,MATCH(TRIM(I1522),MAP!$E$7:$E$74,0)),"UNMAPPED")</f>
        <v>Community health education</v>
      </c>
      <c r="K1522" s="1" t="str">
        <f aca="false">IFERROR(INDEX(MAP!$G$7:$G$74,MATCH(TRIM(I1522),MAP!$E$7:$E$74,0)),"UNMAPPED")</f>
        <v>7e</v>
      </c>
      <c r="L1522" s="49" t="str">
        <f aca="false">STACK!G1522</f>
        <v>29-Jan-2026</v>
      </c>
      <c r="M1522" s="59" t="n">
        <f aca="false">IF(G1522&gt;0,IF(INDEX(CONFIRM!$G$5:$G$53,G1522)&lt;&gt;"",INDEX(CONFIRM!$G$5:$G$53,G1522),IF(ISNUMBER(L1522),L1522,IFERROR(DATEVALUE(L1522),""))),IF(ISNUMBER(L1522),L1522,IFERROR(DATEVALUE(L1522),"")))</f>
        <v>46051</v>
      </c>
      <c r="N1522" s="1" t="str">
        <f aca="false">IF(M1522="","Check",IF(AND(M1522&gt;=INPUTS!$C$6,M1522&lt;=INPUTS!$C$7),"Yes","No"))</f>
        <v>Yes</v>
      </c>
      <c r="O1522" s="48" t="str">
        <f aca="false">STACK!H1522</f>
        <v>DPT</v>
      </c>
      <c r="P1522" s="1" t="str">
        <f aca="false">IF(G1522&gt;0,IF(INDEX(CONFIRM!$H$5:$H$53,G1522)&lt;&gt;"",INDEX(CONFIRM!$H$5:$H$53,G1522),IFERROR(INDEX(MAP!$B$7:$B$156,MATCH(TRIM(O1522),MAP!$A$7:$A$156,0)),"UNMAPPED")),IFERROR(INDEX(MAP!$B$7:$B$156,MATCH(TRIM(O1522),MAP!$A$7:$A$156,0)),"UNMAPPED"))</f>
        <v>Licensed Therapist</v>
      </c>
      <c r="Q1522" s="48" t="n">
        <f aca="false">STACK!I1522</f>
        <v>2</v>
      </c>
      <c r="R1522" s="60" t="n">
        <f aca="false">IF(G1522&gt;0,IF(INDEX(CONFIRM!$F$5:$F$53,G1522)&lt;&gt;"",INDEX(CONFIRM!$F$5:$F$53,G1522),IF(ISNUMBER(Q1522),Q1522,IF(Q1522="","",IFERROR(VALUE(TRIM(SUBSTITUTE(SUBSTITUTE(LOWER(Q1522),"hrs",""),"hr",""))),"")))),IF(ISNUMBER(Q1522),Q1522,IF(Q1522="","",IFERROR(VALUE(TRIM(SUBSTITUTE(SUBSTITUTE(LOWER(Q1522),"hrs",""),"hr",""))),""))))</f>
        <v>2</v>
      </c>
      <c r="S1522" s="57" t="n">
        <f aca="false">IFERROR(INDEX(RATES!$E$6:$E$28,MATCH(P1522,RATES!$A$6:$A$28,0)),0)</f>
        <v>53.97</v>
      </c>
      <c r="T1522" s="61" t="n">
        <f aca="false">IF(ISNUMBER(R1522),R1522,0)*S1522</f>
        <v>107.94</v>
      </c>
      <c r="U1522" s="61" t="n">
        <f aca="false">T1522*INDEX(INPUTS!$H$10:$H$14,MATCH(B1522,INPUTS!$A$10:$A$14,0))</f>
        <v>16.29894</v>
      </c>
      <c r="V1522" s="61" t="n">
        <f aca="false">N(STACK!K1522)</f>
        <v>95</v>
      </c>
      <c r="W1522" s="61" t="n">
        <f aca="false">T1522+U1522+V1522</f>
        <v>219.23894</v>
      </c>
      <c r="X1522" s="61" t="n">
        <f aca="false">N(STACK!L1522)</f>
        <v>0</v>
      </c>
      <c r="Y1522" s="61" t="n">
        <f aca="false">W1522-X1522</f>
        <v>219.23894</v>
      </c>
      <c r="Z1522" s="1" t="n">
        <f aca="false">N(STACK!J1522)</f>
        <v>14</v>
      </c>
      <c r="AA1522" s="1" t="str">
        <f aca="false">TRIM(IF(D1522="UNMAPPED","Program not mapped. ","")&amp;IF(OR(K1522="UNMAPPED",K1522="UNASSIGNED"),"Category needs review. ","")&amp;IF(P1522="UNMAPPED","Title not mapped. ","")&amp;IF(AND(P1522&lt;&gt;"No staff time",R1522=""),"Missing hours. ","")&amp;IF(M1522="","Date not readable. ","")&amp;IF(N1522="No","Outside fiscal year. ","")&amp;IF(AND(F1522="Event",ISNUMBER(R1522)),IF(R1522&gt;12,"Event hours look high. ",""),"")&amp;IF(G1522&gt;0,"See CONFIRM sheet.",""))</f>
        <v/>
      </c>
      <c r="AB1522" s="1" t="n">
        <f aca="false">IF(N1522="No",0,IF(REVIEW!O1522=0,0,IF(G1522&gt;0,IF(INDEX(CONFIRM!$J$5:$J$53,G1522)&lt;&gt;"",INDEX(CONFIRM!$J$5:$J$53,G1522),1),1)))</f>
        <v>1</v>
      </c>
      <c r="AC1522" s="1" t="n">
        <f aca="false">IF(AB1522=1,IF(COUNTIFS($B$5:B1522,B1522,$D$5:D1522,D1522,$AB$5:AB1522,1)=1,1,0),0)</f>
        <v>0</v>
      </c>
    </row>
    <row r="1523" customFormat="false" ht="15" hidden="false" customHeight="false" outlineLevel="0" collapsed="false">
      <c r="A1523" s="48" t="str">
        <f aca="false">STACK!A1523</f>
        <v>QHH-0142</v>
      </c>
      <c r="B1523" s="48" t="str">
        <f aca="false">STACK!B1523</f>
        <v>QHH</v>
      </c>
      <c r="C1523" s="48" t="str">
        <f aca="false">STACK!E1523</f>
        <v>Medication Assistance</v>
      </c>
      <c r="D1523" s="1" t="str">
        <f aca="false">IFERROR(INDEX(MAP!$J$7:$J$101,MATCH(TRIM(C1523),MAP!$I$7:$I$101,0)),"UNMAPPED")</f>
        <v>Medication Assistance Program</v>
      </c>
      <c r="E1523" s="1" t="str">
        <f aca="false">IFERROR(INDEX(MAP!$K$7:$K$101,MATCH(TRIM(C1523),MAP!$I$7:$I$101,0)),"")</f>
        <v>Access to care</v>
      </c>
      <c r="F1523" s="1" t="str">
        <f aca="false">IFERROR(INDEX(MAP!$L$7:$L$101,MATCH(TRIM(C1523),MAP!$I$7:$I$101,0)),"")</f>
        <v>Monthly</v>
      </c>
      <c r="G1523" s="1" t="n">
        <f aca="false">IFERROR(MATCH(A1523,CONFIRM!$A$5:$A$53,0),0)</f>
        <v>0</v>
      </c>
      <c r="H1523" s="48" t="str">
        <f aca="false">STACK!F1523</f>
        <v>CHIS - Support</v>
      </c>
      <c r="I1523" s="1" t="str">
        <f aca="false">IF(G1523&gt;0,IF(INDEX(CONFIRM!$I$5:$I$53,G1523)&lt;&gt;"",INDEX(CONFIRM!$I$5:$I$53,G1523),H1523),H1523)</f>
        <v>CHIS - Support</v>
      </c>
      <c r="J1523" s="1" t="str">
        <f aca="false">IFERROR(INDEX(MAP!$F$7:$F$74,MATCH(TRIM(I1523),MAP!$E$7:$E$74,0)),"UNMAPPED")</f>
        <v>Health care support services</v>
      </c>
      <c r="K1523" s="1" t="str">
        <f aca="false">IFERROR(INDEX(MAP!$G$7:$G$74,MATCH(TRIM(I1523),MAP!$E$7:$E$74,0)),"UNMAPPED")</f>
        <v>7e</v>
      </c>
      <c r="L1523" s="49" t="str">
        <f aca="false">STACK!G1523</f>
        <v>31-Jan-2026</v>
      </c>
      <c r="M1523" s="59" t="n">
        <f aca="false">IF(G1523&gt;0,IF(INDEX(CONFIRM!$G$5:$G$53,G1523)&lt;&gt;"",INDEX(CONFIRM!$G$5:$G$53,G1523),IF(ISNUMBER(L1523),L1523,IFERROR(DATEVALUE(L1523),""))),IF(ISNUMBER(L1523),L1523,IFERROR(DATEVALUE(L1523),"")))</f>
        <v>46053</v>
      </c>
      <c r="N1523" s="1" t="str">
        <f aca="false">IF(M1523="","Check",IF(AND(M1523&gt;=INPUTS!$C$6,M1523&lt;=INPUTS!$C$7),"Yes","No"))</f>
        <v>Yes</v>
      </c>
      <c r="O1523" s="48" t="str">
        <f aca="false">STACK!H1523</f>
        <v>Nurse Navigator</v>
      </c>
      <c r="P1523" s="1" t="str">
        <f aca="false">IF(G1523&gt;0,IF(INDEX(CONFIRM!$H$5:$H$53,G1523)&lt;&gt;"",INDEX(CONFIRM!$H$5:$H$53,G1523),IFERROR(INDEX(MAP!$B$7:$B$156,MATCH(TRIM(O1523),MAP!$A$7:$A$156,0)),"UNMAPPED")),IFERROR(INDEX(MAP!$B$7:$B$156,MATCH(TRIM(O1523),MAP!$A$7:$A$156,0)),"UNMAPPED"))</f>
        <v>Patient Navigator</v>
      </c>
      <c r="Q1523" s="48" t="n">
        <f aca="false">STACK!I1523</f>
        <v>73.75</v>
      </c>
      <c r="R1523" s="60" t="n">
        <f aca="false">IF(G1523&gt;0,IF(INDEX(CONFIRM!$F$5:$F$53,G1523)&lt;&gt;"",INDEX(CONFIRM!$F$5:$F$53,G1523),IF(ISNUMBER(Q1523),Q1523,IF(Q1523="","",IFERROR(VALUE(TRIM(SUBSTITUTE(SUBSTITUTE(LOWER(Q1523),"hrs",""),"hr",""))),"")))),IF(ISNUMBER(Q1523),Q1523,IF(Q1523="","",IFERROR(VALUE(TRIM(SUBSTITUTE(SUBSTITUTE(LOWER(Q1523),"hrs",""),"hr",""))),""))))</f>
        <v>73.75</v>
      </c>
      <c r="S1523" s="57" t="n">
        <f aca="false">IFERROR(INDEX(RATES!$E$6:$E$28,MATCH(P1523,RATES!$A$6:$A$28,0)),0)</f>
        <v>30.84</v>
      </c>
      <c r="T1523" s="61" t="n">
        <f aca="false">IF(ISNUMBER(R1523),R1523,0)*S1523</f>
        <v>2274.45</v>
      </c>
      <c r="U1523" s="61" t="n">
        <f aca="false">T1523*INDEX(INPUTS!$H$10:$H$14,MATCH(B1523,INPUTS!$A$10:$A$14,0))</f>
        <v>343.44195</v>
      </c>
      <c r="V1523" s="61" t="n">
        <f aca="false">N(STACK!K1523)</f>
        <v>0</v>
      </c>
      <c r="W1523" s="61" t="n">
        <f aca="false">T1523+U1523+V1523</f>
        <v>2617.89195</v>
      </c>
      <c r="X1523" s="61" t="n">
        <f aca="false">N(STACK!L1523)</f>
        <v>0</v>
      </c>
      <c r="Y1523" s="61" t="n">
        <f aca="false">W1523-X1523</f>
        <v>2617.89195</v>
      </c>
      <c r="Z1523" s="1" t="n">
        <f aca="false">N(STACK!J1523)</f>
        <v>0</v>
      </c>
      <c r="AA1523" s="1" t="str">
        <f aca="false">TRIM(IF(D1523="UNMAPPED","Program not mapped. ","")&amp;IF(OR(K1523="UNMAPPED",K1523="UNASSIGNED"),"Category needs review. ","")&amp;IF(P1523="UNMAPPED","Title not mapped. ","")&amp;IF(AND(P1523&lt;&gt;"No staff time",R1523=""),"Missing hours. ","")&amp;IF(M1523="","Date not readable. ","")&amp;IF(N1523="No","Outside fiscal year. ","")&amp;IF(AND(F1523="Event",ISNUMBER(R1523)),IF(R1523&gt;12,"Event hours look high. ",""),"")&amp;IF(G1523&gt;0,"See CONFIRM sheet.",""))</f>
        <v/>
      </c>
      <c r="AB1523" s="1" t="n">
        <f aca="false">IF(N1523="No",0,IF(REVIEW!O1523=0,0,IF(G1523&gt;0,IF(INDEX(CONFIRM!$J$5:$J$53,G1523)&lt;&gt;"",INDEX(CONFIRM!$J$5:$J$53,G1523),1),1)))</f>
        <v>1</v>
      </c>
      <c r="AC1523" s="1" t="n">
        <f aca="false">IF(AB1523=1,IF(COUNTIFS($B$5:B1523,B1523,$D$5:D1523,D1523,$AB$5:AB1523,1)=1,1,0),0)</f>
        <v>0</v>
      </c>
    </row>
    <row r="1524" customFormat="false" ht="15" hidden="false" customHeight="false" outlineLevel="0" collapsed="false">
      <c r="A1524" s="48" t="str">
        <f aca="false">STACK!A1524</f>
        <v>QHH-0143</v>
      </c>
      <c r="B1524" s="48" t="str">
        <f aca="false">STACK!B1524</f>
        <v>QHH</v>
      </c>
      <c r="C1524" s="48" t="str">
        <f aca="false">STACK!E1524</f>
        <v>Medication Assistance</v>
      </c>
      <c r="D1524" s="1" t="str">
        <f aca="false">IFERROR(INDEX(MAP!$J$7:$J$101,MATCH(TRIM(C1524),MAP!$I$7:$I$101,0)),"UNMAPPED")</f>
        <v>Medication Assistance Program</v>
      </c>
      <c r="E1524" s="1" t="str">
        <f aca="false">IFERROR(INDEX(MAP!$K$7:$K$101,MATCH(TRIM(C1524),MAP!$I$7:$I$101,0)),"")</f>
        <v>Access to care</v>
      </c>
      <c r="F1524" s="1" t="str">
        <f aca="false">IFERROR(INDEX(MAP!$L$7:$L$101,MATCH(TRIM(C1524),MAP!$I$7:$I$101,0)),"")</f>
        <v>Monthly</v>
      </c>
      <c r="G1524" s="1" t="n">
        <f aca="false">IFERROR(MATCH(A1524,CONFIRM!$A$5:$A$53,0),0)</f>
        <v>0</v>
      </c>
      <c r="H1524" s="48" t="str">
        <f aca="false">STACK!F1524</f>
        <v>CHIS - Support</v>
      </c>
      <c r="I1524" s="1" t="str">
        <f aca="false">IF(G1524&gt;0,IF(INDEX(CONFIRM!$I$5:$I$53,G1524)&lt;&gt;"",INDEX(CONFIRM!$I$5:$I$53,G1524),H1524),H1524)</f>
        <v>CHIS - Support</v>
      </c>
      <c r="J1524" s="1" t="str">
        <f aca="false">IFERROR(INDEX(MAP!$F$7:$F$74,MATCH(TRIM(I1524),MAP!$E$7:$E$74,0)),"UNMAPPED")</f>
        <v>Health care support services</v>
      </c>
      <c r="K1524" s="1" t="str">
        <f aca="false">IFERROR(INDEX(MAP!$G$7:$G$74,MATCH(TRIM(I1524),MAP!$E$7:$E$74,0)),"UNMAPPED")</f>
        <v>7e</v>
      </c>
      <c r="L1524" s="49" t="str">
        <f aca="false">STACK!G1524</f>
        <v>31-Jan-2026</v>
      </c>
      <c r="M1524" s="59" t="n">
        <f aca="false">IF(G1524&gt;0,IF(INDEX(CONFIRM!$G$5:$G$53,G1524)&lt;&gt;"",INDEX(CONFIRM!$G$5:$G$53,G1524),IF(ISNUMBER(L1524),L1524,IFERROR(DATEVALUE(L1524),""))),IF(ISNUMBER(L1524),L1524,IFERROR(DATEVALUE(L1524),"")))</f>
        <v>46053</v>
      </c>
      <c r="N1524" s="1" t="str">
        <f aca="false">IF(M1524="","Check",IF(AND(M1524&gt;=INPUTS!$C$6,M1524&lt;=INPUTS!$C$7),"Yes","No"))</f>
        <v>Yes</v>
      </c>
      <c r="O1524" s="48" t="str">
        <f aca="false">STACK!H1524</f>
        <v>Clinical Pharmacist</v>
      </c>
      <c r="P1524" s="1" t="str">
        <f aca="false">IF(G1524&gt;0,IF(INDEX(CONFIRM!$H$5:$H$53,G1524)&lt;&gt;"",INDEX(CONFIRM!$H$5:$H$53,G1524),IFERROR(INDEX(MAP!$B$7:$B$156,MATCH(TRIM(O1524),MAP!$A$7:$A$156,0)),"UNMAPPED")),IFERROR(INDEX(MAP!$B$7:$B$156,MATCH(TRIM(O1524),MAP!$A$7:$A$156,0)),"UNMAPPED"))</f>
        <v>Pharmacist</v>
      </c>
      <c r="Q1524" s="48" t="n">
        <f aca="false">STACK!I1524</f>
        <v>15.5</v>
      </c>
      <c r="R1524" s="60" t="n">
        <f aca="false">IF(G1524&gt;0,IF(INDEX(CONFIRM!$F$5:$F$53,G1524)&lt;&gt;"",INDEX(CONFIRM!$F$5:$F$53,G1524),IF(ISNUMBER(Q1524),Q1524,IF(Q1524="","",IFERROR(VALUE(TRIM(SUBSTITUTE(SUBSTITUTE(LOWER(Q1524),"hrs",""),"hr",""))),"")))),IF(ISNUMBER(Q1524),Q1524,IF(Q1524="","",IFERROR(VALUE(TRIM(SUBSTITUTE(SUBSTITUTE(LOWER(Q1524),"hrs",""),"hr",""))),""))))</f>
        <v>15.5</v>
      </c>
      <c r="S1524" s="57" t="n">
        <f aca="false">IFERROR(INDEX(RATES!$E$6:$E$28,MATCH(P1524,RATES!$A$6:$A$28,0)),0)</f>
        <v>84.81</v>
      </c>
      <c r="T1524" s="61" t="n">
        <f aca="false">IF(ISNUMBER(R1524),R1524,0)*S1524</f>
        <v>1314.555</v>
      </c>
      <c r="U1524" s="61" t="n">
        <f aca="false">T1524*INDEX(INPUTS!$H$10:$H$14,MATCH(B1524,INPUTS!$A$10:$A$14,0))</f>
        <v>198.497805</v>
      </c>
      <c r="V1524" s="61" t="n">
        <f aca="false">N(STACK!K1524)</f>
        <v>13430</v>
      </c>
      <c r="W1524" s="61" t="n">
        <f aca="false">T1524+U1524+V1524</f>
        <v>14943.052805</v>
      </c>
      <c r="X1524" s="61" t="n">
        <f aca="false">N(STACK!L1524)</f>
        <v>0</v>
      </c>
      <c r="Y1524" s="61" t="n">
        <f aca="false">W1524-X1524</f>
        <v>14943.052805</v>
      </c>
      <c r="Z1524" s="1" t="n">
        <f aca="false">N(STACK!J1524)</f>
        <v>103</v>
      </c>
      <c r="AA1524" s="1" t="str">
        <f aca="false">TRIM(IF(D1524="UNMAPPED","Program not mapped. ","")&amp;IF(OR(K1524="UNMAPPED",K1524="UNASSIGNED"),"Category needs review. ","")&amp;IF(P1524="UNMAPPED","Title not mapped. ","")&amp;IF(AND(P1524&lt;&gt;"No staff time",R1524=""),"Missing hours. ","")&amp;IF(M1524="","Date not readable. ","")&amp;IF(N1524="No","Outside fiscal year. ","")&amp;IF(AND(F1524="Event",ISNUMBER(R1524)),IF(R1524&gt;12,"Event hours look high. ",""),"")&amp;IF(G1524&gt;0,"See CONFIRM sheet.",""))</f>
        <v/>
      </c>
      <c r="AB1524" s="1" t="n">
        <f aca="false">IF(N1524="No",0,IF(REVIEW!O1524=0,0,IF(G1524&gt;0,IF(INDEX(CONFIRM!$J$5:$J$53,G1524)&lt;&gt;"",INDEX(CONFIRM!$J$5:$J$53,G1524),1),1)))</f>
        <v>1</v>
      </c>
      <c r="AC1524" s="1" t="n">
        <f aca="false">IF(AB1524=1,IF(COUNTIFS($B$5:B1524,B1524,$D$5:D1524,D1524,$AB$5:AB1524,1)=1,1,0),0)</f>
        <v>0</v>
      </c>
    </row>
    <row r="1525" customFormat="false" ht="15" hidden="false" customHeight="false" outlineLevel="0" collapsed="false">
      <c r="A1525" s="48" t="str">
        <f aca="false">STACK!A1525</f>
        <v>QHH-0144</v>
      </c>
      <c r="B1525" s="48" t="str">
        <f aca="false">STACK!B1525</f>
        <v>QHH</v>
      </c>
      <c r="C1525" s="48" t="str">
        <f aca="false">STACK!E1525</f>
        <v>Community Benefit Admin.</v>
      </c>
      <c r="D1525" s="1" t="str">
        <f aca="false">IFERROR(INDEX(MAP!$J$7:$J$101,MATCH(TRIM(C1525),MAP!$I$7:$I$101,0)),"UNMAPPED")</f>
        <v>Community Benefit Program Administration</v>
      </c>
      <c r="E1525" s="1" t="str">
        <f aca="false">IFERROR(INDEX(MAP!$K$7:$K$101,MATCH(TRIM(C1525),MAP!$I$7:$I$101,0)),"")</f>
        <v>Community benefit infrastructure</v>
      </c>
      <c r="F1525" s="1" t="str">
        <f aca="false">IFERROR(INDEX(MAP!$L$7:$L$101,MATCH(TRIM(C1525),MAP!$I$7:$I$101,0)),"")</f>
        <v>Monthly</v>
      </c>
      <c r="G1525" s="1" t="n">
        <f aca="false">IFERROR(MATCH(A1525,CONFIRM!$A$5:$A$53,0),0)</f>
        <v>0</v>
      </c>
      <c r="H1525" s="48" t="str">
        <f aca="false">STACK!F1525</f>
        <v>CBO</v>
      </c>
      <c r="I1525" s="1" t="str">
        <f aca="false">IF(G1525&gt;0,IF(INDEX(CONFIRM!$I$5:$I$53,G1525)&lt;&gt;"",INDEX(CONFIRM!$I$5:$I$53,G1525),H1525),H1525)</f>
        <v>CBO</v>
      </c>
      <c r="J1525" s="1" t="str">
        <f aca="false">IFERROR(INDEX(MAP!$F$7:$F$74,MATCH(TRIM(I1525),MAP!$E$7:$E$74,0)),"UNMAPPED")</f>
        <v>Community benefit operations</v>
      </c>
      <c r="K1525" s="1" t="str">
        <f aca="false">IFERROR(INDEX(MAP!$G$7:$G$74,MATCH(TRIM(I1525),MAP!$E$7:$E$74,0)),"UNMAPPED")</f>
        <v>7e</v>
      </c>
      <c r="L1525" s="49" t="str">
        <f aca="false">STACK!G1525</f>
        <v>31-Jan-2026</v>
      </c>
      <c r="M1525" s="59" t="n">
        <f aca="false">IF(G1525&gt;0,IF(INDEX(CONFIRM!$G$5:$G$53,G1525)&lt;&gt;"",INDEX(CONFIRM!$G$5:$G$53,G1525),IF(ISNUMBER(L1525),L1525,IFERROR(DATEVALUE(L1525),""))),IF(ISNUMBER(L1525),L1525,IFERROR(DATEVALUE(L1525),"")))</f>
        <v>46053</v>
      </c>
      <c r="N1525" s="1" t="str">
        <f aca="false">IF(M1525="","Check",IF(AND(M1525&gt;=INPUTS!$C$6,M1525&lt;=INPUTS!$C$7),"Yes","No"))</f>
        <v>Yes</v>
      </c>
      <c r="O1525" s="48" t="str">
        <f aca="false">STACK!H1525</f>
        <v> Secretary</v>
      </c>
      <c r="P1525" s="1" t="str">
        <f aca="false">IF(G1525&gt;0,IF(INDEX(CONFIRM!$H$5:$H$53,G1525)&lt;&gt;"",INDEX(CONFIRM!$H$5:$H$53,G1525),IFERROR(INDEX(MAP!$B$7:$B$156,MATCH(TRIM(O1525),MAP!$A$7:$A$156,0)),"UNMAPPED")),IFERROR(INDEX(MAP!$B$7:$B$156,MATCH(TRIM(O1525),MAP!$A$7:$A$156,0)),"UNMAPPED"))</f>
        <v>Administrative Assistant</v>
      </c>
      <c r="Q1525" s="48" t="n">
        <f aca="false">STACK!I1525</f>
        <v>46.75</v>
      </c>
      <c r="R1525" s="60" t="n">
        <f aca="false">IF(G1525&gt;0,IF(INDEX(CONFIRM!$F$5:$F$53,G1525)&lt;&gt;"",INDEX(CONFIRM!$F$5:$F$53,G1525),IF(ISNUMBER(Q1525),Q1525,IF(Q1525="","",IFERROR(VALUE(TRIM(SUBSTITUTE(SUBSTITUTE(LOWER(Q1525),"hrs",""),"hr",""))),"")))),IF(ISNUMBER(Q1525),Q1525,IF(Q1525="","",IFERROR(VALUE(TRIM(SUBSTITUTE(SUBSTITUTE(LOWER(Q1525),"hrs",""),"hr",""))),""))))</f>
        <v>46.75</v>
      </c>
      <c r="S1525" s="57" t="n">
        <f aca="false">IFERROR(INDEX(RATES!$E$6:$E$28,MATCH(P1525,RATES!$A$6:$A$28,0)),0)</f>
        <v>26.985</v>
      </c>
      <c r="T1525" s="61" t="n">
        <f aca="false">IF(ISNUMBER(R1525),R1525,0)*S1525</f>
        <v>1261.54875</v>
      </c>
      <c r="U1525" s="61" t="n">
        <f aca="false">T1525*INDEX(INPUTS!$H$10:$H$14,MATCH(B1525,INPUTS!$A$10:$A$14,0))</f>
        <v>190.49386125</v>
      </c>
      <c r="V1525" s="61" t="n">
        <f aca="false">N(STACK!K1525)</f>
        <v>0</v>
      </c>
      <c r="W1525" s="61" t="n">
        <f aca="false">T1525+U1525+V1525</f>
        <v>1452.04261125</v>
      </c>
      <c r="X1525" s="61" t="n">
        <f aca="false">N(STACK!L1525)</f>
        <v>0</v>
      </c>
      <c r="Y1525" s="61" t="n">
        <f aca="false">W1525-X1525</f>
        <v>1452.04261125</v>
      </c>
      <c r="Z1525" s="1" t="n">
        <f aca="false">N(STACK!J1525)</f>
        <v>0</v>
      </c>
      <c r="AA1525" s="1" t="str">
        <f aca="false">TRIM(IF(D1525="UNMAPPED","Program not mapped. ","")&amp;IF(OR(K1525="UNMAPPED",K1525="UNASSIGNED"),"Category needs review. ","")&amp;IF(P1525="UNMAPPED","Title not mapped. ","")&amp;IF(AND(P1525&lt;&gt;"No staff time",R1525=""),"Missing hours. ","")&amp;IF(M1525="","Date not readable. ","")&amp;IF(N1525="No","Outside fiscal year. ","")&amp;IF(AND(F1525="Event",ISNUMBER(R1525)),IF(R1525&gt;12,"Event hours look high. ",""),"")&amp;IF(G1525&gt;0,"See CONFIRM sheet.",""))</f>
        <v/>
      </c>
      <c r="AB1525" s="1" t="n">
        <f aca="false">IF(N1525="No",0,IF(REVIEW!O1525=0,0,IF(G1525&gt;0,IF(INDEX(CONFIRM!$J$5:$J$53,G1525)&lt;&gt;"",INDEX(CONFIRM!$J$5:$J$53,G1525),1),1)))</f>
        <v>1</v>
      </c>
      <c r="AC1525" s="1" t="n">
        <f aca="false">IF(AB1525=1,IF(COUNTIFS($B$5:B1525,B1525,$D$5:D1525,D1525,$AB$5:AB1525,1)=1,1,0),0)</f>
        <v>0</v>
      </c>
    </row>
    <row r="1526" customFormat="false" ht="15" hidden="false" customHeight="false" outlineLevel="0" collapsed="false">
      <c r="A1526" s="48" t="str">
        <f aca="false">STACK!A1526</f>
        <v>QHH-0145</v>
      </c>
      <c r="B1526" s="48" t="str">
        <f aca="false">STACK!B1526</f>
        <v>QHH</v>
      </c>
      <c r="C1526" s="48" t="str">
        <f aca="false">STACK!E1526</f>
        <v>Community Benefit Admin.</v>
      </c>
      <c r="D1526" s="1" t="str">
        <f aca="false">IFERROR(INDEX(MAP!$J$7:$J$101,MATCH(TRIM(C1526),MAP!$I$7:$I$101,0)),"UNMAPPED")</f>
        <v>Community Benefit Program Administration</v>
      </c>
      <c r="E1526" s="1" t="str">
        <f aca="false">IFERROR(INDEX(MAP!$K$7:$K$101,MATCH(TRIM(C1526),MAP!$I$7:$I$101,0)),"")</f>
        <v>Community benefit infrastructure</v>
      </c>
      <c r="F1526" s="1" t="str">
        <f aca="false">IFERROR(INDEX(MAP!$L$7:$L$101,MATCH(TRIM(C1526),MAP!$I$7:$I$101,0)),"")</f>
        <v>Monthly</v>
      </c>
      <c r="G1526" s="1" t="n">
        <f aca="false">IFERROR(MATCH(A1526,CONFIRM!$A$5:$A$53,0),0)</f>
        <v>0</v>
      </c>
      <c r="H1526" s="48" t="str">
        <f aca="false">STACK!F1526</f>
        <v>CBO</v>
      </c>
      <c r="I1526" s="1" t="str">
        <f aca="false">IF(G1526&gt;0,IF(INDEX(CONFIRM!$I$5:$I$53,G1526)&lt;&gt;"",INDEX(CONFIRM!$I$5:$I$53,G1526),H1526),H1526)</f>
        <v>CBO</v>
      </c>
      <c r="J1526" s="1" t="str">
        <f aca="false">IFERROR(INDEX(MAP!$F$7:$F$74,MATCH(TRIM(I1526),MAP!$E$7:$E$74,0)),"UNMAPPED")</f>
        <v>Community benefit operations</v>
      </c>
      <c r="K1526" s="1" t="str">
        <f aca="false">IFERROR(INDEX(MAP!$G$7:$G$74,MATCH(TRIM(I1526),MAP!$E$7:$E$74,0)),"UNMAPPED")</f>
        <v>7e</v>
      </c>
      <c r="L1526" s="49" t="str">
        <f aca="false">STACK!G1526</f>
        <v>31-Jan-2026</v>
      </c>
      <c r="M1526" s="59" t="n">
        <f aca="false">IF(G1526&gt;0,IF(INDEX(CONFIRM!$G$5:$G$53,G1526)&lt;&gt;"",INDEX(CONFIRM!$G$5:$G$53,G1526),IF(ISNUMBER(L1526),L1526,IFERROR(DATEVALUE(L1526),""))),IF(ISNUMBER(L1526),L1526,IFERROR(DATEVALUE(L1526),"")))</f>
        <v>46053</v>
      </c>
      <c r="N1526" s="1" t="str">
        <f aca="false">IF(M1526="","Check",IF(AND(M1526&gt;=INPUTS!$C$6,M1526&lt;=INPUTS!$C$7),"Yes","No"))</f>
        <v>Yes</v>
      </c>
      <c r="O1526" s="48" t="str">
        <f aca="false">STACK!H1526</f>
        <v>Community Benefit Manager</v>
      </c>
      <c r="P1526" s="1" t="str">
        <f aca="false">IF(G1526&gt;0,IF(INDEX(CONFIRM!$H$5:$H$53,G1526)&lt;&gt;"",INDEX(CONFIRM!$H$5:$H$53,G1526),IFERROR(INDEX(MAP!$B$7:$B$156,MATCH(TRIM(O1526),MAP!$A$7:$A$156,0)),"UNMAPPED")),IFERROR(INDEX(MAP!$B$7:$B$156,MATCH(TRIM(O1526),MAP!$A$7:$A$156,0)),"UNMAPPED"))</f>
        <v>Community Benefit Manager</v>
      </c>
      <c r="Q1526" s="48" t="n">
        <f aca="false">STACK!I1526</f>
        <v>64.25</v>
      </c>
      <c r="R1526" s="60" t="n">
        <f aca="false">IF(G1526&gt;0,IF(INDEX(CONFIRM!$F$5:$F$53,G1526)&lt;&gt;"",INDEX(CONFIRM!$F$5:$F$53,G1526),IF(ISNUMBER(Q1526),Q1526,IF(Q1526="","",IFERROR(VALUE(TRIM(SUBSTITUTE(SUBSTITUTE(LOWER(Q1526),"hrs",""),"hr",""))),"")))),IF(ISNUMBER(Q1526),Q1526,IF(Q1526="","",IFERROR(VALUE(TRIM(SUBSTITUTE(SUBSTITUTE(LOWER(Q1526),"hrs",""),"hr",""))),""))))</f>
        <v>64.25</v>
      </c>
      <c r="S1526" s="57" t="n">
        <f aca="false">IFERROR(INDEX(RATES!$E$6:$E$28,MATCH(P1526,RATES!$A$6:$A$28,0)),0)</f>
        <v>59.11</v>
      </c>
      <c r="T1526" s="61" t="n">
        <f aca="false">IF(ISNUMBER(R1526),R1526,0)*S1526</f>
        <v>3797.8175</v>
      </c>
      <c r="U1526" s="61" t="n">
        <f aca="false">T1526*INDEX(INPUTS!$H$10:$H$14,MATCH(B1526,INPUTS!$A$10:$A$14,0))</f>
        <v>573.4704425</v>
      </c>
      <c r="V1526" s="61" t="n">
        <f aca="false">N(STACK!K1526)</f>
        <v>580</v>
      </c>
      <c r="W1526" s="61" t="n">
        <f aca="false">T1526+U1526+V1526</f>
        <v>4951.2879425</v>
      </c>
      <c r="X1526" s="61" t="n">
        <f aca="false">N(STACK!L1526)</f>
        <v>0</v>
      </c>
      <c r="Y1526" s="61" t="n">
        <f aca="false">W1526-X1526</f>
        <v>4951.2879425</v>
      </c>
      <c r="Z1526" s="1" t="n">
        <f aca="false">N(STACK!J1526)</f>
        <v>0</v>
      </c>
      <c r="AA1526" s="1" t="str">
        <f aca="false">TRIM(IF(D1526="UNMAPPED","Program not mapped. ","")&amp;IF(OR(K1526="UNMAPPED",K1526="UNASSIGNED"),"Category needs review. ","")&amp;IF(P1526="UNMAPPED","Title not mapped. ","")&amp;IF(AND(P1526&lt;&gt;"No staff time",R1526=""),"Missing hours. ","")&amp;IF(M1526="","Date not readable. ","")&amp;IF(N1526="No","Outside fiscal year. ","")&amp;IF(AND(F1526="Event",ISNUMBER(R1526)),IF(R1526&gt;12,"Event hours look high. ",""),"")&amp;IF(G1526&gt;0,"See CONFIRM sheet.",""))</f>
        <v/>
      </c>
      <c r="AB1526" s="1" t="n">
        <f aca="false">IF(N1526="No",0,IF(REVIEW!O1526=0,0,IF(G1526&gt;0,IF(INDEX(CONFIRM!$J$5:$J$53,G1526)&lt;&gt;"",INDEX(CONFIRM!$J$5:$J$53,G1526),1),1)))</f>
        <v>1</v>
      </c>
      <c r="AC1526" s="1" t="n">
        <f aca="false">IF(AB1526=1,IF(COUNTIFS($B$5:B1526,B1526,$D$5:D1526,D1526,$AB$5:AB1526,1)=1,1,0),0)</f>
        <v>0</v>
      </c>
    </row>
    <row r="1527" customFormat="false" ht="15" hidden="false" customHeight="false" outlineLevel="0" collapsed="false">
      <c r="A1527" s="48" t="str">
        <f aca="false">STACK!A1527</f>
        <v>QHH-0146</v>
      </c>
      <c r="B1527" s="48" t="str">
        <f aca="false">STACK!B1527</f>
        <v>QHH</v>
      </c>
      <c r="C1527" s="48" t="str">
        <f aca="false">STACK!E1527</f>
        <v>Community Paramedicine</v>
      </c>
      <c r="D1527" s="1" t="str">
        <f aca="false">IFERROR(INDEX(MAP!$J$7:$J$101,MATCH(TRIM(C1527),MAP!$I$7:$I$101,0)),"UNMAPPED")</f>
        <v>Community Paramedic Home Visits</v>
      </c>
      <c r="E1527" s="1" t="str">
        <f aca="false">IFERROR(INDEX(MAP!$K$7:$K$101,MATCH(TRIM(C1527),MAP!$I$7:$I$101,0)),"")</f>
        <v>Access to care</v>
      </c>
      <c r="F1527" s="1" t="str">
        <f aca="false">IFERROR(INDEX(MAP!$L$7:$L$101,MATCH(TRIM(C1527),MAP!$I$7:$I$101,0)),"")</f>
        <v>Monthly</v>
      </c>
      <c r="G1527" s="1" t="n">
        <f aca="false">IFERROR(MATCH(A1527,CONFIRM!$A$5:$A$53,0),0)</f>
        <v>0</v>
      </c>
      <c r="H1527" s="48" t="str">
        <f aca="false">STACK!F1527</f>
        <v>CHIS - Clinical</v>
      </c>
      <c r="I1527" s="1" t="str">
        <f aca="false">IF(G1527&gt;0,IF(INDEX(CONFIRM!$I$5:$I$53,G1527)&lt;&gt;"",INDEX(CONFIRM!$I$5:$I$53,G1527),H1527),H1527)</f>
        <v>CHIS - Clinical</v>
      </c>
      <c r="J1527" s="1" t="str">
        <f aca="false">IFERROR(INDEX(MAP!$F$7:$F$74,MATCH(TRIM(I1527),MAP!$E$7:$E$74,0)),"UNMAPPED")</f>
        <v>Community-based clinical services</v>
      </c>
      <c r="K1527" s="1" t="str">
        <f aca="false">IFERROR(INDEX(MAP!$G$7:$G$74,MATCH(TRIM(I1527),MAP!$E$7:$E$74,0)),"UNMAPPED")</f>
        <v>7e</v>
      </c>
      <c r="L1527" s="49" t="str">
        <f aca="false">STACK!G1527</f>
        <v>31-Jan-2026</v>
      </c>
      <c r="M1527" s="59" t="n">
        <f aca="false">IF(G1527&gt;0,IF(INDEX(CONFIRM!$G$5:$G$53,G1527)&lt;&gt;"",INDEX(CONFIRM!$G$5:$G$53,G1527),IF(ISNUMBER(L1527),L1527,IFERROR(DATEVALUE(L1527),""))),IF(ISNUMBER(L1527),L1527,IFERROR(DATEVALUE(L1527),"")))</f>
        <v>46053</v>
      </c>
      <c r="N1527" s="1" t="str">
        <f aca="false">IF(M1527="","Check",IF(AND(M1527&gt;=INPUTS!$C$6,M1527&lt;=INPUTS!$C$7),"Yes","No"))</f>
        <v>Yes</v>
      </c>
      <c r="O1527" s="48" t="str">
        <f aca="false">STACK!H1527</f>
        <v>EMS Paramedic</v>
      </c>
      <c r="P1527" s="1" t="str">
        <f aca="false">IF(G1527&gt;0,IF(INDEX(CONFIRM!$H$5:$H$53,G1527)&lt;&gt;"",INDEX(CONFIRM!$H$5:$H$53,G1527),IFERROR(INDEX(MAP!$B$7:$B$156,MATCH(TRIM(O1527),MAP!$A$7:$A$156,0)),"UNMAPPED")),IFERROR(INDEX(MAP!$B$7:$B$156,MATCH(TRIM(O1527),MAP!$A$7:$A$156,0)),"UNMAPPED"))</f>
        <v>Paramedic</v>
      </c>
      <c r="Q1527" s="48" t="n">
        <f aca="false">STACK!I1527</f>
        <v>71.5</v>
      </c>
      <c r="R1527" s="60" t="n">
        <f aca="false">IF(G1527&gt;0,IF(INDEX(CONFIRM!$F$5:$F$53,G1527)&lt;&gt;"",INDEX(CONFIRM!$F$5:$F$53,G1527),IF(ISNUMBER(Q1527),Q1527,IF(Q1527="","",IFERROR(VALUE(TRIM(SUBSTITUTE(SUBSTITUTE(LOWER(Q1527),"hrs",""),"hr",""))),"")))),IF(ISNUMBER(Q1527),Q1527,IF(Q1527="","",IFERROR(VALUE(TRIM(SUBSTITUTE(SUBSTITUTE(LOWER(Q1527),"hrs",""),"hr",""))),""))))</f>
        <v>71.5</v>
      </c>
      <c r="S1527" s="57" t="n">
        <f aca="false">IFERROR(INDEX(RATES!$E$6:$E$28,MATCH(P1527,RATES!$A$6:$A$28,0)),0)</f>
        <v>34.695</v>
      </c>
      <c r="T1527" s="61" t="n">
        <f aca="false">IF(ISNUMBER(R1527),R1527,0)*S1527</f>
        <v>2480.6925</v>
      </c>
      <c r="U1527" s="61" t="n">
        <f aca="false">T1527*INDEX(INPUTS!$H$10:$H$14,MATCH(B1527,INPUTS!$A$10:$A$14,0))</f>
        <v>374.5845675</v>
      </c>
      <c r="V1527" s="61" t="n">
        <f aca="false">N(STACK!K1527)</f>
        <v>925</v>
      </c>
      <c r="W1527" s="61" t="n">
        <f aca="false">T1527+U1527+V1527</f>
        <v>3780.2770675</v>
      </c>
      <c r="X1527" s="61" t="n">
        <f aca="false">N(STACK!L1527)</f>
        <v>0</v>
      </c>
      <c r="Y1527" s="61" t="n">
        <f aca="false">W1527-X1527</f>
        <v>3780.2770675</v>
      </c>
      <c r="Z1527" s="1" t="n">
        <f aca="false">N(STACK!J1527)</f>
        <v>61</v>
      </c>
      <c r="AA1527" s="1" t="str">
        <f aca="false">TRIM(IF(D1527="UNMAPPED","Program not mapped. ","")&amp;IF(OR(K1527="UNMAPPED",K1527="UNASSIGNED"),"Category needs review. ","")&amp;IF(P1527="UNMAPPED","Title not mapped. ","")&amp;IF(AND(P1527&lt;&gt;"No staff time",R1527=""),"Missing hours. ","")&amp;IF(M1527="","Date not readable. ","")&amp;IF(N1527="No","Outside fiscal year. ","")&amp;IF(AND(F1527="Event",ISNUMBER(R1527)),IF(R1527&gt;12,"Event hours look high. ",""),"")&amp;IF(G1527&gt;0,"See CONFIRM sheet.",""))</f>
        <v/>
      </c>
      <c r="AB1527" s="1" t="n">
        <f aca="false">IF(N1527="No",0,IF(REVIEW!O1527=0,0,IF(G1527&gt;0,IF(INDEX(CONFIRM!$J$5:$J$53,G1527)&lt;&gt;"",INDEX(CONFIRM!$J$5:$J$53,G1527),1),1)))</f>
        <v>1</v>
      </c>
      <c r="AC1527" s="1" t="n">
        <f aca="false">IF(AB1527=1,IF(COUNTIFS($B$5:B1527,B1527,$D$5:D1527,D1527,$AB$5:AB1527,1)=1,1,0),0)</f>
        <v>0</v>
      </c>
    </row>
    <row r="1528" customFormat="false" ht="15" hidden="false" customHeight="false" outlineLevel="0" collapsed="false">
      <c r="A1528" s="48" t="str">
        <f aca="false">STACK!A1528</f>
        <v>QHH-0147</v>
      </c>
      <c r="B1528" s="48" t="str">
        <f aca="false">STACK!B1528</f>
        <v>QHH</v>
      </c>
      <c r="C1528" s="48" t="str">
        <f aca="false">STACK!E1528</f>
        <v>Nursing Clinical Rotations</v>
      </c>
      <c r="D1528" s="1" t="str">
        <f aca="false">IFERROR(INDEX(MAP!$J$7:$J$101,MATCH(TRIM(C1528),MAP!$I$7:$I$101,0)),"UNMAPPED")</f>
        <v>Nursing Student Clinical Rotations</v>
      </c>
      <c r="E1528" s="1" t="str">
        <f aca="false">IFERROR(INDEX(MAP!$K$7:$K$101,MATCH(TRIM(C1528),MAP!$I$7:$I$101,0)),"")</f>
        <v>Health workforce</v>
      </c>
      <c r="F1528" s="1" t="str">
        <f aca="false">IFERROR(INDEX(MAP!$L$7:$L$101,MATCH(TRIM(C1528),MAP!$I$7:$I$101,0)),"")</f>
        <v>Monthly</v>
      </c>
      <c r="G1528" s="1" t="n">
        <f aca="false">IFERROR(MATCH(A1528,CONFIRM!$A$5:$A$53,0),0)</f>
        <v>0</v>
      </c>
      <c r="H1528" s="48" t="str">
        <f aca="false">STACK!F1528</f>
        <v>HPE - Students</v>
      </c>
      <c r="I1528" s="1" t="str">
        <f aca="false">IF(G1528&gt;0,IF(INDEX(CONFIRM!$I$5:$I$53,G1528)&lt;&gt;"",INDEX(CONFIRM!$I$5:$I$53,G1528),H1528),H1528)</f>
        <v>HPE - Students</v>
      </c>
      <c r="J1528" s="1" t="str">
        <f aca="false">IFERROR(INDEX(MAP!$F$7:$F$74,MATCH(TRIM(I1528),MAP!$E$7:$E$74,0)),"UNMAPPED")</f>
        <v>Health professions education</v>
      </c>
      <c r="K1528" s="1" t="str">
        <f aca="false">IFERROR(INDEX(MAP!$G$7:$G$74,MATCH(TRIM(I1528),MAP!$E$7:$E$74,0)),"UNMAPPED")</f>
        <v>7f</v>
      </c>
      <c r="L1528" s="49" t="str">
        <f aca="false">STACK!G1528</f>
        <v>31-Jan-2026</v>
      </c>
      <c r="M1528" s="59" t="n">
        <f aca="false">IF(G1528&gt;0,IF(INDEX(CONFIRM!$G$5:$G$53,G1528)&lt;&gt;"",INDEX(CONFIRM!$G$5:$G$53,G1528),IF(ISNUMBER(L1528),L1528,IFERROR(DATEVALUE(L1528),""))),IF(ISNUMBER(L1528),L1528,IFERROR(DATEVALUE(L1528),"")))</f>
        <v>46053</v>
      </c>
      <c r="N1528" s="1" t="str">
        <f aca="false">IF(M1528="","Check",IF(AND(M1528&gt;=INPUTS!$C$6,M1528&lt;=INPUTS!$C$7),"Yes","No"))</f>
        <v>Yes</v>
      </c>
      <c r="O1528" s="48" t="str">
        <f aca="false">STACK!H1528</f>
        <v>Clin Educator</v>
      </c>
      <c r="P1528" s="1" t="str">
        <f aca="false">IF(G1528&gt;0,IF(INDEX(CONFIRM!$H$5:$H$53,G1528)&lt;&gt;"",INDEX(CONFIRM!$H$5:$H$53,G1528),IFERROR(INDEX(MAP!$B$7:$B$156,MATCH(TRIM(O1528),MAP!$A$7:$A$156,0)),"UNMAPPED")),IFERROR(INDEX(MAP!$B$7:$B$156,MATCH(TRIM(O1528),MAP!$A$7:$A$156,0)),"UNMAPPED"))</f>
        <v>Clinical Nurse Educator</v>
      </c>
      <c r="Q1528" s="48" t="n">
        <f aca="false">STACK!I1528</f>
        <v>101.25</v>
      </c>
      <c r="R1528" s="60" t="n">
        <f aca="false">IF(G1528&gt;0,IF(INDEX(CONFIRM!$F$5:$F$53,G1528)&lt;&gt;"",INDEX(CONFIRM!$F$5:$F$53,G1528),IF(ISNUMBER(Q1528),Q1528,IF(Q1528="","",IFERROR(VALUE(TRIM(SUBSTITUTE(SUBSTITUTE(LOWER(Q1528),"hrs",""),"hr",""))),"")))),IF(ISNUMBER(Q1528),Q1528,IF(Q1528="","",IFERROR(VALUE(TRIM(SUBSTITUTE(SUBSTITUTE(LOWER(Q1528),"hrs",""),"hr",""))),""))))</f>
        <v>101.25</v>
      </c>
      <c r="S1528" s="57" t="n">
        <f aca="false">IFERROR(INDEX(RATES!$E$6:$E$28,MATCH(P1528,RATES!$A$6:$A$28,0)),0)</f>
        <v>62.965</v>
      </c>
      <c r="T1528" s="61" t="n">
        <f aca="false">IF(ISNUMBER(R1528),R1528,0)*S1528</f>
        <v>6375.20625</v>
      </c>
      <c r="U1528" s="61" t="n">
        <f aca="false">T1528*INDEX(INPUTS!$H$10:$H$14,MATCH(B1528,INPUTS!$A$10:$A$14,0))</f>
        <v>962.65614375</v>
      </c>
      <c r="V1528" s="61" t="n">
        <f aca="false">N(STACK!K1528)</f>
        <v>650</v>
      </c>
      <c r="W1528" s="61" t="n">
        <f aca="false">T1528+U1528+V1528</f>
        <v>7987.86239375</v>
      </c>
      <c r="X1528" s="61" t="n">
        <f aca="false">N(STACK!L1528)</f>
        <v>0</v>
      </c>
      <c r="Y1528" s="61" t="n">
        <f aca="false">W1528-X1528</f>
        <v>7987.86239375</v>
      </c>
      <c r="Z1528" s="1" t="n">
        <f aca="false">N(STACK!J1528)</f>
        <v>26</v>
      </c>
      <c r="AA1528" s="1" t="str">
        <f aca="false">TRIM(IF(D1528="UNMAPPED","Program not mapped. ","")&amp;IF(OR(K1528="UNMAPPED",K1528="UNASSIGNED"),"Category needs review. ","")&amp;IF(P1528="UNMAPPED","Title not mapped. ","")&amp;IF(AND(P1528&lt;&gt;"No staff time",R1528=""),"Missing hours. ","")&amp;IF(M1528="","Date not readable. ","")&amp;IF(N1528="No","Outside fiscal year. ","")&amp;IF(AND(F1528="Event",ISNUMBER(R1528)),IF(R1528&gt;12,"Event hours look high. ",""),"")&amp;IF(G1528&gt;0,"See CONFIRM sheet.",""))</f>
        <v/>
      </c>
      <c r="AB1528" s="1" t="n">
        <f aca="false">IF(N1528="No",0,IF(REVIEW!O1528=0,0,IF(G1528&gt;0,IF(INDEX(CONFIRM!$J$5:$J$53,G1528)&lt;&gt;"",INDEX(CONFIRM!$J$5:$J$53,G1528),1),1)))</f>
        <v>1</v>
      </c>
      <c r="AC1528" s="1" t="n">
        <f aca="false">IF(AB1528=1,IF(COUNTIFS($B$5:B1528,B1528,$D$5:D1528,D1528,$AB$5:AB1528,1)=1,1,0),0)</f>
        <v>0</v>
      </c>
    </row>
    <row r="1529" customFormat="false" ht="15" hidden="false" customHeight="false" outlineLevel="0" collapsed="false">
      <c r="A1529" s="48" t="str">
        <f aca="false">STACK!A1529</f>
        <v>QHH-0148</v>
      </c>
      <c r="B1529" s="48" t="str">
        <f aca="false">STACK!B1529</f>
        <v>QHH</v>
      </c>
      <c r="C1529" s="48" t="str">
        <f aca="false">STACK!E1529</f>
        <v>Nursing Clinical Rotations</v>
      </c>
      <c r="D1529" s="1" t="str">
        <f aca="false">IFERROR(INDEX(MAP!$J$7:$J$101,MATCH(TRIM(C1529),MAP!$I$7:$I$101,0)),"UNMAPPED")</f>
        <v>Nursing Student Clinical Rotations</v>
      </c>
      <c r="E1529" s="1" t="str">
        <f aca="false">IFERROR(INDEX(MAP!$K$7:$K$101,MATCH(TRIM(C1529),MAP!$I$7:$I$101,0)),"")</f>
        <v>Health workforce</v>
      </c>
      <c r="F1529" s="1" t="str">
        <f aca="false">IFERROR(INDEX(MAP!$L$7:$L$101,MATCH(TRIM(C1529),MAP!$I$7:$I$101,0)),"")</f>
        <v>Monthly</v>
      </c>
      <c r="G1529" s="1" t="n">
        <f aca="false">IFERROR(MATCH(A1529,CONFIRM!$A$5:$A$53,0),0)</f>
        <v>0</v>
      </c>
      <c r="H1529" s="48" t="str">
        <f aca="false">STACK!F1529</f>
        <v>HPE - Students</v>
      </c>
      <c r="I1529" s="1" t="str">
        <f aca="false">IF(G1529&gt;0,IF(INDEX(CONFIRM!$I$5:$I$53,G1529)&lt;&gt;"",INDEX(CONFIRM!$I$5:$I$53,G1529),H1529),H1529)</f>
        <v>HPE - Students</v>
      </c>
      <c r="J1529" s="1" t="str">
        <f aca="false">IFERROR(INDEX(MAP!$F$7:$F$74,MATCH(TRIM(I1529),MAP!$E$7:$E$74,0)),"UNMAPPED")</f>
        <v>Health professions education</v>
      </c>
      <c r="K1529" s="1" t="str">
        <f aca="false">IFERROR(INDEX(MAP!$G$7:$G$74,MATCH(TRIM(I1529),MAP!$E$7:$E$74,0)),"UNMAPPED")</f>
        <v>7f</v>
      </c>
      <c r="L1529" s="49" t="str">
        <f aca="false">STACK!G1529</f>
        <v>31-Jan-2026</v>
      </c>
      <c r="M1529" s="59" t="n">
        <f aca="false">IF(G1529&gt;0,IF(INDEX(CONFIRM!$G$5:$G$53,G1529)&lt;&gt;"",INDEX(CONFIRM!$G$5:$G$53,G1529),IF(ISNUMBER(L1529),L1529,IFERROR(DATEVALUE(L1529),""))),IF(ISNUMBER(L1529),L1529,IFERROR(DATEVALUE(L1529),"")))</f>
        <v>46053</v>
      </c>
      <c r="N1529" s="1" t="str">
        <f aca="false">IF(M1529="","Check",IF(AND(M1529&gt;=INPUTS!$C$6,M1529&lt;=INPUTS!$C$7),"Yes","No"))</f>
        <v>Yes</v>
      </c>
      <c r="O1529" s="48" t="str">
        <f aca="false">STACK!H1529</f>
        <v>RN II</v>
      </c>
      <c r="P1529" s="1" t="str">
        <f aca="false">IF(G1529&gt;0,IF(INDEX(CONFIRM!$H$5:$H$53,G1529)&lt;&gt;"",INDEX(CONFIRM!$H$5:$H$53,G1529),IFERROR(INDEX(MAP!$B$7:$B$156,MATCH(TRIM(O1529),MAP!$A$7:$A$156,0)),"UNMAPPED")),IFERROR(INDEX(MAP!$B$7:$B$156,MATCH(TRIM(O1529),MAP!$A$7:$A$156,0)),"UNMAPPED"))</f>
        <v>Registered Nurse</v>
      </c>
      <c r="Q1529" s="48" t="n">
        <f aca="false">STACK!I1529</f>
        <v>156.75</v>
      </c>
      <c r="R1529" s="60" t="n">
        <f aca="false">IF(G1529&gt;0,IF(INDEX(CONFIRM!$F$5:$F$53,G1529)&lt;&gt;"",INDEX(CONFIRM!$F$5:$F$53,G1529),IF(ISNUMBER(Q1529),Q1529,IF(Q1529="","",IFERROR(VALUE(TRIM(SUBSTITUTE(SUBSTITUTE(LOWER(Q1529),"hrs",""),"hr",""))),"")))),IF(ISNUMBER(Q1529),Q1529,IF(Q1529="","",IFERROR(VALUE(TRIM(SUBSTITUTE(SUBSTITUTE(LOWER(Q1529),"hrs",""),"hr",""))),""))))</f>
        <v>156.75</v>
      </c>
      <c r="S1529" s="57" t="n">
        <f aca="false">IFERROR(INDEX(RATES!$E$6:$E$28,MATCH(P1529,RATES!$A$6:$A$28,0)),0)</f>
        <v>55.8975</v>
      </c>
      <c r="T1529" s="61" t="n">
        <f aca="false">IF(ISNUMBER(R1529),R1529,0)*S1529</f>
        <v>8761.933125</v>
      </c>
      <c r="U1529" s="61" t="n">
        <f aca="false">T1529*INDEX(INPUTS!$H$10:$H$14,MATCH(B1529,INPUTS!$A$10:$A$14,0))</f>
        <v>1323.051901875</v>
      </c>
      <c r="V1529" s="61" t="n">
        <f aca="false">N(STACK!K1529)</f>
        <v>0</v>
      </c>
      <c r="W1529" s="61" t="n">
        <f aca="false">T1529+U1529+V1529</f>
        <v>10084.985026875</v>
      </c>
      <c r="X1529" s="61" t="n">
        <f aca="false">N(STACK!L1529)</f>
        <v>0</v>
      </c>
      <c r="Y1529" s="61" t="n">
        <f aca="false">W1529-X1529</f>
        <v>10084.985026875</v>
      </c>
      <c r="Z1529" s="1" t="n">
        <f aca="false">N(STACK!J1529)</f>
        <v>0</v>
      </c>
      <c r="AA1529" s="1" t="str">
        <f aca="false">TRIM(IF(D1529="UNMAPPED","Program not mapped. ","")&amp;IF(OR(K1529="UNMAPPED",K1529="UNASSIGNED"),"Category needs review. ","")&amp;IF(P1529="UNMAPPED","Title not mapped. ","")&amp;IF(AND(P1529&lt;&gt;"No staff time",R1529=""),"Missing hours. ","")&amp;IF(M1529="","Date not readable. ","")&amp;IF(N1529="No","Outside fiscal year. ","")&amp;IF(AND(F1529="Event",ISNUMBER(R1529)),IF(R1529&gt;12,"Event hours look high. ",""),"")&amp;IF(G1529&gt;0,"See CONFIRM sheet.",""))</f>
        <v/>
      </c>
      <c r="AB1529" s="1" t="n">
        <f aca="false">IF(N1529="No",0,IF(REVIEW!O1529=0,0,IF(G1529&gt;0,IF(INDEX(CONFIRM!$J$5:$J$53,G1529)&lt;&gt;"",INDEX(CONFIRM!$J$5:$J$53,G1529),1),1)))</f>
        <v>1</v>
      </c>
      <c r="AC1529" s="1" t="n">
        <f aca="false">IF(AB1529=1,IF(COUNTIFS($B$5:B1529,B1529,$D$5:D1529,D1529,$AB$5:AB1529,1)=1,1,0),0)</f>
        <v>0</v>
      </c>
    </row>
    <row r="1530" customFormat="false" ht="15" hidden="false" customHeight="false" outlineLevel="0" collapsed="false">
      <c r="A1530" s="48" t="str">
        <f aca="false">STACK!A1530</f>
        <v>QHH-0149</v>
      </c>
      <c r="B1530" s="48" t="str">
        <f aca="false">STACK!B1530</f>
        <v>QHH</v>
      </c>
      <c r="C1530" s="48" t="str">
        <f aca="false">STACK!E1530</f>
        <v>Regional Coalition</v>
      </c>
      <c r="D1530" s="1" t="str">
        <f aca="false">IFERROR(INDEX(MAP!$J$7:$J$101,MATCH(TRIM(C1530),MAP!$I$7:$I$101,0)),"UNMAPPED")</f>
        <v>Regional Health Coalition</v>
      </c>
      <c r="E1530" s="1" t="str">
        <f aca="false">IFERROR(INDEX(MAP!$K$7:$K$101,MATCH(TRIM(C1530),MAP!$I$7:$I$101,0)),"")</f>
        <v>Community benefit infrastructure</v>
      </c>
      <c r="F1530" s="1" t="str">
        <f aca="false">IFERROR(INDEX(MAP!$L$7:$L$101,MATCH(TRIM(C1530),MAP!$I$7:$I$101,0)),"")</f>
        <v>Event</v>
      </c>
      <c r="G1530" s="1" t="n">
        <f aca="false">IFERROR(MATCH(A1530,CONFIRM!$A$5:$A$53,0),0)</f>
        <v>0</v>
      </c>
      <c r="H1530" s="48" t="str">
        <f aca="false">STACK!F1530</f>
        <v>Coalition (CB)</v>
      </c>
      <c r="I1530" s="1" t="str">
        <f aca="false">IF(G1530&gt;0,IF(INDEX(CONFIRM!$I$5:$I$53,G1530)&lt;&gt;"",INDEX(CONFIRM!$I$5:$I$53,G1530),H1530),H1530)</f>
        <v>Coalition (CB)</v>
      </c>
      <c r="J1530" s="1" t="str">
        <f aca="false">IFERROR(INDEX(MAP!$F$7:$F$74,MATCH(TRIM(I1530),MAP!$E$7:$E$74,0)),"UNMAPPED")</f>
        <v>Community building: coalition building</v>
      </c>
      <c r="K1530" s="1" t="str">
        <f aca="false">IFERROR(INDEX(MAP!$G$7:$G$74,MATCH(TRIM(I1530),MAP!$E$7:$E$74,0)),"UNMAPPED")</f>
        <v>II-6</v>
      </c>
      <c r="L1530" s="49" t="str">
        <f aca="false">STACK!G1530</f>
        <v>31-Jan-2026</v>
      </c>
      <c r="M1530" s="59" t="n">
        <f aca="false">IF(G1530&gt;0,IF(INDEX(CONFIRM!$G$5:$G$53,G1530)&lt;&gt;"",INDEX(CONFIRM!$G$5:$G$53,G1530),IF(ISNUMBER(L1530),L1530,IFERROR(DATEVALUE(L1530),""))),IF(ISNUMBER(L1530),L1530,IFERROR(DATEVALUE(L1530),"")))</f>
        <v>46053</v>
      </c>
      <c r="N1530" s="1" t="str">
        <f aca="false">IF(M1530="","Check",IF(AND(M1530&gt;=INPUTS!$C$6,M1530&lt;=INPUTS!$C$7),"Yes","No"))</f>
        <v>Yes</v>
      </c>
      <c r="O1530" s="48" t="str">
        <f aca="false">STACK!H1530</f>
        <v>CB Manager</v>
      </c>
      <c r="P1530" s="1" t="str">
        <f aca="false">IF(G1530&gt;0,IF(INDEX(CONFIRM!$H$5:$H$53,G1530)&lt;&gt;"",INDEX(CONFIRM!$H$5:$H$53,G1530),IFERROR(INDEX(MAP!$B$7:$B$156,MATCH(TRIM(O1530),MAP!$A$7:$A$156,0)),"UNMAPPED")),IFERROR(INDEX(MAP!$B$7:$B$156,MATCH(TRIM(O1530),MAP!$A$7:$A$156,0)),"UNMAPPED"))</f>
        <v>Community Benefit Manager</v>
      </c>
      <c r="Q1530" s="48" t="n">
        <f aca="false">STACK!I1530</f>
        <v>2.5</v>
      </c>
      <c r="R1530" s="60" t="n">
        <f aca="false">IF(G1530&gt;0,IF(INDEX(CONFIRM!$F$5:$F$53,G1530)&lt;&gt;"",INDEX(CONFIRM!$F$5:$F$53,G1530),IF(ISNUMBER(Q1530),Q1530,IF(Q1530="","",IFERROR(VALUE(TRIM(SUBSTITUTE(SUBSTITUTE(LOWER(Q1530),"hrs",""),"hr",""))),"")))),IF(ISNUMBER(Q1530),Q1530,IF(Q1530="","",IFERROR(VALUE(TRIM(SUBSTITUTE(SUBSTITUTE(LOWER(Q1530),"hrs",""),"hr",""))),""))))</f>
        <v>2.5</v>
      </c>
      <c r="S1530" s="57" t="n">
        <f aca="false">IFERROR(INDEX(RATES!$E$6:$E$28,MATCH(P1530,RATES!$A$6:$A$28,0)),0)</f>
        <v>59.11</v>
      </c>
      <c r="T1530" s="61" t="n">
        <f aca="false">IF(ISNUMBER(R1530),R1530,0)*S1530</f>
        <v>147.775</v>
      </c>
      <c r="U1530" s="61" t="n">
        <f aca="false">T1530*INDEX(INPUTS!$H$10:$H$14,MATCH(B1530,INPUTS!$A$10:$A$14,0))</f>
        <v>22.314025</v>
      </c>
      <c r="V1530" s="61" t="n">
        <f aca="false">N(STACK!K1530)</f>
        <v>0</v>
      </c>
      <c r="W1530" s="61" t="n">
        <f aca="false">T1530+U1530+V1530</f>
        <v>170.089025</v>
      </c>
      <c r="X1530" s="61" t="n">
        <f aca="false">N(STACK!L1530)</f>
        <v>0</v>
      </c>
      <c r="Y1530" s="61" t="n">
        <f aca="false">W1530-X1530</f>
        <v>170.089025</v>
      </c>
      <c r="Z1530" s="1" t="n">
        <f aca="false">N(STACK!J1530)</f>
        <v>0</v>
      </c>
      <c r="AA1530" s="1" t="str">
        <f aca="false">TRIM(IF(D1530="UNMAPPED","Program not mapped. ","")&amp;IF(OR(K1530="UNMAPPED",K1530="UNASSIGNED"),"Category needs review. ","")&amp;IF(P1530="UNMAPPED","Title not mapped. ","")&amp;IF(AND(P1530&lt;&gt;"No staff time",R1530=""),"Missing hours. ","")&amp;IF(M1530="","Date not readable. ","")&amp;IF(N1530="No","Outside fiscal year. ","")&amp;IF(AND(F1530="Event",ISNUMBER(R1530)),IF(R1530&gt;12,"Event hours look high. ",""),"")&amp;IF(G1530&gt;0,"See CONFIRM sheet.",""))</f>
        <v/>
      </c>
      <c r="AB1530" s="1" t="n">
        <f aca="false">IF(N1530="No",0,IF(REVIEW!O1530=0,0,IF(G1530&gt;0,IF(INDEX(CONFIRM!$J$5:$J$53,G1530)&lt;&gt;"",INDEX(CONFIRM!$J$5:$J$53,G1530),1),1)))</f>
        <v>1</v>
      </c>
      <c r="AC1530" s="1" t="n">
        <f aca="false">IF(AB1530=1,IF(COUNTIFS($B$5:B1530,B1530,$D$5:D1530,D1530,$AB$5:AB1530,1)=1,1,0),0)</f>
        <v>0</v>
      </c>
    </row>
    <row r="1531" customFormat="false" ht="15" hidden="false" customHeight="false" outlineLevel="0" collapsed="false">
      <c r="A1531" s="48" t="str">
        <f aca="false">STACK!A1531</f>
        <v>QHH-0150</v>
      </c>
      <c r="B1531" s="48" t="str">
        <f aca="false">STACK!B1531</f>
        <v>QHH</v>
      </c>
      <c r="C1531" s="48" t="str">
        <f aca="false">STACK!E1531</f>
        <v>Regional Coalition</v>
      </c>
      <c r="D1531" s="1" t="str">
        <f aca="false">IFERROR(INDEX(MAP!$J$7:$J$101,MATCH(TRIM(C1531),MAP!$I$7:$I$101,0)),"UNMAPPED")</f>
        <v>Regional Health Coalition</v>
      </c>
      <c r="E1531" s="1" t="str">
        <f aca="false">IFERROR(INDEX(MAP!$K$7:$K$101,MATCH(TRIM(C1531),MAP!$I$7:$I$101,0)),"")</f>
        <v>Community benefit infrastructure</v>
      </c>
      <c r="F1531" s="1" t="str">
        <f aca="false">IFERROR(INDEX(MAP!$L$7:$L$101,MATCH(TRIM(C1531),MAP!$I$7:$I$101,0)),"")</f>
        <v>Event</v>
      </c>
      <c r="G1531" s="1" t="n">
        <f aca="false">IFERROR(MATCH(A1531,CONFIRM!$A$5:$A$53,0),0)</f>
        <v>0</v>
      </c>
      <c r="H1531" s="48" t="str">
        <f aca="false">STACK!F1531</f>
        <v>Coalition (CB)</v>
      </c>
      <c r="I1531" s="1" t="str">
        <f aca="false">IF(G1531&gt;0,IF(INDEX(CONFIRM!$I$5:$I$53,G1531)&lt;&gt;"",INDEX(CONFIRM!$I$5:$I$53,G1531),H1531),H1531)</f>
        <v>Coalition (CB)</v>
      </c>
      <c r="J1531" s="1" t="str">
        <f aca="false">IFERROR(INDEX(MAP!$F$7:$F$74,MATCH(TRIM(I1531),MAP!$E$7:$E$74,0)),"UNMAPPED")</f>
        <v>Community building: coalition building</v>
      </c>
      <c r="K1531" s="1" t="str">
        <f aca="false">IFERROR(INDEX(MAP!$G$7:$G$74,MATCH(TRIM(I1531),MAP!$E$7:$E$74,0)),"UNMAPPED")</f>
        <v>II-6</v>
      </c>
      <c r="L1531" s="49" t="str">
        <f aca="false">STACK!G1531</f>
        <v>31-Jan-2026</v>
      </c>
      <c r="M1531" s="59" t="n">
        <f aca="false">IF(G1531&gt;0,IF(INDEX(CONFIRM!$G$5:$G$53,G1531)&lt;&gt;"",INDEX(CONFIRM!$G$5:$G$53,G1531),IF(ISNUMBER(L1531),L1531,IFERROR(DATEVALUE(L1531),""))),IF(ISNUMBER(L1531),L1531,IFERROR(DATEVALUE(L1531),"")))</f>
        <v>46053</v>
      </c>
      <c r="N1531" s="1" t="str">
        <f aca="false">IF(M1531="","Check",IF(AND(M1531&gt;=INPUTS!$C$6,M1531&lt;=INPUTS!$C$7),"Yes","No"))</f>
        <v>Yes</v>
      </c>
      <c r="O1531" s="48" t="str">
        <f aca="false">STACK!H1531</f>
        <v>Executive Director</v>
      </c>
      <c r="P1531" s="1" t="str">
        <f aca="false">IF(G1531&gt;0,IF(INDEX(CONFIRM!$H$5:$H$53,G1531)&lt;&gt;"",INDEX(CONFIRM!$H$5:$H$53,G1531),IFERROR(INDEX(MAP!$B$7:$B$156,MATCH(TRIM(O1531),MAP!$A$7:$A$156,0)),"UNMAPPED")),IFERROR(INDEX(MAP!$B$7:$B$156,MATCH(TRIM(O1531),MAP!$A$7:$A$156,0)),"UNMAPPED"))</f>
        <v>Director</v>
      </c>
      <c r="Q1531" s="48" t="n">
        <f aca="false">STACK!I1531</f>
        <v>2.25</v>
      </c>
      <c r="R1531" s="60" t="n">
        <f aca="false">IF(G1531&gt;0,IF(INDEX(CONFIRM!$F$5:$F$53,G1531)&lt;&gt;"",INDEX(CONFIRM!$F$5:$F$53,G1531),IF(ISNUMBER(Q1531),Q1531,IF(Q1531="","",IFERROR(VALUE(TRIM(SUBSTITUTE(SUBSTITUTE(LOWER(Q1531),"hrs",""),"hr",""))),"")))),IF(ISNUMBER(Q1531),Q1531,IF(Q1531="","",IFERROR(VALUE(TRIM(SUBSTITUTE(SUBSTITUTE(LOWER(Q1531),"hrs",""),"hr",""))),""))))</f>
        <v>2.25</v>
      </c>
      <c r="S1531" s="57" t="n">
        <f aca="false">IFERROR(INDEX(RATES!$E$6:$E$28,MATCH(P1531,RATES!$A$6:$A$28,0)),0)</f>
        <v>92.52</v>
      </c>
      <c r="T1531" s="61" t="n">
        <f aca="false">IF(ISNUMBER(R1531),R1531,0)*S1531</f>
        <v>208.17</v>
      </c>
      <c r="U1531" s="61" t="n">
        <f aca="false">T1531*INDEX(INPUTS!$H$10:$H$14,MATCH(B1531,INPUTS!$A$10:$A$14,0))</f>
        <v>31.43367</v>
      </c>
      <c r="V1531" s="61" t="n">
        <f aca="false">N(STACK!K1531)</f>
        <v>0</v>
      </c>
      <c r="W1531" s="61" t="n">
        <f aca="false">T1531+U1531+V1531</f>
        <v>239.60367</v>
      </c>
      <c r="X1531" s="61" t="n">
        <f aca="false">N(STACK!L1531)</f>
        <v>0</v>
      </c>
      <c r="Y1531" s="61" t="n">
        <f aca="false">W1531-X1531</f>
        <v>239.60367</v>
      </c>
      <c r="Z1531" s="1" t="n">
        <f aca="false">N(STACK!J1531)</f>
        <v>0</v>
      </c>
      <c r="AA1531" s="1" t="str">
        <f aca="false">TRIM(IF(D1531="UNMAPPED","Program not mapped. ","")&amp;IF(OR(K1531="UNMAPPED",K1531="UNASSIGNED"),"Category needs review. ","")&amp;IF(P1531="UNMAPPED","Title not mapped. ","")&amp;IF(AND(P1531&lt;&gt;"No staff time",R1531=""),"Missing hours. ","")&amp;IF(M1531="","Date not readable. ","")&amp;IF(N1531="No","Outside fiscal year. ","")&amp;IF(AND(F1531="Event",ISNUMBER(R1531)),IF(R1531&gt;12,"Event hours look high. ",""),"")&amp;IF(G1531&gt;0,"See CONFIRM sheet.",""))</f>
        <v/>
      </c>
      <c r="AB1531" s="1" t="n">
        <f aca="false">IF(N1531="No",0,IF(REVIEW!O1531=0,0,IF(G1531&gt;0,IF(INDEX(CONFIRM!$J$5:$J$53,G1531)&lt;&gt;"",INDEX(CONFIRM!$J$5:$J$53,G1531),1),1)))</f>
        <v>1</v>
      </c>
      <c r="AC1531" s="1" t="n">
        <f aca="false">IF(AB1531=1,IF(COUNTIFS($B$5:B1531,B1531,$D$5:D1531,D1531,$AB$5:AB1531,1)=1,1,0),0)</f>
        <v>0</v>
      </c>
    </row>
    <row r="1532" customFormat="false" ht="15" hidden="false" customHeight="false" outlineLevel="0" collapsed="false">
      <c r="A1532" s="48" t="str">
        <f aca="false">STACK!A1532</f>
        <v>QHH-0151</v>
      </c>
      <c r="B1532" s="48" t="str">
        <f aca="false">STACK!B1532</f>
        <v>QHH</v>
      </c>
      <c r="C1532" s="48" t="str">
        <f aca="false">STACK!E1532</f>
        <v>Blood Pressure Clinic</v>
      </c>
      <c r="D1532" s="1" t="str">
        <f aca="false">IFERROR(INDEX(MAP!$J$7:$J$101,MATCH(TRIM(C1532),MAP!$I$7:$I$101,0)),"UNMAPPED")</f>
        <v>Community Blood Pressure Checks</v>
      </c>
      <c r="E1532" s="1" t="str">
        <f aca="false">IFERROR(INDEX(MAP!$K$7:$K$101,MATCH(TRIM(C1532),MAP!$I$7:$I$101,0)),"")</f>
        <v>Chronic disease prevention</v>
      </c>
      <c r="F1532" s="1" t="str">
        <f aca="false">IFERROR(INDEX(MAP!$L$7:$L$101,MATCH(TRIM(C1532),MAP!$I$7:$I$101,0)),"")</f>
        <v>Event</v>
      </c>
      <c r="G1532" s="1" t="n">
        <f aca="false">IFERROR(MATCH(A1532,CONFIRM!$A$5:$A$53,0),0)</f>
        <v>0</v>
      </c>
      <c r="H1532" s="48" t="str">
        <f aca="false">STACK!F1532</f>
        <v>CHIS - Clinical</v>
      </c>
      <c r="I1532" s="1" t="str">
        <f aca="false">IF(G1532&gt;0,IF(INDEX(CONFIRM!$I$5:$I$53,G1532)&lt;&gt;"",INDEX(CONFIRM!$I$5:$I$53,G1532),H1532),H1532)</f>
        <v>CHIS - Clinical</v>
      </c>
      <c r="J1532" s="1" t="str">
        <f aca="false">IFERROR(INDEX(MAP!$F$7:$F$74,MATCH(TRIM(I1532),MAP!$E$7:$E$74,0)),"UNMAPPED")</f>
        <v>Community-based clinical services</v>
      </c>
      <c r="K1532" s="1" t="str">
        <f aca="false">IFERROR(INDEX(MAP!$G$7:$G$74,MATCH(TRIM(I1532),MAP!$E$7:$E$74,0)),"UNMAPPED")</f>
        <v>7e</v>
      </c>
      <c r="L1532" s="49" t="str">
        <f aca="false">STACK!G1532</f>
        <v>05-Feb-2026</v>
      </c>
      <c r="M1532" s="59" t="n">
        <f aca="false">IF(G1532&gt;0,IF(INDEX(CONFIRM!$G$5:$G$53,G1532)&lt;&gt;"",INDEX(CONFIRM!$G$5:$G$53,G1532),IF(ISNUMBER(L1532),L1532,IFERROR(DATEVALUE(L1532),""))),IF(ISNUMBER(L1532),L1532,IFERROR(DATEVALUE(L1532),"")))</f>
        <v>46058</v>
      </c>
      <c r="N1532" s="1" t="str">
        <f aca="false">IF(M1532="","Check",IF(AND(M1532&gt;=INPUTS!$C$6,M1532&lt;=INPUTS!$C$7),"Yes","No"))</f>
        <v>Yes</v>
      </c>
      <c r="O1532" s="48" t="str">
        <f aca="false">STACK!H1532</f>
        <v>Reg Nurse</v>
      </c>
      <c r="P1532" s="1" t="str">
        <f aca="false">IF(G1532&gt;0,IF(INDEX(CONFIRM!$H$5:$H$53,G1532)&lt;&gt;"",INDEX(CONFIRM!$H$5:$H$53,G1532),IFERROR(INDEX(MAP!$B$7:$B$156,MATCH(TRIM(O1532),MAP!$A$7:$A$156,0)),"UNMAPPED")),IFERROR(INDEX(MAP!$B$7:$B$156,MATCH(TRIM(O1532),MAP!$A$7:$A$156,0)),"UNMAPPED"))</f>
        <v>Registered Nurse</v>
      </c>
      <c r="Q1532" s="48" t="n">
        <f aca="false">STACK!I1532</f>
        <v>3.5</v>
      </c>
      <c r="R1532" s="60" t="n">
        <f aca="false">IF(G1532&gt;0,IF(INDEX(CONFIRM!$F$5:$F$53,G1532)&lt;&gt;"",INDEX(CONFIRM!$F$5:$F$53,G1532),IF(ISNUMBER(Q1532),Q1532,IF(Q1532="","",IFERROR(VALUE(TRIM(SUBSTITUTE(SUBSTITUTE(LOWER(Q1532),"hrs",""),"hr",""))),"")))),IF(ISNUMBER(Q1532),Q1532,IF(Q1532="","",IFERROR(VALUE(TRIM(SUBSTITUTE(SUBSTITUTE(LOWER(Q1532),"hrs",""),"hr",""))),""))))</f>
        <v>3.5</v>
      </c>
      <c r="S1532" s="57" t="n">
        <f aca="false">IFERROR(INDEX(RATES!$E$6:$E$28,MATCH(P1532,RATES!$A$6:$A$28,0)),0)</f>
        <v>55.8975</v>
      </c>
      <c r="T1532" s="61" t="n">
        <f aca="false">IF(ISNUMBER(R1532),R1532,0)*S1532</f>
        <v>195.64125</v>
      </c>
      <c r="U1532" s="61" t="n">
        <f aca="false">T1532*INDEX(INPUTS!$H$10:$H$14,MATCH(B1532,INPUTS!$A$10:$A$14,0))</f>
        <v>29.54182875</v>
      </c>
      <c r="V1532" s="61" t="n">
        <f aca="false">N(STACK!K1532)</f>
        <v>55</v>
      </c>
      <c r="W1532" s="61" t="n">
        <f aca="false">T1532+U1532+V1532</f>
        <v>280.18307875</v>
      </c>
      <c r="X1532" s="61" t="n">
        <f aca="false">N(STACK!L1532)</f>
        <v>0</v>
      </c>
      <c r="Y1532" s="61" t="n">
        <f aca="false">W1532-X1532</f>
        <v>280.18307875</v>
      </c>
      <c r="Z1532" s="1" t="n">
        <f aca="false">N(STACK!J1532)</f>
        <v>51</v>
      </c>
      <c r="AA1532" s="1" t="str">
        <f aca="false">TRIM(IF(D1532="UNMAPPED","Program not mapped. ","")&amp;IF(OR(K1532="UNMAPPED",K1532="UNASSIGNED"),"Category needs review. ","")&amp;IF(P1532="UNMAPPED","Title not mapped. ","")&amp;IF(AND(P1532&lt;&gt;"No staff time",R1532=""),"Missing hours. ","")&amp;IF(M1532="","Date not readable. ","")&amp;IF(N1532="No","Outside fiscal year. ","")&amp;IF(AND(F1532="Event",ISNUMBER(R1532)),IF(R1532&gt;12,"Event hours look high. ",""),"")&amp;IF(G1532&gt;0,"See CONFIRM sheet.",""))</f>
        <v/>
      </c>
      <c r="AB1532" s="1" t="n">
        <f aca="false">IF(N1532="No",0,IF(REVIEW!O1532=0,0,IF(G1532&gt;0,IF(INDEX(CONFIRM!$J$5:$J$53,G1532)&lt;&gt;"",INDEX(CONFIRM!$J$5:$J$53,G1532),1),1)))</f>
        <v>1</v>
      </c>
      <c r="AC1532" s="1" t="n">
        <f aca="false">IF(AB1532=1,IF(COUNTIFS($B$5:B1532,B1532,$D$5:D1532,D1532,$AB$5:AB1532,1)=1,1,0),0)</f>
        <v>0</v>
      </c>
    </row>
    <row r="1533" customFormat="false" ht="15" hidden="false" customHeight="false" outlineLevel="0" collapsed="false">
      <c r="A1533" s="48" t="str">
        <f aca="false">STACK!A1533</f>
        <v>QHH-0152</v>
      </c>
      <c r="B1533" s="48" t="str">
        <f aca="false">STACK!B1533</f>
        <v>QHH</v>
      </c>
      <c r="C1533" s="48" t="str">
        <f aca="false">STACK!E1533</f>
        <v>Fall Prevention Class</v>
      </c>
      <c r="D1533" s="1" t="str">
        <f aca="false">IFERROR(INDEX(MAP!$J$7:$J$101,MATCH(TRIM(C1533),MAP!$I$7:$I$101,0)),"UNMAPPED")</f>
        <v>Fall Prevention Classes for Older Adults</v>
      </c>
      <c r="E1533" s="1" t="str">
        <f aca="false">IFERROR(INDEX(MAP!$K$7:$K$101,MATCH(TRIM(C1533),MAP!$I$7:$I$101,0)),"")</f>
        <v>Chronic disease prevention</v>
      </c>
      <c r="F1533" s="1" t="str">
        <f aca="false">IFERROR(INDEX(MAP!$L$7:$L$101,MATCH(TRIM(C1533),MAP!$I$7:$I$101,0)),"")</f>
        <v>Event</v>
      </c>
      <c r="G1533" s="1" t="n">
        <f aca="false">IFERROR(MATCH(A1533,CONFIRM!$A$5:$A$53,0),0)</f>
        <v>0</v>
      </c>
      <c r="H1533" s="48" t="str">
        <f aca="false">STACK!F1533</f>
        <v>CHIS - Education</v>
      </c>
      <c r="I1533" s="1" t="str">
        <f aca="false">IF(G1533&gt;0,IF(INDEX(CONFIRM!$I$5:$I$53,G1533)&lt;&gt;"",INDEX(CONFIRM!$I$5:$I$53,G1533),H1533),H1533)</f>
        <v>CHIS - Education</v>
      </c>
      <c r="J1533" s="1" t="str">
        <f aca="false">IFERROR(INDEX(MAP!$F$7:$F$74,MATCH(TRIM(I1533),MAP!$E$7:$E$74,0)),"UNMAPPED")</f>
        <v>Community health education</v>
      </c>
      <c r="K1533" s="1" t="str">
        <f aca="false">IFERROR(INDEX(MAP!$G$7:$G$74,MATCH(TRIM(I1533),MAP!$E$7:$E$74,0)),"UNMAPPED")</f>
        <v>7e</v>
      </c>
      <c r="L1533" s="49" t="str">
        <f aca="false">STACK!G1533</f>
        <v>12-Feb-2026</v>
      </c>
      <c r="M1533" s="59" t="n">
        <f aca="false">IF(G1533&gt;0,IF(INDEX(CONFIRM!$G$5:$G$53,G1533)&lt;&gt;"",INDEX(CONFIRM!$G$5:$G$53,G1533),IF(ISNUMBER(L1533),L1533,IFERROR(DATEVALUE(L1533),""))),IF(ISNUMBER(L1533),L1533,IFERROR(DATEVALUE(L1533),"")))</f>
        <v>46065</v>
      </c>
      <c r="N1533" s="1" t="str">
        <f aca="false">IF(M1533="","Check",IF(AND(M1533&gt;=INPUTS!$C$6,M1533&lt;=INPUTS!$C$7),"Yes","No"))</f>
        <v>Yes</v>
      </c>
      <c r="O1533" s="48" t="str">
        <f aca="false">STACK!H1533</f>
        <v>Phys Therapist</v>
      </c>
      <c r="P1533" s="1" t="str">
        <f aca="false">IF(G1533&gt;0,IF(INDEX(CONFIRM!$H$5:$H$53,G1533)&lt;&gt;"",INDEX(CONFIRM!$H$5:$H$53,G1533),IFERROR(INDEX(MAP!$B$7:$B$156,MATCH(TRIM(O1533),MAP!$A$7:$A$156,0)),"UNMAPPED")),IFERROR(INDEX(MAP!$B$7:$B$156,MATCH(TRIM(O1533),MAP!$A$7:$A$156,0)),"UNMAPPED"))</f>
        <v>Licensed Therapist</v>
      </c>
      <c r="Q1533" s="48" t="n">
        <f aca="false">STACK!I1533</f>
        <v>2</v>
      </c>
      <c r="R1533" s="60" t="n">
        <f aca="false">IF(G1533&gt;0,IF(INDEX(CONFIRM!$F$5:$F$53,G1533)&lt;&gt;"",INDEX(CONFIRM!$F$5:$F$53,G1533),IF(ISNUMBER(Q1533),Q1533,IF(Q1533="","",IFERROR(VALUE(TRIM(SUBSTITUTE(SUBSTITUTE(LOWER(Q1533),"hrs",""),"hr",""))),"")))),IF(ISNUMBER(Q1533),Q1533,IF(Q1533="","",IFERROR(VALUE(TRIM(SUBSTITUTE(SUBSTITUTE(LOWER(Q1533),"hrs",""),"hr",""))),""))))</f>
        <v>2</v>
      </c>
      <c r="S1533" s="57" t="n">
        <f aca="false">IFERROR(INDEX(RATES!$E$6:$E$28,MATCH(P1533,RATES!$A$6:$A$28,0)),0)</f>
        <v>53.97</v>
      </c>
      <c r="T1533" s="61" t="n">
        <f aca="false">IF(ISNUMBER(R1533),R1533,0)*S1533</f>
        <v>107.94</v>
      </c>
      <c r="U1533" s="61" t="n">
        <f aca="false">T1533*INDEX(INPUTS!$H$10:$H$14,MATCH(B1533,INPUTS!$A$10:$A$14,0))</f>
        <v>16.29894</v>
      </c>
      <c r="V1533" s="61" t="n">
        <f aca="false">N(STACK!K1533)</f>
        <v>105</v>
      </c>
      <c r="W1533" s="61" t="n">
        <f aca="false">T1533+U1533+V1533</f>
        <v>229.23894</v>
      </c>
      <c r="X1533" s="61" t="n">
        <f aca="false">N(STACK!L1533)</f>
        <v>0</v>
      </c>
      <c r="Y1533" s="61" t="n">
        <f aca="false">W1533-X1533</f>
        <v>229.23894</v>
      </c>
      <c r="Z1533" s="1" t="n">
        <f aca="false">N(STACK!J1533)</f>
        <v>9</v>
      </c>
      <c r="AA1533" s="1" t="str">
        <f aca="false">TRIM(IF(D1533="UNMAPPED","Program not mapped. ","")&amp;IF(OR(K1533="UNMAPPED",K1533="UNASSIGNED"),"Category needs review. ","")&amp;IF(P1533="UNMAPPED","Title not mapped. ","")&amp;IF(AND(P1533&lt;&gt;"No staff time",R1533=""),"Missing hours. ","")&amp;IF(M1533="","Date not readable. ","")&amp;IF(N1533="No","Outside fiscal year. ","")&amp;IF(AND(F1533="Event",ISNUMBER(R1533)),IF(R1533&gt;12,"Event hours look high. ",""),"")&amp;IF(G1533&gt;0,"See CONFIRM sheet.",""))</f>
        <v/>
      </c>
      <c r="AB1533" s="1" t="n">
        <f aca="false">IF(N1533="No",0,IF(REVIEW!O1533=0,0,IF(G1533&gt;0,IF(INDEX(CONFIRM!$J$5:$J$53,G1533)&lt;&gt;"",INDEX(CONFIRM!$J$5:$J$53,G1533),1),1)))</f>
        <v>1</v>
      </c>
      <c r="AC1533" s="1" t="n">
        <f aca="false">IF(AB1533=1,IF(COUNTIFS($B$5:B1533,B1533,$D$5:D1533,D1533,$AB$5:AB1533,1)=1,1,0),0)</f>
        <v>0</v>
      </c>
    </row>
    <row r="1534" customFormat="false" ht="15" hidden="false" customHeight="false" outlineLevel="0" collapsed="false">
      <c r="A1534" s="48" t="str">
        <f aca="false">STACK!A1534</f>
        <v>QHH-0153</v>
      </c>
      <c r="B1534" s="48" t="str">
        <f aca="false">STACK!B1534</f>
        <v>QHH</v>
      </c>
      <c r="C1534" s="48" t="str">
        <f aca="false">STACK!E1534</f>
        <v>Regional Coalition</v>
      </c>
      <c r="D1534" s="1" t="str">
        <f aca="false">IFERROR(INDEX(MAP!$J$7:$J$101,MATCH(TRIM(C1534),MAP!$I$7:$I$101,0)),"UNMAPPED")</f>
        <v>Regional Health Coalition</v>
      </c>
      <c r="E1534" s="1" t="str">
        <f aca="false">IFERROR(INDEX(MAP!$K$7:$K$101,MATCH(TRIM(C1534),MAP!$I$7:$I$101,0)),"")</f>
        <v>Community benefit infrastructure</v>
      </c>
      <c r="F1534" s="1" t="str">
        <f aca="false">IFERROR(INDEX(MAP!$L$7:$L$101,MATCH(TRIM(C1534),MAP!$I$7:$I$101,0)),"")</f>
        <v>Event</v>
      </c>
      <c r="G1534" s="1" t="n">
        <f aca="false">IFERROR(MATCH(A1534,CONFIRM!$A$5:$A$53,0),0)</f>
        <v>0</v>
      </c>
      <c r="H1534" s="48" t="str">
        <f aca="false">STACK!F1534</f>
        <v>Coalition (CB)</v>
      </c>
      <c r="I1534" s="1" t="str">
        <f aca="false">IF(G1534&gt;0,IF(INDEX(CONFIRM!$I$5:$I$53,G1534)&lt;&gt;"",INDEX(CONFIRM!$I$5:$I$53,G1534),H1534),H1534)</f>
        <v>Coalition (CB)</v>
      </c>
      <c r="J1534" s="1" t="str">
        <f aca="false">IFERROR(INDEX(MAP!$F$7:$F$74,MATCH(TRIM(I1534),MAP!$E$7:$E$74,0)),"UNMAPPED")</f>
        <v>Community building: coalition building</v>
      </c>
      <c r="K1534" s="1" t="str">
        <f aca="false">IFERROR(INDEX(MAP!$G$7:$G$74,MATCH(TRIM(I1534),MAP!$E$7:$E$74,0)),"UNMAPPED")</f>
        <v>II-6</v>
      </c>
      <c r="L1534" s="49" t="str">
        <f aca="false">STACK!G1534</f>
        <v>21-Feb-2026</v>
      </c>
      <c r="M1534" s="59" t="n">
        <f aca="false">IF(G1534&gt;0,IF(INDEX(CONFIRM!$G$5:$G$53,G1534)&lt;&gt;"",INDEX(CONFIRM!$G$5:$G$53,G1534),IF(ISNUMBER(L1534),L1534,IFERROR(DATEVALUE(L1534),""))),IF(ISNUMBER(L1534),L1534,IFERROR(DATEVALUE(L1534),"")))</f>
        <v>46074</v>
      </c>
      <c r="N1534" s="1" t="str">
        <f aca="false">IF(M1534="","Check",IF(AND(M1534&gt;=INPUTS!$C$6,M1534&lt;=INPUTS!$C$7),"Yes","No"))</f>
        <v>Yes</v>
      </c>
      <c r="O1534" s="48" t="str">
        <f aca="false">STACK!H1534</f>
        <v>Manager Community Benefit</v>
      </c>
      <c r="P1534" s="1" t="str">
        <f aca="false">IF(G1534&gt;0,IF(INDEX(CONFIRM!$H$5:$H$53,G1534)&lt;&gt;"",INDEX(CONFIRM!$H$5:$H$53,G1534),IFERROR(INDEX(MAP!$B$7:$B$156,MATCH(TRIM(O1534),MAP!$A$7:$A$156,0)),"UNMAPPED")),IFERROR(INDEX(MAP!$B$7:$B$156,MATCH(TRIM(O1534),MAP!$A$7:$A$156,0)),"UNMAPPED"))</f>
        <v>Community Benefit Manager</v>
      </c>
      <c r="Q1534" s="48" t="n">
        <f aca="false">STACK!I1534</f>
        <v>2.75</v>
      </c>
      <c r="R1534" s="60" t="n">
        <f aca="false">IF(G1534&gt;0,IF(INDEX(CONFIRM!$F$5:$F$53,G1534)&lt;&gt;"",INDEX(CONFIRM!$F$5:$F$53,G1534),IF(ISNUMBER(Q1534),Q1534,IF(Q1534="","",IFERROR(VALUE(TRIM(SUBSTITUTE(SUBSTITUTE(LOWER(Q1534),"hrs",""),"hr",""))),"")))),IF(ISNUMBER(Q1534),Q1534,IF(Q1534="","",IFERROR(VALUE(TRIM(SUBSTITUTE(SUBSTITUTE(LOWER(Q1534),"hrs",""),"hr",""))),""))))</f>
        <v>2.75</v>
      </c>
      <c r="S1534" s="57" t="n">
        <f aca="false">IFERROR(INDEX(RATES!$E$6:$E$28,MATCH(P1534,RATES!$A$6:$A$28,0)),0)</f>
        <v>59.11</v>
      </c>
      <c r="T1534" s="61" t="n">
        <f aca="false">IF(ISNUMBER(R1534),R1534,0)*S1534</f>
        <v>162.5525</v>
      </c>
      <c r="U1534" s="61" t="n">
        <f aca="false">T1534*INDEX(INPUTS!$H$10:$H$14,MATCH(B1534,INPUTS!$A$10:$A$14,0))</f>
        <v>24.5454275</v>
      </c>
      <c r="V1534" s="61" t="n">
        <f aca="false">N(STACK!K1534)</f>
        <v>0</v>
      </c>
      <c r="W1534" s="61" t="n">
        <f aca="false">T1534+U1534+V1534</f>
        <v>187.0979275</v>
      </c>
      <c r="X1534" s="61" t="n">
        <f aca="false">N(STACK!L1534)</f>
        <v>0</v>
      </c>
      <c r="Y1534" s="61" t="n">
        <f aca="false">W1534-X1534</f>
        <v>187.0979275</v>
      </c>
      <c r="Z1534" s="1" t="n">
        <f aca="false">N(STACK!J1534)</f>
        <v>0</v>
      </c>
      <c r="AA1534" s="1" t="str">
        <f aca="false">TRIM(IF(D1534="UNMAPPED","Program not mapped. ","")&amp;IF(OR(K1534="UNMAPPED",K1534="UNASSIGNED"),"Category needs review. ","")&amp;IF(P1534="UNMAPPED","Title not mapped. ","")&amp;IF(AND(P1534&lt;&gt;"No staff time",R1534=""),"Missing hours. ","")&amp;IF(M1534="","Date not readable. ","")&amp;IF(N1534="No","Outside fiscal year. ","")&amp;IF(AND(F1534="Event",ISNUMBER(R1534)),IF(R1534&gt;12,"Event hours look high. ",""),"")&amp;IF(G1534&gt;0,"See CONFIRM sheet.",""))</f>
        <v/>
      </c>
      <c r="AB1534" s="1" t="n">
        <f aca="false">IF(N1534="No",0,IF(REVIEW!O1534=0,0,IF(G1534&gt;0,IF(INDEX(CONFIRM!$J$5:$J$53,G1534)&lt;&gt;"",INDEX(CONFIRM!$J$5:$J$53,G1534),1),1)))</f>
        <v>1</v>
      </c>
      <c r="AC1534" s="1" t="n">
        <f aca="false">IF(AB1534=1,IF(COUNTIFS($B$5:B1534,B1534,$D$5:D1534,D1534,$AB$5:AB1534,1)=1,1,0),0)</f>
        <v>0</v>
      </c>
    </row>
    <row r="1535" customFormat="false" ht="15" hidden="false" customHeight="false" outlineLevel="0" collapsed="false">
      <c r="A1535" s="48" t="str">
        <f aca="false">STACK!A1535</f>
        <v>QHH-0154</v>
      </c>
      <c r="B1535" s="48" t="str">
        <f aca="false">STACK!B1535</f>
        <v>QHH</v>
      </c>
      <c r="C1535" s="48" t="str">
        <f aca="false">STACK!E1535</f>
        <v>Regional Coalition</v>
      </c>
      <c r="D1535" s="1" t="str">
        <f aca="false">IFERROR(INDEX(MAP!$J$7:$J$101,MATCH(TRIM(C1535),MAP!$I$7:$I$101,0)),"UNMAPPED")</f>
        <v>Regional Health Coalition</v>
      </c>
      <c r="E1535" s="1" t="str">
        <f aca="false">IFERROR(INDEX(MAP!$K$7:$K$101,MATCH(TRIM(C1535),MAP!$I$7:$I$101,0)),"")</f>
        <v>Community benefit infrastructure</v>
      </c>
      <c r="F1535" s="1" t="str">
        <f aca="false">IFERROR(INDEX(MAP!$L$7:$L$101,MATCH(TRIM(C1535),MAP!$I$7:$I$101,0)),"")</f>
        <v>Event</v>
      </c>
      <c r="G1535" s="1" t="n">
        <f aca="false">IFERROR(MATCH(A1535,CONFIRM!$A$5:$A$53,0),0)</f>
        <v>0</v>
      </c>
      <c r="H1535" s="48" t="str">
        <f aca="false">STACK!F1535</f>
        <v>Coalition (CB)</v>
      </c>
      <c r="I1535" s="1" t="str">
        <f aca="false">IF(G1535&gt;0,IF(INDEX(CONFIRM!$I$5:$I$53,G1535)&lt;&gt;"",INDEX(CONFIRM!$I$5:$I$53,G1535),H1535),H1535)</f>
        <v>Coalition (CB)</v>
      </c>
      <c r="J1535" s="1" t="str">
        <f aca="false">IFERROR(INDEX(MAP!$F$7:$F$74,MATCH(TRIM(I1535),MAP!$E$7:$E$74,0)),"UNMAPPED")</f>
        <v>Community building: coalition building</v>
      </c>
      <c r="K1535" s="1" t="str">
        <f aca="false">IFERROR(INDEX(MAP!$G$7:$G$74,MATCH(TRIM(I1535),MAP!$E$7:$E$74,0)),"UNMAPPED")</f>
        <v>II-6</v>
      </c>
      <c r="L1535" s="49" t="str">
        <f aca="false">STACK!G1535</f>
        <v>21-Feb-2026</v>
      </c>
      <c r="M1535" s="59" t="n">
        <f aca="false">IF(G1535&gt;0,IF(INDEX(CONFIRM!$G$5:$G$53,G1535)&lt;&gt;"",INDEX(CONFIRM!$G$5:$G$53,G1535),IF(ISNUMBER(L1535),L1535,IFERROR(DATEVALUE(L1535),""))),IF(ISNUMBER(L1535),L1535,IFERROR(DATEVALUE(L1535),"")))</f>
        <v>46074</v>
      </c>
      <c r="N1535" s="1" t="str">
        <f aca="false">IF(M1535="","Check",IF(AND(M1535&gt;=INPUTS!$C$6,M1535&lt;=INPUTS!$C$7),"Yes","No"))</f>
        <v>Yes</v>
      </c>
      <c r="O1535" s="48" t="str">
        <f aca="false">STACK!H1535</f>
        <v>Executive Director</v>
      </c>
      <c r="P1535" s="1" t="str">
        <f aca="false">IF(G1535&gt;0,IF(INDEX(CONFIRM!$H$5:$H$53,G1535)&lt;&gt;"",INDEX(CONFIRM!$H$5:$H$53,G1535),IFERROR(INDEX(MAP!$B$7:$B$156,MATCH(TRIM(O1535),MAP!$A$7:$A$156,0)),"UNMAPPED")),IFERROR(INDEX(MAP!$B$7:$B$156,MATCH(TRIM(O1535),MAP!$A$7:$A$156,0)),"UNMAPPED"))</f>
        <v>Director</v>
      </c>
      <c r="Q1535" s="48" t="n">
        <f aca="false">STACK!I1535</f>
        <v>2.5</v>
      </c>
      <c r="R1535" s="60" t="n">
        <f aca="false">IF(G1535&gt;0,IF(INDEX(CONFIRM!$F$5:$F$53,G1535)&lt;&gt;"",INDEX(CONFIRM!$F$5:$F$53,G1535),IF(ISNUMBER(Q1535),Q1535,IF(Q1535="","",IFERROR(VALUE(TRIM(SUBSTITUTE(SUBSTITUTE(LOWER(Q1535),"hrs",""),"hr",""))),"")))),IF(ISNUMBER(Q1535),Q1535,IF(Q1535="","",IFERROR(VALUE(TRIM(SUBSTITUTE(SUBSTITUTE(LOWER(Q1535),"hrs",""),"hr",""))),""))))</f>
        <v>2.5</v>
      </c>
      <c r="S1535" s="57" t="n">
        <f aca="false">IFERROR(INDEX(RATES!$E$6:$E$28,MATCH(P1535,RATES!$A$6:$A$28,0)),0)</f>
        <v>92.52</v>
      </c>
      <c r="T1535" s="61" t="n">
        <f aca="false">IF(ISNUMBER(R1535),R1535,0)*S1535</f>
        <v>231.3</v>
      </c>
      <c r="U1535" s="61" t="n">
        <f aca="false">T1535*INDEX(INPUTS!$H$10:$H$14,MATCH(B1535,INPUTS!$A$10:$A$14,0))</f>
        <v>34.9263</v>
      </c>
      <c r="V1535" s="61" t="n">
        <f aca="false">N(STACK!K1535)</f>
        <v>125</v>
      </c>
      <c r="W1535" s="61" t="n">
        <f aca="false">T1535+U1535+V1535</f>
        <v>391.2263</v>
      </c>
      <c r="X1535" s="61" t="n">
        <f aca="false">N(STACK!L1535)</f>
        <v>0</v>
      </c>
      <c r="Y1535" s="61" t="n">
        <f aca="false">W1535-X1535</f>
        <v>391.2263</v>
      </c>
      <c r="Z1535" s="1" t="n">
        <f aca="false">N(STACK!J1535)</f>
        <v>0</v>
      </c>
      <c r="AA1535" s="1" t="str">
        <f aca="false">TRIM(IF(D1535="UNMAPPED","Program not mapped. ","")&amp;IF(OR(K1535="UNMAPPED",K1535="UNASSIGNED"),"Category needs review. ","")&amp;IF(P1535="UNMAPPED","Title not mapped. ","")&amp;IF(AND(P1535&lt;&gt;"No staff time",R1535=""),"Missing hours. ","")&amp;IF(M1535="","Date not readable. ","")&amp;IF(N1535="No","Outside fiscal year. ","")&amp;IF(AND(F1535="Event",ISNUMBER(R1535)),IF(R1535&gt;12,"Event hours look high. ",""),"")&amp;IF(G1535&gt;0,"See CONFIRM sheet.",""))</f>
        <v/>
      </c>
      <c r="AB1535" s="1" t="n">
        <f aca="false">IF(N1535="No",0,IF(REVIEW!O1535=0,0,IF(G1535&gt;0,IF(INDEX(CONFIRM!$J$5:$J$53,G1535)&lt;&gt;"",INDEX(CONFIRM!$J$5:$J$53,G1535),1),1)))</f>
        <v>1</v>
      </c>
      <c r="AC1535" s="1" t="n">
        <f aca="false">IF(AB1535=1,IF(COUNTIFS($B$5:B1535,B1535,$D$5:D1535,D1535,$AB$5:AB1535,1)=1,1,0),0)</f>
        <v>0</v>
      </c>
    </row>
    <row r="1536" customFormat="false" ht="15" hidden="false" customHeight="false" outlineLevel="0" collapsed="false">
      <c r="A1536" s="48" t="str">
        <f aca="false">STACK!A1536</f>
        <v>QHH-0155</v>
      </c>
      <c r="B1536" s="48" t="str">
        <f aca="false">STACK!B1536</f>
        <v>QHH</v>
      </c>
      <c r="C1536" s="48" t="str">
        <f aca="false">STACK!E1536</f>
        <v>Car Seat Safety</v>
      </c>
      <c r="D1536" s="1" t="str">
        <f aca="false">IFERROR(INDEX(MAP!$J$7:$J$101,MATCH(TRIM(C1536),MAP!$I$7:$I$101,0)),"UNMAPPED")</f>
        <v>Car Seat Safety Checks</v>
      </c>
      <c r="E1536" s="1" t="str">
        <f aca="false">IFERROR(INDEX(MAP!$K$7:$K$101,MATCH(TRIM(C1536),MAP!$I$7:$I$101,0)),"")</f>
        <v>Maternal and child health</v>
      </c>
      <c r="F1536" s="1" t="str">
        <f aca="false">IFERROR(INDEX(MAP!$L$7:$L$101,MATCH(TRIM(C1536),MAP!$I$7:$I$101,0)),"")</f>
        <v>Event</v>
      </c>
      <c r="G1536" s="1" t="n">
        <f aca="false">IFERROR(MATCH(A1536,CONFIRM!$A$5:$A$53,0),0)</f>
        <v>0</v>
      </c>
      <c r="H1536" s="48" t="str">
        <f aca="false">STACK!F1536</f>
        <v>CHIS - Education</v>
      </c>
      <c r="I1536" s="1" t="str">
        <f aca="false">IF(G1536&gt;0,IF(INDEX(CONFIRM!$I$5:$I$53,G1536)&lt;&gt;"",INDEX(CONFIRM!$I$5:$I$53,G1536),H1536),H1536)</f>
        <v>CHIS - Education</v>
      </c>
      <c r="J1536" s="1" t="str">
        <f aca="false">IFERROR(INDEX(MAP!$F$7:$F$74,MATCH(TRIM(I1536),MAP!$E$7:$E$74,0)),"UNMAPPED")</f>
        <v>Community health education</v>
      </c>
      <c r="K1536" s="1" t="str">
        <f aca="false">IFERROR(INDEX(MAP!$G$7:$G$74,MATCH(TRIM(I1536),MAP!$E$7:$E$74,0)),"UNMAPPED")</f>
        <v>7e</v>
      </c>
      <c r="L1536" s="49" t="str">
        <f aca="false">STACK!G1536</f>
        <v>24-Feb-2026</v>
      </c>
      <c r="M1536" s="59" t="n">
        <f aca="false">IF(G1536&gt;0,IF(INDEX(CONFIRM!$G$5:$G$53,G1536)&lt;&gt;"",INDEX(CONFIRM!$G$5:$G$53,G1536),IF(ISNUMBER(L1536),L1536,IFERROR(DATEVALUE(L1536),""))),IF(ISNUMBER(L1536),L1536,IFERROR(DATEVALUE(L1536),"")))</f>
        <v>46077</v>
      </c>
      <c r="N1536" s="1" t="str">
        <f aca="false">IF(M1536="","Check",IF(AND(M1536&gt;=INPUTS!$C$6,M1536&lt;=INPUTS!$C$7),"Yes","No"))</f>
        <v>Yes</v>
      </c>
      <c r="O1536" s="48" t="str">
        <f aca="false">STACK!H1536</f>
        <v>EMS Paramedic</v>
      </c>
      <c r="P1536" s="1" t="str">
        <f aca="false">IF(G1536&gt;0,IF(INDEX(CONFIRM!$H$5:$H$53,G1536)&lt;&gt;"",INDEX(CONFIRM!$H$5:$H$53,G1536),IFERROR(INDEX(MAP!$B$7:$B$156,MATCH(TRIM(O1536),MAP!$A$7:$A$156,0)),"UNMAPPED")),IFERROR(INDEX(MAP!$B$7:$B$156,MATCH(TRIM(O1536),MAP!$A$7:$A$156,0)),"UNMAPPED"))</f>
        <v>Paramedic</v>
      </c>
      <c r="Q1536" s="48" t="n">
        <f aca="false">STACK!I1536</f>
        <v>4</v>
      </c>
      <c r="R1536" s="60" t="n">
        <f aca="false">IF(G1536&gt;0,IF(INDEX(CONFIRM!$F$5:$F$53,G1536)&lt;&gt;"",INDEX(CONFIRM!$F$5:$F$53,G1536),IF(ISNUMBER(Q1536),Q1536,IF(Q1536="","",IFERROR(VALUE(TRIM(SUBSTITUTE(SUBSTITUTE(LOWER(Q1536),"hrs",""),"hr",""))),"")))),IF(ISNUMBER(Q1536),Q1536,IF(Q1536="","",IFERROR(VALUE(TRIM(SUBSTITUTE(SUBSTITUTE(LOWER(Q1536),"hrs",""),"hr",""))),""))))</f>
        <v>4</v>
      </c>
      <c r="S1536" s="57" t="n">
        <f aca="false">IFERROR(INDEX(RATES!$E$6:$E$28,MATCH(P1536,RATES!$A$6:$A$28,0)),0)</f>
        <v>34.695</v>
      </c>
      <c r="T1536" s="61" t="n">
        <f aca="false">IF(ISNUMBER(R1536),R1536,0)*S1536</f>
        <v>138.78</v>
      </c>
      <c r="U1536" s="61" t="n">
        <f aca="false">T1536*INDEX(INPUTS!$H$10:$H$14,MATCH(B1536,INPUTS!$A$10:$A$14,0))</f>
        <v>20.95578</v>
      </c>
      <c r="V1536" s="61" t="n">
        <f aca="false">N(STACK!K1536)</f>
        <v>595</v>
      </c>
      <c r="W1536" s="61" t="n">
        <f aca="false">T1536+U1536+V1536</f>
        <v>754.73578</v>
      </c>
      <c r="X1536" s="61" t="n">
        <f aca="false">N(STACK!L1536)</f>
        <v>440</v>
      </c>
      <c r="Y1536" s="61" t="n">
        <f aca="false">W1536-X1536</f>
        <v>314.73578</v>
      </c>
      <c r="Z1536" s="1" t="n">
        <f aca="false">N(STACK!J1536)</f>
        <v>17</v>
      </c>
      <c r="AA1536" s="1" t="str">
        <f aca="false">TRIM(IF(D1536="UNMAPPED","Program not mapped. ","")&amp;IF(OR(K1536="UNMAPPED",K1536="UNASSIGNED"),"Category needs review. ","")&amp;IF(P1536="UNMAPPED","Title not mapped. ","")&amp;IF(AND(P1536&lt;&gt;"No staff time",R1536=""),"Missing hours. ","")&amp;IF(M1536="","Date not readable. ","")&amp;IF(N1536="No","Outside fiscal year. ","")&amp;IF(AND(F1536="Event",ISNUMBER(R1536)),IF(R1536&gt;12,"Event hours look high. ",""),"")&amp;IF(G1536&gt;0,"See CONFIRM sheet.",""))</f>
        <v/>
      </c>
      <c r="AB1536" s="1" t="n">
        <f aca="false">IF(N1536="No",0,IF(REVIEW!O1536=0,0,IF(G1536&gt;0,IF(INDEX(CONFIRM!$J$5:$J$53,G1536)&lt;&gt;"",INDEX(CONFIRM!$J$5:$J$53,G1536),1),1)))</f>
        <v>1</v>
      </c>
      <c r="AC1536" s="1" t="n">
        <f aca="false">IF(AB1536=1,IF(COUNTIFS($B$5:B1536,B1536,$D$5:D1536,D1536,$AB$5:AB1536,1)=1,1,0),0)</f>
        <v>0</v>
      </c>
    </row>
    <row r="1537" customFormat="false" ht="15" hidden="false" customHeight="false" outlineLevel="0" collapsed="false">
      <c r="A1537" s="48" t="str">
        <f aca="false">STACK!A1537</f>
        <v>QHH-0156</v>
      </c>
      <c r="B1537" s="48" t="str">
        <f aca="false">STACK!B1537</f>
        <v>QHH</v>
      </c>
      <c r="C1537" s="48" t="str">
        <f aca="false">STACK!E1537</f>
        <v>Car Seat Safety</v>
      </c>
      <c r="D1537" s="1" t="str">
        <f aca="false">IFERROR(INDEX(MAP!$J$7:$J$101,MATCH(TRIM(C1537),MAP!$I$7:$I$101,0)),"UNMAPPED")</f>
        <v>Car Seat Safety Checks</v>
      </c>
      <c r="E1537" s="1" t="str">
        <f aca="false">IFERROR(INDEX(MAP!$K$7:$K$101,MATCH(TRIM(C1537),MAP!$I$7:$I$101,0)),"")</f>
        <v>Maternal and child health</v>
      </c>
      <c r="F1537" s="1" t="str">
        <f aca="false">IFERROR(INDEX(MAP!$L$7:$L$101,MATCH(TRIM(C1537),MAP!$I$7:$I$101,0)),"")</f>
        <v>Event</v>
      </c>
      <c r="G1537" s="1" t="n">
        <f aca="false">IFERROR(MATCH(A1537,CONFIRM!$A$5:$A$53,0),0)</f>
        <v>0</v>
      </c>
      <c r="H1537" s="48" t="str">
        <f aca="false">STACK!F1537</f>
        <v>CHIS - Education</v>
      </c>
      <c r="I1537" s="1" t="str">
        <f aca="false">IF(G1537&gt;0,IF(INDEX(CONFIRM!$I$5:$I$53,G1537)&lt;&gt;"",INDEX(CONFIRM!$I$5:$I$53,G1537),H1537),H1537)</f>
        <v>CHIS - Education</v>
      </c>
      <c r="J1537" s="1" t="str">
        <f aca="false">IFERROR(INDEX(MAP!$F$7:$F$74,MATCH(TRIM(I1537),MAP!$E$7:$E$74,0)),"UNMAPPED")</f>
        <v>Community health education</v>
      </c>
      <c r="K1537" s="1" t="str">
        <f aca="false">IFERROR(INDEX(MAP!$G$7:$G$74,MATCH(TRIM(I1537),MAP!$E$7:$E$74,0)),"UNMAPPED")</f>
        <v>7e</v>
      </c>
      <c r="L1537" s="49" t="str">
        <f aca="false">STACK!G1537</f>
        <v>24-Feb-2026</v>
      </c>
      <c r="M1537" s="59" t="n">
        <f aca="false">IF(G1537&gt;0,IF(INDEX(CONFIRM!$G$5:$G$53,G1537)&lt;&gt;"",INDEX(CONFIRM!$G$5:$G$53,G1537),IF(ISNUMBER(L1537),L1537,IFERROR(DATEVALUE(L1537),""))),IF(ISNUMBER(L1537),L1537,IFERROR(DATEVALUE(L1537),"")))</f>
        <v>46077</v>
      </c>
      <c r="N1537" s="1" t="str">
        <f aca="false">IF(M1537="","Check",IF(AND(M1537&gt;=INPUTS!$C$6,M1537&lt;=INPUTS!$C$7),"Yes","No"))</f>
        <v>Yes</v>
      </c>
      <c r="O1537" s="48" t="str">
        <f aca="false">STACK!H1537</f>
        <v>RN III</v>
      </c>
      <c r="P1537" s="1" t="str">
        <f aca="false">IF(G1537&gt;0,IF(INDEX(CONFIRM!$H$5:$H$53,G1537)&lt;&gt;"",INDEX(CONFIRM!$H$5:$H$53,G1537),IFERROR(INDEX(MAP!$B$7:$B$156,MATCH(TRIM(O1537),MAP!$A$7:$A$156,0)),"UNMAPPED")),IFERROR(INDEX(MAP!$B$7:$B$156,MATCH(TRIM(O1537),MAP!$A$7:$A$156,0)),"UNMAPPED"))</f>
        <v>Registered Nurse</v>
      </c>
      <c r="Q1537" s="48" t="n">
        <f aca="false">STACK!I1537</f>
        <v>4</v>
      </c>
      <c r="R1537" s="60" t="n">
        <f aca="false">IF(G1537&gt;0,IF(INDEX(CONFIRM!$F$5:$F$53,G1537)&lt;&gt;"",INDEX(CONFIRM!$F$5:$F$53,G1537),IF(ISNUMBER(Q1537),Q1537,IF(Q1537="","",IFERROR(VALUE(TRIM(SUBSTITUTE(SUBSTITUTE(LOWER(Q1537),"hrs",""),"hr",""))),"")))),IF(ISNUMBER(Q1537),Q1537,IF(Q1537="","",IFERROR(VALUE(TRIM(SUBSTITUTE(SUBSTITUTE(LOWER(Q1537),"hrs",""),"hr",""))),""))))</f>
        <v>4</v>
      </c>
      <c r="S1537" s="57" t="n">
        <f aca="false">IFERROR(INDEX(RATES!$E$6:$E$28,MATCH(P1537,RATES!$A$6:$A$28,0)),0)</f>
        <v>55.8975</v>
      </c>
      <c r="T1537" s="61" t="n">
        <f aca="false">IF(ISNUMBER(R1537),R1537,0)*S1537</f>
        <v>223.59</v>
      </c>
      <c r="U1537" s="61" t="n">
        <f aca="false">T1537*INDEX(INPUTS!$H$10:$H$14,MATCH(B1537,INPUTS!$A$10:$A$14,0))</f>
        <v>33.76209</v>
      </c>
      <c r="V1537" s="61" t="n">
        <f aca="false">N(STACK!K1537)</f>
        <v>0</v>
      </c>
      <c r="W1537" s="61" t="n">
        <f aca="false">T1537+U1537+V1537</f>
        <v>257.35209</v>
      </c>
      <c r="X1537" s="61" t="n">
        <f aca="false">N(STACK!L1537)</f>
        <v>0</v>
      </c>
      <c r="Y1537" s="61" t="n">
        <f aca="false">W1537-X1537</f>
        <v>257.35209</v>
      </c>
      <c r="Z1537" s="1" t="n">
        <f aca="false">N(STACK!J1537)</f>
        <v>0</v>
      </c>
      <c r="AA1537" s="1" t="str">
        <f aca="false">TRIM(IF(D1537="UNMAPPED","Program not mapped. ","")&amp;IF(OR(K1537="UNMAPPED",K1537="UNASSIGNED"),"Category needs review. ","")&amp;IF(P1537="UNMAPPED","Title not mapped. ","")&amp;IF(AND(P1537&lt;&gt;"No staff time",R1537=""),"Missing hours. ","")&amp;IF(M1537="","Date not readable. ","")&amp;IF(N1537="No","Outside fiscal year. ","")&amp;IF(AND(F1537="Event",ISNUMBER(R1537)),IF(R1537&gt;12,"Event hours look high. ",""),"")&amp;IF(G1537&gt;0,"See CONFIRM sheet.",""))</f>
        <v/>
      </c>
      <c r="AB1537" s="1" t="n">
        <f aca="false">IF(N1537="No",0,IF(REVIEW!O1537=0,0,IF(G1537&gt;0,IF(INDEX(CONFIRM!$J$5:$J$53,G1537)&lt;&gt;"",INDEX(CONFIRM!$J$5:$J$53,G1537),1),1)))</f>
        <v>1</v>
      </c>
      <c r="AC1537" s="1" t="n">
        <f aca="false">IF(AB1537=1,IF(COUNTIFS($B$5:B1537,B1537,$D$5:D1537,D1537,$AB$5:AB1537,1)=1,1,0),0)</f>
        <v>0</v>
      </c>
    </row>
    <row r="1538" customFormat="false" ht="15" hidden="false" customHeight="false" outlineLevel="0" collapsed="false">
      <c r="A1538" s="48" t="str">
        <f aca="false">STACK!A1538</f>
        <v>QHH-0157</v>
      </c>
      <c r="B1538" s="48" t="str">
        <f aca="false">STACK!B1538</f>
        <v>QHH</v>
      </c>
      <c r="C1538" s="48" t="str">
        <f aca="false">STACK!E1538</f>
        <v>Childbirth Education</v>
      </c>
      <c r="D1538" s="1" t="str">
        <f aca="false">IFERROR(INDEX(MAP!$J$7:$J$101,MATCH(TRIM(C1538),MAP!$I$7:$I$101,0)),"UNMAPPED")</f>
        <v>Childbirth and Newborn Care Classes</v>
      </c>
      <c r="E1538" s="1" t="str">
        <f aca="false">IFERROR(INDEX(MAP!$K$7:$K$101,MATCH(TRIM(C1538),MAP!$I$7:$I$101,0)),"")</f>
        <v>Maternal and child health</v>
      </c>
      <c r="F1538" s="1" t="str">
        <f aca="false">IFERROR(INDEX(MAP!$L$7:$L$101,MATCH(TRIM(C1538),MAP!$I$7:$I$101,0)),"")</f>
        <v>Event</v>
      </c>
      <c r="G1538" s="1" t="n">
        <f aca="false">IFERROR(MATCH(A1538,CONFIRM!$A$5:$A$53,0),0)</f>
        <v>0</v>
      </c>
      <c r="H1538" s="48" t="str">
        <f aca="false">STACK!F1538</f>
        <v>CHIS - Education</v>
      </c>
      <c r="I1538" s="1" t="str">
        <f aca="false">IF(G1538&gt;0,IF(INDEX(CONFIRM!$I$5:$I$53,G1538)&lt;&gt;"",INDEX(CONFIRM!$I$5:$I$53,G1538),H1538),H1538)</f>
        <v>CHIS - Education</v>
      </c>
      <c r="J1538" s="1" t="str">
        <f aca="false">IFERROR(INDEX(MAP!$F$7:$F$74,MATCH(TRIM(I1538),MAP!$E$7:$E$74,0)),"UNMAPPED")</f>
        <v>Community health education</v>
      </c>
      <c r="K1538" s="1" t="str">
        <f aca="false">IFERROR(INDEX(MAP!$G$7:$G$74,MATCH(TRIM(I1538),MAP!$E$7:$E$74,0)),"UNMAPPED")</f>
        <v>7e</v>
      </c>
      <c r="L1538" s="49" t="str">
        <f aca="false">STACK!G1538</f>
        <v>28-Feb-2026</v>
      </c>
      <c r="M1538" s="59" t="n">
        <f aca="false">IF(G1538&gt;0,IF(INDEX(CONFIRM!$G$5:$G$53,G1538)&lt;&gt;"",INDEX(CONFIRM!$G$5:$G$53,G1538),IF(ISNUMBER(L1538),L1538,IFERROR(DATEVALUE(L1538),""))),IF(ISNUMBER(L1538),L1538,IFERROR(DATEVALUE(L1538),"")))</f>
        <v>46081</v>
      </c>
      <c r="N1538" s="1" t="str">
        <f aca="false">IF(M1538="","Check",IF(AND(M1538&gt;=INPUTS!$C$6,M1538&lt;=INPUTS!$C$7),"Yes","No"))</f>
        <v>Yes</v>
      </c>
      <c r="O1538" s="48" t="str">
        <f aca="false">STACK!H1538</f>
        <v>Educator, Nursing</v>
      </c>
      <c r="P1538" s="1" t="str">
        <f aca="false">IF(G1538&gt;0,IF(INDEX(CONFIRM!$H$5:$H$53,G1538)&lt;&gt;"",INDEX(CONFIRM!$H$5:$H$53,G1538),IFERROR(INDEX(MAP!$B$7:$B$156,MATCH(TRIM(O1538),MAP!$A$7:$A$156,0)),"UNMAPPED")),IFERROR(INDEX(MAP!$B$7:$B$156,MATCH(TRIM(O1538),MAP!$A$7:$A$156,0)),"UNMAPPED"))</f>
        <v>Clinical Nurse Educator</v>
      </c>
      <c r="Q1538" s="48" t="n">
        <f aca="false">STACK!I1538</f>
        <v>3.25</v>
      </c>
      <c r="R1538" s="60" t="n">
        <f aca="false">IF(G1538&gt;0,IF(INDEX(CONFIRM!$F$5:$F$53,G1538)&lt;&gt;"",INDEX(CONFIRM!$F$5:$F$53,G1538),IF(ISNUMBER(Q1538),Q1538,IF(Q1538="","",IFERROR(VALUE(TRIM(SUBSTITUTE(SUBSTITUTE(LOWER(Q1538),"hrs",""),"hr",""))),"")))),IF(ISNUMBER(Q1538),Q1538,IF(Q1538="","",IFERROR(VALUE(TRIM(SUBSTITUTE(SUBSTITUTE(LOWER(Q1538),"hrs",""),"hr",""))),""))))</f>
        <v>3.25</v>
      </c>
      <c r="S1538" s="57" t="n">
        <f aca="false">IFERROR(INDEX(RATES!$E$6:$E$28,MATCH(P1538,RATES!$A$6:$A$28,0)),0)</f>
        <v>62.965</v>
      </c>
      <c r="T1538" s="61" t="n">
        <f aca="false">IF(ISNUMBER(R1538),R1538,0)*S1538</f>
        <v>204.63625</v>
      </c>
      <c r="U1538" s="61" t="n">
        <f aca="false">T1538*INDEX(INPUTS!$H$10:$H$14,MATCH(B1538,INPUTS!$A$10:$A$14,0))</f>
        <v>30.90007375</v>
      </c>
      <c r="V1538" s="61" t="n">
        <f aca="false">N(STACK!K1538)</f>
        <v>160</v>
      </c>
      <c r="W1538" s="61" t="n">
        <f aca="false">T1538+U1538+V1538</f>
        <v>395.53632375</v>
      </c>
      <c r="X1538" s="61" t="n">
        <f aca="false">N(STACK!L1538)</f>
        <v>360</v>
      </c>
      <c r="Y1538" s="61" t="n">
        <f aca="false">W1538-X1538</f>
        <v>35.53632375</v>
      </c>
      <c r="Z1538" s="1" t="n">
        <f aca="false">N(STACK!J1538)</f>
        <v>18</v>
      </c>
      <c r="AA1538" s="1" t="str">
        <f aca="false">TRIM(IF(D1538="UNMAPPED","Program not mapped. ","")&amp;IF(OR(K1538="UNMAPPED",K1538="UNASSIGNED"),"Category needs review. ","")&amp;IF(P1538="UNMAPPED","Title not mapped. ","")&amp;IF(AND(P1538&lt;&gt;"No staff time",R1538=""),"Missing hours. ","")&amp;IF(M1538="","Date not readable. ","")&amp;IF(N1538="No","Outside fiscal year. ","")&amp;IF(AND(F1538="Event",ISNUMBER(R1538)),IF(R1538&gt;12,"Event hours look high. ",""),"")&amp;IF(G1538&gt;0,"See CONFIRM sheet.",""))</f>
        <v/>
      </c>
      <c r="AB1538" s="1" t="n">
        <f aca="false">IF(N1538="No",0,IF(REVIEW!O1538=0,0,IF(G1538&gt;0,IF(INDEX(CONFIRM!$J$5:$J$53,G1538)&lt;&gt;"",INDEX(CONFIRM!$J$5:$J$53,G1538),1),1)))</f>
        <v>1</v>
      </c>
      <c r="AC1538" s="1" t="n">
        <f aca="false">IF(AB1538=1,IF(COUNTIFS($B$5:B1538,B1538,$D$5:D1538,D1538,$AB$5:AB1538,1)=1,1,0),0)</f>
        <v>0</v>
      </c>
    </row>
    <row r="1539" customFormat="false" ht="15" hidden="false" customHeight="false" outlineLevel="0" collapsed="false">
      <c r="A1539" s="48" t="str">
        <f aca="false">STACK!A1539</f>
        <v>QHH-0158</v>
      </c>
      <c r="B1539" s="48" t="str">
        <f aca="false">STACK!B1539</f>
        <v>QHH</v>
      </c>
      <c r="C1539" s="48" t="str">
        <f aca="false">STACK!E1539</f>
        <v>Car Seat Safety</v>
      </c>
      <c r="D1539" s="1" t="str">
        <f aca="false">IFERROR(INDEX(MAP!$J$7:$J$101,MATCH(TRIM(C1539),MAP!$I$7:$I$101,0)),"UNMAPPED")</f>
        <v>Car Seat Safety Checks</v>
      </c>
      <c r="E1539" s="1" t="str">
        <f aca="false">IFERROR(INDEX(MAP!$K$7:$K$101,MATCH(TRIM(C1539),MAP!$I$7:$I$101,0)),"")</f>
        <v>Maternal and child health</v>
      </c>
      <c r="F1539" s="1" t="str">
        <f aca="false">IFERROR(INDEX(MAP!$L$7:$L$101,MATCH(TRIM(C1539),MAP!$I$7:$I$101,0)),"")</f>
        <v>Event</v>
      </c>
      <c r="G1539" s="1" t="n">
        <f aca="false">IFERROR(MATCH(A1539,CONFIRM!$A$5:$A$53,0),0)</f>
        <v>0</v>
      </c>
      <c r="H1539" s="48" t="str">
        <f aca="false">STACK!F1539</f>
        <v>CHIS - Education</v>
      </c>
      <c r="I1539" s="1" t="str">
        <f aca="false">IF(G1539&gt;0,IF(INDEX(CONFIRM!$I$5:$I$53,G1539)&lt;&gt;"",INDEX(CONFIRM!$I$5:$I$53,G1539),H1539),H1539)</f>
        <v>CHIS - Education</v>
      </c>
      <c r="J1539" s="1" t="str">
        <f aca="false">IFERROR(INDEX(MAP!$F$7:$F$74,MATCH(TRIM(I1539),MAP!$E$7:$E$74,0)),"UNMAPPED")</f>
        <v>Community health education</v>
      </c>
      <c r="K1539" s="1" t="str">
        <f aca="false">IFERROR(INDEX(MAP!$G$7:$G$74,MATCH(TRIM(I1539),MAP!$E$7:$E$74,0)),"UNMAPPED")</f>
        <v>7e</v>
      </c>
      <c r="L1539" s="49" t="str">
        <f aca="false">STACK!G1539</f>
        <v>28-Feb-2026</v>
      </c>
      <c r="M1539" s="59" t="n">
        <f aca="false">IF(G1539&gt;0,IF(INDEX(CONFIRM!$G$5:$G$53,G1539)&lt;&gt;"",INDEX(CONFIRM!$G$5:$G$53,G1539),IF(ISNUMBER(L1539),L1539,IFERROR(DATEVALUE(L1539),""))),IF(ISNUMBER(L1539),L1539,IFERROR(DATEVALUE(L1539),"")))</f>
        <v>46081</v>
      </c>
      <c r="N1539" s="1" t="str">
        <f aca="false">IF(M1539="","Check",IF(AND(M1539&gt;=INPUTS!$C$6,M1539&lt;=INPUTS!$C$7),"Yes","No"))</f>
        <v>Yes</v>
      </c>
      <c r="O1539" s="48" t="str">
        <f aca="false">STACK!H1539</f>
        <v>EMT </v>
      </c>
      <c r="P1539" s="1" t="str">
        <f aca="false">IF(G1539&gt;0,IF(INDEX(CONFIRM!$H$5:$H$53,G1539)&lt;&gt;"",INDEX(CONFIRM!$H$5:$H$53,G1539),IFERROR(INDEX(MAP!$B$7:$B$156,MATCH(TRIM(O1539),MAP!$A$7:$A$156,0)),"UNMAPPED")),IFERROR(INDEX(MAP!$B$7:$B$156,MATCH(TRIM(O1539),MAP!$A$7:$A$156,0)),"UNMAPPED"))</f>
        <v>Paramedic</v>
      </c>
      <c r="Q1539" s="48" t="n">
        <f aca="false">STACK!I1539</f>
        <v>3.25</v>
      </c>
      <c r="R1539" s="60" t="n">
        <f aca="false">IF(G1539&gt;0,IF(INDEX(CONFIRM!$F$5:$F$53,G1539)&lt;&gt;"",INDEX(CONFIRM!$F$5:$F$53,G1539),IF(ISNUMBER(Q1539),Q1539,IF(Q1539="","",IFERROR(VALUE(TRIM(SUBSTITUTE(SUBSTITUTE(LOWER(Q1539),"hrs",""),"hr",""))),"")))),IF(ISNUMBER(Q1539),Q1539,IF(Q1539="","",IFERROR(VALUE(TRIM(SUBSTITUTE(SUBSTITUTE(LOWER(Q1539),"hrs",""),"hr",""))),""))))</f>
        <v>3.25</v>
      </c>
      <c r="S1539" s="57" t="n">
        <f aca="false">IFERROR(INDEX(RATES!$E$6:$E$28,MATCH(P1539,RATES!$A$6:$A$28,0)),0)</f>
        <v>34.695</v>
      </c>
      <c r="T1539" s="61" t="n">
        <f aca="false">IF(ISNUMBER(R1539),R1539,0)*S1539</f>
        <v>112.75875</v>
      </c>
      <c r="U1539" s="61" t="n">
        <f aca="false">T1539*INDEX(INPUTS!$H$10:$H$14,MATCH(B1539,INPUTS!$A$10:$A$14,0))</f>
        <v>17.02657125</v>
      </c>
      <c r="V1539" s="61" t="n">
        <f aca="false">N(STACK!K1539)</f>
        <v>380</v>
      </c>
      <c r="W1539" s="61" t="n">
        <f aca="false">T1539+U1539+V1539</f>
        <v>509.78532125</v>
      </c>
      <c r="X1539" s="61" t="n">
        <f aca="false">N(STACK!L1539)</f>
        <v>350</v>
      </c>
      <c r="Y1539" s="61" t="n">
        <f aca="false">W1539-X1539</f>
        <v>159.78532125</v>
      </c>
      <c r="Z1539" s="1" t="n">
        <f aca="false">N(STACK!J1539)</f>
        <v>27</v>
      </c>
      <c r="AA1539" s="1" t="str">
        <f aca="false">TRIM(IF(D1539="UNMAPPED","Program not mapped. ","")&amp;IF(OR(K1539="UNMAPPED",K1539="UNASSIGNED"),"Category needs review. ","")&amp;IF(P1539="UNMAPPED","Title not mapped. ","")&amp;IF(AND(P1539&lt;&gt;"No staff time",R1539=""),"Missing hours. ","")&amp;IF(M1539="","Date not readable. ","")&amp;IF(N1539="No","Outside fiscal year. ","")&amp;IF(AND(F1539="Event",ISNUMBER(R1539)),IF(R1539&gt;12,"Event hours look high. ",""),"")&amp;IF(G1539&gt;0,"See CONFIRM sheet.",""))</f>
        <v/>
      </c>
      <c r="AB1539" s="1" t="n">
        <f aca="false">IF(N1539="No",0,IF(REVIEW!O1539=0,0,IF(G1539&gt;0,IF(INDEX(CONFIRM!$J$5:$J$53,G1539)&lt;&gt;"",INDEX(CONFIRM!$J$5:$J$53,G1539),1),1)))</f>
        <v>1</v>
      </c>
      <c r="AC1539" s="1" t="n">
        <f aca="false">IF(AB1539=1,IF(COUNTIFS($B$5:B1539,B1539,$D$5:D1539,D1539,$AB$5:AB1539,1)=1,1,0),0)</f>
        <v>0</v>
      </c>
    </row>
    <row r="1540" customFormat="false" ht="15" hidden="false" customHeight="false" outlineLevel="0" collapsed="false">
      <c r="A1540" s="48" t="str">
        <f aca="false">STACK!A1540</f>
        <v>QHH-0159</v>
      </c>
      <c r="B1540" s="48" t="str">
        <f aca="false">STACK!B1540</f>
        <v>QHH</v>
      </c>
      <c r="C1540" s="48" t="str">
        <f aca="false">STACK!E1540</f>
        <v>Car Seat Safety</v>
      </c>
      <c r="D1540" s="1" t="str">
        <f aca="false">IFERROR(INDEX(MAP!$J$7:$J$101,MATCH(TRIM(C1540),MAP!$I$7:$I$101,0)),"UNMAPPED")</f>
        <v>Car Seat Safety Checks</v>
      </c>
      <c r="E1540" s="1" t="str">
        <f aca="false">IFERROR(INDEX(MAP!$K$7:$K$101,MATCH(TRIM(C1540),MAP!$I$7:$I$101,0)),"")</f>
        <v>Maternal and child health</v>
      </c>
      <c r="F1540" s="1" t="str">
        <f aca="false">IFERROR(INDEX(MAP!$L$7:$L$101,MATCH(TRIM(C1540),MAP!$I$7:$I$101,0)),"")</f>
        <v>Event</v>
      </c>
      <c r="G1540" s="1" t="n">
        <f aca="false">IFERROR(MATCH(A1540,CONFIRM!$A$5:$A$53,0),0)</f>
        <v>0</v>
      </c>
      <c r="H1540" s="48" t="str">
        <f aca="false">STACK!F1540</f>
        <v>CHIS - Education</v>
      </c>
      <c r="I1540" s="1" t="str">
        <f aca="false">IF(G1540&gt;0,IF(INDEX(CONFIRM!$I$5:$I$53,G1540)&lt;&gt;"",INDEX(CONFIRM!$I$5:$I$53,G1540),H1540),H1540)</f>
        <v>CHIS - Education</v>
      </c>
      <c r="J1540" s="1" t="str">
        <f aca="false">IFERROR(INDEX(MAP!$F$7:$F$74,MATCH(TRIM(I1540),MAP!$E$7:$E$74,0)),"UNMAPPED")</f>
        <v>Community health education</v>
      </c>
      <c r="K1540" s="1" t="str">
        <f aca="false">IFERROR(INDEX(MAP!$G$7:$G$74,MATCH(TRIM(I1540),MAP!$E$7:$E$74,0)),"UNMAPPED")</f>
        <v>7e</v>
      </c>
      <c r="L1540" s="49" t="str">
        <f aca="false">STACK!G1540</f>
        <v>28-Feb-2026</v>
      </c>
      <c r="M1540" s="59" t="n">
        <f aca="false">IF(G1540&gt;0,IF(INDEX(CONFIRM!$G$5:$G$53,G1540)&lt;&gt;"",INDEX(CONFIRM!$G$5:$G$53,G1540),IF(ISNUMBER(L1540),L1540,IFERROR(DATEVALUE(L1540),""))),IF(ISNUMBER(L1540),L1540,IFERROR(DATEVALUE(L1540),"")))</f>
        <v>46081</v>
      </c>
      <c r="N1540" s="1" t="str">
        <f aca="false">IF(M1540="","Check",IF(AND(M1540&gt;=INPUTS!$C$6,M1540&lt;=INPUTS!$C$7),"Yes","No"))</f>
        <v>Yes</v>
      </c>
      <c r="O1540" s="48" t="str">
        <f aca="false">STACK!H1540</f>
        <v>RN II</v>
      </c>
      <c r="P1540" s="1" t="str">
        <f aca="false">IF(G1540&gt;0,IF(INDEX(CONFIRM!$H$5:$H$53,G1540)&lt;&gt;"",INDEX(CONFIRM!$H$5:$H$53,G1540),IFERROR(INDEX(MAP!$B$7:$B$156,MATCH(TRIM(O1540),MAP!$A$7:$A$156,0)),"UNMAPPED")),IFERROR(INDEX(MAP!$B$7:$B$156,MATCH(TRIM(O1540),MAP!$A$7:$A$156,0)),"UNMAPPED"))</f>
        <v>Registered Nurse</v>
      </c>
      <c r="Q1540" s="48" t="n">
        <f aca="false">STACK!I1540</f>
        <v>3.25</v>
      </c>
      <c r="R1540" s="60" t="n">
        <f aca="false">IF(G1540&gt;0,IF(INDEX(CONFIRM!$F$5:$F$53,G1540)&lt;&gt;"",INDEX(CONFIRM!$F$5:$F$53,G1540),IF(ISNUMBER(Q1540),Q1540,IF(Q1540="","",IFERROR(VALUE(TRIM(SUBSTITUTE(SUBSTITUTE(LOWER(Q1540),"hrs",""),"hr",""))),"")))),IF(ISNUMBER(Q1540),Q1540,IF(Q1540="","",IFERROR(VALUE(TRIM(SUBSTITUTE(SUBSTITUTE(LOWER(Q1540),"hrs",""),"hr",""))),""))))</f>
        <v>3.25</v>
      </c>
      <c r="S1540" s="57" t="n">
        <f aca="false">IFERROR(INDEX(RATES!$E$6:$E$28,MATCH(P1540,RATES!$A$6:$A$28,0)),0)</f>
        <v>55.8975</v>
      </c>
      <c r="T1540" s="61" t="n">
        <f aca="false">IF(ISNUMBER(R1540),R1540,0)*S1540</f>
        <v>181.666875</v>
      </c>
      <c r="U1540" s="61" t="n">
        <f aca="false">T1540*INDEX(INPUTS!$H$10:$H$14,MATCH(B1540,INPUTS!$A$10:$A$14,0))</f>
        <v>27.431698125</v>
      </c>
      <c r="V1540" s="61" t="n">
        <f aca="false">N(STACK!K1540)</f>
        <v>0</v>
      </c>
      <c r="W1540" s="61" t="n">
        <f aca="false">T1540+U1540+V1540</f>
        <v>209.098573125</v>
      </c>
      <c r="X1540" s="61" t="n">
        <f aca="false">N(STACK!L1540)</f>
        <v>0</v>
      </c>
      <c r="Y1540" s="61" t="n">
        <f aca="false">W1540-X1540</f>
        <v>209.098573125</v>
      </c>
      <c r="Z1540" s="1" t="n">
        <f aca="false">N(STACK!J1540)</f>
        <v>0</v>
      </c>
      <c r="AA1540" s="1" t="str">
        <f aca="false">TRIM(IF(D1540="UNMAPPED","Program not mapped. ","")&amp;IF(OR(K1540="UNMAPPED",K1540="UNASSIGNED"),"Category needs review. ","")&amp;IF(P1540="UNMAPPED","Title not mapped. ","")&amp;IF(AND(P1540&lt;&gt;"No staff time",R1540=""),"Missing hours. ","")&amp;IF(M1540="","Date not readable. ","")&amp;IF(N1540="No","Outside fiscal year. ","")&amp;IF(AND(F1540="Event",ISNUMBER(R1540)),IF(R1540&gt;12,"Event hours look high. ",""),"")&amp;IF(G1540&gt;0,"See CONFIRM sheet.",""))</f>
        <v/>
      </c>
      <c r="AB1540" s="1" t="n">
        <f aca="false">IF(N1540="No",0,IF(REVIEW!O1540=0,0,IF(G1540&gt;0,IF(INDEX(CONFIRM!$J$5:$J$53,G1540)&lt;&gt;"",INDEX(CONFIRM!$J$5:$J$53,G1540),1),1)))</f>
        <v>1</v>
      </c>
      <c r="AC1540" s="1" t="n">
        <f aca="false">IF(AB1540=1,IF(COUNTIFS($B$5:B1540,B1540,$D$5:D1540,D1540,$AB$5:AB1540,1)=1,1,0),0)</f>
        <v>0</v>
      </c>
    </row>
    <row r="1541" customFormat="false" ht="15" hidden="false" customHeight="false" outlineLevel="0" collapsed="false">
      <c r="A1541" s="48" t="str">
        <f aca="false">STACK!A1541</f>
        <v>QHH-0160</v>
      </c>
      <c r="B1541" s="48" t="str">
        <f aca="false">STACK!B1541</f>
        <v>QHH</v>
      </c>
      <c r="C1541" s="48" t="str">
        <f aca="false">STACK!E1541</f>
        <v>Medication Assistance</v>
      </c>
      <c r="D1541" s="1" t="str">
        <f aca="false">IFERROR(INDEX(MAP!$J$7:$J$101,MATCH(TRIM(C1541),MAP!$I$7:$I$101,0)),"UNMAPPED")</f>
        <v>Medication Assistance Program</v>
      </c>
      <c r="E1541" s="1" t="str">
        <f aca="false">IFERROR(INDEX(MAP!$K$7:$K$101,MATCH(TRIM(C1541),MAP!$I$7:$I$101,0)),"")</f>
        <v>Access to care</v>
      </c>
      <c r="F1541" s="1" t="str">
        <f aca="false">IFERROR(INDEX(MAP!$L$7:$L$101,MATCH(TRIM(C1541),MAP!$I$7:$I$101,0)),"")</f>
        <v>Monthly</v>
      </c>
      <c r="G1541" s="1" t="n">
        <f aca="false">IFERROR(MATCH(A1541,CONFIRM!$A$5:$A$53,0),0)</f>
        <v>0</v>
      </c>
      <c r="H1541" s="48" t="str">
        <f aca="false">STACK!F1541</f>
        <v>CHIS - Support</v>
      </c>
      <c r="I1541" s="1" t="str">
        <f aca="false">IF(G1541&gt;0,IF(INDEX(CONFIRM!$I$5:$I$53,G1541)&lt;&gt;"",INDEX(CONFIRM!$I$5:$I$53,G1541),H1541),H1541)</f>
        <v>CHIS - Support</v>
      </c>
      <c r="J1541" s="1" t="str">
        <f aca="false">IFERROR(INDEX(MAP!$F$7:$F$74,MATCH(TRIM(I1541),MAP!$E$7:$E$74,0)),"UNMAPPED")</f>
        <v>Health care support services</v>
      </c>
      <c r="K1541" s="1" t="str">
        <f aca="false">IFERROR(INDEX(MAP!$G$7:$G$74,MATCH(TRIM(I1541),MAP!$E$7:$E$74,0)),"UNMAPPED")</f>
        <v>7e</v>
      </c>
      <c r="L1541" s="49" t="str">
        <f aca="false">STACK!G1541</f>
        <v>28-Feb-2026</v>
      </c>
      <c r="M1541" s="59" t="n">
        <f aca="false">IF(G1541&gt;0,IF(INDEX(CONFIRM!$G$5:$G$53,G1541)&lt;&gt;"",INDEX(CONFIRM!$G$5:$G$53,G1541),IF(ISNUMBER(L1541),L1541,IFERROR(DATEVALUE(L1541),""))),IF(ISNUMBER(L1541),L1541,IFERROR(DATEVALUE(L1541),"")))</f>
        <v>46081</v>
      </c>
      <c r="N1541" s="1" t="str">
        <f aca="false">IF(M1541="","Check",IF(AND(M1541&gt;=INPUTS!$C$6,M1541&lt;=INPUTS!$C$7),"Yes","No"))</f>
        <v>Yes</v>
      </c>
      <c r="O1541" s="48" t="str">
        <f aca="false">STACK!H1541</f>
        <v>Pt Navigator</v>
      </c>
      <c r="P1541" s="1" t="str">
        <f aca="false">IF(G1541&gt;0,IF(INDEX(CONFIRM!$H$5:$H$53,G1541)&lt;&gt;"",INDEX(CONFIRM!$H$5:$H$53,G1541),IFERROR(INDEX(MAP!$B$7:$B$156,MATCH(TRIM(O1541),MAP!$A$7:$A$156,0)),"UNMAPPED")),IFERROR(INDEX(MAP!$B$7:$B$156,MATCH(TRIM(O1541),MAP!$A$7:$A$156,0)),"UNMAPPED"))</f>
        <v>Patient Navigator</v>
      </c>
      <c r="Q1541" s="48" t="n">
        <f aca="false">STACK!I1541</f>
        <v>73.75</v>
      </c>
      <c r="R1541" s="60" t="n">
        <f aca="false">IF(G1541&gt;0,IF(INDEX(CONFIRM!$F$5:$F$53,G1541)&lt;&gt;"",INDEX(CONFIRM!$F$5:$F$53,G1541),IF(ISNUMBER(Q1541),Q1541,IF(Q1541="","",IFERROR(VALUE(TRIM(SUBSTITUTE(SUBSTITUTE(LOWER(Q1541),"hrs",""),"hr",""))),"")))),IF(ISNUMBER(Q1541),Q1541,IF(Q1541="","",IFERROR(VALUE(TRIM(SUBSTITUTE(SUBSTITUTE(LOWER(Q1541),"hrs",""),"hr",""))),""))))</f>
        <v>73.75</v>
      </c>
      <c r="S1541" s="57" t="n">
        <f aca="false">IFERROR(INDEX(RATES!$E$6:$E$28,MATCH(P1541,RATES!$A$6:$A$28,0)),0)</f>
        <v>30.84</v>
      </c>
      <c r="T1541" s="61" t="n">
        <f aca="false">IF(ISNUMBER(R1541),R1541,0)*S1541</f>
        <v>2274.45</v>
      </c>
      <c r="U1541" s="61" t="n">
        <f aca="false">T1541*INDEX(INPUTS!$H$10:$H$14,MATCH(B1541,INPUTS!$A$10:$A$14,0))</f>
        <v>343.44195</v>
      </c>
      <c r="V1541" s="61" t="n">
        <f aca="false">N(STACK!K1541)</f>
        <v>0</v>
      </c>
      <c r="W1541" s="61" t="n">
        <f aca="false">T1541+U1541+V1541</f>
        <v>2617.89195</v>
      </c>
      <c r="X1541" s="61" t="n">
        <f aca="false">N(STACK!L1541)</f>
        <v>0</v>
      </c>
      <c r="Y1541" s="61" t="n">
        <f aca="false">W1541-X1541</f>
        <v>2617.89195</v>
      </c>
      <c r="Z1541" s="1" t="n">
        <f aca="false">N(STACK!J1541)</f>
        <v>0</v>
      </c>
      <c r="AA1541" s="1" t="str">
        <f aca="false">TRIM(IF(D1541="UNMAPPED","Program not mapped. ","")&amp;IF(OR(K1541="UNMAPPED",K1541="UNASSIGNED"),"Category needs review. ","")&amp;IF(P1541="UNMAPPED","Title not mapped. ","")&amp;IF(AND(P1541&lt;&gt;"No staff time",R1541=""),"Missing hours. ","")&amp;IF(M1541="","Date not readable. ","")&amp;IF(N1541="No","Outside fiscal year. ","")&amp;IF(AND(F1541="Event",ISNUMBER(R1541)),IF(R1541&gt;12,"Event hours look high. ",""),"")&amp;IF(G1541&gt;0,"See CONFIRM sheet.",""))</f>
        <v/>
      </c>
      <c r="AB1541" s="1" t="n">
        <f aca="false">IF(N1541="No",0,IF(REVIEW!O1541=0,0,IF(G1541&gt;0,IF(INDEX(CONFIRM!$J$5:$J$53,G1541)&lt;&gt;"",INDEX(CONFIRM!$J$5:$J$53,G1541),1),1)))</f>
        <v>1</v>
      </c>
      <c r="AC1541" s="1" t="n">
        <f aca="false">IF(AB1541=1,IF(COUNTIFS($B$5:B1541,B1541,$D$5:D1541,D1541,$AB$5:AB1541,1)=1,1,0),0)</f>
        <v>0</v>
      </c>
    </row>
    <row r="1542" customFormat="false" ht="15" hidden="false" customHeight="false" outlineLevel="0" collapsed="false">
      <c r="A1542" s="48" t="str">
        <f aca="false">STACK!A1542</f>
        <v>QHH-0161</v>
      </c>
      <c r="B1542" s="48" t="str">
        <f aca="false">STACK!B1542</f>
        <v>QHH</v>
      </c>
      <c r="C1542" s="48" t="str">
        <f aca="false">STACK!E1542</f>
        <v>Medication Assistance</v>
      </c>
      <c r="D1542" s="1" t="str">
        <f aca="false">IFERROR(INDEX(MAP!$J$7:$J$101,MATCH(TRIM(C1542),MAP!$I$7:$I$101,0)),"UNMAPPED")</f>
        <v>Medication Assistance Program</v>
      </c>
      <c r="E1542" s="1" t="str">
        <f aca="false">IFERROR(INDEX(MAP!$K$7:$K$101,MATCH(TRIM(C1542),MAP!$I$7:$I$101,0)),"")</f>
        <v>Access to care</v>
      </c>
      <c r="F1542" s="1" t="str">
        <f aca="false">IFERROR(INDEX(MAP!$L$7:$L$101,MATCH(TRIM(C1542),MAP!$I$7:$I$101,0)),"")</f>
        <v>Monthly</v>
      </c>
      <c r="G1542" s="1" t="n">
        <f aca="false">IFERROR(MATCH(A1542,CONFIRM!$A$5:$A$53,0),0)</f>
        <v>0</v>
      </c>
      <c r="H1542" s="48" t="str">
        <f aca="false">STACK!F1542</f>
        <v>CHIS - Support</v>
      </c>
      <c r="I1542" s="1" t="str">
        <f aca="false">IF(G1542&gt;0,IF(INDEX(CONFIRM!$I$5:$I$53,G1542)&lt;&gt;"",INDEX(CONFIRM!$I$5:$I$53,G1542),H1542),H1542)</f>
        <v>CHIS - Support</v>
      </c>
      <c r="J1542" s="1" t="str">
        <f aca="false">IFERROR(INDEX(MAP!$F$7:$F$74,MATCH(TRIM(I1542),MAP!$E$7:$E$74,0)),"UNMAPPED")</f>
        <v>Health care support services</v>
      </c>
      <c r="K1542" s="1" t="str">
        <f aca="false">IFERROR(INDEX(MAP!$G$7:$G$74,MATCH(TRIM(I1542),MAP!$E$7:$E$74,0)),"UNMAPPED")</f>
        <v>7e</v>
      </c>
      <c r="L1542" s="49" t="str">
        <f aca="false">STACK!G1542</f>
        <v>28-Feb-2026</v>
      </c>
      <c r="M1542" s="59" t="n">
        <f aca="false">IF(G1542&gt;0,IF(INDEX(CONFIRM!$G$5:$G$53,G1542)&lt;&gt;"",INDEX(CONFIRM!$G$5:$G$53,G1542),IF(ISNUMBER(L1542),L1542,IFERROR(DATEVALUE(L1542),""))),IF(ISNUMBER(L1542),L1542,IFERROR(DATEVALUE(L1542),"")))</f>
        <v>46081</v>
      </c>
      <c r="N1542" s="1" t="str">
        <f aca="false">IF(M1542="","Check",IF(AND(M1542&gt;=INPUTS!$C$6,M1542&lt;=INPUTS!$C$7),"Yes","No"))</f>
        <v>Yes</v>
      </c>
      <c r="O1542" s="48" t="str">
        <f aca="false">STACK!H1542</f>
        <v>Pharmacist</v>
      </c>
      <c r="P1542" s="1" t="str">
        <f aca="false">IF(G1542&gt;0,IF(INDEX(CONFIRM!$H$5:$H$53,G1542)&lt;&gt;"",INDEX(CONFIRM!$H$5:$H$53,G1542),IFERROR(INDEX(MAP!$B$7:$B$156,MATCH(TRIM(O1542),MAP!$A$7:$A$156,0)),"UNMAPPED")),IFERROR(INDEX(MAP!$B$7:$B$156,MATCH(TRIM(O1542),MAP!$A$7:$A$156,0)),"UNMAPPED"))</f>
        <v>Pharmacist</v>
      </c>
      <c r="Q1542" s="48" t="n">
        <f aca="false">STACK!I1542</f>
        <v>20.25</v>
      </c>
      <c r="R1542" s="60" t="n">
        <f aca="false">IF(G1542&gt;0,IF(INDEX(CONFIRM!$F$5:$F$53,G1542)&lt;&gt;"",INDEX(CONFIRM!$F$5:$F$53,G1542),IF(ISNUMBER(Q1542),Q1542,IF(Q1542="","",IFERROR(VALUE(TRIM(SUBSTITUTE(SUBSTITUTE(LOWER(Q1542),"hrs",""),"hr",""))),"")))),IF(ISNUMBER(Q1542),Q1542,IF(Q1542="","",IFERROR(VALUE(TRIM(SUBSTITUTE(SUBSTITUTE(LOWER(Q1542),"hrs",""),"hr",""))),""))))</f>
        <v>20.25</v>
      </c>
      <c r="S1542" s="57" t="n">
        <f aca="false">IFERROR(INDEX(RATES!$E$6:$E$28,MATCH(P1542,RATES!$A$6:$A$28,0)),0)</f>
        <v>84.81</v>
      </c>
      <c r="T1542" s="61" t="n">
        <f aca="false">IF(ISNUMBER(R1542),R1542,0)*S1542</f>
        <v>1717.4025</v>
      </c>
      <c r="U1542" s="61" t="n">
        <f aca="false">T1542*INDEX(INPUTS!$H$10:$H$14,MATCH(B1542,INPUTS!$A$10:$A$14,0))</f>
        <v>259.3277775</v>
      </c>
      <c r="V1542" s="61" t="n">
        <f aca="false">N(STACK!K1542)</f>
        <v>13400</v>
      </c>
      <c r="W1542" s="61" t="n">
        <f aca="false">T1542+U1542+V1542</f>
        <v>15376.7302775</v>
      </c>
      <c r="X1542" s="61" t="n">
        <f aca="false">N(STACK!L1542)</f>
        <v>0</v>
      </c>
      <c r="Y1542" s="61" t="n">
        <f aca="false">W1542-X1542</f>
        <v>15376.7302775</v>
      </c>
      <c r="Z1542" s="1" t="n">
        <f aca="false">N(STACK!J1542)</f>
        <v>95</v>
      </c>
      <c r="AA1542" s="1" t="str">
        <f aca="false">TRIM(IF(D1542="UNMAPPED","Program not mapped. ","")&amp;IF(OR(K1542="UNMAPPED",K1542="UNASSIGNED"),"Category needs review. ","")&amp;IF(P1542="UNMAPPED","Title not mapped. ","")&amp;IF(AND(P1542&lt;&gt;"No staff time",R1542=""),"Missing hours. ","")&amp;IF(M1542="","Date not readable. ","")&amp;IF(N1542="No","Outside fiscal year. ","")&amp;IF(AND(F1542="Event",ISNUMBER(R1542)),IF(R1542&gt;12,"Event hours look high. ",""),"")&amp;IF(G1542&gt;0,"See CONFIRM sheet.",""))</f>
        <v/>
      </c>
      <c r="AB1542" s="1" t="n">
        <f aca="false">IF(N1542="No",0,IF(REVIEW!O1542=0,0,IF(G1542&gt;0,IF(INDEX(CONFIRM!$J$5:$J$53,G1542)&lt;&gt;"",INDEX(CONFIRM!$J$5:$J$53,G1542),1),1)))</f>
        <v>1</v>
      </c>
      <c r="AC1542" s="1" t="n">
        <f aca="false">IF(AB1542=1,IF(COUNTIFS($B$5:B1542,B1542,$D$5:D1542,D1542,$AB$5:AB1542,1)=1,1,0),0)</f>
        <v>0</v>
      </c>
    </row>
    <row r="1543" customFormat="false" ht="15" hidden="false" customHeight="false" outlineLevel="0" collapsed="false">
      <c r="A1543" s="48" t="str">
        <f aca="false">STACK!A1543</f>
        <v>QHH-0162</v>
      </c>
      <c r="B1543" s="48" t="str">
        <f aca="false">STACK!B1543</f>
        <v>QHH</v>
      </c>
      <c r="C1543" s="48" t="str">
        <f aca="false">STACK!E1543</f>
        <v>Community Benefit Admin.</v>
      </c>
      <c r="D1543" s="1" t="str">
        <f aca="false">IFERROR(INDEX(MAP!$J$7:$J$101,MATCH(TRIM(C1543),MAP!$I$7:$I$101,0)),"UNMAPPED")</f>
        <v>Community Benefit Program Administration</v>
      </c>
      <c r="E1543" s="1" t="str">
        <f aca="false">IFERROR(INDEX(MAP!$K$7:$K$101,MATCH(TRIM(C1543),MAP!$I$7:$I$101,0)),"")</f>
        <v>Community benefit infrastructure</v>
      </c>
      <c r="F1543" s="1" t="str">
        <f aca="false">IFERROR(INDEX(MAP!$L$7:$L$101,MATCH(TRIM(C1543),MAP!$I$7:$I$101,0)),"")</f>
        <v>Monthly</v>
      </c>
      <c r="G1543" s="1" t="n">
        <f aca="false">IFERROR(MATCH(A1543,CONFIRM!$A$5:$A$53,0),0)</f>
        <v>0</v>
      </c>
      <c r="H1543" s="48" t="str">
        <f aca="false">STACK!F1543</f>
        <v>CBO</v>
      </c>
      <c r="I1543" s="1" t="str">
        <f aca="false">IF(G1543&gt;0,IF(INDEX(CONFIRM!$I$5:$I$53,G1543)&lt;&gt;"",INDEX(CONFIRM!$I$5:$I$53,G1543),H1543),H1543)</f>
        <v>CBO</v>
      </c>
      <c r="J1543" s="1" t="str">
        <f aca="false">IFERROR(INDEX(MAP!$F$7:$F$74,MATCH(TRIM(I1543),MAP!$E$7:$E$74,0)),"UNMAPPED")</f>
        <v>Community benefit operations</v>
      </c>
      <c r="K1543" s="1" t="str">
        <f aca="false">IFERROR(INDEX(MAP!$G$7:$G$74,MATCH(TRIM(I1543),MAP!$E$7:$E$74,0)),"UNMAPPED")</f>
        <v>7e</v>
      </c>
      <c r="L1543" s="49" t="str">
        <f aca="false">STACK!G1543</f>
        <v>28-Feb-2026</v>
      </c>
      <c r="M1543" s="59" t="n">
        <f aca="false">IF(G1543&gt;0,IF(INDEX(CONFIRM!$G$5:$G$53,G1543)&lt;&gt;"",INDEX(CONFIRM!$G$5:$G$53,G1543),IF(ISNUMBER(L1543),L1543,IFERROR(DATEVALUE(L1543),""))),IF(ISNUMBER(L1543),L1543,IFERROR(DATEVALUE(L1543),"")))</f>
        <v>46081</v>
      </c>
      <c r="N1543" s="1" t="str">
        <f aca="false">IF(M1543="","Check",IF(AND(M1543&gt;=INPUTS!$C$6,M1543&lt;=INPUTS!$C$7),"Yes","No"))</f>
        <v>Yes</v>
      </c>
      <c r="O1543" s="48" t="str">
        <f aca="false">STACK!H1543</f>
        <v>Admin</v>
      </c>
      <c r="P1543" s="1" t="str">
        <f aca="false">IF(G1543&gt;0,IF(INDEX(CONFIRM!$H$5:$H$53,G1543)&lt;&gt;"",INDEX(CONFIRM!$H$5:$H$53,G1543),IFERROR(INDEX(MAP!$B$7:$B$156,MATCH(TRIM(O1543),MAP!$A$7:$A$156,0)),"UNMAPPED")),IFERROR(INDEX(MAP!$B$7:$B$156,MATCH(TRIM(O1543),MAP!$A$7:$A$156,0)),"UNMAPPED"))</f>
        <v>Administrative Assistant</v>
      </c>
      <c r="Q1543" s="48" t="n">
        <f aca="false">STACK!I1543</f>
        <v>41.25</v>
      </c>
      <c r="R1543" s="60" t="n">
        <f aca="false">IF(G1543&gt;0,IF(INDEX(CONFIRM!$F$5:$F$53,G1543)&lt;&gt;"",INDEX(CONFIRM!$F$5:$F$53,G1543),IF(ISNUMBER(Q1543),Q1543,IF(Q1543="","",IFERROR(VALUE(TRIM(SUBSTITUTE(SUBSTITUTE(LOWER(Q1543),"hrs",""),"hr",""))),"")))),IF(ISNUMBER(Q1543),Q1543,IF(Q1543="","",IFERROR(VALUE(TRIM(SUBSTITUTE(SUBSTITUTE(LOWER(Q1543),"hrs",""),"hr",""))),""))))</f>
        <v>41.25</v>
      </c>
      <c r="S1543" s="57" t="n">
        <f aca="false">IFERROR(INDEX(RATES!$E$6:$E$28,MATCH(P1543,RATES!$A$6:$A$28,0)),0)</f>
        <v>26.985</v>
      </c>
      <c r="T1543" s="61" t="n">
        <f aca="false">IF(ISNUMBER(R1543),R1543,0)*S1543</f>
        <v>1113.13125</v>
      </c>
      <c r="U1543" s="61" t="n">
        <f aca="false">T1543*INDEX(INPUTS!$H$10:$H$14,MATCH(B1543,INPUTS!$A$10:$A$14,0))</f>
        <v>168.08281875</v>
      </c>
      <c r="V1543" s="61" t="n">
        <f aca="false">N(STACK!K1543)</f>
        <v>0</v>
      </c>
      <c r="W1543" s="61" t="n">
        <f aca="false">T1543+U1543+V1543</f>
        <v>1281.21406875</v>
      </c>
      <c r="X1543" s="61" t="n">
        <f aca="false">N(STACK!L1543)</f>
        <v>0</v>
      </c>
      <c r="Y1543" s="61" t="n">
        <f aca="false">W1543-X1543</f>
        <v>1281.21406875</v>
      </c>
      <c r="Z1543" s="1" t="n">
        <f aca="false">N(STACK!J1543)</f>
        <v>0</v>
      </c>
      <c r="AA1543" s="1" t="str">
        <f aca="false">TRIM(IF(D1543="UNMAPPED","Program not mapped. ","")&amp;IF(OR(K1543="UNMAPPED",K1543="UNASSIGNED"),"Category needs review. ","")&amp;IF(P1543="UNMAPPED","Title not mapped. ","")&amp;IF(AND(P1543&lt;&gt;"No staff time",R1543=""),"Missing hours. ","")&amp;IF(M1543="","Date not readable. ","")&amp;IF(N1543="No","Outside fiscal year. ","")&amp;IF(AND(F1543="Event",ISNUMBER(R1543)),IF(R1543&gt;12,"Event hours look high. ",""),"")&amp;IF(G1543&gt;0,"See CONFIRM sheet.",""))</f>
        <v/>
      </c>
      <c r="AB1543" s="1" t="n">
        <f aca="false">IF(N1543="No",0,IF(REVIEW!O1543=0,0,IF(G1543&gt;0,IF(INDEX(CONFIRM!$J$5:$J$53,G1543)&lt;&gt;"",INDEX(CONFIRM!$J$5:$J$53,G1543),1),1)))</f>
        <v>1</v>
      </c>
      <c r="AC1543" s="1" t="n">
        <f aca="false">IF(AB1543=1,IF(COUNTIFS($B$5:B1543,B1543,$D$5:D1543,D1543,$AB$5:AB1543,1)=1,1,0),0)</f>
        <v>0</v>
      </c>
    </row>
    <row r="1544" customFormat="false" ht="15" hidden="false" customHeight="false" outlineLevel="0" collapsed="false">
      <c r="A1544" s="48" t="str">
        <f aca="false">STACK!A1544</f>
        <v>QHH-0163</v>
      </c>
      <c r="B1544" s="48" t="str">
        <f aca="false">STACK!B1544</f>
        <v>QHH</v>
      </c>
      <c r="C1544" s="48" t="str">
        <f aca="false">STACK!E1544</f>
        <v>Community Benefit Admin.</v>
      </c>
      <c r="D1544" s="1" t="str">
        <f aca="false">IFERROR(INDEX(MAP!$J$7:$J$101,MATCH(TRIM(C1544),MAP!$I$7:$I$101,0)),"UNMAPPED")</f>
        <v>Community Benefit Program Administration</v>
      </c>
      <c r="E1544" s="1" t="str">
        <f aca="false">IFERROR(INDEX(MAP!$K$7:$K$101,MATCH(TRIM(C1544),MAP!$I$7:$I$101,0)),"")</f>
        <v>Community benefit infrastructure</v>
      </c>
      <c r="F1544" s="1" t="str">
        <f aca="false">IFERROR(INDEX(MAP!$L$7:$L$101,MATCH(TRIM(C1544),MAP!$I$7:$I$101,0)),"")</f>
        <v>Monthly</v>
      </c>
      <c r="G1544" s="1" t="n">
        <f aca="false">IFERROR(MATCH(A1544,CONFIRM!$A$5:$A$53,0),0)</f>
        <v>0</v>
      </c>
      <c r="H1544" s="48" t="str">
        <f aca="false">STACK!F1544</f>
        <v>CBO</v>
      </c>
      <c r="I1544" s="1" t="str">
        <f aca="false">IF(G1544&gt;0,IF(INDEX(CONFIRM!$I$5:$I$53,G1544)&lt;&gt;"",INDEX(CONFIRM!$I$5:$I$53,G1544),H1544),H1544)</f>
        <v>CBO</v>
      </c>
      <c r="J1544" s="1" t="str">
        <f aca="false">IFERROR(INDEX(MAP!$F$7:$F$74,MATCH(TRIM(I1544),MAP!$E$7:$E$74,0)),"UNMAPPED")</f>
        <v>Community benefit operations</v>
      </c>
      <c r="K1544" s="1" t="str">
        <f aca="false">IFERROR(INDEX(MAP!$G$7:$G$74,MATCH(TRIM(I1544),MAP!$E$7:$E$74,0)),"UNMAPPED")</f>
        <v>7e</v>
      </c>
      <c r="L1544" s="49" t="str">
        <f aca="false">STACK!G1544</f>
        <v>28-Feb-2026</v>
      </c>
      <c r="M1544" s="59" t="n">
        <f aca="false">IF(G1544&gt;0,IF(INDEX(CONFIRM!$G$5:$G$53,G1544)&lt;&gt;"",INDEX(CONFIRM!$G$5:$G$53,G1544),IF(ISNUMBER(L1544),L1544,IFERROR(DATEVALUE(L1544),""))),IF(ISNUMBER(L1544),L1544,IFERROR(DATEVALUE(L1544),"")))</f>
        <v>46081</v>
      </c>
      <c r="N1544" s="1" t="str">
        <f aca="false">IF(M1544="","Check",IF(AND(M1544&gt;=INPUTS!$C$6,M1544&lt;=INPUTS!$C$7),"Yes","No"))</f>
        <v>Yes</v>
      </c>
      <c r="O1544" s="48" t="str">
        <f aca="false">STACK!H1544</f>
        <v>Mgr, Community Benefit</v>
      </c>
      <c r="P1544" s="1" t="str">
        <f aca="false">IF(G1544&gt;0,IF(INDEX(CONFIRM!$H$5:$H$53,G1544)&lt;&gt;"",INDEX(CONFIRM!$H$5:$H$53,G1544),IFERROR(INDEX(MAP!$B$7:$B$156,MATCH(TRIM(O1544),MAP!$A$7:$A$156,0)),"UNMAPPED")),IFERROR(INDEX(MAP!$B$7:$B$156,MATCH(TRIM(O1544),MAP!$A$7:$A$156,0)),"UNMAPPED"))</f>
        <v>Community Benefit Manager</v>
      </c>
      <c r="Q1544" s="48" t="n">
        <f aca="false">STACK!I1544</f>
        <v>66</v>
      </c>
      <c r="R1544" s="60" t="n">
        <f aca="false">IF(G1544&gt;0,IF(INDEX(CONFIRM!$F$5:$F$53,G1544)&lt;&gt;"",INDEX(CONFIRM!$F$5:$F$53,G1544),IF(ISNUMBER(Q1544),Q1544,IF(Q1544="","",IFERROR(VALUE(TRIM(SUBSTITUTE(SUBSTITUTE(LOWER(Q1544),"hrs",""),"hr",""))),"")))),IF(ISNUMBER(Q1544),Q1544,IF(Q1544="","",IFERROR(VALUE(TRIM(SUBSTITUTE(SUBSTITUTE(LOWER(Q1544),"hrs",""),"hr",""))),""))))</f>
        <v>66</v>
      </c>
      <c r="S1544" s="57" t="n">
        <f aca="false">IFERROR(INDEX(RATES!$E$6:$E$28,MATCH(P1544,RATES!$A$6:$A$28,0)),0)</f>
        <v>59.11</v>
      </c>
      <c r="T1544" s="61" t="n">
        <f aca="false">IF(ISNUMBER(R1544),R1544,0)*S1544</f>
        <v>3901.26</v>
      </c>
      <c r="U1544" s="61" t="n">
        <f aca="false">T1544*INDEX(INPUTS!$H$10:$H$14,MATCH(B1544,INPUTS!$A$10:$A$14,0))</f>
        <v>589.09026</v>
      </c>
      <c r="V1544" s="61" t="n">
        <f aca="false">N(STACK!K1544)</f>
        <v>395</v>
      </c>
      <c r="W1544" s="61" t="n">
        <f aca="false">T1544+U1544+V1544</f>
        <v>4885.35026</v>
      </c>
      <c r="X1544" s="61" t="n">
        <f aca="false">N(STACK!L1544)</f>
        <v>0</v>
      </c>
      <c r="Y1544" s="61" t="n">
        <f aca="false">W1544-X1544</f>
        <v>4885.35026</v>
      </c>
      <c r="Z1544" s="1" t="n">
        <f aca="false">N(STACK!J1544)</f>
        <v>0</v>
      </c>
      <c r="AA1544" s="1" t="str">
        <f aca="false">TRIM(IF(D1544="UNMAPPED","Program not mapped. ","")&amp;IF(OR(K1544="UNMAPPED",K1544="UNASSIGNED"),"Category needs review. ","")&amp;IF(P1544="UNMAPPED","Title not mapped. ","")&amp;IF(AND(P1544&lt;&gt;"No staff time",R1544=""),"Missing hours. ","")&amp;IF(M1544="","Date not readable. ","")&amp;IF(N1544="No","Outside fiscal year. ","")&amp;IF(AND(F1544="Event",ISNUMBER(R1544)),IF(R1544&gt;12,"Event hours look high. ",""),"")&amp;IF(G1544&gt;0,"See CONFIRM sheet.",""))</f>
        <v/>
      </c>
      <c r="AB1544" s="1" t="n">
        <f aca="false">IF(N1544="No",0,IF(REVIEW!O1544=0,0,IF(G1544&gt;0,IF(INDEX(CONFIRM!$J$5:$J$53,G1544)&lt;&gt;"",INDEX(CONFIRM!$J$5:$J$53,G1544),1),1)))</f>
        <v>1</v>
      </c>
      <c r="AC1544" s="1" t="n">
        <f aca="false">IF(AB1544=1,IF(COUNTIFS($B$5:B1544,B1544,$D$5:D1544,D1544,$AB$5:AB1544,1)=1,1,0),0)</f>
        <v>0</v>
      </c>
    </row>
    <row r="1545" customFormat="false" ht="15" hidden="false" customHeight="false" outlineLevel="0" collapsed="false">
      <c r="A1545" s="48" t="str">
        <f aca="false">STACK!A1545</f>
        <v>QHH-0164</v>
      </c>
      <c r="B1545" s="48" t="str">
        <f aca="false">STACK!B1545</f>
        <v>QHH</v>
      </c>
      <c r="C1545" s="48" t="str">
        <f aca="false">STACK!E1545</f>
        <v>Community Paramedicine</v>
      </c>
      <c r="D1545" s="1" t="str">
        <f aca="false">IFERROR(INDEX(MAP!$J$7:$J$101,MATCH(TRIM(C1545),MAP!$I$7:$I$101,0)),"UNMAPPED")</f>
        <v>Community Paramedic Home Visits</v>
      </c>
      <c r="E1545" s="1" t="str">
        <f aca="false">IFERROR(INDEX(MAP!$K$7:$K$101,MATCH(TRIM(C1545),MAP!$I$7:$I$101,0)),"")</f>
        <v>Access to care</v>
      </c>
      <c r="F1545" s="1" t="str">
        <f aca="false">IFERROR(INDEX(MAP!$L$7:$L$101,MATCH(TRIM(C1545),MAP!$I$7:$I$101,0)),"")</f>
        <v>Monthly</v>
      </c>
      <c r="G1545" s="1" t="n">
        <f aca="false">IFERROR(MATCH(A1545,CONFIRM!$A$5:$A$53,0),0)</f>
        <v>0</v>
      </c>
      <c r="H1545" s="48" t="str">
        <f aca="false">STACK!F1545</f>
        <v>CHIS - Clinical</v>
      </c>
      <c r="I1545" s="1" t="str">
        <f aca="false">IF(G1545&gt;0,IF(INDEX(CONFIRM!$I$5:$I$53,G1545)&lt;&gt;"",INDEX(CONFIRM!$I$5:$I$53,G1545),H1545),H1545)</f>
        <v>CHIS - Clinical</v>
      </c>
      <c r="J1545" s="1" t="str">
        <f aca="false">IFERROR(INDEX(MAP!$F$7:$F$74,MATCH(TRIM(I1545),MAP!$E$7:$E$74,0)),"UNMAPPED")</f>
        <v>Community-based clinical services</v>
      </c>
      <c r="K1545" s="1" t="str">
        <f aca="false">IFERROR(INDEX(MAP!$G$7:$G$74,MATCH(TRIM(I1545),MAP!$E$7:$E$74,0)),"UNMAPPED")</f>
        <v>7e</v>
      </c>
      <c r="L1545" s="49" t="str">
        <f aca="false">STACK!G1545</f>
        <v>28-Feb-2026</v>
      </c>
      <c r="M1545" s="59" t="n">
        <f aca="false">IF(G1545&gt;0,IF(INDEX(CONFIRM!$G$5:$G$53,G1545)&lt;&gt;"",INDEX(CONFIRM!$G$5:$G$53,G1545),IF(ISNUMBER(L1545),L1545,IFERROR(DATEVALUE(L1545),""))),IF(ISNUMBER(L1545),L1545,IFERROR(DATEVALUE(L1545),"")))</f>
        <v>46081</v>
      </c>
      <c r="N1545" s="1" t="str">
        <f aca="false">IF(M1545="","Check",IF(AND(M1545&gt;=INPUTS!$C$6,M1545&lt;=INPUTS!$C$7),"Yes","No"))</f>
        <v>Yes</v>
      </c>
      <c r="O1545" s="48" t="str">
        <f aca="false">STACK!H1545</f>
        <v>EMT-P</v>
      </c>
      <c r="P1545" s="1" t="str">
        <f aca="false">IF(G1545&gt;0,IF(INDEX(CONFIRM!$H$5:$H$53,G1545)&lt;&gt;"",INDEX(CONFIRM!$H$5:$H$53,G1545),IFERROR(INDEX(MAP!$B$7:$B$156,MATCH(TRIM(O1545),MAP!$A$7:$A$156,0)),"UNMAPPED")),IFERROR(INDEX(MAP!$B$7:$B$156,MATCH(TRIM(O1545),MAP!$A$7:$A$156,0)),"UNMAPPED"))</f>
        <v>Paramedic</v>
      </c>
      <c r="Q1545" s="48" t="n">
        <f aca="false">STACK!I1545</f>
        <v>68.75</v>
      </c>
      <c r="R1545" s="60" t="n">
        <f aca="false">IF(G1545&gt;0,IF(INDEX(CONFIRM!$F$5:$F$53,G1545)&lt;&gt;"",INDEX(CONFIRM!$F$5:$F$53,G1545),IF(ISNUMBER(Q1545),Q1545,IF(Q1545="","",IFERROR(VALUE(TRIM(SUBSTITUTE(SUBSTITUTE(LOWER(Q1545),"hrs",""),"hr",""))),"")))),IF(ISNUMBER(Q1545),Q1545,IF(Q1545="","",IFERROR(VALUE(TRIM(SUBSTITUTE(SUBSTITUTE(LOWER(Q1545),"hrs",""),"hr",""))),""))))</f>
        <v>68.75</v>
      </c>
      <c r="S1545" s="57" t="n">
        <f aca="false">IFERROR(INDEX(RATES!$E$6:$E$28,MATCH(P1545,RATES!$A$6:$A$28,0)),0)</f>
        <v>34.695</v>
      </c>
      <c r="T1545" s="61" t="n">
        <f aca="false">IF(ISNUMBER(R1545),R1545,0)*S1545</f>
        <v>2385.28125</v>
      </c>
      <c r="U1545" s="61" t="n">
        <f aca="false">T1545*INDEX(INPUTS!$H$10:$H$14,MATCH(B1545,INPUTS!$A$10:$A$14,0))</f>
        <v>360.17746875</v>
      </c>
      <c r="V1545" s="61" t="n">
        <f aca="false">N(STACK!K1545)</f>
        <v>700</v>
      </c>
      <c r="W1545" s="61" t="n">
        <f aca="false">T1545+U1545+V1545</f>
        <v>3445.45871875</v>
      </c>
      <c r="X1545" s="61" t="n">
        <f aca="false">N(STACK!L1545)</f>
        <v>0</v>
      </c>
      <c r="Y1545" s="61" t="n">
        <f aca="false">W1545-X1545</f>
        <v>3445.45871875</v>
      </c>
      <c r="Z1545" s="1" t="n">
        <f aca="false">N(STACK!J1545)</f>
        <v>53</v>
      </c>
      <c r="AA1545" s="1" t="str">
        <f aca="false">TRIM(IF(D1545="UNMAPPED","Program not mapped. ","")&amp;IF(OR(K1545="UNMAPPED",K1545="UNASSIGNED"),"Category needs review. ","")&amp;IF(P1545="UNMAPPED","Title not mapped. ","")&amp;IF(AND(P1545&lt;&gt;"No staff time",R1545=""),"Missing hours. ","")&amp;IF(M1545="","Date not readable. ","")&amp;IF(N1545="No","Outside fiscal year. ","")&amp;IF(AND(F1545="Event",ISNUMBER(R1545)),IF(R1545&gt;12,"Event hours look high. ",""),"")&amp;IF(G1545&gt;0,"See CONFIRM sheet.",""))</f>
        <v/>
      </c>
      <c r="AB1545" s="1" t="n">
        <f aca="false">IF(N1545="No",0,IF(REVIEW!O1545=0,0,IF(G1545&gt;0,IF(INDEX(CONFIRM!$J$5:$J$53,G1545)&lt;&gt;"",INDEX(CONFIRM!$J$5:$J$53,G1545),1),1)))</f>
        <v>1</v>
      </c>
      <c r="AC1545" s="1" t="n">
        <f aca="false">IF(AB1545=1,IF(COUNTIFS($B$5:B1545,B1545,$D$5:D1545,D1545,$AB$5:AB1545,1)=1,1,0),0)</f>
        <v>0</v>
      </c>
    </row>
    <row r="1546" customFormat="false" ht="15" hidden="false" customHeight="false" outlineLevel="0" collapsed="false">
      <c r="A1546" s="48" t="str">
        <f aca="false">STACK!A1546</f>
        <v>QHH-0165</v>
      </c>
      <c r="B1546" s="48" t="str">
        <f aca="false">STACK!B1546</f>
        <v>QHH</v>
      </c>
      <c r="C1546" s="48" t="str">
        <f aca="false">STACK!E1546</f>
        <v>Nursing Clinical Rotations</v>
      </c>
      <c r="D1546" s="1" t="str">
        <f aca="false">IFERROR(INDEX(MAP!$J$7:$J$101,MATCH(TRIM(C1546),MAP!$I$7:$I$101,0)),"UNMAPPED")</f>
        <v>Nursing Student Clinical Rotations</v>
      </c>
      <c r="E1546" s="1" t="str">
        <f aca="false">IFERROR(INDEX(MAP!$K$7:$K$101,MATCH(TRIM(C1546),MAP!$I$7:$I$101,0)),"")</f>
        <v>Health workforce</v>
      </c>
      <c r="F1546" s="1" t="str">
        <f aca="false">IFERROR(INDEX(MAP!$L$7:$L$101,MATCH(TRIM(C1546),MAP!$I$7:$I$101,0)),"")</f>
        <v>Monthly</v>
      </c>
      <c r="G1546" s="1" t="n">
        <f aca="false">IFERROR(MATCH(A1546,CONFIRM!$A$5:$A$53,0),0)</f>
        <v>0</v>
      </c>
      <c r="H1546" s="48" t="str">
        <f aca="false">STACK!F1546</f>
        <v>HPE - Students</v>
      </c>
      <c r="I1546" s="1" t="str">
        <f aca="false">IF(G1546&gt;0,IF(INDEX(CONFIRM!$I$5:$I$53,G1546)&lt;&gt;"",INDEX(CONFIRM!$I$5:$I$53,G1546),H1546),H1546)</f>
        <v>HPE - Students</v>
      </c>
      <c r="J1546" s="1" t="str">
        <f aca="false">IFERROR(INDEX(MAP!$F$7:$F$74,MATCH(TRIM(I1546),MAP!$E$7:$E$74,0)),"UNMAPPED")</f>
        <v>Health professions education</v>
      </c>
      <c r="K1546" s="1" t="str">
        <f aca="false">IFERROR(INDEX(MAP!$G$7:$G$74,MATCH(TRIM(I1546),MAP!$E$7:$E$74,0)),"UNMAPPED")</f>
        <v>7f</v>
      </c>
      <c r="L1546" s="49" t="str">
        <f aca="false">STACK!G1546</f>
        <v>28-Feb-2026</v>
      </c>
      <c r="M1546" s="59" t="n">
        <f aca="false">IF(G1546&gt;0,IF(INDEX(CONFIRM!$G$5:$G$53,G1546)&lt;&gt;"",INDEX(CONFIRM!$G$5:$G$53,G1546),IF(ISNUMBER(L1546),L1546,IFERROR(DATEVALUE(L1546),""))),IF(ISNUMBER(L1546),L1546,IFERROR(DATEVALUE(L1546),"")))</f>
        <v>46081</v>
      </c>
      <c r="N1546" s="1" t="str">
        <f aca="false">IF(M1546="","Check",IF(AND(M1546&gt;=INPUTS!$C$6,M1546&lt;=INPUTS!$C$7),"Yes","No"))</f>
        <v>Yes</v>
      </c>
      <c r="O1546" s="48" t="str">
        <f aca="false">STACK!H1546</f>
        <v>Educator, Nursing</v>
      </c>
      <c r="P1546" s="1" t="str">
        <f aca="false">IF(G1546&gt;0,IF(INDEX(CONFIRM!$H$5:$H$53,G1546)&lt;&gt;"",INDEX(CONFIRM!$H$5:$H$53,G1546),IFERROR(INDEX(MAP!$B$7:$B$156,MATCH(TRIM(O1546),MAP!$A$7:$A$156,0)),"UNMAPPED")),IFERROR(INDEX(MAP!$B$7:$B$156,MATCH(TRIM(O1546),MAP!$A$7:$A$156,0)),"UNMAPPED"))</f>
        <v>Clinical Nurse Educator</v>
      </c>
      <c r="Q1546" s="48" t="n">
        <f aca="false">STACK!I1546</f>
        <v>121.75</v>
      </c>
      <c r="R1546" s="60" t="n">
        <f aca="false">IF(G1546&gt;0,IF(INDEX(CONFIRM!$F$5:$F$53,G1546)&lt;&gt;"",INDEX(CONFIRM!$F$5:$F$53,G1546),IF(ISNUMBER(Q1546),Q1546,IF(Q1546="","",IFERROR(VALUE(TRIM(SUBSTITUTE(SUBSTITUTE(LOWER(Q1546),"hrs",""),"hr",""))),"")))),IF(ISNUMBER(Q1546),Q1546,IF(Q1546="","",IFERROR(VALUE(TRIM(SUBSTITUTE(SUBSTITUTE(LOWER(Q1546),"hrs",""),"hr",""))),""))))</f>
        <v>121.75</v>
      </c>
      <c r="S1546" s="57" t="n">
        <f aca="false">IFERROR(INDEX(RATES!$E$6:$E$28,MATCH(P1546,RATES!$A$6:$A$28,0)),0)</f>
        <v>62.965</v>
      </c>
      <c r="T1546" s="61" t="n">
        <f aca="false">IF(ISNUMBER(R1546),R1546,0)*S1546</f>
        <v>7665.98875</v>
      </c>
      <c r="U1546" s="61" t="n">
        <f aca="false">T1546*INDEX(INPUTS!$H$10:$H$14,MATCH(B1546,INPUTS!$A$10:$A$14,0))</f>
        <v>1157.56430125</v>
      </c>
      <c r="V1546" s="61" t="n">
        <f aca="false">N(STACK!K1546)</f>
        <v>995</v>
      </c>
      <c r="W1546" s="61" t="n">
        <f aca="false">T1546+U1546+V1546</f>
        <v>9818.55305125</v>
      </c>
      <c r="X1546" s="61" t="n">
        <f aca="false">N(STACK!L1546)</f>
        <v>0</v>
      </c>
      <c r="Y1546" s="61" t="n">
        <f aca="false">W1546-X1546</f>
        <v>9818.55305125</v>
      </c>
      <c r="Z1546" s="1" t="n">
        <f aca="false">N(STACK!J1546)</f>
        <v>16</v>
      </c>
      <c r="AA1546" s="1" t="str">
        <f aca="false">TRIM(IF(D1546="UNMAPPED","Program not mapped. ","")&amp;IF(OR(K1546="UNMAPPED",K1546="UNASSIGNED"),"Category needs review. ","")&amp;IF(P1546="UNMAPPED","Title not mapped. ","")&amp;IF(AND(P1546&lt;&gt;"No staff time",R1546=""),"Missing hours. ","")&amp;IF(M1546="","Date not readable. ","")&amp;IF(N1546="No","Outside fiscal year. ","")&amp;IF(AND(F1546="Event",ISNUMBER(R1546)),IF(R1546&gt;12,"Event hours look high. ",""),"")&amp;IF(G1546&gt;0,"See CONFIRM sheet.",""))</f>
        <v/>
      </c>
      <c r="AB1546" s="1" t="n">
        <f aca="false">IF(N1546="No",0,IF(REVIEW!O1546=0,0,IF(G1546&gt;0,IF(INDEX(CONFIRM!$J$5:$J$53,G1546)&lt;&gt;"",INDEX(CONFIRM!$J$5:$J$53,G1546),1),1)))</f>
        <v>1</v>
      </c>
      <c r="AC1546" s="1" t="n">
        <f aca="false">IF(AB1546=1,IF(COUNTIFS($B$5:B1546,B1546,$D$5:D1546,D1546,$AB$5:AB1546,1)=1,1,0),0)</f>
        <v>0</v>
      </c>
    </row>
    <row r="1547" customFormat="false" ht="15" hidden="false" customHeight="false" outlineLevel="0" collapsed="false">
      <c r="A1547" s="48" t="str">
        <f aca="false">STACK!A1547</f>
        <v>QHH-0166</v>
      </c>
      <c r="B1547" s="48" t="str">
        <f aca="false">STACK!B1547</f>
        <v>QHH</v>
      </c>
      <c r="C1547" s="48" t="str">
        <f aca="false">STACK!E1547</f>
        <v>Nursing Clinical Rotations</v>
      </c>
      <c r="D1547" s="1" t="str">
        <f aca="false">IFERROR(INDEX(MAP!$J$7:$J$101,MATCH(TRIM(C1547),MAP!$I$7:$I$101,0)),"UNMAPPED")</f>
        <v>Nursing Student Clinical Rotations</v>
      </c>
      <c r="E1547" s="1" t="str">
        <f aca="false">IFERROR(INDEX(MAP!$K$7:$K$101,MATCH(TRIM(C1547),MAP!$I$7:$I$101,0)),"")</f>
        <v>Health workforce</v>
      </c>
      <c r="F1547" s="1" t="str">
        <f aca="false">IFERROR(INDEX(MAP!$L$7:$L$101,MATCH(TRIM(C1547),MAP!$I$7:$I$101,0)),"")</f>
        <v>Monthly</v>
      </c>
      <c r="G1547" s="1" t="n">
        <f aca="false">IFERROR(MATCH(A1547,CONFIRM!$A$5:$A$53,0),0)</f>
        <v>0</v>
      </c>
      <c r="H1547" s="48" t="str">
        <f aca="false">STACK!F1547</f>
        <v>HPE - Students</v>
      </c>
      <c r="I1547" s="1" t="str">
        <f aca="false">IF(G1547&gt;0,IF(INDEX(CONFIRM!$I$5:$I$53,G1547)&lt;&gt;"",INDEX(CONFIRM!$I$5:$I$53,G1547),H1547),H1547)</f>
        <v>HPE - Students</v>
      </c>
      <c r="J1547" s="1" t="str">
        <f aca="false">IFERROR(INDEX(MAP!$F$7:$F$74,MATCH(TRIM(I1547),MAP!$E$7:$E$74,0)),"UNMAPPED")</f>
        <v>Health professions education</v>
      </c>
      <c r="K1547" s="1" t="str">
        <f aca="false">IFERROR(INDEX(MAP!$G$7:$G$74,MATCH(TRIM(I1547),MAP!$E$7:$E$74,0)),"UNMAPPED")</f>
        <v>7f</v>
      </c>
      <c r="L1547" s="49" t="str">
        <f aca="false">STACK!G1547</f>
        <v>28-Feb-2026</v>
      </c>
      <c r="M1547" s="59" t="n">
        <f aca="false">IF(G1547&gt;0,IF(INDEX(CONFIRM!$G$5:$G$53,G1547)&lt;&gt;"",INDEX(CONFIRM!$G$5:$G$53,G1547),IF(ISNUMBER(L1547),L1547,IFERROR(DATEVALUE(L1547),""))),IF(ISNUMBER(L1547),L1547,IFERROR(DATEVALUE(L1547),"")))</f>
        <v>46081</v>
      </c>
      <c r="N1547" s="1" t="str">
        <f aca="false">IF(M1547="","Check",IF(AND(M1547&gt;=INPUTS!$C$6,M1547&lt;=INPUTS!$C$7),"Yes","No"))</f>
        <v>Yes</v>
      </c>
      <c r="O1547" s="48" t="str">
        <f aca="false">STACK!H1547</f>
        <v>Clinical RN </v>
      </c>
      <c r="P1547" s="1" t="str">
        <f aca="false">IF(G1547&gt;0,IF(INDEX(CONFIRM!$H$5:$H$53,G1547)&lt;&gt;"",INDEX(CONFIRM!$H$5:$H$53,G1547),IFERROR(INDEX(MAP!$B$7:$B$156,MATCH(TRIM(O1547),MAP!$A$7:$A$156,0)),"UNMAPPED")),IFERROR(INDEX(MAP!$B$7:$B$156,MATCH(TRIM(O1547),MAP!$A$7:$A$156,0)),"UNMAPPED"))</f>
        <v>Registered Nurse</v>
      </c>
      <c r="Q1547" s="48" t="n">
        <f aca="false">STACK!I1547</f>
        <v>171.25</v>
      </c>
      <c r="R1547" s="60" t="n">
        <f aca="false">IF(G1547&gt;0,IF(INDEX(CONFIRM!$F$5:$F$53,G1547)&lt;&gt;"",INDEX(CONFIRM!$F$5:$F$53,G1547),IF(ISNUMBER(Q1547),Q1547,IF(Q1547="","",IFERROR(VALUE(TRIM(SUBSTITUTE(SUBSTITUTE(LOWER(Q1547),"hrs",""),"hr",""))),"")))),IF(ISNUMBER(Q1547),Q1547,IF(Q1547="","",IFERROR(VALUE(TRIM(SUBSTITUTE(SUBSTITUTE(LOWER(Q1547),"hrs",""),"hr",""))),""))))</f>
        <v>171.25</v>
      </c>
      <c r="S1547" s="57" t="n">
        <f aca="false">IFERROR(INDEX(RATES!$E$6:$E$28,MATCH(P1547,RATES!$A$6:$A$28,0)),0)</f>
        <v>55.8975</v>
      </c>
      <c r="T1547" s="61" t="n">
        <f aca="false">IF(ISNUMBER(R1547),R1547,0)*S1547</f>
        <v>9572.446875</v>
      </c>
      <c r="U1547" s="61" t="n">
        <f aca="false">T1547*INDEX(INPUTS!$H$10:$H$14,MATCH(B1547,INPUTS!$A$10:$A$14,0))</f>
        <v>1445.439478125</v>
      </c>
      <c r="V1547" s="61" t="n">
        <f aca="false">N(STACK!K1547)</f>
        <v>0</v>
      </c>
      <c r="W1547" s="61" t="n">
        <f aca="false">T1547+U1547+V1547</f>
        <v>11017.886353125</v>
      </c>
      <c r="X1547" s="61" t="n">
        <f aca="false">N(STACK!L1547)</f>
        <v>0</v>
      </c>
      <c r="Y1547" s="61" t="n">
        <f aca="false">W1547-X1547</f>
        <v>11017.886353125</v>
      </c>
      <c r="Z1547" s="1" t="n">
        <f aca="false">N(STACK!J1547)</f>
        <v>0</v>
      </c>
      <c r="AA1547" s="1" t="str">
        <f aca="false">TRIM(IF(D1547="UNMAPPED","Program not mapped. ","")&amp;IF(OR(K1547="UNMAPPED",K1547="UNASSIGNED"),"Category needs review. ","")&amp;IF(P1547="UNMAPPED","Title not mapped. ","")&amp;IF(AND(P1547&lt;&gt;"No staff time",R1547=""),"Missing hours. ","")&amp;IF(M1547="","Date not readable. ","")&amp;IF(N1547="No","Outside fiscal year. ","")&amp;IF(AND(F1547="Event",ISNUMBER(R1547)),IF(R1547&gt;12,"Event hours look high. ",""),"")&amp;IF(G1547&gt;0,"See CONFIRM sheet.",""))</f>
        <v/>
      </c>
      <c r="AB1547" s="1" t="n">
        <f aca="false">IF(N1547="No",0,IF(REVIEW!O1547=0,0,IF(G1547&gt;0,IF(INDEX(CONFIRM!$J$5:$J$53,G1547)&lt;&gt;"",INDEX(CONFIRM!$J$5:$J$53,G1547),1),1)))</f>
        <v>1</v>
      </c>
      <c r="AC1547" s="1" t="n">
        <f aca="false">IF(AB1547=1,IF(COUNTIFS($B$5:B1547,B1547,$D$5:D1547,D1547,$AB$5:AB1547,1)=1,1,0),0)</f>
        <v>0</v>
      </c>
    </row>
    <row r="1548" customFormat="false" ht="15" hidden="false" customHeight="false" outlineLevel="0" collapsed="false">
      <c r="A1548" s="48" t="str">
        <f aca="false">STACK!A1548</f>
        <v>QHH-0167</v>
      </c>
      <c r="B1548" s="48" t="str">
        <f aca="false">STACK!B1548</f>
        <v>QHH</v>
      </c>
      <c r="C1548" s="48" t="str">
        <f aca="false">STACK!E1548</f>
        <v>Diabetes Prevention Program</v>
      </c>
      <c r="D1548" s="1" t="str">
        <f aca="false">IFERROR(INDEX(MAP!$J$7:$J$101,MATCH(TRIM(C1548),MAP!$I$7:$I$101,0)),"UNMAPPED")</f>
        <v>Diabetes Prevention Classes</v>
      </c>
      <c r="E1548" s="1" t="str">
        <f aca="false">IFERROR(INDEX(MAP!$K$7:$K$101,MATCH(TRIM(C1548),MAP!$I$7:$I$101,0)),"")</f>
        <v>Chronic disease prevention</v>
      </c>
      <c r="F1548" s="1" t="str">
        <f aca="false">IFERROR(INDEX(MAP!$L$7:$L$101,MATCH(TRIM(C1548),MAP!$I$7:$I$101,0)),"")</f>
        <v>Event</v>
      </c>
      <c r="G1548" s="1" t="n">
        <f aca="false">IFERROR(MATCH(A1548,CONFIRM!$A$5:$A$53,0),0)</f>
        <v>0</v>
      </c>
      <c r="H1548" s="48" t="str">
        <f aca="false">STACK!F1548</f>
        <v>CHIS - Education</v>
      </c>
      <c r="I1548" s="1" t="str">
        <f aca="false">IF(G1548&gt;0,IF(INDEX(CONFIRM!$I$5:$I$53,G1548)&lt;&gt;"",INDEX(CONFIRM!$I$5:$I$53,G1548),H1548),H1548)</f>
        <v>CHIS - Education</v>
      </c>
      <c r="J1548" s="1" t="str">
        <f aca="false">IFERROR(INDEX(MAP!$F$7:$F$74,MATCH(TRIM(I1548),MAP!$E$7:$E$74,0)),"UNMAPPED")</f>
        <v>Community health education</v>
      </c>
      <c r="K1548" s="1" t="str">
        <f aca="false">IFERROR(INDEX(MAP!$G$7:$G$74,MATCH(TRIM(I1548),MAP!$E$7:$E$74,0)),"UNMAPPED")</f>
        <v>7e</v>
      </c>
      <c r="L1548" s="49" t="str">
        <f aca="false">STACK!G1548</f>
        <v>14-Mar-2026</v>
      </c>
      <c r="M1548" s="59" t="n">
        <f aca="false">IF(G1548&gt;0,IF(INDEX(CONFIRM!$G$5:$G$53,G1548)&lt;&gt;"",INDEX(CONFIRM!$G$5:$G$53,G1548),IF(ISNUMBER(L1548),L1548,IFERROR(DATEVALUE(L1548),""))),IF(ISNUMBER(L1548),L1548,IFERROR(DATEVALUE(L1548),"")))</f>
        <v>46095</v>
      </c>
      <c r="N1548" s="1" t="str">
        <f aca="false">IF(M1548="","Check",IF(AND(M1548&gt;=INPUTS!$C$6,M1548&lt;=INPUTS!$C$7),"Yes","No"))</f>
        <v>Yes</v>
      </c>
      <c r="O1548" s="48" t="str">
        <f aca="false">STACK!H1548</f>
        <v>Community Educator</v>
      </c>
      <c r="P1548" s="1" t="str">
        <f aca="false">IF(G1548&gt;0,IF(INDEX(CONFIRM!$H$5:$H$53,G1548)&lt;&gt;"",INDEX(CONFIRM!$H$5:$H$53,G1548),IFERROR(INDEX(MAP!$B$7:$B$156,MATCH(TRIM(O1548),MAP!$A$7:$A$156,0)),"UNMAPPED")),IFERROR(INDEX(MAP!$B$7:$B$156,MATCH(TRIM(O1548),MAP!$A$7:$A$156,0)),"UNMAPPED"))</f>
        <v>Health Educator</v>
      </c>
      <c r="Q1548" s="48" t="n">
        <f aca="false">STACK!I1548</f>
        <v>2</v>
      </c>
      <c r="R1548" s="60" t="n">
        <f aca="false">IF(G1548&gt;0,IF(INDEX(CONFIRM!$F$5:$F$53,G1548)&lt;&gt;"",INDEX(CONFIRM!$F$5:$F$53,G1548),IF(ISNUMBER(Q1548),Q1548,IF(Q1548="","",IFERROR(VALUE(TRIM(SUBSTITUTE(SUBSTITUTE(LOWER(Q1548),"hrs",""),"hr",""))),"")))),IF(ISNUMBER(Q1548),Q1548,IF(Q1548="","",IFERROR(VALUE(TRIM(SUBSTITUTE(SUBSTITUTE(LOWER(Q1548),"hrs",""),"hr",""))),""))))</f>
        <v>2</v>
      </c>
      <c r="S1548" s="57" t="n">
        <f aca="false">IFERROR(INDEX(RATES!$E$6:$E$28,MATCH(P1548,RATES!$A$6:$A$28,0)),0)</f>
        <v>37.265</v>
      </c>
      <c r="T1548" s="61" t="n">
        <f aca="false">IF(ISNUMBER(R1548),R1548,0)*S1548</f>
        <v>74.53</v>
      </c>
      <c r="U1548" s="61" t="n">
        <f aca="false">T1548*INDEX(INPUTS!$H$10:$H$14,MATCH(B1548,INPUTS!$A$10:$A$14,0))</f>
        <v>11.25403</v>
      </c>
      <c r="V1548" s="61" t="n">
        <f aca="false">N(STACK!K1548)</f>
        <v>110</v>
      </c>
      <c r="W1548" s="61" t="n">
        <f aca="false">T1548+U1548+V1548</f>
        <v>195.78403</v>
      </c>
      <c r="X1548" s="61" t="n">
        <f aca="false">N(STACK!L1548)</f>
        <v>0</v>
      </c>
      <c r="Y1548" s="61" t="n">
        <f aca="false">W1548-X1548</f>
        <v>195.78403</v>
      </c>
      <c r="Z1548" s="1" t="n">
        <f aca="false">N(STACK!J1548)</f>
        <v>18</v>
      </c>
      <c r="AA1548" s="1" t="str">
        <f aca="false">TRIM(IF(D1548="UNMAPPED","Program not mapped. ","")&amp;IF(OR(K1548="UNMAPPED",K1548="UNASSIGNED"),"Category needs review. ","")&amp;IF(P1548="UNMAPPED","Title not mapped. ","")&amp;IF(AND(P1548&lt;&gt;"No staff time",R1548=""),"Missing hours. ","")&amp;IF(M1548="","Date not readable. ","")&amp;IF(N1548="No","Outside fiscal year. ","")&amp;IF(AND(F1548="Event",ISNUMBER(R1548)),IF(R1548&gt;12,"Event hours look high. ",""),"")&amp;IF(G1548&gt;0,"See CONFIRM sheet.",""))</f>
        <v/>
      </c>
      <c r="AB1548" s="1" t="n">
        <f aca="false">IF(N1548="No",0,IF(REVIEW!O1548=0,0,IF(G1548&gt;0,IF(INDEX(CONFIRM!$J$5:$J$53,G1548)&lt;&gt;"",INDEX(CONFIRM!$J$5:$J$53,G1548),1),1)))</f>
        <v>1</v>
      </c>
      <c r="AC1548" s="1" t="n">
        <f aca="false">IF(AB1548=1,IF(COUNTIFS($B$5:B1548,B1548,$D$5:D1548,D1548,$AB$5:AB1548,1)=1,1,0),0)</f>
        <v>0</v>
      </c>
    </row>
    <row r="1549" customFormat="false" ht="15" hidden="false" customHeight="false" outlineLevel="0" collapsed="false">
      <c r="A1549" s="48" t="str">
        <f aca="false">STACK!A1549</f>
        <v>QHH-0168</v>
      </c>
      <c r="B1549" s="48" t="str">
        <f aca="false">STACK!B1549</f>
        <v>QHH</v>
      </c>
      <c r="C1549" s="48" t="str">
        <f aca="false">STACK!E1549</f>
        <v>Diabetes Prevention Program</v>
      </c>
      <c r="D1549" s="1" t="str">
        <f aca="false">IFERROR(INDEX(MAP!$J$7:$J$101,MATCH(TRIM(C1549),MAP!$I$7:$I$101,0)),"UNMAPPED")</f>
        <v>Diabetes Prevention Classes</v>
      </c>
      <c r="E1549" s="1" t="str">
        <f aca="false">IFERROR(INDEX(MAP!$K$7:$K$101,MATCH(TRIM(C1549),MAP!$I$7:$I$101,0)),"")</f>
        <v>Chronic disease prevention</v>
      </c>
      <c r="F1549" s="1" t="str">
        <f aca="false">IFERROR(INDEX(MAP!$L$7:$L$101,MATCH(TRIM(C1549),MAP!$I$7:$I$101,0)),"")</f>
        <v>Event</v>
      </c>
      <c r="G1549" s="1" t="n">
        <f aca="false">IFERROR(MATCH(A1549,CONFIRM!$A$5:$A$53,0),0)</f>
        <v>0</v>
      </c>
      <c r="H1549" s="48" t="str">
        <f aca="false">STACK!F1549</f>
        <v>CHIS - Education</v>
      </c>
      <c r="I1549" s="1" t="str">
        <f aca="false">IF(G1549&gt;0,IF(INDEX(CONFIRM!$I$5:$I$53,G1549)&lt;&gt;"",INDEX(CONFIRM!$I$5:$I$53,G1549),H1549),H1549)</f>
        <v>CHIS - Education</v>
      </c>
      <c r="J1549" s="1" t="str">
        <f aca="false">IFERROR(INDEX(MAP!$F$7:$F$74,MATCH(TRIM(I1549),MAP!$E$7:$E$74,0)),"UNMAPPED")</f>
        <v>Community health education</v>
      </c>
      <c r="K1549" s="1" t="str">
        <f aca="false">IFERROR(INDEX(MAP!$G$7:$G$74,MATCH(TRIM(I1549),MAP!$E$7:$E$74,0)),"UNMAPPED")</f>
        <v>7e</v>
      </c>
      <c r="L1549" s="49" t="str">
        <f aca="false">STACK!G1549</f>
        <v>14-Mar-2026</v>
      </c>
      <c r="M1549" s="59" t="n">
        <f aca="false">IF(G1549&gt;0,IF(INDEX(CONFIRM!$G$5:$G$53,G1549)&lt;&gt;"",INDEX(CONFIRM!$G$5:$G$53,G1549),IF(ISNUMBER(L1549),L1549,IFERROR(DATEVALUE(L1549),""))),IF(ISNUMBER(L1549),L1549,IFERROR(DATEVALUE(L1549),"")))</f>
        <v>46095</v>
      </c>
      <c r="N1549" s="1" t="str">
        <f aca="false">IF(M1549="","Check",IF(AND(M1549&gt;=INPUTS!$C$6,M1549&lt;=INPUTS!$C$7),"Yes","No"))</f>
        <v>Yes</v>
      </c>
      <c r="O1549" s="48" t="str">
        <f aca="false">STACK!H1549</f>
        <v>Nutritionist</v>
      </c>
      <c r="P1549" s="1" t="str">
        <f aca="false">IF(G1549&gt;0,IF(INDEX(CONFIRM!$H$5:$H$53,G1549)&lt;&gt;"",INDEX(CONFIRM!$H$5:$H$53,G1549),IFERROR(INDEX(MAP!$B$7:$B$156,MATCH(TRIM(O1549),MAP!$A$7:$A$156,0)),"UNMAPPED")),IFERROR(INDEX(MAP!$B$7:$B$156,MATCH(TRIM(O1549),MAP!$A$7:$A$156,0)),"UNMAPPED"))</f>
        <v>Registered Dietitian</v>
      </c>
      <c r="Q1549" s="48" t="n">
        <f aca="false">STACK!I1549</f>
        <v>1.75</v>
      </c>
      <c r="R1549" s="60" t="n">
        <f aca="false">IF(G1549&gt;0,IF(INDEX(CONFIRM!$F$5:$F$53,G1549)&lt;&gt;"",INDEX(CONFIRM!$F$5:$F$53,G1549),IF(ISNUMBER(Q1549),Q1549,IF(Q1549="","",IFERROR(VALUE(TRIM(SUBSTITUTE(SUBSTITUTE(LOWER(Q1549),"hrs",""),"hr",""))),"")))),IF(ISNUMBER(Q1549),Q1549,IF(Q1549="","",IFERROR(VALUE(TRIM(SUBSTITUTE(SUBSTITUTE(LOWER(Q1549),"hrs",""),"hr",""))),""))))</f>
        <v>1.75</v>
      </c>
      <c r="S1549" s="57" t="n">
        <f aca="false">IFERROR(INDEX(RATES!$E$6:$E$28,MATCH(P1549,RATES!$A$6:$A$28,0)),0)</f>
        <v>46.9025</v>
      </c>
      <c r="T1549" s="61" t="n">
        <f aca="false">IF(ISNUMBER(R1549),R1549,0)*S1549</f>
        <v>82.079375</v>
      </c>
      <c r="U1549" s="61" t="n">
        <f aca="false">T1549*INDEX(INPUTS!$H$10:$H$14,MATCH(B1549,INPUTS!$A$10:$A$14,0))</f>
        <v>12.393985625</v>
      </c>
      <c r="V1549" s="61" t="n">
        <f aca="false">N(STACK!K1549)</f>
        <v>0</v>
      </c>
      <c r="W1549" s="61" t="n">
        <f aca="false">T1549+U1549+V1549</f>
        <v>94.473360625</v>
      </c>
      <c r="X1549" s="61" t="n">
        <f aca="false">N(STACK!L1549)</f>
        <v>0</v>
      </c>
      <c r="Y1549" s="61" t="n">
        <f aca="false">W1549-X1549</f>
        <v>94.473360625</v>
      </c>
      <c r="Z1549" s="1" t="n">
        <f aca="false">N(STACK!J1549)</f>
        <v>0</v>
      </c>
      <c r="AA1549" s="1" t="str">
        <f aca="false">TRIM(IF(D1549="UNMAPPED","Program not mapped. ","")&amp;IF(OR(K1549="UNMAPPED",K1549="UNASSIGNED"),"Category needs review. ","")&amp;IF(P1549="UNMAPPED","Title not mapped. ","")&amp;IF(AND(P1549&lt;&gt;"No staff time",R1549=""),"Missing hours. ","")&amp;IF(M1549="","Date not readable. ","")&amp;IF(N1549="No","Outside fiscal year. ","")&amp;IF(AND(F1549="Event",ISNUMBER(R1549)),IF(R1549&gt;12,"Event hours look high. ",""),"")&amp;IF(G1549&gt;0,"See CONFIRM sheet.",""))</f>
        <v/>
      </c>
      <c r="AB1549" s="1" t="n">
        <f aca="false">IF(N1549="No",0,IF(REVIEW!O1549=0,0,IF(G1549&gt;0,IF(INDEX(CONFIRM!$J$5:$J$53,G1549)&lt;&gt;"",INDEX(CONFIRM!$J$5:$J$53,G1549),1),1)))</f>
        <v>1</v>
      </c>
      <c r="AC1549" s="1" t="n">
        <f aca="false">IF(AB1549=1,IF(COUNTIFS($B$5:B1549,B1549,$D$5:D1549,D1549,$AB$5:AB1549,1)=1,1,0),0)</f>
        <v>0</v>
      </c>
    </row>
    <row r="1550" customFormat="false" ht="15" hidden="false" customHeight="false" outlineLevel="0" collapsed="false">
      <c r="A1550" s="48" t="str">
        <f aca="false">STACK!A1550</f>
        <v>QHH-0169</v>
      </c>
      <c r="B1550" s="48" t="str">
        <f aca="false">STACK!B1550</f>
        <v>QHH</v>
      </c>
      <c r="C1550" s="48" t="str">
        <f aca="false">STACK!E1550</f>
        <v>Youth Pathway Program</v>
      </c>
      <c r="D1550" s="1" t="str">
        <f aca="false">IFERROR(INDEX(MAP!$J$7:$J$101,MATCH(TRIM(C1550),MAP!$I$7:$I$101,0)),"UNMAPPED")</f>
        <v>Youth Health Careers Pathway</v>
      </c>
      <c r="E1550" s="1" t="str">
        <f aca="false">IFERROR(INDEX(MAP!$K$7:$K$101,MATCH(TRIM(C1550),MAP!$I$7:$I$101,0)),"")</f>
        <v>Health workforce</v>
      </c>
      <c r="F1550" s="1" t="str">
        <f aca="false">IFERROR(INDEX(MAP!$L$7:$L$101,MATCH(TRIM(C1550),MAP!$I$7:$I$101,0)),"")</f>
        <v>Event</v>
      </c>
      <c r="G1550" s="1" t="n">
        <f aca="false">IFERROR(MATCH(A1550,CONFIRM!$A$5:$A$53,0),0)</f>
        <v>0</v>
      </c>
      <c r="H1550" s="48" t="str">
        <f aca="false">STACK!F1550</f>
        <v>Workforce Dev (CB)</v>
      </c>
      <c r="I1550" s="1" t="str">
        <f aca="false">IF(G1550&gt;0,IF(INDEX(CONFIRM!$I$5:$I$53,G1550)&lt;&gt;"",INDEX(CONFIRM!$I$5:$I$53,G1550),H1550),H1550)</f>
        <v>Workforce Dev (CB)</v>
      </c>
      <c r="J1550" s="1" t="str">
        <f aca="false">IFERROR(INDEX(MAP!$F$7:$F$74,MATCH(TRIM(I1550),MAP!$E$7:$E$74,0)),"UNMAPPED")</f>
        <v>Community building: workforce development</v>
      </c>
      <c r="K1550" s="1" t="str">
        <f aca="false">IFERROR(INDEX(MAP!$G$7:$G$74,MATCH(TRIM(I1550),MAP!$E$7:$E$74,0)),"UNMAPPED")</f>
        <v>II-8</v>
      </c>
      <c r="L1550" s="49" t="str">
        <f aca="false">STACK!G1550</f>
        <v>17-Mar-2026</v>
      </c>
      <c r="M1550" s="59" t="n">
        <f aca="false">IF(G1550&gt;0,IF(INDEX(CONFIRM!$G$5:$G$53,G1550)&lt;&gt;"",INDEX(CONFIRM!$G$5:$G$53,G1550),IF(ISNUMBER(L1550),L1550,IFERROR(DATEVALUE(L1550),""))),IF(ISNUMBER(L1550),L1550,IFERROR(DATEVALUE(L1550),"")))</f>
        <v>46098</v>
      </c>
      <c r="N1550" s="1" t="str">
        <f aca="false">IF(M1550="","Check",IF(AND(M1550&gt;=INPUTS!$C$6,M1550&lt;=INPUTS!$C$7),"Yes","No"))</f>
        <v>Yes</v>
      </c>
      <c r="O1550" s="48" t="str">
        <f aca="false">STACK!H1550</f>
        <v>Nurse Educator</v>
      </c>
      <c r="P1550" s="1" t="str">
        <f aca="false">IF(G1550&gt;0,IF(INDEX(CONFIRM!$H$5:$H$53,G1550)&lt;&gt;"",INDEX(CONFIRM!$H$5:$H$53,G1550),IFERROR(INDEX(MAP!$B$7:$B$156,MATCH(TRIM(O1550),MAP!$A$7:$A$156,0)),"UNMAPPED")),IFERROR(INDEX(MAP!$B$7:$B$156,MATCH(TRIM(O1550),MAP!$A$7:$A$156,0)),"UNMAPPED"))</f>
        <v>Clinical Nurse Educator</v>
      </c>
      <c r="Q1550" s="48" t="n">
        <f aca="false">STACK!I1550</f>
        <v>4.75</v>
      </c>
      <c r="R1550" s="60" t="n">
        <f aca="false">IF(G1550&gt;0,IF(INDEX(CONFIRM!$F$5:$F$53,G1550)&lt;&gt;"",INDEX(CONFIRM!$F$5:$F$53,G1550),IF(ISNUMBER(Q1550),Q1550,IF(Q1550="","",IFERROR(VALUE(TRIM(SUBSTITUTE(SUBSTITUTE(LOWER(Q1550),"hrs",""),"hr",""))),"")))),IF(ISNUMBER(Q1550),Q1550,IF(Q1550="","",IFERROR(VALUE(TRIM(SUBSTITUTE(SUBSTITUTE(LOWER(Q1550),"hrs",""),"hr",""))),""))))</f>
        <v>4.75</v>
      </c>
      <c r="S1550" s="57" t="n">
        <f aca="false">IFERROR(INDEX(RATES!$E$6:$E$28,MATCH(P1550,RATES!$A$6:$A$28,0)),0)</f>
        <v>62.965</v>
      </c>
      <c r="T1550" s="61" t="n">
        <f aca="false">IF(ISNUMBER(R1550),R1550,0)*S1550</f>
        <v>299.08375</v>
      </c>
      <c r="U1550" s="61" t="n">
        <f aca="false">T1550*INDEX(INPUTS!$H$10:$H$14,MATCH(B1550,INPUTS!$A$10:$A$14,0))</f>
        <v>45.16164625</v>
      </c>
      <c r="V1550" s="61" t="n">
        <f aca="false">N(STACK!K1550)</f>
        <v>0</v>
      </c>
      <c r="W1550" s="61" t="n">
        <f aca="false">T1550+U1550+V1550</f>
        <v>344.24539625</v>
      </c>
      <c r="X1550" s="61" t="n">
        <f aca="false">N(STACK!L1550)</f>
        <v>0</v>
      </c>
      <c r="Y1550" s="61" t="n">
        <f aca="false">W1550-X1550</f>
        <v>344.24539625</v>
      </c>
      <c r="Z1550" s="1" t="n">
        <f aca="false">N(STACK!J1550)</f>
        <v>0</v>
      </c>
      <c r="AA1550" s="1" t="str">
        <f aca="false">TRIM(IF(D1550="UNMAPPED","Program not mapped. ","")&amp;IF(OR(K1550="UNMAPPED",K1550="UNASSIGNED"),"Category needs review. ","")&amp;IF(P1550="UNMAPPED","Title not mapped. ","")&amp;IF(AND(P1550&lt;&gt;"No staff time",R1550=""),"Missing hours. ","")&amp;IF(M1550="","Date not readable. ","")&amp;IF(N1550="No","Outside fiscal year. ","")&amp;IF(AND(F1550="Event",ISNUMBER(R1550)),IF(R1550&gt;12,"Event hours look high. ",""),"")&amp;IF(G1550&gt;0,"See CONFIRM sheet.",""))</f>
        <v/>
      </c>
      <c r="AB1550" s="1" t="n">
        <f aca="false">IF(N1550="No",0,IF(REVIEW!O1550=0,0,IF(G1550&gt;0,IF(INDEX(CONFIRM!$J$5:$J$53,G1550)&lt;&gt;"",INDEX(CONFIRM!$J$5:$J$53,G1550),1),1)))</f>
        <v>1</v>
      </c>
      <c r="AC1550" s="1" t="n">
        <f aca="false">IF(AB1550=1,IF(COUNTIFS($B$5:B1550,B1550,$D$5:D1550,D1550,$AB$5:AB1550,1)=1,1,0),0)</f>
        <v>0</v>
      </c>
    </row>
    <row r="1551" customFormat="false" ht="15" hidden="false" customHeight="false" outlineLevel="0" collapsed="false">
      <c r="A1551" s="48" t="str">
        <f aca="false">STACK!A1551</f>
        <v>QHH-0170</v>
      </c>
      <c r="B1551" s="48" t="str">
        <f aca="false">STACK!B1551</f>
        <v>QHH</v>
      </c>
      <c r="C1551" s="48" t="str">
        <f aca="false">STACK!E1551</f>
        <v>Youth Pathway Program</v>
      </c>
      <c r="D1551" s="1" t="str">
        <f aca="false">IFERROR(INDEX(MAP!$J$7:$J$101,MATCH(TRIM(C1551),MAP!$I$7:$I$101,0)),"UNMAPPED")</f>
        <v>Youth Health Careers Pathway</v>
      </c>
      <c r="E1551" s="1" t="str">
        <f aca="false">IFERROR(INDEX(MAP!$K$7:$K$101,MATCH(TRIM(C1551),MAP!$I$7:$I$101,0)),"")</f>
        <v>Health workforce</v>
      </c>
      <c r="F1551" s="1" t="str">
        <f aca="false">IFERROR(INDEX(MAP!$L$7:$L$101,MATCH(TRIM(C1551),MAP!$I$7:$I$101,0)),"")</f>
        <v>Event</v>
      </c>
      <c r="G1551" s="1" t="n">
        <f aca="false">IFERROR(MATCH(A1551,CONFIRM!$A$5:$A$53,0),0)</f>
        <v>0</v>
      </c>
      <c r="H1551" s="48" t="str">
        <f aca="false">STACK!F1551</f>
        <v>Workforce Dev (CB)</v>
      </c>
      <c r="I1551" s="1" t="str">
        <f aca="false">IF(G1551&gt;0,IF(INDEX(CONFIRM!$I$5:$I$53,G1551)&lt;&gt;"",INDEX(CONFIRM!$I$5:$I$53,G1551),H1551),H1551)</f>
        <v>Workforce Dev (CB)</v>
      </c>
      <c r="J1551" s="1" t="str">
        <f aca="false">IFERROR(INDEX(MAP!$F$7:$F$74,MATCH(TRIM(I1551),MAP!$E$7:$E$74,0)),"UNMAPPED")</f>
        <v>Community building: workforce development</v>
      </c>
      <c r="K1551" s="1" t="str">
        <f aca="false">IFERROR(INDEX(MAP!$G$7:$G$74,MATCH(TRIM(I1551),MAP!$E$7:$E$74,0)),"UNMAPPED")</f>
        <v>II-8</v>
      </c>
      <c r="L1551" s="49" t="str">
        <f aca="false">STACK!G1551</f>
        <v>17-Mar-2026</v>
      </c>
      <c r="M1551" s="59" t="n">
        <f aca="false">IF(G1551&gt;0,IF(INDEX(CONFIRM!$G$5:$G$53,G1551)&lt;&gt;"",INDEX(CONFIRM!$G$5:$G$53,G1551),IF(ISNUMBER(L1551),L1551,IFERROR(DATEVALUE(L1551),""))),IF(ISNUMBER(L1551),L1551,IFERROR(DATEVALUE(L1551),"")))</f>
        <v>46098</v>
      </c>
      <c r="N1551" s="1" t="str">
        <f aca="false">IF(M1551="","Check",IF(AND(M1551&gt;=INPUTS!$C$6,M1551&lt;=INPUTS!$C$7),"Yes","No"))</f>
        <v>Yes</v>
      </c>
      <c r="O1551" s="48" t="str">
        <f aca="false">STACK!H1551</f>
        <v>Event Coordinator</v>
      </c>
      <c r="P1551" s="1" t="str">
        <f aca="false">IF(G1551&gt;0,IF(INDEX(CONFIRM!$H$5:$H$53,G1551)&lt;&gt;"",INDEX(CONFIRM!$H$5:$H$53,G1551),IFERROR(INDEX(MAP!$B$7:$B$156,MATCH(TRIM(O1551),MAP!$A$7:$A$156,0)),"UNMAPPED")),IFERROR(INDEX(MAP!$B$7:$B$156,MATCH(TRIM(O1551),MAP!$A$7:$A$156,0)),"UNMAPPED"))</f>
        <v>Program Coordinator</v>
      </c>
      <c r="Q1551" s="48" t="n">
        <f aca="false">STACK!I1551</f>
        <v>7.75</v>
      </c>
      <c r="R1551" s="60" t="n">
        <f aca="false">IF(G1551&gt;0,IF(INDEX(CONFIRM!$F$5:$F$53,G1551)&lt;&gt;"",INDEX(CONFIRM!$F$5:$F$53,G1551),IF(ISNUMBER(Q1551),Q1551,IF(Q1551="","",IFERROR(VALUE(TRIM(SUBSTITUTE(SUBSTITUTE(LOWER(Q1551),"hrs",""),"hr",""))),"")))),IF(ISNUMBER(Q1551),Q1551,IF(Q1551="","",IFERROR(VALUE(TRIM(SUBSTITUTE(SUBSTITUTE(LOWER(Q1551),"hrs",""),"hr",""))),""))))</f>
        <v>7.75</v>
      </c>
      <c r="S1551" s="57" t="n">
        <f aca="false">IFERROR(INDEX(RATES!$E$6:$E$28,MATCH(P1551,RATES!$A$6:$A$28,0)),0)</f>
        <v>35.3375</v>
      </c>
      <c r="T1551" s="61" t="n">
        <f aca="false">IF(ISNUMBER(R1551),R1551,0)*S1551</f>
        <v>273.865625</v>
      </c>
      <c r="U1551" s="61" t="n">
        <f aca="false">T1551*INDEX(INPUTS!$H$10:$H$14,MATCH(B1551,INPUTS!$A$10:$A$14,0))</f>
        <v>41.353709375</v>
      </c>
      <c r="V1551" s="61" t="n">
        <f aca="false">N(STACK!K1551)</f>
        <v>1015</v>
      </c>
      <c r="W1551" s="61" t="n">
        <f aca="false">T1551+U1551+V1551</f>
        <v>1330.219334375</v>
      </c>
      <c r="X1551" s="61" t="n">
        <f aca="false">N(STACK!L1551)</f>
        <v>0</v>
      </c>
      <c r="Y1551" s="61" t="n">
        <f aca="false">W1551-X1551</f>
        <v>1330.219334375</v>
      </c>
      <c r="Z1551" s="1" t="n">
        <f aca="false">N(STACK!J1551)</f>
        <v>16</v>
      </c>
      <c r="AA1551" s="1" t="str">
        <f aca="false">TRIM(IF(D1551="UNMAPPED","Program not mapped. ","")&amp;IF(OR(K1551="UNMAPPED",K1551="UNASSIGNED"),"Category needs review. ","")&amp;IF(P1551="UNMAPPED","Title not mapped. ","")&amp;IF(AND(P1551&lt;&gt;"No staff time",R1551=""),"Missing hours. ","")&amp;IF(M1551="","Date not readable. ","")&amp;IF(N1551="No","Outside fiscal year. ","")&amp;IF(AND(F1551="Event",ISNUMBER(R1551)),IF(R1551&gt;12,"Event hours look high. ",""),"")&amp;IF(G1551&gt;0,"See CONFIRM sheet.",""))</f>
        <v/>
      </c>
      <c r="AB1551" s="1" t="n">
        <f aca="false">IF(N1551="No",0,IF(REVIEW!O1551=0,0,IF(G1551&gt;0,IF(INDEX(CONFIRM!$J$5:$J$53,G1551)&lt;&gt;"",INDEX(CONFIRM!$J$5:$J$53,G1551),1),1)))</f>
        <v>1</v>
      </c>
      <c r="AC1551" s="1" t="n">
        <f aca="false">IF(AB1551=1,IF(COUNTIFS($B$5:B1551,B1551,$D$5:D1551,D1551,$AB$5:AB1551,1)=1,1,0),0)</f>
        <v>0</v>
      </c>
    </row>
    <row r="1552" customFormat="false" ht="15" hidden="false" customHeight="false" outlineLevel="0" collapsed="false">
      <c r="A1552" s="48" t="str">
        <f aca="false">STACK!A1552</f>
        <v>QHH-0171</v>
      </c>
      <c r="B1552" s="48" t="str">
        <f aca="false">STACK!B1552</f>
        <v>QHH</v>
      </c>
      <c r="C1552" s="48" t="str">
        <f aca="false">STACK!E1552</f>
        <v>Grief Support Group</v>
      </c>
      <c r="D1552" s="1" t="str">
        <f aca="false">IFERROR(INDEX(MAP!$J$7:$J$101,MATCH(TRIM(C1552),MAP!$I$7:$I$101,0)),"UNMAPPED")</f>
        <v>Grief Support Group</v>
      </c>
      <c r="E1552" s="1" t="str">
        <f aca="false">IFERROR(INDEX(MAP!$K$7:$K$101,MATCH(TRIM(C1552),MAP!$I$7:$I$101,0)),"")</f>
        <v>Behavioral health</v>
      </c>
      <c r="F1552" s="1" t="str">
        <f aca="false">IFERROR(INDEX(MAP!$L$7:$L$101,MATCH(TRIM(C1552),MAP!$I$7:$I$101,0)),"")</f>
        <v>Event</v>
      </c>
      <c r="G1552" s="1" t="n">
        <f aca="false">IFERROR(MATCH(A1552,CONFIRM!$A$5:$A$53,0),0)</f>
        <v>0</v>
      </c>
      <c r="H1552" s="48" t="str">
        <f aca="false">STACK!F1552</f>
        <v>CHIS - Support</v>
      </c>
      <c r="I1552" s="1" t="str">
        <f aca="false">IF(G1552&gt;0,IF(INDEX(CONFIRM!$I$5:$I$53,G1552)&lt;&gt;"",INDEX(CONFIRM!$I$5:$I$53,G1552),H1552),H1552)</f>
        <v>CHIS - Support</v>
      </c>
      <c r="J1552" s="1" t="str">
        <f aca="false">IFERROR(INDEX(MAP!$F$7:$F$74,MATCH(TRIM(I1552),MAP!$E$7:$E$74,0)),"UNMAPPED")</f>
        <v>Health care support services</v>
      </c>
      <c r="K1552" s="1" t="str">
        <f aca="false">IFERROR(INDEX(MAP!$G$7:$G$74,MATCH(TRIM(I1552),MAP!$E$7:$E$74,0)),"UNMAPPED")</f>
        <v>7e</v>
      </c>
      <c r="L1552" s="49" t="str">
        <f aca="false">STACK!G1552</f>
        <v>21-Mar-2026</v>
      </c>
      <c r="M1552" s="59" t="n">
        <f aca="false">IF(G1552&gt;0,IF(INDEX(CONFIRM!$G$5:$G$53,G1552)&lt;&gt;"",INDEX(CONFIRM!$G$5:$G$53,G1552),IF(ISNUMBER(L1552),L1552,IFERROR(DATEVALUE(L1552),""))),IF(ISNUMBER(L1552),L1552,IFERROR(DATEVALUE(L1552),"")))</f>
        <v>46102</v>
      </c>
      <c r="N1552" s="1" t="str">
        <f aca="false">IF(M1552="","Check",IF(AND(M1552&gt;=INPUTS!$C$6,M1552&lt;=INPUTS!$C$7),"Yes","No"))</f>
        <v>Yes</v>
      </c>
      <c r="O1552" s="48" t="str">
        <f aca="false">STACK!H1552</f>
        <v>Chaplain</v>
      </c>
      <c r="P1552" s="1" t="str">
        <f aca="false">IF(G1552&gt;0,IF(INDEX(CONFIRM!$H$5:$H$53,G1552)&lt;&gt;"",INDEX(CONFIRM!$H$5:$H$53,G1552),IFERROR(INDEX(MAP!$B$7:$B$156,MATCH(TRIM(O1552),MAP!$A$7:$A$156,0)),"UNMAPPED")),IFERROR(INDEX(MAP!$B$7:$B$156,MATCH(TRIM(O1552),MAP!$A$7:$A$156,0)),"UNMAPPED"))</f>
        <v>Chaplain</v>
      </c>
      <c r="Q1552" s="48" t="n">
        <f aca="false">STACK!I1552</f>
        <v>2</v>
      </c>
      <c r="R1552" s="60" t="n">
        <f aca="false">IF(G1552&gt;0,IF(INDEX(CONFIRM!$F$5:$F$53,G1552)&lt;&gt;"",INDEX(CONFIRM!$F$5:$F$53,G1552),IF(ISNUMBER(Q1552),Q1552,IF(Q1552="","",IFERROR(VALUE(TRIM(SUBSTITUTE(SUBSTITUTE(LOWER(Q1552),"hrs",""),"hr",""))),"")))),IF(ISNUMBER(Q1552),Q1552,IF(Q1552="","",IFERROR(VALUE(TRIM(SUBSTITUTE(SUBSTITUTE(LOWER(Q1552),"hrs",""),"hr",""))),""))))</f>
        <v>2</v>
      </c>
      <c r="S1552" s="57" t="n">
        <f aca="false">IFERROR(INDEX(RATES!$E$6:$E$28,MATCH(P1552,RATES!$A$6:$A$28,0)),0)</f>
        <v>39.835</v>
      </c>
      <c r="T1552" s="61" t="n">
        <f aca="false">IF(ISNUMBER(R1552),R1552,0)*S1552</f>
        <v>79.67</v>
      </c>
      <c r="U1552" s="61" t="n">
        <f aca="false">T1552*INDEX(INPUTS!$H$10:$H$14,MATCH(B1552,INPUTS!$A$10:$A$14,0))</f>
        <v>12.03017</v>
      </c>
      <c r="V1552" s="61" t="n">
        <f aca="false">N(STACK!K1552)</f>
        <v>60</v>
      </c>
      <c r="W1552" s="61" t="n">
        <f aca="false">T1552+U1552+V1552</f>
        <v>151.70017</v>
      </c>
      <c r="X1552" s="61" t="n">
        <f aca="false">N(STACK!L1552)</f>
        <v>0</v>
      </c>
      <c r="Y1552" s="61" t="n">
        <f aca="false">W1552-X1552</f>
        <v>151.70017</v>
      </c>
      <c r="Z1552" s="1" t="n">
        <f aca="false">N(STACK!J1552)</f>
        <v>16</v>
      </c>
      <c r="AA1552" s="1" t="str">
        <f aca="false">TRIM(IF(D1552="UNMAPPED","Program not mapped. ","")&amp;IF(OR(K1552="UNMAPPED",K1552="UNASSIGNED"),"Category needs review. ","")&amp;IF(P1552="UNMAPPED","Title not mapped. ","")&amp;IF(AND(P1552&lt;&gt;"No staff time",R1552=""),"Missing hours. ","")&amp;IF(M1552="","Date not readable. ","")&amp;IF(N1552="No","Outside fiscal year. ","")&amp;IF(AND(F1552="Event",ISNUMBER(R1552)),IF(R1552&gt;12,"Event hours look high. ",""),"")&amp;IF(G1552&gt;0,"See CONFIRM sheet.",""))</f>
        <v/>
      </c>
      <c r="AB1552" s="1" t="n">
        <f aca="false">IF(N1552="No",0,IF(REVIEW!O1552=0,0,IF(G1552&gt;0,IF(INDEX(CONFIRM!$J$5:$J$53,G1552)&lt;&gt;"",INDEX(CONFIRM!$J$5:$J$53,G1552),1),1)))</f>
        <v>1</v>
      </c>
      <c r="AC1552" s="1" t="n">
        <f aca="false">IF(AB1552=1,IF(COUNTIFS($B$5:B1552,B1552,$D$5:D1552,D1552,$AB$5:AB1552,1)=1,1,0),0)</f>
        <v>0</v>
      </c>
    </row>
    <row r="1553" customFormat="false" ht="15" hidden="false" customHeight="false" outlineLevel="0" collapsed="false">
      <c r="A1553" s="48" t="str">
        <f aca="false">STACK!A1553</f>
        <v>QHH-0172</v>
      </c>
      <c r="B1553" s="48" t="str">
        <f aca="false">STACK!B1553</f>
        <v>QHH</v>
      </c>
      <c r="C1553" s="48" t="str">
        <f aca="false">STACK!E1553</f>
        <v>Grief Support Group</v>
      </c>
      <c r="D1553" s="1" t="str">
        <f aca="false">IFERROR(INDEX(MAP!$J$7:$J$101,MATCH(TRIM(C1553),MAP!$I$7:$I$101,0)),"UNMAPPED")</f>
        <v>Grief Support Group</v>
      </c>
      <c r="E1553" s="1" t="str">
        <f aca="false">IFERROR(INDEX(MAP!$K$7:$K$101,MATCH(TRIM(C1553),MAP!$I$7:$I$101,0)),"")</f>
        <v>Behavioral health</v>
      </c>
      <c r="F1553" s="1" t="str">
        <f aca="false">IFERROR(INDEX(MAP!$L$7:$L$101,MATCH(TRIM(C1553),MAP!$I$7:$I$101,0)),"")</f>
        <v>Event</v>
      </c>
      <c r="G1553" s="1" t="n">
        <f aca="false">IFERROR(MATCH(A1553,CONFIRM!$A$5:$A$53,0),0)</f>
        <v>0</v>
      </c>
      <c r="H1553" s="48" t="str">
        <f aca="false">STACK!F1553</f>
        <v>CHIS - Support</v>
      </c>
      <c r="I1553" s="1" t="str">
        <f aca="false">IF(G1553&gt;0,IF(INDEX(CONFIRM!$I$5:$I$53,G1553)&lt;&gt;"",INDEX(CONFIRM!$I$5:$I$53,G1553),H1553),H1553)</f>
        <v>CHIS - Support</v>
      </c>
      <c r="J1553" s="1" t="str">
        <f aca="false">IFERROR(INDEX(MAP!$F$7:$F$74,MATCH(TRIM(I1553),MAP!$E$7:$E$74,0)),"UNMAPPED")</f>
        <v>Health care support services</v>
      </c>
      <c r="K1553" s="1" t="str">
        <f aca="false">IFERROR(INDEX(MAP!$G$7:$G$74,MATCH(TRIM(I1553),MAP!$E$7:$E$74,0)),"UNMAPPED")</f>
        <v>7e</v>
      </c>
      <c r="L1553" s="49" t="str">
        <f aca="false">STACK!G1553</f>
        <v>21-Mar-2026</v>
      </c>
      <c r="M1553" s="59" t="n">
        <f aca="false">IF(G1553&gt;0,IF(INDEX(CONFIRM!$G$5:$G$53,G1553)&lt;&gt;"",INDEX(CONFIRM!$G$5:$G$53,G1553),IF(ISNUMBER(L1553),L1553,IFERROR(DATEVALUE(L1553),""))),IF(ISNUMBER(L1553),L1553,IFERROR(DATEVALUE(L1553),"")))</f>
        <v>46102</v>
      </c>
      <c r="N1553" s="1" t="str">
        <f aca="false">IF(M1553="","Check",IF(AND(M1553&gt;=INPUTS!$C$6,M1553&lt;=INPUTS!$C$7),"Yes","No"))</f>
        <v>Yes</v>
      </c>
      <c r="O1553" s="48" t="str">
        <f aca="false">STACK!H1553</f>
        <v>LMSW </v>
      </c>
      <c r="P1553" s="1" t="str">
        <f aca="false">IF(G1553&gt;0,IF(INDEX(CONFIRM!$H$5:$H$53,G1553)&lt;&gt;"",INDEX(CONFIRM!$H$5:$H$53,G1553),IFERROR(INDEX(MAP!$B$7:$B$156,MATCH(TRIM(O1553),MAP!$A$7:$A$156,0)),"UNMAPPED")),IFERROR(INDEX(MAP!$B$7:$B$156,MATCH(TRIM(O1553),MAP!$A$7:$A$156,0)),"UNMAPPED"))</f>
        <v>Social Worker</v>
      </c>
      <c r="Q1553" s="48" t="n">
        <f aca="false">STACK!I1553</f>
        <v>1.75</v>
      </c>
      <c r="R1553" s="60" t="n">
        <f aca="false">IF(G1553&gt;0,IF(INDEX(CONFIRM!$F$5:$F$53,G1553)&lt;&gt;"",INDEX(CONFIRM!$F$5:$F$53,G1553),IF(ISNUMBER(Q1553),Q1553,IF(Q1553="","",IFERROR(VALUE(TRIM(SUBSTITUTE(SUBSTITUTE(LOWER(Q1553),"hrs",""),"hr",""))),"")))),IF(ISNUMBER(Q1553),Q1553,IF(Q1553="","",IFERROR(VALUE(TRIM(SUBSTITUTE(SUBSTITUTE(LOWER(Q1553),"hrs",""),"hr",""))),""))))</f>
        <v>1.75</v>
      </c>
      <c r="S1553" s="57" t="n">
        <f aca="false">IFERROR(INDEX(RATES!$E$6:$E$28,MATCH(P1553,RATES!$A$6:$A$28,0)),0)</f>
        <v>45.6175</v>
      </c>
      <c r="T1553" s="61" t="n">
        <f aca="false">IF(ISNUMBER(R1553),R1553,0)*S1553</f>
        <v>79.830625</v>
      </c>
      <c r="U1553" s="61" t="n">
        <f aca="false">T1553*INDEX(INPUTS!$H$10:$H$14,MATCH(B1553,INPUTS!$A$10:$A$14,0))</f>
        <v>12.054424375</v>
      </c>
      <c r="V1553" s="61" t="n">
        <f aca="false">N(STACK!K1553)</f>
        <v>0</v>
      </c>
      <c r="W1553" s="61" t="n">
        <f aca="false">T1553+U1553+V1553</f>
        <v>91.885049375</v>
      </c>
      <c r="X1553" s="61" t="n">
        <f aca="false">N(STACK!L1553)</f>
        <v>0</v>
      </c>
      <c r="Y1553" s="61" t="n">
        <f aca="false">W1553-X1553</f>
        <v>91.885049375</v>
      </c>
      <c r="Z1553" s="1" t="n">
        <f aca="false">N(STACK!J1553)</f>
        <v>0</v>
      </c>
      <c r="AA1553" s="1" t="str">
        <f aca="false">TRIM(IF(D1553="UNMAPPED","Program not mapped. ","")&amp;IF(OR(K1553="UNMAPPED",K1553="UNASSIGNED"),"Category needs review. ","")&amp;IF(P1553="UNMAPPED","Title not mapped. ","")&amp;IF(AND(P1553&lt;&gt;"No staff time",R1553=""),"Missing hours. ","")&amp;IF(M1553="","Date not readable. ","")&amp;IF(N1553="No","Outside fiscal year. ","")&amp;IF(AND(F1553="Event",ISNUMBER(R1553)),IF(R1553&gt;12,"Event hours look high. ",""),"")&amp;IF(G1553&gt;0,"See CONFIRM sheet.",""))</f>
        <v/>
      </c>
      <c r="AB1553" s="1" t="n">
        <f aca="false">IF(N1553="No",0,IF(REVIEW!O1553=0,0,IF(G1553&gt;0,IF(INDEX(CONFIRM!$J$5:$J$53,G1553)&lt;&gt;"",INDEX(CONFIRM!$J$5:$J$53,G1553),1),1)))</f>
        <v>1</v>
      </c>
      <c r="AC1553" s="1" t="n">
        <f aca="false">IF(AB1553=1,IF(COUNTIFS($B$5:B1553,B1553,$D$5:D1553,D1553,$AB$5:AB1553,1)=1,1,0),0)</f>
        <v>0</v>
      </c>
    </row>
    <row r="1554" customFormat="false" ht="15" hidden="false" customHeight="false" outlineLevel="0" collapsed="false">
      <c r="A1554" s="48" t="str">
        <f aca="false">STACK!A1554</f>
        <v>QHH-0173</v>
      </c>
      <c r="B1554" s="48" t="str">
        <f aca="false">STACK!B1554</f>
        <v>QHH</v>
      </c>
      <c r="C1554" s="48" t="str">
        <f aca="false">STACK!E1554</f>
        <v>Youth Pathway Program</v>
      </c>
      <c r="D1554" s="1" t="str">
        <f aca="false">IFERROR(INDEX(MAP!$J$7:$J$101,MATCH(TRIM(C1554),MAP!$I$7:$I$101,0)),"UNMAPPED")</f>
        <v>Youth Health Careers Pathway</v>
      </c>
      <c r="E1554" s="1" t="str">
        <f aca="false">IFERROR(INDEX(MAP!$K$7:$K$101,MATCH(TRIM(C1554),MAP!$I$7:$I$101,0)),"")</f>
        <v>Health workforce</v>
      </c>
      <c r="F1554" s="1" t="str">
        <f aca="false">IFERROR(INDEX(MAP!$L$7:$L$101,MATCH(TRIM(C1554),MAP!$I$7:$I$101,0)),"")</f>
        <v>Event</v>
      </c>
      <c r="G1554" s="1" t="n">
        <f aca="false">IFERROR(MATCH(A1554,CONFIRM!$A$5:$A$53,0),0)</f>
        <v>0</v>
      </c>
      <c r="H1554" s="48" t="str">
        <f aca="false">STACK!F1554</f>
        <v>Workforce Dev (CB)</v>
      </c>
      <c r="I1554" s="1" t="str">
        <f aca="false">IF(G1554&gt;0,IF(INDEX(CONFIRM!$I$5:$I$53,G1554)&lt;&gt;"",INDEX(CONFIRM!$I$5:$I$53,G1554),H1554),H1554)</f>
        <v>Workforce Dev (CB)</v>
      </c>
      <c r="J1554" s="1" t="str">
        <f aca="false">IFERROR(INDEX(MAP!$F$7:$F$74,MATCH(TRIM(I1554),MAP!$E$7:$E$74,0)),"UNMAPPED")</f>
        <v>Community building: workforce development</v>
      </c>
      <c r="K1554" s="1" t="str">
        <f aca="false">IFERROR(INDEX(MAP!$G$7:$G$74,MATCH(TRIM(I1554),MAP!$E$7:$E$74,0)),"UNMAPPED")</f>
        <v>II-8</v>
      </c>
      <c r="L1554" s="49" t="str">
        <f aca="false">STACK!G1554</f>
        <v>27-Mar-2026</v>
      </c>
      <c r="M1554" s="59" t="n">
        <f aca="false">IF(G1554&gt;0,IF(INDEX(CONFIRM!$G$5:$G$53,G1554)&lt;&gt;"",INDEX(CONFIRM!$G$5:$G$53,G1554),IF(ISNUMBER(L1554),L1554,IFERROR(DATEVALUE(L1554),""))),IF(ISNUMBER(L1554),L1554,IFERROR(DATEVALUE(L1554),"")))</f>
        <v>46108</v>
      </c>
      <c r="N1554" s="1" t="str">
        <f aca="false">IF(M1554="","Check",IF(AND(M1554&gt;=INPUTS!$C$6,M1554&lt;=INPUTS!$C$7),"Yes","No"))</f>
        <v>Yes</v>
      </c>
      <c r="O1554" s="48" t="str">
        <f aca="false">STACK!H1554</f>
        <v>Educator, Nursing</v>
      </c>
      <c r="P1554" s="1" t="str">
        <f aca="false">IF(G1554&gt;0,IF(INDEX(CONFIRM!$H$5:$H$53,G1554)&lt;&gt;"",INDEX(CONFIRM!$H$5:$H$53,G1554),IFERROR(INDEX(MAP!$B$7:$B$156,MATCH(TRIM(O1554),MAP!$A$7:$A$156,0)),"UNMAPPED")),IFERROR(INDEX(MAP!$B$7:$B$156,MATCH(TRIM(O1554),MAP!$A$7:$A$156,0)),"UNMAPPED"))</f>
        <v>Clinical Nurse Educator</v>
      </c>
      <c r="Q1554" s="48" t="n">
        <f aca="false">STACK!I1554</f>
        <v>3.5</v>
      </c>
      <c r="R1554" s="60" t="n">
        <f aca="false">IF(G1554&gt;0,IF(INDEX(CONFIRM!$F$5:$F$53,G1554)&lt;&gt;"",INDEX(CONFIRM!$F$5:$F$53,G1554),IF(ISNUMBER(Q1554),Q1554,IF(Q1554="","",IFERROR(VALUE(TRIM(SUBSTITUTE(SUBSTITUTE(LOWER(Q1554),"hrs",""),"hr",""))),"")))),IF(ISNUMBER(Q1554),Q1554,IF(Q1554="","",IFERROR(VALUE(TRIM(SUBSTITUTE(SUBSTITUTE(LOWER(Q1554),"hrs",""),"hr",""))),""))))</f>
        <v>3.5</v>
      </c>
      <c r="S1554" s="57" t="n">
        <f aca="false">IFERROR(INDEX(RATES!$E$6:$E$28,MATCH(P1554,RATES!$A$6:$A$28,0)),0)</f>
        <v>62.965</v>
      </c>
      <c r="T1554" s="61" t="n">
        <f aca="false">IF(ISNUMBER(R1554),R1554,0)*S1554</f>
        <v>220.3775</v>
      </c>
      <c r="U1554" s="61" t="n">
        <f aca="false">T1554*INDEX(INPUTS!$H$10:$H$14,MATCH(B1554,INPUTS!$A$10:$A$14,0))</f>
        <v>33.2770025</v>
      </c>
      <c r="V1554" s="61" t="n">
        <f aca="false">N(STACK!K1554)</f>
        <v>0</v>
      </c>
      <c r="W1554" s="61" t="n">
        <f aca="false">T1554+U1554+V1554</f>
        <v>253.6545025</v>
      </c>
      <c r="X1554" s="61" t="n">
        <f aca="false">N(STACK!L1554)</f>
        <v>0</v>
      </c>
      <c r="Y1554" s="61" t="n">
        <f aca="false">W1554-X1554</f>
        <v>253.6545025</v>
      </c>
      <c r="Z1554" s="1" t="n">
        <f aca="false">N(STACK!J1554)</f>
        <v>0</v>
      </c>
      <c r="AA1554" s="1" t="str">
        <f aca="false">TRIM(IF(D1554="UNMAPPED","Program not mapped. ","")&amp;IF(OR(K1554="UNMAPPED",K1554="UNASSIGNED"),"Category needs review. ","")&amp;IF(P1554="UNMAPPED","Title not mapped. ","")&amp;IF(AND(P1554&lt;&gt;"No staff time",R1554=""),"Missing hours. ","")&amp;IF(M1554="","Date not readable. ","")&amp;IF(N1554="No","Outside fiscal year. ","")&amp;IF(AND(F1554="Event",ISNUMBER(R1554)),IF(R1554&gt;12,"Event hours look high. ",""),"")&amp;IF(G1554&gt;0,"See CONFIRM sheet.",""))</f>
        <v/>
      </c>
      <c r="AB1554" s="1" t="n">
        <f aca="false">IF(N1554="No",0,IF(REVIEW!O1554=0,0,IF(G1554&gt;0,IF(INDEX(CONFIRM!$J$5:$J$53,G1554)&lt;&gt;"",INDEX(CONFIRM!$J$5:$J$53,G1554),1),1)))</f>
        <v>1</v>
      </c>
      <c r="AC1554" s="1" t="n">
        <f aca="false">IF(AB1554=1,IF(COUNTIFS($B$5:B1554,B1554,$D$5:D1554,D1554,$AB$5:AB1554,1)=1,1,0),0)</f>
        <v>0</v>
      </c>
    </row>
    <row r="1555" customFormat="false" ht="15" hidden="false" customHeight="false" outlineLevel="0" collapsed="false">
      <c r="A1555" s="48" t="str">
        <f aca="false">STACK!A1555</f>
        <v>QHH-0174</v>
      </c>
      <c r="B1555" s="48" t="str">
        <f aca="false">STACK!B1555</f>
        <v>QHH</v>
      </c>
      <c r="C1555" s="48" t="str">
        <f aca="false">STACK!E1555</f>
        <v>Youth Pathway Program</v>
      </c>
      <c r="D1555" s="1" t="str">
        <f aca="false">IFERROR(INDEX(MAP!$J$7:$J$101,MATCH(TRIM(C1555),MAP!$I$7:$I$101,0)),"UNMAPPED")</f>
        <v>Youth Health Careers Pathway</v>
      </c>
      <c r="E1555" s="1" t="str">
        <f aca="false">IFERROR(INDEX(MAP!$K$7:$K$101,MATCH(TRIM(C1555),MAP!$I$7:$I$101,0)),"")</f>
        <v>Health workforce</v>
      </c>
      <c r="F1555" s="1" t="str">
        <f aca="false">IFERROR(INDEX(MAP!$L$7:$L$101,MATCH(TRIM(C1555),MAP!$I$7:$I$101,0)),"")</f>
        <v>Event</v>
      </c>
      <c r="G1555" s="1" t="n">
        <f aca="false">IFERROR(MATCH(A1555,CONFIRM!$A$5:$A$53,0),0)</f>
        <v>0</v>
      </c>
      <c r="H1555" s="48" t="str">
        <f aca="false">STACK!F1555</f>
        <v>Workforce Dev (CB)</v>
      </c>
      <c r="I1555" s="1" t="str">
        <f aca="false">IF(G1555&gt;0,IF(INDEX(CONFIRM!$I$5:$I$53,G1555)&lt;&gt;"",INDEX(CONFIRM!$I$5:$I$53,G1555),H1555),H1555)</f>
        <v>Workforce Dev (CB)</v>
      </c>
      <c r="J1555" s="1" t="str">
        <f aca="false">IFERROR(INDEX(MAP!$F$7:$F$74,MATCH(TRIM(I1555),MAP!$E$7:$E$74,0)),"UNMAPPED")</f>
        <v>Community building: workforce development</v>
      </c>
      <c r="K1555" s="1" t="str">
        <f aca="false">IFERROR(INDEX(MAP!$G$7:$G$74,MATCH(TRIM(I1555),MAP!$E$7:$E$74,0)),"UNMAPPED")</f>
        <v>II-8</v>
      </c>
      <c r="L1555" s="49" t="str">
        <f aca="false">STACK!G1555</f>
        <v>27-Mar-2026</v>
      </c>
      <c r="M1555" s="59" t="n">
        <f aca="false">IF(G1555&gt;0,IF(INDEX(CONFIRM!$G$5:$G$53,G1555)&lt;&gt;"",INDEX(CONFIRM!$G$5:$G$53,G1555),IF(ISNUMBER(L1555),L1555,IFERROR(DATEVALUE(L1555),""))),IF(ISNUMBER(L1555),L1555,IFERROR(DATEVALUE(L1555),"")))</f>
        <v>46108</v>
      </c>
      <c r="N1555" s="1" t="str">
        <f aca="false">IF(M1555="","Check",IF(AND(M1555&gt;=INPUTS!$C$6,M1555&lt;=INPUTS!$C$7),"Yes","No"))</f>
        <v>Yes</v>
      </c>
      <c r="O1555" s="48" t="str">
        <f aca="false">STACK!H1555</f>
        <v>Prog Coord</v>
      </c>
      <c r="P1555" s="1" t="str">
        <f aca="false">IF(G1555&gt;0,IF(INDEX(CONFIRM!$H$5:$H$53,G1555)&lt;&gt;"",INDEX(CONFIRM!$H$5:$H$53,G1555),IFERROR(INDEX(MAP!$B$7:$B$156,MATCH(TRIM(O1555),MAP!$A$7:$A$156,0)),"UNMAPPED")),IFERROR(INDEX(MAP!$B$7:$B$156,MATCH(TRIM(O1555),MAP!$A$7:$A$156,0)),"UNMAPPED"))</f>
        <v>Program Coordinator</v>
      </c>
      <c r="Q1555" s="48" t="n">
        <f aca="false">STACK!I1555</f>
        <v>6.75</v>
      </c>
      <c r="R1555" s="60" t="n">
        <f aca="false">IF(G1555&gt;0,IF(INDEX(CONFIRM!$F$5:$F$53,G1555)&lt;&gt;"",INDEX(CONFIRM!$F$5:$F$53,G1555),IF(ISNUMBER(Q1555),Q1555,IF(Q1555="","",IFERROR(VALUE(TRIM(SUBSTITUTE(SUBSTITUTE(LOWER(Q1555),"hrs",""),"hr",""))),"")))),IF(ISNUMBER(Q1555),Q1555,IF(Q1555="","",IFERROR(VALUE(TRIM(SUBSTITUTE(SUBSTITUTE(LOWER(Q1555),"hrs",""),"hr",""))),""))))</f>
        <v>6.75</v>
      </c>
      <c r="S1555" s="57" t="n">
        <f aca="false">IFERROR(INDEX(RATES!$E$6:$E$28,MATCH(P1555,RATES!$A$6:$A$28,0)),0)</f>
        <v>35.3375</v>
      </c>
      <c r="T1555" s="61" t="n">
        <f aca="false">IF(ISNUMBER(R1555),R1555,0)*S1555</f>
        <v>238.528125</v>
      </c>
      <c r="U1555" s="61" t="n">
        <f aca="false">T1555*INDEX(INPUTS!$H$10:$H$14,MATCH(B1555,INPUTS!$A$10:$A$14,0))</f>
        <v>36.017746875</v>
      </c>
      <c r="V1555" s="61" t="n">
        <f aca="false">N(STACK!K1555)</f>
        <v>1615</v>
      </c>
      <c r="W1555" s="61" t="n">
        <f aca="false">T1555+U1555+V1555</f>
        <v>1889.545871875</v>
      </c>
      <c r="X1555" s="61" t="n">
        <f aca="false">N(STACK!L1555)</f>
        <v>0</v>
      </c>
      <c r="Y1555" s="61" t="n">
        <f aca="false">W1555-X1555</f>
        <v>1889.545871875</v>
      </c>
      <c r="Z1555" s="1" t="n">
        <f aca="false">N(STACK!J1555)</f>
        <v>29</v>
      </c>
      <c r="AA1555" s="1" t="str">
        <f aca="false">TRIM(IF(D1555="UNMAPPED","Program not mapped. ","")&amp;IF(OR(K1555="UNMAPPED",K1555="UNASSIGNED"),"Category needs review. ","")&amp;IF(P1555="UNMAPPED","Title not mapped. ","")&amp;IF(AND(P1555&lt;&gt;"No staff time",R1555=""),"Missing hours. ","")&amp;IF(M1555="","Date not readable. ","")&amp;IF(N1555="No","Outside fiscal year. ","")&amp;IF(AND(F1555="Event",ISNUMBER(R1555)),IF(R1555&gt;12,"Event hours look high. ",""),"")&amp;IF(G1555&gt;0,"See CONFIRM sheet.",""))</f>
        <v/>
      </c>
      <c r="AB1555" s="1" t="n">
        <f aca="false">IF(N1555="No",0,IF(REVIEW!O1555=0,0,IF(G1555&gt;0,IF(INDEX(CONFIRM!$J$5:$J$53,G1555)&lt;&gt;"",INDEX(CONFIRM!$J$5:$J$53,G1555),1),1)))</f>
        <v>1</v>
      </c>
      <c r="AC1555" s="1" t="n">
        <f aca="false">IF(AB1555=1,IF(COUNTIFS($B$5:B1555,B1555,$D$5:D1555,D1555,$AB$5:AB1555,1)=1,1,0),0)</f>
        <v>0</v>
      </c>
    </row>
    <row r="1556" customFormat="false" ht="15" hidden="false" customHeight="false" outlineLevel="0" collapsed="false">
      <c r="A1556" s="48" t="str">
        <f aca="false">STACK!A1556</f>
        <v>QHH-0175</v>
      </c>
      <c r="B1556" s="48" t="str">
        <f aca="false">STACK!B1556</f>
        <v>QHH</v>
      </c>
      <c r="C1556" s="48" t="str">
        <f aca="false">STACK!E1556</f>
        <v>Diabetes Prevention Program</v>
      </c>
      <c r="D1556" s="1" t="str">
        <f aca="false">IFERROR(INDEX(MAP!$J$7:$J$101,MATCH(TRIM(C1556),MAP!$I$7:$I$101,0)),"UNMAPPED")</f>
        <v>Diabetes Prevention Classes</v>
      </c>
      <c r="E1556" s="1" t="str">
        <f aca="false">IFERROR(INDEX(MAP!$K$7:$K$101,MATCH(TRIM(C1556),MAP!$I$7:$I$101,0)),"")</f>
        <v>Chronic disease prevention</v>
      </c>
      <c r="F1556" s="1" t="str">
        <f aca="false">IFERROR(INDEX(MAP!$L$7:$L$101,MATCH(TRIM(C1556),MAP!$I$7:$I$101,0)),"")</f>
        <v>Event</v>
      </c>
      <c r="G1556" s="1" t="n">
        <f aca="false">IFERROR(MATCH(A1556,CONFIRM!$A$5:$A$53,0),0)</f>
        <v>0</v>
      </c>
      <c r="H1556" s="48" t="str">
        <f aca="false">STACK!F1556</f>
        <v>CHIS - Education</v>
      </c>
      <c r="I1556" s="1" t="str">
        <f aca="false">IF(G1556&gt;0,IF(INDEX(CONFIRM!$I$5:$I$53,G1556)&lt;&gt;"",INDEX(CONFIRM!$I$5:$I$53,G1556),H1556),H1556)</f>
        <v>CHIS - Education</v>
      </c>
      <c r="J1556" s="1" t="str">
        <f aca="false">IFERROR(INDEX(MAP!$F$7:$F$74,MATCH(TRIM(I1556),MAP!$E$7:$E$74,0)),"UNMAPPED")</f>
        <v>Community health education</v>
      </c>
      <c r="K1556" s="1" t="str">
        <f aca="false">IFERROR(INDEX(MAP!$G$7:$G$74,MATCH(TRIM(I1556),MAP!$E$7:$E$74,0)),"UNMAPPED")</f>
        <v>7e</v>
      </c>
      <c r="L1556" s="49" t="str">
        <f aca="false">STACK!G1556</f>
        <v>28-Mar-2026</v>
      </c>
      <c r="M1556" s="59" t="n">
        <f aca="false">IF(G1556&gt;0,IF(INDEX(CONFIRM!$G$5:$G$53,G1556)&lt;&gt;"",INDEX(CONFIRM!$G$5:$G$53,G1556),IF(ISNUMBER(L1556),L1556,IFERROR(DATEVALUE(L1556),""))),IF(ISNUMBER(L1556),L1556,IFERROR(DATEVALUE(L1556),"")))</f>
        <v>46109</v>
      </c>
      <c r="N1556" s="1" t="str">
        <f aca="false">IF(M1556="","Check",IF(AND(M1556&gt;=INPUTS!$C$6,M1556&lt;=INPUTS!$C$7),"Yes","No"))</f>
        <v>Yes</v>
      </c>
      <c r="O1556" s="48" t="str">
        <f aca="false">STACK!H1556</f>
        <v>Community Educator</v>
      </c>
      <c r="P1556" s="1" t="str">
        <f aca="false">IF(G1556&gt;0,IF(INDEX(CONFIRM!$H$5:$H$53,G1556)&lt;&gt;"",INDEX(CONFIRM!$H$5:$H$53,G1556),IFERROR(INDEX(MAP!$B$7:$B$156,MATCH(TRIM(O1556),MAP!$A$7:$A$156,0)),"UNMAPPED")),IFERROR(INDEX(MAP!$B$7:$B$156,MATCH(TRIM(O1556),MAP!$A$7:$A$156,0)),"UNMAPPED"))</f>
        <v>Health Educator</v>
      </c>
      <c r="Q1556" s="48" t="n">
        <f aca="false">STACK!I1556</f>
        <v>2.25</v>
      </c>
      <c r="R1556" s="60" t="n">
        <f aca="false">IF(G1556&gt;0,IF(INDEX(CONFIRM!$F$5:$F$53,G1556)&lt;&gt;"",INDEX(CONFIRM!$F$5:$F$53,G1556),IF(ISNUMBER(Q1556),Q1556,IF(Q1556="","",IFERROR(VALUE(TRIM(SUBSTITUTE(SUBSTITUTE(LOWER(Q1556),"hrs",""),"hr",""))),"")))),IF(ISNUMBER(Q1556),Q1556,IF(Q1556="","",IFERROR(VALUE(TRIM(SUBSTITUTE(SUBSTITUTE(LOWER(Q1556),"hrs",""),"hr",""))),""))))</f>
        <v>2.25</v>
      </c>
      <c r="S1556" s="57" t="n">
        <f aca="false">IFERROR(INDEX(RATES!$E$6:$E$28,MATCH(P1556,RATES!$A$6:$A$28,0)),0)</f>
        <v>37.265</v>
      </c>
      <c r="T1556" s="61" t="n">
        <f aca="false">IF(ISNUMBER(R1556),R1556,0)*S1556</f>
        <v>83.84625</v>
      </c>
      <c r="U1556" s="61" t="n">
        <f aca="false">T1556*INDEX(INPUTS!$H$10:$H$14,MATCH(B1556,INPUTS!$A$10:$A$14,0))</f>
        <v>12.66078375</v>
      </c>
      <c r="V1556" s="61" t="n">
        <f aca="false">N(STACK!K1556)</f>
        <v>150</v>
      </c>
      <c r="W1556" s="61" t="n">
        <f aca="false">T1556+U1556+V1556</f>
        <v>246.50703375</v>
      </c>
      <c r="X1556" s="61" t="n">
        <f aca="false">N(STACK!L1556)</f>
        <v>0</v>
      </c>
      <c r="Y1556" s="61" t="n">
        <f aca="false">W1556-X1556</f>
        <v>246.50703375</v>
      </c>
      <c r="Z1556" s="1" t="n">
        <f aca="false">N(STACK!J1556)</f>
        <v>12</v>
      </c>
      <c r="AA1556" s="1" t="str">
        <f aca="false">TRIM(IF(D1556="UNMAPPED","Program not mapped. ","")&amp;IF(OR(K1556="UNMAPPED",K1556="UNASSIGNED"),"Category needs review. ","")&amp;IF(P1556="UNMAPPED","Title not mapped. ","")&amp;IF(AND(P1556&lt;&gt;"No staff time",R1556=""),"Missing hours. ","")&amp;IF(M1556="","Date not readable. ","")&amp;IF(N1556="No","Outside fiscal year. ","")&amp;IF(AND(F1556="Event",ISNUMBER(R1556)),IF(R1556&gt;12,"Event hours look high. ",""),"")&amp;IF(G1556&gt;0,"See CONFIRM sheet.",""))</f>
        <v/>
      </c>
      <c r="AB1556" s="1" t="n">
        <f aca="false">IF(N1556="No",0,IF(REVIEW!O1556=0,0,IF(G1556&gt;0,IF(INDEX(CONFIRM!$J$5:$J$53,G1556)&lt;&gt;"",INDEX(CONFIRM!$J$5:$J$53,G1556),1),1)))</f>
        <v>1</v>
      </c>
      <c r="AC1556" s="1" t="n">
        <f aca="false">IF(AB1556=1,IF(COUNTIFS($B$5:B1556,B1556,$D$5:D1556,D1556,$AB$5:AB1556,1)=1,1,0),0)</f>
        <v>0</v>
      </c>
    </row>
    <row r="1557" customFormat="false" ht="15" hidden="false" customHeight="false" outlineLevel="0" collapsed="false">
      <c r="A1557" s="48" t="str">
        <f aca="false">STACK!A1557</f>
        <v>QHH-0176</v>
      </c>
      <c r="B1557" s="48" t="str">
        <f aca="false">STACK!B1557</f>
        <v>QHH</v>
      </c>
      <c r="C1557" s="48" t="str">
        <f aca="false">STACK!E1557</f>
        <v>Diabetes Prevention Program</v>
      </c>
      <c r="D1557" s="1" t="str">
        <f aca="false">IFERROR(INDEX(MAP!$J$7:$J$101,MATCH(TRIM(C1557),MAP!$I$7:$I$101,0)),"UNMAPPED")</f>
        <v>Diabetes Prevention Classes</v>
      </c>
      <c r="E1557" s="1" t="str">
        <f aca="false">IFERROR(INDEX(MAP!$K$7:$K$101,MATCH(TRIM(C1557),MAP!$I$7:$I$101,0)),"")</f>
        <v>Chronic disease prevention</v>
      </c>
      <c r="F1557" s="1" t="str">
        <f aca="false">IFERROR(INDEX(MAP!$L$7:$L$101,MATCH(TRIM(C1557),MAP!$I$7:$I$101,0)),"")</f>
        <v>Event</v>
      </c>
      <c r="G1557" s="1" t="n">
        <f aca="false">IFERROR(MATCH(A1557,CONFIRM!$A$5:$A$53,0),0)</f>
        <v>0</v>
      </c>
      <c r="H1557" s="48" t="str">
        <f aca="false">STACK!F1557</f>
        <v>CHIS - Education</v>
      </c>
      <c r="I1557" s="1" t="str">
        <f aca="false">IF(G1557&gt;0,IF(INDEX(CONFIRM!$I$5:$I$53,G1557)&lt;&gt;"",INDEX(CONFIRM!$I$5:$I$53,G1557),H1557),H1557)</f>
        <v>CHIS - Education</v>
      </c>
      <c r="J1557" s="1" t="str">
        <f aca="false">IFERROR(INDEX(MAP!$F$7:$F$74,MATCH(TRIM(I1557),MAP!$E$7:$E$74,0)),"UNMAPPED")</f>
        <v>Community health education</v>
      </c>
      <c r="K1557" s="1" t="str">
        <f aca="false">IFERROR(INDEX(MAP!$G$7:$G$74,MATCH(TRIM(I1557),MAP!$E$7:$E$74,0)),"UNMAPPED")</f>
        <v>7e</v>
      </c>
      <c r="L1557" s="49" t="str">
        <f aca="false">STACK!G1557</f>
        <v>28-Mar-2026</v>
      </c>
      <c r="M1557" s="59" t="n">
        <f aca="false">IF(G1557&gt;0,IF(INDEX(CONFIRM!$G$5:$G$53,G1557)&lt;&gt;"",INDEX(CONFIRM!$G$5:$G$53,G1557),IF(ISNUMBER(L1557),L1557,IFERROR(DATEVALUE(L1557),""))),IF(ISNUMBER(L1557),L1557,IFERROR(DATEVALUE(L1557),"")))</f>
        <v>46109</v>
      </c>
      <c r="N1557" s="1" t="str">
        <f aca="false">IF(M1557="","Check",IF(AND(M1557&gt;=INPUTS!$C$6,M1557&lt;=INPUTS!$C$7),"Yes","No"))</f>
        <v>Yes</v>
      </c>
      <c r="O1557" s="48" t="str">
        <f aca="false">STACK!H1557</f>
        <v>Clinical Dietitian</v>
      </c>
      <c r="P1557" s="1" t="str">
        <f aca="false">IF(G1557&gt;0,IF(INDEX(CONFIRM!$H$5:$H$53,G1557)&lt;&gt;"",INDEX(CONFIRM!$H$5:$H$53,G1557),IFERROR(INDEX(MAP!$B$7:$B$156,MATCH(TRIM(O1557),MAP!$A$7:$A$156,0)),"UNMAPPED")),IFERROR(INDEX(MAP!$B$7:$B$156,MATCH(TRIM(O1557),MAP!$A$7:$A$156,0)),"UNMAPPED"))</f>
        <v>Registered Dietitian</v>
      </c>
      <c r="Q1557" s="48" t="n">
        <f aca="false">STACK!I1557</f>
        <v>1.75</v>
      </c>
      <c r="R1557" s="60" t="n">
        <f aca="false">IF(G1557&gt;0,IF(INDEX(CONFIRM!$F$5:$F$53,G1557)&lt;&gt;"",INDEX(CONFIRM!$F$5:$F$53,G1557),IF(ISNUMBER(Q1557),Q1557,IF(Q1557="","",IFERROR(VALUE(TRIM(SUBSTITUTE(SUBSTITUTE(LOWER(Q1557),"hrs",""),"hr",""))),"")))),IF(ISNUMBER(Q1557),Q1557,IF(Q1557="","",IFERROR(VALUE(TRIM(SUBSTITUTE(SUBSTITUTE(LOWER(Q1557),"hrs",""),"hr",""))),""))))</f>
        <v>1.75</v>
      </c>
      <c r="S1557" s="57" t="n">
        <f aca="false">IFERROR(INDEX(RATES!$E$6:$E$28,MATCH(P1557,RATES!$A$6:$A$28,0)),0)</f>
        <v>46.9025</v>
      </c>
      <c r="T1557" s="61" t="n">
        <f aca="false">IF(ISNUMBER(R1557),R1557,0)*S1557</f>
        <v>82.079375</v>
      </c>
      <c r="U1557" s="61" t="n">
        <f aca="false">T1557*INDEX(INPUTS!$H$10:$H$14,MATCH(B1557,INPUTS!$A$10:$A$14,0))</f>
        <v>12.393985625</v>
      </c>
      <c r="V1557" s="61" t="n">
        <f aca="false">N(STACK!K1557)</f>
        <v>0</v>
      </c>
      <c r="W1557" s="61" t="n">
        <f aca="false">T1557+U1557+V1557</f>
        <v>94.473360625</v>
      </c>
      <c r="X1557" s="61" t="n">
        <f aca="false">N(STACK!L1557)</f>
        <v>0</v>
      </c>
      <c r="Y1557" s="61" t="n">
        <f aca="false">W1557-X1557</f>
        <v>94.473360625</v>
      </c>
      <c r="Z1557" s="1" t="n">
        <f aca="false">N(STACK!J1557)</f>
        <v>0</v>
      </c>
      <c r="AA1557" s="1" t="str">
        <f aca="false">TRIM(IF(D1557="UNMAPPED","Program not mapped. ","")&amp;IF(OR(K1557="UNMAPPED",K1557="UNASSIGNED"),"Category needs review. ","")&amp;IF(P1557="UNMAPPED","Title not mapped. ","")&amp;IF(AND(P1557&lt;&gt;"No staff time",R1557=""),"Missing hours. ","")&amp;IF(M1557="","Date not readable. ","")&amp;IF(N1557="No","Outside fiscal year. ","")&amp;IF(AND(F1557="Event",ISNUMBER(R1557)),IF(R1557&gt;12,"Event hours look high. ",""),"")&amp;IF(G1557&gt;0,"See CONFIRM sheet.",""))</f>
        <v/>
      </c>
      <c r="AB1557" s="1" t="n">
        <f aca="false">IF(N1557="No",0,IF(REVIEW!O1557=0,0,IF(G1557&gt;0,IF(INDEX(CONFIRM!$J$5:$J$53,G1557)&lt;&gt;"",INDEX(CONFIRM!$J$5:$J$53,G1557),1),1)))</f>
        <v>1</v>
      </c>
      <c r="AC1557" s="1" t="n">
        <f aca="false">IF(AB1557=1,IF(COUNTIFS($B$5:B1557,B1557,$D$5:D1557,D1557,$AB$5:AB1557,1)=1,1,0),0)</f>
        <v>0</v>
      </c>
    </row>
    <row r="1558" customFormat="false" ht="15" hidden="false" customHeight="false" outlineLevel="0" collapsed="false">
      <c r="A1558" s="48" t="str">
        <f aca="false">STACK!A1558</f>
        <v>QHH-0177</v>
      </c>
      <c r="B1558" s="48" t="str">
        <f aca="false">STACK!B1558</f>
        <v>QHH</v>
      </c>
      <c r="C1558" s="48" t="str">
        <f aca="false">STACK!E1558</f>
        <v>Sports Physicals</v>
      </c>
      <c r="D1558" s="1" t="str">
        <f aca="false">IFERROR(INDEX(MAP!$J$7:$J$101,MATCH(TRIM(C1558),MAP!$I$7:$I$101,0)),"UNMAPPED")</f>
        <v>Free Sports Physicals</v>
      </c>
      <c r="E1558" s="1" t="str">
        <f aca="false">IFERROR(INDEX(MAP!$K$7:$K$101,MATCH(TRIM(C1558),MAP!$I$7:$I$101,0)),"")</f>
        <v>Maternal and child health</v>
      </c>
      <c r="F1558" s="1" t="str">
        <f aca="false">IFERROR(INDEX(MAP!$L$7:$L$101,MATCH(TRIM(C1558),MAP!$I$7:$I$101,0)),"")</f>
        <v>Event</v>
      </c>
      <c r="G1558" s="1" t="n">
        <f aca="false">IFERROR(MATCH(A1558,CONFIRM!$A$5:$A$53,0),0)</f>
        <v>0</v>
      </c>
      <c r="H1558" s="48" t="str">
        <f aca="false">STACK!F1558</f>
        <v>CHIS - Clinical</v>
      </c>
      <c r="I1558" s="1" t="str">
        <f aca="false">IF(G1558&gt;0,IF(INDEX(CONFIRM!$I$5:$I$53,G1558)&lt;&gt;"",INDEX(CONFIRM!$I$5:$I$53,G1558),H1558),H1558)</f>
        <v>CHIS - Clinical</v>
      </c>
      <c r="J1558" s="1" t="str">
        <f aca="false">IFERROR(INDEX(MAP!$F$7:$F$74,MATCH(TRIM(I1558),MAP!$E$7:$E$74,0)),"UNMAPPED")</f>
        <v>Community-based clinical services</v>
      </c>
      <c r="K1558" s="1" t="str">
        <f aca="false">IFERROR(INDEX(MAP!$G$7:$G$74,MATCH(TRIM(I1558),MAP!$E$7:$E$74,0)),"UNMAPPED")</f>
        <v>7e</v>
      </c>
      <c r="L1558" s="49" t="str">
        <f aca="false">STACK!G1558</f>
        <v>30-Mar-2026</v>
      </c>
      <c r="M1558" s="59" t="n">
        <f aca="false">IF(G1558&gt;0,IF(INDEX(CONFIRM!$G$5:$G$53,G1558)&lt;&gt;"",INDEX(CONFIRM!$G$5:$G$53,G1558),IF(ISNUMBER(L1558),L1558,IFERROR(DATEVALUE(L1558),""))),IF(ISNUMBER(L1558),L1558,IFERROR(DATEVALUE(L1558),"")))</f>
        <v>46111</v>
      </c>
      <c r="N1558" s="1" t="str">
        <f aca="false">IF(M1558="","Check",IF(AND(M1558&gt;=INPUTS!$C$6,M1558&lt;=INPUTS!$C$7),"Yes","No"))</f>
        <v>Yes</v>
      </c>
      <c r="O1558" s="48" t="str">
        <f aca="false">STACK!H1558</f>
        <v>Certified Medical Assistant</v>
      </c>
      <c r="P1558" s="1" t="str">
        <f aca="false">IF(G1558&gt;0,IF(INDEX(CONFIRM!$H$5:$H$53,G1558)&lt;&gt;"",INDEX(CONFIRM!$H$5:$H$53,G1558),IFERROR(INDEX(MAP!$B$7:$B$156,MATCH(TRIM(O1558),MAP!$A$7:$A$156,0)),"UNMAPPED")),IFERROR(INDEX(MAP!$B$7:$B$156,MATCH(TRIM(O1558),MAP!$A$7:$A$156,0)),"UNMAPPED"))</f>
        <v>Medical Assistant</v>
      </c>
      <c r="Q1558" s="48" t="n">
        <f aca="false">STACK!I1558</f>
        <v>4.75</v>
      </c>
      <c r="R1558" s="60" t="n">
        <f aca="false">IF(G1558&gt;0,IF(INDEX(CONFIRM!$F$5:$F$53,G1558)&lt;&gt;"",INDEX(CONFIRM!$F$5:$F$53,G1558),IF(ISNUMBER(Q1558),Q1558,IF(Q1558="","",IFERROR(VALUE(TRIM(SUBSTITUTE(SUBSTITUTE(LOWER(Q1558),"hrs",""),"hr",""))),"")))),IF(ISNUMBER(Q1558),Q1558,IF(Q1558="","",IFERROR(VALUE(TRIM(SUBSTITUTE(SUBSTITUTE(LOWER(Q1558),"hrs",""),"hr",""))),""))))</f>
        <v>4.75</v>
      </c>
      <c r="S1558" s="57" t="n">
        <f aca="false">IFERROR(INDEX(RATES!$E$6:$E$28,MATCH(P1558,RATES!$A$6:$A$28,0)),0)</f>
        <v>25.37875</v>
      </c>
      <c r="T1558" s="61" t="n">
        <f aca="false">IF(ISNUMBER(R1558),R1558,0)*S1558</f>
        <v>120.5490625</v>
      </c>
      <c r="U1558" s="61" t="n">
        <f aca="false">T1558*INDEX(INPUTS!$H$10:$H$14,MATCH(B1558,INPUTS!$A$10:$A$14,0))</f>
        <v>18.2029084375</v>
      </c>
      <c r="V1558" s="61" t="n">
        <f aca="false">N(STACK!K1558)</f>
        <v>0</v>
      </c>
      <c r="W1558" s="61" t="n">
        <f aca="false">T1558+U1558+V1558</f>
        <v>138.7519709375</v>
      </c>
      <c r="X1558" s="61" t="n">
        <f aca="false">N(STACK!L1558)</f>
        <v>0</v>
      </c>
      <c r="Y1558" s="61" t="n">
        <f aca="false">W1558-X1558</f>
        <v>138.7519709375</v>
      </c>
      <c r="Z1558" s="1" t="n">
        <f aca="false">N(STACK!J1558)</f>
        <v>0</v>
      </c>
      <c r="AA1558" s="1" t="str">
        <f aca="false">TRIM(IF(D1558="UNMAPPED","Program not mapped. ","")&amp;IF(OR(K1558="UNMAPPED",K1558="UNASSIGNED"),"Category needs review. ","")&amp;IF(P1558="UNMAPPED","Title not mapped. ","")&amp;IF(AND(P1558&lt;&gt;"No staff time",R1558=""),"Missing hours. ","")&amp;IF(M1558="","Date not readable. ","")&amp;IF(N1558="No","Outside fiscal year. ","")&amp;IF(AND(F1558="Event",ISNUMBER(R1558)),IF(R1558&gt;12,"Event hours look high. ",""),"")&amp;IF(G1558&gt;0,"See CONFIRM sheet.",""))</f>
        <v/>
      </c>
      <c r="AB1558" s="1" t="n">
        <f aca="false">IF(N1558="No",0,IF(REVIEW!O1558=0,0,IF(G1558&gt;0,IF(INDEX(CONFIRM!$J$5:$J$53,G1558)&lt;&gt;"",INDEX(CONFIRM!$J$5:$J$53,G1558),1),1)))</f>
        <v>1</v>
      </c>
      <c r="AC1558" s="1" t="n">
        <f aca="false">IF(AB1558=1,IF(COUNTIFS($B$5:B1558,B1558,$D$5:D1558,D1558,$AB$5:AB1558,1)=1,1,0),0)</f>
        <v>0</v>
      </c>
    </row>
    <row r="1559" customFormat="false" ht="15" hidden="false" customHeight="false" outlineLevel="0" collapsed="false">
      <c r="A1559" s="48" t="str">
        <f aca="false">STACK!A1559</f>
        <v>QHH-0178</v>
      </c>
      <c r="B1559" s="48" t="str">
        <f aca="false">STACK!B1559</f>
        <v>QHH</v>
      </c>
      <c r="C1559" s="48" t="str">
        <f aca="false">STACK!E1559</f>
        <v>Sports Physicals</v>
      </c>
      <c r="D1559" s="1" t="str">
        <f aca="false">IFERROR(INDEX(MAP!$J$7:$J$101,MATCH(TRIM(C1559),MAP!$I$7:$I$101,0)),"UNMAPPED")</f>
        <v>Free Sports Physicals</v>
      </c>
      <c r="E1559" s="1" t="str">
        <f aca="false">IFERROR(INDEX(MAP!$K$7:$K$101,MATCH(TRIM(C1559),MAP!$I$7:$I$101,0)),"")</f>
        <v>Maternal and child health</v>
      </c>
      <c r="F1559" s="1" t="str">
        <f aca="false">IFERROR(INDEX(MAP!$L$7:$L$101,MATCH(TRIM(C1559),MAP!$I$7:$I$101,0)),"")</f>
        <v>Event</v>
      </c>
      <c r="G1559" s="1" t="n">
        <f aca="false">IFERROR(MATCH(A1559,CONFIRM!$A$5:$A$53,0),0)</f>
        <v>0</v>
      </c>
      <c r="H1559" s="48" t="str">
        <f aca="false">STACK!F1559</f>
        <v>CHIS - Clinical</v>
      </c>
      <c r="I1559" s="1" t="str">
        <f aca="false">IF(G1559&gt;0,IF(INDEX(CONFIRM!$I$5:$I$53,G1559)&lt;&gt;"",INDEX(CONFIRM!$I$5:$I$53,G1559),H1559),H1559)</f>
        <v>CHIS - Clinical</v>
      </c>
      <c r="J1559" s="1" t="str">
        <f aca="false">IFERROR(INDEX(MAP!$F$7:$F$74,MATCH(TRIM(I1559),MAP!$E$7:$E$74,0)),"UNMAPPED")</f>
        <v>Community-based clinical services</v>
      </c>
      <c r="K1559" s="1" t="str">
        <f aca="false">IFERROR(INDEX(MAP!$G$7:$G$74,MATCH(TRIM(I1559),MAP!$E$7:$E$74,0)),"UNMAPPED")</f>
        <v>7e</v>
      </c>
      <c r="L1559" s="49" t="str">
        <f aca="false">STACK!G1559</f>
        <v>30-Mar-2026</v>
      </c>
      <c r="M1559" s="59" t="n">
        <f aca="false">IF(G1559&gt;0,IF(INDEX(CONFIRM!$G$5:$G$53,G1559)&lt;&gt;"",INDEX(CONFIRM!$G$5:$G$53,G1559),IF(ISNUMBER(L1559),L1559,IFERROR(DATEVALUE(L1559),""))),IF(ISNUMBER(L1559),L1559,IFERROR(DATEVALUE(L1559),"")))</f>
        <v>46111</v>
      </c>
      <c r="N1559" s="1" t="str">
        <f aca="false">IF(M1559="","Check",IF(AND(M1559&gt;=INPUTS!$C$6,M1559&lt;=INPUTS!$C$7),"Yes","No"))</f>
        <v>Yes</v>
      </c>
      <c r="O1559" s="48" t="str">
        <f aca="false">STACK!H1559</f>
        <v>N.P.</v>
      </c>
      <c r="P1559" s="1" t="str">
        <f aca="false">IF(G1559&gt;0,IF(INDEX(CONFIRM!$H$5:$H$53,G1559)&lt;&gt;"",INDEX(CONFIRM!$H$5:$H$53,G1559),IFERROR(INDEX(MAP!$B$7:$B$156,MATCH(TRIM(O1559),MAP!$A$7:$A$156,0)),"UNMAPPED")),IFERROR(INDEX(MAP!$B$7:$B$156,MATCH(TRIM(O1559),MAP!$A$7:$A$156,0)),"UNMAPPED"))</f>
        <v>Nurse Practitioner</v>
      </c>
      <c r="Q1559" s="48" t="n">
        <f aca="false">STACK!I1559</f>
        <v>4.75</v>
      </c>
      <c r="R1559" s="60" t="n">
        <f aca="false">IF(G1559&gt;0,IF(INDEX(CONFIRM!$F$5:$F$53,G1559)&lt;&gt;"",INDEX(CONFIRM!$F$5:$F$53,G1559),IF(ISNUMBER(Q1559),Q1559,IF(Q1559="","",IFERROR(VALUE(TRIM(SUBSTITUTE(SUBSTITUTE(LOWER(Q1559),"hrs",""),"hr",""))),"")))),IF(ISNUMBER(Q1559),Q1559,IF(Q1559="","",IFERROR(VALUE(TRIM(SUBSTITUTE(SUBSTITUTE(LOWER(Q1559),"hrs",""),"hr",""))),""))))</f>
        <v>4.75</v>
      </c>
      <c r="S1559" s="57" t="n">
        <f aca="false">IFERROR(INDEX(RATES!$E$6:$E$28,MATCH(P1559,RATES!$A$6:$A$28,0)),0)</f>
        <v>79.67</v>
      </c>
      <c r="T1559" s="61" t="n">
        <f aca="false">IF(ISNUMBER(R1559),R1559,0)*S1559</f>
        <v>378.4325</v>
      </c>
      <c r="U1559" s="61" t="n">
        <f aca="false">T1559*INDEX(INPUTS!$H$10:$H$14,MATCH(B1559,INPUTS!$A$10:$A$14,0))</f>
        <v>57.1433075</v>
      </c>
      <c r="V1559" s="61" t="n">
        <f aca="false">N(STACK!K1559)</f>
        <v>0</v>
      </c>
      <c r="W1559" s="61" t="n">
        <f aca="false">T1559+U1559+V1559</f>
        <v>435.5758075</v>
      </c>
      <c r="X1559" s="61" t="n">
        <f aca="false">N(STACK!L1559)</f>
        <v>0</v>
      </c>
      <c r="Y1559" s="61" t="n">
        <f aca="false">W1559-X1559</f>
        <v>435.5758075</v>
      </c>
      <c r="Z1559" s="1" t="n">
        <f aca="false">N(STACK!J1559)</f>
        <v>0</v>
      </c>
      <c r="AA1559" s="1" t="str">
        <f aca="false">TRIM(IF(D1559="UNMAPPED","Program not mapped. ","")&amp;IF(OR(K1559="UNMAPPED",K1559="UNASSIGNED"),"Category needs review. ","")&amp;IF(P1559="UNMAPPED","Title not mapped. ","")&amp;IF(AND(P1559&lt;&gt;"No staff time",R1559=""),"Missing hours. ","")&amp;IF(M1559="","Date not readable. ","")&amp;IF(N1559="No","Outside fiscal year. ","")&amp;IF(AND(F1559="Event",ISNUMBER(R1559)),IF(R1559&gt;12,"Event hours look high. ",""),"")&amp;IF(G1559&gt;0,"See CONFIRM sheet.",""))</f>
        <v/>
      </c>
      <c r="AB1559" s="1" t="n">
        <f aca="false">IF(N1559="No",0,IF(REVIEW!O1559=0,0,IF(G1559&gt;0,IF(INDEX(CONFIRM!$J$5:$J$53,G1559)&lt;&gt;"",INDEX(CONFIRM!$J$5:$J$53,G1559),1),1)))</f>
        <v>1</v>
      </c>
      <c r="AC1559" s="1" t="n">
        <f aca="false">IF(AB1559=1,IF(COUNTIFS($B$5:B1559,B1559,$D$5:D1559,D1559,$AB$5:AB1559,1)=1,1,0),0)</f>
        <v>0</v>
      </c>
    </row>
    <row r="1560" customFormat="false" ht="15" hidden="false" customHeight="false" outlineLevel="0" collapsed="false">
      <c r="A1560" s="48" t="str">
        <f aca="false">STACK!A1560</f>
        <v>QHH-0179</v>
      </c>
      <c r="B1560" s="48" t="str">
        <f aca="false">STACK!B1560</f>
        <v>QHH</v>
      </c>
      <c r="C1560" s="48" t="str">
        <f aca="false">STACK!E1560</f>
        <v>Sports Physicals</v>
      </c>
      <c r="D1560" s="1" t="str">
        <f aca="false">IFERROR(INDEX(MAP!$J$7:$J$101,MATCH(TRIM(C1560),MAP!$I$7:$I$101,0)),"UNMAPPED")</f>
        <v>Free Sports Physicals</v>
      </c>
      <c r="E1560" s="1" t="str">
        <f aca="false">IFERROR(INDEX(MAP!$K$7:$K$101,MATCH(TRIM(C1560),MAP!$I$7:$I$101,0)),"")</f>
        <v>Maternal and child health</v>
      </c>
      <c r="F1560" s="1" t="str">
        <f aca="false">IFERROR(INDEX(MAP!$L$7:$L$101,MATCH(TRIM(C1560),MAP!$I$7:$I$101,0)),"")</f>
        <v>Event</v>
      </c>
      <c r="G1560" s="1" t="n">
        <f aca="false">IFERROR(MATCH(A1560,CONFIRM!$A$5:$A$53,0),0)</f>
        <v>0</v>
      </c>
      <c r="H1560" s="48" t="str">
        <f aca="false">STACK!F1560</f>
        <v>CHIS - Clinical</v>
      </c>
      <c r="I1560" s="1" t="str">
        <f aca="false">IF(G1560&gt;0,IF(INDEX(CONFIRM!$I$5:$I$53,G1560)&lt;&gt;"",INDEX(CONFIRM!$I$5:$I$53,G1560),H1560),H1560)</f>
        <v>CHIS - Clinical</v>
      </c>
      <c r="J1560" s="1" t="str">
        <f aca="false">IFERROR(INDEX(MAP!$F$7:$F$74,MATCH(TRIM(I1560),MAP!$E$7:$E$74,0)),"UNMAPPED")</f>
        <v>Community-based clinical services</v>
      </c>
      <c r="K1560" s="1" t="str">
        <f aca="false">IFERROR(INDEX(MAP!$G$7:$G$74,MATCH(TRIM(I1560),MAP!$E$7:$E$74,0)),"UNMAPPED")</f>
        <v>7e</v>
      </c>
      <c r="L1560" s="49" t="str">
        <f aca="false">STACK!G1560</f>
        <v>30-Mar-2026</v>
      </c>
      <c r="M1560" s="59" t="n">
        <f aca="false">IF(G1560&gt;0,IF(INDEX(CONFIRM!$G$5:$G$53,G1560)&lt;&gt;"",INDEX(CONFIRM!$G$5:$G$53,G1560),IF(ISNUMBER(L1560),L1560,IFERROR(DATEVALUE(L1560),""))),IF(ISNUMBER(L1560),L1560,IFERROR(DATEVALUE(L1560),"")))</f>
        <v>46111</v>
      </c>
      <c r="N1560" s="1" t="str">
        <f aca="false">IF(M1560="","Check",IF(AND(M1560&gt;=INPUTS!$C$6,M1560&lt;=INPUTS!$C$7),"Yes","No"))</f>
        <v>Yes</v>
      </c>
      <c r="O1560" s="48" t="str">
        <f aca="false">STACK!H1560</f>
        <v>MD</v>
      </c>
      <c r="P1560" s="1" t="str">
        <f aca="false">IF(G1560&gt;0,IF(INDEX(CONFIRM!$H$5:$H$53,G1560)&lt;&gt;"",INDEX(CONFIRM!$H$5:$H$53,G1560),IFERROR(INDEX(MAP!$B$7:$B$156,MATCH(TRIM(O1560),MAP!$A$7:$A$156,0)),"UNMAPPED")),IFERROR(INDEX(MAP!$B$7:$B$156,MATCH(TRIM(O1560),MAP!$A$7:$A$156,0)),"UNMAPPED"))</f>
        <v>Physician</v>
      </c>
      <c r="Q1560" s="48" t="n">
        <f aca="false">STACK!I1560</f>
        <v>5</v>
      </c>
      <c r="R1560" s="60" t="n">
        <f aca="false">IF(G1560&gt;0,IF(INDEX(CONFIRM!$F$5:$F$53,G1560)&lt;&gt;"",INDEX(CONFIRM!$F$5:$F$53,G1560),IF(ISNUMBER(Q1560),Q1560,IF(Q1560="","",IFERROR(VALUE(TRIM(SUBSTITUTE(SUBSTITUTE(LOWER(Q1560),"hrs",""),"hr",""))),"")))),IF(ISNUMBER(Q1560),Q1560,IF(Q1560="","",IFERROR(VALUE(TRIM(SUBSTITUTE(SUBSTITUTE(LOWER(Q1560),"hrs",""),"hr",""))),""))))</f>
        <v>5</v>
      </c>
      <c r="S1560" s="57" t="n">
        <f aca="false">IFERROR(INDEX(RATES!$E$6:$E$28,MATCH(P1560,RATES!$A$6:$A$28,0)),0)</f>
        <v>151.63</v>
      </c>
      <c r="T1560" s="61" t="n">
        <f aca="false">IF(ISNUMBER(R1560),R1560,0)*S1560</f>
        <v>758.15</v>
      </c>
      <c r="U1560" s="61" t="n">
        <f aca="false">T1560*INDEX(INPUTS!$H$10:$H$14,MATCH(B1560,INPUTS!$A$10:$A$14,0))</f>
        <v>114.48065</v>
      </c>
      <c r="V1560" s="61" t="n">
        <f aca="false">N(STACK!K1560)</f>
        <v>455</v>
      </c>
      <c r="W1560" s="61" t="n">
        <f aca="false">T1560+U1560+V1560</f>
        <v>1327.63065</v>
      </c>
      <c r="X1560" s="61" t="n">
        <f aca="false">N(STACK!L1560)</f>
        <v>0</v>
      </c>
      <c r="Y1560" s="61" t="n">
        <f aca="false">W1560-X1560</f>
        <v>1327.63065</v>
      </c>
      <c r="Z1560" s="1" t="n">
        <f aca="false">N(STACK!J1560)</f>
        <v>52</v>
      </c>
      <c r="AA1560" s="1" t="str">
        <f aca="false">TRIM(IF(D1560="UNMAPPED","Program not mapped. ","")&amp;IF(OR(K1560="UNMAPPED",K1560="UNASSIGNED"),"Category needs review. ","")&amp;IF(P1560="UNMAPPED","Title not mapped. ","")&amp;IF(AND(P1560&lt;&gt;"No staff time",R1560=""),"Missing hours. ","")&amp;IF(M1560="","Date not readable. ","")&amp;IF(N1560="No","Outside fiscal year. ","")&amp;IF(AND(F1560="Event",ISNUMBER(R1560)),IF(R1560&gt;12,"Event hours look high. ",""),"")&amp;IF(G1560&gt;0,"See CONFIRM sheet.",""))</f>
        <v/>
      </c>
      <c r="AB1560" s="1" t="n">
        <f aca="false">IF(N1560="No",0,IF(REVIEW!O1560=0,0,IF(G1560&gt;0,IF(INDEX(CONFIRM!$J$5:$J$53,G1560)&lt;&gt;"",INDEX(CONFIRM!$J$5:$J$53,G1560),1),1)))</f>
        <v>1</v>
      </c>
      <c r="AC1560" s="1" t="n">
        <f aca="false">IF(AB1560=1,IF(COUNTIFS($B$5:B1560,B1560,$D$5:D1560,D1560,$AB$5:AB1560,1)=1,1,0),0)</f>
        <v>0</v>
      </c>
    </row>
    <row r="1561" customFormat="false" ht="15" hidden="false" customHeight="false" outlineLevel="0" collapsed="false">
      <c r="A1561" s="48" t="str">
        <f aca="false">STACK!A1561</f>
        <v>QHH-0180</v>
      </c>
      <c r="B1561" s="48" t="str">
        <f aca="false">STACK!B1561</f>
        <v>QHH</v>
      </c>
      <c r="C1561" s="48" t="str">
        <f aca="false">STACK!E1561</f>
        <v>Green Space Project</v>
      </c>
      <c r="D1561" s="1" t="str">
        <f aca="false">IFERROR(INDEX(MAP!$J$7:$J$101,MATCH(TRIM(C1561),MAP!$I$7:$I$101,0)),"UNMAPPED")</f>
        <v>Community Garden and Green Space Project</v>
      </c>
      <c r="E1561" s="1" t="str">
        <f aca="false">IFERROR(INDEX(MAP!$K$7:$K$101,MATCH(TRIM(C1561),MAP!$I$7:$I$101,0)),"")</f>
        <v>Food and housing security</v>
      </c>
      <c r="F1561" s="1" t="str">
        <f aca="false">IFERROR(INDEX(MAP!$L$7:$L$101,MATCH(TRIM(C1561),MAP!$I$7:$I$101,0)),"")</f>
        <v>Event</v>
      </c>
      <c r="G1561" s="1" t="n">
        <f aca="false">IFERROR(MATCH(A1561,CONFIRM!$A$5:$A$53,0),0)</f>
        <v>0</v>
      </c>
      <c r="H1561" s="48" t="str">
        <f aca="false">STACK!F1561</f>
        <v>Environmental (CB)</v>
      </c>
      <c r="I1561" s="1" t="str">
        <f aca="false">IF(G1561&gt;0,IF(INDEX(CONFIRM!$I$5:$I$53,G1561)&lt;&gt;"",INDEX(CONFIRM!$I$5:$I$53,G1561),H1561),H1561)</f>
        <v>Environmental (CB)</v>
      </c>
      <c r="J1561" s="1" t="str">
        <f aca="false">IFERROR(INDEX(MAP!$F$7:$F$74,MATCH(TRIM(I1561),MAP!$E$7:$E$74,0)),"UNMAPPED")</f>
        <v>Community building: environmental improvements</v>
      </c>
      <c r="K1561" s="1" t="str">
        <f aca="false">IFERROR(INDEX(MAP!$G$7:$G$74,MATCH(TRIM(I1561),MAP!$E$7:$E$74,0)),"UNMAPPED")</f>
        <v>II-4</v>
      </c>
      <c r="L1561" s="49" t="str">
        <f aca="false">STACK!G1561</f>
        <v>30-Mar-2026</v>
      </c>
      <c r="M1561" s="59" t="n">
        <f aca="false">IF(G1561&gt;0,IF(INDEX(CONFIRM!$G$5:$G$53,G1561)&lt;&gt;"",INDEX(CONFIRM!$G$5:$G$53,G1561),IF(ISNUMBER(L1561),L1561,IFERROR(DATEVALUE(L1561),""))),IF(ISNUMBER(L1561),L1561,IFERROR(DATEVALUE(L1561),"")))</f>
        <v>46111</v>
      </c>
      <c r="N1561" s="1" t="str">
        <f aca="false">IF(M1561="","Check",IF(AND(M1561&gt;=INPUTS!$C$6,M1561&lt;=INPUTS!$C$7),"Yes","No"))</f>
        <v>Yes</v>
      </c>
      <c r="O1561" s="48" t="str">
        <f aca="false">STACK!H1561</f>
        <v>Program Coordinator</v>
      </c>
      <c r="P1561" s="1" t="str">
        <f aca="false">IF(G1561&gt;0,IF(INDEX(CONFIRM!$H$5:$H$53,G1561)&lt;&gt;"",INDEX(CONFIRM!$H$5:$H$53,G1561),IFERROR(INDEX(MAP!$B$7:$B$156,MATCH(TRIM(O1561),MAP!$A$7:$A$156,0)),"UNMAPPED")),IFERROR(INDEX(MAP!$B$7:$B$156,MATCH(TRIM(O1561),MAP!$A$7:$A$156,0)),"UNMAPPED"))</f>
        <v>Program Coordinator</v>
      </c>
      <c r="Q1561" s="48" t="n">
        <f aca="false">STACK!I1561</f>
        <v>7.5</v>
      </c>
      <c r="R1561" s="60" t="n">
        <f aca="false">IF(G1561&gt;0,IF(INDEX(CONFIRM!$F$5:$F$53,G1561)&lt;&gt;"",INDEX(CONFIRM!$F$5:$F$53,G1561),IF(ISNUMBER(Q1561),Q1561,IF(Q1561="","",IFERROR(VALUE(TRIM(SUBSTITUTE(SUBSTITUTE(LOWER(Q1561),"hrs",""),"hr",""))),"")))),IF(ISNUMBER(Q1561),Q1561,IF(Q1561="","",IFERROR(VALUE(TRIM(SUBSTITUTE(SUBSTITUTE(LOWER(Q1561),"hrs",""),"hr",""))),""))))</f>
        <v>7.5</v>
      </c>
      <c r="S1561" s="57" t="n">
        <f aca="false">IFERROR(INDEX(RATES!$E$6:$E$28,MATCH(P1561,RATES!$A$6:$A$28,0)),0)</f>
        <v>35.3375</v>
      </c>
      <c r="T1561" s="61" t="n">
        <f aca="false">IF(ISNUMBER(R1561),R1561,0)*S1561</f>
        <v>265.03125</v>
      </c>
      <c r="U1561" s="61" t="n">
        <f aca="false">T1561*INDEX(INPUTS!$H$10:$H$14,MATCH(B1561,INPUTS!$A$10:$A$14,0))</f>
        <v>40.01971875</v>
      </c>
      <c r="V1561" s="61" t="n">
        <f aca="false">N(STACK!K1561)</f>
        <v>3595</v>
      </c>
      <c r="W1561" s="61" t="n">
        <f aca="false">T1561+U1561+V1561</f>
        <v>3900.05096875</v>
      </c>
      <c r="X1561" s="61" t="n">
        <f aca="false">N(STACK!L1561)</f>
        <v>0</v>
      </c>
      <c r="Y1561" s="61" t="n">
        <f aca="false">W1561-X1561</f>
        <v>3900.05096875</v>
      </c>
      <c r="Z1561" s="1" t="n">
        <f aca="false">N(STACK!J1561)</f>
        <v>60</v>
      </c>
      <c r="AA1561" s="1" t="str">
        <f aca="false">TRIM(IF(D1561="UNMAPPED","Program not mapped. ","")&amp;IF(OR(K1561="UNMAPPED",K1561="UNASSIGNED"),"Category needs review. ","")&amp;IF(P1561="UNMAPPED","Title not mapped. ","")&amp;IF(AND(P1561&lt;&gt;"No staff time",R1561=""),"Missing hours. ","")&amp;IF(M1561="","Date not readable. ","")&amp;IF(N1561="No","Outside fiscal year. ","")&amp;IF(AND(F1561="Event",ISNUMBER(R1561)),IF(R1561&gt;12,"Event hours look high. ",""),"")&amp;IF(G1561&gt;0,"See CONFIRM sheet.",""))</f>
        <v/>
      </c>
      <c r="AB1561" s="1" t="n">
        <f aca="false">IF(N1561="No",0,IF(REVIEW!O1561=0,0,IF(G1561&gt;0,IF(INDEX(CONFIRM!$J$5:$J$53,G1561)&lt;&gt;"",INDEX(CONFIRM!$J$5:$J$53,G1561),1),1)))</f>
        <v>1</v>
      </c>
      <c r="AC1561" s="1" t="n">
        <f aca="false">IF(AB1561=1,IF(COUNTIFS($B$5:B1561,B1561,$D$5:D1561,D1561,$AB$5:AB1561,1)=1,1,0),0)</f>
        <v>0</v>
      </c>
    </row>
    <row r="1562" customFormat="false" ht="15" hidden="false" customHeight="false" outlineLevel="0" collapsed="false">
      <c r="A1562" s="48" t="str">
        <f aca="false">STACK!A1562</f>
        <v>QHH-0181</v>
      </c>
      <c r="B1562" s="48" t="str">
        <f aca="false">STACK!B1562</f>
        <v>QHH</v>
      </c>
      <c r="C1562" s="48" t="str">
        <f aca="false">STACK!E1562</f>
        <v>Medication Assistance</v>
      </c>
      <c r="D1562" s="1" t="str">
        <f aca="false">IFERROR(INDEX(MAP!$J$7:$J$101,MATCH(TRIM(C1562),MAP!$I$7:$I$101,0)),"UNMAPPED")</f>
        <v>Medication Assistance Program</v>
      </c>
      <c r="E1562" s="1" t="str">
        <f aca="false">IFERROR(INDEX(MAP!$K$7:$K$101,MATCH(TRIM(C1562),MAP!$I$7:$I$101,0)),"")</f>
        <v>Access to care</v>
      </c>
      <c r="F1562" s="1" t="str">
        <f aca="false">IFERROR(INDEX(MAP!$L$7:$L$101,MATCH(TRIM(C1562),MAP!$I$7:$I$101,0)),"")</f>
        <v>Monthly</v>
      </c>
      <c r="G1562" s="1" t="n">
        <f aca="false">IFERROR(MATCH(A1562,CONFIRM!$A$5:$A$53,0),0)</f>
        <v>0</v>
      </c>
      <c r="H1562" s="48" t="str">
        <f aca="false">STACK!F1562</f>
        <v>CHIS - Support</v>
      </c>
      <c r="I1562" s="1" t="str">
        <f aca="false">IF(G1562&gt;0,IF(INDEX(CONFIRM!$I$5:$I$53,G1562)&lt;&gt;"",INDEX(CONFIRM!$I$5:$I$53,G1562),H1562),H1562)</f>
        <v>CHIS - Support</v>
      </c>
      <c r="J1562" s="1" t="str">
        <f aca="false">IFERROR(INDEX(MAP!$F$7:$F$74,MATCH(TRIM(I1562),MAP!$E$7:$E$74,0)),"UNMAPPED")</f>
        <v>Health care support services</v>
      </c>
      <c r="K1562" s="1" t="str">
        <f aca="false">IFERROR(INDEX(MAP!$G$7:$G$74,MATCH(TRIM(I1562),MAP!$E$7:$E$74,0)),"UNMAPPED")</f>
        <v>7e</v>
      </c>
      <c r="L1562" s="49" t="str">
        <f aca="false">STACK!G1562</f>
        <v>31-Mar-2026</v>
      </c>
      <c r="M1562" s="59" t="n">
        <f aca="false">IF(G1562&gt;0,IF(INDEX(CONFIRM!$G$5:$G$53,G1562)&lt;&gt;"",INDEX(CONFIRM!$G$5:$G$53,G1562),IF(ISNUMBER(L1562),L1562,IFERROR(DATEVALUE(L1562),""))),IF(ISNUMBER(L1562),L1562,IFERROR(DATEVALUE(L1562),"")))</f>
        <v>46112</v>
      </c>
      <c r="N1562" s="1" t="str">
        <f aca="false">IF(M1562="","Check",IF(AND(M1562&gt;=INPUTS!$C$6,M1562&lt;=INPUTS!$C$7),"Yes","No"))</f>
        <v>Yes</v>
      </c>
      <c r="O1562" s="48" t="str">
        <f aca="false">STACK!H1562</f>
        <v>Patient Navigator</v>
      </c>
      <c r="P1562" s="1" t="str">
        <f aca="false">IF(G1562&gt;0,IF(INDEX(CONFIRM!$H$5:$H$53,G1562)&lt;&gt;"",INDEX(CONFIRM!$H$5:$H$53,G1562),IFERROR(INDEX(MAP!$B$7:$B$156,MATCH(TRIM(O1562),MAP!$A$7:$A$156,0)),"UNMAPPED")),IFERROR(INDEX(MAP!$B$7:$B$156,MATCH(TRIM(O1562),MAP!$A$7:$A$156,0)),"UNMAPPED"))</f>
        <v>Patient Navigator</v>
      </c>
      <c r="Q1562" s="48" t="n">
        <f aca="false">STACK!I1562</f>
        <v>53.5</v>
      </c>
      <c r="R1562" s="60" t="n">
        <f aca="false">IF(G1562&gt;0,IF(INDEX(CONFIRM!$F$5:$F$53,G1562)&lt;&gt;"",INDEX(CONFIRM!$F$5:$F$53,G1562),IF(ISNUMBER(Q1562),Q1562,IF(Q1562="","",IFERROR(VALUE(TRIM(SUBSTITUTE(SUBSTITUTE(LOWER(Q1562),"hrs",""),"hr",""))),"")))),IF(ISNUMBER(Q1562),Q1562,IF(Q1562="","",IFERROR(VALUE(TRIM(SUBSTITUTE(SUBSTITUTE(LOWER(Q1562),"hrs",""),"hr",""))),""))))</f>
        <v>53.5</v>
      </c>
      <c r="S1562" s="57" t="n">
        <f aca="false">IFERROR(INDEX(RATES!$E$6:$E$28,MATCH(P1562,RATES!$A$6:$A$28,0)),0)</f>
        <v>30.84</v>
      </c>
      <c r="T1562" s="61" t="n">
        <f aca="false">IF(ISNUMBER(R1562),R1562,0)*S1562</f>
        <v>1649.94</v>
      </c>
      <c r="U1562" s="61" t="n">
        <f aca="false">T1562*INDEX(INPUTS!$H$10:$H$14,MATCH(B1562,INPUTS!$A$10:$A$14,0))</f>
        <v>249.14094</v>
      </c>
      <c r="V1562" s="61" t="n">
        <f aca="false">N(STACK!K1562)</f>
        <v>0</v>
      </c>
      <c r="W1562" s="61" t="n">
        <f aca="false">T1562+U1562+V1562</f>
        <v>1899.08094</v>
      </c>
      <c r="X1562" s="61" t="n">
        <f aca="false">N(STACK!L1562)</f>
        <v>0</v>
      </c>
      <c r="Y1562" s="61" t="n">
        <f aca="false">W1562-X1562</f>
        <v>1899.08094</v>
      </c>
      <c r="Z1562" s="1" t="n">
        <f aca="false">N(STACK!J1562)</f>
        <v>0</v>
      </c>
      <c r="AA1562" s="1" t="str">
        <f aca="false">TRIM(IF(D1562="UNMAPPED","Program not mapped. ","")&amp;IF(OR(K1562="UNMAPPED",K1562="UNASSIGNED"),"Category needs review. ","")&amp;IF(P1562="UNMAPPED","Title not mapped. ","")&amp;IF(AND(P1562&lt;&gt;"No staff time",R1562=""),"Missing hours. ","")&amp;IF(M1562="","Date not readable. ","")&amp;IF(N1562="No","Outside fiscal year. ","")&amp;IF(AND(F1562="Event",ISNUMBER(R1562)),IF(R1562&gt;12,"Event hours look high. ",""),"")&amp;IF(G1562&gt;0,"See CONFIRM sheet.",""))</f>
        <v/>
      </c>
      <c r="AB1562" s="1" t="n">
        <f aca="false">IF(N1562="No",0,IF(REVIEW!O1562=0,0,IF(G1562&gt;0,IF(INDEX(CONFIRM!$J$5:$J$53,G1562)&lt;&gt;"",INDEX(CONFIRM!$J$5:$J$53,G1562),1),1)))</f>
        <v>1</v>
      </c>
      <c r="AC1562" s="1" t="n">
        <f aca="false">IF(AB1562=1,IF(COUNTIFS($B$5:B1562,B1562,$D$5:D1562,D1562,$AB$5:AB1562,1)=1,1,0),0)</f>
        <v>0</v>
      </c>
    </row>
    <row r="1563" customFormat="false" ht="15" hidden="false" customHeight="false" outlineLevel="0" collapsed="false">
      <c r="A1563" s="48" t="str">
        <f aca="false">STACK!A1563</f>
        <v>QHH-0182</v>
      </c>
      <c r="B1563" s="48" t="str">
        <f aca="false">STACK!B1563</f>
        <v>QHH</v>
      </c>
      <c r="C1563" s="48" t="str">
        <f aca="false">STACK!E1563</f>
        <v>Medication Assistance</v>
      </c>
      <c r="D1563" s="1" t="str">
        <f aca="false">IFERROR(INDEX(MAP!$J$7:$J$101,MATCH(TRIM(C1563),MAP!$I$7:$I$101,0)),"UNMAPPED")</f>
        <v>Medication Assistance Program</v>
      </c>
      <c r="E1563" s="1" t="str">
        <f aca="false">IFERROR(INDEX(MAP!$K$7:$K$101,MATCH(TRIM(C1563),MAP!$I$7:$I$101,0)),"")</f>
        <v>Access to care</v>
      </c>
      <c r="F1563" s="1" t="str">
        <f aca="false">IFERROR(INDEX(MAP!$L$7:$L$101,MATCH(TRIM(C1563),MAP!$I$7:$I$101,0)),"")</f>
        <v>Monthly</v>
      </c>
      <c r="G1563" s="1" t="n">
        <f aca="false">IFERROR(MATCH(A1563,CONFIRM!$A$5:$A$53,0),0)</f>
        <v>0</v>
      </c>
      <c r="H1563" s="48" t="str">
        <f aca="false">STACK!F1563</f>
        <v>CHIS - Support</v>
      </c>
      <c r="I1563" s="1" t="str">
        <f aca="false">IF(G1563&gt;0,IF(INDEX(CONFIRM!$I$5:$I$53,G1563)&lt;&gt;"",INDEX(CONFIRM!$I$5:$I$53,G1563),H1563),H1563)</f>
        <v>CHIS - Support</v>
      </c>
      <c r="J1563" s="1" t="str">
        <f aca="false">IFERROR(INDEX(MAP!$F$7:$F$74,MATCH(TRIM(I1563),MAP!$E$7:$E$74,0)),"UNMAPPED")</f>
        <v>Health care support services</v>
      </c>
      <c r="K1563" s="1" t="str">
        <f aca="false">IFERROR(INDEX(MAP!$G$7:$G$74,MATCH(TRIM(I1563),MAP!$E$7:$E$74,0)),"UNMAPPED")</f>
        <v>7e</v>
      </c>
      <c r="L1563" s="49" t="str">
        <f aca="false">STACK!G1563</f>
        <v>31-Mar-2026</v>
      </c>
      <c r="M1563" s="59" t="n">
        <f aca="false">IF(G1563&gt;0,IF(INDEX(CONFIRM!$G$5:$G$53,G1563)&lt;&gt;"",INDEX(CONFIRM!$G$5:$G$53,G1563),IF(ISNUMBER(L1563),L1563,IFERROR(DATEVALUE(L1563),""))),IF(ISNUMBER(L1563),L1563,IFERROR(DATEVALUE(L1563),"")))</f>
        <v>46112</v>
      </c>
      <c r="N1563" s="1" t="str">
        <f aca="false">IF(M1563="","Check",IF(AND(M1563&gt;=INPUTS!$C$6,M1563&lt;=INPUTS!$C$7),"Yes","No"))</f>
        <v>Yes</v>
      </c>
      <c r="O1563" s="48" t="str">
        <f aca="false">STACK!H1563</f>
        <v>RPh</v>
      </c>
      <c r="P1563" s="1" t="str">
        <f aca="false">IF(G1563&gt;0,IF(INDEX(CONFIRM!$H$5:$H$53,G1563)&lt;&gt;"",INDEX(CONFIRM!$H$5:$H$53,G1563),IFERROR(INDEX(MAP!$B$7:$B$156,MATCH(TRIM(O1563),MAP!$A$7:$A$156,0)),"UNMAPPED")),IFERROR(INDEX(MAP!$B$7:$B$156,MATCH(TRIM(O1563),MAP!$A$7:$A$156,0)),"UNMAPPED"))</f>
        <v>Pharmacist</v>
      </c>
      <c r="Q1563" s="48" t="n">
        <f aca="false">STACK!I1563</f>
        <v>20.5</v>
      </c>
      <c r="R1563" s="60" t="n">
        <f aca="false">IF(G1563&gt;0,IF(INDEX(CONFIRM!$F$5:$F$53,G1563)&lt;&gt;"",INDEX(CONFIRM!$F$5:$F$53,G1563),IF(ISNUMBER(Q1563),Q1563,IF(Q1563="","",IFERROR(VALUE(TRIM(SUBSTITUTE(SUBSTITUTE(LOWER(Q1563),"hrs",""),"hr",""))),"")))),IF(ISNUMBER(Q1563),Q1563,IF(Q1563="","",IFERROR(VALUE(TRIM(SUBSTITUTE(SUBSTITUTE(LOWER(Q1563),"hrs",""),"hr",""))),""))))</f>
        <v>20.5</v>
      </c>
      <c r="S1563" s="57" t="n">
        <f aca="false">IFERROR(INDEX(RATES!$E$6:$E$28,MATCH(P1563,RATES!$A$6:$A$28,0)),0)</f>
        <v>84.81</v>
      </c>
      <c r="T1563" s="61" t="n">
        <f aca="false">IF(ISNUMBER(R1563),R1563,0)*S1563</f>
        <v>1738.605</v>
      </c>
      <c r="U1563" s="61" t="n">
        <f aca="false">T1563*INDEX(INPUTS!$H$10:$H$14,MATCH(B1563,INPUTS!$A$10:$A$14,0))</f>
        <v>262.529355</v>
      </c>
      <c r="V1563" s="61" t="n">
        <f aca="false">N(STACK!K1563)</f>
        <v>17820</v>
      </c>
      <c r="W1563" s="61" t="n">
        <f aca="false">T1563+U1563+V1563</f>
        <v>19821.134355</v>
      </c>
      <c r="X1563" s="61" t="n">
        <f aca="false">N(STACK!L1563)</f>
        <v>0</v>
      </c>
      <c r="Y1563" s="61" t="n">
        <f aca="false">W1563-X1563</f>
        <v>19821.134355</v>
      </c>
      <c r="Z1563" s="1" t="n">
        <f aca="false">N(STACK!J1563)</f>
        <v>86</v>
      </c>
      <c r="AA1563" s="1" t="str">
        <f aca="false">TRIM(IF(D1563="UNMAPPED","Program not mapped. ","")&amp;IF(OR(K1563="UNMAPPED",K1563="UNASSIGNED"),"Category needs review. ","")&amp;IF(P1563="UNMAPPED","Title not mapped. ","")&amp;IF(AND(P1563&lt;&gt;"No staff time",R1563=""),"Missing hours. ","")&amp;IF(M1563="","Date not readable. ","")&amp;IF(N1563="No","Outside fiscal year. ","")&amp;IF(AND(F1563="Event",ISNUMBER(R1563)),IF(R1563&gt;12,"Event hours look high. ",""),"")&amp;IF(G1563&gt;0,"See CONFIRM sheet.",""))</f>
        <v/>
      </c>
      <c r="AB1563" s="1" t="n">
        <f aca="false">IF(N1563="No",0,IF(REVIEW!O1563=0,0,IF(G1563&gt;0,IF(INDEX(CONFIRM!$J$5:$J$53,G1563)&lt;&gt;"",INDEX(CONFIRM!$J$5:$J$53,G1563),1),1)))</f>
        <v>1</v>
      </c>
      <c r="AC1563" s="1" t="n">
        <f aca="false">IF(AB1563=1,IF(COUNTIFS($B$5:B1563,B1563,$D$5:D1563,D1563,$AB$5:AB1563,1)=1,1,0),0)</f>
        <v>0</v>
      </c>
    </row>
    <row r="1564" customFormat="false" ht="15" hidden="false" customHeight="false" outlineLevel="0" collapsed="false">
      <c r="A1564" s="48" t="str">
        <f aca="false">STACK!A1564</f>
        <v>QHH-0183</v>
      </c>
      <c r="B1564" s="48" t="str">
        <f aca="false">STACK!B1564</f>
        <v>QHH</v>
      </c>
      <c r="C1564" s="48" t="str">
        <f aca="false">STACK!E1564</f>
        <v>Community Benefit Admin.</v>
      </c>
      <c r="D1564" s="1" t="str">
        <f aca="false">IFERROR(INDEX(MAP!$J$7:$J$101,MATCH(TRIM(C1564),MAP!$I$7:$I$101,0)),"UNMAPPED")</f>
        <v>Community Benefit Program Administration</v>
      </c>
      <c r="E1564" s="1" t="str">
        <f aca="false">IFERROR(INDEX(MAP!$K$7:$K$101,MATCH(TRIM(C1564),MAP!$I$7:$I$101,0)),"")</f>
        <v>Community benefit infrastructure</v>
      </c>
      <c r="F1564" s="1" t="str">
        <f aca="false">IFERROR(INDEX(MAP!$L$7:$L$101,MATCH(TRIM(C1564),MAP!$I$7:$I$101,0)),"")</f>
        <v>Monthly</v>
      </c>
      <c r="G1564" s="1" t="n">
        <f aca="false">IFERROR(MATCH(A1564,CONFIRM!$A$5:$A$53,0),0)</f>
        <v>0</v>
      </c>
      <c r="H1564" s="48" t="str">
        <f aca="false">STACK!F1564</f>
        <v>CBO</v>
      </c>
      <c r="I1564" s="1" t="str">
        <f aca="false">IF(G1564&gt;0,IF(INDEX(CONFIRM!$I$5:$I$53,G1564)&lt;&gt;"",INDEX(CONFIRM!$I$5:$I$53,G1564),H1564),H1564)</f>
        <v>CBO</v>
      </c>
      <c r="J1564" s="1" t="str">
        <f aca="false">IFERROR(INDEX(MAP!$F$7:$F$74,MATCH(TRIM(I1564),MAP!$E$7:$E$74,0)),"UNMAPPED")</f>
        <v>Community benefit operations</v>
      </c>
      <c r="K1564" s="1" t="str">
        <f aca="false">IFERROR(INDEX(MAP!$G$7:$G$74,MATCH(TRIM(I1564),MAP!$E$7:$E$74,0)),"UNMAPPED")</f>
        <v>7e</v>
      </c>
      <c r="L1564" s="49" t="str">
        <f aca="false">STACK!G1564</f>
        <v>31-Mar-2026</v>
      </c>
      <c r="M1564" s="59" t="n">
        <f aca="false">IF(G1564&gt;0,IF(INDEX(CONFIRM!$G$5:$G$53,G1564)&lt;&gt;"",INDEX(CONFIRM!$G$5:$G$53,G1564),IF(ISNUMBER(L1564),L1564,IFERROR(DATEVALUE(L1564),""))),IF(ISNUMBER(L1564),L1564,IFERROR(DATEVALUE(L1564),"")))</f>
        <v>46112</v>
      </c>
      <c r="N1564" s="1" t="str">
        <f aca="false">IF(M1564="","Check",IF(AND(M1564&gt;=INPUTS!$C$6,M1564&lt;=INPUTS!$C$7),"Yes","No"))</f>
        <v>Yes</v>
      </c>
      <c r="O1564" s="48" t="str">
        <f aca="false">STACK!H1564</f>
        <v>Admin Support</v>
      </c>
      <c r="P1564" s="1" t="str">
        <f aca="false">IF(G1564&gt;0,IF(INDEX(CONFIRM!$H$5:$H$53,G1564)&lt;&gt;"",INDEX(CONFIRM!$H$5:$H$53,G1564),IFERROR(INDEX(MAP!$B$7:$B$156,MATCH(TRIM(O1564),MAP!$A$7:$A$156,0)),"UNMAPPED")),IFERROR(INDEX(MAP!$B$7:$B$156,MATCH(TRIM(O1564),MAP!$A$7:$A$156,0)),"UNMAPPED"))</f>
        <v>Administrative Assistant</v>
      </c>
      <c r="Q1564" s="48" t="n">
        <f aca="false">STACK!I1564</f>
        <v>35</v>
      </c>
      <c r="R1564" s="60" t="n">
        <f aca="false">IF(G1564&gt;0,IF(INDEX(CONFIRM!$F$5:$F$53,G1564)&lt;&gt;"",INDEX(CONFIRM!$F$5:$F$53,G1564),IF(ISNUMBER(Q1564),Q1564,IF(Q1564="","",IFERROR(VALUE(TRIM(SUBSTITUTE(SUBSTITUTE(LOWER(Q1564),"hrs",""),"hr",""))),"")))),IF(ISNUMBER(Q1564),Q1564,IF(Q1564="","",IFERROR(VALUE(TRIM(SUBSTITUTE(SUBSTITUTE(LOWER(Q1564),"hrs",""),"hr",""))),""))))</f>
        <v>35</v>
      </c>
      <c r="S1564" s="57" t="n">
        <f aca="false">IFERROR(INDEX(RATES!$E$6:$E$28,MATCH(P1564,RATES!$A$6:$A$28,0)),0)</f>
        <v>26.985</v>
      </c>
      <c r="T1564" s="61" t="n">
        <f aca="false">IF(ISNUMBER(R1564),R1564,0)*S1564</f>
        <v>944.475</v>
      </c>
      <c r="U1564" s="61" t="n">
        <f aca="false">T1564*INDEX(INPUTS!$H$10:$H$14,MATCH(B1564,INPUTS!$A$10:$A$14,0))</f>
        <v>142.615725</v>
      </c>
      <c r="V1564" s="61" t="n">
        <f aca="false">N(STACK!K1564)</f>
        <v>0</v>
      </c>
      <c r="W1564" s="61" t="n">
        <f aca="false">T1564+U1564+V1564</f>
        <v>1087.090725</v>
      </c>
      <c r="X1564" s="61" t="n">
        <f aca="false">N(STACK!L1564)</f>
        <v>0</v>
      </c>
      <c r="Y1564" s="61" t="n">
        <f aca="false">W1564-X1564</f>
        <v>1087.090725</v>
      </c>
      <c r="Z1564" s="1" t="n">
        <f aca="false">N(STACK!J1564)</f>
        <v>0</v>
      </c>
      <c r="AA1564" s="1" t="str">
        <f aca="false">TRIM(IF(D1564="UNMAPPED","Program not mapped. ","")&amp;IF(OR(K1564="UNMAPPED",K1564="UNASSIGNED"),"Category needs review. ","")&amp;IF(P1564="UNMAPPED","Title not mapped. ","")&amp;IF(AND(P1564&lt;&gt;"No staff time",R1564=""),"Missing hours. ","")&amp;IF(M1564="","Date not readable. ","")&amp;IF(N1564="No","Outside fiscal year. ","")&amp;IF(AND(F1564="Event",ISNUMBER(R1564)),IF(R1564&gt;12,"Event hours look high. ",""),"")&amp;IF(G1564&gt;0,"See CONFIRM sheet.",""))</f>
        <v/>
      </c>
      <c r="AB1564" s="1" t="n">
        <f aca="false">IF(N1564="No",0,IF(REVIEW!O1564=0,0,IF(G1564&gt;0,IF(INDEX(CONFIRM!$J$5:$J$53,G1564)&lt;&gt;"",INDEX(CONFIRM!$J$5:$J$53,G1564),1),1)))</f>
        <v>1</v>
      </c>
      <c r="AC1564" s="1" t="n">
        <f aca="false">IF(AB1564=1,IF(COUNTIFS($B$5:B1564,B1564,$D$5:D1564,D1564,$AB$5:AB1564,1)=1,1,0),0)</f>
        <v>0</v>
      </c>
    </row>
    <row r="1565" customFormat="false" ht="15" hidden="false" customHeight="false" outlineLevel="0" collapsed="false">
      <c r="A1565" s="48" t="str">
        <f aca="false">STACK!A1565</f>
        <v>QHH-0184</v>
      </c>
      <c r="B1565" s="48" t="str">
        <f aca="false">STACK!B1565</f>
        <v>QHH</v>
      </c>
      <c r="C1565" s="48" t="str">
        <f aca="false">STACK!E1565</f>
        <v>Community Benefit Admin.</v>
      </c>
      <c r="D1565" s="1" t="str">
        <f aca="false">IFERROR(INDEX(MAP!$J$7:$J$101,MATCH(TRIM(C1565),MAP!$I$7:$I$101,0)),"UNMAPPED")</f>
        <v>Community Benefit Program Administration</v>
      </c>
      <c r="E1565" s="1" t="str">
        <f aca="false">IFERROR(INDEX(MAP!$K$7:$K$101,MATCH(TRIM(C1565),MAP!$I$7:$I$101,0)),"")</f>
        <v>Community benefit infrastructure</v>
      </c>
      <c r="F1565" s="1" t="str">
        <f aca="false">IFERROR(INDEX(MAP!$L$7:$L$101,MATCH(TRIM(C1565),MAP!$I$7:$I$101,0)),"")</f>
        <v>Monthly</v>
      </c>
      <c r="G1565" s="1" t="n">
        <f aca="false">IFERROR(MATCH(A1565,CONFIRM!$A$5:$A$53,0),0)</f>
        <v>0</v>
      </c>
      <c r="H1565" s="48" t="str">
        <f aca="false">STACK!F1565</f>
        <v>CBO</v>
      </c>
      <c r="I1565" s="1" t="str">
        <f aca="false">IF(G1565&gt;0,IF(INDEX(CONFIRM!$I$5:$I$53,G1565)&lt;&gt;"",INDEX(CONFIRM!$I$5:$I$53,G1565),H1565),H1565)</f>
        <v>CBO</v>
      </c>
      <c r="J1565" s="1" t="str">
        <f aca="false">IFERROR(INDEX(MAP!$F$7:$F$74,MATCH(TRIM(I1565),MAP!$E$7:$E$74,0)),"UNMAPPED")</f>
        <v>Community benefit operations</v>
      </c>
      <c r="K1565" s="1" t="str">
        <f aca="false">IFERROR(INDEX(MAP!$G$7:$G$74,MATCH(TRIM(I1565),MAP!$E$7:$E$74,0)),"UNMAPPED")</f>
        <v>7e</v>
      </c>
      <c r="L1565" s="49" t="str">
        <f aca="false">STACK!G1565</f>
        <v>31-Mar-2026</v>
      </c>
      <c r="M1565" s="59" t="n">
        <f aca="false">IF(G1565&gt;0,IF(INDEX(CONFIRM!$G$5:$G$53,G1565)&lt;&gt;"",INDEX(CONFIRM!$G$5:$G$53,G1565),IF(ISNUMBER(L1565),L1565,IFERROR(DATEVALUE(L1565),""))),IF(ISNUMBER(L1565),L1565,IFERROR(DATEVALUE(L1565),"")))</f>
        <v>46112</v>
      </c>
      <c r="N1565" s="1" t="str">
        <f aca="false">IF(M1565="","Check",IF(AND(M1565&gt;=INPUTS!$C$6,M1565&lt;=INPUTS!$C$7),"Yes","No"))</f>
        <v>Yes</v>
      </c>
      <c r="O1565" s="48" t="str">
        <f aca="false">STACK!H1565</f>
        <v>Manager Community Benefit</v>
      </c>
      <c r="P1565" s="1" t="str">
        <f aca="false">IF(G1565&gt;0,IF(INDEX(CONFIRM!$H$5:$H$53,G1565)&lt;&gt;"",INDEX(CONFIRM!$H$5:$H$53,G1565),IFERROR(INDEX(MAP!$B$7:$B$156,MATCH(TRIM(O1565),MAP!$A$7:$A$156,0)),"UNMAPPED")),IFERROR(INDEX(MAP!$B$7:$B$156,MATCH(TRIM(O1565),MAP!$A$7:$A$156,0)),"UNMAPPED"))</f>
        <v>Community Benefit Manager</v>
      </c>
      <c r="Q1565" s="48" t="n">
        <f aca="false">STACK!I1565</f>
        <v>64.5</v>
      </c>
      <c r="R1565" s="60" t="n">
        <f aca="false">IF(G1565&gt;0,IF(INDEX(CONFIRM!$F$5:$F$53,G1565)&lt;&gt;"",INDEX(CONFIRM!$F$5:$F$53,G1565),IF(ISNUMBER(Q1565),Q1565,IF(Q1565="","",IFERROR(VALUE(TRIM(SUBSTITUTE(SUBSTITUTE(LOWER(Q1565),"hrs",""),"hr",""))),"")))),IF(ISNUMBER(Q1565),Q1565,IF(Q1565="","",IFERROR(VALUE(TRIM(SUBSTITUTE(SUBSTITUTE(LOWER(Q1565),"hrs",""),"hr",""))),""))))</f>
        <v>64.5</v>
      </c>
      <c r="S1565" s="57" t="n">
        <f aca="false">IFERROR(INDEX(RATES!$E$6:$E$28,MATCH(P1565,RATES!$A$6:$A$28,0)),0)</f>
        <v>59.11</v>
      </c>
      <c r="T1565" s="61" t="n">
        <f aca="false">IF(ISNUMBER(R1565),R1565,0)*S1565</f>
        <v>3812.595</v>
      </c>
      <c r="U1565" s="61" t="n">
        <f aca="false">T1565*INDEX(INPUTS!$H$10:$H$14,MATCH(B1565,INPUTS!$A$10:$A$14,0))</f>
        <v>575.701845</v>
      </c>
      <c r="V1565" s="61" t="n">
        <f aca="false">N(STACK!K1565)</f>
        <v>710</v>
      </c>
      <c r="W1565" s="61" t="n">
        <f aca="false">T1565+U1565+V1565</f>
        <v>5098.296845</v>
      </c>
      <c r="X1565" s="61" t="n">
        <f aca="false">N(STACK!L1565)</f>
        <v>0</v>
      </c>
      <c r="Y1565" s="61" t="n">
        <f aca="false">W1565-X1565</f>
        <v>5098.296845</v>
      </c>
      <c r="Z1565" s="1" t="n">
        <f aca="false">N(STACK!J1565)</f>
        <v>0</v>
      </c>
      <c r="AA1565" s="1" t="str">
        <f aca="false">TRIM(IF(D1565="UNMAPPED","Program not mapped. ","")&amp;IF(OR(K1565="UNMAPPED",K1565="UNASSIGNED"),"Category needs review. ","")&amp;IF(P1565="UNMAPPED","Title not mapped. ","")&amp;IF(AND(P1565&lt;&gt;"No staff time",R1565=""),"Missing hours. ","")&amp;IF(M1565="","Date not readable. ","")&amp;IF(N1565="No","Outside fiscal year. ","")&amp;IF(AND(F1565="Event",ISNUMBER(R1565)),IF(R1565&gt;12,"Event hours look high. ",""),"")&amp;IF(G1565&gt;0,"See CONFIRM sheet.",""))</f>
        <v/>
      </c>
      <c r="AB1565" s="1" t="n">
        <f aca="false">IF(N1565="No",0,IF(REVIEW!O1565=0,0,IF(G1565&gt;0,IF(INDEX(CONFIRM!$J$5:$J$53,G1565)&lt;&gt;"",INDEX(CONFIRM!$J$5:$J$53,G1565),1),1)))</f>
        <v>1</v>
      </c>
      <c r="AC1565" s="1" t="n">
        <f aca="false">IF(AB1565=1,IF(COUNTIFS($B$5:B1565,B1565,$D$5:D1565,D1565,$AB$5:AB1565,1)=1,1,0),0)</f>
        <v>0</v>
      </c>
    </row>
    <row r="1566" customFormat="false" ht="15" hidden="false" customHeight="false" outlineLevel="0" collapsed="false">
      <c r="A1566" s="48" t="str">
        <f aca="false">STACK!A1566</f>
        <v>QHH-0185</v>
      </c>
      <c r="B1566" s="48" t="str">
        <f aca="false">STACK!B1566</f>
        <v>QHH</v>
      </c>
      <c r="C1566" s="48" t="str">
        <f aca="false">STACK!E1566</f>
        <v>Community Paramedicine</v>
      </c>
      <c r="D1566" s="1" t="str">
        <f aca="false">IFERROR(INDEX(MAP!$J$7:$J$101,MATCH(TRIM(C1566),MAP!$I$7:$I$101,0)),"UNMAPPED")</f>
        <v>Community Paramedic Home Visits</v>
      </c>
      <c r="E1566" s="1" t="str">
        <f aca="false">IFERROR(INDEX(MAP!$K$7:$K$101,MATCH(TRIM(C1566),MAP!$I$7:$I$101,0)),"")</f>
        <v>Access to care</v>
      </c>
      <c r="F1566" s="1" t="str">
        <f aca="false">IFERROR(INDEX(MAP!$L$7:$L$101,MATCH(TRIM(C1566),MAP!$I$7:$I$101,0)),"")</f>
        <v>Monthly</v>
      </c>
      <c r="G1566" s="1" t="n">
        <f aca="false">IFERROR(MATCH(A1566,CONFIRM!$A$5:$A$53,0),0)</f>
        <v>0</v>
      </c>
      <c r="H1566" s="48" t="str">
        <f aca="false">STACK!F1566</f>
        <v>CHIS - Clinical</v>
      </c>
      <c r="I1566" s="1" t="str">
        <f aca="false">IF(G1566&gt;0,IF(INDEX(CONFIRM!$I$5:$I$53,G1566)&lt;&gt;"",INDEX(CONFIRM!$I$5:$I$53,G1566),H1566),H1566)</f>
        <v>CHIS - Clinical</v>
      </c>
      <c r="J1566" s="1" t="str">
        <f aca="false">IFERROR(INDEX(MAP!$F$7:$F$74,MATCH(TRIM(I1566),MAP!$E$7:$E$74,0)),"UNMAPPED")</f>
        <v>Community-based clinical services</v>
      </c>
      <c r="K1566" s="1" t="str">
        <f aca="false">IFERROR(INDEX(MAP!$G$7:$G$74,MATCH(TRIM(I1566),MAP!$E$7:$E$74,0)),"UNMAPPED")</f>
        <v>7e</v>
      </c>
      <c r="L1566" s="49" t="str">
        <f aca="false">STACK!G1566</f>
        <v>31-Mar-2026</v>
      </c>
      <c r="M1566" s="59" t="n">
        <f aca="false">IF(G1566&gt;0,IF(INDEX(CONFIRM!$G$5:$G$53,G1566)&lt;&gt;"",INDEX(CONFIRM!$G$5:$G$53,G1566),IF(ISNUMBER(L1566),L1566,IFERROR(DATEVALUE(L1566),""))),IF(ISNUMBER(L1566),L1566,IFERROR(DATEVALUE(L1566),"")))</f>
        <v>46112</v>
      </c>
      <c r="N1566" s="1" t="str">
        <f aca="false">IF(M1566="","Check",IF(AND(M1566&gt;=INPUTS!$C$6,M1566&lt;=INPUTS!$C$7),"Yes","No"))</f>
        <v>Yes</v>
      </c>
      <c r="O1566" s="48" t="str">
        <f aca="false">STACK!H1566</f>
        <v>EMS Paramedic</v>
      </c>
      <c r="P1566" s="1" t="str">
        <f aca="false">IF(G1566&gt;0,IF(INDEX(CONFIRM!$H$5:$H$53,G1566)&lt;&gt;"",INDEX(CONFIRM!$H$5:$H$53,G1566),IFERROR(INDEX(MAP!$B$7:$B$156,MATCH(TRIM(O1566),MAP!$A$7:$A$156,0)),"UNMAPPED")),IFERROR(INDEX(MAP!$B$7:$B$156,MATCH(TRIM(O1566),MAP!$A$7:$A$156,0)),"UNMAPPED"))</f>
        <v>Paramedic</v>
      </c>
      <c r="Q1566" s="48" t="n">
        <f aca="false">STACK!I1566</f>
        <v>91.25</v>
      </c>
      <c r="R1566" s="60" t="n">
        <f aca="false">IF(G1566&gt;0,IF(INDEX(CONFIRM!$F$5:$F$53,G1566)&lt;&gt;"",INDEX(CONFIRM!$F$5:$F$53,G1566),IF(ISNUMBER(Q1566),Q1566,IF(Q1566="","",IFERROR(VALUE(TRIM(SUBSTITUTE(SUBSTITUTE(LOWER(Q1566),"hrs",""),"hr",""))),"")))),IF(ISNUMBER(Q1566),Q1566,IF(Q1566="","",IFERROR(VALUE(TRIM(SUBSTITUTE(SUBSTITUTE(LOWER(Q1566),"hrs",""),"hr",""))),""))))</f>
        <v>91.25</v>
      </c>
      <c r="S1566" s="57" t="n">
        <f aca="false">IFERROR(INDEX(RATES!$E$6:$E$28,MATCH(P1566,RATES!$A$6:$A$28,0)),0)</f>
        <v>34.695</v>
      </c>
      <c r="T1566" s="61" t="n">
        <f aca="false">IF(ISNUMBER(R1566),R1566,0)*S1566</f>
        <v>3165.91875</v>
      </c>
      <c r="U1566" s="61" t="n">
        <f aca="false">T1566*INDEX(INPUTS!$H$10:$H$14,MATCH(B1566,INPUTS!$A$10:$A$14,0))</f>
        <v>478.05373125</v>
      </c>
      <c r="V1566" s="61" t="n">
        <f aca="false">N(STACK!K1566)</f>
        <v>795</v>
      </c>
      <c r="W1566" s="61" t="n">
        <f aca="false">T1566+U1566+V1566</f>
        <v>4438.97248125</v>
      </c>
      <c r="X1566" s="61" t="n">
        <f aca="false">N(STACK!L1566)</f>
        <v>0</v>
      </c>
      <c r="Y1566" s="61" t="n">
        <f aca="false">W1566-X1566</f>
        <v>4438.97248125</v>
      </c>
      <c r="Z1566" s="1" t="n">
        <f aca="false">N(STACK!J1566)</f>
        <v>40</v>
      </c>
      <c r="AA1566" s="1" t="str">
        <f aca="false">TRIM(IF(D1566="UNMAPPED","Program not mapped. ","")&amp;IF(OR(K1566="UNMAPPED",K1566="UNASSIGNED"),"Category needs review. ","")&amp;IF(P1566="UNMAPPED","Title not mapped. ","")&amp;IF(AND(P1566&lt;&gt;"No staff time",R1566=""),"Missing hours. ","")&amp;IF(M1566="","Date not readable. ","")&amp;IF(N1566="No","Outside fiscal year. ","")&amp;IF(AND(F1566="Event",ISNUMBER(R1566)),IF(R1566&gt;12,"Event hours look high. ",""),"")&amp;IF(G1566&gt;0,"See CONFIRM sheet.",""))</f>
        <v/>
      </c>
      <c r="AB1566" s="1" t="n">
        <f aca="false">IF(N1566="No",0,IF(REVIEW!O1566=0,0,IF(G1566&gt;0,IF(INDEX(CONFIRM!$J$5:$J$53,G1566)&lt;&gt;"",INDEX(CONFIRM!$J$5:$J$53,G1566),1),1)))</f>
        <v>1</v>
      </c>
      <c r="AC1566" s="1" t="n">
        <f aca="false">IF(AB1566=1,IF(COUNTIFS($B$5:B1566,B1566,$D$5:D1566,D1566,$AB$5:AB1566,1)=1,1,0),0)</f>
        <v>0</v>
      </c>
    </row>
    <row r="1567" customFormat="false" ht="15" hidden="false" customHeight="false" outlineLevel="0" collapsed="false">
      <c r="A1567" s="48" t="str">
        <f aca="false">STACK!A1567</f>
        <v>QHH-0186</v>
      </c>
      <c r="B1567" s="48" t="str">
        <f aca="false">STACK!B1567</f>
        <v>QHH</v>
      </c>
      <c r="C1567" s="48" t="str">
        <f aca="false">STACK!E1567</f>
        <v>Nursing Clinical Rotations</v>
      </c>
      <c r="D1567" s="1" t="str">
        <f aca="false">IFERROR(INDEX(MAP!$J$7:$J$101,MATCH(TRIM(C1567),MAP!$I$7:$I$101,0)),"UNMAPPED")</f>
        <v>Nursing Student Clinical Rotations</v>
      </c>
      <c r="E1567" s="1" t="str">
        <f aca="false">IFERROR(INDEX(MAP!$K$7:$K$101,MATCH(TRIM(C1567),MAP!$I$7:$I$101,0)),"")</f>
        <v>Health workforce</v>
      </c>
      <c r="F1567" s="1" t="str">
        <f aca="false">IFERROR(INDEX(MAP!$L$7:$L$101,MATCH(TRIM(C1567),MAP!$I$7:$I$101,0)),"")</f>
        <v>Monthly</v>
      </c>
      <c r="G1567" s="1" t="n">
        <f aca="false">IFERROR(MATCH(A1567,CONFIRM!$A$5:$A$53,0),0)</f>
        <v>0</v>
      </c>
      <c r="H1567" s="48" t="str">
        <f aca="false">STACK!F1567</f>
        <v>HPE - Students</v>
      </c>
      <c r="I1567" s="1" t="str">
        <f aca="false">IF(G1567&gt;0,IF(INDEX(CONFIRM!$I$5:$I$53,G1567)&lt;&gt;"",INDEX(CONFIRM!$I$5:$I$53,G1567),H1567),H1567)</f>
        <v>HPE - Students</v>
      </c>
      <c r="J1567" s="1" t="str">
        <f aca="false">IFERROR(INDEX(MAP!$F$7:$F$74,MATCH(TRIM(I1567),MAP!$E$7:$E$74,0)),"UNMAPPED")</f>
        <v>Health professions education</v>
      </c>
      <c r="K1567" s="1" t="str">
        <f aca="false">IFERROR(INDEX(MAP!$G$7:$G$74,MATCH(TRIM(I1567),MAP!$E$7:$E$74,0)),"UNMAPPED")</f>
        <v>7f</v>
      </c>
      <c r="L1567" s="49" t="str">
        <f aca="false">STACK!G1567</f>
        <v>31-Mar-2026</v>
      </c>
      <c r="M1567" s="59" t="n">
        <f aca="false">IF(G1567&gt;0,IF(INDEX(CONFIRM!$G$5:$G$53,G1567)&lt;&gt;"",INDEX(CONFIRM!$G$5:$G$53,G1567),IF(ISNUMBER(L1567),L1567,IFERROR(DATEVALUE(L1567),""))),IF(ISNUMBER(L1567),L1567,IFERROR(DATEVALUE(L1567),"")))</f>
        <v>46112</v>
      </c>
      <c r="N1567" s="1" t="str">
        <f aca="false">IF(M1567="","Check",IF(AND(M1567&gt;=INPUTS!$C$6,M1567&lt;=INPUTS!$C$7),"Yes","No"))</f>
        <v>Yes</v>
      </c>
      <c r="O1567" s="48" t="str">
        <f aca="false">STACK!H1567</f>
        <v>Educator, Nursing</v>
      </c>
      <c r="P1567" s="1" t="str">
        <f aca="false">IF(G1567&gt;0,IF(INDEX(CONFIRM!$H$5:$H$53,G1567)&lt;&gt;"",INDEX(CONFIRM!$H$5:$H$53,G1567),IFERROR(INDEX(MAP!$B$7:$B$156,MATCH(TRIM(O1567),MAP!$A$7:$A$156,0)),"UNMAPPED")),IFERROR(INDEX(MAP!$B$7:$B$156,MATCH(TRIM(O1567),MAP!$A$7:$A$156,0)),"UNMAPPED"))</f>
        <v>Clinical Nurse Educator</v>
      </c>
      <c r="Q1567" s="48" t="n">
        <f aca="false">STACK!I1567</f>
        <v>108</v>
      </c>
      <c r="R1567" s="60" t="n">
        <f aca="false">IF(G1567&gt;0,IF(INDEX(CONFIRM!$F$5:$F$53,G1567)&lt;&gt;"",INDEX(CONFIRM!$F$5:$F$53,G1567),IF(ISNUMBER(Q1567),Q1567,IF(Q1567="","",IFERROR(VALUE(TRIM(SUBSTITUTE(SUBSTITUTE(LOWER(Q1567),"hrs",""),"hr",""))),"")))),IF(ISNUMBER(Q1567),Q1567,IF(Q1567="","",IFERROR(VALUE(TRIM(SUBSTITUTE(SUBSTITUTE(LOWER(Q1567),"hrs",""),"hr",""))),""))))</f>
        <v>108</v>
      </c>
      <c r="S1567" s="57" t="n">
        <f aca="false">IFERROR(INDEX(RATES!$E$6:$E$28,MATCH(P1567,RATES!$A$6:$A$28,0)),0)</f>
        <v>62.965</v>
      </c>
      <c r="T1567" s="61" t="n">
        <f aca="false">IF(ISNUMBER(R1567),R1567,0)*S1567</f>
        <v>6800.22</v>
      </c>
      <c r="U1567" s="61" t="n">
        <f aca="false">T1567*INDEX(INPUTS!$H$10:$H$14,MATCH(B1567,INPUTS!$A$10:$A$14,0))</f>
        <v>1026.83322</v>
      </c>
      <c r="V1567" s="61" t="n">
        <f aca="false">N(STACK!K1567)</f>
        <v>435</v>
      </c>
      <c r="W1567" s="61" t="n">
        <f aca="false">T1567+U1567+V1567</f>
        <v>8262.05322</v>
      </c>
      <c r="X1567" s="61" t="n">
        <f aca="false">N(STACK!L1567)</f>
        <v>0</v>
      </c>
      <c r="Y1567" s="61" t="n">
        <f aca="false">W1567-X1567</f>
        <v>8262.05322</v>
      </c>
      <c r="Z1567" s="1" t="n">
        <f aca="false">N(STACK!J1567)</f>
        <v>33</v>
      </c>
      <c r="AA1567" s="1" t="str">
        <f aca="false">TRIM(IF(D1567="UNMAPPED","Program not mapped. ","")&amp;IF(OR(K1567="UNMAPPED",K1567="UNASSIGNED"),"Category needs review. ","")&amp;IF(P1567="UNMAPPED","Title not mapped. ","")&amp;IF(AND(P1567&lt;&gt;"No staff time",R1567=""),"Missing hours. ","")&amp;IF(M1567="","Date not readable. ","")&amp;IF(N1567="No","Outside fiscal year. ","")&amp;IF(AND(F1567="Event",ISNUMBER(R1567)),IF(R1567&gt;12,"Event hours look high. ",""),"")&amp;IF(G1567&gt;0,"See CONFIRM sheet.",""))</f>
        <v/>
      </c>
      <c r="AB1567" s="1" t="n">
        <f aca="false">IF(N1567="No",0,IF(REVIEW!O1567=0,0,IF(G1567&gt;0,IF(INDEX(CONFIRM!$J$5:$J$53,G1567)&lt;&gt;"",INDEX(CONFIRM!$J$5:$J$53,G1567),1),1)))</f>
        <v>1</v>
      </c>
      <c r="AC1567" s="1" t="n">
        <f aca="false">IF(AB1567=1,IF(COUNTIFS($B$5:B1567,B1567,$D$5:D1567,D1567,$AB$5:AB1567,1)=1,1,0),0)</f>
        <v>0</v>
      </c>
    </row>
    <row r="1568" customFormat="false" ht="15" hidden="false" customHeight="false" outlineLevel="0" collapsed="false">
      <c r="A1568" s="48" t="str">
        <f aca="false">STACK!A1568</f>
        <v>QHH-0187</v>
      </c>
      <c r="B1568" s="48" t="str">
        <f aca="false">STACK!B1568</f>
        <v>QHH</v>
      </c>
      <c r="C1568" s="48" t="str">
        <f aca="false">STACK!E1568</f>
        <v>Nursing Clinical Rotations</v>
      </c>
      <c r="D1568" s="1" t="str">
        <f aca="false">IFERROR(INDEX(MAP!$J$7:$J$101,MATCH(TRIM(C1568),MAP!$I$7:$I$101,0)),"UNMAPPED")</f>
        <v>Nursing Student Clinical Rotations</v>
      </c>
      <c r="E1568" s="1" t="str">
        <f aca="false">IFERROR(INDEX(MAP!$K$7:$K$101,MATCH(TRIM(C1568),MAP!$I$7:$I$101,0)),"")</f>
        <v>Health workforce</v>
      </c>
      <c r="F1568" s="1" t="str">
        <f aca="false">IFERROR(INDEX(MAP!$L$7:$L$101,MATCH(TRIM(C1568),MAP!$I$7:$I$101,0)),"")</f>
        <v>Monthly</v>
      </c>
      <c r="G1568" s="1" t="n">
        <f aca="false">IFERROR(MATCH(A1568,CONFIRM!$A$5:$A$53,0),0)</f>
        <v>0</v>
      </c>
      <c r="H1568" s="48" t="str">
        <f aca="false">STACK!F1568</f>
        <v>HPE - Students</v>
      </c>
      <c r="I1568" s="1" t="str">
        <f aca="false">IF(G1568&gt;0,IF(INDEX(CONFIRM!$I$5:$I$53,G1568)&lt;&gt;"",INDEX(CONFIRM!$I$5:$I$53,G1568),H1568),H1568)</f>
        <v>HPE - Students</v>
      </c>
      <c r="J1568" s="1" t="str">
        <f aca="false">IFERROR(INDEX(MAP!$F$7:$F$74,MATCH(TRIM(I1568),MAP!$E$7:$E$74,0)),"UNMAPPED")</f>
        <v>Health professions education</v>
      </c>
      <c r="K1568" s="1" t="str">
        <f aca="false">IFERROR(INDEX(MAP!$G$7:$G$74,MATCH(TRIM(I1568),MAP!$E$7:$E$74,0)),"UNMAPPED")</f>
        <v>7f</v>
      </c>
      <c r="L1568" s="49" t="str">
        <f aca="false">STACK!G1568</f>
        <v>31-Mar-2026</v>
      </c>
      <c r="M1568" s="59" t="n">
        <f aca="false">IF(G1568&gt;0,IF(INDEX(CONFIRM!$G$5:$G$53,G1568)&lt;&gt;"",INDEX(CONFIRM!$G$5:$G$53,G1568),IF(ISNUMBER(L1568),L1568,IFERROR(DATEVALUE(L1568),""))),IF(ISNUMBER(L1568),L1568,IFERROR(DATEVALUE(L1568),"")))</f>
        <v>46112</v>
      </c>
      <c r="N1568" s="1" t="str">
        <f aca="false">IF(M1568="","Check",IF(AND(M1568&gt;=INPUTS!$C$6,M1568&lt;=INPUTS!$C$7),"Yes","No"))</f>
        <v>Yes</v>
      </c>
      <c r="O1568" s="48" t="str">
        <f aca="false">STACK!H1568</f>
        <v>RN</v>
      </c>
      <c r="P1568" s="1" t="str">
        <f aca="false">IF(G1568&gt;0,IF(INDEX(CONFIRM!$H$5:$H$53,G1568)&lt;&gt;"",INDEX(CONFIRM!$H$5:$H$53,G1568),IFERROR(INDEX(MAP!$B$7:$B$156,MATCH(TRIM(O1568),MAP!$A$7:$A$156,0)),"UNMAPPED")),IFERROR(INDEX(MAP!$B$7:$B$156,MATCH(TRIM(O1568),MAP!$A$7:$A$156,0)),"UNMAPPED"))</f>
        <v>Registered Nurse</v>
      </c>
      <c r="Q1568" s="48" t="n">
        <f aca="false">STACK!I1568</f>
        <v>144.25</v>
      </c>
      <c r="R1568" s="60" t="n">
        <f aca="false">IF(G1568&gt;0,IF(INDEX(CONFIRM!$F$5:$F$53,G1568)&lt;&gt;"",INDEX(CONFIRM!$F$5:$F$53,G1568),IF(ISNUMBER(Q1568),Q1568,IF(Q1568="","",IFERROR(VALUE(TRIM(SUBSTITUTE(SUBSTITUTE(LOWER(Q1568),"hrs",""),"hr",""))),"")))),IF(ISNUMBER(Q1568),Q1568,IF(Q1568="","",IFERROR(VALUE(TRIM(SUBSTITUTE(SUBSTITUTE(LOWER(Q1568),"hrs",""),"hr",""))),""))))</f>
        <v>144.25</v>
      </c>
      <c r="S1568" s="57" t="n">
        <f aca="false">IFERROR(INDEX(RATES!$E$6:$E$28,MATCH(P1568,RATES!$A$6:$A$28,0)),0)</f>
        <v>55.8975</v>
      </c>
      <c r="T1568" s="61" t="n">
        <f aca="false">IF(ISNUMBER(R1568),R1568,0)*S1568</f>
        <v>8063.214375</v>
      </c>
      <c r="U1568" s="61" t="n">
        <f aca="false">T1568*INDEX(INPUTS!$H$10:$H$14,MATCH(B1568,INPUTS!$A$10:$A$14,0))</f>
        <v>1217.545370625</v>
      </c>
      <c r="V1568" s="61" t="n">
        <f aca="false">N(STACK!K1568)</f>
        <v>0</v>
      </c>
      <c r="W1568" s="61" t="n">
        <f aca="false">T1568+U1568+V1568</f>
        <v>9280.759745625</v>
      </c>
      <c r="X1568" s="61" t="n">
        <f aca="false">N(STACK!L1568)</f>
        <v>0</v>
      </c>
      <c r="Y1568" s="61" t="n">
        <f aca="false">W1568-X1568</f>
        <v>9280.759745625</v>
      </c>
      <c r="Z1568" s="1" t="n">
        <f aca="false">N(STACK!J1568)</f>
        <v>0</v>
      </c>
      <c r="AA1568" s="1" t="str">
        <f aca="false">TRIM(IF(D1568="UNMAPPED","Program not mapped. ","")&amp;IF(OR(K1568="UNMAPPED",K1568="UNASSIGNED"),"Category needs review. ","")&amp;IF(P1568="UNMAPPED","Title not mapped. ","")&amp;IF(AND(P1568&lt;&gt;"No staff time",R1568=""),"Missing hours. ","")&amp;IF(M1568="","Date not readable. ","")&amp;IF(N1568="No","Outside fiscal year. ","")&amp;IF(AND(F1568="Event",ISNUMBER(R1568)),IF(R1568&gt;12,"Event hours look high. ",""),"")&amp;IF(G1568&gt;0,"See CONFIRM sheet.",""))</f>
        <v/>
      </c>
      <c r="AB1568" s="1" t="n">
        <f aca="false">IF(N1568="No",0,IF(REVIEW!O1568=0,0,IF(G1568&gt;0,IF(INDEX(CONFIRM!$J$5:$J$53,G1568)&lt;&gt;"",INDEX(CONFIRM!$J$5:$J$53,G1568),1),1)))</f>
        <v>1</v>
      </c>
      <c r="AC1568" s="1" t="n">
        <f aca="false">IF(AB1568=1,IF(COUNTIFS($B$5:B1568,B1568,$D$5:D1568,D1568,$AB$5:AB1568,1)=1,1,0),0)</f>
        <v>0</v>
      </c>
    </row>
    <row r="1569" customFormat="false" ht="15" hidden="false" customHeight="false" outlineLevel="0" collapsed="false">
      <c r="A1569" s="48" t="str">
        <f aca="false">STACK!A1569</f>
        <v>QHH-0188</v>
      </c>
      <c r="B1569" s="48" t="str">
        <f aca="false">STACK!B1569</f>
        <v>QHH</v>
      </c>
      <c r="C1569" s="48" t="str">
        <f aca="false">STACK!E1569</f>
        <v>Supply Donations</v>
      </c>
      <c r="D1569" s="1" t="str">
        <f aca="false">IFERROR(INDEX(MAP!$J$7:$J$101,MATCH(TRIM(C1569),MAP!$I$7:$I$101,0)),"UNMAPPED")</f>
        <v>In-Kind Medical Supply Donations</v>
      </c>
      <c r="E1569" s="1" t="str">
        <f aca="false">IFERROR(INDEX(MAP!$K$7:$K$101,MATCH(TRIM(C1569),MAP!$I$7:$I$101,0)),"")</f>
        <v>Access to care</v>
      </c>
      <c r="F1569" s="1" t="str">
        <f aca="false">IFERROR(INDEX(MAP!$L$7:$L$101,MATCH(TRIM(C1569),MAP!$I$7:$I$101,0)),"")</f>
        <v>Contribution</v>
      </c>
      <c r="G1569" s="1" t="n">
        <f aca="false">IFERROR(MATCH(A1569,CONFIRM!$A$5:$A$53,0),0)</f>
        <v>0</v>
      </c>
      <c r="H1569" s="48" t="str">
        <f aca="false">STACK!F1569</f>
        <v>Cash Contribution</v>
      </c>
      <c r="I1569" s="1" t="str">
        <f aca="false">IF(G1569&gt;0,IF(INDEX(CONFIRM!$I$5:$I$53,G1569)&lt;&gt;"",INDEX(CONFIRM!$I$5:$I$53,G1569),H1569),H1569)</f>
        <v>Cash Contribution</v>
      </c>
      <c r="J1569" s="1" t="str">
        <f aca="false">IFERROR(INDEX(MAP!$F$7:$F$74,MATCH(TRIM(I1569),MAP!$E$7:$E$74,0)),"UNMAPPED")</f>
        <v>Cash and in-kind contributions</v>
      </c>
      <c r="K1569" s="1" t="str">
        <f aca="false">IFERROR(INDEX(MAP!$G$7:$G$74,MATCH(TRIM(I1569),MAP!$E$7:$E$74,0)),"UNMAPPED")</f>
        <v>7i</v>
      </c>
      <c r="L1569" s="49" t="str">
        <f aca="false">STACK!G1569</f>
        <v>05-Apr-2026</v>
      </c>
      <c r="M1569" s="59" t="n">
        <f aca="false">IF(G1569&gt;0,IF(INDEX(CONFIRM!$G$5:$G$53,G1569)&lt;&gt;"",INDEX(CONFIRM!$G$5:$G$53,G1569),IF(ISNUMBER(L1569),L1569,IFERROR(DATEVALUE(L1569),""))),IF(ISNUMBER(L1569),L1569,IFERROR(DATEVALUE(L1569),"")))</f>
        <v>46117</v>
      </c>
      <c r="N1569" s="1" t="str">
        <f aca="false">IF(M1569="","Check",IF(AND(M1569&gt;=INPUTS!$C$6,M1569&lt;=INPUTS!$C$7),"Yes","No"))</f>
        <v>Yes</v>
      </c>
      <c r="O1569" s="48" t="str">
        <f aca="false">STACK!H1569</f>
        <v>none</v>
      </c>
      <c r="P1569" s="1" t="str">
        <f aca="false">IF(G1569&gt;0,IF(INDEX(CONFIRM!$H$5:$H$53,G1569)&lt;&gt;"",INDEX(CONFIRM!$H$5:$H$53,G1569),IFERROR(INDEX(MAP!$B$7:$B$156,MATCH(TRIM(O1569),MAP!$A$7:$A$156,0)),"UNMAPPED")),IFERROR(INDEX(MAP!$B$7:$B$156,MATCH(TRIM(O1569),MAP!$A$7:$A$156,0)),"UNMAPPED"))</f>
        <v>No staff time</v>
      </c>
      <c r="Q1569" s="48" t="n">
        <f aca="false">STACK!I1569</f>
        <v>0</v>
      </c>
      <c r="R1569" s="60" t="n">
        <f aca="false">IF(G1569&gt;0,IF(INDEX(CONFIRM!$F$5:$F$53,G1569)&lt;&gt;"",INDEX(CONFIRM!$F$5:$F$53,G1569),IF(ISNUMBER(Q1569),Q1569,IF(Q1569="","",IFERROR(VALUE(TRIM(SUBSTITUTE(SUBSTITUTE(LOWER(Q1569),"hrs",""),"hr",""))),"")))),IF(ISNUMBER(Q1569),Q1569,IF(Q1569="","",IFERROR(VALUE(TRIM(SUBSTITUTE(SUBSTITUTE(LOWER(Q1569),"hrs",""),"hr",""))),""))))</f>
        <v>0</v>
      </c>
      <c r="S1569" s="57" t="n">
        <f aca="false">IFERROR(INDEX(RATES!$E$6:$E$28,MATCH(P1569,RATES!$A$6:$A$28,0)),0)</f>
        <v>0</v>
      </c>
      <c r="T1569" s="61" t="n">
        <f aca="false">IF(ISNUMBER(R1569),R1569,0)*S1569</f>
        <v>0</v>
      </c>
      <c r="U1569" s="61" t="n">
        <f aca="false">T1569*INDEX(INPUTS!$H$10:$H$14,MATCH(B1569,INPUTS!$A$10:$A$14,0))</f>
        <v>0</v>
      </c>
      <c r="V1569" s="61" t="n">
        <f aca="false">N(STACK!K1569)</f>
        <v>7470</v>
      </c>
      <c r="W1569" s="61" t="n">
        <f aca="false">T1569+U1569+V1569</f>
        <v>7470</v>
      </c>
      <c r="X1569" s="61" t="n">
        <f aca="false">N(STACK!L1569)</f>
        <v>0</v>
      </c>
      <c r="Y1569" s="61" t="n">
        <f aca="false">W1569-X1569</f>
        <v>7470</v>
      </c>
      <c r="Z1569" s="1" t="n">
        <f aca="false">N(STACK!J1569)</f>
        <v>0</v>
      </c>
      <c r="AA1569" s="1" t="str">
        <f aca="false">TRIM(IF(D1569="UNMAPPED","Program not mapped. ","")&amp;IF(OR(K1569="UNMAPPED",K1569="UNASSIGNED"),"Category needs review. ","")&amp;IF(P1569="UNMAPPED","Title not mapped. ","")&amp;IF(AND(P1569&lt;&gt;"No staff time",R1569=""),"Missing hours. ","")&amp;IF(M1569="","Date not readable. ","")&amp;IF(N1569="No","Outside fiscal year. ","")&amp;IF(AND(F1569="Event",ISNUMBER(R1569)),IF(R1569&gt;12,"Event hours look high. ",""),"")&amp;IF(G1569&gt;0,"See CONFIRM sheet.",""))</f>
        <v/>
      </c>
      <c r="AB1569" s="1" t="n">
        <f aca="false">IF(N1569="No",0,IF(REVIEW!O1569=0,0,IF(G1569&gt;0,IF(INDEX(CONFIRM!$J$5:$J$53,G1569)&lt;&gt;"",INDEX(CONFIRM!$J$5:$J$53,G1569),1),1)))</f>
        <v>1</v>
      </c>
      <c r="AC1569" s="1" t="n">
        <f aca="false">IF(AB1569=1,IF(COUNTIFS($B$5:B1569,B1569,$D$5:D1569,D1569,$AB$5:AB1569,1)=1,1,0),0)</f>
        <v>0</v>
      </c>
    </row>
    <row r="1570" customFormat="false" ht="15" hidden="false" customHeight="false" outlineLevel="0" collapsed="false">
      <c r="A1570" s="48" t="str">
        <f aca="false">STACK!A1570</f>
        <v>QHH-0189</v>
      </c>
      <c r="B1570" s="48" t="str">
        <f aca="false">STACK!B1570</f>
        <v>QHH</v>
      </c>
      <c r="C1570" s="48" t="str">
        <f aca="false">STACK!E1570</f>
        <v>Diabetes Prevention Program</v>
      </c>
      <c r="D1570" s="1" t="str">
        <f aca="false">IFERROR(INDEX(MAP!$J$7:$J$101,MATCH(TRIM(C1570),MAP!$I$7:$I$101,0)),"UNMAPPED")</f>
        <v>Diabetes Prevention Classes</v>
      </c>
      <c r="E1570" s="1" t="str">
        <f aca="false">IFERROR(INDEX(MAP!$K$7:$K$101,MATCH(TRIM(C1570),MAP!$I$7:$I$101,0)),"")</f>
        <v>Chronic disease prevention</v>
      </c>
      <c r="F1570" s="1" t="str">
        <f aca="false">IFERROR(INDEX(MAP!$L$7:$L$101,MATCH(TRIM(C1570),MAP!$I$7:$I$101,0)),"")</f>
        <v>Event</v>
      </c>
      <c r="G1570" s="1" t="n">
        <f aca="false">IFERROR(MATCH(A1570,CONFIRM!$A$5:$A$53,0),0)</f>
        <v>0</v>
      </c>
      <c r="H1570" s="48" t="str">
        <f aca="false">STACK!F1570</f>
        <v>CHIS - Education</v>
      </c>
      <c r="I1570" s="1" t="str">
        <f aca="false">IF(G1570&gt;0,IF(INDEX(CONFIRM!$I$5:$I$53,G1570)&lt;&gt;"",INDEX(CONFIRM!$I$5:$I$53,G1570),H1570),H1570)</f>
        <v>CHIS - Education</v>
      </c>
      <c r="J1570" s="1" t="str">
        <f aca="false">IFERROR(INDEX(MAP!$F$7:$F$74,MATCH(TRIM(I1570),MAP!$E$7:$E$74,0)),"UNMAPPED")</f>
        <v>Community health education</v>
      </c>
      <c r="K1570" s="1" t="str">
        <f aca="false">IFERROR(INDEX(MAP!$G$7:$G$74,MATCH(TRIM(I1570),MAP!$E$7:$E$74,0)),"UNMAPPED")</f>
        <v>7e</v>
      </c>
      <c r="L1570" s="49" t="str">
        <f aca="false">STACK!G1570</f>
        <v>06-Apr-2026</v>
      </c>
      <c r="M1570" s="59" t="n">
        <f aca="false">IF(G1570&gt;0,IF(INDEX(CONFIRM!$G$5:$G$53,G1570)&lt;&gt;"",INDEX(CONFIRM!$G$5:$G$53,G1570),IF(ISNUMBER(L1570),L1570,IFERROR(DATEVALUE(L1570),""))),IF(ISNUMBER(L1570),L1570,IFERROR(DATEVALUE(L1570),"")))</f>
        <v>46118</v>
      </c>
      <c r="N1570" s="1" t="str">
        <f aca="false">IF(M1570="","Check",IF(AND(M1570&gt;=INPUTS!$C$6,M1570&lt;=INPUTS!$C$7),"Yes","No"))</f>
        <v>Yes</v>
      </c>
      <c r="O1570" s="48" t="str">
        <f aca="false">STACK!H1570</f>
        <v>Hlth Educator</v>
      </c>
      <c r="P1570" s="1" t="str">
        <f aca="false">IF(G1570&gt;0,IF(INDEX(CONFIRM!$H$5:$H$53,G1570)&lt;&gt;"",INDEX(CONFIRM!$H$5:$H$53,G1570),IFERROR(INDEX(MAP!$B$7:$B$156,MATCH(TRIM(O1570),MAP!$A$7:$A$156,0)),"UNMAPPED")),IFERROR(INDEX(MAP!$B$7:$B$156,MATCH(TRIM(O1570),MAP!$A$7:$A$156,0)),"UNMAPPED"))</f>
        <v>Health Educator</v>
      </c>
      <c r="Q1570" s="48" t="n">
        <f aca="false">STACK!I1570</f>
        <v>2.25</v>
      </c>
      <c r="R1570" s="60" t="n">
        <f aca="false">IF(G1570&gt;0,IF(INDEX(CONFIRM!$F$5:$F$53,G1570)&lt;&gt;"",INDEX(CONFIRM!$F$5:$F$53,G1570),IF(ISNUMBER(Q1570),Q1570,IF(Q1570="","",IFERROR(VALUE(TRIM(SUBSTITUTE(SUBSTITUTE(LOWER(Q1570),"hrs",""),"hr",""))),"")))),IF(ISNUMBER(Q1570),Q1570,IF(Q1570="","",IFERROR(VALUE(TRIM(SUBSTITUTE(SUBSTITUTE(LOWER(Q1570),"hrs",""),"hr",""))),""))))</f>
        <v>2.25</v>
      </c>
      <c r="S1570" s="57" t="n">
        <f aca="false">IFERROR(INDEX(RATES!$E$6:$E$28,MATCH(P1570,RATES!$A$6:$A$28,0)),0)</f>
        <v>37.265</v>
      </c>
      <c r="T1570" s="61" t="n">
        <f aca="false">IF(ISNUMBER(R1570),R1570,0)*S1570</f>
        <v>83.84625</v>
      </c>
      <c r="U1570" s="61" t="n">
        <f aca="false">T1570*INDEX(INPUTS!$H$10:$H$14,MATCH(B1570,INPUTS!$A$10:$A$14,0))</f>
        <v>12.66078375</v>
      </c>
      <c r="V1570" s="61" t="n">
        <f aca="false">N(STACK!K1570)</f>
        <v>75</v>
      </c>
      <c r="W1570" s="61" t="n">
        <f aca="false">T1570+U1570+V1570</f>
        <v>171.50703375</v>
      </c>
      <c r="X1570" s="61" t="n">
        <f aca="false">N(STACK!L1570)</f>
        <v>0</v>
      </c>
      <c r="Y1570" s="61" t="n">
        <f aca="false">W1570-X1570</f>
        <v>171.50703375</v>
      </c>
      <c r="Z1570" s="1" t="n">
        <f aca="false">N(STACK!J1570)</f>
        <v>12</v>
      </c>
      <c r="AA1570" s="1" t="str">
        <f aca="false">TRIM(IF(D1570="UNMAPPED","Program not mapped. ","")&amp;IF(OR(K1570="UNMAPPED",K1570="UNASSIGNED"),"Category needs review. ","")&amp;IF(P1570="UNMAPPED","Title not mapped. ","")&amp;IF(AND(P1570&lt;&gt;"No staff time",R1570=""),"Missing hours. ","")&amp;IF(M1570="","Date not readable. ","")&amp;IF(N1570="No","Outside fiscal year. ","")&amp;IF(AND(F1570="Event",ISNUMBER(R1570)),IF(R1570&gt;12,"Event hours look high. ",""),"")&amp;IF(G1570&gt;0,"See CONFIRM sheet.",""))</f>
        <v/>
      </c>
      <c r="AB1570" s="1" t="n">
        <f aca="false">IF(N1570="No",0,IF(REVIEW!O1570=0,0,IF(G1570&gt;0,IF(INDEX(CONFIRM!$J$5:$J$53,G1570)&lt;&gt;"",INDEX(CONFIRM!$J$5:$J$53,G1570),1),1)))</f>
        <v>1</v>
      </c>
      <c r="AC1570" s="1" t="n">
        <f aca="false">IF(AB1570=1,IF(COUNTIFS($B$5:B1570,B1570,$D$5:D1570,D1570,$AB$5:AB1570,1)=1,1,0),0)</f>
        <v>0</v>
      </c>
    </row>
    <row r="1571" customFormat="false" ht="15" hidden="false" customHeight="false" outlineLevel="0" collapsed="false">
      <c r="A1571" s="48" t="str">
        <f aca="false">STACK!A1571</f>
        <v>QHH-0190</v>
      </c>
      <c r="B1571" s="48" t="str">
        <f aca="false">STACK!B1571</f>
        <v>QHH</v>
      </c>
      <c r="C1571" s="48" t="str">
        <f aca="false">STACK!E1571</f>
        <v>Diabetes Prevention Program</v>
      </c>
      <c r="D1571" s="1" t="str">
        <f aca="false">IFERROR(INDEX(MAP!$J$7:$J$101,MATCH(TRIM(C1571),MAP!$I$7:$I$101,0)),"UNMAPPED")</f>
        <v>Diabetes Prevention Classes</v>
      </c>
      <c r="E1571" s="1" t="str">
        <f aca="false">IFERROR(INDEX(MAP!$K$7:$K$101,MATCH(TRIM(C1571),MAP!$I$7:$I$101,0)),"")</f>
        <v>Chronic disease prevention</v>
      </c>
      <c r="F1571" s="1" t="str">
        <f aca="false">IFERROR(INDEX(MAP!$L$7:$L$101,MATCH(TRIM(C1571),MAP!$I$7:$I$101,0)),"")</f>
        <v>Event</v>
      </c>
      <c r="G1571" s="1" t="n">
        <f aca="false">IFERROR(MATCH(A1571,CONFIRM!$A$5:$A$53,0),0)</f>
        <v>0</v>
      </c>
      <c r="H1571" s="48" t="str">
        <f aca="false">STACK!F1571</f>
        <v>CHIS - Education</v>
      </c>
      <c r="I1571" s="1" t="str">
        <f aca="false">IF(G1571&gt;0,IF(INDEX(CONFIRM!$I$5:$I$53,G1571)&lt;&gt;"",INDEX(CONFIRM!$I$5:$I$53,G1571),H1571),H1571)</f>
        <v>CHIS - Education</v>
      </c>
      <c r="J1571" s="1" t="str">
        <f aca="false">IFERROR(INDEX(MAP!$F$7:$F$74,MATCH(TRIM(I1571),MAP!$E$7:$E$74,0)),"UNMAPPED")</f>
        <v>Community health education</v>
      </c>
      <c r="K1571" s="1" t="str">
        <f aca="false">IFERROR(INDEX(MAP!$G$7:$G$74,MATCH(TRIM(I1571),MAP!$E$7:$E$74,0)),"UNMAPPED")</f>
        <v>7e</v>
      </c>
      <c r="L1571" s="49" t="str">
        <f aca="false">STACK!G1571</f>
        <v>06-Apr-2026</v>
      </c>
      <c r="M1571" s="59" t="n">
        <f aca="false">IF(G1571&gt;0,IF(INDEX(CONFIRM!$G$5:$G$53,G1571)&lt;&gt;"",INDEX(CONFIRM!$G$5:$G$53,G1571),IF(ISNUMBER(L1571),L1571,IFERROR(DATEVALUE(L1571),""))),IF(ISNUMBER(L1571),L1571,IFERROR(DATEVALUE(L1571),"")))</f>
        <v>46118</v>
      </c>
      <c r="N1571" s="1" t="str">
        <f aca="false">IF(M1571="","Check",IF(AND(M1571&gt;=INPUTS!$C$6,M1571&lt;=INPUTS!$C$7),"Yes","No"))</f>
        <v>Yes</v>
      </c>
      <c r="O1571" s="48" t="str">
        <f aca="false">STACK!H1571</f>
        <v>Clinical Dietitian</v>
      </c>
      <c r="P1571" s="1" t="str">
        <f aca="false">IF(G1571&gt;0,IF(INDEX(CONFIRM!$H$5:$H$53,G1571)&lt;&gt;"",INDEX(CONFIRM!$H$5:$H$53,G1571),IFERROR(INDEX(MAP!$B$7:$B$156,MATCH(TRIM(O1571),MAP!$A$7:$A$156,0)),"UNMAPPED")),IFERROR(INDEX(MAP!$B$7:$B$156,MATCH(TRIM(O1571),MAP!$A$7:$A$156,0)),"UNMAPPED"))</f>
        <v>Registered Dietitian</v>
      </c>
      <c r="Q1571" s="48" t="n">
        <f aca="false">STACK!I1571</f>
        <v>2</v>
      </c>
      <c r="R1571" s="60" t="n">
        <f aca="false">IF(G1571&gt;0,IF(INDEX(CONFIRM!$F$5:$F$53,G1571)&lt;&gt;"",INDEX(CONFIRM!$F$5:$F$53,G1571),IF(ISNUMBER(Q1571),Q1571,IF(Q1571="","",IFERROR(VALUE(TRIM(SUBSTITUTE(SUBSTITUTE(LOWER(Q1571),"hrs",""),"hr",""))),"")))),IF(ISNUMBER(Q1571),Q1571,IF(Q1571="","",IFERROR(VALUE(TRIM(SUBSTITUTE(SUBSTITUTE(LOWER(Q1571),"hrs",""),"hr",""))),""))))</f>
        <v>2</v>
      </c>
      <c r="S1571" s="57" t="n">
        <f aca="false">IFERROR(INDEX(RATES!$E$6:$E$28,MATCH(P1571,RATES!$A$6:$A$28,0)),0)</f>
        <v>46.9025</v>
      </c>
      <c r="T1571" s="61" t="n">
        <f aca="false">IF(ISNUMBER(R1571),R1571,0)*S1571</f>
        <v>93.805</v>
      </c>
      <c r="U1571" s="61" t="n">
        <f aca="false">T1571*INDEX(INPUTS!$H$10:$H$14,MATCH(B1571,INPUTS!$A$10:$A$14,0))</f>
        <v>14.164555</v>
      </c>
      <c r="V1571" s="61" t="n">
        <f aca="false">N(STACK!K1571)</f>
        <v>0</v>
      </c>
      <c r="W1571" s="61" t="n">
        <f aca="false">T1571+U1571+V1571</f>
        <v>107.969555</v>
      </c>
      <c r="X1571" s="61" t="n">
        <f aca="false">N(STACK!L1571)</f>
        <v>0</v>
      </c>
      <c r="Y1571" s="61" t="n">
        <f aca="false">W1571-X1571</f>
        <v>107.969555</v>
      </c>
      <c r="Z1571" s="1" t="n">
        <f aca="false">N(STACK!J1571)</f>
        <v>0</v>
      </c>
      <c r="AA1571" s="1" t="str">
        <f aca="false">TRIM(IF(D1571="UNMAPPED","Program not mapped. ","")&amp;IF(OR(K1571="UNMAPPED",K1571="UNASSIGNED"),"Category needs review. ","")&amp;IF(P1571="UNMAPPED","Title not mapped. ","")&amp;IF(AND(P1571&lt;&gt;"No staff time",R1571=""),"Missing hours. ","")&amp;IF(M1571="","Date not readable. ","")&amp;IF(N1571="No","Outside fiscal year. ","")&amp;IF(AND(F1571="Event",ISNUMBER(R1571)),IF(R1571&gt;12,"Event hours look high. ",""),"")&amp;IF(G1571&gt;0,"See CONFIRM sheet.",""))</f>
        <v/>
      </c>
      <c r="AB1571" s="1" t="n">
        <f aca="false">IF(N1571="No",0,IF(REVIEW!O1571=0,0,IF(G1571&gt;0,IF(INDEX(CONFIRM!$J$5:$J$53,G1571)&lt;&gt;"",INDEX(CONFIRM!$J$5:$J$53,G1571),1),1)))</f>
        <v>1</v>
      </c>
      <c r="AC1571" s="1" t="n">
        <f aca="false">IF(AB1571=1,IF(COUNTIFS($B$5:B1571,B1571,$D$5:D1571,D1571,$AB$5:AB1571,1)=1,1,0),0)</f>
        <v>0</v>
      </c>
    </row>
    <row r="1572" customFormat="false" ht="15" hidden="false" customHeight="false" outlineLevel="0" collapsed="false">
      <c r="A1572" s="48" t="str">
        <f aca="false">STACK!A1572</f>
        <v>QHH-0191</v>
      </c>
      <c r="B1572" s="48" t="str">
        <f aca="false">STACK!B1572</f>
        <v>QHH</v>
      </c>
      <c r="C1572" s="48" t="str">
        <f aca="false">STACK!E1572</f>
        <v>Quit Tobacco Class</v>
      </c>
      <c r="D1572" s="1" t="str">
        <f aca="false">IFERROR(INDEX(MAP!$J$7:$J$101,MATCH(TRIM(C1572),MAP!$I$7:$I$101,0)),"UNMAPPED")</f>
        <v>Tobacco Cessation Classes</v>
      </c>
      <c r="E1572" s="1" t="str">
        <f aca="false">IFERROR(INDEX(MAP!$K$7:$K$101,MATCH(TRIM(C1572),MAP!$I$7:$I$101,0)),"")</f>
        <v>Chronic disease prevention</v>
      </c>
      <c r="F1572" s="1" t="str">
        <f aca="false">IFERROR(INDEX(MAP!$L$7:$L$101,MATCH(TRIM(C1572),MAP!$I$7:$I$101,0)),"")</f>
        <v>Event</v>
      </c>
      <c r="G1572" s="1" t="n">
        <f aca="false">IFERROR(MATCH(A1572,CONFIRM!$A$5:$A$53,0),0)</f>
        <v>0</v>
      </c>
      <c r="H1572" s="48" t="str">
        <f aca="false">STACK!F1572</f>
        <v>CHIS - Education</v>
      </c>
      <c r="I1572" s="1" t="str">
        <f aca="false">IF(G1572&gt;0,IF(INDEX(CONFIRM!$I$5:$I$53,G1572)&lt;&gt;"",INDEX(CONFIRM!$I$5:$I$53,G1572),H1572),H1572)</f>
        <v>CHIS - Education</v>
      </c>
      <c r="J1572" s="1" t="str">
        <f aca="false">IFERROR(INDEX(MAP!$F$7:$F$74,MATCH(TRIM(I1572),MAP!$E$7:$E$74,0)),"UNMAPPED")</f>
        <v>Community health education</v>
      </c>
      <c r="K1572" s="1" t="str">
        <f aca="false">IFERROR(INDEX(MAP!$G$7:$G$74,MATCH(TRIM(I1572),MAP!$E$7:$E$74,0)),"UNMAPPED")</f>
        <v>7e</v>
      </c>
      <c r="L1572" s="49" t="str">
        <f aca="false">STACK!G1572</f>
        <v>07-Apr-2026</v>
      </c>
      <c r="M1572" s="59" t="n">
        <f aca="false">IF(G1572&gt;0,IF(INDEX(CONFIRM!$G$5:$G$53,G1572)&lt;&gt;"",INDEX(CONFIRM!$G$5:$G$53,G1572),IF(ISNUMBER(L1572),L1572,IFERROR(DATEVALUE(L1572),""))),IF(ISNUMBER(L1572),L1572,IFERROR(DATEVALUE(L1572),"")))</f>
        <v>46119</v>
      </c>
      <c r="N1572" s="1" t="str">
        <f aca="false">IF(M1572="","Check",IF(AND(M1572&gt;=INPUTS!$C$6,M1572&lt;=INPUTS!$C$7),"Yes","No"))</f>
        <v>Yes</v>
      </c>
      <c r="O1572" s="48" t="str">
        <f aca="false">STACK!H1572</f>
        <v>Phys Therapist</v>
      </c>
      <c r="P1572" s="1" t="str">
        <f aca="false">IF(G1572&gt;0,IF(INDEX(CONFIRM!$H$5:$H$53,G1572)&lt;&gt;"",INDEX(CONFIRM!$H$5:$H$53,G1572),IFERROR(INDEX(MAP!$B$7:$B$156,MATCH(TRIM(O1572),MAP!$A$7:$A$156,0)),"UNMAPPED")),IFERROR(INDEX(MAP!$B$7:$B$156,MATCH(TRIM(O1572),MAP!$A$7:$A$156,0)),"UNMAPPED"))</f>
        <v>Licensed Therapist</v>
      </c>
      <c r="Q1572" s="48" t="n">
        <f aca="false">STACK!I1572</f>
        <v>2</v>
      </c>
      <c r="R1572" s="60" t="n">
        <f aca="false">IF(G1572&gt;0,IF(INDEX(CONFIRM!$F$5:$F$53,G1572)&lt;&gt;"",INDEX(CONFIRM!$F$5:$F$53,G1572),IF(ISNUMBER(Q1572),Q1572,IF(Q1572="","",IFERROR(VALUE(TRIM(SUBSTITUTE(SUBSTITUTE(LOWER(Q1572),"hrs",""),"hr",""))),"")))),IF(ISNUMBER(Q1572),Q1572,IF(Q1572="","",IFERROR(VALUE(TRIM(SUBSTITUTE(SUBSTITUTE(LOWER(Q1572),"hrs",""),"hr",""))),""))))</f>
        <v>2</v>
      </c>
      <c r="S1572" s="57" t="n">
        <f aca="false">IFERROR(INDEX(RATES!$E$6:$E$28,MATCH(P1572,RATES!$A$6:$A$28,0)),0)</f>
        <v>53.97</v>
      </c>
      <c r="T1572" s="61" t="n">
        <f aca="false">IF(ISNUMBER(R1572),R1572,0)*S1572</f>
        <v>107.94</v>
      </c>
      <c r="U1572" s="61" t="n">
        <f aca="false">T1572*INDEX(INPUTS!$H$10:$H$14,MATCH(B1572,INPUTS!$A$10:$A$14,0))</f>
        <v>16.29894</v>
      </c>
      <c r="V1572" s="61" t="n">
        <f aca="false">N(STACK!K1572)</f>
        <v>190</v>
      </c>
      <c r="W1572" s="61" t="n">
        <f aca="false">T1572+U1572+V1572</f>
        <v>314.23894</v>
      </c>
      <c r="X1572" s="61" t="n">
        <f aca="false">N(STACK!L1572)</f>
        <v>0</v>
      </c>
      <c r="Y1572" s="61" t="n">
        <f aca="false">W1572-X1572</f>
        <v>314.23894</v>
      </c>
      <c r="Z1572" s="1" t="n">
        <f aca="false">N(STACK!J1572)</f>
        <v>8</v>
      </c>
      <c r="AA1572" s="1" t="str">
        <f aca="false">TRIM(IF(D1572="UNMAPPED","Program not mapped. ","")&amp;IF(OR(K1572="UNMAPPED",K1572="UNASSIGNED"),"Category needs review. ","")&amp;IF(P1572="UNMAPPED","Title not mapped. ","")&amp;IF(AND(P1572&lt;&gt;"No staff time",R1572=""),"Missing hours. ","")&amp;IF(M1572="","Date not readable. ","")&amp;IF(N1572="No","Outside fiscal year. ","")&amp;IF(AND(F1572="Event",ISNUMBER(R1572)),IF(R1572&gt;12,"Event hours look high. ",""),"")&amp;IF(G1572&gt;0,"See CONFIRM sheet.",""))</f>
        <v/>
      </c>
      <c r="AB1572" s="1" t="n">
        <f aca="false">IF(N1572="No",0,IF(REVIEW!O1572=0,0,IF(G1572&gt;0,IF(INDEX(CONFIRM!$J$5:$J$53,G1572)&lt;&gt;"",INDEX(CONFIRM!$J$5:$J$53,G1572),1),1)))</f>
        <v>1</v>
      </c>
      <c r="AC1572" s="1" t="n">
        <f aca="false">IF(AB1572=1,IF(COUNTIFS($B$5:B1572,B1572,$D$5:D1572,D1572,$AB$5:AB1572,1)=1,1,0),0)</f>
        <v>0</v>
      </c>
    </row>
    <row r="1573" customFormat="false" ht="15" hidden="false" customHeight="false" outlineLevel="0" collapsed="false">
      <c r="A1573" s="48" t="str">
        <f aca="false">STACK!A1573</f>
        <v>QHH-0192</v>
      </c>
      <c r="B1573" s="48" t="str">
        <f aca="false">STACK!B1573</f>
        <v>QHH</v>
      </c>
      <c r="C1573" s="48" t="str">
        <f aca="false">STACK!E1573</f>
        <v>Quit Tobacco Class</v>
      </c>
      <c r="D1573" s="1" t="str">
        <f aca="false">IFERROR(INDEX(MAP!$J$7:$J$101,MATCH(TRIM(C1573),MAP!$I$7:$I$101,0)),"UNMAPPED")</f>
        <v>Tobacco Cessation Classes</v>
      </c>
      <c r="E1573" s="1" t="str">
        <f aca="false">IFERROR(INDEX(MAP!$K$7:$K$101,MATCH(TRIM(C1573),MAP!$I$7:$I$101,0)),"")</f>
        <v>Chronic disease prevention</v>
      </c>
      <c r="F1573" s="1" t="str">
        <f aca="false">IFERROR(INDEX(MAP!$L$7:$L$101,MATCH(TRIM(C1573),MAP!$I$7:$I$101,0)),"")</f>
        <v>Event</v>
      </c>
      <c r="G1573" s="1" t="n">
        <f aca="false">IFERROR(MATCH(A1573,CONFIRM!$A$5:$A$53,0),0)</f>
        <v>0</v>
      </c>
      <c r="H1573" s="48" t="str">
        <f aca="false">STACK!F1573</f>
        <v>CHIS - Education</v>
      </c>
      <c r="I1573" s="1" t="str">
        <f aca="false">IF(G1573&gt;0,IF(INDEX(CONFIRM!$I$5:$I$53,G1573)&lt;&gt;"",INDEX(CONFIRM!$I$5:$I$53,G1573),H1573),H1573)</f>
        <v>CHIS - Education</v>
      </c>
      <c r="J1573" s="1" t="str">
        <f aca="false">IFERROR(INDEX(MAP!$F$7:$F$74,MATCH(TRIM(I1573),MAP!$E$7:$E$74,0)),"UNMAPPED")</f>
        <v>Community health education</v>
      </c>
      <c r="K1573" s="1" t="str">
        <f aca="false">IFERROR(INDEX(MAP!$G$7:$G$74,MATCH(TRIM(I1573),MAP!$E$7:$E$74,0)),"UNMAPPED")</f>
        <v>7e</v>
      </c>
      <c r="L1573" s="49" t="str">
        <f aca="false">STACK!G1573</f>
        <v>11-Apr-2026</v>
      </c>
      <c r="M1573" s="59" t="n">
        <f aca="false">IF(G1573&gt;0,IF(INDEX(CONFIRM!$G$5:$G$53,G1573)&lt;&gt;"",INDEX(CONFIRM!$G$5:$G$53,G1573),IF(ISNUMBER(L1573),L1573,IFERROR(DATEVALUE(L1573),""))),IF(ISNUMBER(L1573),L1573,IFERROR(DATEVALUE(L1573),"")))</f>
        <v>46123</v>
      </c>
      <c r="N1573" s="1" t="str">
        <f aca="false">IF(M1573="","Check",IF(AND(M1573&gt;=INPUTS!$C$6,M1573&lt;=INPUTS!$C$7),"Yes","No"))</f>
        <v>Yes</v>
      </c>
      <c r="O1573" s="48" t="str">
        <f aca="false">STACK!H1573</f>
        <v>Phys Therapist</v>
      </c>
      <c r="P1573" s="1" t="str">
        <f aca="false">IF(G1573&gt;0,IF(INDEX(CONFIRM!$H$5:$H$53,G1573)&lt;&gt;"",INDEX(CONFIRM!$H$5:$H$53,G1573),IFERROR(INDEX(MAP!$B$7:$B$156,MATCH(TRIM(O1573),MAP!$A$7:$A$156,0)),"UNMAPPED")),IFERROR(INDEX(MAP!$B$7:$B$156,MATCH(TRIM(O1573),MAP!$A$7:$A$156,0)),"UNMAPPED"))</f>
        <v>Licensed Therapist</v>
      </c>
      <c r="Q1573" s="48" t="n">
        <f aca="false">STACK!I1573</f>
        <v>2</v>
      </c>
      <c r="R1573" s="60" t="n">
        <f aca="false">IF(G1573&gt;0,IF(INDEX(CONFIRM!$F$5:$F$53,G1573)&lt;&gt;"",INDEX(CONFIRM!$F$5:$F$53,G1573),IF(ISNUMBER(Q1573),Q1573,IF(Q1573="","",IFERROR(VALUE(TRIM(SUBSTITUTE(SUBSTITUTE(LOWER(Q1573),"hrs",""),"hr",""))),"")))),IF(ISNUMBER(Q1573),Q1573,IF(Q1573="","",IFERROR(VALUE(TRIM(SUBSTITUTE(SUBSTITUTE(LOWER(Q1573),"hrs",""),"hr",""))),""))))</f>
        <v>2</v>
      </c>
      <c r="S1573" s="57" t="n">
        <f aca="false">IFERROR(INDEX(RATES!$E$6:$E$28,MATCH(P1573,RATES!$A$6:$A$28,0)),0)</f>
        <v>53.97</v>
      </c>
      <c r="T1573" s="61" t="n">
        <f aca="false">IF(ISNUMBER(R1573),R1573,0)*S1573</f>
        <v>107.94</v>
      </c>
      <c r="U1573" s="61" t="n">
        <f aca="false">T1573*INDEX(INPUTS!$H$10:$H$14,MATCH(B1573,INPUTS!$A$10:$A$14,0))</f>
        <v>16.29894</v>
      </c>
      <c r="V1573" s="61" t="n">
        <f aca="false">N(STACK!K1573)</f>
        <v>95</v>
      </c>
      <c r="W1573" s="61" t="n">
        <f aca="false">T1573+U1573+V1573</f>
        <v>219.23894</v>
      </c>
      <c r="X1573" s="61" t="n">
        <f aca="false">N(STACK!L1573)</f>
        <v>0</v>
      </c>
      <c r="Y1573" s="61" t="n">
        <f aca="false">W1573-X1573</f>
        <v>219.23894</v>
      </c>
      <c r="Z1573" s="1" t="n">
        <f aca="false">N(STACK!J1573)</f>
        <v>11</v>
      </c>
      <c r="AA1573" s="1" t="str">
        <f aca="false">TRIM(IF(D1573="UNMAPPED","Program not mapped. ","")&amp;IF(OR(K1573="UNMAPPED",K1573="UNASSIGNED"),"Category needs review. ","")&amp;IF(P1573="UNMAPPED","Title not mapped. ","")&amp;IF(AND(P1573&lt;&gt;"No staff time",R1573=""),"Missing hours. ","")&amp;IF(M1573="","Date not readable. ","")&amp;IF(N1573="No","Outside fiscal year. ","")&amp;IF(AND(F1573="Event",ISNUMBER(R1573)),IF(R1573&gt;12,"Event hours look high. ",""),"")&amp;IF(G1573&gt;0,"See CONFIRM sheet.",""))</f>
        <v/>
      </c>
      <c r="AB1573" s="1" t="n">
        <f aca="false">IF(N1573="No",0,IF(REVIEW!O1573=0,0,IF(G1573&gt;0,IF(INDEX(CONFIRM!$J$5:$J$53,G1573)&lt;&gt;"",INDEX(CONFIRM!$J$5:$J$53,G1573),1),1)))</f>
        <v>1</v>
      </c>
      <c r="AC1573" s="1" t="n">
        <f aca="false">IF(AB1573=1,IF(COUNTIFS($B$5:B1573,B1573,$D$5:D1573,D1573,$AB$5:AB1573,1)=1,1,0),0)</f>
        <v>0</v>
      </c>
    </row>
    <row r="1574" customFormat="false" ht="15" hidden="false" customHeight="false" outlineLevel="0" collapsed="false">
      <c r="A1574" s="48" t="str">
        <f aca="false">STACK!A1574</f>
        <v>QHH-0193</v>
      </c>
      <c r="B1574" s="48" t="str">
        <f aca="false">STACK!B1574</f>
        <v>QHH</v>
      </c>
      <c r="C1574" s="48" t="str">
        <f aca="false">STACK!E1574</f>
        <v>Employee Wellness Fair</v>
      </c>
      <c r="D1574" s="1" t="str">
        <f aca="false">IFERROR(INDEX(MAP!$J$7:$J$101,MATCH(TRIM(C1574),MAP!$I$7:$I$101,0)),"UNMAPPED")</f>
        <v>Employee Wellness Fair</v>
      </c>
      <c r="E1574" s="1" t="str">
        <f aca="false">IFERROR(INDEX(MAP!$K$7:$K$101,MATCH(TRIM(C1574),MAP!$I$7:$I$101,0)),"")</f>
        <v>Chronic disease prevention</v>
      </c>
      <c r="F1574" s="1" t="str">
        <f aca="false">IFERROR(INDEX(MAP!$L$7:$L$101,MATCH(TRIM(C1574),MAP!$I$7:$I$101,0)),"")</f>
        <v>Event</v>
      </c>
      <c r="G1574" s="1" t="n">
        <f aca="false">IFERROR(MATCH(A1574,CONFIRM!$A$5:$A$53,0),0)</f>
        <v>48</v>
      </c>
      <c r="H1574" s="48" t="str">
        <f aca="false">STACK!F1574</f>
        <v>CHIS - Education</v>
      </c>
      <c r="I1574" s="1" t="str">
        <f aca="false">IF(G1574&gt;0,IF(INDEX(CONFIRM!$I$5:$I$53,G1574)&lt;&gt;"",INDEX(CONFIRM!$I$5:$I$53,G1574),H1574),H1574)</f>
        <v>CHIS - Education</v>
      </c>
      <c r="J1574" s="1" t="str">
        <f aca="false">IFERROR(INDEX(MAP!$F$7:$F$74,MATCH(TRIM(I1574),MAP!$E$7:$E$74,0)),"UNMAPPED")</f>
        <v>Community health education</v>
      </c>
      <c r="K1574" s="1" t="str">
        <f aca="false">IFERROR(INDEX(MAP!$G$7:$G$74,MATCH(TRIM(I1574),MAP!$E$7:$E$74,0)),"UNMAPPED")</f>
        <v>7e</v>
      </c>
      <c r="L1574" s="49" t="str">
        <f aca="false">STACK!G1574</f>
        <v>17-Apr-2026</v>
      </c>
      <c r="M1574" s="59" t="n">
        <f aca="false">IF(G1574&gt;0,IF(INDEX(CONFIRM!$G$5:$G$53,G1574)&lt;&gt;"",INDEX(CONFIRM!$G$5:$G$53,G1574),IF(ISNUMBER(L1574),L1574,IFERROR(DATEVALUE(L1574),""))),IF(ISNUMBER(L1574),L1574,IFERROR(DATEVALUE(L1574),"")))</f>
        <v>46129</v>
      </c>
      <c r="N1574" s="1" t="str">
        <f aca="false">IF(M1574="","Check",IF(AND(M1574&gt;=INPUTS!$C$6,M1574&lt;=INPUTS!$C$7),"Yes","No"))</f>
        <v>Yes</v>
      </c>
      <c r="O1574" s="48" t="str">
        <f aca="false">STACK!H1574</f>
        <v>CHES</v>
      </c>
      <c r="P1574" s="1" t="str">
        <f aca="false">IF(G1574&gt;0,IF(INDEX(CONFIRM!$H$5:$H$53,G1574)&lt;&gt;"",INDEX(CONFIRM!$H$5:$H$53,G1574),IFERROR(INDEX(MAP!$B$7:$B$156,MATCH(TRIM(O1574),MAP!$A$7:$A$156,0)),"UNMAPPED")),IFERROR(INDEX(MAP!$B$7:$B$156,MATCH(TRIM(O1574),MAP!$A$7:$A$156,0)),"UNMAPPED"))</f>
        <v>Health Educator</v>
      </c>
      <c r="Q1574" s="48" t="n">
        <f aca="false">STACK!I1574</f>
        <v>6</v>
      </c>
      <c r="R1574" s="60" t="n">
        <f aca="false">IF(G1574&gt;0,IF(INDEX(CONFIRM!$F$5:$F$53,G1574)&lt;&gt;"",INDEX(CONFIRM!$F$5:$F$53,G1574),IF(ISNUMBER(Q1574),Q1574,IF(Q1574="","",IFERROR(VALUE(TRIM(SUBSTITUTE(SUBSTITUTE(LOWER(Q1574),"hrs",""),"hr",""))),"")))),IF(ISNUMBER(Q1574),Q1574,IF(Q1574="","",IFERROR(VALUE(TRIM(SUBSTITUTE(SUBSTITUTE(LOWER(Q1574),"hrs",""),"hr",""))),""))))</f>
        <v>6</v>
      </c>
      <c r="S1574" s="57" t="n">
        <f aca="false">IFERROR(INDEX(RATES!$E$6:$E$28,MATCH(P1574,RATES!$A$6:$A$28,0)),0)</f>
        <v>37.265</v>
      </c>
      <c r="T1574" s="61" t="n">
        <f aca="false">IF(ISNUMBER(R1574),R1574,0)*S1574</f>
        <v>223.59</v>
      </c>
      <c r="U1574" s="61" t="n">
        <f aca="false">T1574*INDEX(INPUTS!$H$10:$H$14,MATCH(B1574,INPUTS!$A$10:$A$14,0))</f>
        <v>33.76209</v>
      </c>
      <c r="V1574" s="61" t="n">
        <f aca="false">N(STACK!K1574)</f>
        <v>1400</v>
      </c>
      <c r="W1574" s="61" t="n">
        <f aca="false">T1574+U1574+V1574</f>
        <v>1657.35209</v>
      </c>
      <c r="X1574" s="61" t="n">
        <f aca="false">N(STACK!L1574)</f>
        <v>0</v>
      </c>
      <c r="Y1574" s="61" t="n">
        <f aca="false">W1574-X1574</f>
        <v>1657.35209</v>
      </c>
      <c r="Z1574" s="1" t="n">
        <f aca="false">N(STACK!J1574)</f>
        <v>192</v>
      </c>
      <c r="AA1574" s="1" t="str">
        <f aca="false">TRIM(IF(D1574="UNMAPPED","Program not mapped. ","")&amp;IF(OR(K1574="UNMAPPED",K1574="UNASSIGNED"),"Category needs review. ","")&amp;IF(P1574="UNMAPPED","Title not mapped. ","")&amp;IF(AND(P1574&lt;&gt;"No staff time",R1574=""),"Missing hours. ","")&amp;IF(M1574="","Date not readable. ","")&amp;IF(N1574="No","Outside fiscal year. ","")&amp;IF(AND(F1574="Event",ISNUMBER(R1574)),IF(R1574&gt;12,"Event hours look high. ",""),"")&amp;IF(G1574&gt;0,"See CONFIRM sheet.",""))</f>
        <v>See CONFIRM sheet.</v>
      </c>
      <c r="AB1574" s="1" t="n">
        <f aca="false">IF(N1574="No",0,IF(REVIEW!O1574=0,0,IF(G1574&gt;0,IF(INDEX(CONFIRM!$J$5:$J$53,G1574)&lt;&gt;"",INDEX(CONFIRM!$J$5:$J$53,G1574),1),1)))</f>
        <v>0</v>
      </c>
      <c r="AC1574" s="1" t="n">
        <f aca="false">IF(AB1574=1,IF(COUNTIFS($B$5:B1574,B1574,$D$5:D1574,D1574,$AB$5:AB1574,1)=1,1,0),0)</f>
        <v>0</v>
      </c>
    </row>
    <row r="1575" customFormat="false" ht="15" hidden="false" customHeight="false" outlineLevel="0" collapsed="false">
      <c r="A1575" s="48" t="str">
        <f aca="false">STACK!A1575</f>
        <v>QHH-0194</v>
      </c>
      <c r="B1575" s="48" t="str">
        <f aca="false">STACK!B1575</f>
        <v>QHH</v>
      </c>
      <c r="C1575" s="48" t="str">
        <f aca="false">STACK!E1575</f>
        <v>Employee Wellness Fair</v>
      </c>
      <c r="D1575" s="1" t="str">
        <f aca="false">IFERROR(INDEX(MAP!$J$7:$J$101,MATCH(TRIM(C1575),MAP!$I$7:$I$101,0)),"UNMAPPED")</f>
        <v>Employee Wellness Fair</v>
      </c>
      <c r="E1575" s="1" t="str">
        <f aca="false">IFERROR(INDEX(MAP!$K$7:$K$101,MATCH(TRIM(C1575),MAP!$I$7:$I$101,0)),"")</f>
        <v>Chronic disease prevention</v>
      </c>
      <c r="F1575" s="1" t="str">
        <f aca="false">IFERROR(INDEX(MAP!$L$7:$L$101,MATCH(TRIM(C1575),MAP!$I$7:$I$101,0)),"")</f>
        <v>Event</v>
      </c>
      <c r="G1575" s="1" t="n">
        <f aca="false">IFERROR(MATCH(A1575,CONFIRM!$A$5:$A$53,0),0)</f>
        <v>49</v>
      </c>
      <c r="H1575" s="48" t="str">
        <f aca="false">STACK!F1575</f>
        <v>CHIS - Education</v>
      </c>
      <c r="I1575" s="1" t="str">
        <f aca="false">IF(G1575&gt;0,IF(INDEX(CONFIRM!$I$5:$I$53,G1575)&lt;&gt;"",INDEX(CONFIRM!$I$5:$I$53,G1575),H1575),H1575)</f>
        <v>CHIS - Education</v>
      </c>
      <c r="J1575" s="1" t="str">
        <f aca="false">IFERROR(INDEX(MAP!$F$7:$F$74,MATCH(TRIM(I1575),MAP!$E$7:$E$74,0)),"UNMAPPED")</f>
        <v>Community health education</v>
      </c>
      <c r="K1575" s="1" t="str">
        <f aca="false">IFERROR(INDEX(MAP!$G$7:$G$74,MATCH(TRIM(I1575),MAP!$E$7:$E$74,0)),"UNMAPPED")</f>
        <v>7e</v>
      </c>
      <c r="L1575" s="49" t="str">
        <f aca="false">STACK!G1575</f>
        <v>17-Apr-2026</v>
      </c>
      <c r="M1575" s="59" t="n">
        <f aca="false">IF(G1575&gt;0,IF(INDEX(CONFIRM!$G$5:$G$53,G1575)&lt;&gt;"",INDEX(CONFIRM!$G$5:$G$53,G1575),IF(ISNUMBER(L1575),L1575,IFERROR(DATEVALUE(L1575),""))),IF(ISNUMBER(L1575),L1575,IFERROR(DATEVALUE(L1575),"")))</f>
        <v>46129</v>
      </c>
      <c r="N1575" s="1" t="str">
        <f aca="false">IF(M1575="","Check",IF(AND(M1575&gt;=INPUTS!$C$6,M1575&lt;=INPUTS!$C$7),"Yes","No"))</f>
        <v>Yes</v>
      </c>
      <c r="O1575" s="48" t="str">
        <f aca="false">STACK!H1575</f>
        <v>Charge RN</v>
      </c>
      <c r="P1575" s="1" t="str">
        <f aca="false">IF(G1575&gt;0,IF(INDEX(CONFIRM!$H$5:$H$53,G1575)&lt;&gt;"",INDEX(CONFIRM!$H$5:$H$53,G1575),IFERROR(INDEX(MAP!$B$7:$B$156,MATCH(TRIM(O1575),MAP!$A$7:$A$156,0)),"UNMAPPED")),IFERROR(INDEX(MAP!$B$7:$B$156,MATCH(TRIM(O1575),MAP!$A$7:$A$156,0)),"UNMAPPED"))</f>
        <v>Registered Nurse</v>
      </c>
      <c r="Q1575" s="48" t="n">
        <f aca="false">STACK!I1575</f>
        <v>6</v>
      </c>
      <c r="R1575" s="60" t="n">
        <f aca="false">IF(G1575&gt;0,IF(INDEX(CONFIRM!$F$5:$F$53,G1575)&lt;&gt;"",INDEX(CONFIRM!$F$5:$F$53,G1575),IF(ISNUMBER(Q1575),Q1575,IF(Q1575="","",IFERROR(VALUE(TRIM(SUBSTITUTE(SUBSTITUTE(LOWER(Q1575),"hrs",""),"hr",""))),"")))),IF(ISNUMBER(Q1575),Q1575,IF(Q1575="","",IFERROR(VALUE(TRIM(SUBSTITUTE(SUBSTITUTE(LOWER(Q1575),"hrs",""),"hr",""))),""))))</f>
        <v>6</v>
      </c>
      <c r="S1575" s="57" t="n">
        <f aca="false">IFERROR(INDEX(RATES!$E$6:$E$28,MATCH(P1575,RATES!$A$6:$A$28,0)),0)</f>
        <v>55.8975</v>
      </c>
      <c r="T1575" s="61" t="n">
        <f aca="false">IF(ISNUMBER(R1575),R1575,0)*S1575</f>
        <v>335.385</v>
      </c>
      <c r="U1575" s="61" t="n">
        <f aca="false">T1575*INDEX(INPUTS!$H$10:$H$14,MATCH(B1575,INPUTS!$A$10:$A$14,0))</f>
        <v>50.643135</v>
      </c>
      <c r="V1575" s="61" t="n">
        <f aca="false">N(STACK!K1575)</f>
        <v>0</v>
      </c>
      <c r="W1575" s="61" t="n">
        <f aca="false">T1575+U1575+V1575</f>
        <v>386.028135</v>
      </c>
      <c r="X1575" s="61" t="n">
        <f aca="false">N(STACK!L1575)</f>
        <v>0</v>
      </c>
      <c r="Y1575" s="61" t="n">
        <f aca="false">W1575-X1575</f>
        <v>386.028135</v>
      </c>
      <c r="Z1575" s="1" t="n">
        <f aca="false">N(STACK!J1575)</f>
        <v>0</v>
      </c>
      <c r="AA1575" s="1" t="str">
        <f aca="false">TRIM(IF(D1575="UNMAPPED","Program not mapped. ","")&amp;IF(OR(K1575="UNMAPPED",K1575="UNASSIGNED"),"Category needs review. ","")&amp;IF(P1575="UNMAPPED","Title not mapped. ","")&amp;IF(AND(P1575&lt;&gt;"No staff time",R1575=""),"Missing hours. ","")&amp;IF(M1575="","Date not readable. ","")&amp;IF(N1575="No","Outside fiscal year. ","")&amp;IF(AND(F1575="Event",ISNUMBER(R1575)),IF(R1575&gt;12,"Event hours look high. ",""),"")&amp;IF(G1575&gt;0,"See CONFIRM sheet.",""))</f>
        <v>See CONFIRM sheet.</v>
      </c>
      <c r="AB1575" s="1" t="n">
        <f aca="false">IF(N1575="No",0,IF(REVIEW!O1575=0,0,IF(G1575&gt;0,IF(INDEX(CONFIRM!$J$5:$J$53,G1575)&lt;&gt;"",INDEX(CONFIRM!$J$5:$J$53,G1575),1),1)))</f>
        <v>0</v>
      </c>
      <c r="AC1575" s="1" t="n">
        <f aca="false">IF(AB1575=1,IF(COUNTIFS($B$5:B1575,B1575,$D$5:D1575,D1575,$AB$5:AB1575,1)=1,1,0),0)</f>
        <v>0</v>
      </c>
    </row>
    <row r="1576" customFormat="false" ht="15" hidden="false" customHeight="false" outlineLevel="0" collapsed="false">
      <c r="A1576" s="48" t="str">
        <f aca="false">STACK!A1576</f>
        <v>QHH-0195</v>
      </c>
      <c r="B1576" s="48" t="str">
        <f aca="false">STACK!B1576</f>
        <v>QHH</v>
      </c>
      <c r="C1576" s="48" t="str">
        <f aca="false">STACK!E1576</f>
        <v>Fall Prevention Class</v>
      </c>
      <c r="D1576" s="1" t="str">
        <f aca="false">IFERROR(INDEX(MAP!$J$7:$J$101,MATCH(TRIM(C1576),MAP!$I$7:$I$101,0)),"UNMAPPED")</f>
        <v>Fall Prevention Classes for Older Adults</v>
      </c>
      <c r="E1576" s="1" t="str">
        <f aca="false">IFERROR(INDEX(MAP!$K$7:$K$101,MATCH(TRIM(C1576),MAP!$I$7:$I$101,0)),"")</f>
        <v>Chronic disease prevention</v>
      </c>
      <c r="F1576" s="1" t="str">
        <f aca="false">IFERROR(INDEX(MAP!$L$7:$L$101,MATCH(TRIM(C1576),MAP!$I$7:$I$101,0)),"")</f>
        <v>Event</v>
      </c>
      <c r="G1576" s="1" t="n">
        <f aca="false">IFERROR(MATCH(A1576,CONFIRM!$A$5:$A$53,0),0)</f>
        <v>0</v>
      </c>
      <c r="H1576" s="48" t="str">
        <f aca="false">STACK!F1576</f>
        <v>CHIS - Education</v>
      </c>
      <c r="I1576" s="1" t="str">
        <f aca="false">IF(G1576&gt;0,IF(INDEX(CONFIRM!$I$5:$I$53,G1576)&lt;&gt;"",INDEX(CONFIRM!$I$5:$I$53,G1576),H1576),H1576)</f>
        <v>CHIS - Education</v>
      </c>
      <c r="J1576" s="1" t="str">
        <f aca="false">IFERROR(INDEX(MAP!$F$7:$F$74,MATCH(TRIM(I1576),MAP!$E$7:$E$74,0)),"UNMAPPED")</f>
        <v>Community health education</v>
      </c>
      <c r="K1576" s="1" t="str">
        <f aca="false">IFERROR(INDEX(MAP!$G$7:$G$74,MATCH(TRIM(I1576),MAP!$E$7:$E$74,0)),"UNMAPPED")</f>
        <v>7e</v>
      </c>
      <c r="L1576" s="49" t="str">
        <f aca="false">STACK!G1576</f>
        <v>24-Apr-2026</v>
      </c>
      <c r="M1576" s="59" t="n">
        <f aca="false">IF(G1576&gt;0,IF(INDEX(CONFIRM!$G$5:$G$53,G1576)&lt;&gt;"",INDEX(CONFIRM!$G$5:$G$53,G1576),IF(ISNUMBER(L1576),L1576,IFERROR(DATEVALUE(L1576),""))),IF(ISNUMBER(L1576),L1576,IFERROR(DATEVALUE(L1576),"")))</f>
        <v>46136</v>
      </c>
      <c r="N1576" s="1" t="str">
        <f aca="false">IF(M1576="","Check",IF(AND(M1576&gt;=INPUTS!$C$6,M1576&lt;=INPUTS!$C$7),"Yes","No"))</f>
        <v>Yes</v>
      </c>
      <c r="O1576" s="48" t="str">
        <f aca="false">STACK!H1576</f>
        <v>Physical Therapist</v>
      </c>
      <c r="P1576" s="1" t="str">
        <f aca="false">IF(G1576&gt;0,IF(INDEX(CONFIRM!$H$5:$H$53,G1576)&lt;&gt;"",INDEX(CONFIRM!$H$5:$H$53,G1576),IFERROR(INDEX(MAP!$B$7:$B$156,MATCH(TRIM(O1576),MAP!$A$7:$A$156,0)),"UNMAPPED")),IFERROR(INDEX(MAP!$B$7:$B$156,MATCH(TRIM(O1576),MAP!$A$7:$A$156,0)),"UNMAPPED"))</f>
        <v>Licensed Therapist</v>
      </c>
      <c r="Q1576" s="48" t="n">
        <f aca="false">STACK!I1576</f>
        <v>2</v>
      </c>
      <c r="R1576" s="60" t="n">
        <f aca="false">IF(G1576&gt;0,IF(INDEX(CONFIRM!$F$5:$F$53,G1576)&lt;&gt;"",INDEX(CONFIRM!$F$5:$F$53,G1576),IF(ISNUMBER(Q1576),Q1576,IF(Q1576="","",IFERROR(VALUE(TRIM(SUBSTITUTE(SUBSTITUTE(LOWER(Q1576),"hrs",""),"hr",""))),"")))),IF(ISNUMBER(Q1576),Q1576,IF(Q1576="","",IFERROR(VALUE(TRIM(SUBSTITUTE(SUBSTITUTE(LOWER(Q1576),"hrs",""),"hr",""))),""))))</f>
        <v>2</v>
      </c>
      <c r="S1576" s="57" t="n">
        <f aca="false">IFERROR(INDEX(RATES!$E$6:$E$28,MATCH(P1576,RATES!$A$6:$A$28,0)),0)</f>
        <v>53.97</v>
      </c>
      <c r="T1576" s="61" t="n">
        <f aca="false">IF(ISNUMBER(R1576),R1576,0)*S1576</f>
        <v>107.94</v>
      </c>
      <c r="U1576" s="61" t="n">
        <f aca="false">T1576*INDEX(INPUTS!$H$10:$H$14,MATCH(B1576,INPUTS!$A$10:$A$14,0))</f>
        <v>16.29894</v>
      </c>
      <c r="V1576" s="61" t="n">
        <f aca="false">N(STACK!K1576)</f>
        <v>95</v>
      </c>
      <c r="W1576" s="61" t="n">
        <f aca="false">T1576+U1576+V1576</f>
        <v>219.23894</v>
      </c>
      <c r="X1576" s="61" t="n">
        <f aca="false">N(STACK!L1576)</f>
        <v>0</v>
      </c>
      <c r="Y1576" s="61" t="n">
        <f aca="false">W1576-X1576</f>
        <v>219.23894</v>
      </c>
      <c r="Z1576" s="1" t="n">
        <f aca="false">N(STACK!J1576)</f>
        <v>15</v>
      </c>
      <c r="AA1576" s="1" t="str">
        <f aca="false">TRIM(IF(D1576="UNMAPPED","Program not mapped. ","")&amp;IF(OR(K1576="UNMAPPED",K1576="UNASSIGNED"),"Category needs review. ","")&amp;IF(P1576="UNMAPPED","Title not mapped. ","")&amp;IF(AND(P1576&lt;&gt;"No staff time",R1576=""),"Missing hours. ","")&amp;IF(M1576="","Date not readable. ","")&amp;IF(N1576="No","Outside fiscal year. ","")&amp;IF(AND(F1576="Event",ISNUMBER(R1576)),IF(R1576&gt;12,"Event hours look high. ",""),"")&amp;IF(G1576&gt;0,"See CONFIRM sheet.",""))</f>
        <v/>
      </c>
      <c r="AB1576" s="1" t="n">
        <f aca="false">IF(N1576="No",0,IF(REVIEW!O1576=0,0,IF(G1576&gt;0,IF(INDEX(CONFIRM!$J$5:$J$53,G1576)&lt;&gt;"",INDEX(CONFIRM!$J$5:$J$53,G1576),1),1)))</f>
        <v>1</v>
      </c>
      <c r="AC1576" s="1" t="n">
        <f aca="false">IF(AB1576=1,IF(COUNTIFS($B$5:B1576,B1576,$D$5:D1576,D1576,$AB$5:AB1576,1)=1,1,0),0)</f>
        <v>0</v>
      </c>
    </row>
    <row r="1577" customFormat="false" ht="15" hidden="false" customHeight="false" outlineLevel="0" collapsed="false">
      <c r="A1577" s="48" t="str">
        <f aca="false">STACK!A1577</f>
        <v>QHH-0196</v>
      </c>
      <c r="B1577" s="48" t="str">
        <f aca="false">STACK!B1577</f>
        <v>QHH</v>
      </c>
      <c r="C1577" s="48" t="str">
        <f aca="false">STACK!E1577</f>
        <v>Childbirth Education</v>
      </c>
      <c r="D1577" s="1" t="str">
        <f aca="false">IFERROR(INDEX(MAP!$J$7:$J$101,MATCH(TRIM(C1577),MAP!$I$7:$I$101,0)),"UNMAPPED")</f>
        <v>Childbirth and Newborn Care Classes</v>
      </c>
      <c r="E1577" s="1" t="str">
        <f aca="false">IFERROR(INDEX(MAP!$K$7:$K$101,MATCH(TRIM(C1577),MAP!$I$7:$I$101,0)),"")</f>
        <v>Maternal and child health</v>
      </c>
      <c r="F1577" s="1" t="str">
        <f aca="false">IFERROR(INDEX(MAP!$L$7:$L$101,MATCH(TRIM(C1577),MAP!$I$7:$I$101,0)),"")</f>
        <v>Event</v>
      </c>
      <c r="G1577" s="1" t="n">
        <f aca="false">IFERROR(MATCH(A1577,CONFIRM!$A$5:$A$53,0),0)</f>
        <v>0</v>
      </c>
      <c r="H1577" s="48" t="str">
        <f aca="false">STACK!F1577</f>
        <v>CHIS - Education</v>
      </c>
      <c r="I1577" s="1" t="str">
        <f aca="false">IF(G1577&gt;0,IF(INDEX(CONFIRM!$I$5:$I$53,G1577)&lt;&gt;"",INDEX(CONFIRM!$I$5:$I$53,G1577),H1577),H1577)</f>
        <v>CHIS - Education</v>
      </c>
      <c r="J1577" s="1" t="str">
        <f aca="false">IFERROR(INDEX(MAP!$F$7:$F$74,MATCH(TRIM(I1577),MAP!$E$7:$E$74,0)),"UNMAPPED")</f>
        <v>Community health education</v>
      </c>
      <c r="K1577" s="1" t="str">
        <f aca="false">IFERROR(INDEX(MAP!$G$7:$G$74,MATCH(TRIM(I1577),MAP!$E$7:$E$74,0)),"UNMAPPED")</f>
        <v>7e</v>
      </c>
      <c r="L1577" s="49" t="str">
        <f aca="false">STACK!G1577</f>
        <v>25-Apr-2026</v>
      </c>
      <c r="M1577" s="59" t="n">
        <f aca="false">IF(G1577&gt;0,IF(INDEX(CONFIRM!$G$5:$G$53,G1577)&lt;&gt;"",INDEX(CONFIRM!$G$5:$G$53,G1577),IF(ISNUMBER(L1577),L1577,IFERROR(DATEVALUE(L1577),""))),IF(ISNUMBER(L1577),L1577,IFERROR(DATEVALUE(L1577),"")))</f>
        <v>46137</v>
      </c>
      <c r="N1577" s="1" t="str">
        <f aca="false">IF(M1577="","Check",IF(AND(M1577&gt;=INPUTS!$C$6,M1577&lt;=INPUTS!$C$7),"Yes","No"))</f>
        <v>Yes</v>
      </c>
      <c r="O1577" s="48" t="str">
        <f aca="false">STACK!H1577</f>
        <v>Nurse Educator</v>
      </c>
      <c r="P1577" s="1" t="str">
        <f aca="false">IF(G1577&gt;0,IF(INDEX(CONFIRM!$H$5:$H$53,G1577)&lt;&gt;"",INDEX(CONFIRM!$H$5:$H$53,G1577),IFERROR(INDEX(MAP!$B$7:$B$156,MATCH(TRIM(O1577),MAP!$A$7:$A$156,0)),"UNMAPPED")),IFERROR(INDEX(MAP!$B$7:$B$156,MATCH(TRIM(O1577),MAP!$A$7:$A$156,0)),"UNMAPPED"))</f>
        <v>Clinical Nurse Educator</v>
      </c>
      <c r="Q1577" s="48" t="n">
        <f aca="false">STACK!I1577</f>
        <v>3.5</v>
      </c>
      <c r="R1577" s="60" t="n">
        <f aca="false">IF(G1577&gt;0,IF(INDEX(CONFIRM!$F$5:$F$53,G1577)&lt;&gt;"",INDEX(CONFIRM!$F$5:$F$53,G1577),IF(ISNUMBER(Q1577),Q1577,IF(Q1577="","",IFERROR(VALUE(TRIM(SUBSTITUTE(SUBSTITUTE(LOWER(Q1577),"hrs",""),"hr",""))),"")))),IF(ISNUMBER(Q1577),Q1577,IF(Q1577="","",IFERROR(VALUE(TRIM(SUBSTITUTE(SUBSTITUTE(LOWER(Q1577),"hrs",""),"hr",""))),""))))</f>
        <v>3.5</v>
      </c>
      <c r="S1577" s="57" t="n">
        <f aca="false">IFERROR(INDEX(RATES!$E$6:$E$28,MATCH(P1577,RATES!$A$6:$A$28,0)),0)</f>
        <v>62.965</v>
      </c>
      <c r="T1577" s="61" t="n">
        <f aca="false">IF(ISNUMBER(R1577),R1577,0)*S1577</f>
        <v>220.3775</v>
      </c>
      <c r="U1577" s="61" t="n">
        <f aca="false">T1577*INDEX(INPUTS!$H$10:$H$14,MATCH(B1577,INPUTS!$A$10:$A$14,0))</f>
        <v>33.2770025</v>
      </c>
      <c r="V1577" s="61" t="n">
        <f aca="false">N(STACK!K1577)</f>
        <v>170</v>
      </c>
      <c r="W1577" s="61" t="n">
        <f aca="false">T1577+U1577+V1577</f>
        <v>423.6545025</v>
      </c>
      <c r="X1577" s="61" t="n">
        <f aca="false">N(STACK!L1577)</f>
        <v>280</v>
      </c>
      <c r="Y1577" s="61" t="n">
        <f aca="false">W1577-X1577</f>
        <v>143.6545025</v>
      </c>
      <c r="Z1577" s="1" t="n">
        <f aca="false">N(STACK!J1577)</f>
        <v>14</v>
      </c>
      <c r="AA1577" s="1" t="str">
        <f aca="false">TRIM(IF(D1577="UNMAPPED","Program not mapped. ","")&amp;IF(OR(K1577="UNMAPPED",K1577="UNASSIGNED"),"Category needs review. ","")&amp;IF(P1577="UNMAPPED","Title not mapped. ","")&amp;IF(AND(P1577&lt;&gt;"No staff time",R1577=""),"Missing hours. ","")&amp;IF(M1577="","Date not readable. ","")&amp;IF(N1577="No","Outside fiscal year. ","")&amp;IF(AND(F1577="Event",ISNUMBER(R1577)),IF(R1577&gt;12,"Event hours look high. ",""),"")&amp;IF(G1577&gt;0,"See CONFIRM sheet.",""))</f>
        <v/>
      </c>
      <c r="AB1577" s="1" t="n">
        <f aca="false">IF(N1577="No",0,IF(REVIEW!O1577=0,0,IF(G1577&gt;0,IF(INDEX(CONFIRM!$J$5:$J$53,G1577)&lt;&gt;"",INDEX(CONFIRM!$J$5:$J$53,G1577),1),1)))</f>
        <v>1</v>
      </c>
      <c r="AC1577" s="1" t="n">
        <f aca="false">IF(AB1577=1,IF(COUNTIFS($B$5:B1577,B1577,$D$5:D1577,D1577,$AB$5:AB1577,1)=1,1,0),0)</f>
        <v>0</v>
      </c>
    </row>
    <row r="1578" customFormat="false" ht="15" hidden="false" customHeight="false" outlineLevel="0" collapsed="false">
      <c r="A1578" s="48" t="str">
        <f aca="false">STACK!A1578</f>
        <v>QHH-0197</v>
      </c>
      <c r="B1578" s="48" t="str">
        <f aca="false">STACK!B1578</f>
        <v>QHH</v>
      </c>
      <c r="C1578" s="48" t="str">
        <f aca="false">STACK!E1578</f>
        <v>Grief Support Group</v>
      </c>
      <c r="D1578" s="1" t="str">
        <f aca="false">IFERROR(INDEX(MAP!$J$7:$J$101,MATCH(TRIM(C1578),MAP!$I$7:$I$101,0)),"UNMAPPED")</f>
        <v>Grief Support Group</v>
      </c>
      <c r="E1578" s="1" t="str">
        <f aca="false">IFERROR(INDEX(MAP!$K$7:$K$101,MATCH(TRIM(C1578),MAP!$I$7:$I$101,0)),"")</f>
        <v>Behavioral health</v>
      </c>
      <c r="F1578" s="1" t="str">
        <f aca="false">IFERROR(INDEX(MAP!$L$7:$L$101,MATCH(TRIM(C1578),MAP!$I$7:$I$101,0)),"")</f>
        <v>Event</v>
      </c>
      <c r="G1578" s="1" t="n">
        <f aca="false">IFERROR(MATCH(A1578,CONFIRM!$A$5:$A$53,0),0)</f>
        <v>0</v>
      </c>
      <c r="H1578" s="48" t="str">
        <f aca="false">STACK!F1578</f>
        <v>CHIS - Support</v>
      </c>
      <c r="I1578" s="1" t="str">
        <f aca="false">IF(G1578&gt;0,IF(INDEX(CONFIRM!$I$5:$I$53,G1578)&lt;&gt;"",INDEX(CONFIRM!$I$5:$I$53,G1578),H1578),H1578)</f>
        <v>CHIS - Support</v>
      </c>
      <c r="J1578" s="1" t="str">
        <f aca="false">IFERROR(INDEX(MAP!$F$7:$F$74,MATCH(TRIM(I1578),MAP!$E$7:$E$74,0)),"UNMAPPED")</f>
        <v>Health care support services</v>
      </c>
      <c r="K1578" s="1" t="str">
        <f aca="false">IFERROR(INDEX(MAP!$G$7:$G$74,MATCH(TRIM(I1578),MAP!$E$7:$E$74,0)),"UNMAPPED")</f>
        <v>7e</v>
      </c>
      <c r="L1578" s="49" t="str">
        <f aca="false">STACK!G1578</f>
        <v>27-Apr-2026</v>
      </c>
      <c r="M1578" s="59" t="n">
        <f aca="false">IF(G1578&gt;0,IF(INDEX(CONFIRM!$G$5:$G$53,G1578)&lt;&gt;"",INDEX(CONFIRM!$G$5:$G$53,G1578),IF(ISNUMBER(L1578),L1578,IFERROR(DATEVALUE(L1578),""))),IF(ISNUMBER(L1578),L1578,IFERROR(DATEVALUE(L1578),"")))</f>
        <v>46139</v>
      </c>
      <c r="N1578" s="1" t="str">
        <f aca="false">IF(M1578="","Check",IF(AND(M1578&gt;=INPUTS!$C$6,M1578&lt;=INPUTS!$C$7),"Yes","No"))</f>
        <v>Yes</v>
      </c>
      <c r="O1578" s="48" t="str">
        <f aca="false">STACK!H1578</f>
        <v>Chaplain Resident</v>
      </c>
      <c r="P1578" s="1" t="str">
        <f aca="false">IF(G1578&gt;0,IF(INDEX(CONFIRM!$H$5:$H$53,G1578)&lt;&gt;"",INDEX(CONFIRM!$H$5:$H$53,G1578),IFERROR(INDEX(MAP!$B$7:$B$156,MATCH(TRIM(O1578),MAP!$A$7:$A$156,0)),"UNMAPPED")),IFERROR(INDEX(MAP!$B$7:$B$156,MATCH(TRIM(O1578),MAP!$A$7:$A$156,0)),"UNMAPPED"))</f>
        <v>Chaplain</v>
      </c>
      <c r="Q1578" s="48" t="n">
        <f aca="false">STACK!I1578</f>
        <v>2</v>
      </c>
      <c r="R1578" s="60" t="n">
        <f aca="false">IF(G1578&gt;0,IF(INDEX(CONFIRM!$F$5:$F$53,G1578)&lt;&gt;"",INDEX(CONFIRM!$F$5:$F$53,G1578),IF(ISNUMBER(Q1578),Q1578,IF(Q1578="","",IFERROR(VALUE(TRIM(SUBSTITUTE(SUBSTITUTE(LOWER(Q1578),"hrs",""),"hr",""))),"")))),IF(ISNUMBER(Q1578),Q1578,IF(Q1578="","",IFERROR(VALUE(TRIM(SUBSTITUTE(SUBSTITUTE(LOWER(Q1578),"hrs",""),"hr",""))),""))))</f>
        <v>2</v>
      </c>
      <c r="S1578" s="57" t="n">
        <f aca="false">IFERROR(INDEX(RATES!$E$6:$E$28,MATCH(P1578,RATES!$A$6:$A$28,0)),0)</f>
        <v>39.835</v>
      </c>
      <c r="T1578" s="61" t="n">
        <f aca="false">IF(ISNUMBER(R1578),R1578,0)*S1578</f>
        <v>79.67</v>
      </c>
      <c r="U1578" s="61" t="n">
        <f aca="false">T1578*INDEX(INPUTS!$H$10:$H$14,MATCH(B1578,INPUTS!$A$10:$A$14,0))</f>
        <v>12.03017</v>
      </c>
      <c r="V1578" s="61" t="n">
        <f aca="false">N(STACK!K1578)</f>
        <v>25</v>
      </c>
      <c r="W1578" s="61" t="n">
        <f aca="false">T1578+U1578+V1578</f>
        <v>116.70017</v>
      </c>
      <c r="X1578" s="61" t="n">
        <f aca="false">N(STACK!L1578)</f>
        <v>0</v>
      </c>
      <c r="Y1578" s="61" t="n">
        <f aca="false">W1578-X1578</f>
        <v>116.70017</v>
      </c>
      <c r="Z1578" s="1" t="n">
        <f aca="false">N(STACK!J1578)</f>
        <v>11</v>
      </c>
      <c r="AA1578" s="1" t="str">
        <f aca="false">TRIM(IF(D1578="UNMAPPED","Program not mapped. ","")&amp;IF(OR(K1578="UNMAPPED",K1578="UNASSIGNED"),"Category needs review. ","")&amp;IF(P1578="UNMAPPED","Title not mapped. ","")&amp;IF(AND(P1578&lt;&gt;"No staff time",R1578=""),"Missing hours. ","")&amp;IF(M1578="","Date not readable. ","")&amp;IF(N1578="No","Outside fiscal year. ","")&amp;IF(AND(F1578="Event",ISNUMBER(R1578)),IF(R1578&gt;12,"Event hours look high. ",""),"")&amp;IF(G1578&gt;0,"See CONFIRM sheet.",""))</f>
        <v/>
      </c>
      <c r="AB1578" s="1" t="n">
        <f aca="false">IF(N1578="No",0,IF(REVIEW!O1578=0,0,IF(G1578&gt;0,IF(INDEX(CONFIRM!$J$5:$J$53,G1578)&lt;&gt;"",INDEX(CONFIRM!$J$5:$J$53,G1578),1),1)))</f>
        <v>1</v>
      </c>
      <c r="AC1578" s="1" t="n">
        <f aca="false">IF(AB1578=1,IF(COUNTIFS($B$5:B1578,B1578,$D$5:D1578,D1578,$AB$5:AB1578,1)=1,1,0),0)</f>
        <v>0</v>
      </c>
    </row>
    <row r="1579" customFormat="false" ht="15" hidden="false" customHeight="false" outlineLevel="0" collapsed="false">
      <c r="A1579" s="48" t="str">
        <f aca="false">STACK!A1579</f>
        <v>QHH-0198</v>
      </c>
      <c r="B1579" s="48" t="str">
        <f aca="false">STACK!B1579</f>
        <v>QHH</v>
      </c>
      <c r="C1579" s="48" t="str">
        <f aca="false">STACK!E1579</f>
        <v>Grief Support Group</v>
      </c>
      <c r="D1579" s="1" t="str">
        <f aca="false">IFERROR(INDEX(MAP!$J$7:$J$101,MATCH(TRIM(C1579),MAP!$I$7:$I$101,0)),"UNMAPPED")</f>
        <v>Grief Support Group</v>
      </c>
      <c r="E1579" s="1" t="str">
        <f aca="false">IFERROR(INDEX(MAP!$K$7:$K$101,MATCH(TRIM(C1579),MAP!$I$7:$I$101,0)),"")</f>
        <v>Behavioral health</v>
      </c>
      <c r="F1579" s="1" t="str">
        <f aca="false">IFERROR(INDEX(MAP!$L$7:$L$101,MATCH(TRIM(C1579),MAP!$I$7:$I$101,0)),"")</f>
        <v>Event</v>
      </c>
      <c r="G1579" s="1" t="n">
        <f aca="false">IFERROR(MATCH(A1579,CONFIRM!$A$5:$A$53,0),0)</f>
        <v>0</v>
      </c>
      <c r="H1579" s="48" t="str">
        <f aca="false">STACK!F1579</f>
        <v>CHIS - Support</v>
      </c>
      <c r="I1579" s="1" t="str">
        <f aca="false">IF(G1579&gt;0,IF(INDEX(CONFIRM!$I$5:$I$53,G1579)&lt;&gt;"",INDEX(CONFIRM!$I$5:$I$53,G1579),H1579),H1579)</f>
        <v>CHIS - Support</v>
      </c>
      <c r="J1579" s="1" t="str">
        <f aca="false">IFERROR(INDEX(MAP!$F$7:$F$74,MATCH(TRIM(I1579),MAP!$E$7:$E$74,0)),"UNMAPPED")</f>
        <v>Health care support services</v>
      </c>
      <c r="K1579" s="1" t="str">
        <f aca="false">IFERROR(INDEX(MAP!$G$7:$G$74,MATCH(TRIM(I1579),MAP!$E$7:$E$74,0)),"UNMAPPED")</f>
        <v>7e</v>
      </c>
      <c r="L1579" s="49" t="str">
        <f aca="false">STACK!G1579</f>
        <v>27-Apr-2026</v>
      </c>
      <c r="M1579" s="59" t="n">
        <f aca="false">IF(G1579&gt;0,IF(INDEX(CONFIRM!$G$5:$G$53,G1579)&lt;&gt;"",INDEX(CONFIRM!$G$5:$G$53,G1579),IF(ISNUMBER(L1579),L1579,IFERROR(DATEVALUE(L1579),""))),IF(ISNUMBER(L1579),L1579,IFERROR(DATEVALUE(L1579),"")))</f>
        <v>46139</v>
      </c>
      <c r="N1579" s="1" t="str">
        <f aca="false">IF(M1579="","Check",IF(AND(M1579&gt;=INPUTS!$C$6,M1579&lt;=INPUTS!$C$7),"Yes","No"))</f>
        <v>Yes</v>
      </c>
      <c r="O1579" s="48" t="str">
        <f aca="false">STACK!H1579</f>
        <v>LCSW</v>
      </c>
      <c r="P1579" s="1" t="str">
        <f aca="false">IF(G1579&gt;0,IF(INDEX(CONFIRM!$H$5:$H$53,G1579)&lt;&gt;"",INDEX(CONFIRM!$H$5:$H$53,G1579),IFERROR(INDEX(MAP!$B$7:$B$156,MATCH(TRIM(O1579),MAP!$A$7:$A$156,0)),"UNMAPPED")),IFERROR(INDEX(MAP!$B$7:$B$156,MATCH(TRIM(O1579),MAP!$A$7:$A$156,0)),"UNMAPPED"))</f>
        <v>Social Worker</v>
      </c>
      <c r="Q1579" s="48" t="n">
        <f aca="false">STACK!I1579</f>
        <v>1.5</v>
      </c>
      <c r="R1579" s="60" t="n">
        <f aca="false">IF(G1579&gt;0,IF(INDEX(CONFIRM!$F$5:$F$53,G1579)&lt;&gt;"",INDEX(CONFIRM!$F$5:$F$53,G1579),IF(ISNUMBER(Q1579),Q1579,IF(Q1579="","",IFERROR(VALUE(TRIM(SUBSTITUTE(SUBSTITUTE(LOWER(Q1579),"hrs",""),"hr",""))),"")))),IF(ISNUMBER(Q1579),Q1579,IF(Q1579="","",IFERROR(VALUE(TRIM(SUBSTITUTE(SUBSTITUTE(LOWER(Q1579),"hrs",""),"hr",""))),""))))</f>
        <v>1.5</v>
      </c>
      <c r="S1579" s="57" t="n">
        <f aca="false">IFERROR(INDEX(RATES!$E$6:$E$28,MATCH(P1579,RATES!$A$6:$A$28,0)),0)</f>
        <v>45.6175</v>
      </c>
      <c r="T1579" s="61" t="n">
        <f aca="false">IF(ISNUMBER(R1579),R1579,0)*S1579</f>
        <v>68.42625</v>
      </c>
      <c r="U1579" s="61" t="n">
        <f aca="false">T1579*INDEX(INPUTS!$H$10:$H$14,MATCH(B1579,INPUTS!$A$10:$A$14,0))</f>
        <v>10.33236375</v>
      </c>
      <c r="V1579" s="61" t="n">
        <f aca="false">N(STACK!K1579)</f>
        <v>0</v>
      </c>
      <c r="W1579" s="61" t="n">
        <f aca="false">T1579+U1579+V1579</f>
        <v>78.75861375</v>
      </c>
      <c r="X1579" s="61" t="n">
        <f aca="false">N(STACK!L1579)</f>
        <v>0</v>
      </c>
      <c r="Y1579" s="61" t="n">
        <f aca="false">W1579-X1579</f>
        <v>78.75861375</v>
      </c>
      <c r="Z1579" s="1" t="n">
        <f aca="false">N(STACK!J1579)</f>
        <v>0</v>
      </c>
      <c r="AA1579" s="1" t="str">
        <f aca="false">TRIM(IF(D1579="UNMAPPED","Program not mapped. ","")&amp;IF(OR(K1579="UNMAPPED",K1579="UNASSIGNED"),"Category needs review. ","")&amp;IF(P1579="UNMAPPED","Title not mapped. ","")&amp;IF(AND(P1579&lt;&gt;"No staff time",R1579=""),"Missing hours. ","")&amp;IF(M1579="","Date not readable. ","")&amp;IF(N1579="No","Outside fiscal year. ","")&amp;IF(AND(F1579="Event",ISNUMBER(R1579)),IF(R1579&gt;12,"Event hours look high. ",""),"")&amp;IF(G1579&gt;0,"See CONFIRM sheet.",""))</f>
        <v/>
      </c>
      <c r="AB1579" s="1" t="n">
        <f aca="false">IF(N1579="No",0,IF(REVIEW!O1579=0,0,IF(G1579&gt;0,IF(INDEX(CONFIRM!$J$5:$J$53,G1579)&lt;&gt;"",INDEX(CONFIRM!$J$5:$J$53,G1579),1),1)))</f>
        <v>1</v>
      </c>
      <c r="AC1579" s="1" t="n">
        <f aca="false">IF(AB1579=1,IF(COUNTIFS($B$5:B1579,B1579,$D$5:D1579,D1579,$AB$5:AB1579,1)=1,1,0),0)</f>
        <v>0</v>
      </c>
    </row>
    <row r="1580" customFormat="false" ht="15" hidden="false" customHeight="false" outlineLevel="0" collapsed="false">
      <c r="A1580" s="48" t="str">
        <f aca="false">STACK!A1580</f>
        <v>QHH-0199</v>
      </c>
      <c r="B1580" s="48" t="str">
        <f aca="false">STACK!B1580</f>
        <v>QHH</v>
      </c>
      <c r="C1580" s="48" t="str">
        <f aca="false">STACK!E1580</f>
        <v>Fall Prevention Class</v>
      </c>
      <c r="D1580" s="1" t="str">
        <f aca="false">IFERROR(INDEX(MAP!$J$7:$J$101,MATCH(TRIM(C1580),MAP!$I$7:$I$101,0)),"UNMAPPED")</f>
        <v>Fall Prevention Classes for Older Adults</v>
      </c>
      <c r="E1580" s="1" t="str">
        <f aca="false">IFERROR(INDEX(MAP!$K$7:$K$101,MATCH(TRIM(C1580),MAP!$I$7:$I$101,0)),"")</f>
        <v>Chronic disease prevention</v>
      </c>
      <c r="F1580" s="1" t="str">
        <f aca="false">IFERROR(INDEX(MAP!$L$7:$L$101,MATCH(TRIM(C1580),MAP!$I$7:$I$101,0)),"")</f>
        <v>Event</v>
      </c>
      <c r="G1580" s="1" t="n">
        <f aca="false">IFERROR(MATCH(A1580,CONFIRM!$A$5:$A$53,0),0)</f>
        <v>0</v>
      </c>
      <c r="H1580" s="48" t="str">
        <f aca="false">STACK!F1580</f>
        <v>CHIS - Education</v>
      </c>
      <c r="I1580" s="1" t="str">
        <f aca="false">IF(G1580&gt;0,IF(INDEX(CONFIRM!$I$5:$I$53,G1580)&lt;&gt;"",INDEX(CONFIRM!$I$5:$I$53,G1580),H1580),H1580)</f>
        <v>CHIS - Education</v>
      </c>
      <c r="J1580" s="1" t="str">
        <f aca="false">IFERROR(INDEX(MAP!$F$7:$F$74,MATCH(TRIM(I1580),MAP!$E$7:$E$74,0)),"UNMAPPED")</f>
        <v>Community health education</v>
      </c>
      <c r="K1580" s="1" t="str">
        <f aca="false">IFERROR(INDEX(MAP!$G$7:$G$74,MATCH(TRIM(I1580),MAP!$E$7:$E$74,0)),"UNMAPPED")</f>
        <v>7e</v>
      </c>
      <c r="L1580" s="49" t="str">
        <f aca="false">STACK!G1580</f>
        <v>28-Apr-2026</v>
      </c>
      <c r="M1580" s="59" t="n">
        <f aca="false">IF(G1580&gt;0,IF(INDEX(CONFIRM!$G$5:$G$53,G1580)&lt;&gt;"",INDEX(CONFIRM!$G$5:$G$53,G1580),IF(ISNUMBER(L1580),L1580,IFERROR(DATEVALUE(L1580),""))),IF(ISNUMBER(L1580),L1580,IFERROR(DATEVALUE(L1580),"")))</f>
        <v>46140</v>
      </c>
      <c r="N1580" s="1" t="str">
        <f aca="false">IF(M1580="","Check",IF(AND(M1580&gt;=INPUTS!$C$6,M1580&lt;=INPUTS!$C$7),"Yes","No"))</f>
        <v>Yes</v>
      </c>
      <c r="O1580" s="48" t="str">
        <f aca="false">STACK!H1580</f>
        <v>RRT</v>
      </c>
      <c r="P1580" s="1" t="str">
        <f aca="false">IF(G1580&gt;0,IF(INDEX(CONFIRM!$H$5:$H$53,G1580)&lt;&gt;"",INDEX(CONFIRM!$H$5:$H$53,G1580),IFERROR(INDEX(MAP!$B$7:$B$156,MATCH(TRIM(O1580),MAP!$A$7:$A$156,0)),"UNMAPPED")),IFERROR(INDEX(MAP!$B$7:$B$156,MATCH(TRIM(O1580),MAP!$A$7:$A$156,0)),"UNMAPPED"))</f>
        <v>Licensed Therapist</v>
      </c>
      <c r="Q1580" s="48" t="n">
        <f aca="false">STACK!I1580</f>
        <v>2</v>
      </c>
      <c r="R1580" s="60" t="n">
        <f aca="false">IF(G1580&gt;0,IF(INDEX(CONFIRM!$F$5:$F$53,G1580)&lt;&gt;"",INDEX(CONFIRM!$F$5:$F$53,G1580),IF(ISNUMBER(Q1580),Q1580,IF(Q1580="","",IFERROR(VALUE(TRIM(SUBSTITUTE(SUBSTITUTE(LOWER(Q1580),"hrs",""),"hr",""))),"")))),IF(ISNUMBER(Q1580),Q1580,IF(Q1580="","",IFERROR(VALUE(TRIM(SUBSTITUTE(SUBSTITUTE(LOWER(Q1580),"hrs",""),"hr",""))),""))))</f>
        <v>2</v>
      </c>
      <c r="S1580" s="57" t="n">
        <f aca="false">IFERROR(INDEX(RATES!$E$6:$E$28,MATCH(P1580,RATES!$A$6:$A$28,0)),0)</f>
        <v>53.97</v>
      </c>
      <c r="T1580" s="61" t="n">
        <f aca="false">IF(ISNUMBER(R1580),R1580,0)*S1580</f>
        <v>107.94</v>
      </c>
      <c r="U1580" s="61" t="n">
        <f aca="false">T1580*INDEX(INPUTS!$H$10:$H$14,MATCH(B1580,INPUTS!$A$10:$A$14,0))</f>
        <v>16.29894</v>
      </c>
      <c r="V1580" s="61" t="n">
        <f aca="false">N(STACK!K1580)</f>
        <v>70</v>
      </c>
      <c r="W1580" s="61" t="n">
        <f aca="false">T1580+U1580+V1580</f>
        <v>194.23894</v>
      </c>
      <c r="X1580" s="61" t="n">
        <f aca="false">N(STACK!L1580)</f>
        <v>0</v>
      </c>
      <c r="Y1580" s="61" t="n">
        <f aca="false">W1580-X1580</f>
        <v>194.23894</v>
      </c>
      <c r="Z1580" s="1" t="n">
        <f aca="false">N(STACK!J1580)</f>
        <v>11</v>
      </c>
      <c r="AA1580" s="1" t="str">
        <f aca="false">TRIM(IF(D1580="UNMAPPED","Program not mapped. ","")&amp;IF(OR(K1580="UNMAPPED",K1580="UNASSIGNED"),"Category needs review. ","")&amp;IF(P1580="UNMAPPED","Title not mapped. ","")&amp;IF(AND(P1580&lt;&gt;"No staff time",R1580=""),"Missing hours. ","")&amp;IF(M1580="","Date not readable. ","")&amp;IF(N1580="No","Outside fiscal year. ","")&amp;IF(AND(F1580="Event",ISNUMBER(R1580)),IF(R1580&gt;12,"Event hours look high. ",""),"")&amp;IF(G1580&gt;0,"See CONFIRM sheet.",""))</f>
        <v/>
      </c>
      <c r="AB1580" s="1" t="n">
        <f aca="false">IF(N1580="No",0,IF(REVIEW!O1580=0,0,IF(G1580&gt;0,IF(INDEX(CONFIRM!$J$5:$J$53,G1580)&lt;&gt;"",INDEX(CONFIRM!$J$5:$J$53,G1580),1),1)))</f>
        <v>1</v>
      </c>
      <c r="AC1580" s="1" t="n">
        <f aca="false">IF(AB1580=1,IF(COUNTIFS($B$5:B1580,B1580,$D$5:D1580,D1580,$AB$5:AB1580,1)=1,1,0),0)</f>
        <v>0</v>
      </c>
    </row>
    <row r="1581" customFormat="false" ht="15" hidden="false" customHeight="false" outlineLevel="0" collapsed="false">
      <c r="A1581" s="48" t="str">
        <f aca="false">STACK!A1581</f>
        <v>QHH-0200</v>
      </c>
      <c r="B1581" s="48" t="str">
        <f aca="false">STACK!B1581</f>
        <v>QHH</v>
      </c>
      <c r="C1581" s="48" t="str">
        <f aca="false">STACK!E1581</f>
        <v>Youth Pathway Program</v>
      </c>
      <c r="D1581" s="1" t="str">
        <f aca="false">IFERROR(INDEX(MAP!$J$7:$J$101,MATCH(TRIM(C1581),MAP!$I$7:$I$101,0)),"UNMAPPED")</f>
        <v>Youth Health Careers Pathway</v>
      </c>
      <c r="E1581" s="1" t="str">
        <f aca="false">IFERROR(INDEX(MAP!$K$7:$K$101,MATCH(TRIM(C1581),MAP!$I$7:$I$101,0)),"")</f>
        <v>Health workforce</v>
      </c>
      <c r="F1581" s="1" t="str">
        <f aca="false">IFERROR(INDEX(MAP!$L$7:$L$101,MATCH(TRIM(C1581),MAP!$I$7:$I$101,0)),"")</f>
        <v>Event</v>
      </c>
      <c r="G1581" s="1" t="n">
        <f aca="false">IFERROR(MATCH(A1581,CONFIRM!$A$5:$A$53,0),0)</f>
        <v>0</v>
      </c>
      <c r="H1581" s="48" t="str">
        <f aca="false">STACK!F1581</f>
        <v>Workforce Dev (CB)</v>
      </c>
      <c r="I1581" s="1" t="str">
        <f aca="false">IF(G1581&gt;0,IF(INDEX(CONFIRM!$I$5:$I$53,G1581)&lt;&gt;"",INDEX(CONFIRM!$I$5:$I$53,G1581),H1581),H1581)</f>
        <v>Workforce Dev (CB)</v>
      </c>
      <c r="J1581" s="1" t="str">
        <f aca="false">IFERROR(INDEX(MAP!$F$7:$F$74,MATCH(TRIM(I1581),MAP!$E$7:$E$74,0)),"UNMAPPED")</f>
        <v>Community building: workforce development</v>
      </c>
      <c r="K1581" s="1" t="str">
        <f aca="false">IFERROR(INDEX(MAP!$G$7:$G$74,MATCH(TRIM(I1581),MAP!$E$7:$E$74,0)),"UNMAPPED")</f>
        <v>II-8</v>
      </c>
      <c r="L1581" s="49" t="str">
        <f aca="false">STACK!G1581</f>
        <v>29-Apr-2026</v>
      </c>
      <c r="M1581" s="59" t="n">
        <f aca="false">IF(G1581&gt;0,IF(INDEX(CONFIRM!$G$5:$G$53,G1581)&lt;&gt;"",INDEX(CONFIRM!$G$5:$G$53,G1581),IF(ISNUMBER(L1581),L1581,IFERROR(DATEVALUE(L1581),""))),IF(ISNUMBER(L1581),L1581,IFERROR(DATEVALUE(L1581),"")))</f>
        <v>46141</v>
      </c>
      <c r="N1581" s="1" t="str">
        <f aca="false">IF(M1581="","Check",IF(AND(M1581&gt;=INPUTS!$C$6,M1581&lt;=INPUTS!$C$7),"Yes","No"))</f>
        <v>Yes</v>
      </c>
      <c r="O1581" s="48" t="str">
        <f aca="false">STACK!H1581</f>
        <v> Clin Educator</v>
      </c>
      <c r="P1581" s="1" t="str">
        <f aca="false">IF(G1581&gt;0,IF(INDEX(CONFIRM!$H$5:$H$53,G1581)&lt;&gt;"",INDEX(CONFIRM!$H$5:$H$53,G1581),IFERROR(INDEX(MAP!$B$7:$B$156,MATCH(TRIM(O1581),MAP!$A$7:$A$156,0)),"UNMAPPED")),IFERROR(INDEX(MAP!$B$7:$B$156,MATCH(TRIM(O1581),MAP!$A$7:$A$156,0)),"UNMAPPED"))</f>
        <v>Clinical Nurse Educator</v>
      </c>
      <c r="Q1581" s="48" t="n">
        <f aca="false">STACK!I1581</f>
        <v>3.25</v>
      </c>
      <c r="R1581" s="60" t="n">
        <f aca="false">IF(G1581&gt;0,IF(INDEX(CONFIRM!$F$5:$F$53,G1581)&lt;&gt;"",INDEX(CONFIRM!$F$5:$F$53,G1581),IF(ISNUMBER(Q1581),Q1581,IF(Q1581="","",IFERROR(VALUE(TRIM(SUBSTITUTE(SUBSTITUTE(LOWER(Q1581),"hrs",""),"hr",""))),"")))),IF(ISNUMBER(Q1581),Q1581,IF(Q1581="","",IFERROR(VALUE(TRIM(SUBSTITUTE(SUBSTITUTE(LOWER(Q1581),"hrs",""),"hr",""))),""))))</f>
        <v>3.25</v>
      </c>
      <c r="S1581" s="57" t="n">
        <f aca="false">IFERROR(INDEX(RATES!$E$6:$E$28,MATCH(P1581,RATES!$A$6:$A$28,0)),0)</f>
        <v>62.965</v>
      </c>
      <c r="T1581" s="61" t="n">
        <f aca="false">IF(ISNUMBER(R1581),R1581,0)*S1581</f>
        <v>204.63625</v>
      </c>
      <c r="U1581" s="61" t="n">
        <f aca="false">T1581*INDEX(INPUTS!$H$10:$H$14,MATCH(B1581,INPUTS!$A$10:$A$14,0))</f>
        <v>30.90007375</v>
      </c>
      <c r="V1581" s="61" t="n">
        <f aca="false">N(STACK!K1581)</f>
        <v>0</v>
      </c>
      <c r="W1581" s="61" t="n">
        <f aca="false">T1581+U1581+V1581</f>
        <v>235.53632375</v>
      </c>
      <c r="X1581" s="61" t="n">
        <f aca="false">N(STACK!L1581)</f>
        <v>0</v>
      </c>
      <c r="Y1581" s="61" t="n">
        <f aca="false">W1581-X1581</f>
        <v>235.53632375</v>
      </c>
      <c r="Z1581" s="1" t="n">
        <f aca="false">N(STACK!J1581)</f>
        <v>0</v>
      </c>
      <c r="AA1581" s="1" t="str">
        <f aca="false">TRIM(IF(D1581="UNMAPPED","Program not mapped. ","")&amp;IF(OR(K1581="UNMAPPED",K1581="UNASSIGNED"),"Category needs review. ","")&amp;IF(P1581="UNMAPPED","Title not mapped. ","")&amp;IF(AND(P1581&lt;&gt;"No staff time",R1581=""),"Missing hours. ","")&amp;IF(M1581="","Date not readable. ","")&amp;IF(N1581="No","Outside fiscal year. ","")&amp;IF(AND(F1581="Event",ISNUMBER(R1581)),IF(R1581&gt;12,"Event hours look high. ",""),"")&amp;IF(G1581&gt;0,"See CONFIRM sheet.",""))</f>
        <v/>
      </c>
      <c r="AB1581" s="1" t="n">
        <f aca="false">IF(N1581="No",0,IF(REVIEW!O1581=0,0,IF(G1581&gt;0,IF(INDEX(CONFIRM!$J$5:$J$53,G1581)&lt;&gt;"",INDEX(CONFIRM!$J$5:$J$53,G1581),1),1)))</f>
        <v>1</v>
      </c>
      <c r="AC1581" s="1" t="n">
        <f aca="false">IF(AB1581=1,IF(COUNTIFS($B$5:B1581,B1581,$D$5:D1581,D1581,$AB$5:AB1581,1)=1,1,0),0)</f>
        <v>0</v>
      </c>
    </row>
    <row r="1582" customFormat="false" ht="15" hidden="false" customHeight="false" outlineLevel="0" collapsed="false">
      <c r="A1582" s="48" t="str">
        <f aca="false">STACK!A1582</f>
        <v>QHH-0201</v>
      </c>
      <c r="B1582" s="48" t="str">
        <f aca="false">STACK!B1582</f>
        <v>QHH</v>
      </c>
      <c r="C1582" s="48" t="str">
        <f aca="false">STACK!E1582</f>
        <v>Youth Pathway Program</v>
      </c>
      <c r="D1582" s="1" t="str">
        <f aca="false">IFERROR(INDEX(MAP!$J$7:$J$101,MATCH(TRIM(C1582),MAP!$I$7:$I$101,0)),"UNMAPPED")</f>
        <v>Youth Health Careers Pathway</v>
      </c>
      <c r="E1582" s="1" t="str">
        <f aca="false">IFERROR(INDEX(MAP!$K$7:$K$101,MATCH(TRIM(C1582),MAP!$I$7:$I$101,0)),"")</f>
        <v>Health workforce</v>
      </c>
      <c r="F1582" s="1" t="str">
        <f aca="false">IFERROR(INDEX(MAP!$L$7:$L$101,MATCH(TRIM(C1582),MAP!$I$7:$I$101,0)),"")</f>
        <v>Event</v>
      </c>
      <c r="G1582" s="1" t="n">
        <f aca="false">IFERROR(MATCH(A1582,CONFIRM!$A$5:$A$53,0),0)</f>
        <v>0</v>
      </c>
      <c r="H1582" s="48" t="str">
        <f aca="false">STACK!F1582</f>
        <v>Workforce Dev (CB)</v>
      </c>
      <c r="I1582" s="1" t="str">
        <f aca="false">IF(G1582&gt;0,IF(INDEX(CONFIRM!$I$5:$I$53,G1582)&lt;&gt;"",INDEX(CONFIRM!$I$5:$I$53,G1582),H1582),H1582)</f>
        <v>Workforce Dev (CB)</v>
      </c>
      <c r="J1582" s="1" t="str">
        <f aca="false">IFERROR(INDEX(MAP!$F$7:$F$74,MATCH(TRIM(I1582),MAP!$E$7:$E$74,0)),"UNMAPPED")</f>
        <v>Community building: workforce development</v>
      </c>
      <c r="K1582" s="1" t="str">
        <f aca="false">IFERROR(INDEX(MAP!$G$7:$G$74,MATCH(TRIM(I1582),MAP!$E$7:$E$74,0)),"UNMAPPED")</f>
        <v>II-8</v>
      </c>
      <c r="L1582" s="49" t="str">
        <f aca="false">STACK!G1582</f>
        <v>29-Apr-2026</v>
      </c>
      <c r="M1582" s="59" t="n">
        <f aca="false">IF(G1582&gt;0,IF(INDEX(CONFIRM!$G$5:$G$53,G1582)&lt;&gt;"",INDEX(CONFIRM!$G$5:$G$53,G1582),IF(ISNUMBER(L1582),L1582,IFERROR(DATEVALUE(L1582),""))),IF(ISNUMBER(L1582),L1582,IFERROR(DATEVALUE(L1582),"")))</f>
        <v>46141</v>
      </c>
      <c r="N1582" s="1" t="str">
        <f aca="false">IF(M1582="","Check",IF(AND(M1582&gt;=INPUTS!$C$6,M1582&lt;=INPUTS!$C$7),"Yes","No"))</f>
        <v>Yes</v>
      </c>
      <c r="O1582" s="48" t="str">
        <f aca="false">STACK!H1582</f>
        <v>Prog Coord</v>
      </c>
      <c r="P1582" s="1" t="str">
        <f aca="false">IF(G1582&gt;0,IF(INDEX(CONFIRM!$H$5:$H$53,G1582)&lt;&gt;"",INDEX(CONFIRM!$H$5:$H$53,G1582),IFERROR(INDEX(MAP!$B$7:$B$156,MATCH(TRIM(O1582),MAP!$A$7:$A$156,0)),"UNMAPPED")),IFERROR(INDEX(MAP!$B$7:$B$156,MATCH(TRIM(O1582),MAP!$A$7:$A$156,0)),"UNMAPPED"))</f>
        <v>Program Coordinator</v>
      </c>
      <c r="Q1582" s="48" t="n">
        <f aca="false">STACK!I1582</f>
        <v>7.25</v>
      </c>
      <c r="R1582" s="60" t="n">
        <f aca="false">IF(G1582&gt;0,IF(INDEX(CONFIRM!$F$5:$F$53,G1582)&lt;&gt;"",INDEX(CONFIRM!$F$5:$F$53,G1582),IF(ISNUMBER(Q1582),Q1582,IF(Q1582="","",IFERROR(VALUE(TRIM(SUBSTITUTE(SUBSTITUTE(LOWER(Q1582),"hrs",""),"hr",""))),"")))),IF(ISNUMBER(Q1582),Q1582,IF(Q1582="","",IFERROR(VALUE(TRIM(SUBSTITUTE(SUBSTITUTE(LOWER(Q1582),"hrs",""),"hr",""))),""))))</f>
        <v>7.25</v>
      </c>
      <c r="S1582" s="57" t="n">
        <f aca="false">IFERROR(INDEX(RATES!$E$6:$E$28,MATCH(P1582,RATES!$A$6:$A$28,0)),0)</f>
        <v>35.3375</v>
      </c>
      <c r="T1582" s="61" t="n">
        <f aca="false">IF(ISNUMBER(R1582),R1582,0)*S1582</f>
        <v>256.196875</v>
      </c>
      <c r="U1582" s="61" t="n">
        <f aca="false">T1582*INDEX(INPUTS!$H$10:$H$14,MATCH(B1582,INPUTS!$A$10:$A$14,0))</f>
        <v>38.685728125</v>
      </c>
      <c r="V1582" s="61" t="n">
        <f aca="false">N(STACK!K1582)</f>
        <v>530</v>
      </c>
      <c r="W1582" s="61" t="n">
        <f aca="false">T1582+U1582+V1582</f>
        <v>824.882603125</v>
      </c>
      <c r="X1582" s="61" t="n">
        <f aca="false">N(STACK!L1582)</f>
        <v>0</v>
      </c>
      <c r="Y1582" s="61" t="n">
        <f aca="false">W1582-X1582</f>
        <v>824.882603125</v>
      </c>
      <c r="Z1582" s="1" t="n">
        <f aca="false">N(STACK!J1582)</f>
        <v>18</v>
      </c>
      <c r="AA1582" s="1" t="str">
        <f aca="false">TRIM(IF(D1582="UNMAPPED","Program not mapped. ","")&amp;IF(OR(K1582="UNMAPPED",K1582="UNASSIGNED"),"Category needs review. ","")&amp;IF(P1582="UNMAPPED","Title not mapped. ","")&amp;IF(AND(P1582&lt;&gt;"No staff time",R1582=""),"Missing hours. ","")&amp;IF(M1582="","Date not readable. ","")&amp;IF(N1582="No","Outside fiscal year. ","")&amp;IF(AND(F1582="Event",ISNUMBER(R1582)),IF(R1582&gt;12,"Event hours look high. ",""),"")&amp;IF(G1582&gt;0,"See CONFIRM sheet.",""))</f>
        <v/>
      </c>
      <c r="AB1582" s="1" t="n">
        <f aca="false">IF(N1582="No",0,IF(REVIEW!O1582=0,0,IF(G1582&gt;0,IF(INDEX(CONFIRM!$J$5:$J$53,G1582)&lt;&gt;"",INDEX(CONFIRM!$J$5:$J$53,G1582),1),1)))</f>
        <v>1</v>
      </c>
      <c r="AC1582" s="1" t="n">
        <f aca="false">IF(AB1582=1,IF(COUNTIFS($B$5:B1582,B1582,$D$5:D1582,D1582,$AB$5:AB1582,1)=1,1,0),0)</f>
        <v>0</v>
      </c>
    </row>
    <row r="1583" customFormat="false" ht="15" hidden="false" customHeight="false" outlineLevel="0" collapsed="false">
      <c r="A1583" s="48" t="str">
        <f aca="false">STACK!A1583</f>
        <v>QHH-0202</v>
      </c>
      <c r="B1583" s="48" t="str">
        <f aca="false">STACK!B1583</f>
        <v>QHH</v>
      </c>
      <c r="C1583" s="48" t="str">
        <f aca="false">STACK!E1583</f>
        <v>Green Space Project</v>
      </c>
      <c r="D1583" s="1" t="str">
        <f aca="false">IFERROR(INDEX(MAP!$J$7:$J$101,MATCH(TRIM(C1583),MAP!$I$7:$I$101,0)),"UNMAPPED")</f>
        <v>Community Garden and Green Space Project</v>
      </c>
      <c r="E1583" s="1" t="str">
        <f aca="false">IFERROR(INDEX(MAP!$K$7:$K$101,MATCH(TRIM(C1583),MAP!$I$7:$I$101,0)),"")</f>
        <v>Food and housing security</v>
      </c>
      <c r="F1583" s="1" t="str">
        <f aca="false">IFERROR(INDEX(MAP!$L$7:$L$101,MATCH(TRIM(C1583),MAP!$I$7:$I$101,0)),"")</f>
        <v>Event</v>
      </c>
      <c r="G1583" s="1" t="n">
        <f aca="false">IFERROR(MATCH(A1583,CONFIRM!$A$5:$A$53,0),0)</f>
        <v>0</v>
      </c>
      <c r="H1583" s="48" t="str">
        <f aca="false">STACK!F1583</f>
        <v>Environmental (CB)</v>
      </c>
      <c r="I1583" s="1" t="str">
        <f aca="false">IF(G1583&gt;0,IF(INDEX(CONFIRM!$I$5:$I$53,G1583)&lt;&gt;"",INDEX(CONFIRM!$I$5:$I$53,G1583),H1583),H1583)</f>
        <v>Environmental (CB)</v>
      </c>
      <c r="J1583" s="1" t="str">
        <f aca="false">IFERROR(INDEX(MAP!$F$7:$F$74,MATCH(TRIM(I1583),MAP!$E$7:$E$74,0)),"UNMAPPED")</f>
        <v>Community building: environmental improvements</v>
      </c>
      <c r="K1583" s="1" t="str">
        <f aca="false">IFERROR(INDEX(MAP!$G$7:$G$74,MATCH(TRIM(I1583),MAP!$E$7:$E$74,0)),"UNMAPPED")</f>
        <v>II-4</v>
      </c>
      <c r="L1583" s="49" t="str">
        <f aca="false">STACK!G1583</f>
        <v>29-Apr-2026</v>
      </c>
      <c r="M1583" s="59" t="n">
        <f aca="false">IF(G1583&gt;0,IF(INDEX(CONFIRM!$G$5:$G$53,G1583)&lt;&gt;"",INDEX(CONFIRM!$G$5:$G$53,G1583),IF(ISNUMBER(L1583),L1583,IFERROR(DATEVALUE(L1583),""))),IF(ISNUMBER(L1583),L1583,IFERROR(DATEVALUE(L1583),"")))</f>
        <v>46141</v>
      </c>
      <c r="N1583" s="1" t="str">
        <f aca="false">IF(M1583="","Check",IF(AND(M1583&gt;=INPUTS!$C$6,M1583&lt;=INPUTS!$C$7),"Yes","No"))</f>
        <v>Yes</v>
      </c>
      <c r="O1583" s="48" t="str">
        <f aca="false">STACK!H1583</f>
        <v>Volunteer Coordinator</v>
      </c>
      <c r="P1583" s="1" t="str">
        <f aca="false">IF(G1583&gt;0,IF(INDEX(CONFIRM!$H$5:$H$53,G1583)&lt;&gt;"",INDEX(CONFIRM!$H$5:$H$53,G1583),IFERROR(INDEX(MAP!$B$7:$B$156,MATCH(TRIM(O1583),MAP!$A$7:$A$156,0)),"UNMAPPED")),IFERROR(INDEX(MAP!$B$7:$B$156,MATCH(TRIM(O1583),MAP!$A$7:$A$156,0)),"UNMAPPED"))</f>
        <v>Program Coordinator</v>
      </c>
      <c r="Q1583" s="48" t="n">
        <f aca="false">STACK!I1583</f>
        <v>6.75</v>
      </c>
      <c r="R1583" s="60" t="n">
        <f aca="false">IF(G1583&gt;0,IF(INDEX(CONFIRM!$F$5:$F$53,G1583)&lt;&gt;"",INDEX(CONFIRM!$F$5:$F$53,G1583),IF(ISNUMBER(Q1583),Q1583,IF(Q1583="","",IFERROR(VALUE(TRIM(SUBSTITUTE(SUBSTITUTE(LOWER(Q1583),"hrs",""),"hr",""))),"")))),IF(ISNUMBER(Q1583),Q1583,IF(Q1583="","",IFERROR(VALUE(TRIM(SUBSTITUTE(SUBSTITUTE(LOWER(Q1583),"hrs",""),"hr",""))),""))))</f>
        <v>6.75</v>
      </c>
      <c r="S1583" s="57" t="n">
        <f aca="false">IFERROR(INDEX(RATES!$E$6:$E$28,MATCH(P1583,RATES!$A$6:$A$28,0)),0)</f>
        <v>35.3375</v>
      </c>
      <c r="T1583" s="61" t="n">
        <f aca="false">IF(ISNUMBER(R1583),R1583,0)*S1583</f>
        <v>238.528125</v>
      </c>
      <c r="U1583" s="61" t="n">
        <f aca="false">T1583*INDEX(INPUTS!$H$10:$H$14,MATCH(B1583,INPUTS!$A$10:$A$14,0))</f>
        <v>36.017746875</v>
      </c>
      <c r="V1583" s="61" t="n">
        <f aca="false">N(STACK!K1583)</f>
        <v>2490</v>
      </c>
      <c r="W1583" s="61" t="n">
        <f aca="false">T1583+U1583+V1583</f>
        <v>2764.545871875</v>
      </c>
      <c r="X1583" s="61" t="n">
        <f aca="false">N(STACK!L1583)</f>
        <v>0</v>
      </c>
      <c r="Y1583" s="61" t="n">
        <f aca="false">W1583-X1583</f>
        <v>2764.545871875</v>
      </c>
      <c r="Z1583" s="1" t="n">
        <f aca="false">N(STACK!J1583)</f>
        <v>45</v>
      </c>
      <c r="AA1583" s="1" t="str">
        <f aca="false">TRIM(IF(D1583="UNMAPPED","Program not mapped. ","")&amp;IF(OR(K1583="UNMAPPED",K1583="UNASSIGNED"),"Category needs review. ","")&amp;IF(P1583="UNMAPPED","Title not mapped. ","")&amp;IF(AND(P1583&lt;&gt;"No staff time",R1583=""),"Missing hours. ","")&amp;IF(M1583="","Date not readable. ","")&amp;IF(N1583="No","Outside fiscal year. ","")&amp;IF(AND(F1583="Event",ISNUMBER(R1583)),IF(R1583&gt;12,"Event hours look high. ",""),"")&amp;IF(G1583&gt;0,"See CONFIRM sheet.",""))</f>
        <v/>
      </c>
      <c r="AB1583" s="1" t="n">
        <f aca="false">IF(N1583="No",0,IF(REVIEW!O1583=0,0,IF(G1583&gt;0,IF(INDEX(CONFIRM!$J$5:$J$53,G1583)&lt;&gt;"",INDEX(CONFIRM!$J$5:$J$53,G1583),1),1)))</f>
        <v>1</v>
      </c>
      <c r="AC1583" s="1" t="n">
        <f aca="false">IF(AB1583=1,IF(COUNTIFS($B$5:B1583,B1583,$D$5:D1583,D1583,$AB$5:AB1583,1)=1,1,0),0)</f>
        <v>0</v>
      </c>
    </row>
    <row r="1584" customFormat="false" ht="15" hidden="false" customHeight="false" outlineLevel="0" collapsed="false">
      <c r="A1584" s="48" t="str">
        <f aca="false">STACK!A1584</f>
        <v>QHH-0203</v>
      </c>
      <c r="B1584" s="48" t="str">
        <f aca="false">STACK!B1584</f>
        <v>QHH</v>
      </c>
      <c r="C1584" s="48" t="str">
        <f aca="false">STACK!E1584</f>
        <v>Medication Assistance</v>
      </c>
      <c r="D1584" s="1" t="str">
        <f aca="false">IFERROR(INDEX(MAP!$J$7:$J$101,MATCH(TRIM(C1584),MAP!$I$7:$I$101,0)),"UNMAPPED")</f>
        <v>Medication Assistance Program</v>
      </c>
      <c r="E1584" s="1" t="str">
        <f aca="false">IFERROR(INDEX(MAP!$K$7:$K$101,MATCH(TRIM(C1584),MAP!$I$7:$I$101,0)),"")</f>
        <v>Access to care</v>
      </c>
      <c r="F1584" s="1" t="str">
        <f aca="false">IFERROR(INDEX(MAP!$L$7:$L$101,MATCH(TRIM(C1584),MAP!$I$7:$I$101,0)),"")</f>
        <v>Monthly</v>
      </c>
      <c r="G1584" s="1" t="n">
        <f aca="false">IFERROR(MATCH(A1584,CONFIRM!$A$5:$A$53,0),0)</f>
        <v>0</v>
      </c>
      <c r="H1584" s="48" t="str">
        <f aca="false">STACK!F1584</f>
        <v>CHIS - Support</v>
      </c>
      <c r="I1584" s="1" t="str">
        <f aca="false">IF(G1584&gt;0,IF(INDEX(CONFIRM!$I$5:$I$53,G1584)&lt;&gt;"",INDEX(CONFIRM!$I$5:$I$53,G1584),H1584),H1584)</f>
        <v>CHIS - Support</v>
      </c>
      <c r="J1584" s="1" t="str">
        <f aca="false">IFERROR(INDEX(MAP!$F$7:$F$74,MATCH(TRIM(I1584),MAP!$E$7:$E$74,0)),"UNMAPPED")</f>
        <v>Health care support services</v>
      </c>
      <c r="K1584" s="1" t="str">
        <f aca="false">IFERROR(INDEX(MAP!$G$7:$G$74,MATCH(TRIM(I1584),MAP!$E$7:$E$74,0)),"UNMAPPED")</f>
        <v>7e</v>
      </c>
      <c r="L1584" s="49" t="str">
        <f aca="false">STACK!G1584</f>
        <v>30-Apr-2026</v>
      </c>
      <c r="M1584" s="59" t="n">
        <f aca="false">IF(G1584&gt;0,IF(INDEX(CONFIRM!$G$5:$G$53,G1584)&lt;&gt;"",INDEX(CONFIRM!$G$5:$G$53,G1584),IF(ISNUMBER(L1584),L1584,IFERROR(DATEVALUE(L1584),""))),IF(ISNUMBER(L1584),L1584,IFERROR(DATEVALUE(L1584),"")))</f>
        <v>46142</v>
      </c>
      <c r="N1584" s="1" t="str">
        <f aca="false">IF(M1584="","Check",IF(AND(M1584&gt;=INPUTS!$C$6,M1584&lt;=INPUTS!$C$7),"Yes","No"))</f>
        <v>Yes</v>
      </c>
      <c r="O1584" s="48" t="str">
        <f aca="false">STACK!H1584</f>
        <v>Navigator</v>
      </c>
      <c r="P1584" s="1" t="str">
        <f aca="false">IF(G1584&gt;0,IF(INDEX(CONFIRM!$H$5:$H$53,G1584)&lt;&gt;"",INDEX(CONFIRM!$H$5:$H$53,G1584),IFERROR(INDEX(MAP!$B$7:$B$156,MATCH(TRIM(O1584),MAP!$A$7:$A$156,0)),"UNMAPPED")),IFERROR(INDEX(MAP!$B$7:$B$156,MATCH(TRIM(O1584),MAP!$A$7:$A$156,0)),"UNMAPPED"))</f>
        <v>Patient Navigator</v>
      </c>
      <c r="Q1584" s="48" t="n">
        <f aca="false">STACK!I1584</f>
        <v>58</v>
      </c>
      <c r="R1584" s="60" t="n">
        <f aca="false">IF(G1584&gt;0,IF(INDEX(CONFIRM!$F$5:$F$53,G1584)&lt;&gt;"",INDEX(CONFIRM!$F$5:$F$53,G1584),IF(ISNUMBER(Q1584),Q1584,IF(Q1584="","",IFERROR(VALUE(TRIM(SUBSTITUTE(SUBSTITUTE(LOWER(Q1584),"hrs",""),"hr",""))),"")))),IF(ISNUMBER(Q1584),Q1584,IF(Q1584="","",IFERROR(VALUE(TRIM(SUBSTITUTE(SUBSTITUTE(LOWER(Q1584),"hrs",""),"hr",""))),""))))</f>
        <v>58</v>
      </c>
      <c r="S1584" s="57" t="n">
        <f aca="false">IFERROR(INDEX(RATES!$E$6:$E$28,MATCH(P1584,RATES!$A$6:$A$28,0)),0)</f>
        <v>30.84</v>
      </c>
      <c r="T1584" s="61" t="n">
        <f aca="false">IF(ISNUMBER(R1584),R1584,0)*S1584</f>
        <v>1788.72</v>
      </c>
      <c r="U1584" s="61" t="n">
        <f aca="false">T1584*INDEX(INPUTS!$H$10:$H$14,MATCH(B1584,INPUTS!$A$10:$A$14,0))</f>
        <v>270.09672</v>
      </c>
      <c r="V1584" s="61" t="n">
        <f aca="false">N(STACK!K1584)</f>
        <v>0</v>
      </c>
      <c r="W1584" s="61" t="n">
        <f aca="false">T1584+U1584+V1584</f>
        <v>2058.81672</v>
      </c>
      <c r="X1584" s="61" t="n">
        <f aca="false">N(STACK!L1584)</f>
        <v>0</v>
      </c>
      <c r="Y1584" s="61" t="n">
        <f aca="false">W1584-X1584</f>
        <v>2058.81672</v>
      </c>
      <c r="Z1584" s="1" t="n">
        <f aca="false">N(STACK!J1584)</f>
        <v>0</v>
      </c>
      <c r="AA1584" s="1" t="str">
        <f aca="false">TRIM(IF(D1584="UNMAPPED","Program not mapped. ","")&amp;IF(OR(K1584="UNMAPPED",K1584="UNASSIGNED"),"Category needs review. ","")&amp;IF(P1584="UNMAPPED","Title not mapped. ","")&amp;IF(AND(P1584&lt;&gt;"No staff time",R1584=""),"Missing hours. ","")&amp;IF(M1584="","Date not readable. ","")&amp;IF(N1584="No","Outside fiscal year. ","")&amp;IF(AND(F1584="Event",ISNUMBER(R1584)),IF(R1584&gt;12,"Event hours look high. ",""),"")&amp;IF(G1584&gt;0,"See CONFIRM sheet.",""))</f>
        <v/>
      </c>
      <c r="AB1584" s="1" t="n">
        <f aca="false">IF(N1584="No",0,IF(REVIEW!O1584=0,0,IF(G1584&gt;0,IF(INDEX(CONFIRM!$J$5:$J$53,G1584)&lt;&gt;"",INDEX(CONFIRM!$J$5:$J$53,G1584),1),1)))</f>
        <v>1</v>
      </c>
      <c r="AC1584" s="1" t="n">
        <f aca="false">IF(AB1584=1,IF(COUNTIFS($B$5:B1584,B1584,$D$5:D1584,D1584,$AB$5:AB1584,1)=1,1,0),0)</f>
        <v>0</v>
      </c>
    </row>
    <row r="1585" customFormat="false" ht="15" hidden="false" customHeight="false" outlineLevel="0" collapsed="false">
      <c r="A1585" s="48" t="str">
        <f aca="false">STACK!A1585</f>
        <v>QHH-0204</v>
      </c>
      <c r="B1585" s="48" t="str">
        <f aca="false">STACK!B1585</f>
        <v>QHH</v>
      </c>
      <c r="C1585" s="48" t="str">
        <f aca="false">STACK!E1585</f>
        <v>Medication Assistance</v>
      </c>
      <c r="D1585" s="1" t="str">
        <f aca="false">IFERROR(INDEX(MAP!$J$7:$J$101,MATCH(TRIM(C1585),MAP!$I$7:$I$101,0)),"UNMAPPED")</f>
        <v>Medication Assistance Program</v>
      </c>
      <c r="E1585" s="1" t="str">
        <f aca="false">IFERROR(INDEX(MAP!$K$7:$K$101,MATCH(TRIM(C1585),MAP!$I$7:$I$101,0)),"")</f>
        <v>Access to care</v>
      </c>
      <c r="F1585" s="1" t="str">
        <f aca="false">IFERROR(INDEX(MAP!$L$7:$L$101,MATCH(TRIM(C1585),MAP!$I$7:$I$101,0)),"")</f>
        <v>Monthly</v>
      </c>
      <c r="G1585" s="1" t="n">
        <f aca="false">IFERROR(MATCH(A1585,CONFIRM!$A$5:$A$53,0),0)</f>
        <v>0</v>
      </c>
      <c r="H1585" s="48" t="str">
        <f aca="false">STACK!F1585</f>
        <v>CHIS - Support</v>
      </c>
      <c r="I1585" s="1" t="str">
        <f aca="false">IF(G1585&gt;0,IF(INDEX(CONFIRM!$I$5:$I$53,G1585)&lt;&gt;"",INDEX(CONFIRM!$I$5:$I$53,G1585),H1585),H1585)</f>
        <v>CHIS - Support</v>
      </c>
      <c r="J1585" s="1" t="str">
        <f aca="false">IFERROR(INDEX(MAP!$F$7:$F$74,MATCH(TRIM(I1585),MAP!$E$7:$E$74,0)),"UNMAPPED")</f>
        <v>Health care support services</v>
      </c>
      <c r="K1585" s="1" t="str">
        <f aca="false">IFERROR(INDEX(MAP!$G$7:$G$74,MATCH(TRIM(I1585),MAP!$E$7:$E$74,0)),"UNMAPPED")</f>
        <v>7e</v>
      </c>
      <c r="L1585" s="49" t="str">
        <f aca="false">STACK!G1585</f>
        <v>30-Apr-2026</v>
      </c>
      <c r="M1585" s="59" t="n">
        <f aca="false">IF(G1585&gt;0,IF(INDEX(CONFIRM!$G$5:$G$53,G1585)&lt;&gt;"",INDEX(CONFIRM!$G$5:$G$53,G1585),IF(ISNUMBER(L1585),L1585,IFERROR(DATEVALUE(L1585),""))),IF(ISNUMBER(L1585),L1585,IFERROR(DATEVALUE(L1585),"")))</f>
        <v>46142</v>
      </c>
      <c r="N1585" s="1" t="str">
        <f aca="false">IF(M1585="","Check",IF(AND(M1585&gt;=INPUTS!$C$6,M1585&lt;=INPUTS!$C$7),"Yes","No"))</f>
        <v>Yes</v>
      </c>
      <c r="O1585" s="48" t="str">
        <f aca="false">STACK!H1585</f>
        <v>PharmD</v>
      </c>
      <c r="P1585" s="1" t="str">
        <f aca="false">IF(G1585&gt;0,IF(INDEX(CONFIRM!$H$5:$H$53,G1585)&lt;&gt;"",INDEX(CONFIRM!$H$5:$H$53,G1585),IFERROR(INDEX(MAP!$B$7:$B$156,MATCH(TRIM(O1585),MAP!$A$7:$A$156,0)),"UNMAPPED")),IFERROR(INDEX(MAP!$B$7:$B$156,MATCH(TRIM(O1585),MAP!$A$7:$A$156,0)),"UNMAPPED"))</f>
        <v>Pharmacist</v>
      </c>
      <c r="Q1585" s="48" t="n">
        <f aca="false">STACK!I1585</f>
        <v>16.75</v>
      </c>
      <c r="R1585" s="60" t="n">
        <f aca="false">IF(G1585&gt;0,IF(INDEX(CONFIRM!$F$5:$F$53,G1585)&lt;&gt;"",INDEX(CONFIRM!$F$5:$F$53,G1585),IF(ISNUMBER(Q1585),Q1585,IF(Q1585="","",IFERROR(VALUE(TRIM(SUBSTITUTE(SUBSTITUTE(LOWER(Q1585),"hrs",""),"hr",""))),"")))),IF(ISNUMBER(Q1585),Q1585,IF(Q1585="","",IFERROR(VALUE(TRIM(SUBSTITUTE(SUBSTITUTE(LOWER(Q1585),"hrs",""),"hr",""))),""))))</f>
        <v>16.75</v>
      </c>
      <c r="S1585" s="57" t="n">
        <f aca="false">IFERROR(INDEX(RATES!$E$6:$E$28,MATCH(P1585,RATES!$A$6:$A$28,0)),0)</f>
        <v>84.81</v>
      </c>
      <c r="T1585" s="61" t="n">
        <f aca="false">IF(ISNUMBER(R1585),R1585,0)*S1585</f>
        <v>1420.5675</v>
      </c>
      <c r="U1585" s="61" t="n">
        <f aca="false">T1585*INDEX(INPUTS!$H$10:$H$14,MATCH(B1585,INPUTS!$A$10:$A$14,0))</f>
        <v>214.5056925</v>
      </c>
      <c r="V1585" s="61" t="n">
        <f aca="false">N(STACK!K1585)</f>
        <v>12240</v>
      </c>
      <c r="W1585" s="61" t="n">
        <f aca="false">T1585+U1585+V1585</f>
        <v>13875.0731925</v>
      </c>
      <c r="X1585" s="61" t="n">
        <f aca="false">N(STACK!L1585)</f>
        <v>0</v>
      </c>
      <c r="Y1585" s="61" t="n">
        <f aca="false">W1585-X1585</f>
        <v>13875.0731925</v>
      </c>
      <c r="Z1585" s="1" t="n">
        <f aca="false">N(STACK!J1585)</f>
        <v>99</v>
      </c>
      <c r="AA1585" s="1" t="str">
        <f aca="false">TRIM(IF(D1585="UNMAPPED","Program not mapped. ","")&amp;IF(OR(K1585="UNMAPPED",K1585="UNASSIGNED"),"Category needs review. ","")&amp;IF(P1585="UNMAPPED","Title not mapped. ","")&amp;IF(AND(P1585&lt;&gt;"No staff time",R1585=""),"Missing hours. ","")&amp;IF(M1585="","Date not readable. ","")&amp;IF(N1585="No","Outside fiscal year. ","")&amp;IF(AND(F1585="Event",ISNUMBER(R1585)),IF(R1585&gt;12,"Event hours look high. ",""),"")&amp;IF(G1585&gt;0,"See CONFIRM sheet.",""))</f>
        <v/>
      </c>
      <c r="AB1585" s="1" t="n">
        <f aca="false">IF(N1585="No",0,IF(REVIEW!O1585=0,0,IF(G1585&gt;0,IF(INDEX(CONFIRM!$J$5:$J$53,G1585)&lt;&gt;"",INDEX(CONFIRM!$J$5:$J$53,G1585),1),1)))</f>
        <v>1</v>
      </c>
      <c r="AC1585" s="1" t="n">
        <f aca="false">IF(AB1585=1,IF(COUNTIFS($B$5:B1585,B1585,$D$5:D1585,D1585,$AB$5:AB1585,1)=1,1,0),0)</f>
        <v>0</v>
      </c>
    </row>
    <row r="1586" customFormat="false" ht="15" hidden="false" customHeight="false" outlineLevel="0" collapsed="false">
      <c r="A1586" s="48" t="str">
        <f aca="false">STACK!A1586</f>
        <v>QHH-0205</v>
      </c>
      <c r="B1586" s="48" t="str">
        <f aca="false">STACK!B1586</f>
        <v>QHH</v>
      </c>
      <c r="C1586" s="48" t="str">
        <f aca="false">STACK!E1586</f>
        <v>Community Benefit Admin.</v>
      </c>
      <c r="D1586" s="1" t="str">
        <f aca="false">IFERROR(INDEX(MAP!$J$7:$J$101,MATCH(TRIM(C1586),MAP!$I$7:$I$101,0)),"UNMAPPED")</f>
        <v>Community Benefit Program Administration</v>
      </c>
      <c r="E1586" s="1" t="str">
        <f aca="false">IFERROR(INDEX(MAP!$K$7:$K$101,MATCH(TRIM(C1586),MAP!$I$7:$I$101,0)),"")</f>
        <v>Community benefit infrastructure</v>
      </c>
      <c r="F1586" s="1" t="str">
        <f aca="false">IFERROR(INDEX(MAP!$L$7:$L$101,MATCH(TRIM(C1586),MAP!$I$7:$I$101,0)),"")</f>
        <v>Monthly</v>
      </c>
      <c r="G1586" s="1" t="n">
        <f aca="false">IFERROR(MATCH(A1586,CONFIRM!$A$5:$A$53,0),0)</f>
        <v>0</v>
      </c>
      <c r="H1586" s="48" t="str">
        <f aca="false">STACK!F1586</f>
        <v>CBO</v>
      </c>
      <c r="I1586" s="1" t="str">
        <f aca="false">IF(G1586&gt;0,IF(INDEX(CONFIRM!$I$5:$I$53,G1586)&lt;&gt;"",INDEX(CONFIRM!$I$5:$I$53,G1586),H1586),H1586)</f>
        <v>CBO</v>
      </c>
      <c r="J1586" s="1" t="str">
        <f aca="false">IFERROR(INDEX(MAP!$F$7:$F$74,MATCH(TRIM(I1586),MAP!$E$7:$E$74,0)),"UNMAPPED")</f>
        <v>Community benefit operations</v>
      </c>
      <c r="K1586" s="1" t="str">
        <f aca="false">IFERROR(INDEX(MAP!$G$7:$G$74,MATCH(TRIM(I1586),MAP!$E$7:$E$74,0)),"UNMAPPED")</f>
        <v>7e</v>
      </c>
      <c r="L1586" s="49" t="str">
        <f aca="false">STACK!G1586</f>
        <v>30-Apr-2026</v>
      </c>
      <c r="M1586" s="59" t="n">
        <f aca="false">IF(G1586&gt;0,IF(INDEX(CONFIRM!$G$5:$G$53,G1586)&lt;&gt;"",INDEX(CONFIRM!$G$5:$G$53,G1586),IF(ISNUMBER(L1586),L1586,IFERROR(DATEVALUE(L1586),""))),IF(ISNUMBER(L1586),L1586,IFERROR(DATEVALUE(L1586),"")))</f>
        <v>46142</v>
      </c>
      <c r="N1586" s="1" t="str">
        <f aca="false">IF(M1586="","Check",IF(AND(M1586&gt;=INPUTS!$C$6,M1586&lt;=INPUTS!$C$7),"Yes","No"))</f>
        <v>Yes</v>
      </c>
      <c r="O1586" s="48" t="str">
        <f aca="false">STACK!H1586</f>
        <v>Office Coordinator </v>
      </c>
      <c r="P1586" s="1" t="str">
        <f aca="false">IF(G1586&gt;0,IF(INDEX(CONFIRM!$H$5:$H$53,G1586)&lt;&gt;"",INDEX(CONFIRM!$H$5:$H$53,G1586),IFERROR(INDEX(MAP!$B$7:$B$156,MATCH(TRIM(O1586),MAP!$A$7:$A$156,0)),"UNMAPPED")),IFERROR(INDEX(MAP!$B$7:$B$156,MATCH(TRIM(O1586),MAP!$A$7:$A$156,0)),"UNMAPPED"))</f>
        <v>Administrative Assistant</v>
      </c>
      <c r="Q1586" s="48" t="n">
        <f aca="false">STACK!I1586</f>
        <v>46.75</v>
      </c>
      <c r="R1586" s="60" t="n">
        <f aca="false">IF(G1586&gt;0,IF(INDEX(CONFIRM!$F$5:$F$53,G1586)&lt;&gt;"",INDEX(CONFIRM!$F$5:$F$53,G1586),IF(ISNUMBER(Q1586),Q1586,IF(Q1586="","",IFERROR(VALUE(TRIM(SUBSTITUTE(SUBSTITUTE(LOWER(Q1586),"hrs",""),"hr",""))),"")))),IF(ISNUMBER(Q1586),Q1586,IF(Q1586="","",IFERROR(VALUE(TRIM(SUBSTITUTE(SUBSTITUTE(LOWER(Q1586),"hrs",""),"hr",""))),""))))</f>
        <v>46.75</v>
      </c>
      <c r="S1586" s="57" t="n">
        <f aca="false">IFERROR(INDEX(RATES!$E$6:$E$28,MATCH(P1586,RATES!$A$6:$A$28,0)),0)</f>
        <v>26.985</v>
      </c>
      <c r="T1586" s="61" t="n">
        <f aca="false">IF(ISNUMBER(R1586),R1586,0)*S1586</f>
        <v>1261.54875</v>
      </c>
      <c r="U1586" s="61" t="n">
        <f aca="false">T1586*INDEX(INPUTS!$H$10:$H$14,MATCH(B1586,INPUTS!$A$10:$A$14,0))</f>
        <v>190.49386125</v>
      </c>
      <c r="V1586" s="61" t="n">
        <f aca="false">N(STACK!K1586)</f>
        <v>0</v>
      </c>
      <c r="W1586" s="61" t="n">
        <f aca="false">T1586+U1586+V1586</f>
        <v>1452.04261125</v>
      </c>
      <c r="X1586" s="61" t="n">
        <f aca="false">N(STACK!L1586)</f>
        <v>0</v>
      </c>
      <c r="Y1586" s="61" t="n">
        <f aca="false">W1586-X1586</f>
        <v>1452.04261125</v>
      </c>
      <c r="Z1586" s="1" t="n">
        <f aca="false">N(STACK!J1586)</f>
        <v>0</v>
      </c>
      <c r="AA1586" s="1" t="str">
        <f aca="false">TRIM(IF(D1586="UNMAPPED","Program not mapped. ","")&amp;IF(OR(K1586="UNMAPPED",K1586="UNASSIGNED"),"Category needs review. ","")&amp;IF(P1586="UNMAPPED","Title not mapped. ","")&amp;IF(AND(P1586&lt;&gt;"No staff time",R1586=""),"Missing hours. ","")&amp;IF(M1586="","Date not readable. ","")&amp;IF(N1586="No","Outside fiscal year. ","")&amp;IF(AND(F1586="Event",ISNUMBER(R1586)),IF(R1586&gt;12,"Event hours look high. ",""),"")&amp;IF(G1586&gt;0,"See CONFIRM sheet.",""))</f>
        <v/>
      </c>
      <c r="AB1586" s="1" t="n">
        <f aca="false">IF(N1586="No",0,IF(REVIEW!O1586=0,0,IF(G1586&gt;0,IF(INDEX(CONFIRM!$J$5:$J$53,G1586)&lt;&gt;"",INDEX(CONFIRM!$J$5:$J$53,G1586),1),1)))</f>
        <v>1</v>
      </c>
      <c r="AC1586" s="1" t="n">
        <f aca="false">IF(AB1586=1,IF(COUNTIFS($B$5:B1586,B1586,$D$5:D1586,D1586,$AB$5:AB1586,1)=1,1,0),0)</f>
        <v>0</v>
      </c>
    </row>
    <row r="1587" customFormat="false" ht="15" hidden="false" customHeight="false" outlineLevel="0" collapsed="false">
      <c r="A1587" s="48" t="str">
        <f aca="false">STACK!A1587</f>
        <v>QHH-0206</v>
      </c>
      <c r="B1587" s="48" t="str">
        <f aca="false">STACK!B1587</f>
        <v>QHH</v>
      </c>
      <c r="C1587" s="48" t="str">
        <f aca="false">STACK!E1587</f>
        <v>Community Benefit Admin.</v>
      </c>
      <c r="D1587" s="1" t="str">
        <f aca="false">IFERROR(INDEX(MAP!$J$7:$J$101,MATCH(TRIM(C1587),MAP!$I$7:$I$101,0)),"UNMAPPED")</f>
        <v>Community Benefit Program Administration</v>
      </c>
      <c r="E1587" s="1" t="str">
        <f aca="false">IFERROR(INDEX(MAP!$K$7:$K$101,MATCH(TRIM(C1587),MAP!$I$7:$I$101,0)),"")</f>
        <v>Community benefit infrastructure</v>
      </c>
      <c r="F1587" s="1" t="str">
        <f aca="false">IFERROR(INDEX(MAP!$L$7:$L$101,MATCH(TRIM(C1587),MAP!$I$7:$I$101,0)),"")</f>
        <v>Monthly</v>
      </c>
      <c r="G1587" s="1" t="n">
        <f aca="false">IFERROR(MATCH(A1587,CONFIRM!$A$5:$A$53,0),0)</f>
        <v>0</v>
      </c>
      <c r="H1587" s="48" t="str">
        <f aca="false">STACK!F1587</f>
        <v>CBO</v>
      </c>
      <c r="I1587" s="1" t="str">
        <f aca="false">IF(G1587&gt;0,IF(INDEX(CONFIRM!$I$5:$I$53,G1587)&lt;&gt;"",INDEX(CONFIRM!$I$5:$I$53,G1587),H1587),H1587)</f>
        <v>CBO</v>
      </c>
      <c r="J1587" s="1" t="str">
        <f aca="false">IFERROR(INDEX(MAP!$F$7:$F$74,MATCH(TRIM(I1587),MAP!$E$7:$E$74,0)),"UNMAPPED")</f>
        <v>Community benefit operations</v>
      </c>
      <c r="K1587" s="1" t="str">
        <f aca="false">IFERROR(INDEX(MAP!$G$7:$G$74,MATCH(TRIM(I1587),MAP!$E$7:$E$74,0)),"UNMAPPED")</f>
        <v>7e</v>
      </c>
      <c r="L1587" s="49" t="str">
        <f aca="false">STACK!G1587</f>
        <v>30-Apr-2026</v>
      </c>
      <c r="M1587" s="59" t="n">
        <f aca="false">IF(G1587&gt;0,IF(INDEX(CONFIRM!$G$5:$G$53,G1587)&lt;&gt;"",INDEX(CONFIRM!$G$5:$G$53,G1587),IF(ISNUMBER(L1587),L1587,IFERROR(DATEVALUE(L1587),""))),IF(ISNUMBER(L1587),L1587,IFERROR(DATEVALUE(L1587),"")))</f>
        <v>46142</v>
      </c>
      <c r="N1587" s="1" t="str">
        <f aca="false">IF(M1587="","Check",IF(AND(M1587&gt;=INPUTS!$C$6,M1587&lt;=INPUTS!$C$7),"Yes","No"))</f>
        <v>Yes</v>
      </c>
      <c r="O1587" s="48" t="str">
        <f aca="false">STACK!H1587</f>
        <v>Community Benefit Mgr</v>
      </c>
      <c r="P1587" s="1" t="str">
        <f aca="false">IF(G1587&gt;0,IF(INDEX(CONFIRM!$H$5:$H$53,G1587)&lt;&gt;"",INDEX(CONFIRM!$H$5:$H$53,G1587),IFERROR(INDEX(MAP!$B$7:$B$156,MATCH(TRIM(O1587),MAP!$A$7:$A$156,0)),"UNMAPPED")),IFERROR(INDEX(MAP!$B$7:$B$156,MATCH(TRIM(O1587),MAP!$A$7:$A$156,0)),"UNMAPPED"))</f>
        <v>Community Benefit Manager</v>
      </c>
      <c r="Q1587" s="48" t="n">
        <f aca="false">STACK!I1587</f>
        <v>67.5</v>
      </c>
      <c r="R1587" s="60" t="n">
        <f aca="false">IF(G1587&gt;0,IF(INDEX(CONFIRM!$F$5:$F$53,G1587)&lt;&gt;"",INDEX(CONFIRM!$F$5:$F$53,G1587),IF(ISNUMBER(Q1587),Q1587,IF(Q1587="","",IFERROR(VALUE(TRIM(SUBSTITUTE(SUBSTITUTE(LOWER(Q1587),"hrs",""),"hr",""))),"")))),IF(ISNUMBER(Q1587),Q1587,IF(Q1587="","",IFERROR(VALUE(TRIM(SUBSTITUTE(SUBSTITUTE(LOWER(Q1587),"hrs",""),"hr",""))),""))))</f>
        <v>67.5</v>
      </c>
      <c r="S1587" s="57" t="n">
        <f aca="false">IFERROR(INDEX(RATES!$E$6:$E$28,MATCH(P1587,RATES!$A$6:$A$28,0)),0)</f>
        <v>59.11</v>
      </c>
      <c r="T1587" s="61" t="n">
        <f aca="false">IF(ISNUMBER(R1587),R1587,0)*S1587</f>
        <v>3989.925</v>
      </c>
      <c r="U1587" s="61" t="n">
        <f aca="false">T1587*INDEX(INPUTS!$H$10:$H$14,MATCH(B1587,INPUTS!$A$10:$A$14,0))</f>
        <v>602.478675</v>
      </c>
      <c r="V1587" s="61" t="n">
        <f aca="false">N(STACK!K1587)</f>
        <v>505</v>
      </c>
      <c r="W1587" s="61" t="n">
        <f aca="false">T1587+U1587+V1587</f>
        <v>5097.403675</v>
      </c>
      <c r="X1587" s="61" t="n">
        <f aca="false">N(STACK!L1587)</f>
        <v>0</v>
      </c>
      <c r="Y1587" s="61" t="n">
        <f aca="false">W1587-X1587</f>
        <v>5097.403675</v>
      </c>
      <c r="Z1587" s="1" t="n">
        <f aca="false">N(STACK!J1587)</f>
        <v>0</v>
      </c>
      <c r="AA1587" s="1" t="str">
        <f aca="false">TRIM(IF(D1587="UNMAPPED","Program not mapped. ","")&amp;IF(OR(K1587="UNMAPPED",K1587="UNASSIGNED"),"Category needs review. ","")&amp;IF(P1587="UNMAPPED","Title not mapped. ","")&amp;IF(AND(P1587&lt;&gt;"No staff time",R1587=""),"Missing hours. ","")&amp;IF(M1587="","Date not readable. ","")&amp;IF(N1587="No","Outside fiscal year. ","")&amp;IF(AND(F1587="Event",ISNUMBER(R1587)),IF(R1587&gt;12,"Event hours look high. ",""),"")&amp;IF(G1587&gt;0,"See CONFIRM sheet.",""))</f>
        <v/>
      </c>
      <c r="AB1587" s="1" t="n">
        <f aca="false">IF(N1587="No",0,IF(REVIEW!O1587=0,0,IF(G1587&gt;0,IF(INDEX(CONFIRM!$J$5:$J$53,G1587)&lt;&gt;"",INDEX(CONFIRM!$J$5:$J$53,G1587),1),1)))</f>
        <v>1</v>
      </c>
      <c r="AC1587" s="1" t="n">
        <f aca="false">IF(AB1587=1,IF(COUNTIFS($B$5:B1587,B1587,$D$5:D1587,D1587,$AB$5:AB1587,1)=1,1,0),0)</f>
        <v>0</v>
      </c>
    </row>
    <row r="1588" customFormat="false" ht="15" hidden="false" customHeight="false" outlineLevel="0" collapsed="false">
      <c r="A1588" s="48" t="str">
        <f aca="false">STACK!A1588</f>
        <v>QHH-0207</v>
      </c>
      <c r="B1588" s="48" t="str">
        <f aca="false">STACK!B1588</f>
        <v>QHH</v>
      </c>
      <c r="C1588" s="48" t="str">
        <f aca="false">STACK!E1588</f>
        <v>Community Paramedicine</v>
      </c>
      <c r="D1588" s="1" t="str">
        <f aca="false">IFERROR(INDEX(MAP!$J$7:$J$101,MATCH(TRIM(C1588),MAP!$I$7:$I$101,0)),"UNMAPPED")</f>
        <v>Community Paramedic Home Visits</v>
      </c>
      <c r="E1588" s="1" t="str">
        <f aca="false">IFERROR(INDEX(MAP!$K$7:$K$101,MATCH(TRIM(C1588),MAP!$I$7:$I$101,0)),"")</f>
        <v>Access to care</v>
      </c>
      <c r="F1588" s="1" t="str">
        <f aca="false">IFERROR(INDEX(MAP!$L$7:$L$101,MATCH(TRIM(C1588),MAP!$I$7:$I$101,0)),"")</f>
        <v>Monthly</v>
      </c>
      <c r="G1588" s="1" t="n">
        <f aca="false">IFERROR(MATCH(A1588,CONFIRM!$A$5:$A$53,0),0)</f>
        <v>0</v>
      </c>
      <c r="H1588" s="48" t="str">
        <f aca="false">STACK!F1588</f>
        <v>CHIS - Clinical</v>
      </c>
      <c r="I1588" s="1" t="str">
        <f aca="false">IF(G1588&gt;0,IF(INDEX(CONFIRM!$I$5:$I$53,G1588)&lt;&gt;"",INDEX(CONFIRM!$I$5:$I$53,G1588),H1588),H1588)</f>
        <v>CHIS - Clinical</v>
      </c>
      <c r="J1588" s="1" t="str">
        <f aca="false">IFERROR(INDEX(MAP!$F$7:$F$74,MATCH(TRIM(I1588),MAP!$E$7:$E$74,0)),"UNMAPPED")</f>
        <v>Community-based clinical services</v>
      </c>
      <c r="K1588" s="1" t="str">
        <f aca="false">IFERROR(INDEX(MAP!$G$7:$G$74,MATCH(TRIM(I1588),MAP!$E$7:$E$74,0)),"UNMAPPED")</f>
        <v>7e</v>
      </c>
      <c r="L1588" s="49" t="str">
        <f aca="false">STACK!G1588</f>
        <v>30-Apr-2026</v>
      </c>
      <c r="M1588" s="59" t="n">
        <f aca="false">IF(G1588&gt;0,IF(INDEX(CONFIRM!$G$5:$G$53,G1588)&lt;&gt;"",INDEX(CONFIRM!$G$5:$G$53,G1588),IF(ISNUMBER(L1588),L1588,IFERROR(DATEVALUE(L1588),""))),IF(ISNUMBER(L1588),L1588,IFERROR(DATEVALUE(L1588),"")))</f>
        <v>46142</v>
      </c>
      <c r="N1588" s="1" t="str">
        <f aca="false">IF(M1588="","Check",IF(AND(M1588&gt;=INPUTS!$C$6,M1588&lt;=INPUTS!$C$7),"Yes","No"))</f>
        <v>Yes</v>
      </c>
      <c r="O1588" s="48" t="str">
        <f aca="false">STACK!H1588</f>
        <v>EMT</v>
      </c>
      <c r="P1588" s="1" t="str">
        <f aca="false">IF(G1588&gt;0,IF(INDEX(CONFIRM!$H$5:$H$53,G1588)&lt;&gt;"",INDEX(CONFIRM!$H$5:$H$53,G1588),IFERROR(INDEX(MAP!$B$7:$B$156,MATCH(TRIM(O1588),MAP!$A$7:$A$156,0)),"UNMAPPED")),IFERROR(INDEX(MAP!$B$7:$B$156,MATCH(TRIM(O1588),MAP!$A$7:$A$156,0)),"UNMAPPED"))</f>
        <v>Paramedic</v>
      </c>
      <c r="Q1588" s="48" t="n">
        <f aca="false">STACK!I1588</f>
        <v>83.75</v>
      </c>
      <c r="R1588" s="60" t="n">
        <f aca="false">IF(G1588&gt;0,IF(INDEX(CONFIRM!$F$5:$F$53,G1588)&lt;&gt;"",INDEX(CONFIRM!$F$5:$F$53,G1588),IF(ISNUMBER(Q1588),Q1588,IF(Q1588="","",IFERROR(VALUE(TRIM(SUBSTITUTE(SUBSTITUTE(LOWER(Q1588),"hrs",""),"hr",""))),"")))),IF(ISNUMBER(Q1588),Q1588,IF(Q1588="","",IFERROR(VALUE(TRIM(SUBSTITUTE(SUBSTITUTE(LOWER(Q1588),"hrs",""),"hr",""))),""))))</f>
        <v>83.75</v>
      </c>
      <c r="S1588" s="57" t="n">
        <f aca="false">IFERROR(INDEX(RATES!$E$6:$E$28,MATCH(P1588,RATES!$A$6:$A$28,0)),0)</f>
        <v>34.695</v>
      </c>
      <c r="T1588" s="61" t="n">
        <f aca="false">IF(ISNUMBER(R1588),R1588,0)*S1588</f>
        <v>2905.70625</v>
      </c>
      <c r="U1588" s="61" t="n">
        <f aca="false">T1588*INDEX(INPUTS!$H$10:$H$14,MATCH(B1588,INPUTS!$A$10:$A$14,0))</f>
        <v>438.76164375</v>
      </c>
      <c r="V1588" s="61" t="n">
        <f aca="false">N(STACK!K1588)</f>
        <v>1075</v>
      </c>
      <c r="W1588" s="61" t="n">
        <f aca="false">T1588+U1588+V1588</f>
        <v>4419.46789375</v>
      </c>
      <c r="X1588" s="61" t="n">
        <f aca="false">N(STACK!L1588)</f>
        <v>0</v>
      </c>
      <c r="Y1588" s="61" t="n">
        <f aca="false">W1588-X1588</f>
        <v>4419.46789375</v>
      </c>
      <c r="Z1588" s="1" t="n">
        <f aca="false">N(STACK!J1588)</f>
        <v>55</v>
      </c>
      <c r="AA1588" s="1" t="str">
        <f aca="false">TRIM(IF(D1588="UNMAPPED","Program not mapped. ","")&amp;IF(OR(K1588="UNMAPPED",K1588="UNASSIGNED"),"Category needs review. ","")&amp;IF(P1588="UNMAPPED","Title not mapped. ","")&amp;IF(AND(P1588&lt;&gt;"No staff time",R1588=""),"Missing hours. ","")&amp;IF(M1588="","Date not readable. ","")&amp;IF(N1588="No","Outside fiscal year. ","")&amp;IF(AND(F1588="Event",ISNUMBER(R1588)),IF(R1588&gt;12,"Event hours look high. ",""),"")&amp;IF(G1588&gt;0,"See CONFIRM sheet.",""))</f>
        <v/>
      </c>
      <c r="AB1588" s="1" t="n">
        <f aca="false">IF(N1588="No",0,IF(REVIEW!O1588=0,0,IF(G1588&gt;0,IF(INDEX(CONFIRM!$J$5:$J$53,G1588)&lt;&gt;"",INDEX(CONFIRM!$J$5:$J$53,G1588),1),1)))</f>
        <v>1</v>
      </c>
      <c r="AC1588" s="1" t="n">
        <f aca="false">IF(AB1588=1,IF(COUNTIFS($B$5:B1588,B1588,$D$5:D1588,D1588,$AB$5:AB1588,1)=1,1,0),0)</f>
        <v>0</v>
      </c>
    </row>
    <row r="1589" customFormat="false" ht="15" hidden="false" customHeight="false" outlineLevel="0" collapsed="false">
      <c r="A1589" s="48" t="str">
        <f aca="false">STACK!A1589</f>
        <v>QHH-0208</v>
      </c>
      <c r="B1589" s="48" t="str">
        <f aca="false">STACK!B1589</f>
        <v>QHH</v>
      </c>
      <c r="C1589" s="48" t="str">
        <f aca="false">STACK!E1589</f>
        <v>Nursing Clinical Rotations</v>
      </c>
      <c r="D1589" s="1" t="str">
        <f aca="false">IFERROR(INDEX(MAP!$J$7:$J$101,MATCH(TRIM(C1589),MAP!$I$7:$I$101,0)),"UNMAPPED")</f>
        <v>Nursing Student Clinical Rotations</v>
      </c>
      <c r="E1589" s="1" t="str">
        <f aca="false">IFERROR(INDEX(MAP!$K$7:$K$101,MATCH(TRIM(C1589),MAP!$I$7:$I$101,0)),"")</f>
        <v>Health workforce</v>
      </c>
      <c r="F1589" s="1" t="str">
        <f aca="false">IFERROR(INDEX(MAP!$L$7:$L$101,MATCH(TRIM(C1589),MAP!$I$7:$I$101,0)),"")</f>
        <v>Monthly</v>
      </c>
      <c r="G1589" s="1" t="n">
        <f aca="false">IFERROR(MATCH(A1589,CONFIRM!$A$5:$A$53,0),0)</f>
        <v>0</v>
      </c>
      <c r="H1589" s="48" t="str">
        <f aca="false">STACK!F1589</f>
        <v>HPE - Students</v>
      </c>
      <c r="I1589" s="1" t="str">
        <f aca="false">IF(G1589&gt;0,IF(INDEX(CONFIRM!$I$5:$I$53,G1589)&lt;&gt;"",INDEX(CONFIRM!$I$5:$I$53,G1589),H1589),H1589)</f>
        <v>HPE - Students</v>
      </c>
      <c r="J1589" s="1" t="str">
        <f aca="false">IFERROR(INDEX(MAP!$F$7:$F$74,MATCH(TRIM(I1589),MAP!$E$7:$E$74,0)),"UNMAPPED")</f>
        <v>Health professions education</v>
      </c>
      <c r="K1589" s="1" t="str">
        <f aca="false">IFERROR(INDEX(MAP!$G$7:$G$74,MATCH(TRIM(I1589),MAP!$E$7:$E$74,0)),"UNMAPPED")</f>
        <v>7f</v>
      </c>
      <c r="L1589" s="49" t="str">
        <f aca="false">STACK!G1589</f>
        <v>30-Apr-2026</v>
      </c>
      <c r="M1589" s="59" t="n">
        <f aca="false">IF(G1589&gt;0,IF(INDEX(CONFIRM!$G$5:$G$53,G1589)&lt;&gt;"",INDEX(CONFIRM!$G$5:$G$53,G1589),IF(ISNUMBER(L1589),L1589,IFERROR(DATEVALUE(L1589),""))),IF(ISNUMBER(L1589),L1589,IFERROR(DATEVALUE(L1589),"")))</f>
        <v>46142</v>
      </c>
      <c r="N1589" s="1" t="str">
        <f aca="false">IF(M1589="","Check",IF(AND(M1589&gt;=INPUTS!$C$6,M1589&lt;=INPUTS!$C$7),"Yes","No"))</f>
        <v>Yes</v>
      </c>
      <c r="O1589" s="48" t="str">
        <f aca="false">STACK!H1589</f>
        <v>Preceptor RN</v>
      </c>
      <c r="P1589" s="1" t="str">
        <f aca="false">IF(G1589&gt;0,IF(INDEX(CONFIRM!$H$5:$H$53,G1589)&lt;&gt;"",INDEX(CONFIRM!$H$5:$H$53,G1589),IFERROR(INDEX(MAP!$B$7:$B$156,MATCH(TRIM(O1589),MAP!$A$7:$A$156,0)),"UNMAPPED")),IFERROR(INDEX(MAP!$B$7:$B$156,MATCH(TRIM(O1589),MAP!$A$7:$A$156,0)),"UNMAPPED"))</f>
        <v>Clinical Nurse Educator</v>
      </c>
      <c r="Q1589" s="48" t="n">
        <f aca="false">STACK!I1589</f>
        <v>85</v>
      </c>
      <c r="R1589" s="60" t="n">
        <f aca="false">IF(G1589&gt;0,IF(INDEX(CONFIRM!$F$5:$F$53,G1589)&lt;&gt;"",INDEX(CONFIRM!$F$5:$F$53,G1589),IF(ISNUMBER(Q1589),Q1589,IF(Q1589="","",IFERROR(VALUE(TRIM(SUBSTITUTE(SUBSTITUTE(LOWER(Q1589),"hrs",""),"hr",""))),"")))),IF(ISNUMBER(Q1589),Q1589,IF(Q1589="","",IFERROR(VALUE(TRIM(SUBSTITUTE(SUBSTITUTE(LOWER(Q1589),"hrs",""),"hr",""))),""))))</f>
        <v>85</v>
      </c>
      <c r="S1589" s="57" t="n">
        <f aca="false">IFERROR(INDEX(RATES!$E$6:$E$28,MATCH(P1589,RATES!$A$6:$A$28,0)),0)</f>
        <v>62.965</v>
      </c>
      <c r="T1589" s="61" t="n">
        <f aca="false">IF(ISNUMBER(R1589),R1589,0)*S1589</f>
        <v>5352.025</v>
      </c>
      <c r="U1589" s="61" t="n">
        <f aca="false">T1589*INDEX(INPUTS!$H$10:$H$14,MATCH(B1589,INPUTS!$A$10:$A$14,0))</f>
        <v>808.155775</v>
      </c>
      <c r="V1589" s="61" t="n">
        <f aca="false">N(STACK!K1589)</f>
        <v>350</v>
      </c>
      <c r="W1589" s="61" t="n">
        <f aca="false">T1589+U1589+V1589</f>
        <v>6510.180775</v>
      </c>
      <c r="X1589" s="61" t="n">
        <f aca="false">N(STACK!L1589)</f>
        <v>0</v>
      </c>
      <c r="Y1589" s="61" t="n">
        <f aca="false">W1589-X1589</f>
        <v>6510.180775</v>
      </c>
      <c r="Z1589" s="1" t="n">
        <f aca="false">N(STACK!J1589)</f>
        <v>37</v>
      </c>
      <c r="AA1589" s="1" t="str">
        <f aca="false">TRIM(IF(D1589="UNMAPPED","Program not mapped. ","")&amp;IF(OR(K1589="UNMAPPED",K1589="UNASSIGNED"),"Category needs review. ","")&amp;IF(P1589="UNMAPPED","Title not mapped. ","")&amp;IF(AND(P1589&lt;&gt;"No staff time",R1589=""),"Missing hours. ","")&amp;IF(M1589="","Date not readable. ","")&amp;IF(N1589="No","Outside fiscal year. ","")&amp;IF(AND(F1589="Event",ISNUMBER(R1589)),IF(R1589&gt;12,"Event hours look high. ",""),"")&amp;IF(G1589&gt;0,"See CONFIRM sheet.",""))</f>
        <v/>
      </c>
      <c r="AB1589" s="1" t="n">
        <f aca="false">IF(N1589="No",0,IF(REVIEW!O1589=0,0,IF(G1589&gt;0,IF(INDEX(CONFIRM!$J$5:$J$53,G1589)&lt;&gt;"",INDEX(CONFIRM!$J$5:$J$53,G1589),1),1)))</f>
        <v>1</v>
      </c>
      <c r="AC1589" s="1" t="n">
        <f aca="false">IF(AB1589=1,IF(COUNTIFS($B$5:B1589,B1589,$D$5:D1589,D1589,$AB$5:AB1589,1)=1,1,0),0)</f>
        <v>0</v>
      </c>
    </row>
    <row r="1590" customFormat="false" ht="15" hidden="false" customHeight="false" outlineLevel="0" collapsed="false">
      <c r="A1590" s="48" t="str">
        <f aca="false">STACK!A1590</f>
        <v>QHH-0209</v>
      </c>
      <c r="B1590" s="48" t="str">
        <f aca="false">STACK!B1590</f>
        <v>QHH</v>
      </c>
      <c r="C1590" s="48" t="str">
        <f aca="false">STACK!E1590</f>
        <v>Nursing Clinical Rotations</v>
      </c>
      <c r="D1590" s="1" t="str">
        <f aca="false">IFERROR(INDEX(MAP!$J$7:$J$101,MATCH(TRIM(C1590),MAP!$I$7:$I$101,0)),"UNMAPPED")</f>
        <v>Nursing Student Clinical Rotations</v>
      </c>
      <c r="E1590" s="1" t="str">
        <f aca="false">IFERROR(INDEX(MAP!$K$7:$K$101,MATCH(TRIM(C1590),MAP!$I$7:$I$101,0)),"")</f>
        <v>Health workforce</v>
      </c>
      <c r="F1590" s="1" t="str">
        <f aca="false">IFERROR(INDEX(MAP!$L$7:$L$101,MATCH(TRIM(C1590),MAP!$I$7:$I$101,0)),"")</f>
        <v>Monthly</v>
      </c>
      <c r="G1590" s="1" t="n">
        <f aca="false">IFERROR(MATCH(A1590,CONFIRM!$A$5:$A$53,0),0)</f>
        <v>0</v>
      </c>
      <c r="H1590" s="48" t="str">
        <f aca="false">STACK!F1590</f>
        <v>HPE - Students</v>
      </c>
      <c r="I1590" s="1" t="str">
        <f aca="false">IF(G1590&gt;0,IF(INDEX(CONFIRM!$I$5:$I$53,G1590)&lt;&gt;"",INDEX(CONFIRM!$I$5:$I$53,G1590),H1590),H1590)</f>
        <v>HPE - Students</v>
      </c>
      <c r="J1590" s="1" t="str">
        <f aca="false">IFERROR(INDEX(MAP!$F$7:$F$74,MATCH(TRIM(I1590),MAP!$E$7:$E$74,0)),"UNMAPPED")</f>
        <v>Health professions education</v>
      </c>
      <c r="K1590" s="1" t="str">
        <f aca="false">IFERROR(INDEX(MAP!$G$7:$G$74,MATCH(TRIM(I1590),MAP!$E$7:$E$74,0)),"UNMAPPED")</f>
        <v>7f</v>
      </c>
      <c r="L1590" s="49" t="str">
        <f aca="false">STACK!G1590</f>
        <v>30-Apr-2026</v>
      </c>
      <c r="M1590" s="59" t="n">
        <f aca="false">IF(G1590&gt;0,IF(INDEX(CONFIRM!$G$5:$G$53,G1590)&lt;&gt;"",INDEX(CONFIRM!$G$5:$G$53,G1590),IF(ISNUMBER(L1590),L1590,IFERROR(DATEVALUE(L1590),""))),IF(ISNUMBER(L1590),L1590,IFERROR(DATEVALUE(L1590),"")))</f>
        <v>46142</v>
      </c>
      <c r="N1590" s="1" t="str">
        <f aca="false">IF(M1590="","Check",IF(AND(M1590&gt;=INPUTS!$C$6,M1590&lt;=INPUTS!$C$7),"Yes","No"))</f>
        <v>Yes</v>
      </c>
      <c r="O1590" s="48" t="str">
        <f aca="false">STACK!H1590</f>
        <v>Charge RN</v>
      </c>
      <c r="P1590" s="1" t="str">
        <f aca="false">IF(G1590&gt;0,IF(INDEX(CONFIRM!$H$5:$H$53,G1590)&lt;&gt;"",INDEX(CONFIRM!$H$5:$H$53,G1590),IFERROR(INDEX(MAP!$B$7:$B$156,MATCH(TRIM(O1590),MAP!$A$7:$A$156,0)),"UNMAPPED")),IFERROR(INDEX(MAP!$B$7:$B$156,MATCH(TRIM(O1590),MAP!$A$7:$A$156,0)),"UNMAPPED"))</f>
        <v>Registered Nurse</v>
      </c>
      <c r="Q1590" s="48" t="n">
        <f aca="false">STACK!I1590</f>
        <v>217</v>
      </c>
      <c r="R1590" s="60" t="n">
        <f aca="false">IF(G1590&gt;0,IF(INDEX(CONFIRM!$F$5:$F$53,G1590)&lt;&gt;"",INDEX(CONFIRM!$F$5:$F$53,G1590),IF(ISNUMBER(Q1590),Q1590,IF(Q1590="","",IFERROR(VALUE(TRIM(SUBSTITUTE(SUBSTITUTE(LOWER(Q1590),"hrs",""),"hr",""))),"")))),IF(ISNUMBER(Q1590),Q1590,IF(Q1590="","",IFERROR(VALUE(TRIM(SUBSTITUTE(SUBSTITUTE(LOWER(Q1590),"hrs",""),"hr",""))),""))))</f>
        <v>217</v>
      </c>
      <c r="S1590" s="57" t="n">
        <f aca="false">IFERROR(INDEX(RATES!$E$6:$E$28,MATCH(P1590,RATES!$A$6:$A$28,0)),0)</f>
        <v>55.8975</v>
      </c>
      <c r="T1590" s="61" t="n">
        <f aca="false">IF(ISNUMBER(R1590),R1590,0)*S1590</f>
        <v>12129.7575</v>
      </c>
      <c r="U1590" s="61" t="n">
        <f aca="false">T1590*INDEX(INPUTS!$H$10:$H$14,MATCH(B1590,INPUTS!$A$10:$A$14,0))</f>
        <v>1831.5933825</v>
      </c>
      <c r="V1590" s="61" t="n">
        <f aca="false">N(STACK!K1590)</f>
        <v>0</v>
      </c>
      <c r="W1590" s="61" t="n">
        <f aca="false">T1590+U1590+V1590</f>
        <v>13961.3508825</v>
      </c>
      <c r="X1590" s="61" t="n">
        <f aca="false">N(STACK!L1590)</f>
        <v>0</v>
      </c>
      <c r="Y1590" s="61" t="n">
        <f aca="false">W1590-X1590</f>
        <v>13961.3508825</v>
      </c>
      <c r="Z1590" s="1" t="n">
        <f aca="false">N(STACK!J1590)</f>
        <v>0</v>
      </c>
      <c r="AA1590" s="1" t="str">
        <f aca="false">TRIM(IF(D1590="UNMAPPED","Program not mapped. ","")&amp;IF(OR(K1590="UNMAPPED",K1590="UNASSIGNED"),"Category needs review. ","")&amp;IF(P1590="UNMAPPED","Title not mapped. ","")&amp;IF(AND(P1590&lt;&gt;"No staff time",R1590=""),"Missing hours. ","")&amp;IF(M1590="","Date not readable. ","")&amp;IF(N1590="No","Outside fiscal year. ","")&amp;IF(AND(F1590="Event",ISNUMBER(R1590)),IF(R1590&gt;12,"Event hours look high. ",""),"")&amp;IF(G1590&gt;0,"See CONFIRM sheet.",""))</f>
        <v/>
      </c>
      <c r="AB1590" s="1" t="n">
        <f aca="false">IF(N1590="No",0,IF(REVIEW!O1590=0,0,IF(G1590&gt;0,IF(INDEX(CONFIRM!$J$5:$J$53,G1590)&lt;&gt;"",INDEX(CONFIRM!$J$5:$J$53,G1590),1),1)))</f>
        <v>1</v>
      </c>
      <c r="AC1590" s="1" t="n">
        <f aca="false">IF(AB1590=1,IF(COUNTIFS($B$5:B1590,B1590,$D$5:D1590,D1590,$AB$5:AB1590,1)=1,1,0),0)</f>
        <v>0</v>
      </c>
    </row>
    <row r="1591" customFormat="false" ht="15" hidden="false" customHeight="false" outlineLevel="0" collapsed="false">
      <c r="A1591" s="48" t="str">
        <f aca="false">STACK!A1591</f>
        <v>QHH-0210</v>
      </c>
      <c r="B1591" s="48" t="str">
        <f aca="false">STACK!B1591</f>
        <v>QHH</v>
      </c>
      <c r="C1591" s="48" t="str">
        <f aca="false">STACK!E1591</f>
        <v>Quit Tobacco Class</v>
      </c>
      <c r="D1591" s="1" t="str">
        <f aca="false">IFERROR(INDEX(MAP!$J$7:$J$101,MATCH(TRIM(C1591),MAP!$I$7:$I$101,0)),"UNMAPPED")</f>
        <v>Tobacco Cessation Classes</v>
      </c>
      <c r="E1591" s="1" t="str">
        <f aca="false">IFERROR(INDEX(MAP!$K$7:$K$101,MATCH(TRIM(C1591),MAP!$I$7:$I$101,0)),"")</f>
        <v>Chronic disease prevention</v>
      </c>
      <c r="F1591" s="1" t="str">
        <f aca="false">IFERROR(INDEX(MAP!$L$7:$L$101,MATCH(TRIM(C1591),MAP!$I$7:$I$101,0)),"")</f>
        <v>Event</v>
      </c>
      <c r="G1591" s="1" t="n">
        <f aca="false">IFERROR(MATCH(A1591,CONFIRM!$A$5:$A$53,0),0)</f>
        <v>0</v>
      </c>
      <c r="H1591" s="48" t="str">
        <f aca="false">STACK!F1591</f>
        <v>CHIS - Education</v>
      </c>
      <c r="I1591" s="1" t="str">
        <f aca="false">IF(G1591&gt;0,IF(INDEX(CONFIRM!$I$5:$I$53,G1591)&lt;&gt;"",INDEX(CONFIRM!$I$5:$I$53,G1591),H1591),H1591)</f>
        <v>CHIS - Education</v>
      </c>
      <c r="J1591" s="1" t="str">
        <f aca="false">IFERROR(INDEX(MAP!$F$7:$F$74,MATCH(TRIM(I1591),MAP!$E$7:$E$74,0)),"UNMAPPED")</f>
        <v>Community health education</v>
      </c>
      <c r="K1591" s="1" t="str">
        <f aca="false">IFERROR(INDEX(MAP!$G$7:$G$74,MATCH(TRIM(I1591),MAP!$E$7:$E$74,0)),"UNMAPPED")</f>
        <v>7e</v>
      </c>
      <c r="L1591" s="49" t="str">
        <f aca="false">STACK!G1591</f>
        <v>13-May-2026</v>
      </c>
      <c r="M1591" s="59" t="n">
        <f aca="false">IF(G1591&gt;0,IF(INDEX(CONFIRM!$G$5:$G$53,G1591)&lt;&gt;"",INDEX(CONFIRM!$G$5:$G$53,G1591),IF(ISNUMBER(L1591),L1591,IFERROR(DATEVALUE(L1591),""))),IF(ISNUMBER(L1591),L1591,IFERROR(DATEVALUE(L1591),"")))</f>
        <v>46155</v>
      </c>
      <c r="N1591" s="1" t="str">
        <f aca="false">IF(M1591="","Check",IF(AND(M1591&gt;=INPUTS!$C$6,M1591&lt;=INPUTS!$C$7),"Yes","No"))</f>
        <v>Yes</v>
      </c>
      <c r="O1591" s="48" t="str">
        <f aca="false">STACK!H1591</f>
        <v>PT</v>
      </c>
      <c r="P1591" s="1" t="str">
        <f aca="false">IF(G1591&gt;0,IF(INDEX(CONFIRM!$H$5:$H$53,G1591)&lt;&gt;"",INDEX(CONFIRM!$H$5:$H$53,G1591),IFERROR(INDEX(MAP!$B$7:$B$156,MATCH(TRIM(O1591),MAP!$A$7:$A$156,0)),"UNMAPPED")),IFERROR(INDEX(MAP!$B$7:$B$156,MATCH(TRIM(O1591),MAP!$A$7:$A$156,0)),"UNMAPPED"))</f>
        <v>Licensed Therapist</v>
      </c>
      <c r="Q1591" s="48" t="n">
        <f aca="false">STACK!I1591</f>
        <v>2</v>
      </c>
      <c r="R1591" s="60" t="n">
        <f aca="false">IF(G1591&gt;0,IF(INDEX(CONFIRM!$F$5:$F$53,G1591)&lt;&gt;"",INDEX(CONFIRM!$F$5:$F$53,G1591),IF(ISNUMBER(Q1591),Q1591,IF(Q1591="","",IFERROR(VALUE(TRIM(SUBSTITUTE(SUBSTITUTE(LOWER(Q1591),"hrs",""),"hr",""))),"")))),IF(ISNUMBER(Q1591),Q1591,IF(Q1591="","",IFERROR(VALUE(TRIM(SUBSTITUTE(SUBSTITUTE(LOWER(Q1591),"hrs",""),"hr",""))),""))))</f>
        <v>2</v>
      </c>
      <c r="S1591" s="57" t="n">
        <f aca="false">IFERROR(INDEX(RATES!$E$6:$E$28,MATCH(P1591,RATES!$A$6:$A$28,0)),0)</f>
        <v>53.97</v>
      </c>
      <c r="T1591" s="61" t="n">
        <f aca="false">IF(ISNUMBER(R1591),R1591,0)*S1591</f>
        <v>107.94</v>
      </c>
      <c r="U1591" s="61" t="n">
        <f aca="false">T1591*INDEX(INPUTS!$H$10:$H$14,MATCH(B1591,INPUTS!$A$10:$A$14,0))</f>
        <v>16.29894</v>
      </c>
      <c r="V1591" s="61" t="n">
        <f aca="false">N(STACK!K1591)</f>
        <v>150</v>
      </c>
      <c r="W1591" s="61" t="n">
        <f aca="false">T1591+U1591+V1591</f>
        <v>274.23894</v>
      </c>
      <c r="X1591" s="61" t="n">
        <f aca="false">N(STACK!L1591)</f>
        <v>0</v>
      </c>
      <c r="Y1591" s="61" t="n">
        <f aca="false">W1591-X1591</f>
        <v>274.23894</v>
      </c>
      <c r="Z1591" s="1" t="n">
        <f aca="false">N(STACK!J1591)</f>
        <v>10</v>
      </c>
      <c r="AA1591" s="1" t="str">
        <f aca="false">TRIM(IF(D1591="UNMAPPED","Program not mapped. ","")&amp;IF(OR(K1591="UNMAPPED",K1591="UNASSIGNED"),"Category needs review. ","")&amp;IF(P1591="UNMAPPED","Title not mapped. ","")&amp;IF(AND(P1591&lt;&gt;"No staff time",R1591=""),"Missing hours. ","")&amp;IF(M1591="","Date not readable. ","")&amp;IF(N1591="No","Outside fiscal year. ","")&amp;IF(AND(F1591="Event",ISNUMBER(R1591)),IF(R1591&gt;12,"Event hours look high. ",""),"")&amp;IF(G1591&gt;0,"See CONFIRM sheet.",""))</f>
        <v/>
      </c>
      <c r="AB1591" s="1" t="n">
        <f aca="false">IF(N1591="No",0,IF(REVIEW!O1591=0,0,IF(G1591&gt;0,IF(INDEX(CONFIRM!$J$5:$J$53,G1591)&lt;&gt;"",INDEX(CONFIRM!$J$5:$J$53,G1591),1),1)))</f>
        <v>1</v>
      </c>
      <c r="AC1591" s="1" t="n">
        <f aca="false">IF(AB1591=1,IF(COUNTIFS($B$5:B1591,B1591,$D$5:D1591,D1591,$AB$5:AB1591,1)=1,1,0),0)</f>
        <v>0</v>
      </c>
    </row>
    <row r="1592" customFormat="false" ht="15" hidden="false" customHeight="false" outlineLevel="0" collapsed="false">
      <c r="A1592" s="48" t="str">
        <f aca="false">STACK!A1592</f>
        <v>QHH-0211</v>
      </c>
      <c r="B1592" s="48" t="str">
        <f aca="false">STACK!B1592</f>
        <v>QHH</v>
      </c>
      <c r="C1592" s="48" t="str">
        <f aca="false">STACK!E1592</f>
        <v>Diabetes Prevention Program</v>
      </c>
      <c r="D1592" s="1" t="str">
        <f aca="false">IFERROR(INDEX(MAP!$J$7:$J$101,MATCH(TRIM(C1592),MAP!$I$7:$I$101,0)),"UNMAPPED")</f>
        <v>Diabetes Prevention Classes</v>
      </c>
      <c r="E1592" s="1" t="str">
        <f aca="false">IFERROR(INDEX(MAP!$K$7:$K$101,MATCH(TRIM(C1592),MAP!$I$7:$I$101,0)),"")</f>
        <v>Chronic disease prevention</v>
      </c>
      <c r="F1592" s="1" t="str">
        <f aca="false">IFERROR(INDEX(MAP!$L$7:$L$101,MATCH(TRIM(C1592),MAP!$I$7:$I$101,0)),"")</f>
        <v>Event</v>
      </c>
      <c r="G1592" s="1" t="n">
        <f aca="false">IFERROR(MATCH(A1592,CONFIRM!$A$5:$A$53,0),0)</f>
        <v>0</v>
      </c>
      <c r="H1592" s="48" t="str">
        <f aca="false">STACK!F1592</f>
        <v>CHIS - Education</v>
      </c>
      <c r="I1592" s="1" t="str">
        <f aca="false">IF(G1592&gt;0,IF(INDEX(CONFIRM!$I$5:$I$53,G1592)&lt;&gt;"",INDEX(CONFIRM!$I$5:$I$53,G1592),H1592),H1592)</f>
        <v>CHIS - Education</v>
      </c>
      <c r="J1592" s="1" t="str">
        <f aca="false">IFERROR(INDEX(MAP!$F$7:$F$74,MATCH(TRIM(I1592),MAP!$E$7:$E$74,0)),"UNMAPPED")</f>
        <v>Community health education</v>
      </c>
      <c r="K1592" s="1" t="str">
        <f aca="false">IFERROR(INDEX(MAP!$G$7:$G$74,MATCH(TRIM(I1592),MAP!$E$7:$E$74,0)),"UNMAPPED")</f>
        <v>7e</v>
      </c>
      <c r="L1592" s="49" t="str">
        <f aca="false">STACK!G1592</f>
        <v>14-May-2026</v>
      </c>
      <c r="M1592" s="59" t="n">
        <f aca="false">IF(G1592&gt;0,IF(INDEX(CONFIRM!$G$5:$G$53,G1592)&lt;&gt;"",INDEX(CONFIRM!$G$5:$G$53,G1592),IF(ISNUMBER(L1592),L1592,IFERROR(DATEVALUE(L1592),""))),IF(ISNUMBER(L1592),L1592,IFERROR(DATEVALUE(L1592),"")))</f>
        <v>46156</v>
      </c>
      <c r="N1592" s="1" t="str">
        <f aca="false">IF(M1592="","Check",IF(AND(M1592&gt;=INPUTS!$C$6,M1592&lt;=INPUTS!$C$7),"Yes","No"))</f>
        <v>Yes</v>
      </c>
      <c r="O1592" s="48" t="str">
        <f aca="false">STACK!H1592</f>
        <v>health ed</v>
      </c>
      <c r="P1592" s="1" t="str">
        <f aca="false">IF(G1592&gt;0,IF(INDEX(CONFIRM!$H$5:$H$53,G1592)&lt;&gt;"",INDEX(CONFIRM!$H$5:$H$53,G1592),IFERROR(INDEX(MAP!$B$7:$B$156,MATCH(TRIM(O1592),MAP!$A$7:$A$156,0)),"UNMAPPED")),IFERROR(INDEX(MAP!$B$7:$B$156,MATCH(TRIM(O1592),MAP!$A$7:$A$156,0)),"UNMAPPED"))</f>
        <v>Health Educator</v>
      </c>
      <c r="Q1592" s="48" t="n">
        <f aca="false">STACK!I1592</f>
        <v>2.5</v>
      </c>
      <c r="R1592" s="60" t="n">
        <f aca="false">IF(G1592&gt;0,IF(INDEX(CONFIRM!$F$5:$F$53,G1592)&lt;&gt;"",INDEX(CONFIRM!$F$5:$F$53,G1592),IF(ISNUMBER(Q1592),Q1592,IF(Q1592="","",IFERROR(VALUE(TRIM(SUBSTITUTE(SUBSTITUTE(LOWER(Q1592),"hrs",""),"hr",""))),"")))),IF(ISNUMBER(Q1592),Q1592,IF(Q1592="","",IFERROR(VALUE(TRIM(SUBSTITUTE(SUBSTITUTE(LOWER(Q1592),"hrs",""),"hr",""))),""))))</f>
        <v>2.5</v>
      </c>
      <c r="S1592" s="57" t="n">
        <f aca="false">IFERROR(INDEX(RATES!$E$6:$E$28,MATCH(P1592,RATES!$A$6:$A$28,0)),0)</f>
        <v>37.265</v>
      </c>
      <c r="T1592" s="61" t="n">
        <f aca="false">IF(ISNUMBER(R1592),R1592,0)*S1592</f>
        <v>93.1625</v>
      </c>
      <c r="U1592" s="61" t="n">
        <f aca="false">T1592*INDEX(INPUTS!$H$10:$H$14,MATCH(B1592,INPUTS!$A$10:$A$14,0))</f>
        <v>14.0675375</v>
      </c>
      <c r="V1592" s="61" t="n">
        <f aca="false">N(STACK!K1592)</f>
        <v>75</v>
      </c>
      <c r="W1592" s="61" t="n">
        <f aca="false">T1592+U1592+V1592</f>
        <v>182.2300375</v>
      </c>
      <c r="X1592" s="61" t="n">
        <f aca="false">N(STACK!L1592)</f>
        <v>0</v>
      </c>
      <c r="Y1592" s="61" t="n">
        <f aca="false">W1592-X1592</f>
        <v>182.2300375</v>
      </c>
      <c r="Z1592" s="1" t="n">
        <f aca="false">N(STACK!J1592)</f>
        <v>14</v>
      </c>
      <c r="AA1592" s="1" t="str">
        <f aca="false">TRIM(IF(D1592="UNMAPPED","Program not mapped. ","")&amp;IF(OR(K1592="UNMAPPED",K1592="UNASSIGNED"),"Category needs review. ","")&amp;IF(P1592="UNMAPPED","Title not mapped. ","")&amp;IF(AND(P1592&lt;&gt;"No staff time",R1592=""),"Missing hours. ","")&amp;IF(M1592="","Date not readable. ","")&amp;IF(N1592="No","Outside fiscal year. ","")&amp;IF(AND(F1592="Event",ISNUMBER(R1592)),IF(R1592&gt;12,"Event hours look high. ",""),"")&amp;IF(G1592&gt;0,"See CONFIRM sheet.",""))</f>
        <v/>
      </c>
      <c r="AB1592" s="1" t="n">
        <f aca="false">IF(N1592="No",0,IF(REVIEW!O1592=0,0,IF(G1592&gt;0,IF(INDEX(CONFIRM!$J$5:$J$53,G1592)&lt;&gt;"",INDEX(CONFIRM!$J$5:$J$53,G1592),1),1)))</f>
        <v>1</v>
      </c>
      <c r="AC1592" s="1" t="n">
        <f aca="false">IF(AB1592=1,IF(COUNTIFS($B$5:B1592,B1592,$D$5:D1592,D1592,$AB$5:AB1592,1)=1,1,0),0)</f>
        <v>0</v>
      </c>
    </row>
    <row r="1593" customFormat="false" ht="15" hidden="false" customHeight="false" outlineLevel="0" collapsed="false">
      <c r="A1593" s="48" t="str">
        <f aca="false">STACK!A1593</f>
        <v>QHH-0212</v>
      </c>
      <c r="B1593" s="48" t="str">
        <f aca="false">STACK!B1593</f>
        <v>QHH</v>
      </c>
      <c r="C1593" s="48" t="str">
        <f aca="false">STACK!E1593</f>
        <v>Diabetes Prevention Program</v>
      </c>
      <c r="D1593" s="1" t="str">
        <f aca="false">IFERROR(INDEX(MAP!$J$7:$J$101,MATCH(TRIM(C1593),MAP!$I$7:$I$101,0)),"UNMAPPED")</f>
        <v>Diabetes Prevention Classes</v>
      </c>
      <c r="E1593" s="1" t="str">
        <f aca="false">IFERROR(INDEX(MAP!$K$7:$K$101,MATCH(TRIM(C1593),MAP!$I$7:$I$101,0)),"")</f>
        <v>Chronic disease prevention</v>
      </c>
      <c r="F1593" s="1" t="str">
        <f aca="false">IFERROR(INDEX(MAP!$L$7:$L$101,MATCH(TRIM(C1593),MAP!$I$7:$I$101,0)),"")</f>
        <v>Event</v>
      </c>
      <c r="G1593" s="1" t="n">
        <f aca="false">IFERROR(MATCH(A1593,CONFIRM!$A$5:$A$53,0),0)</f>
        <v>0</v>
      </c>
      <c r="H1593" s="48" t="str">
        <f aca="false">STACK!F1593</f>
        <v>CHIS - Education</v>
      </c>
      <c r="I1593" s="1" t="str">
        <f aca="false">IF(G1593&gt;0,IF(INDEX(CONFIRM!$I$5:$I$53,G1593)&lt;&gt;"",INDEX(CONFIRM!$I$5:$I$53,G1593),H1593),H1593)</f>
        <v>CHIS - Education</v>
      </c>
      <c r="J1593" s="1" t="str">
        <f aca="false">IFERROR(INDEX(MAP!$F$7:$F$74,MATCH(TRIM(I1593),MAP!$E$7:$E$74,0)),"UNMAPPED")</f>
        <v>Community health education</v>
      </c>
      <c r="K1593" s="1" t="str">
        <f aca="false">IFERROR(INDEX(MAP!$G$7:$G$74,MATCH(TRIM(I1593),MAP!$E$7:$E$74,0)),"UNMAPPED")</f>
        <v>7e</v>
      </c>
      <c r="L1593" s="49" t="str">
        <f aca="false">STACK!G1593</f>
        <v>14-May-2026</v>
      </c>
      <c r="M1593" s="59" t="n">
        <f aca="false">IF(G1593&gt;0,IF(INDEX(CONFIRM!$G$5:$G$53,G1593)&lt;&gt;"",INDEX(CONFIRM!$G$5:$G$53,G1593),IF(ISNUMBER(L1593),L1593,IFERROR(DATEVALUE(L1593),""))),IF(ISNUMBER(L1593),L1593,IFERROR(DATEVALUE(L1593),"")))</f>
        <v>46156</v>
      </c>
      <c r="N1593" s="1" t="str">
        <f aca="false">IF(M1593="","Check",IF(AND(M1593&gt;=INPUTS!$C$6,M1593&lt;=INPUTS!$C$7),"Yes","No"))</f>
        <v>Yes</v>
      </c>
      <c r="O1593" s="48" t="str">
        <f aca="false">STACK!H1593</f>
        <v> Clinical Dietitian </v>
      </c>
      <c r="P1593" s="1" t="str">
        <f aca="false">IF(G1593&gt;0,IF(INDEX(CONFIRM!$H$5:$H$53,G1593)&lt;&gt;"",INDEX(CONFIRM!$H$5:$H$53,G1593),IFERROR(INDEX(MAP!$B$7:$B$156,MATCH(TRIM(O1593),MAP!$A$7:$A$156,0)),"UNMAPPED")),IFERROR(INDEX(MAP!$B$7:$B$156,MATCH(TRIM(O1593),MAP!$A$7:$A$156,0)),"UNMAPPED"))</f>
        <v>Registered Dietitian</v>
      </c>
      <c r="Q1593" s="48" t="n">
        <f aca="false">STACK!I1593</f>
        <v>1.5</v>
      </c>
      <c r="R1593" s="60" t="n">
        <f aca="false">IF(G1593&gt;0,IF(INDEX(CONFIRM!$F$5:$F$53,G1593)&lt;&gt;"",INDEX(CONFIRM!$F$5:$F$53,G1593),IF(ISNUMBER(Q1593),Q1593,IF(Q1593="","",IFERROR(VALUE(TRIM(SUBSTITUTE(SUBSTITUTE(LOWER(Q1593),"hrs",""),"hr",""))),"")))),IF(ISNUMBER(Q1593),Q1593,IF(Q1593="","",IFERROR(VALUE(TRIM(SUBSTITUTE(SUBSTITUTE(LOWER(Q1593),"hrs",""),"hr",""))),""))))</f>
        <v>1.5</v>
      </c>
      <c r="S1593" s="57" t="n">
        <f aca="false">IFERROR(INDEX(RATES!$E$6:$E$28,MATCH(P1593,RATES!$A$6:$A$28,0)),0)</f>
        <v>46.9025</v>
      </c>
      <c r="T1593" s="61" t="n">
        <f aca="false">IF(ISNUMBER(R1593),R1593,0)*S1593</f>
        <v>70.35375</v>
      </c>
      <c r="U1593" s="61" t="n">
        <f aca="false">T1593*INDEX(INPUTS!$H$10:$H$14,MATCH(B1593,INPUTS!$A$10:$A$14,0))</f>
        <v>10.62341625</v>
      </c>
      <c r="V1593" s="61" t="n">
        <f aca="false">N(STACK!K1593)</f>
        <v>0</v>
      </c>
      <c r="W1593" s="61" t="n">
        <f aca="false">T1593+U1593+V1593</f>
        <v>80.97716625</v>
      </c>
      <c r="X1593" s="61" t="n">
        <f aca="false">N(STACK!L1593)</f>
        <v>0</v>
      </c>
      <c r="Y1593" s="61" t="n">
        <f aca="false">W1593-X1593</f>
        <v>80.97716625</v>
      </c>
      <c r="Z1593" s="1" t="n">
        <f aca="false">N(STACK!J1593)</f>
        <v>0</v>
      </c>
      <c r="AA1593" s="1" t="str">
        <f aca="false">TRIM(IF(D1593="UNMAPPED","Program not mapped. ","")&amp;IF(OR(K1593="UNMAPPED",K1593="UNASSIGNED"),"Category needs review. ","")&amp;IF(P1593="UNMAPPED","Title not mapped. ","")&amp;IF(AND(P1593&lt;&gt;"No staff time",R1593=""),"Missing hours. ","")&amp;IF(M1593="","Date not readable. ","")&amp;IF(N1593="No","Outside fiscal year. ","")&amp;IF(AND(F1593="Event",ISNUMBER(R1593)),IF(R1593&gt;12,"Event hours look high. ",""),"")&amp;IF(G1593&gt;0,"See CONFIRM sheet.",""))</f>
        <v/>
      </c>
      <c r="AB1593" s="1" t="n">
        <f aca="false">IF(N1593="No",0,IF(REVIEW!O1593=0,0,IF(G1593&gt;0,IF(INDEX(CONFIRM!$J$5:$J$53,G1593)&lt;&gt;"",INDEX(CONFIRM!$J$5:$J$53,G1593),1),1)))</f>
        <v>1</v>
      </c>
      <c r="AC1593" s="1" t="n">
        <f aca="false">IF(AB1593=1,IF(COUNTIFS($B$5:B1593,B1593,$D$5:D1593,D1593,$AB$5:AB1593,1)=1,1,0),0)</f>
        <v>0</v>
      </c>
    </row>
    <row r="1594" customFormat="false" ht="15" hidden="false" customHeight="false" outlineLevel="0" collapsed="false">
      <c r="A1594" s="48" t="str">
        <f aca="false">STACK!A1594</f>
        <v>QHH-0213</v>
      </c>
      <c r="B1594" s="48" t="str">
        <f aca="false">STACK!B1594</f>
        <v>QHH</v>
      </c>
      <c r="C1594" s="48" t="str">
        <f aca="false">STACK!E1594</f>
        <v>Childbirth Education</v>
      </c>
      <c r="D1594" s="1" t="str">
        <f aca="false">IFERROR(INDEX(MAP!$J$7:$J$101,MATCH(TRIM(C1594),MAP!$I$7:$I$101,0)),"UNMAPPED")</f>
        <v>Childbirth and Newborn Care Classes</v>
      </c>
      <c r="E1594" s="1" t="str">
        <f aca="false">IFERROR(INDEX(MAP!$K$7:$K$101,MATCH(TRIM(C1594),MAP!$I$7:$I$101,0)),"")</f>
        <v>Maternal and child health</v>
      </c>
      <c r="F1594" s="1" t="str">
        <f aca="false">IFERROR(INDEX(MAP!$L$7:$L$101,MATCH(TRIM(C1594),MAP!$I$7:$I$101,0)),"")</f>
        <v>Event</v>
      </c>
      <c r="G1594" s="1" t="n">
        <f aca="false">IFERROR(MATCH(A1594,CONFIRM!$A$5:$A$53,0),0)</f>
        <v>0</v>
      </c>
      <c r="H1594" s="48" t="str">
        <f aca="false">STACK!F1594</f>
        <v>CHIS - Education</v>
      </c>
      <c r="I1594" s="1" t="str">
        <f aca="false">IF(G1594&gt;0,IF(INDEX(CONFIRM!$I$5:$I$53,G1594)&lt;&gt;"",INDEX(CONFIRM!$I$5:$I$53,G1594),H1594),H1594)</f>
        <v>CHIS - Education</v>
      </c>
      <c r="J1594" s="1" t="str">
        <f aca="false">IFERROR(INDEX(MAP!$F$7:$F$74,MATCH(TRIM(I1594),MAP!$E$7:$E$74,0)),"UNMAPPED")</f>
        <v>Community health education</v>
      </c>
      <c r="K1594" s="1" t="str">
        <f aca="false">IFERROR(INDEX(MAP!$G$7:$G$74,MATCH(TRIM(I1594),MAP!$E$7:$E$74,0)),"UNMAPPED")</f>
        <v>7e</v>
      </c>
      <c r="L1594" s="49" t="str">
        <f aca="false">STACK!G1594</f>
        <v>15-May-2026</v>
      </c>
      <c r="M1594" s="59" t="n">
        <f aca="false">IF(G1594&gt;0,IF(INDEX(CONFIRM!$G$5:$G$53,G1594)&lt;&gt;"",INDEX(CONFIRM!$G$5:$G$53,G1594),IF(ISNUMBER(L1594),L1594,IFERROR(DATEVALUE(L1594),""))),IF(ISNUMBER(L1594),L1594,IFERROR(DATEVALUE(L1594),"")))</f>
        <v>46157</v>
      </c>
      <c r="N1594" s="1" t="str">
        <f aca="false">IF(M1594="","Check",IF(AND(M1594&gt;=INPUTS!$C$6,M1594&lt;=INPUTS!$C$7),"Yes","No"))</f>
        <v>Yes</v>
      </c>
      <c r="O1594" s="48" t="str">
        <f aca="false">STACK!H1594</f>
        <v>Educator, Nursing</v>
      </c>
      <c r="P1594" s="1" t="str">
        <f aca="false">IF(G1594&gt;0,IF(INDEX(CONFIRM!$H$5:$H$53,G1594)&lt;&gt;"",INDEX(CONFIRM!$H$5:$H$53,G1594),IFERROR(INDEX(MAP!$B$7:$B$156,MATCH(TRIM(O1594),MAP!$A$7:$A$156,0)),"UNMAPPED")),IFERROR(INDEX(MAP!$B$7:$B$156,MATCH(TRIM(O1594),MAP!$A$7:$A$156,0)),"UNMAPPED"))</f>
        <v>Clinical Nurse Educator</v>
      </c>
      <c r="Q1594" s="48" t="n">
        <f aca="false">STACK!I1594</f>
        <v>3.25</v>
      </c>
      <c r="R1594" s="60" t="n">
        <f aca="false">IF(G1594&gt;0,IF(INDEX(CONFIRM!$F$5:$F$53,G1594)&lt;&gt;"",INDEX(CONFIRM!$F$5:$F$53,G1594),IF(ISNUMBER(Q1594),Q1594,IF(Q1594="","",IFERROR(VALUE(TRIM(SUBSTITUTE(SUBSTITUTE(LOWER(Q1594),"hrs",""),"hr",""))),"")))),IF(ISNUMBER(Q1594),Q1594,IF(Q1594="","",IFERROR(VALUE(TRIM(SUBSTITUTE(SUBSTITUTE(LOWER(Q1594),"hrs",""),"hr",""))),""))))</f>
        <v>3.25</v>
      </c>
      <c r="S1594" s="57" t="n">
        <f aca="false">IFERROR(INDEX(RATES!$E$6:$E$28,MATCH(P1594,RATES!$A$6:$A$28,0)),0)</f>
        <v>62.965</v>
      </c>
      <c r="T1594" s="61" t="n">
        <f aca="false">IF(ISNUMBER(R1594),R1594,0)*S1594</f>
        <v>204.63625</v>
      </c>
      <c r="U1594" s="61" t="n">
        <f aca="false">T1594*INDEX(INPUTS!$H$10:$H$14,MATCH(B1594,INPUTS!$A$10:$A$14,0))</f>
        <v>30.90007375</v>
      </c>
      <c r="V1594" s="61" t="n">
        <f aca="false">N(STACK!K1594)</f>
        <v>145</v>
      </c>
      <c r="W1594" s="61" t="n">
        <f aca="false">T1594+U1594+V1594</f>
        <v>380.53632375</v>
      </c>
      <c r="X1594" s="61" t="n">
        <f aca="false">N(STACK!L1594)</f>
        <v>0</v>
      </c>
      <c r="Y1594" s="61" t="n">
        <f aca="false">W1594-X1594</f>
        <v>380.53632375</v>
      </c>
      <c r="Z1594" s="1" t="n">
        <f aca="false">N(STACK!J1594)</f>
        <v>14</v>
      </c>
      <c r="AA1594" s="1" t="str">
        <f aca="false">TRIM(IF(D1594="UNMAPPED","Program not mapped. ","")&amp;IF(OR(K1594="UNMAPPED",K1594="UNASSIGNED"),"Category needs review. ","")&amp;IF(P1594="UNMAPPED","Title not mapped. ","")&amp;IF(AND(P1594&lt;&gt;"No staff time",R1594=""),"Missing hours. ","")&amp;IF(M1594="","Date not readable. ","")&amp;IF(N1594="No","Outside fiscal year. ","")&amp;IF(AND(F1594="Event",ISNUMBER(R1594)),IF(R1594&gt;12,"Event hours look high. ",""),"")&amp;IF(G1594&gt;0,"See CONFIRM sheet.",""))</f>
        <v/>
      </c>
      <c r="AB1594" s="1" t="n">
        <f aca="false">IF(N1594="No",0,IF(REVIEW!O1594=0,0,IF(G1594&gt;0,IF(INDEX(CONFIRM!$J$5:$J$53,G1594)&lt;&gt;"",INDEX(CONFIRM!$J$5:$J$53,G1594),1),1)))</f>
        <v>1</v>
      </c>
      <c r="AC1594" s="1" t="n">
        <f aca="false">IF(AB1594=1,IF(COUNTIFS($B$5:B1594,B1594,$D$5:D1594,D1594,$AB$5:AB1594,1)=1,1,0),0)</f>
        <v>0</v>
      </c>
    </row>
    <row r="1595" customFormat="false" ht="15" hidden="false" customHeight="false" outlineLevel="0" collapsed="false">
      <c r="A1595" s="48" t="str">
        <f aca="false">STACK!A1595</f>
        <v>QHH-0214</v>
      </c>
      <c r="B1595" s="48" t="str">
        <f aca="false">STACK!B1595</f>
        <v>QHH</v>
      </c>
      <c r="C1595" s="48" t="str">
        <f aca="false">STACK!E1595</f>
        <v>Grief Support Group</v>
      </c>
      <c r="D1595" s="1" t="str">
        <f aca="false">IFERROR(INDEX(MAP!$J$7:$J$101,MATCH(TRIM(C1595),MAP!$I$7:$I$101,0)),"UNMAPPED")</f>
        <v>Grief Support Group</v>
      </c>
      <c r="E1595" s="1" t="str">
        <f aca="false">IFERROR(INDEX(MAP!$K$7:$K$101,MATCH(TRIM(C1595),MAP!$I$7:$I$101,0)),"")</f>
        <v>Behavioral health</v>
      </c>
      <c r="F1595" s="1" t="str">
        <f aca="false">IFERROR(INDEX(MAP!$L$7:$L$101,MATCH(TRIM(C1595),MAP!$I$7:$I$101,0)),"")</f>
        <v>Event</v>
      </c>
      <c r="G1595" s="1" t="n">
        <f aca="false">IFERROR(MATCH(A1595,CONFIRM!$A$5:$A$53,0),0)</f>
        <v>0</v>
      </c>
      <c r="H1595" s="48" t="str">
        <f aca="false">STACK!F1595</f>
        <v>CHIS - Support</v>
      </c>
      <c r="I1595" s="1" t="str">
        <f aca="false">IF(G1595&gt;0,IF(INDEX(CONFIRM!$I$5:$I$53,G1595)&lt;&gt;"",INDEX(CONFIRM!$I$5:$I$53,G1595),H1595),H1595)</f>
        <v>CHIS - Support</v>
      </c>
      <c r="J1595" s="1" t="str">
        <f aca="false">IFERROR(INDEX(MAP!$F$7:$F$74,MATCH(TRIM(I1595),MAP!$E$7:$E$74,0)),"UNMAPPED")</f>
        <v>Health care support services</v>
      </c>
      <c r="K1595" s="1" t="str">
        <f aca="false">IFERROR(INDEX(MAP!$G$7:$G$74,MATCH(TRIM(I1595),MAP!$E$7:$E$74,0)),"UNMAPPED")</f>
        <v>7e</v>
      </c>
      <c r="L1595" s="49" t="str">
        <f aca="false">STACK!G1595</f>
        <v>16-May-2026</v>
      </c>
      <c r="M1595" s="59" t="n">
        <f aca="false">IF(G1595&gt;0,IF(INDEX(CONFIRM!$G$5:$G$53,G1595)&lt;&gt;"",INDEX(CONFIRM!$G$5:$G$53,G1595),IF(ISNUMBER(L1595),L1595,IFERROR(DATEVALUE(L1595),""))),IF(ISNUMBER(L1595),L1595,IFERROR(DATEVALUE(L1595),"")))</f>
        <v>46158</v>
      </c>
      <c r="N1595" s="1" t="str">
        <f aca="false">IF(M1595="","Check",IF(AND(M1595&gt;=INPUTS!$C$6,M1595&lt;=INPUTS!$C$7),"Yes","No"))</f>
        <v>Yes</v>
      </c>
      <c r="O1595" s="48" t="str">
        <f aca="false">STACK!H1595</f>
        <v>Spiritual Care</v>
      </c>
      <c r="P1595" s="1" t="str">
        <f aca="false">IF(G1595&gt;0,IF(INDEX(CONFIRM!$H$5:$H$53,G1595)&lt;&gt;"",INDEX(CONFIRM!$H$5:$H$53,G1595),IFERROR(INDEX(MAP!$B$7:$B$156,MATCH(TRIM(O1595),MAP!$A$7:$A$156,0)),"UNMAPPED")),IFERROR(INDEX(MAP!$B$7:$B$156,MATCH(TRIM(O1595),MAP!$A$7:$A$156,0)),"UNMAPPED"))</f>
        <v>Chaplain</v>
      </c>
      <c r="Q1595" s="48" t="n">
        <f aca="false">STACK!I1595</f>
        <v>2.25</v>
      </c>
      <c r="R1595" s="60" t="n">
        <f aca="false">IF(G1595&gt;0,IF(INDEX(CONFIRM!$F$5:$F$53,G1595)&lt;&gt;"",INDEX(CONFIRM!$F$5:$F$53,G1595),IF(ISNUMBER(Q1595),Q1595,IF(Q1595="","",IFERROR(VALUE(TRIM(SUBSTITUTE(SUBSTITUTE(LOWER(Q1595),"hrs",""),"hr",""))),"")))),IF(ISNUMBER(Q1595),Q1595,IF(Q1595="","",IFERROR(VALUE(TRIM(SUBSTITUTE(SUBSTITUTE(LOWER(Q1595),"hrs",""),"hr",""))),""))))</f>
        <v>2.25</v>
      </c>
      <c r="S1595" s="57" t="n">
        <f aca="false">IFERROR(INDEX(RATES!$E$6:$E$28,MATCH(P1595,RATES!$A$6:$A$28,0)),0)</f>
        <v>39.835</v>
      </c>
      <c r="T1595" s="61" t="n">
        <f aca="false">IF(ISNUMBER(R1595),R1595,0)*S1595</f>
        <v>89.62875</v>
      </c>
      <c r="U1595" s="61" t="n">
        <f aca="false">T1595*INDEX(INPUTS!$H$10:$H$14,MATCH(B1595,INPUTS!$A$10:$A$14,0))</f>
        <v>13.53394125</v>
      </c>
      <c r="V1595" s="61" t="n">
        <f aca="false">N(STACK!K1595)</f>
        <v>45</v>
      </c>
      <c r="W1595" s="61" t="n">
        <f aca="false">T1595+U1595+V1595</f>
        <v>148.16269125</v>
      </c>
      <c r="X1595" s="61" t="n">
        <f aca="false">N(STACK!L1595)</f>
        <v>0</v>
      </c>
      <c r="Y1595" s="61" t="n">
        <f aca="false">W1595-X1595</f>
        <v>148.16269125</v>
      </c>
      <c r="Z1595" s="1" t="n">
        <f aca="false">N(STACK!J1595)</f>
        <v>6</v>
      </c>
      <c r="AA1595" s="1" t="str">
        <f aca="false">TRIM(IF(D1595="UNMAPPED","Program not mapped. ","")&amp;IF(OR(K1595="UNMAPPED",K1595="UNASSIGNED"),"Category needs review. ","")&amp;IF(P1595="UNMAPPED","Title not mapped. ","")&amp;IF(AND(P1595&lt;&gt;"No staff time",R1595=""),"Missing hours. ","")&amp;IF(M1595="","Date not readable. ","")&amp;IF(N1595="No","Outside fiscal year. ","")&amp;IF(AND(F1595="Event",ISNUMBER(R1595)),IF(R1595&gt;12,"Event hours look high. ",""),"")&amp;IF(G1595&gt;0,"See CONFIRM sheet.",""))</f>
        <v/>
      </c>
      <c r="AB1595" s="1" t="n">
        <f aca="false">IF(N1595="No",0,IF(REVIEW!O1595=0,0,IF(G1595&gt;0,IF(INDEX(CONFIRM!$J$5:$J$53,G1595)&lt;&gt;"",INDEX(CONFIRM!$J$5:$J$53,G1595),1),1)))</f>
        <v>1</v>
      </c>
      <c r="AC1595" s="1" t="n">
        <f aca="false">IF(AB1595=1,IF(COUNTIFS($B$5:B1595,B1595,$D$5:D1595,D1595,$AB$5:AB1595,1)=1,1,0),0)</f>
        <v>0</v>
      </c>
    </row>
    <row r="1596" customFormat="false" ht="15" hidden="false" customHeight="false" outlineLevel="0" collapsed="false">
      <c r="A1596" s="48" t="str">
        <f aca="false">STACK!A1596</f>
        <v>QHH-0215</v>
      </c>
      <c r="B1596" s="48" t="str">
        <f aca="false">STACK!B1596</f>
        <v>QHH</v>
      </c>
      <c r="C1596" s="48" t="str">
        <f aca="false">STACK!E1596</f>
        <v>Grief Support Group</v>
      </c>
      <c r="D1596" s="1" t="str">
        <f aca="false">IFERROR(INDEX(MAP!$J$7:$J$101,MATCH(TRIM(C1596),MAP!$I$7:$I$101,0)),"UNMAPPED")</f>
        <v>Grief Support Group</v>
      </c>
      <c r="E1596" s="1" t="str">
        <f aca="false">IFERROR(INDEX(MAP!$K$7:$K$101,MATCH(TRIM(C1596),MAP!$I$7:$I$101,0)),"")</f>
        <v>Behavioral health</v>
      </c>
      <c r="F1596" s="1" t="str">
        <f aca="false">IFERROR(INDEX(MAP!$L$7:$L$101,MATCH(TRIM(C1596),MAP!$I$7:$I$101,0)),"")</f>
        <v>Event</v>
      </c>
      <c r="G1596" s="1" t="n">
        <f aca="false">IFERROR(MATCH(A1596,CONFIRM!$A$5:$A$53,0),0)</f>
        <v>0</v>
      </c>
      <c r="H1596" s="48" t="str">
        <f aca="false">STACK!F1596</f>
        <v>CHIS - Support</v>
      </c>
      <c r="I1596" s="1" t="str">
        <f aca="false">IF(G1596&gt;0,IF(INDEX(CONFIRM!$I$5:$I$53,G1596)&lt;&gt;"",INDEX(CONFIRM!$I$5:$I$53,G1596),H1596),H1596)</f>
        <v>CHIS - Support</v>
      </c>
      <c r="J1596" s="1" t="str">
        <f aca="false">IFERROR(INDEX(MAP!$F$7:$F$74,MATCH(TRIM(I1596),MAP!$E$7:$E$74,0)),"UNMAPPED")</f>
        <v>Health care support services</v>
      </c>
      <c r="K1596" s="1" t="str">
        <f aca="false">IFERROR(INDEX(MAP!$G$7:$G$74,MATCH(TRIM(I1596),MAP!$E$7:$E$74,0)),"UNMAPPED")</f>
        <v>7e</v>
      </c>
      <c r="L1596" s="49" t="str">
        <f aca="false">STACK!G1596</f>
        <v>16-May-2026</v>
      </c>
      <c r="M1596" s="59" t="n">
        <f aca="false">IF(G1596&gt;0,IF(INDEX(CONFIRM!$G$5:$G$53,G1596)&lt;&gt;"",INDEX(CONFIRM!$G$5:$G$53,G1596),IF(ISNUMBER(L1596),L1596,IFERROR(DATEVALUE(L1596),""))),IF(ISNUMBER(L1596),L1596,IFERROR(DATEVALUE(L1596),"")))</f>
        <v>46158</v>
      </c>
      <c r="N1596" s="1" t="str">
        <f aca="false">IF(M1596="","Check",IF(AND(M1596&gt;=INPUTS!$C$6,M1596&lt;=INPUTS!$C$7),"Yes","No"))</f>
        <v>Yes</v>
      </c>
      <c r="O1596" s="48" t="str">
        <f aca="false">STACK!H1596</f>
        <v>Social Worker</v>
      </c>
      <c r="P1596" s="1" t="str">
        <f aca="false">IF(G1596&gt;0,IF(INDEX(CONFIRM!$H$5:$H$53,G1596)&lt;&gt;"",INDEX(CONFIRM!$H$5:$H$53,G1596),IFERROR(INDEX(MAP!$B$7:$B$156,MATCH(TRIM(O1596),MAP!$A$7:$A$156,0)),"UNMAPPED")),IFERROR(INDEX(MAP!$B$7:$B$156,MATCH(TRIM(O1596),MAP!$A$7:$A$156,0)),"UNMAPPED"))</f>
        <v>Social Worker</v>
      </c>
      <c r="Q1596" s="48" t="n">
        <f aca="false">STACK!I1596</f>
        <v>1.75</v>
      </c>
      <c r="R1596" s="60" t="n">
        <f aca="false">IF(G1596&gt;0,IF(INDEX(CONFIRM!$F$5:$F$53,G1596)&lt;&gt;"",INDEX(CONFIRM!$F$5:$F$53,G1596),IF(ISNUMBER(Q1596),Q1596,IF(Q1596="","",IFERROR(VALUE(TRIM(SUBSTITUTE(SUBSTITUTE(LOWER(Q1596),"hrs",""),"hr",""))),"")))),IF(ISNUMBER(Q1596),Q1596,IF(Q1596="","",IFERROR(VALUE(TRIM(SUBSTITUTE(SUBSTITUTE(LOWER(Q1596),"hrs",""),"hr",""))),""))))</f>
        <v>1.75</v>
      </c>
      <c r="S1596" s="57" t="n">
        <f aca="false">IFERROR(INDEX(RATES!$E$6:$E$28,MATCH(P1596,RATES!$A$6:$A$28,0)),0)</f>
        <v>45.6175</v>
      </c>
      <c r="T1596" s="61" t="n">
        <f aca="false">IF(ISNUMBER(R1596),R1596,0)*S1596</f>
        <v>79.830625</v>
      </c>
      <c r="U1596" s="61" t="n">
        <f aca="false">T1596*INDEX(INPUTS!$H$10:$H$14,MATCH(B1596,INPUTS!$A$10:$A$14,0))</f>
        <v>12.054424375</v>
      </c>
      <c r="V1596" s="61" t="n">
        <f aca="false">N(STACK!K1596)</f>
        <v>0</v>
      </c>
      <c r="W1596" s="61" t="n">
        <f aca="false">T1596+U1596+V1596</f>
        <v>91.885049375</v>
      </c>
      <c r="X1596" s="61" t="n">
        <f aca="false">N(STACK!L1596)</f>
        <v>0</v>
      </c>
      <c r="Y1596" s="61" t="n">
        <f aca="false">W1596-X1596</f>
        <v>91.885049375</v>
      </c>
      <c r="Z1596" s="1" t="n">
        <f aca="false">N(STACK!J1596)</f>
        <v>0</v>
      </c>
      <c r="AA1596" s="1" t="str">
        <f aca="false">TRIM(IF(D1596="UNMAPPED","Program not mapped. ","")&amp;IF(OR(K1596="UNMAPPED",K1596="UNASSIGNED"),"Category needs review. ","")&amp;IF(P1596="UNMAPPED","Title not mapped. ","")&amp;IF(AND(P1596&lt;&gt;"No staff time",R1596=""),"Missing hours. ","")&amp;IF(M1596="","Date not readable. ","")&amp;IF(N1596="No","Outside fiscal year. ","")&amp;IF(AND(F1596="Event",ISNUMBER(R1596)),IF(R1596&gt;12,"Event hours look high. ",""),"")&amp;IF(G1596&gt;0,"See CONFIRM sheet.",""))</f>
        <v/>
      </c>
      <c r="AB1596" s="1" t="n">
        <f aca="false">IF(N1596="No",0,IF(REVIEW!O1596=0,0,IF(G1596&gt;0,IF(INDEX(CONFIRM!$J$5:$J$53,G1596)&lt;&gt;"",INDEX(CONFIRM!$J$5:$J$53,G1596),1),1)))</f>
        <v>1</v>
      </c>
      <c r="AC1596" s="1" t="n">
        <f aca="false">IF(AB1596=1,IF(COUNTIFS($B$5:B1596,B1596,$D$5:D1596,D1596,$AB$5:AB1596,1)=1,1,0),0)</f>
        <v>0</v>
      </c>
    </row>
    <row r="1597" customFormat="false" ht="15" hidden="false" customHeight="false" outlineLevel="0" collapsed="false">
      <c r="A1597" s="48" t="str">
        <f aca="false">STACK!A1597</f>
        <v>QHH-0216</v>
      </c>
      <c r="B1597" s="48" t="str">
        <f aca="false">STACK!B1597</f>
        <v>QHH</v>
      </c>
      <c r="C1597" s="48" t="str">
        <f aca="false">STACK!E1597</f>
        <v>Quit Tobacco Class</v>
      </c>
      <c r="D1597" s="1" t="str">
        <f aca="false">IFERROR(INDEX(MAP!$J$7:$J$101,MATCH(TRIM(C1597),MAP!$I$7:$I$101,0)),"UNMAPPED")</f>
        <v>Tobacco Cessation Classes</v>
      </c>
      <c r="E1597" s="1" t="str">
        <f aca="false">IFERROR(INDEX(MAP!$K$7:$K$101,MATCH(TRIM(C1597),MAP!$I$7:$I$101,0)),"")</f>
        <v>Chronic disease prevention</v>
      </c>
      <c r="F1597" s="1" t="str">
        <f aca="false">IFERROR(INDEX(MAP!$L$7:$L$101,MATCH(TRIM(C1597),MAP!$I$7:$I$101,0)),"")</f>
        <v>Event</v>
      </c>
      <c r="G1597" s="1" t="n">
        <f aca="false">IFERROR(MATCH(A1597,CONFIRM!$A$5:$A$53,0),0)</f>
        <v>0</v>
      </c>
      <c r="H1597" s="48" t="str">
        <f aca="false">STACK!F1597</f>
        <v>CHIS - Education</v>
      </c>
      <c r="I1597" s="1" t="str">
        <f aca="false">IF(G1597&gt;0,IF(INDEX(CONFIRM!$I$5:$I$53,G1597)&lt;&gt;"",INDEX(CONFIRM!$I$5:$I$53,G1597),H1597),H1597)</f>
        <v>CHIS - Education</v>
      </c>
      <c r="J1597" s="1" t="str">
        <f aca="false">IFERROR(INDEX(MAP!$F$7:$F$74,MATCH(TRIM(I1597),MAP!$E$7:$E$74,0)),"UNMAPPED")</f>
        <v>Community health education</v>
      </c>
      <c r="K1597" s="1" t="str">
        <f aca="false">IFERROR(INDEX(MAP!$G$7:$G$74,MATCH(TRIM(I1597),MAP!$E$7:$E$74,0)),"UNMAPPED")</f>
        <v>7e</v>
      </c>
      <c r="L1597" s="49" t="str">
        <f aca="false">STACK!G1597</f>
        <v>30-May-2026</v>
      </c>
      <c r="M1597" s="59" t="n">
        <f aca="false">IF(G1597&gt;0,IF(INDEX(CONFIRM!$G$5:$G$53,G1597)&lt;&gt;"",INDEX(CONFIRM!$G$5:$G$53,G1597),IF(ISNUMBER(L1597),L1597,IFERROR(DATEVALUE(L1597),""))),IF(ISNUMBER(L1597),L1597,IFERROR(DATEVALUE(L1597),"")))</f>
        <v>46172</v>
      </c>
      <c r="N1597" s="1" t="str">
        <f aca="false">IF(M1597="","Check",IF(AND(M1597&gt;=INPUTS!$C$6,M1597&lt;=INPUTS!$C$7),"Yes","No"))</f>
        <v>Yes</v>
      </c>
      <c r="O1597" s="48" t="str">
        <f aca="false">STACK!H1597</f>
        <v>Phys Therapist</v>
      </c>
      <c r="P1597" s="1" t="str">
        <f aca="false">IF(G1597&gt;0,IF(INDEX(CONFIRM!$H$5:$H$53,G1597)&lt;&gt;"",INDEX(CONFIRM!$H$5:$H$53,G1597),IFERROR(INDEX(MAP!$B$7:$B$156,MATCH(TRIM(O1597),MAP!$A$7:$A$156,0)),"UNMAPPED")),IFERROR(INDEX(MAP!$B$7:$B$156,MATCH(TRIM(O1597),MAP!$A$7:$A$156,0)),"UNMAPPED"))</f>
        <v>Licensed Therapist</v>
      </c>
      <c r="Q1597" s="48" t="n">
        <f aca="false">STACK!I1597</f>
        <v>2</v>
      </c>
      <c r="R1597" s="60" t="n">
        <f aca="false">IF(G1597&gt;0,IF(INDEX(CONFIRM!$F$5:$F$53,G1597)&lt;&gt;"",INDEX(CONFIRM!$F$5:$F$53,G1597),IF(ISNUMBER(Q1597),Q1597,IF(Q1597="","",IFERROR(VALUE(TRIM(SUBSTITUTE(SUBSTITUTE(LOWER(Q1597),"hrs",""),"hr",""))),"")))),IF(ISNUMBER(Q1597),Q1597,IF(Q1597="","",IFERROR(VALUE(TRIM(SUBSTITUTE(SUBSTITUTE(LOWER(Q1597),"hrs",""),"hr",""))),""))))</f>
        <v>2</v>
      </c>
      <c r="S1597" s="57" t="n">
        <f aca="false">IFERROR(INDEX(RATES!$E$6:$E$28,MATCH(P1597,RATES!$A$6:$A$28,0)),0)</f>
        <v>53.97</v>
      </c>
      <c r="T1597" s="61" t="n">
        <f aca="false">IF(ISNUMBER(R1597),R1597,0)*S1597</f>
        <v>107.94</v>
      </c>
      <c r="U1597" s="61" t="n">
        <f aca="false">T1597*INDEX(INPUTS!$H$10:$H$14,MATCH(B1597,INPUTS!$A$10:$A$14,0))</f>
        <v>16.29894</v>
      </c>
      <c r="V1597" s="61" t="n">
        <f aca="false">N(STACK!K1597)</f>
        <v>95</v>
      </c>
      <c r="W1597" s="61" t="n">
        <f aca="false">T1597+U1597+V1597</f>
        <v>219.23894</v>
      </c>
      <c r="X1597" s="61" t="n">
        <f aca="false">N(STACK!L1597)</f>
        <v>0</v>
      </c>
      <c r="Y1597" s="61" t="n">
        <f aca="false">W1597-X1597</f>
        <v>219.23894</v>
      </c>
      <c r="Z1597" s="1" t="n">
        <f aca="false">N(STACK!J1597)</f>
        <v>10</v>
      </c>
      <c r="AA1597" s="1" t="str">
        <f aca="false">TRIM(IF(D1597="UNMAPPED","Program not mapped. ","")&amp;IF(OR(K1597="UNMAPPED",K1597="UNASSIGNED"),"Category needs review. ","")&amp;IF(P1597="UNMAPPED","Title not mapped. ","")&amp;IF(AND(P1597&lt;&gt;"No staff time",R1597=""),"Missing hours. ","")&amp;IF(M1597="","Date not readable. ","")&amp;IF(N1597="No","Outside fiscal year. ","")&amp;IF(AND(F1597="Event",ISNUMBER(R1597)),IF(R1597&gt;12,"Event hours look high. ",""),"")&amp;IF(G1597&gt;0,"See CONFIRM sheet.",""))</f>
        <v/>
      </c>
      <c r="AB1597" s="1" t="n">
        <f aca="false">IF(N1597="No",0,IF(REVIEW!O1597=0,0,IF(G1597&gt;0,IF(INDEX(CONFIRM!$J$5:$J$53,G1597)&lt;&gt;"",INDEX(CONFIRM!$J$5:$J$53,G1597),1),1)))</f>
        <v>1</v>
      </c>
      <c r="AC1597" s="1" t="n">
        <f aca="false">IF(AB1597=1,IF(COUNTIFS($B$5:B1597,B1597,$D$5:D1597,D1597,$AB$5:AB1597,1)=1,1,0),0)</f>
        <v>0</v>
      </c>
    </row>
    <row r="1598" customFormat="false" ht="15" hidden="false" customHeight="false" outlineLevel="0" collapsed="false">
      <c r="A1598" s="48" t="str">
        <f aca="false">STACK!A1598</f>
        <v>QHH-0217</v>
      </c>
      <c r="B1598" s="48" t="str">
        <f aca="false">STACK!B1598</f>
        <v>QHH</v>
      </c>
      <c r="C1598" s="48" t="str">
        <f aca="false">STACK!E1598</f>
        <v>Medication Assistance</v>
      </c>
      <c r="D1598" s="1" t="str">
        <f aca="false">IFERROR(INDEX(MAP!$J$7:$J$101,MATCH(TRIM(C1598),MAP!$I$7:$I$101,0)),"UNMAPPED")</f>
        <v>Medication Assistance Program</v>
      </c>
      <c r="E1598" s="1" t="str">
        <f aca="false">IFERROR(INDEX(MAP!$K$7:$K$101,MATCH(TRIM(C1598),MAP!$I$7:$I$101,0)),"")</f>
        <v>Access to care</v>
      </c>
      <c r="F1598" s="1" t="str">
        <f aca="false">IFERROR(INDEX(MAP!$L$7:$L$101,MATCH(TRIM(C1598),MAP!$I$7:$I$101,0)),"")</f>
        <v>Monthly</v>
      </c>
      <c r="G1598" s="1" t="n">
        <f aca="false">IFERROR(MATCH(A1598,CONFIRM!$A$5:$A$53,0),0)</f>
        <v>0</v>
      </c>
      <c r="H1598" s="48" t="str">
        <f aca="false">STACK!F1598</f>
        <v>CHIS - Support</v>
      </c>
      <c r="I1598" s="1" t="str">
        <f aca="false">IF(G1598&gt;0,IF(INDEX(CONFIRM!$I$5:$I$53,G1598)&lt;&gt;"",INDEX(CONFIRM!$I$5:$I$53,G1598),H1598),H1598)</f>
        <v>CHIS - Support</v>
      </c>
      <c r="J1598" s="1" t="str">
        <f aca="false">IFERROR(INDEX(MAP!$F$7:$F$74,MATCH(TRIM(I1598),MAP!$E$7:$E$74,0)),"UNMAPPED")</f>
        <v>Health care support services</v>
      </c>
      <c r="K1598" s="1" t="str">
        <f aca="false">IFERROR(INDEX(MAP!$G$7:$G$74,MATCH(TRIM(I1598),MAP!$E$7:$E$74,0)),"UNMAPPED")</f>
        <v>7e</v>
      </c>
      <c r="L1598" s="49" t="str">
        <f aca="false">STACK!G1598</f>
        <v>31-May-2026</v>
      </c>
      <c r="M1598" s="59" t="n">
        <f aca="false">IF(G1598&gt;0,IF(INDEX(CONFIRM!$G$5:$G$53,G1598)&lt;&gt;"",INDEX(CONFIRM!$G$5:$G$53,G1598),IF(ISNUMBER(L1598),L1598,IFERROR(DATEVALUE(L1598),""))),IF(ISNUMBER(L1598),L1598,IFERROR(DATEVALUE(L1598),"")))</f>
        <v>46173</v>
      </c>
      <c r="N1598" s="1" t="str">
        <f aca="false">IF(M1598="","Check",IF(AND(M1598&gt;=INPUTS!$C$6,M1598&lt;=INPUTS!$C$7),"Yes","No"))</f>
        <v>Yes</v>
      </c>
      <c r="O1598" s="48" t="str">
        <f aca="false">STACK!H1598</f>
        <v>Pt Navigator</v>
      </c>
      <c r="P1598" s="1" t="str">
        <f aca="false">IF(G1598&gt;0,IF(INDEX(CONFIRM!$H$5:$H$53,G1598)&lt;&gt;"",INDEX(CONFIRM!$H$5:$H$53,G1598),IFERROR(INDEX(MAP!$B$7:$B$156,MATCH(TRIM(O1598),MAP!$A$7:$A$156,0)),"UNMAPPED")),IFERROR(INDEX(MAP!$B$7:$B$156,MATCH(TRIM(O1598),MAP!$A$7:$A$156,0)),"UNMAPPED"))</f>
        <v>Patient Navigator</v>
      </c>
      <c r="Q1598" s="48" t="n">
        <f aca="false">STACK!I1598</f>
        <v>68</v>
      </c>
      <c r="R1598" s="60" t="n">
        <f aca="false">IF(G1598&gt;0,IF(INDEX(CONFIRM!$F$5:$F$53,G1598)&lt;&gt;"",INDEX(CONFIRM!$F$5:$F$53,G1598),IF(ISNUMBER(Q1598),Q1598,IF(Q1598="","",IFERROR(VALUE(TRIM(SUBSTITUTE(SUBSTITUTE(LOWER(Q1598),"hrs",""),"hr",""))),"")))),IF(ISNUMBER(Q1598),Q1598,IF(Q1598="","",IFERROR(VALUE(TRIM(SUBSTITUTE(SUBSTITUTE(LOWER(Q1598),"hrs",""),"hr",""))),""))))</f>
        <v>68</v>
      </c>
      <c r="S1598" s="57" t="n">
        <f aca="false">IFERROR(INDEX(RATES!$E$6:$E$28,MATCH(P1598,RATES!$A$6:$A$28,0)),0)</f>
        <v>30.84</v>
      </c>
      <c r="T1598" s="61" t="n">
        <f aca="false">IF(ISNUMBER(R1598),R1598,0)*S1598</f>
        <v>2097.12</v>
      </c>
      <c r="U1598" s="61" t="n">
        <f aca="false">T1598*INDEX(INPUTS!$H$10:$H$14,MATCH(B1598,INPUTS!$A$10:$A$14,0))</f>
        <v>316.66512</v>
      </c>
      <c r="V1598" s="61" t="n">
        <f aca="false">N(STACK!K1598)</f>
        <v>0</v>
      </c>
      <c r="W1598" s="61" t="n">
        <f aca="false">T1598+U1598+V1598</f>
        <v>2413.78512</v>
      </c>
      <c r="X1598" s="61" t="n">
        <f aca="false">N(STACK!L1598)</f>
        <v>0</v>
      </c>
      <c r="Y1598" s="61" t="n">
        <f aca="false">W1598-X1598</f>
        <v>2413.78512</v>
      </c>
      <c r="Z1598" s="1" t="n">
        <f aca="false">N(STACK!J1598)</f>
        <v>0</v>
      </c>
      <c r="AA1598" s="1" t="str">
        <f aca="false">TRIM(IF(D1598="UNMAPPED","Program not mapped. ","")&amp;IF(OR(K1598="UNMAPPED",K1598="UNASSIGNED"),"Category needs review. ","")&amp;IF(P1598="UNMAPPED","Title not mapped. ","")&amp;IF(AND(P1598&lt;&gt;"No staff time",R1598=""),"Missing hours. ","")&amp;IF(M1598="","Date not readable. ","")&amp;IF(N1598="No","Outside fiscal year. ","")&amp;IF(AND(F1598="Event",ISNUMBER(R1598)),IF(R1598&gt;12,"Event hours look high. ",""),"")&amp;IF(G1598&gt;0,"See CONFIRM sheet.",""))</f>
        <v/>
      </c>
      <c r="AB1598" s="1" t="n">
        <f aca="false">IF(N1598="No",0,IF(REVIEW!O1598=0,0,IF(G1598&gt;0,IF(INDEX(CONFIRM!$J$5:$J$53,G1598)&lt;&gt;"",INDEX(CONFIRM!$J$5:$J$53,G1598),1),1)))</f>
        <v>1</v>
      </c>
      <c r="AC1598" s="1" t="n">
        <f aca="false">IF(AB1598=1,IF(COUNTIFS($B$5:B1598,B1598,$D$5:D1598,D1598,$AB$5:AB1598,1)=1,1,0),0)</f>
        <v>0</v>
      </c>
    </row>
    <row r="1599" customFormat="false" ht="15" hidden="false" customHeight="false" outlineLevel="0" collapsed="false">
      <c r="A1599" s="48" t="str">
        <f aca="false">STACK!A1599</f>
        <v>QHH-0218</v>
      </c>
      <c r="B1599" s="48" t="str">
        <f aca="false">STACK!B1599</f>
        <v>QHH</v>
      </c>
      <c r="C1599" s="48" t="str">
        <f aca="false">STACK!E1599</f>
        <v>Medication Assistance</v>
      </c>
      <c r="D1599" s="1" t="str">
        <f aca="false">IFERROR(INDEX(MAP!$J$7:$J$101,MATCH(TRIM(C1599),MAP!$I$7:$I$101,0)),"UNMAPPED")</f>
        <v>Medication Assistance Program</v>
      </c>
      <c r="E1599" s="1" t="str">
        <f aca="false">IFERROR(INDEX(MAP!$K$7:$K$101,MATCH(TRIM(C1599),MAP!$I$7:$I$101,0)),"")</f>
        <v>Access to care</v>
      </c>
      <c r="F1599" s="1" t="str">
        <f aca="false">IFERROR(INDEX(MAP!$L$7:$L$101,MATCH(TRIM(C1599),MAP!$I$7:$I$101,0)),"")</f>
        <v>Monthly</v>
      </c>
      <c r="G1599" s="1" t="n">
        <f aca="false">IFERROR(MATCH(A1599,CONFIRM!$A$5:$A$53,0),0)</f>
        <v>0</v>
      </c>
      <c r="H1599" s="48" t="str">
        <f aca="false">STACK!F1599</f>
        <v>CHIS - Support</v>
      </c>
      <c r="I1599" s="1" t="str">
        <f aca="false">IF(G1599&gt;0,IF(INDEX(CONFIRM!$I$5:$I$53,G1599)&lt;&gt;"",INDEX(CONFIRM!$I$5:$I$53,G1599),H1599),H1599)</f>
        <v>CHIS - Support</v>
      </c>
      <c r="J1599" s="1" t="str">
        <f aca="false">IFERROR(INDEX(MAP!$F$7:$F$74,MATCH(TRIM(I1599),MAP!$E$7:$E$74,0)),"UNMAPPED")</f>
        <v>Health care support services</v>
      </c>
      <c r="K1599" s="1" t="str">
        <f aca="false">IFERROR(INDEX(MAP!$G$7:$G$74,MATCH(TRIM(I1599),MAP!$E$7:$E$74,0)),"UNMAPPED")</f>
        <v>7e</v>
      </c>
      <c r="L1599" s="49" t="str">
        <f aca="false">STACK!G1599</f>
        <v>31-May-2026</v>
      </c>
      <c r="M1599" s="59" t="n">
        <f aca="false">IF(G1599&gt;0,IF(INDEX(CONFIRM!$G$5:$G$53,G1599)&lt;&gt;"",INDEX(CONFIRM!$G$5:$G$53,G1599),IF(ISNUMBER(L1599),L1599,IFERROR(DATEVALUE(L1599),""))),IF(ISNUMBER(L1599),L1599,IFERROR(DATEVALUE(L1599),"")))</f>
        <v>46173</v>
      </c>
      <c r="N1599" s="1" t="str">
        <f aca="false">IF(M1599="","Check",IF(AND(M1599&gt;=INPUTS!$C$6,M1599&lt;=INPUTS!$C$7),"Yes","No"))</f>
        <v>Yes</v>
      </c>
      <c r="O1599" s="48" t="str">
        <f aca="false">STACK!H1599</f>
        <v>RPh</v>
      </c>
      <c r="P1599" s="1" t="str">
        <f aca="false">IF(G1599&gt;0,IF(INDEX(CONFIRM!$H$5:$H$53,G1599)&lt;&gt;"",INDEX(CONFIRM!$H$5:$H$53,G1599),IFERROR(INDEX(MAP!$B$7:$B$156,MATCH(TRIM(O1599),MAP!$A$7:$A$156,0)),"UNMAPPED")),IFERROR(INDEX(MAP!$B$7:$B$156,MATCH(TRIM(O1599),MAP!$A$7:$A$156,0)),"UNMAPPED"))</f>
        <v>Pharmacist</v>
      </c>
      <c r="Q1599" s="48" t="n">
        <f aca="false">STACK!I1599</f>
        <v>19</v>
      </c>
      <c r="R1599" s="60" t="n">
        <f aca="false">IF(G1599&gt;0,IF(INDEX(CONFIRM!$F$5:$F$53,G1599)&lt;&gt;"",INDEX(CONFIRM!$F$5:$F$53,G1599),IF(ISNUMBER(Q1599),Q1599,IF(Q1599="","",IFERROR(VALUE(TRIM(SUBSTITUTE(SUBSTITUTE(LOWER(Q1599),"hrs",""),"hr",""))),"")))),IF(ISNUMBER(Q1599),Q1599,IF(Q1599="","",IFERROR(VALUE(TRIM(SUBSTITUTE(SUBSTITUTE(LOWER(Q1599),"hrs",""),"hr",""))),""))))</f>
        <v>19</v>
      </c>
      <c r="S1599" s="57" t="n">
        <f aca="false">IFERROR(INDEX(RATES!$E$6:$E$28,MATCH(P1599,RATES!$A$6:$A$28,0)),0)</f>
        <v>84.81</v>
      </c>
      <c r="T1599" s="61" t="n">
        <f aca="false">IF(ISNUMBER(R1599),R1599,0)*S1599</f>
        <v>1611.39</v>
      </c>
      <c r="U1599" s="61" t="n">
        <f aca="false">T1599*INDEX(INPUTS!$H$10:$H$14,MATCH(B1599,INPUTS!$A$10:$A$14,0))</f>
        <v>243.31989</v>
      </c>
      <c r="V1599" s="61" t="n">
        <f aca="false">N(STACK!K1599)</f>
        <v>14670</v>
      </c>
      <c r="W1599" s="61" t="n">
        <f aca="false">T1599+U1599+V1599</f>
        <v>16524.70989</v>
      </c>
      <c r="X1599" s="61" t="n">
        <f aca="false">N(STACK!L1599)</f>
        <v>0</v>
      </c>
      <c r="Y1599" s="61" t="n">
        <f aca="false">W1599-X1599</f>
        <v>16524.70989</v>
      </c>
      <c r="Z1599" s="1" t="n">
        <f aca="false">N(STACK!J1599)</f>
        <v>102</v>
      </c>
      <c r="AA1599" s="1" t="str">
        <f aca="false">TRIM(IF(D1599="UNMAPPED","Program not mapped. ","")&amp;IF(OR(K1599="UNMAPPED",K1599="UNASSIGNED"),"Category needs review. ","")&amp;IF(P1599="UNMAPPED","Title not mapped. ","")&amp;IF(AND(P1599&lt;&gt;"No staff time",R1599=""),"Missing hours. ","")&amp;IF(M1599="","Date not readable. ","")&amp;IF(N1599="No","Outside fiscal year. ","")&amp;IF(AND(F1599="Event",ISNUMBER(R1599)),IF(R1599&gt;12,"Event hours look high. ",""),"")&amp;IF(G1599&gt;0,"See CONFIRM sheet.",""))</f>
        <v/>
      </c>
      <c r="AB1599" s="1" t="n">
        <f aca="false">IF(N1599="No",0,IF(REVIEW!O1599=0,0,IF(G1599&gt;0,IF(INDEX(CONFIRM!$J$5:$J$53,G1599)&lt;&gt;"",INDEX(CONFIRM!$J$5:$J$53,G1599),1),1)))</f>
        <v>1</v>
      </c>
      <c r="AC1599" s="1" t="n">
        <f aca="false">IF(AB1599=1,IF(COUNTIFS($B$5:B1599,B1599,$D$5:D1599,D1599,$AB$5:AB1599,1)=1,1,0),0)</f>
        <v>0</v>
      </c>
    </row>
    <row r="1600" customFormat="false" ht="15" hidden="false" customHeight="false" outlineLevel="0" collapsed="false">
      <c r="A1600" s="48" t="str">
        <f aca="false">STACK!A1600</f>
        <v>QHH-0219</v>
      </c>
      <c r="B1600" s="48" t="str">
        <f aca="false">STACK!B1600</f>
        <v>QHH</v>
      </c>
      <c r="C1600" s="48" t="str">
        <f aca="false">STACK!E1600</f>
        <v>Community Benefit Admin.</v>
      </c>
      <c r="D1600" s="1" t="str">
        <f aca="false">IFERROR(INDEX(MAP!$J$7:$J$101,MATCH(TRIM(C1600),MAP!$I$7:$I$101,0)),"UNMAPPED")</f>
        <v>Community Benefit Program Administration</v>
      </c>
      <c r="E1600" s="1" t="str">
        <f aca="false">IFERROR(INDEX(MAP!$K$7:$K$101,MATCH(TRIM(C1600),MAP!$I$7:$I$101,0)),"")</f>
        <v>Community benefit infrastructure</v>
      </c>
      <c r="F1600" s="1" t="str">
        <f aca="false">IFERROR(INDEX(MAP!$L$7:$L$101,MATCH(TRIM(C1600),MAP!$I$7:$I$101,0)),"")</f>
        <v>Monthly</v>
      </c>
      <c r="G1600" s="1" t="n">
        <f aca="false">IFERROR(MATCH(A1600,CONFIRM!$A$5:$A$53,0),0)</f>
        <v>0</v>
      </c>
      <c r="H1600" s="48" t="str">
        <f aca="false">STACK!F1600</f>
        <v>CBO</v>
      </c>
      <c r="I1600" s="1" t="str">
        <f aca="false">IF(G1600&gt;0,IF(INDEX(CONFIRM!$I$5:$I$53,G1600)&lt;&gt;"",INDEX(CONFIRM!$I$5:$I$53,G1600),H1600),H1600)</f>
        <v>CBO</v>
      </c>
      <c r="J1600" s="1" t="str">
        <f aca="false">IFERROR(INDEX(MAP!$F$7:$F$74,MATCH(TRIM(I1600),MAP!$E$7:$E$74,0)),"UNMAPPED")</f>
        <v>Community benefit operations</v>
      </c>
      <c r="K1600" s="1" t="str">
        <f aca="false">IFERROR(INDEX(MAP!$G$7:$G$74,MATCH(TRIM(I1600),MAP!$E$7:$E$74,0)),"UNMAPPED")</f>
        <v>7e</v>
      </c>
      <c r="L1600" s="49" t="str">
        <f aca="false">STACK!G1600</f>
        <v>31-May-2026</v>
      </c>
      <c r="M1600" s="59" t="n">
        <f aca="false">IF(G1600&gt;0,IF(INDEX(CONFIRM!$G$5:$G$53,G1600)&lt;&gt;"",INDEX(CONFIRM!$G$5:$G$53,G1600),IF(ISNUMBER(L1600),L1600,IFERROR(DATEVALUE(L1600),""))),IF(ISNUMBER(L1600),L1600,IFERROR(DATEVALUE(L1600),"")))</f>
        <v>46173</v>
      </c>
      <c r="N1600" s="1" t="str">
        <f aca="false">IF(M1600="","Check",IF(AND(M1600&gt;=INPUTS!$C$6,M1600&lt;=INPUTS!$C$7),"Yes","No"))</f>
        <v>Yes</v>
      </c>
      <c r="O1600" s="48" t="str">
        <f aca="false">STACK!H1600</f>
        <v>Office Coordinator</v>
      </c>
      <c r="P1600" s="1" t="str">
        <f aca="false">IF(G1600&gt;0,IF(INDEX(CONFIRM!$H$5:$H$53,G1600)&lt;&gt;"",INDEX(CONFIRM!$H$5:$H$53,G1600),IFERROR(INDEX(MAP!$B$7:$B$156,MATCH(TRIM(O1600),MAP!$A$7:$A$156,0)),"UNMAPPED")),IFERROR(INDEX(MAP!$B$7:$B$156,MATCH(TRIM(O1600),MAP!$A$7:$A$156,0)),"UNMAPPED"))</f>
        <v>Administrative Assistant</v>
      </c>
      <c r="Q1600" s="48" t="n">
        <f aca="false">STACK!I1600</f>
        <v>33</v>
      </c>
      <c r="R1600" s="60" t="n">
        <f aca="false">IF(G1600&gt;0,IF(INDEX(CONFIRM!$F$5:$F$53,G1600)&lt;&gt;"",INDEX(CONFIRM!$F$5:$F$53,G1600),IF(ISNUMBER(Q1600),Q1600,IF(Q1600="","",IFERROR(VALUE(TRIM(SUBSTITUTE(SUBSTITUTE(LOWER(Q1600),"hrs",""),"hr",""))),"")))),IF(ISNUMBER(Q1600),Q1600,IF(Q1600="","",IFERROR(VALUE(TRIM(SUBSTITUTE(SUBSTITUTE(LOWER(Q1600),"hrs",""),"hr",""))),""))))</f>
        <v>33</v>
      </c>
      <c r="S1600" s="57" t="n">
        <f aca="false">IFERROR(INDEX(RATES!$E$6:$E$28,MATCH(P1600,RATES!$A$6:$A$28,0)),0)</f>
        <v>26.985</v>
      </c>
      <c r="T1600" s="61" t="n">
        <f aca="false">IF(ISNUMBER(R1600),R1600,0)*S1600</f>
        <v>890.505</v>
      </c>
      <c r="U1600" s="61" t="n">
        <f aca="false">T1600*INDEX(INPUTS!$H$10:$H$14,MATCH(B1600,INPUTS!$A$10:$A$14,0))</f>
        <v>134.466255</v>
      </c>
      <c r="V1600" s="61" t="n">
        <f aca="false">N(STACK!K1600)</f>
        <v>0</v>
      </c>
      <c r="W1600" s="61" t="n">
        <f aca="false">T1600+U1600+V1600</f>
        <v>1024.971255</v>
      </c>
      <c r="X1600" s="61" t="n">
        <f aca="false">N(STACK!L1600)</f>
        <v>0</v>
      </c>
      <c r="Y1600" s="61" t="n">
        <f aca="false">W1600-X1600</f>
        <v>1024.971255</v>
      </c>
      <c r="Z1600" s="1" t="n">
        <f aca="false">N(STACK!J1600)</f>
        <v>0</v>
      </c>
      <c r="AA1600" s="1" t="str">
        <f aca="false">TRIM(IF(D1600="UNMAPPED","Program not mapped. ","")&amp;IF(OR(K1600="UNMAPPED",K1600="UNASSIGNED"),"Category needs review. ","")&amp;IF(P1600="UNMAPPED","Title not mapped. ","")&amp;IF(AND(P1600&lt;&gt;"No staff time",R1600=""),"Missing hours. ","")&amp;IF(M1600="","Date not readable. ","")&amp;IF(N1600="No","Outside fiscal year. ","")&amp;IF(AND(F1600="Event",ISNUMBER(R1600)),IF(R1600&gt;12,"Event hours look high. ",""),"")&amp;IF(G1600&gt;0,"See CONFIRM sheet.",""))</f>
        <v/>
      </c>
      <c r="AB1600" s="1" t="n">
        <f aca="false">IF(N1600="No",0,IF(REVIEW!O1600=0,0,IF(G1600&gt;0,IF(INDEX(CONFIRM!$J$5:$J$53,G1600)&lt;&gt;"",INDEX(CONFIRM!$J$5:$J$53,G1600),1),1)))</f>
        <v>1</v>
      </c>
      <c r="AC1600" s="1" t="n">
        <f aca="false">IF(AB1600=1,IF(COUNTIFS($B$5:B1600,B1600,$D$5:D1600,D1600,$AB$5:AB1600,1)=1,1,0),0)</f>
        <v>0</v>
      </c>
    </row>
    <row r="1601" customFormat="false" ht="15" hidden="false" customHeight="false" outlineLevel="0" collapsed="false">
      <c r="A1601" s="48" t="str">
        <f aca="false">STACK!A1601</f>
        <v>QHH-0220</v>
      </c>
      <c r="B1601" s="48" t="str">
        <f aca="false">STACK!B1601</f>
        <v>QHH</v>
      </c>
      <c r="C1601" s="48" t="str">
        <f aca="false">STACK!E1601</f>
        <v>Community Benefit Admin.</v>
      </c>
      <c r="D1601" s="1" t="str">
        <f aca="false">IFERROR(INDEX(MAP!$J$7:$J$101,MATCH(TRIM(C1601),MAP!$I$7:$I$101,0)),"UNMAPPED")</f>
        <v>Community Benefit Program Administration</v>
      </c>
      <c r="E1601" s="1" t="str">
        <f aca="false">IFERROR(INDEX(MAP!$K$7:$K$101,MATCH(TRIM(C1601),MAP!$I$7:$I$101,0)),"")</f>
        <v>Community benefit infrastructure</v>
      </c>
      <c r="F1601" s="1" t="str">
        <f aca="false">IFERROR(INDEX(MAP!$L$7:$L$101,MATCH(TRIM(C1601),MAP!$I$7:$I$101,0)),"")</f>
        <v>Monthly</v>
      </c>
      <c r="G1601" s="1" t="n">
        <f aca="false">IFERROR(MATCH(A1601,CONFIRM!$A$5:$A$53,0),0)</f>
        <v>0</v>
      </c>
      <c r="H1601" s="48" t="str">
        <f aca="false">STACK!F1601</f>
        <v>CBO</v>
      </c>
      <c r="I1601" s="1" t="str">
        <f aca="false">IF(G1601&gt;0,IF(INDEX(CONFIRM!$I$5:$I$53,G1601)&lt;&gt;"",INDEX(CONFIRM!$I$5:$I$53,G1601),H1601),H1601)</f>
        <v>CBO</v>
      </c>
      <c r="J1601" s="1" t="str">
        <f aca="false">IFERROR(INDEX(MAP!$F$7:$F$74,MATCH(TRIM(I1601),MAP!$E$7:$E$74,0)),"UNMAPPED")</f>
        <v>Community benefit operations</v>
      </c>
      <c r="K1601" s="1" t="str">
        <f aca="false">IFERROR(INDEX(MAP!$G$7:$G$74,MATCH(TRIM(I1601),MAP!$E$7:$E$74,0)),"UNMAPPED")</f>
        <v>7e</v>
      </c>
      <c r="L1601" s="49" t="str">
        <f aca="false">STACK!G1601</f>
        <v>31-May-2026</v>
      </c>
      <c r="M1601" s="59" t="n">
        <f aca="false">IF(G1601&gt;0,IF(INDEX(CONFIRM!$G$5:$G$53,G1601)&lt;&gt;"",INDEX(CONFIRM!$G$5:$G$53,G1601),IF(ISNUMBER(L1601),L1601,IFERROR(DATEVALUE(L1601),""))),IF(ISNUMBER(L1601),L1601,IFERROR(DATEVALUE(L1601),"")))</f>
        <v>46173</v>
      </c>
      <c r="N1601" s="1" t="str">
        <f aca="false">IF(M1601="","Check",IF(AND(M1601&gt;=INPUTS!$C$6,M1601&lt;=INPUTS!$C$7),"Yes","No"))</f>
        <v>Yes</v>
      </c>
      <c r="O1601" s="48" t="str">
        <f aca="false">STACK!H1601</f>
        <v>Community Health Manager</v>
      </c>
      <c r="P1601" s="1" t="str">
        <f aca="false">IF(G1601&gt;0,IF(INDEX(CONFIRM!$H$5:$H$53,G1601)&lt;&gt;"",INDEX(CONFIRM!$H$5:$H$53,G1601),IFERROR(INDEX(MAP!$B$7:$B$156,MATCH(TRIM(O1601),MAP!$A$7:$A$156,0)),"UNMAPPED")),IFERROR(INDEX(MAP!$B$7:$B$156,MATCH(TRIM(O1601),MAP!$A$7:$A$156,0)),"UNMAPPED"))</f>
        <v>Community Benefit Manager</v>
      </c>
      <c r="Q1601" s="48" t="n">
        <f aca="false">STACK!I1601</f>
        <v>53.75</v>
      </c>
      <c r="R1601" s="60" t="n">
        <f aca="false">IF(G1601&gt;0,IF(INDEX(CONFIRM!$F$5:$F$53,G1601)&lt;&gt;"",INDEX(CONFIRM!$F$5:$F$53,G1601),IF(ISNUMBER(Q1601),Q1601,IF(Q1601="","",IFERROR(VALUE(TRIM(SUBSTITUTE(SUBSTITUTE(LOWER(Q1601),"hrs",""),"hr",""))),"")))),IF(ISNUMBER(Q1601),Q1601,IF(Q1601="","",IFERROR(VALUE(TRIM(SUBSTITUTE(SUBSTITUTE(LOWER(Q1601),"hrs",""),"hr",""))),""))))</f>
        <v>53.75</v>
      </c>
      <c r="S1601" s="57" t="n">
        <f aca="false">IFERROR(INDEX(RATES!$E$6:$E$28,MATCH(P1601,RATES!$A$6:$A$28,0)),0)</f>
        <v>59.11</v>
      </c>
      <c r="T1601" s="61" t="n">
        <f aca="false">IF(ISNUMBER(R1601),R1601,0)*S1601</f>
        <v>3177.1625</v>
      </c>
      <c r="U1601" s="61" t="n">
        <f aca="false">T1601*INDEX(INPUTS!$H$10:$H$14,MATCH(B1601,INPUTS!$A$10:$A$14,0))</f>
        <v>479.7515375</v>
      </c>
      <c r="V1601" s="61" t="n">
        <f aca="false">N(STACK!K1601)</f>
        <v>665</v>
      </c>
      <c r="W1601" s="61" t="n">
        <f aca="false">T1601+U1601+V1601</f>
        <v>4321.9140375</v>
      </c>
      <c r="X1601" s="61" t="n">
        <f aca="false">N(STACK!L1601)</f>
        <v>0</v>
      </c>
      <c r="Y1601" s="61" t="n">
        <f aca="false">W1601-X1601</f>
        <v>4321.9140375</v>
      </c>
      <c r="Z1601" s="1" t="n">
        <f aca="false">N(STACK!J1601)</f>
        <v>0</v>
      </c>
      <c r="AA1601" s="1" t="str">
        <f aca="false">TRIM(IF(D1601="UNMAPPED","Program not mapped. ","")&amp;IF(OR(K1601="UNMAPPED",K1601="UNASSIGNED"),"Category needs review. ","")&amp;IF(P1601="UNMAPPED","Title not mapped. ","")&amp;IF(AND(P1601&lt;&gt;"No staff time",R1601=""),"Missing hours. ","")&amp;IF(M1601="","Date not readable. ","")&amp;IF(N1601="No","Outside fiscal year. ","")&amp;IF(AND(F1601="Event",ISNUMBER(R1601)),IF(R1601&gt;12,"Event hours look high. ",""),"")&amp;IF(G1601&gt;0,"See CONFIRM sheet.",""))</f>
        <v/>
      </c>
      <c r="AB1601" s="1" t="n">
        <f aca="false">IF(N1601="No",0,IF(REVIEW!O1601=0,0,IF(G1601&gt;0,IF(INDEX(CONFIRM!$J$5:$J$53,G1601)&lt;&gt;"",INDEX(CONFIRM!$J$5:$J$53,G1601),1),1)))</f>
        <v>1</v>
      </c>
      <c r="AC1601" s="1" t="n">
        <f aca="false">IF(AB1601=1,IF(COUNTIFS($B$5:B1601,B1601,$D$5:D1601,D1601,$AB$5:AB1601,1)=1,1,0),0)</f>
        <v>0</v>
      </c>
    </row>
    <row r="1602" customFormat="false" ht="15" hidden="false" customHeight="false" outlineLevel="0" collapsed="false">
      <c r="A1602" s="48" t="str">
        <f aca="false">STACK!A1602</f>
        <v>QHH-0221</v>
      </c>
      <c r="B1602" s="48" t="str">
        <f aca="false">STACK!B1602</f>
        <v>QHH</v>
      </c>
      <c r="C1602" s="48" t="str">
        <f aca="false">STACK!E1602</f>
        <v>Community Paramedicine</v>
      </c>
      <c r="D1602" s="1" t="str">
        <f aca="false">IFERROR(INDEX(MAP!$J$7:$J$101,MATCH(TRIM(C1602),MAP!$I$7:$I$101,0)),"UNMAPPED")</f>
        <v>Community Paramedic Home Visits</v>
      </c>
      <c r="E1602" s="1" t="str">
        <f aca="false">IFERROR(INDEX(MAP!$K$7:$K$101,MATCH(TRIM(C1602),MAP!$I$7:$I$101,0)),"")</f>
        <v>Access to care</v>
      </c>
      <c r="F1602" s="1" t="str">
        <f aca="false">IFERROR(INDEX(MAP!$L$7:$L$101,MATCH(TRIM(C1602),MAP!$I$7:$I$101,0)),"")</f>
        <v>Monthly</v>
      </c>
      <c r="G1602" s="1" t="n">
        <f aca="false">IFERROR(MATCH(A1602,CONFIRM!$A$5:$A$53,0),0)</f>
        <v>0</v>
      </c>
      <c r="H1602" s="48" t="str">
        <f aca="false">STACK!F1602</f>
        <v>CHIS - Clinical</v>
      </c>
      <c r="I1602" s="1" t="str">
        <f aca="false">IF(G1602&gt;0,IF(INDEX(CONFIRM!$I$5:$I$53,G1602)&lt;&gt;"",INDEX(CONFIRM!$I$5:$I$53,G1602),H1602),H1602)</f>
        <v>CHIS - Clinical</v>
      </c>
      <c r="J1602" s="1" t="str">
        <f aca="false">IFERROR(INDEX(MAP!$F$7:$F$74,MATCH(TRIM(I1602),MAP!$E$7:$E$74,0)),"UNMAPPED")</f>
        <v>Community-based clinical services</v>
      </c>
      <c r="K1602" s="1" t="str">
        <f aca="false">IFERROR(INDEX(MAP!$G$7:$G$74,MATCH(TRIM(I1602),MAP!$E$7:$E$74,0)),"UNMAPPED")</f>
        <v>7e</v>
      </c>
      <c r="L1602" s="49" t="str">
        <f aca="false">STACK!G1602</f>
        <v>31-May-2026</v>
      </c>
      <c r="M1602" s="59" t="n">
        <f aca="false">IF(G1602&gt;0,IF(INDEX(CONFIRM!$G$5:$G$53,G1602)&lt;&gt;"",INDEX(CONFIRM!$G$5:$G$53,G1602),IF(ISNUMBER(L1602),L1602,IFERROR(DATEVALUE(L1602),""))),IF(ISNUMBER(L1602),L1602,IFERROR(DATEVALUE(L1602),"")))</f>
        <v>46173</v>
      </c>
      <c r="N1602" s="1" t="str">
        <f aca="false">IF(M1602="","Check",IF(AND(M1602&gt;=INPUTS!$C$6,M1602&lt;=INPUTS!$C$7),"Yes","No"))</f>
        <v>Yes</v>
      </c>
      <c r="O1602" s="48" t="str">
        <f aca="false">STACK!H1602</f>
        <v>Flight Paramedic</v>
      </c>
      <c r="P1602" s="1" t="str">
        <f aca="false">IF(G1602&gt;0,IF(INDEX(CONFIRM!$H$5:$H$53,G1602)&lt;&gt;"",INDEX(CONFIRM!$H$5:$H$53,G1602),IFERROR(INDEX(MAP!$B$7:$B$156,MATCH(TRIM(O1602),MAP!$A$7:$A$156,0)),"UNMAPPED")),IFERROR(INDEX(MAP!$B$7:$B$156,MATCH(TRIM(O1602),MAP!$A$7:$A$156,0)),"UNMAPPED"))</f>
        <v>Paramedic</v>
      </c>
      <c r="Q1602" s="48" t="n">
        <f aca="false">STACK!I1602</f>
        <v>68.5</v>
      </c>
      <c r="R1602" s="60" t="n">
        <f aca="false">IF(G1602&gt;0,IF(INDEX(CONFIRM!$F$5:$F$53,G1602)&lt;&gt;"",INDEX(CONFIRM!$F$5:$F$53,G1602),IF(ISNUMBER(Q1602),Q1602,IF(Q1602="","",IFERROR(VALUE(TRIM(SUBSTITUTE(SUBSTITUTE(LOWER(Q1602),"hrs",""),"hr",""))),"")))),IF(ISNUMBER(Q1602),Q1602,IF(Q1602="","",IFERROR(VALUE(TRIM(SUBSTITUTE(SUBSTITUTE(LOWER(Q1602),"hrs",""),"hr",""))),""))))</f>
        <v>68.5</v>
      </c>
      <c r="S1602" s="57" t="n">
        <f aca="false">IFERROR(INDEX(RATES!$E$6:$E$28,MATCH(P1602,RATES!$A$6:$A$28,0)),0)</f>
        <v>34.695</v>
      </c>
      <c r="T1602" s="61" t="n">
        <f aca="false">IF(ISNUMBER(R1602),R1602,0)*S1602</f>
        <v>2376.6075</v>
      </c>
      <c r="U1602" s="61" t="n">
        <f aca="false">T1602*INDEX(INPUTS!$H$10:$H$14,MATCH(B1602,INPUTS!$A$10:$A$14,0))</f>
        <v>358.8677325</v>
      </c>
      <c r="V1602" s="61" t="n">
        <f aca="false">N(STACK!K1602)</f>
        <v>560</v>
      </c>
      <c r="W1602" s="61" t="n">
        <f aca="false">T1602+U1602+V1602</f>
        <v>3295.4752325</v>
      </c>
      <c r="X1602" s="61" t="n">
        <f aca="false">N(STACK!L1602)</f>
        <v>0</v>
      </c>
      <c r="Y1602" s="61" t="n">
        <f aca="false">W1602-X1602</f>
        <v>3295.4752325</v>
      </c>
      <c r="Z1602" s="1" t="n">
        <f aca="false">N(STACK!J1602)</f>
        <v>69</v>
      </c>
      <c r="AA1602" s="1" t="str">
        <f aca="false">TRIM(IF(D1602="UNMAPPED","Program not mapped. ","")&amp;IF(OR(K1602="UNMAPPED",K1602="UNASSIGNED"),"Category needs review. ","")&amp;IF(P1602="UNMAPPED","Title not mapped. ","")&amp;IF(AND(P1602&lt;&gt;"No staff time",R1602=""),"Missing hours. ","")&amp;IF(M1602="","Date not readable. ","")&amp;IF(N1602="No","Outside fiscal year. ","")&amp;IF(AND(F1602="Event",ISNUMBER(R1602)),IF(R1602&gt;12,"Event hours look high. ",""),"")&amp;IF(G1602&gt;0,"See CONFIRM sheet.",""))</f>
        <v/>
      </c>
      <c r="AB1602" s="1" t="n">
        <f aca="false">IF(N1602="No",0,IF(REVIEW!O1602=0,0,IF(G1602&gt;0,IF(INDEX(CONFIRM!$J$5:$J$53,G1602)&lt;&gt;"",INDEX(CONFIRM!$J$5:$J$53,G1602),1),1)))</f>
        <v>1</v>
      </c>
      <c r="AC1602" s="1" t="n">
        <f aca="false">IF(AB1602=1,IF(COUNTIFS($B$5:B1602,B1602,$D$5:D1602,D1602,$AB$5:AB1602,1)=1,1,0),0)</f>
        <v>0</v>
      </c>
    </row>
    <row r="1603" customFormat="false" ht="15" hidden="false" customHeight="false" outlineLevel="0" collapsed="false">
      <c r="A1603" s="48" t="str">
        <f aca="false">STACK!A1603</f>
        <v>QHH-0222</v>
      </c>
      <c r="B1603" s="48" t="str">
        <f aca="false">STACK!B1603</f>
        <v>QHH</v>
      </c>
      <c r="C1603" s="48" t="str">
        <f aca="false">STACK!E1603</f>
        <v>Nursing Clinical Rotations</v>
      </c>
      <c r="D1603" s="1" t="str">
        <f aca="false">IFERROR(INDEX(MAP!$J$7:$J$101,MATCH(TRIM(C1603),MAP!$I$7:$I$101,0)),"UNMAPPED")</f>
        <v>Nursing Student Clinical Rotations</v>
      </c>
      <c r="E1603" s="1" t="str">
        <f aca="false">IFERROR(INDEX(MAP!$K$7:$K$101,MATCH(TRIM(C1603),MAP!$I$7:$I$101,0)),"")</f>
        <v>Health workforce</v>
      </c>
      <c r="F1603" s="1" t="str">
        <f aca="false">IFERROR(INDEX(MAP!$L$7:$L$101,MATCH(TRIM(C1603),MAP!$I$7:$I$101,0)),"")</f>
        <v>Monthly</v>
      </c>
      <c r="G1603" s="1" t="n">
        <f aca="false">IFERROR(MATCH(A1603,CONFIRM!$A$5:$A$53,0),0)</f>
        <v>0</v>
      </c>
      <c r="H1603" s="48" t="str">
        <f aca="false">STACK!F1603</f>
        <v>HPE - Students</v>
      </c>
      <c r="I1603" s="1" t="str">
        <f aca="false">IF(G1603&gt;0,IF(INDEX(CONFIRM!$I$5:$I$53,G1603)&lt;&gt;"",INDEX(CONFIRM!$I$5:$I$53,G1603),H1603),H1603)</f>
        <v>HPE - Students</v>
      </c>
      <c r="J1603" s="1" t="str">
        <f aca="false">IFERROR(INDEX(MAP!$F$7:$F$74,MATCH(TRIM(I1603),MAP!$E$7:$E$74,0)),"UNMAPPED")</f>
        <v>Health professions education</v>
      </c>
      <c r="K1603" s="1" t="str">
        <f aca="false">IFERROR(INDEX(MAP!$G$7:$G$74,MATCH(TRIM(I1603),MAP!$E$7:$E$74,0)),"UNMAPPED")</f>
        <v>7f</v>
      </c>
      <c r="L1603" s="49" t="str">
        <f aca="false">STACK!G1603</f>
        <v>31-May-2026</v>
      </c>
      <c r="M1603" s="59" t="n">
        <f aca="false">IF(G1603&gt;0,IF(INDEX(CONFIRM!$G$5:$G$53,G1603)&lt;&gt;"",INDEX(CONFIRM!$G$5:$G$53,G1603),IF(ISNUMBER(L1603),L1603,IFERROR(DATEVALUE(L1603),""))),IF(ISNUMBER(L1603),L1603,IFERROR(DATEVALUE(L1603),"")))</f>
        <v>46173</v>
      </c>
      <c r="N1603" s="1" t="str">
        <f aca="false">IF(M1603="","Check",IF(AND(M1603&gt;=INPUTS!$C$6,M1603&lt;=INPUTS!$C$7),"Yes","No"))</f>
        <v>Yes</v>
      </c>
      <c r="O1603" s="48" t="str">
        <f aca="false">STACK!H1603</f>
        <v>Clinical Nurse Educator</v>
      </c>
      <c r="P1603" s="1" t="str">
        <f aca="false">IF(G1603&gt;0,IF(INDEX(CONFIRM!$H$5:$H$53,G1603)&lt;&gt;"",INDEX(CONFIRM!$H$5:$H$53,G1603),IFERROR(INDEX(MAP!$B$7:$B$156,MATCH(TRIM(O1603),MAP!$A$7:$A$156,0)),"UNMAPPED")),IFERROR(INDEX(MAP!$B$7:$B$156,MATCH(TRIM(O1603),MAP!$A$7:$A$156,0)),"UNMAPPED"))</f>
        <v>Clinical Nurse Educator</v>
      </c>
      <c r="Q1603" s="48" t="n">
        <f aca="false">STACK!I1603</f>
        <v>122.25</v>
      </c>
      <c r="R1603" s="60" t="n">
        <f aca="false">IF(G1603&gt;0,IF(INDEX(CONFIRM!$F$5:$F$53,G1603)&lt;&gt;"",INDEX(CONFIRM!$F$5:$F$53,G1603),IF(ISNUMBER(Q1603),Q1603,IF(Q1603="","",IFERROR(VALUE(TRIM(SUBSTITUTE(SUBSTITUTE(LOWER(Q1603),"hrs",""),"hr",""))),"")))),IF(ISNUMBER(Q1603),Q1603,IF(Q1603="","",IFERROR(VALUE(TRIM(SUBSTITUTE(SUBSTITUTE(LOWER(Q1603),"hrs",""),"hr",""))),""))))</f>
        <v>122.25</v>
      </c>
      <c r="S1603" s="57" t="n">
        <f aca="false">IFERROR(INDEX(RATES!$E$6:$E$28,MATCH(P1603,RATES!$A$6:$A$28,0)),0)</f>
        <v>62.965</v>
      </c>
      <c r="T1603" s="61" t="n">
        <f aca="false">IF(ISNUMBER(R1603),R1603,0)*S1603</f>
        <v>7697.47125</v>
      </c>
      <c r="U1603" s="61" t="n">
        <f aca="false">T1603*INDEX(INPUTS!$H$10:$H$14,MATCH(B1603,INPUTS!$A$10:$A$14,0))</f>
        <v>1162.31815875</v>
      </c>
      <c r="V1603" s="61" t="n">
        <f aca="false">N(STACK!K1603)</f>
        <v>655</v>
      </c>
      <c r="W1603" s="61" t="n">
        <f aca="false">T1603+U1603+V1603</f>
        <v>9514.78940875</v>
      </c>
      <c r="X1603" s="61" t="n">
        <f aca="false">N(STACK!L1603)</f>
        <v>0</v>
      </c>
      <c r="Y1603" s="61" t="n">
        <f aca="false">W1603-X1603</f>
        <v>9514.78940875</v>
      </c>
      <c r="Z1603" s="1" t="n">
        <f aca="false">N(STACK!J1603)</f>
        <v>15</v>
      </c>
      <c r="AA1603" s="1" t="str">
        <f aca="false">TRIM(IF(D1603="UNMAPPED","Program not mapped. ","")&amp;IF(OR(K1603="UNMAPPED",K1603="UNASSIGNED"),"Category needs review. ","")&amp;IF(P1603="UNMAPPED","Title not mapped. ","")&amp;IF(AND(P1603&lt;&gt;"No staff time",R1603=""),"Missing hours. ","")&amp;IF(M1603="","Date not readable. ","")&amp;IF(N1603="No","Outside fiscal year. ","")&amp;IF(AND(F1603="Event",ISNUMBER(R1603)),IF(R1603&gt;12,"Event hours look high. ",""),"")&amp;IF(G1603&gt;0,"See CONFIRM sheet.",""))</f>
        <v/>
      </c>
      <c r="AB1603" s="1" t="n">
        <f aca="false">IF(N1603="No",0,IF(REVIEW!O1603=0,0,IF(G1603&gt;0,IF(INDEX(CONFIRM!$J$5:$J$53,G1603)&lt;&gt;"",INDEX(CONFIRM!$J$5:$J$53,G1603),1),1)))</f>
        <v>1</v>
      </c>
      <c r="AC1603" s="1" t="n">
        <f aca="false">IF(AB1603=1,IF(COUNTIFS($B$5:B1603,B1603,$D$5:D1603,D1603,$AB$5:AB1603,1)=1,1,0),0)</f>
        <v>0</v>
      </c>
    </row>
    <row r="1604" customFormat="false" ht="15" hidden="false" customHeight="false" outlineLevel="0" collapsed="false">
      <c r="A1604" s="48" t="str">
        <f aca="false">STACK!A1604</f>
        <v>QHH-0223</v>
      </c>
      <c r="B1604" s="48" t="str">
        <f aca="false">STACK!B1604</f>
        <v>QHH</v>
      </c>
      <c r="C1604" s="48" t="str">
        <f aca="false">STACK!E1604</f>
        <v>Nursing Clinical Rotations</v>
      </c>
      <c r="D1604" s="1" t="str">
        <f aca="false">IFERROR(INDEX(MAP!$J$7:$J$101,MATCH(TRIM(C1604),MAP!$I$7:$I$101,0)),"UNMAPPED")</f>
        <v>Nursing Student Clinical Rotations</v>
      </c>
      <c r="E1604" s="1" t="str">
        <f aca="false">IFERROR(INDEX(MAP!$K$7:$K$101,MATCH(TRIM(C1604),MAP!$I$7:$I$101,0)),"")</f>
        <v>Health workforce</v>
      </c>
      <c r="F1604" s="1" t="str">
        <f aca="false">IFERROR(INDEX(MAP!$L$7:$L$101,MATCH(TRIM(C1604),MAP!$I$7:$I$101,0)),"")</f>
        <v>Monthly</v>
      </c>
      <c r="G1604" s="1" t="n">
        <f aca="false">IFERROR(MATCH(A1604,CONFIRM!$A$5:$A$53,0),0)</f>
        <v>0</v>
      </c>
      <c r="H1604" s="48" t="str">
        <f aca="false">STACK!F1604</f>
        <v>HPE - Students</v>
      </c>
      <c r="I1604" s="1" t="str">
        <f aca="false">IF(G1604&gt;0,IF(INDEX(CONFIRM!$I$5:$I$53,G1604)&lt;&gt;"",INDEX(CONFIRM!$I$5:$I$53,G1604),H1604),H1604)</f>
        <v>HPE - Students</v>
      </c>
      <c r="J1604" s="1" t="str">
        <f aca="false">IFERROR(INDEX(MAP!$F$7:$F$74,MATCH(TRIM(I1604),MAP!$E$7:$E$74,0)),"UNMAPPED")</f>
        <v>Health professions education</v>
      </c>
      <c r="K1604" s="1" t="str">
        <f aca="false">IFERROR(INDEX(MAP!$G$7:$G$74,MATCH(TRIM(I1604),MAP!$E$7:$E$74,0)),"UNMAPPED")</f>
        <v>7f</v>
      </c>
      <c r="L1604" s="49" t="str">
        <f aca="false">STACK!G1604</f>
        <v>31-May-2026</v>
      </c>
      <c r="M1604" s="59" t="n">
        <f aca="false">IF(G1604&gt;0,IF(INDEX(CONFIRM!$G$5:$G$53,G1604)&lt;&gt;"",INDEX(CONFIRM!$G$5:$G$53,G1604),IF(ISNUMBER(L1604),L1604,IFERROR(DATEVALUE(L1604),""))),IF(ISNUMBER(L1604),L1604,IFERROR(DATEVALUE(L1604),"")))</f>
        <v>46173</v>
      </c>
      <c r="N1604" s="1" t="str">
        <f aca="false">IF(M1604="","Check",IF(AND(M1604&gt;=INPUTS!$C$6,M1604&lt;=INPUTS!$C$7),"Yes","No"))</f>
        <v>Yes</v>
      </c>
      <c r="O1604" s="48" t="str">
        <f aca="false">STACK!H1604</f>
        <v>RN III </v>
      </c>
      <c r="P1604" s="1" t="str">
        <f aca="false">IF(G1604&gt;0,IF(INDEX(CONFIRM!$H$5:$H$53,G1604)&lt;&gt;"",INDEX(CONFIRM!$H$5:$H$53,G1604),IFERROR(INDEX(MAP!$B$7:$B$156,MATCH(TRIM(O1604),MAP!$A$7:$A$156,0)),"UNMAPPED")),IFERROR(INDEX(MAP!$B$7:$B$156,MATCH(TRIM(O1604),MAP!$A$7:$A$156,0)),"UNMAPPED"))</f>
        <v>Registered Nurse</v>
      </c>
      <c r="Q1604" s="48" t="n">
        <f aca="false">STACK!I1604</f>
        <v>220.5</v>
      </c>
      <c r="R1604" s="60" t="n">
        <f aca="false">IF(G1604&gt;0,IF(INDEX(CONFIRM!$F$5:$F$53,G1604)&lt;&gt;"",INDEX(CONFIRM!$F$5:$F$53,G1604),IF(ISNUMBER(Q1604),Q1604,IF(Q1604="","",IFERROR(VALUE(TRIM(SUBSTITUTE(SUBSTITUTE(LOWER(Q1604),"hrs",""),"hr",""))),"")))),IF(ISNUMBER(Q1604),Q1604,IF(Q1604="","",IFERROR(VALUE(TRIM(SUBSTITUTE(SUBSTITUTE(LOWER(Q1604),"hrs",""),"hr",""))),""))))</f>
        <v>220.5</v>
      </c>
      <c r="S1604" s="57" t="n">
        <f aca="false">IFERROR(INDEX(RATES!$E$6:$E$28,MATCH(P1604,RATES!$A$6:$A$28,0)),0)</f>
        <v>55.8975</v>
      </c>
      <c r="T1604" s="61" t="n">
        <f aca="false">IF(ISNUMBER(R1604),R1604,0)*S1604</f>
        <v>12325.39875</v>
      </c>
      <c r="U1604" s="61" t="n">
        <f aca="false">T1604*INDEX(INPUTS!$H$10:$H$14,MATCH(B1604,INPUTS!$A$10:$A$14,0))</f>
        <v>1861.13521125</v>
      </c>
      <c r="V1604" s="61" t="n">
        <f aca="false">N(STACK!K1604)</f>
        <v>0</v>
      </c>
      <c r="W1604" s="61" t="n">
        <f aca="false">T1604+U1604+V1604</f>
        <v>14186.53396125</v>
      </c>
      <c r="X1604" s="61" t="n">
        <f aca="false">N(STACK!L1604)</f>
        <v>0</v>
      </c>
      <c r="Y1604" s="61" t="n">
        <f aca="false">W1604-X1604</f>
        <v>14186.53396125</v>
      </c>
      <c r="Z1604" s="1" t="n">
        <f aca="false">N(STACK!J1604)</f>
        <v>0</v>
      </c>
      <c r="AA1604" s="1" t="str">
        <f aca="false">TRIM(IF(D1604="UNMAPPED","Program not mapped. ","")&amp;IF(OR(K1604="UNMAPPED",K1604="UNASSIGNED"),"Category needs review. ","")&amp;IF(P1604="UNMAPPED","Title not mapped. ","")&amp;IF(AND(P1604&lt;&gt;"No staff time",R1604=""),"Missing hours. ","")&amp;IF(M1604="","Date not readable. ","")&amp;IF(N1604="No","Outside fiscal year. ","")&amp;IF(AND(F1604="Event",ISNUMBER(R1604)),IF(R1604&gt;12,"Event hours look high. ",""),"")&amp;IF(G1604&gt;0,"See CONFIRM sheet.",""))</f>
        <v/>
      </c>
      <c r="AB1604" s="1" t="n">
        <f aca="false">IF(N1604="No",0,IF(REVIEW!O1604=0,0,IF(G1604&gt;0,IF(INDEX(CONFIRM!$J$5:$J$53,G1604)&lt;&gt;"",INDEX(CONFIRM!$J$5:$J$53,G1604),1),1)))</f>
        <v>1</v>
      </c>
      <c r="AC1604" s="1" t="n">
        <f aca="false">IF(AB1604=1,IF(COUNTIFS($B$5:B1604,B1604,$D$5:D1604,D1604,$AB$5:AB1604,1)=1,1,0),0)</f>
        <v>0</v>
      </c>
    </row>
    <row r="1605" customFormat="false" ht="15" hidden="false" customHeight="false" outlineLevel="0" collapsed="false">
      <c r="A1605" s="48" t="str">
        <f aca="false">STACK!A1605</f>
        <v>QHH-0224</v>
      </c>
      <c r="B1605" s="48" t="str">
        <f aca="false">STACK!B1605</f>
        <v>QHH</v>
      </c>
      <c r="C1605" s="48" t="str">
        <f aca="false">STACK!E1605</f>
        <v>Childbirth Education</v>
      </c>
      <c r="D1605" s="1" t="str">
        <f aca="false">IFERROR(INDEX(MAP!$J$7:$J$101,MATCH(TRIM(C1605),MAP!$I$7:$I$101,0)),"UNMAPPED")</f>
        <v>Childbirth and Newborn Care Classes</v>
      </c>
      <c r="E1605" s="1" t="str">
        <f aca="false">IFERROR(INDEX(MAP!$K$7:$K$101,MATCH(TRIM(C1605),MAP!$I$7:$I$101,0)),"")</f>
        <v>Maternal and child health</v>
      </c>
      <c r="F1605" s="1" t="str">
        <f aca="false">IFERROR(INDEX(MAP!$L$7:$L$101,MATCH(TRIM(C1605),MAP!$I$7:$I$101,0)),"")</f>
        <v>Event</v>
      </c>
      <c r="G1605" s="1" t="n">
        <f aca="false">IFERROR(MATCH(A1605,CONFIRM!$A$5:$A$53,0),0)</f>
        <v>0</v>
      </c>
      <c r="H1605" s="48" t="str">
        <f aca="false">STACK!F1605</f>
        <v>CHIS - Education</v>
      </c>
      <c r="I1605" s="1" t="str">
        <f aca="false">IF(G1605&gt;0,IF(INDEX(CONFIRM!$I$5:$I$53,G1605)&lt;&gt;"",INDEX(CONFIRM!$I$5:$I$53,G1605),H1605),H1605)</f>
        <v>CHIS - Education</v>
      </c>
      <c r="J1605" s="1" t="str">
        <f aca="false">IFERROR(INDEX(MAP!$F$7:$F$74,MATCH(TRIM(I1605),MAP!$E$7:$E$74,0)),"UNMAPPED")</f>
        <v>Community health education</v>
      </c>
      <c r="K1605" s="1" t="str">
        <f aca="false">IFERROR(INDEX(MAP!$G$7:$G$74,MATCH(TRIM(I1605),MAP!$E$7:$E$74,0)),"UNMAPPED")</f>
        <v>7e</v>
      </c>
      <c r="L1605" s="49" t="str">
        <f aca="false">STACK!G1605</f>
        <v>03-Jun-2026</v>
      </c>
      <c r="M1605" s="59" t="n">
        <f aca="false">IF(G1605&gt;0,IF(INDEX(CONFIRM!$G$5:$G$53,G1605)&lt;&gt;"",INDEX(CONFIRM!$G$5:$G$53,G1605),IF(ISNUMBER(L1605),L1605,IFERROR(DATEVALUE(L1605),""))),IF(ISNUMBER(L1605),L1605,IFERROR(DATEVALUE(L1605),"")))</f>
        <v>46176</v>
      </c>
      <c r="N1605" s="1" t="str">
        <f aca="false">IF(M1605="","Check",IF(AND(M1605&gt;=INPUTS!$C$6,M1605&lt;=INPUTS!$C$7),"Yes","No"))</f>
        <v>Yes</v>
      </c>
      <c r="O1605" s="48" t="str">
        <f aca="false">STACK!H1605</f>
        <v>EDUCATOR, NURSING</v>
      </c>
      <c r="P1605" s="1" t="str">
        <f aca="false">IF(G1605&gt;0,IF(INDEX(CONFIRM!$H$5:$H$53,G1605)&lt;&gt;"",INDEX(CONFIRM!$H$5:$H$53,G1605),IFERROR(INDEX(MAP!$B$7:$B$156,MATCH(TRIM(O1605),MAP!$A$7:$A$156,0)),"UNMAPPED")),IFERROR(INDEX(MAP!$B$7:$B$156,MATCH(TRIM(O1605),MAP!$A$7:$A$156,0)),"UNMAPPED"))</f>
        <v>Clinical Nurse Educator</v>
      </c>
      <c r="Q1605" s="48" t="n">
        <f aca="false">STACK!I1605</f>
        <v>3.25</v>
      </c>
      <c r="R1605" s="60" t="n">
        <f aca="false">IF(G1605&gt;0,IF(INDEX(CONFIRM!$F$5:$F$53,G1605)&lt;&gt;"",INDEX(CONFIRM!$F$5:$F$53,G1605),IF(ISNUMBER(Q1605),Q1605,IF(Q1605="","",IFERROR(VALUE(TRIM(SUBSTITUTE(SUBSTITUTE(LOWER(Q1605),"hrs",""),"hr",""))),"")))),IF(ISNUMBER(Q1605),Q1605,IF(Q1605="","",IFERROR(VALUE(TRIM(SUBSTITUTE(SUBSTITUTE(LOWER(Q1605),"hrs",""),"hr",""))),""))))</f>
        <v>3.25</v>
      </c>
      <c r="S1605" s="57" t="n">
        <f aca="false">IFERROR(INDEX(RATES!$E$6:$E$28,MATCH(P1605,RATES!$A$6:$A$28,0)),0)</f>
        <v>62.965</v>
      </c>
      <c r="T1605" s="61" t="n">
        <f aca="false">IF(ISNUMBER(R1605),R1605,0)*S1605</f>
        <v>204.63625</v>
      </c>
      <c r="U1605" s="61" t="n">
        <f aca="false">T1605*INDEX(INPUTS!$H$10:$H$14,MATCH(B1605,INPUTS!$A$10:$A$14,0))</f>
        <v>30.90007375</v>
      </c>
      <c r="V1605" s="61" t="n">
        <f aca="false">N(STACK!K1605)</f>
        <v>185</v>
      </c>
      <c r="W1605" s="61" t="n">
        <f aca="false">T1605+U1605+V1605</f>
        <v>420.53632375</v>
      </c>
      <c r="X1605" s="61" t="n">
        <f aca="false">N(STACK!L1605)</f>
        <v>320</v>
      </c>
      <c r="Y1605" s="61" t="n">
        <f aca="false">W1605-X1605</f>
        <v>100.53632375</v>
      </c>
      <c r="Z1605" s="1" t="n">
        <f aca="false">N(STACK!J1605)</f>
        <v>16</v>
      </c>
      <c r="AA1605" s="1" t="str">
        <f aca="false">TRIM(IF(D1605="UNMAPPED","Program not mapped. ","")&amp;IF(OR(K1605="UNMAPPED",K1605="UNASSIGNED"),"Category needs review. ","")&amp;IF(P1605="UNMAPPED","Title not mapped. ","")&amp;IF(AND(P1605&lt;&gt;"No staff time",R1605=""),"Missing hours. ","")&amp;IF(M1605="","Date not readable. ","")&amp;IF(N1605="No","Outside fiscal year. ","")&amp;IF(AND(F1605="Event",ISNUMBER(R1605)),IF(R1605&gt;12,"Event hours look high. ",""),"")&amp;IF(G1605&gt;0,"See CONFIRM sheet.",""))</f>
        <v/>
      </c>
      <c r="AB1605" s="1" t="n">
        <f aca="false">IF(N1605="No",0,IF(REVIEW!O1605=0,0,IF(G1605&gt;0,IF(INDEX(CONFIRM!$J$5:$J$53,G1605)&lt;&gt;"",INDEX(CONFIRM!$J$5:$J$53,G1605),1),1)))</f>
        <v>1</v>
      </c>
      <c r="AC1605" s="1" t="n">
        <f aca="false">IF(AB1605=1,IF(COUNTIFS($B$5:B1605,B1605,$D$5:D1605,D1605,$AB$5:AB1605,1)=1,1,0),0)</f>
        <v>0</v>
      </c>
    </row>
    <row r="1606" customFormat="false" ht="15" hidden="false" customHeight="false" outlineLevel="0" collapsed="false">
      <c r="A1606" s="48" t="str">
        <f aca="false">STACK!A1606</f>
        <v>QHH-0225</v>
      </c>
      <c r="B1606" s="48" t="str">
        <f aca="false">STACK!B1606</f>
        <v>QHH</v>
      </c>
      <c r="C1606" s="48" t="str">
        <f aca="false">STACK!E1606</f>
        <v>Summer Health Careers Camp</v>
      </c>
      <c r="D1606" s="1" t="str">
        <f aca="false">IFERROR(INDEX(MAP!$J$7:$J$101,MATCH(TRIM(C1606),MAP!$I$7:$I$101,0)),"UNMAPPED")</f>
        <v>Health Careers Summer Camp</v>
      </c>
      <c r="E1606" s="1" t="str">
        <f aca="false">IFERROR(INDEX(MAP!$K$7:$K$101,MATCH(TRIM(C1606),MAP!$I$7:$I$101,0)),"")</f>
        <v>Health workforce</v>
      </c>
      <c r="F1606" s="1" t="str">
        <f aca="false">IFERROR(INDEX(MAP!$L$7:$L$101,MATCH(TRIM(C1606),MAP!$I$7:$I$101,0)),"")</f>
        <v>Event</v>
      </c>
      <c r="G1606" s="1" t="n">
        <f aca="false">IFERROR(MATCH(A1606,CONFIRM!$A$5:$A$53,0),0)</f>
        <v>0</v>
      </c>
      <c r="H1606" s="48" t="str">
        <f aca="false">STACK!F1606</f>
        <v>HPE - Students</v>
      </c>
      <c r="I1606" s="1" t="str">
        <f aca="false">IF(G1606&gt;0,IF(INDEX(CONFIRM!$I$5:$I$53,G1606)&lt;&gt;"",INDEX(CONFIRM!$I$5:$I$53,G1606),H1606),H1606)</f>
        <v>HPE - Students</v>
      </c>
      <c r="J1606" s="1" t="str">
        <f aca="false">IFERROR(INDEX(MAP!$F$7:$F$74,MATCH(TRIM(I1606),MAP!$E$7:$E$74,0)),"UNMAPPED")</f>
        <v>Health professions education</v>
      </c>
      <c r="K1606" s="1" t="str">
        <f aca="false">IFERROR(INDEX(MAP!$G$7:$G$74,MATCH(TRIM(I1606),MAP!$E$7:$E$74,0)),"UNMAPPED")</f>
        <v>7f</v>
      </c>
      <c r="L1606" s="49" t="str">
        <f aca="false">STACK!G1606</f>
        <v>09-Jun-2026</v>
      </c>
      <c r="M1606" s="59" t="n">
        <f aca="false">IF(G1606&gt;0,IF(INDEX(CONFIRM!$G$5:$G$53,G1606)&lt;&gt;"",INDEX(CONFIRM!$G$5:$G$53,G1606),IF(ISNUMBER(L1606),L1606,IFERROR(DATEVALUE(L1606),""))),IF(ISNUMBER(L1606),L1606,IFERROR(DATEVALUE(L1606),"")))</f>
        <v>46182</v>
      </c>
      <c r="N1606" s="1" t="str">
        <f aca="false">IF(M1606="","Check",IF(AND(M1606&gt;=INPUTS!$C$6,M1606&lt;=INPUTS!$C$7),"Yes","No"))</f>
        <v>Yes</v>
      </c>
      <c r="O1606" s="48" t="str">
        <f aca="false">STACK!H1606</f>
        <v>Clinical Nurse Educator</v>
      </c>
      <c r="P1606" s="1" t="str">
        <f aca="false">IF(G1606&gt;0,IF(INDEX(CONFIRM!$H$5:$H$53,G1606)&lt;&gt;"",INDEX(CONFIRM!$H$5:$H$53,G1606),IFERROR(INDEX(MAP!$B$7:$B$156,MATCH(TRIM(O1606),MAP!$A$7:$A$156,0)),"UNMAPPED")),IFERROR(INDEX(MAP!$B$7:$B$156,MATCH(TRIM(O1606),MAP!$A$7:$A$156,0)),"UNMAPPED"))</f>
        <v>Clinical Nurse Educator</v>
      </c>
      <c r="Q1606" s="48" t="n">
        <f aca="false">STACK!I1606</f>
        <v>7.25</v>
      </c>
      <c r="R1606" s="60" t="n">
        <f aca="false">IF(G1606&gt;0,IF(INDEX(CONFIRM!$F$5:$F$53,G1606)&lt;&gt;"",INDEX(CONFIRM!$F$5:$F$53,G1606),IF(ISNUMBER(Q1606),Q1606,IF(Q1606="","",IFERROR(VALUE(TRIM(SUBSTITUTE(SUBSTITUTE(LOWER(Q1606),"hrs",""),"hr",""))),"")))),IF(ISNUMBER(Q1606),Q1606,IF(Q1606="","",IFERROR(VALUE(TRIM(SUBSTITUTE(SUBSTITUTE(LOWER(Q1606),"hrs",""),"hr",""))),""))))</f>
        <v>7.25</v>
      </c>
      <c r="S1606" s="57" t="n">
        <f aca="false">IFERROR(INDEX(RATES!$E$6:$E$28,MATCH(P1606,RATES!$A$6:$A$28,0)),0)</f>
        <v>62.965</v>
      </c>
      <c r="T1606" s="61" t="n">
        <f aca="false">IF(ISNUMBER(R1606),R1606,0)*S1606</f>
        <v>456.49625</v>
      </c>
      <c r="U1606" s="61" t="n">
        <f aca="false">T1606*INDEX(INPUTS!$H$10:$H$14,MATCH(B1606,INPUTS!$A$10:$A$14,0))</f>
        <v>68.93093375</v>
      </c>
      <c r="V1606" s="61" t="n">
        <f aca="false">N(STACK!K1606)</f>
        <v>955</v>
      </c>
      <c r="W1606" s="61" t="n">
        <f aca="false">T1606+U1606+V1606</f>
        <v>1480.42718375</v>
      </c>
      <c r="X1606" s="61" t="n">
        <f aca="false">N(STACK!L1606)</f>
        <v>0</v>
      </c>
      <c r="Y1606" s="61" t="n">
        <f aca="false">W1606-X1606</f>
        <v>1480.42718375</v>
      </c>
      <c r="Z1606" s="1" t="n">
        <f aca="false">N(STACK!J1606)</f>
        <v>39</v>
      </c>
      <c r="AA1606" s="1" t="str">
        <f aca="false">TRIM(IF(D1606="UNMAPPED","Program not mapped. ","")&amp;IF(OR(K1606="UNMAPPED",K1606="UNASSIGNED"),"Category needs review. ","")&amp;IF(P1606="UNMAPPED","Title not mapped. ","")&amp;IF(AND(P1606&lt;&gt;"No staff time",R1606=""),"Missing hours. ","")&amp;IF(M1606="","Date not readable. ","")&amp;IF(N1606="No","Outside fiscal year. ","")&amp;IF(AND(F1606="Event",ISNUMBER(R1606)),IF(R1606&gt;12,"Event hours look high. ",""),"")&amp;IF(G1606&gt;0,"See CONFIRM sheet.",""))</f>
        <v/>
      </c>
      <c r="AB1606" s="1" t="n">
        <f aca="false">IF(N1606="No",0,IF(REVIEW!O1606=0,0,IF(G1606&gt;0,IF(INDEX(CONFIRM!$J$5:$J$53,G1606)&lt;&gt;"",INDEX(CONFIRM!$J$5:$J$53,G1606),1),1)))</f>
        <v>1</v>
      </c>
      <c r="AC1606" s="1" t="n">
        <f aca="false">IF(AB1606=1,IF(COUNTIFS($B$5:B1606,B1606,$D$5:D1606,D1606,$AB$5:AB1606,1)=1,1,0),0)</f>
        <v>1</v>
      </c>
    </row>
    <row r="1607" customFormat="false" ht="15" hidden="false" customHeight="false" outlineLevel="0" collapsed="false">
      <c r="A1607" s="48" t="str">
        <f aca="false">STACK!A1607</f>
        <v>QHH-0226</v>
      </c>
      <c r="B1607" s="48" t="str">
        <f aca="false">STACK!B1607</f>
        <v>QHH</v>
      </c>
      <c r="C1607" s="48" t="str">
        <f aca="false">STACK!E1607</f>
        <v>Summer Health Careers Camp</v>
      </c>
      <c r="D1607" s="1" t="str">
        <f aca="false">IFERROR(INDEX(MAP!$J$7:$J$101,MATCH(TRIM(C1607),MAP!$I$7:$I$101,0)),"UNMAPPED")</f>
        <v>Health Careers Summer Camp</v>
      </c>
      <c r="E1607" s="1" t="str">
        <f aca="false">IFERROR(INDEX(MAP!$K$7:$K$101,MATCH(TRIM(C1607),MAP!$I$7:$I$101,0)),"")</f>
        <v>Health workforce</v>
      </c>
      <c r="F1607" s="1" t="str">
        <f aca="false">IFERROR(INDEX(MAP!$L$7:$L$101,MATCH(TRIM(C1607),MAP!$I$7:$I$101,0)),"")</f>
        <v>Event</v>
      </c>
      <c r="G1607" s="1" t="n">
        <f aca="false">IFERROR(MATCH(A1607,CONFIRM!$A$5:$A$53,0),0)</f>
        <v>0</v>
      </c>
      <c r="H1607" s="48" t="str">
        <f aca="false">STACK!F1607</f>
        <v>HPE - Students</v>
      </c>
      <c r="I1607" s="1" t="str">
        <f aca="false">IF(G1607&gt;0,IF(INDEX(CONFIRM!$I$5:$I$53,G1607)&lt;&gt;"",INDEX(CONFIRM!$I$5:$I$53,G1607),H1607),H1607)</f>
        <v>HPE - Students</v>
      </c>
      <c r="J1607" s="1" t="str">
        <f aca="false">IFERROR(INDEX(MAP!$F$7:$F$74,MATCH(TRIM(I1607),MAP!$E$7:$E$74,0)),"UNMAPPED")</f>
        <v>Health professions education</v>
      </c>
      <c r="K1607" s="1" t="str">
        <f aca="false">IFERROR(INDEX(MAP!$G$7:$G$74,MATCH(TRIM(I1607),MAP!$E$7:$E$74,0)),"UNMAPPED")</f>
        <v>7f</v>
      </c>
      <c r="L1607" s="49" t="str">
        <f aca="false">STACK!G1607</f>
        <v>09-Jun-2026</v>
      </c>
      <c r="M1607" s="59" t="n">
        <f aca="false">IF(G1607&gt;0,IF(INDEX(CONFIRM!$G$5:$G$53,G1607)&lt;&gt;"",INDEX(CONFIRM!$G$5:$G$53,G1607),IF(ISNUMBER(L1607),L1607,IFERROR(DATEVALUE(L1607),""))),IF(ISNUMBER(L1607),L1607,IFERROR(DATEVALUE(L1607),"")))</f>
        <v>46182</v>
      </c>
      <c r="N1607" s="1" t="str">
        <f aca="false">IF(M1607="","Check",IF(AND(M1607&gt;=INPUTS!$C$6,M1607&lt;=INPUTS!$C$7),"Yes","No"))</f>
        <v>Yes</v>
      </c>
      <c r="O1607" s="48" t="str">
        <f aca="false">STACK!H1607</f>
        <v>Prog Coord</v>
      </c>
      <c r="P1607" s="1" t="str">
        <f aca="false">IF(G1607&gt;0,IF(INDEX(CONFIRM!$H$5:$H$53,G1607)&lt;&gt;"",INDEX(CONFIRM!$H$5:$H$53,G1607),IFERROR(INDEX(MAP!$B$7:$B$156,MATCH(TRIM(O1607),MAP!$A$7:$A$156,0)),"UNMAPPED")),IFERROR(INDEX(MAP!$B$7:$B$156,MATCH(TRIM(O1607),MAP!$A$7:$A$156,0)),"UNMAPPED"))</f>
        <v>Program Coordinator</v>
      </c>
      <c r="Q1607" s="48" t="n">
        <f aca="false">STACK!I1607</f>
        <v>7.5</v>
      </c>
      <c r="R1607" s="60" t="n">
        <f aca="false">IF(G1607&gt;0,IF(INDEX(CONFIRM!$F$5:$F$53,G1607)&lt;&gt;"",INDEX(CONFIRM!$F$5:$F$53,G1607),IF(ISNUMBER(Q1607),Q1607,IF(Q1607="","",IFERROR(VALUE(TRIM(SUBSTITUTE(SUBSTITUTE(LOWER(Q1607),"hrs",""),"hr",""))),"")))),IF(ISNUMBER(Q1607),Q1607,IF(Q1607="","",IFERROR(VALUE(TRIM(SUBSTITUTE(SUBSTITUTE(LOWER(Q1607),"hrs",""),"hr",""))),""))))</f>
        <v>7.5</v>
      </c>
      <c r="S1607" s="57" t="n">
        <f aca="false">IFERROR(INDEX(RATES!$E$6:$E$28,MATCH(P1607,RATES!$A$6:$A$28,0)),0)</f>
        <v>35.3375</v>
      </c>
      <c r="T1607" s="61" t="n">
        <f aca="false">IF(ISNUMBER(R1607),R1607,0)*S1607</f>
        <v>265.03125</v>
      </c>
      <c r="U1607" s="61" t="n">
        <f aca="false">T1607*INDEX(INPUTS!$H$10:$H$14,MATCH(B1607,INPUTS!$A$10:$A$14,0))</f>
        <v>40.01971875</v>
      </c>
      <c r="V1607" s="61" t="n">
        <f aca="false">N(STACK!K1607)</f>
        <v>0</v>
      </c>
      <c r="W1607" s="61" t="n">
        <f aca="false">T1607+U1607+V1607</f>
        <v>305.05096875</v>
      </c>
      <c r="X1607" s="61" t="n">
        <f aca="false">N(STACK!L1607)</f>
        <v>0</v>
      </c>
      <c r="Y1607" s="61" t="n">
        <f aca="false">W1607-X1607</f>
        <v>305.05096875</v>
      </c>
      <c r="Z1607" s="1" t="n">
        <f aca="false">N(STACK!J1607)</f>
        <v>0</v>
      </c>
      <c r="AA1607" s="1" t="str">
        <f aca="false">TRIM(IF(D1607="UNMAPPED","Program not mapped. ","")&amp;IF(OR(K1607="UNMAPPED",K1607="UNASSIGNED"),"Category needs review. ","")&amp;IF(P1607="UNMAPPED","Title not mapped. ","")&amp;IF(AND(P1607&lt;&gt;"No staff time",R1607=""),"Missing hours. ","")&amp;IF(M1607="","Date not readable. ","")&amp;IF(N1607="No","Outside fiscal year. ","")&amp;IF(AND(F1607="Event",ISNUMBER(R1607)),IF(R1607&gt;12,"Event hours look high. ",""),"")&amp;IF(G1607&gt;0,"See CONFIRM sheet.",""))</f>
        <v/>
      </c>
      <c r="AB1607" s="1" t="n">
        <f aca="false">IF(N1607="No",0,IF(REVIEW!O1607=0,0,IF(G1607&gt;0,IF(INDEX(CONFIRM!$J$5:$J$53,G1607)&lt;&gt;"",INDEX(CONFIRM!$J$5:$J$53,G1607),1),1)))</f>
        <v>1</v>
      </c>
      <c r="AC1607" s="1" t="n">
        <f aca="false">IF(AB1607=1,IF(COUNTIFS($B$5:B1607,B1607,$D$5:D1607,D1607,$AB$5:AB1607,1)=1,1,0),0)</f>
        <v>0</v>
      </c>
    </row>
    <row r="1608" customFormat="false" ht="15" hidden="false" customHeight="false" outlineLevel="0" collapsed="false">
      <c r="A1608" s="48" t="str">
        <f aca="false">STACK!A1608</f>
        <v>QHH-0227</v>
      </c>
      <c r="B1608" s="48" t="str">
        <f aca="false">STACK!B1608</f>
        <v>QHH</v>
      </c>
      <c r="C1608" s="48" t="str">
        <f aca="false">STACK!E1608</f>
        <v>Summer Health Careers Camp</v>
      </c>
      <c r="D1608" s="1" t="str">
        <f aca="false">IFERROR(INDEX(MAP!$J$7:$J$101,MATCH(TRIM(C1608),MAP!$I$7:$I$101,0)),"UNMAPPED")</f>
        <v>Health Careers Summer Camp</v>
      </c>
      <c r="E1608" s="1" t="str">
        <f aca="false">IFERROR(INDEX(MAP!$K$7:$K$101,MATCH(TRIM(C1608),MAP!$I$7:$I$101,0)),"")</f>
        <v>Health workforce</v>
      </c>
      <c r="F1608" s="1" t="str">
        <f aca="false">IFERROR(INDEX(MAP!$L$7:$L$101,MATCH(TRIM(C1608),MAP!$I$7:$I$101,0)),"")</f>
        <v>Event</v>
      </c>
      <c r="G1608" s="1" t="n">
        <f aca="false">IFERROR(MATCH(A1608,CONFIRM!$A$5:$A$53,0),0)</f>
        <v>0</v>
      </c>
      <c r="H1608" s="48" t="str">
        <f aca="false">STACK!F1608</f>
        <v>HPE - Students</v>
      </c>
      <c r="I1608" s="1" t="str">
        <f aca="false">IF(G1608&gt;0,IF(INDEX(CONFIRM!$I$5:$I$53,G1608)&lt;&gt;"",INDEX(CONFIRM!$I$5:$I$53,G1608),H1608),H1608)</f>
        <v>HPE - Students</v>
      </c>
      <c r="J1608" s="1" t="str">
        <f aca="false">IFERROR(INDEX(MAP!$F$7:$F$74,MATCH(TRIM(I1608),MAP!$E$7:$E$74,0)),"UNMAPPED")</f>
        <v>Health professions education</v>
      </c>
      <c r="K1608" s="1" t="str">
        <f aca="false">IFERROR(INDEX(MAP!$G$7:$G$74,MATCH(TRIM(I1608),MAP!$E$7:$E$74,0)),"UNMAPPED")</f>
        <v>7f</v>
      </c>
      <c r="L1608" s="49" t="str">
        <f aca="false">STACK!G1608</f>
        <v>10-Jun-2026</v>
      </c>
      <c r="M1608" s="59" t="n">
        <f aca="false">IF(G1608&gt;0,IF(INDEX(CONFIRM!$G$5:$G$53,G1608)&lt;&gt;"",INDEX(CONFIRM!$G$5:$G$53,G1608),IF(ISNUMBER(L1608),L1608,IFERROR(DATEVALUE(L1608),""))),IF(ISNUMBER(L1608),L1608,IFERROR(DATEVALUE(L1608),"")))</f>
        <v>46183</v>
      </c>
      <c r="N1608" s="1" t="str">
        <f aca="false">IF(M1608="","Check",IF(AND(M1608&gt;=INPUTS!$C$6,M1608&lt;=INPUTS!$C$7),"Yes","No"))</f>
        <v>Yes</v>
      </c>
      <c r="O1608" s="48" t="str">
        <f aca="false">STACK!H1608</f>
        <v>Nurse Educator</v>
      </c>
      <c r="P1608" s="1" t="str">
        <f aca="false">IF(G1608&gt;0,IF(INDEX(CONFIRM!$H$5:$H$53,G1608)&lt;&gt;"",INDEX(CONFIRM!$H$5:$H$53,G1608),IFERROR(INDEX(MAP!$B$7:$B$156,MATCH(TRIM(O1608),MAP!$A$7:$A$156,0)),"UNMAPPED")),IFERROR(INDEX(MAP!$B$7:$B$156,MATCH(TRIM(O1608),MAP!$A$7:$A$156,0)),"UNMAPPED"))</f>
        <v>Clinical Nurse Educator</v>
      </c>
      <c r="Q1608" s="48" t="n">
        <f aca="false">STACK!I1608</f>
        <v>7</v>
      </c>
      <c r="R1608" s="60" t="n">
        <f aca="false">IF(G1608&gt;0,IF(INDEX(CONFIRM!$F$5:$F$53,G1608)&lt;&gt;"",INDEX(CONFIRM!$F$5:$F$53,G1608),IF(ISNUMBER(Q1608),Q1608,IF(Q1608="","",IFERROR(VALUE(TRIM(SUBSTITUTE(SUBSTITUTE(LOWER(Q1608),"hrs",""),"hr",""))),"")))),IF(ISNUMBER(Q1608),Q1608,IF(Q1608="","",IFERROR(VALUE(TRIM(SUBSTITUTE(SUBSTITUTE(LOWER(Q1608),"hrs",""),"hr",""))),""))))</f>
        <v>7</v>
      </c>
      <c r="S1608" s="57" t="n">
        <f aca="false">IFERROR(INDEX(RATES!$E$6:$E$28,MATCH(P1608,RATES!$A$6:$A$28,0)),0)</f>
        <v>62.965</v>
      </c>
      <c r="T1608" s="61" t="n">
        <f aca="false">IF(ISNUMBER(R1608),R1608,0)*S1608</f>
        <v>440.755</v>
      </c>
      <c r="U1608" s="61" t="n">
        <f aca="false">T1608*INDEX(INPUTS!$H$10:$H$14,MATCH(B1608,INPUTS!$A$10:$A$14,0))</f>
        <v>66.554005</v>
      </c>
      <c r="V1608" s="61" t="n">
        <f aca="false">N(STACK!K1608)</f>
        <v>1185</v>
      </c>
      <c r="W1608" s="61" t="n">
        <f aca="false">T1608+U1608+V1608</f>
        <v>1692.309005</v>
      </c>
      <c r="X1608" s="61" t="n">
        <f aca="false">N(STACK!L1608)</f>
        <v>0</v>
      </c>
      <c r="Y1608" s="61" t="n">
        <f aca="false">W1608-X1608</f>
        <v>1692.309005</v>
      </c>
      <c r="Z1608" s="1" t="n">
        <f aca="false">N(STACK!J1608)</f>
        <v>27</v>
      </c>
      <c r="AA1608" s="1" t="str">
        <f aca="false">TRIM(IF(D1608="UNMAPPED","Program not mapped. ","")&amp;IF(OR(K1608="UNMAPPED",K1608="UNASSIGNED"),"Category needs review. ","")&amp;IF(P1608="UNMAPPED","Title not mapped. ","")&amp;IF(AND(P1608&lt;&gt;"No staff time",R1608=""),"Missing hours. ","")&amp;IF(M1608="","Date not readable. ","")&amp;IF(N1608="No","Outside fiscal year. ","")&amp;IF(AND(F1608="Event",ISNUMBER(R1608)),IF(R1608&gt;12,"Event hours look high. ",""),"")&amp;IF(G1608&gt;0,"See CONFIRM sheet.",""))</f>
        <v/>
      </c>
      <c r="AB1608" s="1" t="n">
        <f aca="false">IF(N1608="No",0,IF(REVIEW!O1608=0,0,IF(G1608&gt;0,IF(INDEX(CONFIRM!$J$5:$J$53,G1608)&lt;&gt;"",INDEX(CONFIRM!$J$5:$J$53,G1608),1),1)))</f>
        <v>1</v>
      </c>
      <c r="AC1608" s="1" t="n">
        <f aca="false">IF(AB1608=1,IF(COUNTIFS($B$5:B1608,B1608,$D$5:D1608,D1608,$AB$5:AB1608,1)=1,1,0),0)</f>
        <v>0</v>
      </c>
    </row>
    <row r="1609" customFormat="false" ht="15" hidden="false" customHeight="false" outlineLevel="0" collapsed="false">
      <c r="A1609" s="48" t="str">
        <f aca="false">STACK!A1609</f>
        <v>QHH-0228</v>
      </c>
      <c r="B1609" s="48" t="str">
        <f aca="false">STACK!B1609</f>
        <v>QHH</v>
      </c>
      <c r="C1609" s="48" t="str">
        <f aca="false">STACK!E1609</f>
        <v>Summer Health Careers Camp</v>
      </c>
      <c r="D1609" s="1" t="str">
        <f aca="false">IFERROR(INDEX(MAP!$J$7:$J$101,MATCH(TRIM(C1609),MAP!$I$7:$I$101,0)),"UNMAPPED")</f>
        <v>Health Careers Summer Camp</v>
      </c>
      <c r="E1609" s="1" t="str">
        <f aca="false">IFERROR(INDEX(MAP!$K$7:$K$101,MATCH(TRIM(C1609),MAP!$I$7:$I$101,0)),"")</f>
        <v>Health workforce</v>
      </c>
      <c r="F1609" s="1" t="str">
        <f aca="false">IFERROR(INDEX(MAP!$L$7:$L$101,MATCH(TRIM(C1609),MAP!$I$7:$I$101,0)),"")</f>
        <v>Event</v>
      </c>
      <c r="G1609" s="1" t="n">
        <f aca="false">IFERROR(MATCH(A1609,CONFIRM!$A$5:$A$53,0),0)</f>
        <v>0</v>
      </c>
      <c r="H1609" s="48" t="str">
        <f aca="false">STACK!F1609</f>
        <v>HPE - Students</v>
      </c>
      <c r="I1609" s="1" t="str">
        <f aca="false">IF(G1609&gt;0,IF(INDEX(CONFIRM!$I$5:$I$53,G1609)&lt;&gt;"",INDEX(CONFIRM!$I$5:$I$53,G1609),H1609),H1609)</f>
        <v>HPE - Students</v>
      </c>
      <c r="J1609" s="1" t="str">
        <f aca="false">IFERROR(INDEX(MAP!$F$7:$F$74,MATCH(TRIM(I1609),MAP!$E$7:$E$74,0)),"UNMAPPED")</f>
        <v>Health professions education</v>
      </c>
      <c r="K1609" s="1" t="str">
        <f aca="false">IFERROR(INDEX(MAP!$G$7:$G$74,MATCH(TRIM(I1609),MAP!$E$7:$E$74,0)),"UNMAPPED")</f>
        <v>7f</v>
      </c>
      <c r="L1609" s="49" t="str">
        <f aca="false">STACK!G1609</f>
        <v>10-Jun-2026</v>
      </c>
      <c r="M1609" s="59" t="n">
        <f aca="false">IF(G1609&gt;0,IF(INDEX(CONFIRM!$G$5:$G$53,G1609)&lt;&gt;"",INDEX(CONFIRM!$G$5:$G$53,G1609),IF(ISNUMBER(L1609),L1609,IFERROR(DATEVALUE(L1609),""))),IF(ISNUMBER(L1609),L1609,IFERROR(DATEVALUE(L1609),"")))</f>
        <v>46183</v>
      </c>
      <c r="N1609" s="1" t="str">
        <f aca="false">IF(M1609="","Check",IF(AND(M1609&gt;=INPUTS!$C$6,M1609&lt;=INPUTS!$C$7),"Yes","No"))</f>
        <v>Yes</v>
      </c>
      <c r="O1609" s="48" t="str">
        <f aca="false">STACK!H1609</f>
        <v>Outreach Coordinator</v>
      </c>
      <c r="P1609" s="1" t="str">
        <f aca="false">IF(G1609&gt;0,IF(INDEX(CONFIRM!$H$5:$H$53,G1609)&lt;&gt;"",INDEX(CONFIRM!$H$5:$H$53,G1609),IFERROR(INDEX(MAP!$B$7:$B$156,MATCH(TRIM(O1609),MAP!$A$7:$A$156,0)),"UNMAPPED")),IFERROR(INDEX(MAP!$B$7:$B$156,MATCH(TRIM(O1609),MAP!$A$7:$A$156,0)),"UNMAPPED"))</f>
        <v>Program Coordinator</v>
      </c>
      <c r="Q1609" s="48" t="n">
        <f aca="false">STACK!I1609</f>
        <v>7.75</v>
      </c>
      <c r="R1609" s="60" t="n">
        <f aca="false">IF(G1609&gt;0,IF(INDEX(CONFIRM!$F$5:$F$53,G1609)&lt;&gt;"",INDEX(CONFIRM!$F$5:$F$53,G1609),IF(ISNUMBER(Q1609),Q1609,IF(Q1609="","",IFERROR(VALUE(TRIM(SUBSTITUTE(SUBSTITUTE(LOWER(Q1609),"hrs",""),"hr",""))),"")))),IF(ISNUMBER(Q1609),Q1609,IF(Q1609="","",IFERROR(VALUE(TRIM(SUBSTITUTE(SUBSTITUTE(LOWER(Q1609),"hrs",""),"hr",""))),""))))</f>
        <v>7.75</v>
      </c>
      <c r="S1609" s="57" t="n">
        <f aca="false">IFERROR(INDEX(RATES!$E$6:$E$28,MATCH(P1609,RATES!$A$6:$A$28,0)),0)</f>
        <v>35.3375</v>
      </c>
      <c r="T1609" s="61" t="n">
        <f aca="false">IF(ISNUMBER(R1609),R1609,0)*S1609</f>
        <v>273.865625</v>
      </c>
      <c r="U1609" s="61" t="n">
        <f aca="false">T1609*INDEX(INPUTS!$H$10:$H$14,MATCH(B1609,INPUTS!$A$10:$A$14,0))</f>
        <v>41.353709375</v>
      </c>
      <c r="V1609" s="61" t="n">
        <f aca="false">N(STACK!K1609)</f>
        <v>0</v>
      </c>
      <c r="W1609" s="61" t="n">
        <f aca="false">T1609+U1609+V1609</f>
        <v>315.219334375</v>
      </c>
      <c r="X1609" s="61" t="n">
        <f aca="false">N(STACK!L1609)</f>
        <v>0</v>
      </c>
      <c r="Y1609" s="61" t="n">
        <f aca="false">W1609-X1609</f>
        <v>315.219334375</v>
      </c>
      <c r="Z1609" s="1" t="n">
        <f aca="false">N(STACK!J1609)</f>
        <v>0</v>
      </c>
      <c r="AA1609" s="1" t="str">
        <f aca="false">TRIM(IF(D1609="UNMAPPED","Program not mapped. ","")&amp;IF(OR(K1609="UNMAPPED",K1609="UNASSIGNED"),"Category needs review. ","")&amp;IF(P1609="UNMAPPED","Title not mapped. ","")&amp;IF(AND(P1609&lt;&gt;"No staff time",R1609=""),"Missing hours. ","")&amp;IF(M1609="","Date not readable. ","")&amp;IF(N1609="No","Outside fiscal year. ","")&amp;IF(AND(F1609="Event",ISNUMBER(R1609)),IF(R1609&gt;12,"Event hours look high. ",""),"")&amp;IF(G1609&gt;0,"See CONFIRM sheet.",""))</f>
        <v/>
      </c>
      <c r="AB1609" s="1" t="n">
        <f aca="false">IF(N1609="No",0,IF(REVIEW!O1609=0,0,IF(G1609&gt;0,IF(INDEX(CONFIRM!$J$5:$J$53,G1609)&lt;&gt;"",INDEX(CONFIRM!$J$5:$J$53,G1609),1),1)))</f>
        <v>1</v>
      </c>
      <c r="AC1609" s="1" t="n">
        <f aca="false">IF(AB1609=1,IF(COUNTIFS($B$5:B1609,B1609,$D$5:D1609,D1609,$AB$5:AB1609,1)=1,1,0),0)</f>
        <v>0</v>
      </c>
    </row>
    <row r="1610" customFormat="false" ht="15" hidden="false" customHeight="false" outlineLevel="0" collapsed="false">
      <c r="A1610" s="48" t="str">
        <f aca="false">STACK!A1610</f>
        <v>QHH-0229</v>
      </c>
      <c r="B1610" s="48" t="str">
        <f aca="false">STACK!B1610</f>
        <v>QHH</v>
      </c>
      <c r="C1610" s="48" t="str">
        <f aca="false">STACK!E1610</f>
        <v>Diabetes Prevention Program</v>
      </c>
      <c r="D1610" s="1" t="str">
        <f aca="false">IFERROR(INDEX(MAP!$J$7:$J$101,MATCH(TRIM(C1610),MAP!$I$7:$I$101,0)),"UNMAPPED")</f>
        <v>Diabetes Prevention Classes</v>
      </c>
      <c r="E1610" s="1" t="str">
        <f aca="false">IFERROR(INDEX(MAP!$K$7:$K$101,MATCH(TRIM(C1610),MAP!$I$7:$I$101,0)),"")</f>
        <v>Chronic disease prevention</v>
      </c>
      <c r="F1610" s="1" t="str">
        <f aca="false">IFERROR(INDEX(MAP!$L$7:$L$101,MATCH(TRIM(C1610),MAP!$I$7:$I$101,0)),"")</f>
        <v>Event</v>
      </c>
      <c r="G1610" s="1" t="n">
        <f aca="false">IFERROR(MATCH(A1610,CONFIRM!$A$5:$A$53,0),0)</f>
        <v>0</v>
      </c>
      <c r="H1610" s="48" t="str">
        <f aca="false">STACK!F1610</f>
        <v>CHIS - Education</v>
      </c>
      <c r="I1610" s="1" t="str">
        <f aca="false">IF(G1610&gt;0,IF(INDEX(CONFIRM!$I$5:$I$53,G1610)&lt;&gt;"",INDEX(CONFIRM!$I$5:$I$53,G1610),H1610),H1610)</f>
        <v>CHIS - Education</v>
      </c>
      <c r="J1610" s="1" t="str">
        <f aca="false">IFERROR(INDEX(MAP!$F$7:$F$74,MATCH(TRIM(I1610),MAP!$E$7:$E$74,0)),"UNMAPPED")</f>
        <v>Community health education</v>
      </c>
      <c r="K1610" s="1" t="str">
        <f aca="false">IFERROR(INDEX(MAP!$G$7:$G$74,MATCH(TRIM(I1610),MAP!$E$7:$E$74,0)),"UNMAPPED")</f>
        <v>7e</v>
      </c>
      <c r="L1610" s="49" t="str">
        <f aca="false">STACK!G1610</f>
        <v>12-Jun-2026</v>
      </c>
      <c r="M1610" s="59" t="n">
        <f aca="false">IF(G1610&gt;0,IF(INDEX(CONFIRM!$G$5:$G$53,G1610)&lt;&gt;"",INDEX(CONFIRM!$G$5:$G$53,G1610),IF(ISNUMBER(L1610),L1610,IFERROR(DATEVALUE(L1610),""))),IF(ISNUMBER(L1610),L1610,IFERROR(DATEVALUE(L1610),"")))</f>
        <v>46185</v>
      </c>
      <c r="N1610" s="1" t="str">
        <f aca="false">IF(M1610="","Check",IF(AND(M1610&gt;=INPUTS!$C$6,M1610&lt;=INPUTS!$C$7),"Yes","No"))</f>
        <v>Yes</v>
      </c>
      <c r="O1610" s="48" t="str">
        <f aca="false">STACK!H1610</f>
        <v>Health Education Specialist</v>
      </c>
      <c r="P1610" s="1" t="str">
        <f aca="false">IF(G1610&gt;0,IF(INDEX(CONFIRM!$H$5:$H$53,G1610)&lt;&gt;"",INDEX(CONFIRM!$H$5:$H$53,G1610),IFERROR(INDEX(MAP!$B$7:$B$156,MATCH(TRIM(O1610),MAP!$A$7:$A$156,0)),"UNMAPPED")),IFERROR(INDEX(MAP!$B$7:$B$156,MATCH(TRIM(O1610),MAP!$A$7:$A$156,0)),"UNMAPPED"))</f>
        <v>Health Educator</v>
      </c>
      <c r="Q1610" s="48" t="n">
        <f aca="false">STACK!I1610</f>
        <v>2.25</v>
      </c>
      <c r="R1610" s="60" t="n">
        <f aca="false">IF(G1610&gt;0,IF(INDEX(CONFIRM!$F$5:$F$53,G1610)&lt;&gt;"",INDEX(CONFIRM!$F$5:$F$53,G1610),IF(ISNUMBER(Q1610),Q1610,IF(Q1610="","",IFERROR(VALUE(TRIM(SUBSTITUTE(SUBSTITUTE(LOWER(Q1610),"hrs",""),"hr",""))),"")))),IF(ISNUMBER(Q1610),Q1610,IF(Q1610="","",IFERROR(VALUE(TRIM(SUBSTITUTE(SUBSTITUTE(LOWER(Q1610),"hrs",""),"hr",""))),""))))</f>
        <v>2.25</v>
      </c>
      <c r="S1610" s="57" t="n">
        <f aca="false">IFERROR(INDEX(RATES!$E$6:$E$28,MATCH(P1610,RATES!$A$6:$A$28,0)),0)</f>
        <v>37.265</v>
      </c>
      <c r="T1610" s="61" t="n">
        <f aca="false">IF(ISNUMBER(R1610),R1610,0)*S1610</f>
        <v>83.84625</v>
      </c>
      <c r="U1610" s="61" t="n">
        <f aca="false">T1610*INDEX(INPUTS!$H$10:$H$14,MATCH(B1610,INPUTS!$A$10:$A$14,0))</f>
        <v>12.66078375</v>
      </c>
      <c r="V1610" s="61" t="n">
        <f aca="false">N(STACK!K1610)</f>
        <v>65</v>
      </c>
      <c r="W1610" s="61" t="n">
        <f aca="false">T1610+U1610+V1610</f>
        <v>161.50703375</v>
      </c>
      <c r="X1610" s="61" t="n">
        <f aca="false">N(STACK!L1610)</f>
        <v>0</v>
      </c>
      <c r="Y1610" s="61" t="n">
        <f aca="false">W1610-X1610</f>
        <v>161.50703375</v>
      </c>
      <c r="Z1610" s="1" t="n">
        <f aca="false">N(STACK!J1610)</f>
        <v>10</v>
      </c>
      <c r="AA1610" s="1" t="str">
        <f aca="false">TRIM(IF(D1610="UNMAPPED","Program not mapped. ","")&amp;IF(OR(K1610="UNMAPPED",K1610="UNASSIGNED"),"Category needs review. ","")&amp;IF(P1610="UNMAPPED","Title not mapped. ","")&amp;IF(AND(P1610&lt;&gt;"No staff time",R1610=""),"Missing hours. ","")&amp;IF(M1610="","Date not readable. ","")&amp;IF(N1610="No","Outside fiscal year. ","")&amp;IF(AND(F1610="Event",ISNUMBER(R1610)),IF(R1610&gt;12,"Event hours look high. ",""),"")&amp;IF(G1610&gt;0,"See CONFIRM sheet.",""))</f>
        <v/>
      </c>
      <c r="AB1610" s="1" t="n">
        <f aca="false">IF(N1610="No",0,IF(REVIEW!O1610=0,0,IF(G1610&gt;0,IF(INDEX(CONFIRM!$J$5:$J$53,G1610)&lt;&gt;"",INDEX(CONFIRM!$J$5:$J$53,G1610),1),1)))</f>
        <v>1</v>
      </c>
      <c r="AC1610" s="1" t="n">
        <f aca="false">IF(AB1610=1,IF(COUNTIFS($B$5:B1610,B1610,$D$5:D1610,D1610,$AB$5:AB1610,1)=1,1,0),0)</f>
        <v>0</v>
      </c>
    </row>
    <row r="1611" customFormat="false" ht="15" hidden="false" customHeight="false" outlineLevel="0" collapsed="false">
      <c r="A1611" s="48" t="str">
        <f aca="false">STACK!A1611</f>
        <v>QHH-0230</v>
      </c>
      <c r="B1611" s="48" t="str">
        <f aca="false">STACK!B1611</f>
        <v>QHH</v>
      </c>
      <c r="C1611" s="48" t="str">
        <f aca="false">STACK!E1611</f>
        <v>Diabetes Prevention Program</v>
      </c>
      <c r="D1611" s="1" t="str">
        <f aca="false">IFERROR(INDEX(MAP!$J$7:$J$101,MATCH(TRIM(C1611),MAP!$I$7:$I$101,0)),"UNMAPPED")</f>
        <v>Diabetes Prevention Classes</v>
      </c>
      <c r="E1611" s="1" t="str">
        <f aca="false">IFERROR(INDEX(MAP!$K$7:$K$101,MATCH(TRIM(C1611),MAP!$I$7:$I$101,0)),"")</f>
        <v>Chronic disease prevention</v>
      </c>
      <c r="F1611" s="1" t="str">
        <f aca="false">IFERROR(INDEX(MAP!$L$7:$L$101,MATCH(TRIM(C1611),MAP!$I$7:$I$101,0)),"")</f>
        <v>Event</v>
      </c>
      <c r="G1611" s="1" t="n">
        <f aca="false">IFERROR(MATCH(A1611,CONFIRM!$A$5:$A$53,0),0)</f>
        <v>0</v>
      </c>
      <c r="H1611" s="48" t="str">
        <f aca="false">STACK!F1611</f>
        <v>CHIS - Education</v>
      </c>
      <c r="I1611" s="1" t="str">
        <f aca="false">IF(G1611&gt;0,IF(INDEX(CONFIRM!$I$5:$I$53,G1611)&lt;&gt;"",INDEX(CONFIRM!$I$5:$I$53,G1611),H1611),H1611)</f>
        <v>CHIS - Education</v>
      </c>
      <c r="J1611" s="1" t="str">
        <f aca="false">IFERROR(INDEX(MAP!$F$7:$F$74,MATCH(TRIM(I1611),MAP!$E$7:$E$74,0)),"UNMAPPED")</f>
        <v>Community health education</v>
      </c>
      <c r="K1611" s="1" t="str">
        <f aca="false">IFERROR(INDEX(MAP!$G$7:$G$74,MATCH(TRIM(I1611),MAP!$E$7:$E$74,0)),"UNMAPPED")</f>
        <v>7e</v>
      </c>
      <c r="L1611" s="49" t="str">
        <f aca="false">STACK!G1611</f>
        <v>12-Jun-2026</v>
      </c>
      <c r="M1611" s="59" t="n">
        <f aca="false">IF(G1611&gt;0,IF(INDEX(CONFIRM!$G$5:$G$53,G1611)&lt;&gt;"",INDEX(CONFIRM!$G$5:$G$53,G1611),IF(ISNUMBER(L1611),L1611,IFERROR(DATEVALUE(L1611),""))),IF(ISNUMBER(L1611),L1611,IFERROR(DATEVALUE(L1611),"")))</f>
        <v>46185</v>
      </c>
      <c r="N1611" s="1" t="str">
        <f aca="false">IF(M1611="","Check",IF(AND(M1611&gt;=INPUTS!$C$6,M1611&lt;=INPUTS!$C$7),"Yes","No"))</f>
        <v>Yes</v>
      </c>
      <c r="O1611" s="48" t="str">
        <f aca="false">STACK!H1611</f>
        <v>RDN</v>
      </c>
      <c r="P1611" s="1" t="str">
        <f aca="false">IF(G1611&gt;0,IF(INDEX(CONFIRM!$H$5:$H$53,G1611)&lt;&gt;"",INDEX(CONFIRM!$H$5:$H$53,G1611),IFERROR(INDEX(MAP!$B$7:$B$156,MATCH(TRIM(O1611),MAP!$A$7:$A$156,0)),"UNMAPPED")),IFERROR(INDEX(MAP!$B$7:$B$156,MATCH(TRIM(O1611),MAP!$A$7:$A$156,0)),"UNMAPPED"))</f>
        <v>Registered Dietitian</v>
      </c>
      <c r="Q1611" s="48" t="n">
        <f aca="false">STACK!I1611</f>
        <v>1.75</v>
      </c>
      <c r="R1611" s="60" t="n">
        <f aca="false">IF(G1611&gt;0,IF(INDEX(CONFIRM!$F$5:$F$53,G1611)&lt;&gt;"",INDEX(CONFIRM!$F$5:$F$53,G1611),IF(ISNUMBER(Q1611),Q1611,IF(Q1611="","",IFERROR(VALUE(TRIM(SUBSTITUTE(SUBSTITUTE(LOWER(Q1611),"hrs",""),"hr",""))),"")))),IF(ISNUMBER(Q1611),Q1611,IF(Q1611="","",IFERROR(VALUE(TRIM(SUBSTITUTE(SUBSTITUTE(LOWER(Q1611),"hrs",""),"hr",""))),""))))</f>
        <v>1.75</v>
      </c>
      <c r="S1611" s="57" t="n">
        <f aca="false">IFERROR(INDEX(RATES!$E$6:$E$28,MATCH(P1611,RATES!$A$6:$A$28,0)),0)</f>
        <v>46.9025</v>
      </c>
      <c r="T1611" s="61" t="n">
        <f aca="false">IF(ISNUMBER(R1611),R1611,0)*S1611</f>
        <v>82.079375</v>
      </c>
      <c r="U1611" s="61" t="n">
        <f aca="false">T1611*INDEX(INPUTS!$H$10:$H$14,MATCH(B1611,INPUTS!$A$10:$A$14,0))</f>
        <v>12.393985625</v>
      </c>
      <c r="V1611" s="61" t="n">
        <f aca="false">N(STACK!K1611)</f>
        <v>0</v>
      </c>
      <c r="W1611" s="61" t="n">
        <f aca="false">T1611+U1611+V1611</f>
        <v>94.473360625</v>
      </c>
      <c r="X1611" s="61" t="n">
        <f aca="false">N(STACK!L1611)</f>
        <v>0</v>
      </c>
      <c r="Y1611" s="61" t="n">
        <f aca="false">W1611-X1611</f>
        <v>94.473360625</v>
      </c>
      <c r="Z1611" s="1" t="n">
        <f aca="false">N(STACK!J1611)</f>
        <v>0</v>
      </c>
      <c r="AA1611" s="1" t="str">
        <f aca="false">TRIM(IF(D1611="UNMAPPED","Program not mapped. ","")&amp;IF(OR(K1611="UNMAPPED",K1611="UNASSIGNED"),"Category needs review. ","")&amp;IF(P1611="UNMAPPED","Title not mapped. ","")&amp;IF(AND(P1611&lt;&gt;"No staff time",R1611=""),"Missing hours. ","")&amp;IF(M1611="","Date not readable. ","")&amp;IF(N1611="No","Outside fiscal year. ","")&amp;IF(AND(F1611="Event",ISNUMBER(R1611)),IF(R1611&gt;12,"Event hours look high. ",""),"")&amp;IF(G1611&gt;0,"See CONFIRM sheet.",""))</f>
        <v/>
      </c>
      <c r="AB1611" s="1" t="n">
        <f aca="false">IF(N1611="No",0,IF(REVIEW!O1611=0,0,IF(G1611&gt;0,IF(INDEX(CONFIRM!$J$5:$J$53,G1611)&lt;&gt;"",INDEX(CONFIRM!$J$5:$J$53,G1611),1),1)))</f>
        <v>1</v>
      </c>
      <c r="AC1611" s="1" t="n">
        <f aca="false">IF(AB1611=1,IF(COUNTIFS($B$5:B1611,B1611,$D$5:D1611,D1611,$AB$5:AB1611,1)=1,1,0),0)</f>
        <v>0</v>
      </c>
    </row>
    <row r="1612" customFormat="false" ht="15" hidden="false" customHeight="false" outlineLevel="0" collapsed="false">
      <c r="A1612" s="48" t="str">
        <f aca="false">STACK!A1612</f>
        <v>QHH-0231</v>
      </c>
      <c r="B1612" s="48" t="str">
        <f aca="false">STACK!B1612</f>
        <v>QHH</v>
      </c>
      <c r="C1612" s="48" t="str">
        <f aca="false">STACK!E1612</f>
        <v>Childbirth Education</v>
      </c>
      <c r="D1612" s="1" t="str">
        <f aca="false">IFERROR(INDEX(MAP!$J$7:$J$101,MATCH(TRIM(C1612),MAP!$I$7:$I$101,0)),"UNMAPPED")</f>
        <v>Childbirth and Newborn Care Classes</v>
      </c>
      <c r="E1612" s="1" t="str">
        <f aca="false">IFERROR(INDEX(MAP!$K$7:$K$101,MATCH(TRIM(C1612),MAP!$I$7:$I$101,0)),"")</f>
        <v>Maternal and child health</v>
      </c>
      <c r="F1612" s="1" t="str">
        <f aca="false">IFERROR(INDEX(MAP!$L$7:$L$101,MATCH(TRIM(C1612),MAP!$I$7:$I$101,0)),"")</f>
        <v>Event</v>
      </c>
      <c r="G1612" s="1" t="n">
        <f aca="false">IFERROR(MATCH(A1612,CONFIRM!$A$5:$A$53,0),0)</f>
        <v>0</v>
      </c>
      <c r="H1612" s="48" t="str">
        <f aca="false">STACK!F1612</f>
        <v>CHIS - Education</v>
      </c>
      <c r="I1612" s="1" t="str">
        <f aca="false">IF(G1612&gt;0,IF(INDEX(CONFIRM!$I$5:$I$53,G1612)&lt;&gt;"",INDEX(CONFIRM!$I$5:$I$53,G1612),H1612),H1612)</f>
        <v>CHIS - Education</v>
      </c>
      <c r="J1612" s="1" t="str">
        <f aca="false">IFERROR(INDEX(MAP!$F$7:$F$74,MATCH(TRIM(I1612),MAP!$E$7:$E$74,0)),"UNMAPPED")</f>
        <v>Community health education</v>
      </c>
      <c r="K1612" s="1" t="str">
        <f aca="false">IFERROR(INDEX(MAP!$G$7:$G$74,MATCH(TRIM(I1612),MAP!$E$7:$E$74,0)),"UNMAPPED")</f>
        <v>7e</v>
      </c>
      <c r="L1612" s="49" t="str">
        <f aca="false">STACK!G1612</f>
        <v>13-Jun-2026</v>
      </c>
      <c r="M1612" s="59" t="n">
        <f aca="false">IF(G1612&gt;0,IF(INDEX(CONFIRM!$G$5:$G$53,G1612)&lt;&gt;"",INDEX(CONFIRM!$G$5:$G$53,G1612),IF(ISNUMBER(L1612),L1612,IFERROR(DATEVALUE(L1612),""))),IF(ISNUMBER(L1612),L1612,IFERROR(DATEVALUE(L1612),"")))</f>
        <v>46186</v>
      </c>
      <c r="N1612" s="1" t="str">
        <f aca="false">IF(M1612="","Check",IF(AND(M1612&gt;=INPUTS!$C$6,M1612&lt;=INPUTS!$C$7),"Yes","No"))</f>
        <v>Yes</v>
      </c>
      <c r="O1612" s="48" t="str">
        <f aca="false">STACK!H1612</f>
        <v>RN Educator</v>
      </c>
      <c r="P1612" s="1" t="str">
        <f aca="false">IF(G1612&gt;0,IF(INDEX(CONFIRM!$H$5:$H$53,G1612)&lt;&gt;"",INDEX(CONFIRM!$H$5:$H$53,G1612),IFERROR(INDEX(MAP!$B$7:$B$156,MATCH(TRIM(O1612),MAP!$A$7:$A$156,0)),"UNMAPPED")),IFERROR(INDEX(MAP!$B$7:$B$156,MATCH(TRIM(O1612),MAP!$A$7:$A$156,0)),"UNMAPPED"))</f>
        <v>Clinical Nurse Educator</v>
      </c>
      <c r="Q1612" s="48" t="n">
        <f aca="false">STACK!I1612</f>
        <v>3.5</v>
      </c>
      <c r="R1612" s="60" t="n">
        <f aca="false">IF(G1612&gt;0,IF(INDEX(CONFIRM!$F$5:$F$53,G1612)&lt;&gt;"",INDEX(CONFIRM!$F$5:$F$53,G1612),IF(ISNUMBER(Q1612),Q1612,IF(Q1612="","",IFERROR(VALUE(TRIM(SUBSTITUTE(SUBSTITUTE(LOWER(Q1612),"hrs",""),"hr",""))),"")))),IF(ISNUMBER(Q1612),Q1612,IF(Q1612="","",IFERROR(VALUE(TRIM(SUBSTITUTE(SUBSTITUTE(LOWER(Q1612),"hrs",""),"hr",""))),""))))</f>
        <v>3.5</v>
      </c>
      <c r="S1612" s="57" t="n">
        <f aca="false">IFERROR(INDEX(RATES!$E$6:$E$28,MATCH(P1612,RATES!$A$6:$A$28,0)),0)</f>
        <v>62.965</v>
      </c>
      <c r="T1612" s="61" t="n">
        <f aca="false">IF(ISNUMBER(R1612),R1612,0)*S1612</f>
        <v>220.3775</v>
      </c>
      <c r="U1612" s="61" t="n">
        <f aca="false">T1612*INDEX(INPUTS!$H$10:$H$14,MATCH(B1612,INPUTS!$A$10:$A$14,0))</f>
        <v>33.2770025</v>
      </c>
      <c r="V1612" s="61" t="n">
        <f aca="false">N(STACK!K1612)</f>
        <v>90</v>
      </c>
      <c r="W1612" s="61" t="n">
        <f aca="false">T1612+U1612+V1612</f>
        <v>343.6545025</v>
      </c>
      <c r="X1612" s="61" t="n">
        <f aca="false">N(STACK!L1612)</f>
        <v>0</v>
      </c>
      <c r="Y1612" s="61" t="n">
        <f aca="false">W1612-X1612</f>
        <v>343.6545025</v>
      </c>
      <c r="Z1612" s="1" t="n">
        <f aca="false">N(STACK!J1612)</f>
        <v>17</v>
      </c>
      <c r="AA1612" s="1" t="str">
        <f aca="false">TRIM(IF(D1612="UNMAPPED","Program not mapped. ","")&amp;IF(OR(K1612="UNMAPPED",K1612="UNASSIGNED"),"Category needs review. ","")&amp;IF(P1612="UNMAPPED","Title not mapped. ","")&amp;IF(AND(P1612&lt;&gt;"No staff time",R1612=""),"Missing hours. ","")&amp;IF(M1612="","Date not readable. ","")&amp;IF(N1612="No","Outside fiscal year. ","")&amp;IF(AND(F1612="Event",ISNUMBER(R1612)),IF(R1612&gt;12,"Event hours look high. ",""),"")&amp;IF(G1612&gt;0,"See CONFIRM sheet.",""))</f>
        <v/>
      </c>
      <c r="AB1612" s="1" t="n">
        <f aca="false">IF(N1612="No",0,IF(REVIEW!O1612=0,0,IF(G1612&gt;0,IF(INDEX(CONFIRM!$J$5:$J$53,G1612)&lt;&gt;"",INDEX(CONFIRM!$J$5:$J$53,G1612),1),1)))</f>
        <v>1</v>
      </c>
      <c r="AC1612" s="1" t="n">
        <f aca="false">IF(AB1612=1,IF(COUNTIFS($B$5:B1612,B1612,$D$5:D1612,D1612,$AB$5:AB1612,1)=1,1,0),0)</f>
        <v>0</v>
      </c>
    </row>
    <row r="1613" customFormat="false" ht="15" hidden="false" customHeight="false" outlineLevel="0" collapsed="false">
      <c r="A1613" s="48" t="str">
        <f aca="false">STACK!A1613</f>
        <v>QHH-0232</v>
      </c>
      <c r="B1613" s="48" t="str">
        <f aca="false">STACK!B1613</f>
        <v>QHH</v>
      </c>
      <c r="C1613" s="48" t="str">
        <f aca="false">STACK!E1613</f>
        <v>Summer Health Careers Camp</v>
      </c>
      <c r="D1613" s="1" t="str">
        <f aca="false">IFERROR(INDEX(MAP!$J$7:$J$101,MATCH(TRIM(C1613),MAP!$I$7:$I$101,0)),"UNMAPPED")</f>
        <v>Health Careers Summer Camp</v>
      </c>
      <c r="E1613" s="1" t="str">
        <f aca="false">IFERROR(INDEX(MAP!$K$7:$K$101,MATCH(TRIM(C1613),MAP!$I$7:$I$101,0)),"")</f>
        <v>Health workforce</v>
      </c>
      <c r="F1613" s="1" t="str">
        <f aca="false">IFERROR(INDEX(MAP!$L$7:$L$101,MATCH(TRIM(C1613),MAP!$I$7:$I$101,0)),"")</f>
        <v>Event</v>
      </c>
      <c r="G1613" s="1" t="n">
        <f aca="false">IFERROR(MATCH(A1613,CONFIRM!$A$5:$A$53,0),0)</f>
        <v>0</v>
      </c>
      <c r="H1613" s="48" t="str">
        <f aca="false">STACK!F1613</f>
        <v>HPE - Students</v>
      </c>
      <c r="I1613" s="1" t="str">
        <f aca="false">IF(G1613&gt;0,IF(INDEX(CONFIRM!$I$5:$I$53,G1613)&lt;&gt;"",INDEX(CONFIRM!$I$5:$I$53,G1613),H1613),H1613)</f>
        <v>HPE - Students</v>
      </c>
      <c r="J1613" s="1" t="str">
        <f aca="false">IFERROR(INDEX(MAP!$F$7:$F$74,MATCH(TRIM(I1613),MAP!$E$7:$E$74,0)),"UNMAPPED")</f>
        <v>Health professions education</v>
      </c>
      <c r="K1613" s="1" t="str">
        <f aca="false">IFERROR(INDEX(MAP!$G$7:$G$74,MATCH(TRIM(I1613),MAP!$E$7:$E$74,0)),"UNMAPPED")</f>
        <v>7f</v>
      </c>
      <c r="L1613" s="49" t="str">
        <f aca="false">STACK!G1613</f>
        <v>15-Jun-2026</v>
      </c>
      <c r="M1613" s="59" t="n">
        <f aca="false">IF(G1613&gt;0,IF(INDEX(CONFIRM!$G$5:$G$53,G1613)&lt;&gt;"",INDEX(CONFIRM!$G$5:$G$53,G1613),IF(ISNUMBER(L1613),L1613,IFERROR(DATEVALUE(L1613),""))),IF(ISNUMBER(L1613),L1613,IFERROR(DATEVALUE(L1613),"")))</f>
        <v>46188</v>
      </c>
      <c r="N1613" s="1" t="str">
        <f aca="false">IF(M1613="","Check",IF(AND(M1613&gt;=INPUTS!$C$6,M1613&lt;=INPUTS!$C$7),"Yes","No"))</f>
        <v>Yes</v>
      </c>
      <c r="O1613" s="48" t="str">
        <f aca="false">STACK!H1613</f>
        <v>Clinical Nurse Educator</v>
      </c>
      <c r="P1613" s="1" t="str">
        <f aca="false">IF(G1613&gt;0,IF(INDEX(CONFIRM!$H$5:$H$53,G1613)&lt;&gt;"",INDEX(CONFIRM!$H$5:$H$53,G1613),IFERROR(INDEX(MAP!$B$7:$B$156,MATCH(TRIM(O1613),MAP!$A$7:$A$156,0)),"UNMAPPED")),IFERROR(INDEX(MAP!$B$7:$B$156,MATCH(TRIM(O1613),MAP!$A$7:$A$156,0)),"UNMAPPED"))</f>
        <v>Clinical Nurse Educator</v>
      </c>
      <c r="Q1613" s="48" t="n">
        <f aca="false">STACK!I1613</f>
        <v>7.25</v>
      </c>
      <c r="R1613" s="60" t="n">
        <f aca="false">IF(G1613&gt;0,IF(INDEX(CONFIRM!$F$5:$F$53,G1613)&lt;&gt;"",INDEX(CONFIRM!$F$5:$F$53,G1613),IF(ISNUMBER(Q1613),Q1613,IF(Q1613="","",IFERROR(VALUE(TRIM(SUBSTITUTE(SUBSTITUTE(LOWER(Q1613),"hrs",""),"hr",""))),"")))),IF(ISNUMBER(Q1613),Q1613,IF(Q1613="","",IFERROR(VALUE(TRIM(SUBSTITUTE(SUBSTITUTE(LOWER(Q1613),"hrs",""),"hr",""))),""))))</f>
        <v>7.25</v>
      </c>
      <c r="S1613" s="57" t="n">
        <f aca="false">IFERROR(INDEX(RATES!$E$6:$E$28,MATCH(P1613,RATES!$A$6:$A$28,0)),0)</f>
        <v>62.965</v>
      </c>
      <c r="T1613" s="61" t="n">
        <f aca="false">IF(ISNUMBER(R1613),R1613,0)*S1613</f>
        <v>456.49625</v>
      </c>
      <c r="U1613" s="61" t="n">
        <f aca="false">T1613*INDEX(INPUTS!$H$10:$H$14,MATCH(B1613,INPUTS!$A$10:$A$14,0))</f>
        <v>68.93093375</v>
      </c>
      <c r="V1613" s="61" t="n">
        <f aca="false">N(STACK!K1613)</f>
        <v>790</v>
      </c>
      <c r="W1613" s="61" t="n">
        <f aca="false">T1613+U1613+V1613</f>
        <v>1315.42718375</v>
      </c>
      <c r="X1613" s="61" t="n">
        <f aca="false">N(STACK!L1613)</f>
        <v>0</v>
      </c>
      <c r="Y1613" s="61" t="n">
        <f aca="false">W1613-X1613</f>
        <v>1315.42718375</v>
      </c>
      <c r="Z1613" s="1" t="n">
        <f aca="false">N(STACK!J1613)</f>
        <v>41</v>
      </c>
      <c r="AA1613" s="1" t="str">
        <f aca="false">TRIM(IF(D1613="UNMAPPED","Program not mapped. ","")&amp;IF(OR(K1613="UNMAPPED",K1613="UNASSIGNED"),"Category needs review. ","")&amp;IF(P1613="UNMAPPED","Title not mapped. ","")&amp;IF(AND(P1613&lt;&gt;"No staff time",R1613=""),"Missing hours. ","")&amp;IF(M1613="","Date not readable. ","")&amp;IF(N1613="No","Outside fiscal year. ","")&amp;IF(AND(F1613="Event",ISNUMBER(R1613)),IF(R1613&gt;12,"Event hours look high. ",""),"")&amp;IF(G1613&gt;0,"See CONFIRM sheet.",""))</f>
        <v/>
      </c>
      <c r="AB1613" s="1" t="n">
        <f aca="false">IF(N1613="No",0,IF(REVIEW!O1613=0,0,IF(G1613&gt;0,IF(INDEX(CONFIRM!$J$5:$J$53,G1613)&lt;&gt;"",INDEX(CONFIRM!$J$5:$J$53,G1613),1),1)))</f>
        <v>1</v>
      </c>
      <c r="AC1613" s="1" t="n">
        <f aca="false">IF(AB1613=1,IF(COUNTIFS($B$5:B1613,B1613,$D$5:D1613,D1613,$AB$5:AB1613,1)=1,1,0),0)</f>
        <v>0</v>
      </c>
    </row>
    <row r="1614" customFormat="false" ht="15" hidden="false" customHeight="false" outlineLevel="0" collapsed="false">
      <c r="A1614" s="48" t="str">
        <f aca="false">STACK!A1614</f>
        <v>QHH-0233</v>
      </c>
      <c r="B1614" s="48" t="str">
        <f aca="false">STACK!B1614</f>
        <v>QHH</v>
      </c>
      <c r="C1614" s="48" t="str">
        <f aca="false">STACK!E1614</f>
        <v>Summer Health Careers Camp</v>
      </c>
      <c r="D1614" s="1" t="str">
        <f aca="false">IFERROR(INDEX(MAP!$J$7:$J$101,MATCH(TRIM(C1614),MAP!$I$7:$I$101,0)),"UNMAPPED")</f>
        <v>Health Careers Summer Camp</v>
      </c>
      <c r="E1614" s="1" t="str">
        <f aca="false">IFERROR(INDEX(MAP!$K$7:$K$101,MATCH(TRIM(C1614),MAP!$I$7:$I$101,0)),"")</f>
        <v>Health workforce</v>
      </c>
      <c r="F1614" s="1" t="str">
        <f aca="false">IFERROR(INDEX(MAP!$L$7:$L$101,MATCH(TRIM(C1614),MAP!$I$7:$I$101,0)),"")</f>
        <v>Event</v>
      </c>
      <c r="G1614" s="1" t="n">
        <f aca="false">IFERROR(MATCH(A1614,CONFIRM!$A$5:$A$53,0),0)</f>
        <v>0</v>
      </c>
      <c r="H1614" s="48" t="str">
        <f aca="false">STACK!F1614</f>
        <v>HPE - Students</v>
      </c>
      <c r="I1614" s="1" t="str">
        <f aca="false">IF(G1614&gt;0,IF(INDEX(CONFIRM!$I$5:$I$53,G1614)&lt;&gt;"",INDEX(CONFIRM!$I$5:$I$53,G1614),H1614),H1614)</f>
        <v>HPE - Students</v>
      </c>
      <c r="J1614" s="1" t="str">
        <f aca="false">IFERROR(INDEX(MAP!$F$7:$F$74,MATCH(TRIM(I1614),MAP!$E$7:$E$74,0)),"UNMAPPED")</f>
        <v>Health professions education</v>
      </c>
      <c r="K1614" s="1" t="str">
        <f aca="false">IFERROR(INDEX(MAP!$G$7:$G$74,MATCH(TRIM(I1614),MAP!$E$7:$E$74,0)),"UNMAPPED")</f>
        <v>7f</v>
      </c>
      <c r="L1614" s="49" t="str">
        <f aca="false">STACK!G1614</f>
        <v>15-Jun-2026</v>
      </c>
      <c r="M1614" s="59" t="n">
        <f aca="false">IF(G1614&gt;0,IF(INDEX(CONFIRM!$G$5:$G$53,G1614)&lt;&gt;"",INDEX(CONFIRM!$G$5:$G$53,G1614),IF(ISNUMBER(L1614),L1614,IFERROR(DATEVALUE(L1614),""))),IF(ISNUMBER(L1614),L1614,IFERROR(DATEVALUE(L1614),"")))</f>
        <v>46188</v>
      </c>
      <c r="N1614" s="1" t="str">
        <f aca="false">IF(M1614="","Check",IF(AND(M1614&gt;=INPUTS!$C$6,M1614&lt;=INPUTS!$C$7),"Yes","No"))</f>
        <v>Yes</v>
      </c>
      <c r="O1614" s="48" t="str">
        <f aca="false">STACK!H1614</f>
        <v>Clin Educator</v>
      </c>
      <c r="P1614" s="1" t="str">
        <f aca="false">IF(G1614&gt;0,IF(INDEX(CONFIRM!$H$5:$H$53,G1614)&lt;&gt;"",INDEX(CONFIRM!$H$5:$H$53,G1614),IFERROR(INDEX(MAP!$B$7:$B$156,MATCH(TRIM(O1614),MAP!$A$7:$A$156,0)),"UNMAPPED")),IFERROR(INDEX(MAP!$B$7:$B$156,MATCH(TRIM(O1614),MAP!$A$7:$A$156,0)),"UNMAPPED"))</f>
        <v>Clinical Nurse Educator</v>
      </c>
      <c r="Q1614" s="48" t="n">
        <f aca="false">STACK!I1614</f>
        <v>7.75</v>
      </c>
      <c r="R1614" s="60" t="n">
        <f aca="false">IF(G1614&gt;0,IF(INDEX(CONFIRM!$F$5:$F$53,G1614)&lt;&gt;"",INDEX(CONFIRM!$F$5:$F$53,G1614),IF(ISNUMBER(Q1614),Q1614,IF(Q1614="","",IFERROR(VALUE(TRIM(SUBSTITUTE(SUBSTITUTE(LOWER(Q1614),"hrs",""),"hr",""))),"")))),IF(ISNUMBER(Q1614),Q1614,IF(Q1614="","",IFERROR(VALUE(TRIM(SUBSTITUTE(SUBSTITUTE(LOWER(Q1614),"hrs",""),"hr",""))),""))))</f>
        <v>7.75</v>
      </c>
      <c r="S1614" s="57" t="n">
        <f aca="false">IFERROR(INDEX(RATES!$E$6:$E$28,MATCH(P1614,RATES!$A$6:$A$28,0)),0)</f>
        <v>62.965</v>
      </c>
      <c r="T1614" s="61" t="n">
        <f aca="false">IF(ISNUMBER(R1614),R1614,0)*S1614</f>
        <v>487.97875</v>
      </c>
      <c r="U1614" s="61" t="n">
        <f aca="false">T1614*INDEX(INPUTS!$H$10:$H$14,MATCH(B1614,INPUTS!$A$10:$A$14,0))</f>
        <v>73.68479125</v>
      </c>
      <c r="V1614" s="61" t="n">
        <f aca="false">N(STACK!K1614)</f>
        <v>1355</v>
      </c>
      <c r="W1614" s="61" t="n">
        <f aca="false">T1614+U1614+V1614</f>
        <v>1916.66354125</v>
      </c>
      <c r="X1614" s="61" t="n">
        <f aca="false">N(STACK!L1614)</f>
        <v>0</v>
      </c>
      <c r="Y1614" s="61" t="n">
        <f aca="false">W1614-X1614</f>
        <v>1916.66354125</v>
      </c>
      <c r="Z1614" s="1" t="n">
        <f aca="false">N(STACK!J1614)</f>
        <v>37</v>
      </c>
      <c r="AA1614" s="1" t="str">
        <f aca="false">TRIM(IF(D1614="UNMAPPED","Program not mapped. ","")&amp;IF(OR(K1614="UNMAPPED",K1614="UNASSIGNED"),"Category needs review. ","")&amp;IF(P1614="UNMAPPED","Title not mapped. ","")&amp;IF(AND(P1614&lt;&gt;"No staff time",R1614=""),"Missing hours. ","")&amp;IF(M1614="","Date not readable. ","")&amp;IF(N1614="No","Outside fiscal year. ","")&amp;IF(AND(F1614="Event",ISNUMBER(R1614)),IF(R1614&gt;12,"Event hours look high. ",""),"")&amp;IF(G1614&gt;0,"See CONFIRM sheet.",""))</f>
        <v/>
      </c>
      <c r="AB1614" s="1" t="n">
        <f aca="false">IF(N1614="No",0,IF(REVIEW!O1614=0,0,IF(G1614&gt;0,IF(INDEX(CONFIRM!$J$5:$J$53,G1614)&lt;&gt;"",INDEX(CONFIRM!$J$5:$J$53,G1614),1),1)))</f>
        <v>1</v>
      </c>
      <c r="AC1614" s="1" t="n">
        <f aca="false">IF(AB1614=1,IF(COUNTIFS($B$5:B1614,B1614,$D$5:D1614,D1614,$AB$5:AB1614,1)=1,1,0),0)</f>
        <v>0</v>
      </c>
    </row>
    <row r="1615" customFormat="false" ht="15" hidden="false" customHeight="false" outlineLevel="0" collapsed="false">
      <c r="A1615" s="48" t="str">
        <f aca="false">STACK!A1615</f>
        <v>QHH-0234</v>
      </c>
      <c r="B1615" s="48" t="str">
        <f aca="false">STACK!B1615</f>
        <v>QHH</v>
      </c>
      <c r="C1615" s="48" t="str">
        <f aca="false">STACK!E1615</f>
        <v>Summer Health Careers Camp</v>
      </c>
      <c r="D1615" s="1" t="str">
        <f aca="false">IFERROR(INDEX(MAP!$J$7:$J$101,MATCH(TRIM(C1615),MAP!$I$7:$I$101,0)),"UNMAPPED")</f>
        <v>Health Careers Summer Camp</v>
      </c>
      <c r="E1615" s="1" t="str">
        <f aca="false">IFERROR(INDEX(MAP!$K$7:$K$101,MATCH(TRIM(C1615),MAP!$I$7:$I$101,0)),"")</f>
        <v>Health workforce</v>
      </c>
      <c r="F1615" s="1" t="str">
        <f aca="false">IFERROR(INDEX(MAP!$L$7:$L$101,MATCH(TRIM(C1615),MAP!$I$7:$I$101,0)),"")</f>
        <v>Event</v>
      </c>
      <c r="G1615" s="1" t="n">
        <f aca="false">IFERROR(MATCH(A1615,CONFIRM!$A$5:$A$53,0),0)</f>
        <v>0</v>
      </c>
      <c r="H1615" s="48" t="str">
        <f aca="false">STACK!F1615</f>
        <v>HPE - Students</v>
      </c>
      <c r="I1615" s="1" t="str">
        <f aca="false">IF(G1615&gt;0,IF(INDEX(CONFIRM!$I$5:$I$53,G1615)&lt;&gt;"",INDEX(CONFIRM!$I$5:$I$53,G1615),H1615),H1615)</f>
        <v>HPE - Students</v>
      </c>
      <c r="J1615" s="1" t="str">
        <f aca="false">IFERROR(INDEX(MAP!$F$7:$F$74,MATCH(TRIM(I1615),MAP!$E$7:$E$74,0)),"UNMAPPED")</f>
        <v>Health professions education</v>
      </c>
      <c r="K1615" s="1" t="str">
        <f aca="false">IFERROR(INDEX(MAP!$G$7:$G$74,MATCH(TRIM(I1615),MAP!$E$7:$E$74,0)),"UNMAPPED")</f>
        <v>7f</v>
      </c>
      <c r="L1615" s="49" t="str">
        <f aca="false">STACK!G1615</f>
        <v>15-Jun-2026</v>
      </c>
      <c r="M1615" s="59" t="n">
        <f aca="false">IF(G1615&gt;0,IF(INDEX(CONFIRM!$G$5:$G$53,G1615)&lt;&gt;"",INDEX(CONFIRM!$G$5:$G$53,G1615),IF(ISNUMBER(L1615),L1615,IFERROR(DATEVALUE(L1615),""))),IF(ISNUMBER(L1615),L1615,IFERROR(DATEVALUE(L1615),"")))</f>
        <v>46188</v>
      </c>
      <c r="N1615" s="1" t="str">
        <f aca="false">IF(M1615="","Check",IF(AND(M1615&gt;=INPUTS!$C$6,M1615&lt;=INPUTS!$C$7),"Yes","No"))</f>
        <v>Yes</v>
      </c>
      <c r="O1615" s="48" t="str">
        <f aca="false">STACK!H1615</f>
        <v>Residency Coordinator</v>
      </c>
      <c r="P1615" s="1" t="str">
        <f aca="false">IF(G1615&gt;0,IF(INDEX(CONFIRM!$H$5:$H$53,G1615)&lt;&gt;"",INDEX(CONFIRM!$H$5:$H$53,G1615),IFERROR(INDEX(MAP!$B$7:$B$156,MATCH(TRIM(O1615),MAP!$A$7:$A$156,0)),"UNMAPPED")),IFERROR(INDEX(MAP!$B$7:$B$156,MATCH(TRIM(O1615),MAP!$A$7:$A$156,0)),"UNMAPPED"))</f>
        <v>Program Coordinator</v>
      </c>
      <c r="Q1615" s="48" t="n">
        <f aca="false">STACK!I1615</f>
        <v>7.5</v>
      </c>
      <c r="R1615" s="60" t="n">
        <f aca="false">IF(G1615&gt;0,IF(INDEX(CONFIRM!$F$5:$F$53,G1615)&lt;&gt;"",INDEX(CONFIRM!$F$5:$F$53,G1615),IF(ISNUMBER(Q1615),Q1615,IF(Q1615="","",IFERROR(VALUE(TRIM(SUBSTITUTE(SUBSTITUTE(LOWER(Q1615),"hrs",""),"hr",""))),"")))),IF(ISNUMBER(Q1615),Q1615,IF(Q1615="","",IFERROR(VALUE(TRIM(SUBSTITUTE(SUBSTITUTE(LOWER(Q1615),"hrs",""),"hr",""))),""))))</f>
        <v>7.5</v>
      </c>
      <c r="S1615" s="57" t="n">
        <f aca="false">IFERROR(INDEX(RATES!$E$6:$E$28,MATCH(P1615,RATES!$A$6:$A$28,0)),0)</f>
        <v>35.3375</v>
      </c>
      <c r="T1615" s="61" t="n">
        <f aca="false">IF(ISNUMBER(R1615),R1615,0)*S1615</f>
        <v>265.03125</v>
      </c>
      <c r="U1615" s="61" t="n">
        <f aca="false">T1615*INDEX(INPUTS!$H$10:$H$14,MATCH(B1615,INPUTS!$A$10:$A$14,0))</f>
        <v>40.01971875</v>
      </c>
      <c r="V1615" s="61" t="n">
        <f aca="false">N(STACK!K1615)</f>
        <v>0</v>
      </c>
      <c r="W1615" s="61" t="n">
        <f aca="false">T1615+U1615+V1615</f>
        <v>305.05096875</v>
      </c>
      <c r="X1615" s="61" t="n">
        <f aca="false">N(STACK!L1615)</f>
        <v>0</v>
      </c>
      <c r="Y1615" s="61" t="n">
        <f aca="false">W1615-X1615</f>
        <v>305.05096875</v>
      </c>
      <c r="Z1615" s="1" t="n">
        <f aca="false">N(STACK!J1615)</f>
        <v>0</v>
      </c>
      <c r="AA1615" s="1" t="str">
        <f aca="false">TRIM(IF(D1615="UNMAPPED","Program not mapped. ","")&amp;IF(OR(K1615="UNMAPPED",K1615="UNASSIGNED"),"Category needs review. ","")&amp;IF(P1615="UNMAPPED","Title not mapped. ","")&amp;IF(AND(P1615&lt;&gt;"No staff time",R1615=""),"Missing hours. ","")&amp;IF(M1615="","Date not readable. ","")&amp;IF(N1615="No","Outside fiscal year. ","")&amp;IF(AND(F1615="Event",ISNUMBER(R1615)),IF(R1615&gt;12,"Event hours look high. ",""),"")&amp;IF(G1615&gt;0,"See CONFIRM sheet.",""))</f>
        <v/>
      </c>
      <c r="AB1615" s="1" t="n">
        <f aca="false">IF(N1615="No",0,IF(REVIEW!O1615=0,0,IF(G1615&gt;0,IF(INDEX(CONFIRM!$J$5:$J$53,G1615)&lt;&gt;"",INDEX(CONFIRM!$J$5:$J$53,G1615),1),1)))</f>
        <v>1</v>
      </c>
      <c r="AC1615" s="1" t="n">
        <f aca="false">IF(AB1615=1,IF(COUNTIFS($B$5:B1615,B1615,$D$5:D1615,D1615,$AB$5:AB1615,1)=1,1,0),0)</f>
        <v>0</v>
      </c>
    </row>
    <row r="1616" customFormat="false" ht="15" hidden="false" customHeight="false" outlineLevel="0" collapsed="false">
      <c r="A1616" s="48" t="str">
        <f aca="false">STACK!A1616</f>
        <v>QHH-0235</v>
      </c>
      <c r="B1616" s="48" t="str">
        <f aca="false">STACK!B1616</f>
        <v>QHH</v>
      </c>
      <c r="C1616" s="48" t="str">
        <f aca="false">STACK!E1616</f>
        <v>Summer Health Careers Camp</v>
      </c>
      <c r="D1616" s="1" t="str">
        <f aca="false">IFERROR(INDEX(MAP!$J$7:$J$101,MATCH(TRIM(C1616),MAP!$I$7:$I$101,0)),"UNMAPPED")</f>
        <v>Health Careers Summer Camp</v>
      </c>
      <c r="E1616" s="1" t="str">
        <f aca="false">IFERROR(INDEX(MAP!$K$7:$K$101,MATCH(TRIM(C1616),MAP!$I$7:$I$101,0)),"")</f>
        <v>Health workforce</v>
      </c>
      <c r="F1616" s="1" t="str">
        <f aca="false">IFERROR(INDEX(MAP!$L$7:$L$101,MATCH(TRIM(C1616),MAP!$I$7:$I$101,0)),"")</f>
        <v>Event</v>
      </c>
      <c r="G1616" s="1" t="n">
        <f aca="false">IFERROR(MATCH(A1616,CONFIRM!$A$5:$A$53,0),0)</f>
        <v>0</v>
      </c>
      <c r="H1616" s="48" t="str">
        <f aca="false">STACK!F1616</f>
        <v>HPE - Students</v>
      </c>
      <c r="I1616" s="1" t="str">
        <f aca="false">IF(G1616&gt;0,IF(INDEX(CONFIRM!$I$5:$I$53,G1616)&lt;&gt;"",INDEX(CONFIRM!$I$5:$I$53,G1616),H1616),H1616)</f>
        <v>HPE - Students</v>
      </c>
      <c r="J1616" s="1" t="str">
        <f aca="false">IFERROR(INDEX(MAP!$F$7:$F$74,MATCH(TRIM(I1616),MAP!$E$7:$E$74,0)),"UNMAPPED")</f>
        <v>Health professions education</v>
      </c>
      <c r="K1616" s="1" t="str">
        <f aca="false">IFERROR(INDEX(MAP!$G$7:$G$74,MATCH(TRIM(I1616),MAP!$E$7:$E$74,0)),"UNMAPPED")</f>
        <v>7f</v>
      </c>
      <c r="L1616" s="49" t="str">
        <f aca="false">STACK!G1616</f>
        <v>15-Jun-2026</v>
      </c>
      <c r="M1616" s="59" t="n">
        <f aca="false">IF(G1616&gt;0,IF(INDEX(CONFIRM!$G$5:$G$53,G1616)&lt;&gt;"",INDEX(CONFIRM!$G$5:$G$53,G1616),IF(ISNUMBER(L1616),L1616,IFERROR(DATEVALUE(L1616),""))),IF(ISNUMBER(L1616),L1616,IFERROR(DATEVALUE(L1616),"")))</f>
        <v>46188</v>
      </c>
      <c r="N1616" s="1" t="str">
        <f aca="false">IF(M1616="","Check",IF(AND(M1616&gt;=INPUTS!$C$6,M1616&lt;=INPUTS!$C$7),"Yes","No"))</f>
        <v>Yes</v>
      </c>
      <c r="O1616" s="48" t="str">
        <f aca="false">STACK!H1616</f>
        <v>Event Coordinator</v>
      </c>
      <c r="P1616" s="1" t="str">
        <f aca="false">IF(G1616&gt;0,IF(INDEX(CONFIRM!$H$5:$H$53,G1616)&lt;&gt;"",INDEX(CONFIRM!$H$5:$H$53,G1616),IFERROR(INDEX(MAP!$B$7:$B$156,MATCH(TRIM(O1616),MAP!$A$7:$A$156,0)),"UNMAPPED")),IFERROR(INDEX(MAP!$B$7:$B$156,MATCH(TRIM(O1616),MAP!$A$7:$A$156,0)),"UNMAPPED"))</f>
        <v>Program Coordinator</v>
      </c>
      <c r="Q1616" s="48" t="n">
        <f aca="false">STACK!I1616</f>
        <v>8</v>
      </c>
      <c r="R1616" s="60" t="n">
        <f aca="false">IF(G1616&gt;0,IF(INDEX(CONFIRM!$F$5:$F$53,G1616)&lt;&gt;"",INDEX(CONFIRM!$F$5:$F$53,G1616),IF(ISNUMBER(Q1616),Q1616,IF(Q1616="","",IFERROR(VALUE(TRIM(SUBSTITUTE(SUBSTITUTE(LOWER(Q1616),"hrs",""),"hr",""))),"")))),IF(ISNUMBER(Q1616),Q1616,IF(Q1616="","",IFERROR(VALUE(TRIM(SUBSTITUTE(SUBSTITUTE(LOWER(Q1616),"hrs",""),"hr",""))),""))))</f>
        <v>8</v>
      </c>
      <c r="S1616" s="57" t="n">
        <f aca="false">IFERROR(INDEX(RATES!$E$6:$E$28,MATCH(P1616,RATES!$A$6:$A$28,0)),0)</f>
        <v>35.3375</v>
      </c>
      <c r="T1616" s="61" t="n">
        <f aca="false">IF(ISNUMBER(R1616),R1616,0)*S1616</f>
        <v>282.7</v>
      </c>
      <c r="U1616" s="61" t="n">
        <f aca="false">T1616*INDEX(INPUTS!$H$10:$H$14,MATCH(B1616,INPUTS!$A$10:$A$14,0))</f>
        <v>42.6877</v>
      </c>
      <c r="V1616" s="61" t="n">
        <f aca="false">N(STACK!K1616)</f>
        <v>0</v>
      </c>
      <c r="W1616" s="61" t="n">
        <f aca="false">T1616+U1616+V1616</f>
        <v>325.3877</v>
      </c>
      <c r="X1616" s="61" t="n">
        <f aca="false">N(STACK!L1616)</f>
        <v>0</v>
      </c>
      <c r="Y1616" s="61" t="n">
        <f aca="false">W1616-X1616</f>
        <v>325.3877</v>
      </c>
      <c r="Z1616" s="1" t="n">
        <f aca="false">N(STACK!J1616)</f>
        <v>0</v>
      </c>
      <c r="AA1616" s="1" t="str">
        <f aca="false">TRIM(IF(D1616="UNMAPPED","Program not mapped. ","")&amp;IF(OR(K1616="UNMAPPED",K1616="UNASSIGNED"),"Category needs review. ","")&amp;IF(P1616="UNMAPPED","Title not mapped. ","")&amp;IF(AND(P1616&lt;&gt;"No staff time",R1616=""),"Missing hours. ","")&amp;IF(M1616="","Date not readable. ","")&amp;IF(N1616="No","Outside fiscal year. ","")&amp;IF(AND(F1616="Event",ISNUMBER(R1616)),IF(R1616&gt;12,"Event hours look high. ",""),"")&amp;IF(G1616&gt;0,"See CONFIRM sheet.",""))</f>
        <v/>
      </c>
      <c r="AB1616" s="1" t="n">
        <f aca="false">IF(N1616="No",0,IF(REVIEW!O1616=0,0,IF(G1616&gt;0,IF(INDEX(CONFIRM!$J$5:$J$53,G1616)&lt;&gt;"",INDEX(CONFIRM!$J$5:$J$53,G1616),1),1)))</f>
        <v>1</v>
      </c>
      <c r="AC1616" s="1" t="n">
        <f aca="false">IF(AB1616=1,IF(COUNTIFS($B$5:B1616,B1616,$D$5:D1616,D1616,$AB$5:AB1616,1)=1,1,0),0)</f>
        <v>0</v>
      </c>
    </row>
    <row r="1617" customFormat="false" ht="15" hidden="false" customHeight="false" outlineLevel="0" collapsed="false">
      <c r="A1617" s="48" t="str">
        <f aca="false">STACK!A1617</f>
        <v>QHH-0236</v>
      </c>
      <c r="B1617" s="48" t="str">
        <f aca="false">STACK!B1617</f>
        <v>QHH</v>
      </c>
      <c r="C1617" s="48" t="str">
        <f aca="false">STACK!E1617</f>
        <v>Quit Tobacco Class</v>
      </c>
      <c r="D1617" s="1" t="str">
        <f aca="false">IFERROR(INDEX(MAP!$J$7:$J$101,MATCH(TRIM(C1617),MAP!$I$7:$I$101,0)),"UNMAPPED")</f>
        <v>Tobacco Cessation Classes</v>
      </c>
      <c r="E1617" s="1" t="str">
        <f aca="false">IFERROR(INDEX(MAP!$K$7:$K$101,MATCH(TRIM(C1617),MAP!$I$7:$I$101,0)),"")</f>
        <v>Chronic disease prevention</v>
      </c>
      <c r="F1617" s="1" t="str">
        <f aca="false">IFERROR(INDEX(MAP!$L$7:$L$101,MATCH(TRIM(C1617),MAP!$I$7:$I$101,0)),"")</f>
        <v>Event</v>
      </c>
      <c r="G1617" s="1" t="n">
        <f aca="false">IFERROR(MATCH(A1617,CONFIRM!$A$5:$A$53,0),0)</f>
        <v>0</v>
      </c>
      <c r="H1617" s="48" t="str">
        <f aca="false">STACK!F1617</f>
        <v>CHIS - Education</v>
      </c>
      <c r="I1617" s="1" t="str">
        <f aca="false">IF(G1617&gt;0,IF(INDEX(CONFIRM!$I$5:$I$53,G1617)&lt;&gt;"",INDEX(CONFIRM!$I$5:$I$53,G1617),H1617),H1617)</f>
        <v>CHIS - Education</v>
      </c>
      <c r="J1617" s="1" t="str">
        <f aca="false">IFERROR(INDEX(MAP!$F$7:$F$74,MATCH(TRIM(I1617),MAP!$E$7:$E$74,0)),"UNMAPPED")</f>
        <v>Community health education</v>
      </c>
      <c r="K1617" s="1" t="str">
        <f aca="false">IFERROR(INDEX(MAP!$G$7:$G$74,MATCH(TRIM(I1617),MAP!$E$7:$E$74,0)),"UNMAPPED")</f>
        <v>7e</v>
      </c>
      <c r="L1617" s="49" t="str">
        <f aca="false">STACK!G1617</f>
        <v>20-Jun-2026</v>
      </c>
      <c r="M1617" s="59" t="n">
        <f aca="false">IF(G1617&gt;0,IF(INDEX(CONFIRM!$G$5:$G$53,G1617)&lt;&gt;"",INDEX(CONFIRM!$G$5:$G$53,G1617),IF(ISNUMBER(L1617),L1617,IFERROR(DATEVALUE(L1617),""))),IF(ISNUMBER(L1617),L1617,IFERROR(DATEVALUE(L1617),"")))</f>
        <v>46193</v>
      </c>
      <c r="N1617" s="1" t="str">
        <f aca="false">IF(M1617="","Check",IF(AND(M1617&gt;=INPUTS!$C$6,M1617&lt;=INPUTS!$C$7),"Yes","No"))</f>
        <v>Yes</v>
      </c>
      <c r="O1617" s="48" t="str">
        <f aca="false">STACK!H1617</f>
        <v>Licensed Therapist</v>
      </c>
      <c r="P1617" s="1" t="str">
        <f aca="false">IF(G1617&gt;0,IF(INDEX(CONFIRM!$H$5:$H$53,G1617)&lt;&gt;"",INDEX(CONFIRM!$H$5:$H$53,G1617),IFERROR(INDEX(MAP!$B$7:$B$156,MATCH(TRIM(O1617),MAP!$A$7:$A$156,0)),"UNMAPPED")),IFERROR(INDEX(MAP!$B$7:$B$156,MATCH(TRIM(O1617),MAP!$A$7:$A$156,0)),"UNMAPPED"))</f>
        <v>Licensed Therapist</v>
      </c>
      <c r="Q1617" s="48" t="n">
        <f aca="false">STACK!I1617</f>
        <v>2</v>
      </c>
      <c r="R1617" s="60" t="n">
        <f aca="false">IF(G1617&gt;0,IF(INDEX(CONFIRM!$F$5:$F$53,G1617)&lt;&gt;"",INDEX(CONFIRM!$F$5:$F$53,G1617),IF(ISNUMBER(Q1617),Q1617,IF(Q1617="","",IFERROR(VALUE(TRIM(SUBSTITUTE(SUBSTITUTE(LOWER(Q1617),"hrs",""),"hr",""))),"")))),IF(ISNUMBER(Q1617),Q1617,IF(Q1617="","",IFERROR(VALUE(TRIM(SUBSTITUTE(SUBSTITUTE(LOWER(Q1617),"hrs",""),"hr",""))),""))))</f>
        <v>2</v>
      </c>
      <c r="S1617" s="57" t="n">
        <f aca="false">IFERROR(INDEX(RATES!$E$6:$E$28,MATCH(P1617,RATES!$A$6:$A$28,0)),0)</f>
        <v>53.97</v>
      </c>
      <c r="T1617" s="61" t="n">
        <f aca="false">IF(ISNUMBER(R1617),R1617,0)*S1617</f>
        <v>107.94</v>
      </c>
      <c r="U1617" s="61" t="n">
        <f aca="false">T1617*INDEX(INPUTS!$H$10:$H$14,MATCH(B1617,INPUTS!$A$10:$A$14,0))</f>
        <v>16.29894</v>
      </c>
      <c r="V1617" s="61" t="n">
        <f aca="false">N(STACK!K1617)</f>
        <v>135</v>
      </c>
      <c r="W1617" s="61" t="n">
        <f aca="false">T1617+U1617+V1617</f>
        <v>259.23894</v>
      </c>
      <c r="X1617" s="61" t="n">
        <f aca="false">N(STACK!L1617)</f>
        <v>0</v>
      </c>
      <c r="Y1617" s="61" t="n">
        <f aca="false">W1617-X1617</f>
        <v>259.23894</v>
      </c>
      <c r="Z1617" s="1" t="n">
        <f aca="false">N(STACK!J1617)</f>
        <v>11</v>
      </c>
      <c r="AA1617" s="1" t="str">
        <f aca="false">TRIM(IF(D1617="UNMAPPED","Program not mapped. ","")&amp;IF(OR(K1617="UNMAPPED",K1617="UNASSIGNED"),"Category needs review. ","")&amp;IF(P1617="UNMAPPED","Title not mapped. ","")&amp;IF(AND(P1617&lt;&gt;"No staff time",R1617=""),"Missing hours. ","")&amp;IF(M1617="","Date not readable. ","")&amp;IF(N1617="No","Outside fiscal year. ","")&amp;IF(AND(F1617="Event",ISNUMBER(R1617)),IF(R1617&gt;12,"Event hours look high. ",""),"")&amp;IF(G1617&gt;0,"See CONFIRM sheet.",""))</f>
        <v/>
      </c>
      <c r="AB1617" s="1" t="n">
        <f aca="false">IF(N1617="No",0,IF(REVIEW!O1617=0,0,IF(G1617&gt;0,IF(INDEX(CONFIRM!$J$5:$J$53,G1617)&lt;&gt;"",INDEX(CONFIRM!$J$5:$J$53,G1617),1),1)))</f>
        <v>1</v>
      </c>
      <c r="AC1617" s="1" t="n">
        <f aca="false">IF(AB1617=1,IF(COUNTIFS($B$5:B1617,B1617,$D$5:D1617,D1617,$AB$5:AB1617,1)=1,1,0),0)</f>
        <v>0</v>
      </c>
    </row>
    <row r="1618" customFormat="false" ht="15" hidden="false" customHeight="false" outlineLevel="0" collapsed="false">
      <c r="A1618" s="48" t="str">
        <f aca="false">STACK!A1618</f>
        <v>QHH-0237</v>
      </c>
      <c r="B1618" s="48" t="str">
        <f aca="false">STACK!B1618</f>
        <v>QHH</v>
      </c>
      <c r="C1618" s="48" t="str">
        <f aca="false">STACK!E1618</f>
        <v>Medication Assistance</v>
      </c>
      <c r="D1618" s="1" t="str">
        <f aca="false">IFERROR(INDEX(MAP!$J$7:$J$101,MATCH(TRIM(C1618),MAP!$I$7:$I$101,0)),"UNMAPPED")</f>
        <v>Medication Assistance Program</v>
      </c>
      <c r="E1618" s="1" t="str">
        <f aca="false">IFERROR(INDEX(MAP!$K$7:$K$101,MATCH(TRIM(C1618),MAP!$I$7:$I$101,0)),"")</f>
        <v>Access to care</v>
      </c>
      <c r="F1618" s="1" t="str">
        <f aca="false">IFERROR(INDEX(MAP!$L$7:$L$101,MATCH(TRIM(C1618),MAP!$I$7:$I$101,0)),"")</f>
        <v>Monthly</v>
      </c>
      <c r="G1618" s="1" t="n">
        <f aca="false">IFERROR(MATCH(A1618,CONFIRM!$A$5:$A$53,0),0)</f>
        <v>0</v>
      </c>
      <c r="H1618" s="48" t="str">
        <f aca="false">STACK!F1618</f>
        <v>CHIS - Support</v>
      </c>
      <c r="I1618" s="1" t="str">
        <f aca="false">IF(G1618&gt;0,IF(INDEX(CONFIRM!$I$5:$I$53,G1618)&lt;&gt;"",INDEX(CONFIRM!$I$5:$I$53,G1618),H1618),H1618)</f>
        <v>CHIS - Support</v>
      </c>
      <c r="J1618" s="1" t="str">
        <f aca="false">IFERROR(INDEX(MAP!$F$7:$F$74,MATCH(TRIM(I1618),MAP!$E$7:$E$74,0)),"UNMAPPED")</f>
        <v>Health care support services</v>
      </c>
      <c r="K1618" s="1" t="str">
        <f aca="false">IFERROR(INDEX(MAP!$G$7:$G$74,MATCH(TRIM(I1618),MAP!$E$7:$E$74,0)),"UNMAPPED")</f>
        <v>7e</v>
      </c>
      <c r="L1618" s="49" t="str">
        <f aca="false">STACK!G1618</f>
        <v>30-Jun-2026</v>
      </c>
      <c r="M1618" s="59" t="n">
        <f aca="false">IF(G1618&gt;0,IF(INDEX(CONFIRM!$G$5:$G$53,G1618)&lt;&gt;"",INDEX(CONFIRM!$G$5:$G$53,G1618),IF(ISNUMBER(L1618),L1618,IFERROR(DATEVALUE(L1618),""))),IF(ISNUMBER(L1618),L1618,IFERROR(DATEVALUE(L1618),"")))</f>
        <v>46203</v>
      </c>
      <c r="N1618" s="1" t="str">
        <f aca="false">IF(M1618="","Check",IF(AND(M1618&gt;=INPUTS!$C$6,M1618&lt;=INPUTS!$C$7),"Yes","No"))</f>
        <v>Yes</v>
      </c>
      <c r="O1618" s="48" t="str">
        <f aca="false">STACK!H1618</f>
        <v>Nurse Navigator</v>
      </c>
      <c r="P1618" s="1" t="str">
        <f aca="false">IF(G1618&gt;0,IF(INDEX(CONFIRM!$H$5:$H$53,G1618)&lt;&gt;"",INDEX(CONFIRM!$H$5:$H$53,G1618),IFERROR(INDEX(MAP!$B$7:$B$156,MATCH(TRIM(O1618),MAP!$A$7:$A$156,0)),"UNMAPPED")),IFERROR(INDEX(MAP!$B$7:$B$156,MATCH(TRIM(O1618),MAP!$A$7:$A$156,0)),"UNMAPPED"))</f>
        <v>Patient Navigator</v>
      </c>
      <c r="Q1618" s="48" t="n">
        <f aca="false">STACK!I1618</f>
        <v>74</v>
      </c>
      <c r="R1618" s="60" t="n">
        <f aca="false">IF(G1618&gt;0,IF(INDEX(CONFIRM!$F$5:$F$53,G1618)&lt;&gt;"",INDEX(CONFIRM!$F$5:$F$53,G1618),IF(ISNUMBER(Q1618),Q1618,IF(Q1618="","",IFERROR(VALUE(TRIM(SUBSTITUTE(SUBSTITUTE(LOWER(Q1618),"hrs",""),"hr",""))),"")))),IF(ISNUMBER(Q1618),Q1618,IF(Q1618="","",IFERROR(VALUE(TRIM(SUBSTITUTE(SUBSTITUTE(LOWER(Q1618),"hrs",""),"hr",""))),""))))</f>
        <v>74</v>
      </c>
      <c r="S1618" s="57" t="n">
        <f aca="false">IFERROR(INDEX(RATES!$E$6:$E$28,MATCH(P1618,RATES!$A$6:$A$28,0)),0)</f>
        <v>30.84</v>
      </c>
      <c r="T1618" s="61" t="n">
        <f aca="false">IF(ISNUMBER(R1618),R1618,0)*S1618</f>
        <v>2282.16</v>
      </c>
      <c r="U1618" s="61" t="n">
        <f aca="false">T1618*INDEX(INPUTS!$H$10:$H$14,MATCH(B1618,INPUTS!$A$10:$A$14,0))</f>
        <v>344.60616</v>
      </c>
      <c r="V1618" s="61" t="n">
        <f aca="false">N(STACK!K1618)</f>
        <v>0</v>
      </c>
      <c r="W1618" s="61" t="n">
        <f aca="false">T1618+U1618+V1618</f>
        <v>2626.76616</v>
      </c>
      <c r="X1618" s="61" t="n">
        <f aca="false">N(STACK!L1618)</f>
        <v>0</v>
      </c>
      <c r="Y1618" s="61" t="n">
        <f aca="false">W1618-X1618</f>
        <v>2626.76616</v>
      </c>
      <c r="Z1618" s="1" t="n">
        <f aca="false">N(STACK!J1618)</f>
        <v>0</v>
      </c>
      <c r="AA1618" s="1" t="str">
        <f aca="false">TRIM(IF(D1618="UNMAPPED","Program not mapped. ","")&amp;IF(OR(K1618="UNMAPPED",K1618="UNASSIGNED"),"Category needs review. ","")&amp;IF(P1618="UNMAPPED","Title not mapped. ","")&amp;IF(AND(P1618&lt;&gt;"No staff time",R1618=""),"Missing hours. ","")&amp;IF(M1618="","Date not readable. ","")&amp;IF(N1618="No","Outside fiscal year. ","")&amp;IF(AND(F1618="Event",ISNUMBER(R1618)),IF(R1618&gt;12,"Event hours look high. ",""),"")&amp;IF(G1618&gt;0,"See CONFIRM sheet.",""))</f>
        <v/>
      </c>
      <c r="AB1618" s="1" t="n">
        <f aca="false">IF(N1618="No",0,IF(REVIEW!O1618=0,0,IF(G1618&gt;0,IF(INDEX(CONFIRM!$J$5:$J$53,G1618)&lt;&gt;"",INDEX(CONFIRM!$J$5:$J$53,G1618),1),1)))</f>
        <v>1</v>
      </c>
      <c r="AC1618" s="1" t="n">
        <f aca="false">IF(AB1618=1,IF(COUNTIFS($B$5:B1618,B1618,$D$5:D1618,D1618,$AB$5:AB1618,1)=1,1,0),0)</f>
        <v>0</v>
      </c>
    </row>
    <row r="1619" customFormat="false" ht="15" hidden="false" customHeight="false" outlineLevel="0" collapsed="false">
      <c r="A1619" s="48" t="str">
        <f aca="false">STACK!A1619</f>
        <v>QHH-0238</v>
      </c>
      <c r="B1619" s="48" t="str">
        <f aca="false">STACK!B1619</f>
        <v>QHH</v>
      </c>
      <c r="C1619" s="48" t="str">
        <f aca="false">STACK!E1619</f>
        <v>Medication Assistance</v>
      </c>
      <c r="D1619" s="1" t="str">
        <f aca="false">IFERROR(INDEX(MAP!$J$7:$J$101,MATCH(TRIM(C1619),MAP!$I$7:$I$101,0)),"UNMAPPED")</f>
        <v>Medication Assistance Program</v>
      </c>
      <c r="E1619" s="1" t="str">
        <f aca="false">IFERROR(INDEX(MAP!$K$7:$K$101,MATCH(TRIM(C1619),MAP!$I$7:$I$101,0)),"")</f>
        <v>Access to care</v>
      </c>
      <c r="F1619" s="1" t="str">
        <f aca="false">IFERROR(INDEX(MAP!$L$7:$L$101,MATCH(TRIM(C1619),MAP!$I$7:$I$101,0)),"")</f>
        <v>Monthly</v>
      </c>
      <c r="G1619" s="1" t="n">
        <f aca="false">IFERROR(MATCH(A1619,CONFIRM!$A$5:$A$53,0),0)</f>
        <v>0</v>
      </c>
      <c r="H1619" s="48" t="str">
        <f aca="false">STACK!F1619</f>
        <v>CHIS - Support</v>
      </c>
      <c r="I1619" s="1" t="str">
        <f aca="false">IF(G1619&gt;0,IF(INDEX(CONFIRM!$I$5:$I$53,G1619)&lt;&gt;"",INDEX(CONFIRM!$I$5:$I$53,G1619),H1619),H1619)</f>
        <v>CHIS - Support</v>
      </c>
      <c r="J1619" s="1" t="str">
        <f aca="false">IFERROR(INDEX(MAP!$F$7:$F$74,MATCH(TRIM(I1619),MAP!$E$7:$E$74,0)),"UNMAPPED")</f>
        <v>Health care support services</v>
      </c>
      <c r="K1619" s="1" t="str">
        <f aca="false">IFERROR(INDEX(MAP!$G$7:$G$74,MATCH(TRIM(I1619),MAP!$E$7:$E$74,0)),"UNMAPPED")</f>
        <v>7e</v>
      </c>
      <c r="L1619" s="49" t="str">
        <f aca="false">STACK!G1619</f>
        <v>30-Jun-2026</v>
      </c>
      <c r="M1619" s="59" t="n">
        <f aca="false">IF(G1619&gt;0,IF(INDEX(CONFIRM!$G$5:$G$53,G1619)&lt;&gt;"",INDEX(CONFIRM!$G$5:$G$53,G1619),IF(ISNUMBER(L1619),L1619,IFERROR(DATEVALUE(L1619),""))),IF(ISNUMBER(L1619),L1619,IFERROR(DATEVALUE(L1619),"")))</f>
        <v>46203</v>
      </c>
      <c r="N1619" s="1" t="str">
        <f aca="false">IF(M1619="","Check",IF(AND(M1619&gt;=INPUTS!$C$6,M1619&lt;=INPUTS!$C$7),"Yes","No"))</f>
        <v>Yes</v>
      </c>
      <c r="O1619" s="48" t="str">
        <f aca="false">STACK!H1619</f>
        <v>Pharm.D.</v>
      </c>
      <c r="P1619" s="1" t="str">
        <f aca="false">IF(G1619&gt;0,IF(INDEX(CONFIRM!$H$5:$H$53,G1619)&lt;&gt;"",INDEX(CONFIRM!$H$5:$H$53,G1619),IFERROR(INDEX(MAP!$B$7:$B$156,MATCH(TRIM(O1619),MAP!$A$7:$A$156,0)),"UNMAPPED")),IFERROR(INDEX(MAP!$B$7:$B$156,MATCH(TRIM(O1619),MAP!$A$7:$A$156,0)),"UNMAPPED"))</f>
        <v>Pharmacist</v>
      </c>
      <c r="Q1619" s="48" t="n">
        <f aca="false">STACK!I1619</f>
        <v>16.75</v>
      </c>
      <c r="R1619" s="60" t="n">
        <f aca="false">IF(G1619&gt;0,IF(INDEX(CONFIRM!$F$5:$F$53,G1619)&lt;&gt;"",INDEX(CONFIRM!$F$5:$F$53,G1619),IF(ISNUMBER(Q1619),Q1619,IF(Q1619="","",IFERROR(VALUE(TRIM(SUBSTITUTE(SUBSTITUTE(LOWER(Q1619),"hrs",""),"hr",""))),"")))),IF(ISNUMBER(Q1619),Q1619,IF(Q1619="","",IFERROR(VALUE(TRIM(SUBSTITUTE(SUBSTITUTE(LOWER(Q1619),"hrs",""),"hr",""))),""))))</f>
        <v>16.75</v>
      </c>
      <c r="S1619" s="57" t="n">
        <f aca="false">IFERROR(INDEX(RATES!$E$6:$E$28,MATCH(P1619,RATES!$A$6:$A$28,0)),0)</f>
        <v>84.81</v>
      </c>
      <c r="T1619" s="61" t="n">
        <f aca="false">IF(ISNUMBER(R1619),R1619,0)*S1619</f>
        <v>1420.5675</v>
      </c>
      <c r="U1619" s="61" t="n">
        <f aca="false">T1619*INDEX(INPUTS!$H$10:$H$14,MATCH(B1619,INPUTS!$A$10:$A$14,0))</f>
        <v>214.5056925</v>
      </c>
      <c r="V1619" s="61" t="n">
        <f aca="false">N(STACK!K1619)</f>
        <v>14320</v>
      </c>
      <c r="W1619" s="61" t="n">
        <f aca="false">T1619+U1619+V1619</f>
        <v>15955.0731925</v>
      </c>
      <c r="X1619" s="61" t="n">
        <f aca="false">N(STACK!L1619)</f>
        <v>0</v>
      </c>
      <c r="Y1619" s="61" t="n">
        <f aca="false">W1619-X1619</f>
        <v>15955.0731925</v>
      </c>
      <c r="Z1619" s="1" t="n">
        <f aca="false">N(STACK!J1619)</f>
        <v>121</v>
      </c>
      <c r="AA1619" s="1" t="str">
        <f aca="false">TRIM(IF(D1619="UNMAPPED","Program not mapped. ","")&amp;IF(OR(K1619="UNMAPPED",K1619="UNASSIGNED"),"Category needs review. ","")&amp;IF(P1619="UNMAPPED","Title not mapped. ","")&amp;IF(AND(P1619&lt;&gt;"No staff time",R1619=""),"Missing hours. ","")&amp;IF(M1619="","Date not readable. ","")&amp;IF(N1619="No","Outside fiscal year. ","")&amp;IF(AND(F1619="Event",ISNUMBER(R1619)),IF(R1619&gt;12,"Event hours look high. ",""),"")&amp;IF(G1619&gt;0,"See CONFIRM sheet.",""))</f>
        <v/>
      </c>
      <c r="AB1619" s="1" t="n">
        <f aca="false">IF(N1619="No",0,IF(REVIEW!O1619=0,0,IF(G1619&gt;0,IF(INDEX(CONFIRM!$J$5:$J$53,G1619)&lt;&gt;"",INDEX(CONFIRM!$J$5:$J$53,G1619),1),1)))</f>
        <v>1</v>
      </c>
      <c r="AC1619" s="1" t="n">
        <f aca="false">IF(AB1619=1,IF(COUNTIFS($B$5:B1619,B1619,$D$5:D1619,D1619,$AB$5:AB1619,1)=1,1,0),0)</f>
        <v>0</v>
      </c>
    </row>
    <row r="1620" customFormat="false" ht="15" hidden="false" customHeight="false" outlineLevel="0" collapsed="false">
      <c r="A1620" s="48" t="str">
        <f aca="false">STACK!A1620</f>
        <v>QHH-0239</v>
      </c>
      <c r="B1620" s="48" t="str">
        <f aca="false">STACK!B1620</f>
        <v>QHH</v>
      </c>
      <c r="C1620" s="48" t="str">
        <f aca="false">STACK!E1620</f>
        <v>Community Benefit Admin.</v>
      </c>
      <c r="D1620" s="1" t="str">
        <f aca="false">IFERROR(INDEX(MAP!$J$7:$J$101,MATCH(TRIM(C1620),MAP!$I$7:$I$101,0)),"UNMAPPED")</f>
        <v>Community Benefit Program Administration</v>
      </c>
      <c r="E1620" s="1" t="str">
        <f aca="false">IFERROR(INDEX(MAP!$K$7:$K$101,MATCH(TRIM(C1620),MAP!$I$7:$I$101,0)),"")</f>
        <v>Community benefit infrastructure</v>
      </c>
      <c r="F1620" s="1" t="str">
        <f aca="false">IFERROR(INDEX(MAP!$L$7:$L$101,MATCH(TRIM(C1620),MAP!$I$7:$I$101,0)),"")</f>
        <v>Monthly</v>
      </c>
      <c r="G1620" s="1" t="n">
        <f aca="false">IFERROR(MATCH(A1620,CONFIRM!$A$5:$A$53,0),0)</f>
        <v>0</v>
      </c>
      <c r="H1620" s="48" t="str">
        <f aca="false">STACK!F1620</f>
        <v>CBO</v>
      </c>
      <c r="I1620" s="1" t="str">
        <f aca="false">IF(G1620&gt;0,IF(INDEX(CONFIRM!$I$5:$I$53,G1620)&lt;&gt;"",INDEX(CONFIRM!$I$5:$I$53,G1620),H1620),H1620)</f>
        <v>CBO</v>
      </c>
      <c r="J1620" s="1" t="str">
        <f aca="false">IFERROR(INDEX(MAP!$F$7:$F$74,MATCH(TRIM(I1620),MAP!$E$7:$E$74,0)),"UNMAPPED")</f>
        <v>Community benefit operations</v>
      </c>
      <c r="K1620" s="1" t="str">
        <f aca="false">IFERROR(INDEX(MAP!$G$7:$G$74,MATCH(TRIM(I1620),MAP!$E$7:$E$74,0)),"UNMAPPED")</f>
        <v>7e</v>
      </c>
      <c r="L1620" s="49" t="str">
        <f aca="false">STACK!G1620</f>
        <v>30-Jun-2026</v>
      </c>
      <c r="M1620" s="59" t="n">
        <f aca="false">IF(G1620&gt;0,IF(INDEX(CONFIRM!$G$5:$G$53,G1620)&lt;&gt;"",INDEX(CONFIRM!$G$5:$G$53,G1620),IF(ISNUMBER(L1620),L1620,IFERROR(DATEVALUE(L1620),""))),IF(ISNUMBER(L1620),L1620,IFERROR(DATEVALUE(L1620),"")))</f>
        <v>46203</v>
      </c>
      <c r="N1620" s="1" t="str">
        <f aca="false">IF(M1620="","Check",IF(AND(M1620&gt;=INPUTS!$C$6,M1620&lt;=INPUTS!$C$7),"Yes","No"))</f>
        <v>Yes</v>
      </c>
      <c r="O1620" s="48" t="str">
        <f aca="false">STACK!H1620</f>
        <v>Secretary</v>
      </c>
      <c r="P1620" s="1" t="str">
        <f aca="false">IF(G1620&gt;0,IF(INDEX(CONFIRM!$H$5:$H$53,G1620)&lt;&gt;"",INDEX(CONFIRM!$H$5:$H$53,G1620),IFERROR(INDEX(MAP!$B$7:$B$156,MATCH(TRIM(O1620),MAP!$A$7:$A$156,0)),"UNMAPPED")),IFERROR(INDEX(MAP!$B$7:$B$156,MATCH(TRIM(O1620),MAP!$A$7:$A$156,0)),"UNMAPPED"))</f>
        <v>Administrative Assistant</v>
      </c>
      <c r="Q1620" s="48" t="n">
        <f aca="false">STACK!I1620</f>
        <v>28</v>
      </c>
      <c r="R1620" s="60" t="n">
        <f aca="false">IF(G1620&gt;0,IF(INDEX(CONFIRM!$F$5:$F$53,G1620)&lt;&gt;"",INDEX(CONFIRM!$F$5:$F$53,G1620),IF(ISNUMBER(Q1620),Q1620,IF(Q1620="","",IFERROR(VALUE(TRIM(SUBSTITUTE(SUBSTITUTE(LOWER(Q1620),"hrs",""),"hr",""))),"")))),IF(ISNUMBER(Q1620),Q1620,IF(Q1620="","",IFERROR(VALUE(TRIM(SUBSTITUTE(SUBSTITUTE(LOWER(Q1620),"hrs",""),"hr",""))),""))))</f>
        <v>28</v>
      </c>
      <c r="S1620" s="57" t="n">
        <f aca="false">IFERROR(INDEX(RATES!$E$6:$E$28,MATCH(P1620,RATES!$A$6:$A$28,0)),0)</f>
        <v>26.985</v>
      </c>
      <c r="T1620" s="61" t="n">
        <f aca="false">IF(ISNUMBER(R1620),R1620,0)*S1620</f>
        <v>755.58</v>
      </c>
      <c r="U1620" s="61" t="n">
        <f aca="false">T1620*INDEX(INPUTS!$H$10:$H$14,MATCH(B1620,INPUTS!$A$10:$A$14,0))</f>
        <v>114.09258</v>
      </c>
      <c r="V1620" s="61" t="n">
        <f aca="false">N(STACK!K1620)</f>
        <v>0</v>
      </c>
      <c r="W1620" s="61" t="n">
        <f aca="false">T1620+U1620+V1620</f>
        <v>869.67258</v>
      </c>
      <c r="X1620" s="61" t="n">
        <f aca="false">N(STACK!L1620)</f>
        <v>0</v>
      </c>
      <c r="Y1620" s="61" t="n">
        <f aca="false">W1620-X1620</f>
        <v>869.67258</v>
      </c>
      <c r="Z1620" s="1" t="n">
        <f aca="false">N(STACK!J1620)</f>
        <v>0</v>
      </c>
      <c r="AA1620" s="1" t="str">
        <f aca="false">TRIM(IF(D1620="UNMAPPED","Program not mapped. ","")&amp;IF(OR(K1620="UNMAPPED",K1620="UNASSIGNED"),"Category needs review. ","")&amp;IF(P1620="UNMAPPED","Title not mapped. ","")&amp;IF(AND(P1620&lt;&gt;"No staff time",R1620=""),"Missing hours. ","")&amp;IF(M1620="","Date not readable. ","")&amp;IF(N1620="No","Outside fiscal year. ","")&amp;IF(AND(F1620="Event",ISNUMBER(R1620)),IF(R1620&gt;12,"Event hours look high. ",""),"")&amp;IF(G1620&gt;0,"See CONFIRM sheet.",""))</f>
        <v/>
      </c>
      <c r="AB1620" s="1" t="n">
        <f aca="false">IF(N1620="No",0,IF(REVIEW!O1620=0,0,IF(G1620&gt;0,IF(INDEX(CONFIRM!$J$5:$J$53,G1620)&lt;&gt;"",INDEX(CONFIRM!$J$5:$J$53,G1620),1),1)))</f>
        <v>1</v>
      </c>
      <c r="AC1620" s="1" t="n">
        <f aca="false">IF(AB1620=1,IF(COUNTIFS($B$5:B1620,B1620,$D$5:D1620,D1620,$AB$5:AB1620,1)=1,1,0),0)</f>
        <v>0</v>
      </c>
    </row>
    <row r="1621" customFormat="false" ht="15" hidden="false" customHeight="false" outlineLevel="0" collapsed="false">
      <c r="A1621" s="48" t="str">
        <f aca="false">STACK!A1621</f>
        <v>QHH-0240</v>
      </c>
      <c r="B1621" s="48" t="str">
        <f aca="false">STACK!B1621</f>
        <v>QHH</v>
      </c>
      <c r="C1621" s="48" t="str">
        <f aca="false">STACK!E1621</f>
        <v>Community Benefit Admin.</v>
      </c>
      <c r="D1621" s="1" t="str">
        <f aca="false">IFERROR(INDEX(MAP!$J$7:$J$101,MATCH(TRIM(C1621),MAP!$I$7:$I$101,0)),"UNMAPPED")</f>
        <v>Community Benefit Program Administration</v>
      </c>
      <c r="E1621" s="1" t="str">
        <f aca="false">IFERROR(INDEX(MAP!$K$7:$K$101,MATCH(TRIM(C1621),MAP!$I$7:$I$101,0)),"")</f>
        <v>Community benefit infrastructure</v>
      </c>
      <c r="F1621" s="1" t="str">
        <f aca="false">IFERROR(INDEX(MAP!$L$7:$L$101,MATCH(TRIM(C1621),MAP!$I$7:$I$101,0)),"")</f>
        <v>Monthly</v>
      </c>
      <c r="G1621" s="1" t="n">
        <f aca="false">IFERROR(MATCH(A1621,CONFIRM!$A$5:$A$53,0),0)</f>
        <v>0</v>
      </c>
      <c r="H1621" s="48" t="str">
        <f aca="false">STACK!F1621</f>
        <v>CBO</v>
      </c>
      <c r="I1621" s="1" t="str">
        <f aca="false">IF(G1621&gt;0,IF(INDEX(CONFIRM!$I$5:$I$53,G1621)&lt;&gt;"",INDEX(CONFIRM!$I$5:$I$53,G1621),H1621),H1621)</f>
        <v>CBO</v>
      </c>
      <c r="J1621" s="1" t="str">
        <f aca="false">IFERROR(INDEX(MAP!$F$7:$F$74,MATCH(TRIM(I1621),MAP!$E$7:$E$74,0)),"UNMAPPED")</f>
        <v>Community benefit operations</v>
      </c>
      <c r="K1621" s="1" t="str">
        <f aca="false">IFERROR(INDEX(MAP!$G$7:$G$74,MATCH(TRIM(I1621),MAP!$E$7:$E$74,0)),"UNMAPPED")</f>
        <v>7e</v>
      </c>
      <c r="L1621" s="49" t="str">
        <f aca="false">STACK!G1621</f>
        <v>30-Jun-2026</v>
      </c>
      <c r="M1621" s="59" t="n">
        <f aca="false">IF(G1621&gt;0,IF(INDEX(CONFIRM!$G$5:$G$53,G1621)&lt;&gt;"",INDEX(CONFIRM!$G$5:$G$53,G1621),IF(ISNUMBER(L1621),L1621,IFERROR(DATEVALUE(L1621),""))),IF(ISNUMBER(L1621),L1621,IFERROR(DATEVALUE(L1621),"")))</f>
        <v>46203</v>
      </c>
      <c r="N1621" s="1" t="str">
        <f aca="false">IF(M1621="","Check",IF(AND(M1621&gt;=INPUTS!$C$6,M1621&lt;=INPUTS!$C$7),"Yes","No"))</f>
        <v>Yes</v>
      </c>
      <c r="O1621" s="48" t="str">
        <f aca="false">STACK!H1621</f>
        <v>Mgr, Community Benefit</v>
      </c>
      <c r="P1621" s="1" t="str">
        <f aca="false">IF(G1621&gt;0,IF(INDEX(CONFIRM!$H$5:$H$53,G1621)&lt;&gt;"",INDEX(CONFIRM!$H$5:$H$53,G1621),IFERROR(INDEX(MAP!$B$7:$B$156,MATCH(TRIM(O1621),MAP!$A$7:$A$156,0)),"UNMAPPED")),IFERROR(INDEX(MAP!$B$7:$B$156,MATCH(TRIM(O1621),MAP!$A$7:$A$156,0)),"UNMAPPED"))</f>
        <v>Community Benefit Manager</v>
      </c>
      <c r="Q1621" s="48" t="n">
        <f aca="false">STACK!I1621</f>
        <v>59.25</v>
      </c>
      <c r="R1621" s="60" t="n">
        <f aca="false">IF(G1621&gt;0,IF(INDEX(CONFIRM!$F$5:$F$53,G1621)&lt;&gt;"",INDEX(CONFIRM!$F$5:$F$53,G1621),IF(ISNUMBER(Q1621),Q1621,IF(Q1621="","",IFERROR(VALUE(TRIM(SUBSTITUTE(SUBSTITUTE(LOWER(Q1621),"hrs",""),"hr",""))),"")))),IF(ISNUMBER(Q1621),Q1621,IF(Q1621="","",IFERROR(VALUE(TRIM(SUBSTITUTE(SUBSTITUTE(LOWER(Q1621),"hrs",""),"hr",""))),""))))</f>
        <v>59.25</v>
      </c>
      <c r="S1621" s="57" t="n">
        <f aca="false">IFERROR(INDEX(RATES!$E$6:$E$28,MATCH(P1621,RATES!$A$6:$A$28,0)),0)</f>
        <v>59.11</v>
      </c>
      <c r="T1621" s="61" t="n">
        <f aca="false">IF(ISNUMBER(R1621),R1621,0)*S1621</f>
        <v>3502.2675</v>
      </c>
      <c r="U1621" s="61" t="n">
        <f aca="false">T1621*INDEX(INPUTS!$H$10:$H$14,MATCH(B1621,INPUTS!$A$10:$A$14,0))</f>
        <v>528.8423925</v>
      </c>
      <c r="V1621" s="61" t="n">
        <f aca="false">N(STACK!K1621)</f>
        <v>315</v>
      </c>
      <c r="W1621" s="61" t="n">
        <f aca="false">T1621+U1621+V1621</f>
        <v>4346.1098925</v>
      </c>
      <c r="X1621" s="61" t="n">
        <f aca="false">N(STACK!L1621)</f>
        <v>0</v>
      </c>
      <c r="Y1621" s="61" t="n">
        <f aca="false">W1621-X1621</f>
        <v>4346.1098925</v>
      </c>
      <c r="Z1621" s="1" t="n">
        <f aca="false">N(STACK!J1621)</f>
        <v>0</v>
      </c>
      <c r="AA1621" s="1" t="str">
        <f aca="false">TRIM(IF(D1621="UNMAPPED","Program not mapped. ","")&amp;IF(OR(K1621="UNMAPPED",K1621="UNASSIGNED"),"Category needs review. ","")&amp;IF(P1621="UNMAPPED","Title not mapped. ","")&amp;IF(AND(P1621&lt;&gt;"No staff time",R1621=""),"Missing hours. ","")&amp;IF(M1621="","Date not readable. ","")&amp;IF(N1621="No","Outside fiscal year. ","")&amp;IF(AND(F1621="Event",ISNUMBER(R1621)),IF(R1621&gt;12,"Event hours look high. ",""),"")&amp;IF(G1621&gt;0,"See CONFIRM sheet.",""))</f>
        <v/>
      </c>
      <c r="AB1621" s="1" t="n">
        <f aca="false">IF(N1621="No",0,IF(REVIEW!O1621=0,0,IF(G1621&gt;0,IF(INDEX(CONFIRM!$J$5:$J$53,G1621)&lt;&gt;"",INDEX(CONFIRM!$J$5:$J$53,G1621),1),1)))</f>
        <v>1</v>
      </c>
      <c r="AC1621" s="1" t="n">
        <f aca="false">IF(AB1621=1,IF(COUNTIFS($B$5:B1621,B1621,$D$5:D1621,D1621,$AB$5:AB1621,1)=1,1,0),0)</f>
        <v>0</v>
      </c>
    </row>
    <row r="1622" customFormat="false" ht="15" hidden="false" customHeight="false" outlineLevel="0" collapsed="false">
      <c r="A1622" s="48" t="str">
        <f aca="false">STACK!A1622</f>
        <v>QHH-0241</v>
      </c>
      <c r="B1622" s="48" t="str">
        <f aca="false">STACK!B1622</f>
        <v>QHH</v>
      </c>
      <c r="C1622" s="48" t="str">
        <f aca="false">STACK!E1622</f>
        <v>Community Paramedicine</v>
      </c>
      <c r="D1622" s="1" t="str">
        <f aca="false">IFERROR(INDEX(MAP!$J$7:$J$101,MATCH(TRIM(C1622),MAP!$I$7:$I$101,0)),"UNMAPPED")</f>
        <v>Community Paramedic Home Visits</v>
      </c>
      <c r="E1622" s="1" t="str">
        <f aca="false">IFERROR(INDEX(MAP!$K$7:$K$101,MATCH(TRIM(C1622),MAP!$I$7:$I$101,0)),"")</f>
        <v>Access to care</v>
      </c>
      <c r="F1622" s="1" t="str">
        <f aca="false">IFERROR(INDEX(MAP!$L$7:$L$101,MATCH(TRIM(C1622),MAP!$I$7:$I$101,0)),"")</f>
        <v>Monthly</v>
      </c>
      <c r="G1622" s="1" t="n">
        <f aca="false">IFERROR(MATCH(A1622,CONFIRM!$A$5:$A$53,0),0)</f>
        <v>0</v>
      </c>
      <c r="H1622" s="48" t="str">
        <f aca="false">STACK!F1622</f>
        <v>CHIS - Clinical</v>
      </c>
      <c r="I1622" s="1" t="str">
        <f aca="false">IF(G1622&gt;0,IF(INDEX(CONFIRM!$I$5:$I$53,G1622)&lt;&gt;"",INDEX(CONFIRM!$I$5:$I$53,G1622),H1622),H1622)</f>
        <v>CHIS - Clinical</v>
      </c>
      <c r="J1622" s="1" t="str">
        <f aca="false">IFERROR(INDEX(MAP!$F$7:$F$74,MATCH(TRIM(I1622),MAP!$E$7:$E$74,0)),"UNMAPPED")</f>
        <v>Community-based clinical services</v>
      </c>
      <c r="K1622" s="1" t="str">
        <f aca="false">IFERROR(INDEX(MAP!$G$7:$G$74,MATCH(TRIM(I1622),MAP!$E$7:$E$74,0)),"UNMAPPED")</f>
        <v>7e</v>
      </c>
      <c r="L1622" s="49" t="str">
        <f aca="false">STACK!G1622</f>
        <v>30-Jun-2026</v>
      </c>
      <c r="M1622" s="59" t="n">
        <f aca="false">IF(G1622&gt;0,IF(INDEX(CONFIRM!$G$5:$G$53,G1622)&lt;&gt;"",INDEX(CONFIRM!$G$5:$G$53,G1622),IF(ISNUMBER(L1622),L1622,IFERROR(DATEVALUE(L1622),""))),IF(ISNUMBER(L1622),L1622,IFERROR(DATEVALUE(L1622),"")))</f>
        <v>46203</v>
      </c>
      <c r="N1622" s="1" t="str">
        <f aca="false">IF(M1622="","Check",IF(AND(M1622&gt;=INPUTS!$C$6,M1622&lt;=INPUTS!$C$7),"Yes","No"))</f>
        <v>Yes</v>
      </c>
      <c r="O1622" s="48" t="str">
        <f aca="false">STACK!H1622</f>
        <v>EMT-P</v>
      </c>
      <c r="P1622" s="1" t="str">
        <f aca="false">IF(G1622&gt;0,IF(INDEX(CONFIRM!$H$5:$H$53,G1622)&lt;&gt;"",INDEX(CONFIRM!$H$5:$H$53,G1622),IFERROR(INDEX(MAP!$B$7:$B$156,MATCH(TRIM(O1622),MAP!$A$7:$A$156,0)),"UNMAPPED")),IFERROR(INDEX(MAP!$B$7:$B$156,MATCH(TRIM(O1622),MAP!$A$7:$A$156,0)),"UNMAPPED"))</f>
        <v>Paramedic</v>
      </c>
      <c r="Q1622" s="48" t="n">
        <f aca="false">STACK!I1622</f>
        <v>76.25</v>
      </c>
      <c r="R1622" s="60" t="n">
        <f aca="false">IF(G1622&gt;0,IF(INDEX(CONFIRM!$F$5:$F$53,G1622)&lt;&gt;"",INDEX(CONFIRM!$F$5:$F$53,G1622),IF(ISNUMBER(Q1622),Q1622,IF(Q1622="","",IFERROR(VALUE(TRIM(SUBSTITUTE(SUBSTITUTE(LOWER(Q1622),"hrs",""),"hr",""))),"")))),IF(ISNUMBER(Q1622),Q1622,IF(Q1622="","",IFERROR(VALUE(TRIM(SUBSTITUTE(SUBSTITUTE(LOWER(Q1622),"hrs",""),"hr",""))),""))))</f>
        <v>76.25</v>
      </c>
      <c r="S1622" s="57" t="n">
        <f aca="false">IFERROR(INDEX(RATES!$E$6:$E$28,MATCH(P1622,RATES!$A$6:$A$28,0)),0)</f>
        <v>34.695</v>
      </c>
      <c r="T1622" s="61" t="n">
        <f aca="false">IF(ISNUMBER(R1622),R1622,0)*S1622</f>
        <v>2645.49375</v>
      </c>
      <c r="U1622" s="61" t="n">
        <f aca="false">T1622*INDEX(INPUTS!$H$10:$H$14,MATCH(B1622,INPUTS!$A$10:$A$14,0))</f>
        <v>399.46955625</v>
      </c>
      <c r="V1622" s="61" t="n">
        <f aca="false">N(STACK!K1622)</f>
        <v>885</v>
      </c>
      <c r="W1622" s="61" t="n">
        <f aca="false">T1622+U1622+V1622</f>
        <v>3929.96330625</v>
      </c>
      <c r="X1622" s="61" t="n">
        <f aca="false">N(STACK!L1622)</f>
        <v>0</v>
      </c>
      <c r="Y1622" s="61" t="n">
        <f aca="false">W1622-X1622</f>
        <v>3929.96330625</v>
      </c>
      <c r="Z1622" s="1" t="n">
        <f aca="false">N(STACK!J1622)</f>
        <v>60</v>
      </c>
      <c r="AA1622" s="1" t="str">
        <f aca="false">TRIM(IF(D1622="UNMAPPED","Program not mapped. ","")&amp;IF(OR(K1622="UNMAPPED",K1622="UNASSIGNED"),"Category needs review. ","")&amp;IF(P1622="UNMAPPED","Title not mapped. ","")&amp;IF(AND(P1622&lt;&gt;"No staff time",R1622=""),"Missing hours. ","")&amp;IF(M1622="","Date not readable. ","")&amp;IF(N1622="No","Outside fiscal year. ","")&amp;IF(AND(F1622="Event",ISNUMBER(R1622)),IF(R1622&gt;12,"Event hours look high. ",""),"")&amp;IF(G1622&gt;0,"See CONFIRM sheet.",""))</f>
        <v/>
      </c>
      <c r="AB1622" s="1" t="n">
        <f aca="false">IF(N1622="No",0,IF(REVIEW!O1622=0,0,IF(G1622&gt;0,IF(INDEX(CONFIRM!$J$5:$J$53,G1622)&lt;&gt;"",INDEX(CONFIRM!$J$5:$J$53,G1622),1),1)))</f>
        <v>1</v>
      </c>
      <c r="AC1622" s="1" t="n">
        <f aca="false">IF(AB1622=1,IF(COUNTIFS($B$5:B1622,B1622,$D$5:D1622,D1622,$AB$5:AB1622,1)=1,1,0),0)</f>
        <v>0</v>
      </c>
    </row>
    <row r="1623" customFormat="false" ht="15" hidden="false" customHeight="false" outlineLevel="0" collapsed="false">
      <c r="A1623" s="48" t="str">
        <f aca="false">STACK!A1623</f>
        <v>QHH-0242</v>
      </c>
      <c r="B1623" s="48" t="str">
        <f aca="false">STACK!B1623</f>
        <v>QHH</v>
      </c>
      <c r="C1623" s="48" t="str">
        <f aca="false">STACK!E1623</f>
        <v>Nursing Clinical Rotations</v>
      </c>
      <c r="D1623" s="1" t="str">
        <f aca="false">IFERROR(INDEX(MAP!$J$7:$J$101,MATCH(TRIM(C1623),MAP!$I$7:$I$101,0)),"UNMAPPED")</f>
        <v>Nursing Student Clinical Rotations</v>
      </c>
      <c r="E1623" s="1" t="str">
        <f aca="false">IFERROR(INDEX(MAP!$K$7:$K$101,MATCH(TRIM(C1623),MAP!$I$7:$I$101,0)),"")</f>
        <v>Health workforce</v>
      </c>
      <c r="F1623" s="1" t="str">
        <f aca="false">IFERROR(INDEX(MAP!$L$7:$L$101,MATCH(TRIM(C1623),MAP!$I$7:$I$101,0)),"")</f>
        <v>Monthly</v>
      </c>
      <c r="G1623" s="1" t="n">
        <f aca="false">IFERROR(MATCH(A1623,CONFIRM!$A$5:$A$53,0),0)</f>
        <v>0</v>
      </c>
      <c r="H1623" s="48" t="str">
        <f aca="false">STACK!F1623</f>
        <v>HPE - Students</v>
      </c>
      <c r="I1623" s="1" t="str">
        <f aca="false">IF(G1623&gt;0,IF(INDEX(CONFIRM!$I$5:$I$53,G1623)&lt;&gt;"",INDEX(CONFIRM!$I$5:$I$53,G1623),H1623),H1623)</f>
        <v>HPE - Students</v>
      </c>
      <c r="J1623" s="1" t="str">
        <f aca="false">IFERROR(INDEX(MAP!$F$7:$F$74,MATCH(TRIM(I1623),MAP!$E$7:$E$74,0)),"UNMAPPED")</f>
        <v>Health professions education</v>
      </c>
      <c r="K1623" s="1" t="str">
        <f aca="false">IFERROR(INDEX(MAP!$G$7:$G$74,MATCH(TRIM(I1623),MAP!$E$7:$E$74,0)),"UNMAPPED")</f>
        <v>7f</v>
      </c>
      <c r="L1623" s="49" t="str">
        <f aca="false">STACK!G1623</f>
        <v>30-Jun-2026</v>
      </c>
      <c r="M1623" s="59" t="n">
        <f aca="false">IF(G1623&gt;0,IF(INDEX(CONFIRM!$G$5:$G$53,G1623)&lt;&gt;"",INDEX(CONFIRM!$G$5:$G$53,G1623),IF(ISNUMBER(L1623),L1623,IFERROR(DATEVALUE(L1623),""))),IF(ISNUMBER(L1623),L1623,IFERROR(DATEVALUE(L1623),"")))</f>
        <v>46203</v>
      </c>
      <c r="N1623" s="1" t="str">
        <f aca="false">IF(M1623="","Check",IF(AND(M1623&gt;=INPUTS!$C$6,M1623&lt;=INPUTS!$C$7),"Yes","No"))</f>
        <v>Yes</v>
      </c>
      <c r="O1623" s="48" t="str">
        <f aca="false">STACK!H1623</f>
        <v>RN Educator</v>
      </c>
      <c r="P1623" s="1" t="str">
        <f aca="false">IF(G1623&gt;0,IF(INDEX(CONFIRM!$H$5:$H$53,G1623)&lt;&gt;"",INDEX(CONFIRM!$H$5:$H$53,G1623),IFERROR(INDEX(MAP!$B$7:$B$156,MATCH(TRIM(O1623),MAP!$A$7:$A$156,0)),"UNMAPPED")),IFERROR(INDEX(MAP!$B$7:$B$156,MATCH(TRIM(O1623),MAP!$A$7:$A$156,0)),"UNMAPPED"))</f>
        <v>Clinical Nurse Educator</v>
      </c>
      <c r="Q1623" s="48" t="n">
        <f aca="false">STACK!I1623</f>
        <v>37.75</v>
      </c>
      <c r="R1623" s="60" t="n">
        <f aca="false">IF(G1623&gt;0,IF(INDEX(CONFIRM!$F$5:$F$53,G1623)&lt;&gt;"",INDEX(CONFIRM!$F$5:$F$53,G1623),IF(ISNUMBER(Q1623),Q1623,IF(Q1623="","",IFERROR(VALUE(TRIM(SUBSTITUTE(SUBSTITUTE(LOWER(Q1623),"hrs",""),"hr",""))),"")))),IF(ISNUMBER(Q1623),Q1623,IF(Q1623="","",IFERROR(VALUE(TRIM(SUBSTITUTE(SUBSTITUTE(LOWER(Q1623),"hrs",""),"hr",""))),""))))</f>
        <v>37.75</v>
      </c>
      <c r="S1623" s="57" t="n">
        <f aca="false">IFERROR(INDEX(RATES!$E$6:$E$28,MATCH(P1623,RATES!$A$6:$A$28,0)),0)</f>
        <v>62.965</v>
      </c>
      <c r="T1623" s="61" t="n">
        <f aca="false">IF(ISNUMBER(R1623),R1623,0)*S1623</f>
        <v>2376.92875</v>
      </c>
      <c r="U1623" s="61" t="n">
        <f aca="false">T1623*INDEX(INPUTS!$H$10:$H$14,MATCH(B1623,INPUTS!$A$10:$A$14,0))</f>
        <v>358.91624125</v>
      </c>
      <c r="V1623" s="61" t="n">
        <f aca="false">N(STACK!K1623)</f>
        <v>305</v>
      </c>
      <c r="W1623" s="61" t="n">
        <f aca="false">T1623+U1623+V1623</f>
        <v>3040.84499125</v>
      </c>
      <c r="X1623" s="61" t="n">
        <f aca="false">N(STACK!L1623)</f>
        <v>0</v>
      </c>
      <c r="Y1623" s="61" t="n">
        <f aca="false">W1623-X1623</f>
        <v>3040.84499125</v>
      </c>
      <c r="Z1623" s="1" t="n">
        <f aca="false">N(STACK!J1623)</f>
        <v>10</v>
      </c>
      <c r="AA1623" s="1" t="str">
        <f aca="false">TRIM(IF(D1623="UNMAPPED","Program not mapped. ","")&amp;IF(OR(K1623="UNMAPPED",K1623="UNASSIGNED"),"Category needs review. ","")&amp;IF(P1623="UNMAPPED","Title not mapped. ","")&amp;IF(AND(P1623&lt;&gt;"No staff time",R1623=""),"Missing hours. ","")&amp;IF(M1623="","Date not readable. ","")&amp;IF(N1623="No","Outside fiscal year. ","")&amp;IF(AND(F1623="Event",ISNUMBER(R1623)),IF(R1623&gt;12,"Event hours look high. ",""),"")&amp;IF(G1623&gt;0,"See CONFIRM sheet.",""))</f>
        <v/>
      </c>
      <c r="AB1623" s="1" t="n">
        <f aca="false">IF(N1623="No",0,IF(REVIEW!O1623=0,0,IF(G1623&gt;0,IF(INDEX(CONFIRM!$J$5:$J$53,G1623)&lt;&gt;"",INDEX(CONFIRM!$J$5:$J$53,G1623),1),1)))</f>
        <v>1</v>
      </c>
      <c r="AC1623" s="1" t="n">
        <f aca="false">IF(AB1623=1,IF(COUNTIFS($B$5:B1623,B1623,$D$5:D1623,D1623,$AB$5:AB1623,1)=1,1,0),0)</f>
        <v>0</v>
      </c>
    </row>
    <row r="1624" customFormat="false" ht="15" hidden="false" customHeight="false" outlineLevel="0" collapsed="false">
      <c r="A1624" s="48" t="str">
        <f aca="false">STACK!A1624</f>
        <v>QHH-0243</v>
      </c>
      <c r="B1624" s="48" t="str">
        <f aca="false">STACK!B1624</f>
        <v>QHH</v>
      </c>
      <c r="C1624" s="48" t="str">
        <f aca="false">STACK!E1624</f>
        <v>Nursing Clinical Rotations</v>
      </c>
      <c r="D1624" s="1" t="str">
        <f aca="false">IFERROR(INDEX(MAP!$J$7:$J$101,MATCH(TRIM(C1624),MAP!$I$7:$I$101,0)),"UNMAPPED")</f>
        <v>Nursing Student Clinical Rotations</v>
      </c>
      <c r="E1624" s="1" t="str">
        <f aca="false">IFERROR(INDEX(MAP!$K$7:$K$101,MATCH(TRIM(C1624),MAP!$I$7:$I$101,0)),"")</f>
        <v>Health workforce</v>
      </c>
      <c r="F1624" s="1" t="str">
        <f aca="false">IFERROR(INDEX(MAP!$L$7:$L$101,MATCH(TRIM(C1624),MAP!$I$7:$I$101,0)),"")</f>
        <v>Monthly</v>
      </c>
      <c r="G1624" s="1" t="n">
        <f aca="false">IFERROR(MATCH(A1624,CONFIRM!$A$5:$A$53,0),0)</f>
        <v>0</v>
      </c>
      <c r="H1624" s="48" t="str">
        <f aca="false">STACK!F1624</f>
        <v>HPE - Students</v>
      </c>
      <c r="I1624" s="1" t="str">
        <f aca="false">IF(G1624&gt;0,IF(INDEX(CONFIRM!$I$5:$I$53,G1624)&lt;&gt;"",INDEX(CONFIRM!$I$5:$I$53,G1624),H1624),H1624)</f>
        <v>HPE - Students</v>
      </c>
      <c r="J1624" s="1" t="str">
        <f aca="false">IFERROR(INDEX(MAP!$F$7:$F$74,MATCH(TRIM(I1624),MAP!$E$7:$E$74,0)),"UNMAPPED")</f>
        <v>Health professions education</v>
      </c>
      <c r="K1624" s="1" t="str">
        <f aca="false">IFERROR(INDEX(MAP!$G$7:$G$74,MATCH(TRIM(I1624),MAP!$E$7:$E$74,0)),"UNMAPPED")</f>
        <v>7f</v>
      </c>
      <c r="L1624" s="49" t="str">
        <f aca="false">STACK!G1624</f>
        <v>30-Jun-2026</v>
      </c>
      <c r="M1624" s="59" t="n">
        <f aca="false">IF(G1624&gt;0,IF(INDEX(CONFIRM!$G$5:$G$53,G1624)&lt;&gt;"",INDEX(CONFIRM!$G$5:$G$53,G1624),IF(ISNUMBER(L1624),L1624,IFERROR(DATEVALUE(L1624),""))),IF(ISNUMBER(L1624),L1624,IFERROR(DATEVALUE(L1624),"")))</f>
        <v>46203</v>
      </c>
      <c r="N1624" s="1" t="str">
        <f aca="false">IF(M1624="","Check",IF(AND(M1624&gt;=INPUTS!$C$6,M1624&lt;=INPUTS!$C$7),"Yes","No"))</f>
        <v>Yes</v>
      </c>
      <c r="O1624" s="48" t="str">
        <f aca="false">STACK!H1624</f>
        <v>Charge RN</v>
      </c>
      <c r="P1624" s="1" t="str">
        <f aca="false">IF(G1624&gt;0,IF(INDEX(CONFIRM!$H$5:$H$53,G1624)&lt;&gt;"",INDEX(CONFIRM!$H$5:$H$53,G1624),IFERROR(INDEX(MAP!$B$7:$B$156,MATCH(TRIM(O1624),MAP!$A$7:$A$156,0)),"UNMAPPED")),IFERROR(INDEX(MAP!$B$7:$B$156,MATCH(TRIM(O1624),MAP!$A$7:$A$156,0)),"UNMAPPED"))</f>
        <v>Registered Nurse</v>
      </c>
      <c r="Q1624" s="48" t="n">
        <f aca="false">STACK!I1624</f>
        <v>79</v>
      </c>
      <c r="R1624" s="60" t="n">
        <f aca="false">IF(G1624&gt;0,IF(INDEX(CONFIRM!$F$5:$F$53,G1624)&lt;&gt;"",INDEX(CONFIRM!$F$5:$F$53,G1624),IF(ISNUMBER(Q1624),Q1624,IF(Q1624="","",IFERROR(VALUE(TRIM(SUBSTITUTE(SUBSTITUTE(LOWER(Q1624),"hrs",""),"hr",""))),"")))),IF(ISNUMBER(Q1624),Q1624,IF(Q1624="","",IFERROR(VALUE(TRIM(SUBSTITUTE(SUBSTITUTE(LOWER(Q1624),"hrs",""),"hr",""))),""))))</f>
        <v>79</v>
      </c>
      <c r="S1624" s="57" t="n">
        <f aca="false">IFERROR(INDEX(RATES!$E$6:$E$28,MATCH(P1624,RATES!$A$6:$A$28,0)),0)</f>
        <v>55.8975</v>
      </c>
      <c r="T1624" s="61" t="n">
        <f aca="false">IF(ISNUMBER(R1624),R1624,0)*S1624</f>
        <v>4415.9025</v>
      </c>
      <c r="U1624" s="61" t="n">
        <f aca="false">T1624*INDEX(INPUTS!$H$10:$H$14,MATCH(B1624,INPUTS!$A$10:$A$14,0))</f>
        <v>666.8012775</v>
      </c>
      <c r="V1624" s="61" t="n">
        <f aca="false">N(STACK!K1624)</f>
        <v>0</v>
      </c>
      <c r="W1624" s="61" t="n">
        <f aca="false">T1624+U1624+V1624</f>
        <v>5082.7037775</v>
      </c>
      <c r="X1624" s="61" t="n">
        <f aca="false">N(STACK!L1624)</f>
        <v>0</v>
      </c>
      <c r="Y1624" s="61" t="n">
        <f aca="false">W1624-X1624</f>
        <v>5082.7037775</v>
      </c>
      <c r="Z1624" s="1" t="n">
        <f aca="false">N(STACK!J1624)</f>
        <v>0</v>
      </c>
      <c r="AA1624" s="1" t="str">
        <f aca="false">TRIM(IF(D1624="UNMAPPED","Program not mapped. ","")&amp;IF(OR(K1624="UNMAPPED",K1624="UNASSIGNED"),"Category needs review. ","")&amp;IF(P1624="UNMAPPED","Title not mapped. ","")&amp;IF(AND(P1624&lt;&gt;"No staff time",R1624=""),"Missing hours. ","")&amp;IF(M1624="","Date not readable. ","")&amp;IF(N1624="No","Outside fiscal year. ","")&amp;IF(AND(F1624="Event",ISNUMBER(R1624)),IF(R1624&gt;12,"Event hours look high. ",""),"")&amp;IF(G1624&gt;0,"See CONFIRM sheet.",""))</f>
        <v/>
      </c>
      <c r="AB1624" s="1" t="n">
        <f aca="false">IF(N1624="No",0,IF(REVIEW!O1624=0,0,IF(G1624&gt;0,IF(INDEX(CONFIRM!$J$5:$J$53,G1624)&lt;&gt;"",INDEX(CONFIRM!$J$5:$J$53,G1624),1),1)))</f>
        <v>1</v>
      </c>
      <c r="AC1624" s="1" t="n">
        <f aca="false">IF(AB1624=1,IF(COUNTIFS($B$5:B1624,B1624,$D$5:D1624,D1624,$AB$5:AB1624,1)=1,1,0),0)</f>
        <v>0</v>
      </c>
    </row>
  </sheetData>
  <conditionalFormatting sqref="AA5:AA1624">
    <cfRule type="expression" priority="2" aboveAverage="0" equalAverage="0" bottom="0" percent="0" rank="0" text="" dxfId="14">
      <formula>AND(AA5&lt;&gt;"",AA5&lt;&gt;"See CONFIRM sheet.")</formula>
    </cfRule>
  </conditionalFormatting>
  <conditionalFormatting sqref="A5:AC1624">
    <cfRule type="expression" priority="3" aboveAverage="0" equalAverage="0" bottom="0" percent="0" rank="0" text="" dxfId="15">
      <formula>$AB5=0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E7C78"/>
    <pageSetUpPr fitToPage="false"/>
  </sheetPr>
  <dimension ref="A1:P16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8"/>
    <col collapsed="false" customWidth="true" hidden="false" outlineLevel="0" max="3" min="3" style="1" width="34"/>
    <col collapsed="false" customWidth="true" hidden="false" outlineLevel="0" max="4" min="4" style="1" width="11"/>
    <col collapsed="false" customWidth="true" hidden="false" outlineLevel="0" max="5" min="5" style="1" width="24"/>
    <col collapsed="false" customWidth="true" hidden="false" outlineLevel="0" max="6" min="6" style="1" width="7"/>
    <col collapsed="false" customWidth="true" hidden="false" outlineLevel="0" max="7" min="7" style="1" width="22"/>
    <col collapsed="false" customWidth="true" hidden="false" outlineLevel="0" max="8" min="8" style="1" width="60"/>
    <col collapsed="false" customWidth="true" hidden="false" outlineLevel="0" max="9" min="9" style="1" width="9"/>
    <col collapsed="false" customWidth="true" hidden="false" outlineLevel="0" max="10" min="10" style="1" width="10"/>
    <col collapsed="false" customWidth="true" hidden="false" outlineLevel="0" max="11" min="11" style="1" width="11"/>
    <col collapsed="false" customWidth="true" hidden="false" outlineLevel="0" max="12" min="12" style="1" width="20"/>
    <col collapsed="false" customWidth="true" hidden="false" outlineLevel="0" max="13" min="13" style="1" width="22"/>
    <col collapsed="false" customWidth="true" hidden="false" outlineLevel="0" max="14" min="14" style="1" width="50"/>
    <col collapsed="false" customWidth="true" hidden="false" outlineLevel="0" max="15" min="15" style="1" width="9"/>
    <col collapsed="false" customWidth="true" hidden="false" outlineLevel="0" max="16" min="16" style="1" width="14"/>
  </cols>
  <sheetData>
    <row r="1" customFormat="false" ht="18.55" hidden="false" customHeight="false" outlineLevel="0" collapsed="false">
      <c r="A1" s="11" t="s">
        <v>2950</v>
      </c>
    </row>
    <row r="2" customFormat="false" ht="15" hidden="false" customHeight="false" outlineLevel="0" collapsed="false">
      <c r="A2" s="12" t="s">
        <v>2951</v>
      </c>
      <c r="L2" s="51" t="str">
        <f aca="false">"Flagged rows: "&amp;COUNTIF(L5:L1624,"?*")&amp;".  Excluded as duplicates: "&amp;COUNTIF(M5:M1624,"Exclude (duplicate)")&amp;".  Awaiting decision: "&amp;COUNTIF(P5:P1624,"Needs decision")&amp;"."</f>
        <v>Flagged rows: 26.  Excluded as duplicates: 11.  Awaiting decision: 0.</v>
      </c>
    </row>
    <row r="3" customFormat="false" ht="15" hidden="false" customHeight="false" outlineLevel="0" collapsed="false">
      <c r="A3" s="4" t="s">
        <v>2</v>
      </c>
    </row>
    <row r="4" customFormat="false" ht="45.75" hidden="false" customHeight="true" outlineLevel="0" collapsed="false">
      <c r="A4" s="7" t="s">
        <v>1132</v>
      </c>
      <c r="B4" s="7" t="s">
        <v>187</v>
      </c>
      <c r="C4" s="7" t="s">
        <v>2778</v>
      </c>
      <c r="D4" s="7" t="s">
        <v>494</v>
      </c>
      <c r="E4" s="7" t="s">
        <v>2772</v>
      </c>
      <c r="F4" s="7" t="s">
        <v>847</v>
      </c>
      <c r="G4" s="7" t="s">
        <v>248</v>
      </c>
      <c r="H4" s="7" t="s">
        <v>2952</v>
      </c>
      <c r="I4" s="7" t="s">
        <v>2953</v>
      </c>
      <c r="J4" s="7" t="s">
        <v>2954</v>
      </c>
      <c r="K4" s="7" t="s">
        <v>2955</v>
      </c>
      <c r="L4" s="7" t="s">
        <v>2956</v>
      </c>
      <c r="M4" s="7" t="s">
        <v>2957</v>
      </c>
      <c r="N4" s="7" t="s">
        <v>2958</v>
      </c>
      <c r="O4" s="7" t="s">
        <v>2948</v>
      </c>
      <c r="P4" s="7" t="s">
        <v>83</v>
      </c>
    </row>
    <row r="5" customFormat="false" ht="15" hidden="false" customHeight="false" outlineLevel="0" collapsed="false">
      <c r="A5" s="48" t="str">
        <f aca="false">COST!A5</f>
        <v>KVMC-0001</v>
      </c>
      <c r="B5" s="48" t="str">
        <f aca="false">COST!B5</f>
        <v>KVMC</v>
      </c>
      <c r="C5" s="48" t="str">
        <f aca="false">COST!D5</f>
        <v>Mental Health First Aid Training</v>
      </c>
      <c r="D5" s="62" t="n">
        <f aca="false">COST!M5</f>
        <v>45840</v>
      </c>
      <c r="E5" s="48" t="str">
        <f aca="false">COST!P5</f>
        <v>Health Educator</v>
      </c>
      <c r="F5" s="63" t="n">
        <f aca="false">COST!R5</f>
        <v>8</v>
      </c>
      <c r="G5" s="48" t="str">
        <f aca="false">STACK!M5</f>
        <v/>
      </c>
      <c r="H5" s="1" t="str">
        <f aca="false">C5&amp;"|"&amp;IF(ISNUMBER(D5),TEXT(D5,"yyyy-mm-dd"),"no date")&amp;"|"&amp;E5&amp;"|"&amp;IF(ISNUMBER(F5),TEXT(F5,"0.00"),"blank")</f>
        <v>Mental Health First Aid Training|2025-07-02|Health Educator|8.00</v>
      </c>
      <c r="I5" s="1" t="n">
        <f aca="false">COUNTIF($H$5:$H$1624,H5)</f>
        <v>1</v>
      </c>
      <c r="J5" s="1" t="n">
        <f aca="false">COUNTIF($H$5:H5,H5)</f>
        <v>1</v>
      </c>
      <c r="K5" s="1" t="n">
        <f aca="false">COUNTIFS($H$5:$H$1624,H5,$B$5:$B$1624,"&lt;&gt;"&amp;B5)</f>
        <v>0</v>
      </c>
      <c r="L5" s="1" t="str">
        <f aca="false">IF(I5&gt;1,IF(K5&gt;0,"Cross-hospital match","Same-hospital match"),"")</f>
        <v/>
      </c>
      <c r="M5" s="52"/>
      <c r="N5" s="52"/>
      <c r="O5" s="1" t="n">
        <f aca="false">IF(M5="Exclude (duplicate)",0,1)</f>
        <v>1</v>
      </c>
      <c r="P5" s="1" t="str">
        <f aca="false">IF(AND(L5&lt;&gt;"",M5=""),"Needs decision","")</f>
        <v/>
      </c>
    </row>
    <row r="6" customFormat="false" ht="15" hidden="false" customHeight="false" outlineLevel="0" collapsed="false">
      <c r="A6" s="48" t="str">
        <f aca="false">COST!A6</f>
        <v>KVMC-0002</v>
      </c>
      <c r="B6" s="48" t="str">
        <f aca="false">COST!B6</f>
        <v>KVMC</v>
      </c>
      <c r="C6" s="48" t="str">
        <f aca="false">COST!D6</f>
        <v>Mental Health First Aid Training</v>
      </c>
      <c r="D6" s="62" t="n">
        <f aca="false">COST!M6</f>
        <v>45840</v>
      </c>
      <c r="E6" s="48" t="str">
        <f aca="false">COST!P6</f>
        <v>Social Worker</v>
      </c>
      <c r="F6" s="63" t="n">
        <f aca="false">COST!R6</f>
        <v>8</v>
      </c>
      <c r="G6" s="48" t="str">
        <f aca="false">STACK!M6</f>
        <v/>
      </c>
      <c r="H6" s="1" t="str">
        <f aca="false">C6&amp;"|"&amp;IF(ISNUMBER(D6),TEXT(D6,"yyyy-mm-dd"),"no date")&amp;"|"&amp;E6&amp;"|"&amp;IF(ISNUMBER(F6),TEXT(F6,"0.00"),"blank")</f>
        <v>Mental Health First Aid Training|2025-07-02|Social Worker|8.00</v>
      </c>
      <c r="I6" s="1" t="n">
        <f aca="false">COUNTIF($H$5:$H$1624,H6)</f>
        <v>1</v>
      </c>
      <c r="J6" s="1" t="n">
        <f aca="false">COUNTIF($H$5:H6,H6)</f>
        <v>1</v>
      </c>
      <c r="K6" s="1" t="n">
        <f aca="false">COUNTIFS($H$5:$H$1624,H6,$B$5:$B$1624,"&lt;&gt;"&amp;B6)</f>
        <v>0</v>
      </c>
      <c r="L6" s="1" t="str">
        <f aca="false">IF(I6&gt;1,IF(K6&gt;0,"Cross-hospital match","Same-hospital match"),"")</f>
        <v/>
      </c>
      <c r="M6" s="52"/>
      <c r="N6" s="52"/>
      <c r="O6" s="1" t="n">
        <f aca="false">IF(M6="Exclude (duplicate)",0,1)</f>
        <v>1</v>
      </c>
      <c r="P6" s="1" t="str">
        <f aca="false">IF(AND(L6&lt;&gt;"",M6=""),"Needs decision","")</f>
        <v/>
      </c>
    </row>
    <row r="7" customFormat="false" ht="15" hidden="false" customHeight="false" outlineLevel="0" collapsed="false">
      <c r="A7" s="48" t="str">
        <f aca="false">COST!A7</f>
        <v>KVMC-0003</v>
      </c>
      <c r="B7" s="48" t="str">
        <f aca="false">COST!B7</f>
        <v>KVMC</v>
      </c>
      <c r="C7" s="48" t="str">
        <f aca="false">COST!D7</f>
        <v>Youth Health Careers Pathway</v>
      </c>
      <c r="D7" s="62" t="n">
        <f aca="false">COST!M7</f>
        <v>45850</v>
      </c>
      <c r="E7" s="48" t="str">
        <f aca="false">COST!P7</f>
        <v>Clinical Nurse Educator</v>
      </c>
      <c r="F7" s="63" t="n">
        <f aca="false">COST!R7</f>
        <v>3.25</v>
      </c>
      <c r="G7" s="48" t="str">
        <f aca="false">STACK!M7</f>
        <v/>
      </c>
      <c r="H7" s="1" t="str">
        <f aca="false">C7&amp;"|"&amp;IF(ISNUMBER(D7),TEXT(D7,"yyyy-mm-dd"),"no date")&amp;"|"&amp;E7&amp;"|"&amp;IF(ISNUMBER(F7),TEXT(F7,"0.00"),"blank")</f>
        <v>Youth Health Careers Pathway|2025-07-12|Clinical Nurse Educator|3.25</v>
      </c>
      <c r="I7" s="1" t="n">
        <f aca="false">COUNTIF($H$5:$H$1624,H7)</f>
        <v>1</v>
      </c>
      <c r="J7" s="1" t="n">
        <f aca="false">COUNTIF($H$5:H7,H7)</f>
        <v>1</v>
      </c>
      <c r="K7" s="1" t="n">
        <f aca="false">COUNTIFS($H$5:$H$1624,H7,$B$5:$B$1624,"&lt;&gt;"&amp;B7)</f>
        <v>0</v>
      </c>
      <c r="L7" s="1" t="str">
        <f aca="false">IF(I7&gt;1,IF(K7&gt;0,"Cross-hospital match","Same-hospital match"),"")</f>
        <v/>
      </c>
      <c r="M7" s="52"/>
      <c r="N7" s="52"/>
      <c r="O7" s="1" t="n">
        <f aca="false">IF(M7="Exclude (duplicate)",0,1)</f>
        <v>1</v>
      </c>
      <c r="P7" s="1" t="str">
        <f aca="false">IF(AND(L7&lt;&gt;"",M7=""),"Needs decision","")</f>
        <v/>
      </c>
    </row>
    <row r="8" customFormat="false" ht="15" hidden="false" customHeight="false" outlineLevel="0" collapsed="false">
      <c r="A8" s="48" t="str">
        <f aca="false">COST!A8</f>
        <v>KVMC-0004</v>
      </c>
      <c r="B8" s="48" t="str">
        <f aca="false">COST!B8</f>
        <v>KVMC</v>
      </c>
      <c r="C8" s="48" t="str">
        <f aca="false">COST!D8</f>
        <v>Youth Health Careers Pathway</v>
      </c>
      <c r="D8" s="62" t="n">
        <f aca="false">COST!M8</f>
        <v>45850</v>
      </c>
      <c r="E8" s="48" t="str">
        <f aca="false">COST!P8</f>
        <v>Program Coordinator</v>
      </c>
      <c r="F8" s="63" t="n">
        <f aca="false">COST!R8</f>
        <v>7.5</v>
      </c>
      <c r="G8" s="48" t="str">
        <f aca="false">STACK!M8</f>
        <v/>
      </c>
      <c r="H8" s="1" t="str">
        <f aca="false">C8&amp;"|"&amp;IF(ISNUMBER(D8),TEXT(D8,"yyyy-mm-dd"),"no date")&amp;"|"&amp;E8&amp;"|"&amp;IF(ISNUMBER(F8),TEXT(F8,"0.00"),"blank")</f>
        <v>Youth Health Careers Pathway|2025-07-12|Program Coordinator|7.50</v>
      </c>
      <c r="I8" s="1" t="n">
        <f aca="false">COUNTIF($H$5:$H$1624,H8)</f>
        <v>1</v>
      </c>
      <c r="J8" s="1" t="n">
        <f aca="false">COUNTIF($H$5:H8,H8)</f>
        <v>1</v>
      </c>
      <c r="K8" s="1" t="n">
        <f aca="false">COUNTIFS($H$5:$H$1624,H8,$B$5:$B$1624,"&lt;&gt;"&amp;B8)</f>
        <v>0</v>
      </c>
      <c r="L8" s="1" t="str">
        <f aca="false">IF(I8&gt;1,IF(K8&gt;0,"Cross-hospital match","Same-hospital match"),"")</f>
        <v/>
      </c>
      <c r="M8" s="52"/>
      <c r="N8" s="52"/>
      <c r="O8" s="1" t="n">
        <f aca="false">IF(M8="Exclude (duplicate)",0,1)</f>
        <v>1</v>
      </c>
      <c r="P8" s="1" t="str">
        <f aca="false">IF(AND(L8&lt;&gt;"",M8=""),"Needs decision","")</f>
        <v/>
      </c>
    </row>
    <row r="9" customFormat="false" ht="15" hidden="false" customHeight="false" outlineLevel="0" collapsed="false">
      <c r="A9" s="48" t="str">
        <f aca="false">COST!A9</f>
        <v>KVMC-0005</v>
      </c>
      <c r="B9" s="48" t="str">
        <f aca="false">COST!B9</f>
        <v>KVMC</v>
      </c>
      <c r="C9" s="48" t="str">
        <f aca="false">COST!D9</f>
        <v>Diabetes Prevention Classes</v>
      </c>
      <c r="D9" s="62" t="n">
        <f aca="false">COST!M9</f>
        <v>45852</v>
      </c>
      <c r="E9" s="48" t="str">
        <f aca="false">COST!P9</f>
        <v>Health Educator</v>
      </c>
      <c r="F9" s="63" t="n">
        <f aca="false">COST!R9</f>
        <v>2.5</v>
      </c>
      <c r="G9" s="48" t="str">
        <f aca="false">STACK!M9</f>
        <v/>
      </c>
      <c r="H9" s="1" t="str">
        <f aca="false">C9&amp;"|"&amp;IF(ISNUMBER(D9),TEXT(D9,"yyyy-mm-dd"),"no date")&amp;"|"&amp;E9&amp;"|"&amp;IF(ISNUMBER(F9),TEXT(F9,"0.00"),"blank")</f>
        <v>Diabetes Prevention Classes|2025-07-14|Health Educator|2.50</v>
      </c>
      <c r="I9" s="1" t="n">
        <f aca="false">COUNTIF($H$5:$H$1624,H9)</f>
        <v>1</v>
      </c>
      <c r="J9" s="1" t="n">
        <f aca="false">COUNTIF($H$5:H9,H9)</f>
        <v>1</v>
      </c>
      <c r="K9" s="1" t="n">
        <f aca="false">COUNTIFS($H$5:$H$1624,H9,$B$5:$B$1624,"&lt;&gt;"&amp;B9)</f>
        <v>0</v>
      </c>
      <c r="L9" s="1" t="str">
        <f aca="false">IF(I9&gt;1,IF(K9&gt;0,"Cross-hospital match","Same-hospital match"),"")</f>
        <v/>
      </c>
      <c r="M9" s="52"/>
      <c r="N9" s="52"/>
      <c r="O9" s="1" t="n">
        <f aca="false">IF(M9="Exclude (duplicate)",0,1)</f>
        <v>1</v>
      </c>
      <c r="P9" s="1" t="str">
        <f aca="false">IF(AND(L9&lt;&gt;"",M9=""),"Needs decision","")</f>
        <v/>
      </c>
    </row>
    <row r="10" customFormat="false" ht="15" hidden="false" customHeight="false" outlineLevel="0" collapsed="false">
      <c r="A10" s="48" t="str">
        <f aca="false">COST!A10</f>
        <v>KVMC-0006</v>
      </c>
      <c r="B10" s="48" t="str">
        <f aca="false">COST!B10</f>
        <v>KVMC</v>
      </c>
      <c r="C10" s="48" t="str">
        <f aca="false">COST!D10</f>
        <v>Diabetes Prevention Classes</v>
      </c>
      <c r="D10" s="62" t="n">
        <f aca="false">COST!M10</f>
        <v>45852</v>
      </c>
      <c r="E10" s="48" t="str">
        <f aca="false">COST!P10</f>
        <v>Registered Dietitian</v>
      </c>
      <c r="F10" s="63" t="n">
        <f aca="false">COST!R10</f>
        <v>1.5</v>
      </c>
      <c r="G10" s="48" t="str">
        <f aca="false">STACK!M10</f>
        <v/>
      </c>
      <c r="H10" s="1" t="str">
        <f aca="false">C10&amp;"|"&amp;IF(ISNUMBER(D10),TEXT(D10,"yyyy-mm-dd"),"no date")&amp;"|"&amp;E10&amp;"|"&amp;IF(ISNUMBER(F10),TEXT(F10,"0.00"),"blank")</f>
        <v>Diabetes Prevention Classes|2025-07-14|Registered Dietitian|1.50</v>
      </c>
      <c r="I10" s="1" t="n">
        <f aca="false">COUNTIF($H$5:$H$1624,H10)</f>
        <v>1</v>
      </c>
      <c r="J10" s="1" t="n">
        <f aca="false">COUNTIF($H$5:H10,H10)</f>
        <v>1</v>
      </c>
      <c r="K10" s="1" t="n">
        <f aca="false">COUNTIFS($H$5:$H$1624,H10,$B$5:$B$1624,"&lt;&gt;"&amp;B10)</f>
        <v>0</v>
      </c>
      <c r="L10" s="1" t="str">
        <f aca="false">IF(I10&gt;1,IF(K10&gt;0,"Cross-hospital match","Same-hospital match"),"")</f>
        <v/>
      </c>
      <c r="M10" s="52"/>
      <c r="N10" s="52"/>
      <c r="O10" s="1" t="n">
        <f aca="false">IF(M10="Exclude (duplicate)",0,1)</f>
        <v>1</v>
      </c>
      <c r="P10" s="1" t="str">
        <f aca="false">IF(AND(L10&lt;&gt;"",M10=""),"Needs decision","")</f>
        <v/>
      </c>
    </row>
    <row r="11" customFormat="false" ht="15" hidden="false" customHeight="false" outlineLevel="0" collapsed="false">
      <c r="A11" s="48" t="str">
        <f aca="false">COST!A11</f>
        <v>KVMC-0007</v>
      </c>
      <c r="B11" s="48" t="str">
        <f aca="false">COST!B11</f>
        <v>KVMC</v>
      </c>
      <c r="C11" s="48" t="str">
        <f aca="false">COST!D11</f>
        <v>Community Blood Pressure Checks</v>
      </c>
      <c r="D11" s="62" t="n">
        <f aca="false">COST!M11</f>
        <v>45856</v>
      </c>
      <c r="E11" s="48" t="str">
        <f aca="false">COST!P11</f>
        <v>Registered Nurse</v>
      </c>
      <c r="F11" s="63" t="n">
        <f aca="false">COST!R11</f>
        <v>3.75</v>
      </c>
      <c r="G11" s="48" t="str">
        <f aca="false">STACK!M11</f>
        <v/>
      </c>
      <c r="H11" s="1" t="str">
        <f aca="false">C11&amp;"|"&amp;IF(ISNUMBER(D11),TEXT(D11,"yyyy-mm-dd"),"no date")&amp;"|"&amp;E11&amp;"|"&amp;IF(ISNUMBER(F11),TEXT(F11,"0.00"),"blank")</f>
        <v>Community Blood Pressure Checks|2025-07-18|Registered Nurse|3.75</v>
      </c>
      <c r="I11" s="1" t="n">
        <f aca="false">COUNTIF($H$5:$H$1624,H11)</f>
        <v>1</v>
      </c>
      <c r="J11" s="1" t="n">
        <f aca="false">COUNTIF($H$5:H11,H11)</f>
        <v>1</v>
      </c>
      <c r="K11" s="1" t="n">
        <f aca="false">COUNTIFS($H$5:$H$1624,H11,$B$5:$B$1624,"&lt;&gt;"&amp;B11)</f>
        <v>0</v>
      </c>
      <c r="L11" s="1" t="str">
        <f aca="false">IF(I11&gt;1,IF(K11&gt;0,"Cross-hospital match","Same-hospital match"),"")</f>
        <v/>
      </c>
      <c r="M11" s="52"/>
      <c r="N11" s="52"/>
      <c r="O11" s="1" t="n">
        <f aca="false">IF(M11="Exclude (duplicate)",0,1)</f>
        <v>1</v>
      </c>
      <c r="P11" s="1" t="str">
        <f aca="false">IF(AND(L11&lt;&gt;"",M11=""),"Needs decision","")</f>
        <v/>
      </c>
    </row>
    <row r="12" customFormat="false" ht="15" hidden="false" customHeight="false" outlineLevel="0" collapsed="false">
      <c r="A12" s="48" t="str">
        <f aca="false">COST!A12</f>
        <v>KVMC-0008</v>
      </c>
      <c r="B12" s="48" t="str">
        <f aca="false">COST!B12</f>
        <v>KVMC</v>
      </c>
      <c r="C12" s="48" t="str">
        <f aca="false">COST!D12</f>
        <v>Mental Health First Aid Training</v>
      </c>
      <c r="D12" s="62" t="n">
        <f aca="false">COST!M12</f>
        <v>45856</v>
      </c>
      <c r="E12" s="48" t="str">
        <f aca="false">COST!P12</f>
        <v>Health Educator</v>
      </c>
      <c r="F12" s="63" t="n">
        <f aca="false">COST!R12</f>
        <v>8</v>
      </c>
      <c r="G12" s="48" t="str">
        <f aca="false">STACK!M12</f>
        <v/>
      </c>
      <c r="H12" s="1" t="str">
        <f aca="false">C12&amp;"|"&amp;IF(ISNUMBER(D12),TEXT(D12,"yyyy-mm-dd"),"no date")&amp;"|"&amp;E12&amp;"|"&amp;IF(ISNUMBER(F12),TEXT(F12,"0.00"),"blank")</f>
        <v>Mental Health First Aid Training|2025-07-18|Health Educator|8.00</v>
      </c>
      <c r="I12" s="1" t="n">
        <f aca="false">COUNTIF($H$5:$H$1624,H12)</f>
        <v>1</v>
      </c>
      <c r="J12" s="1" t="n">
        <f aca="false">COUNTIF($H$5:H12,H12)</f>
        <v>1</v>
      </c>
      <c r="K12" s="1" t="n">
        <f aca="false">COUNTIFS($H$5:$H$1624,H12,$B$5:$B$1624,"&lt;&gt;"&amp;B12)</f>
        <v>0</v>
      </c>
      <c r="L12" s="1" t="str">
        <f aca="false">IF(I12&gt;1,IF(K12&gt;0,"Cross-hospital match","Same-hospital match"),"")</f>
        <v/>
      </c>
      <c r="M12" s="52"/>
      <c r="N12" s="52"/>
      <c r="O12" s="1" t="n">
        <f aca="false">IF(M12="Exclude (duplicate)",0,1)</f>
        <v>1</v>
      </c>
      <c r="P12" s="1" t="str">
        <f aca="false">IF(AND(L12&lt;&gt;"",M12=""),"Needs decision","")</f>
        <v/>
      </c>
    </row>
    <row r="13" customFormat="false" ht="15" hidden="false" customHeight="false" outlineLevel="0" collapsed="false">
      <c r="A13" s="48" t="str">
        <f aca="false">COST!A13</f>
        <v>KVMC-0009</v>
      </c>
      <c r="B13" s="48" t="str">
        <f aca="false">COST!B13</f>
        <v>KVMC</v>
      </c>
      <c r="C13" s="48" t="str">
        <f aca="false">COST!D13</f>
        <v>Mental Health First Aid Training</v>
      </c>
      <c r="D13" s="62" t="n">
        <f aca="false">COST!M13</f>
        <v>45856</v>
      </c>
      <c r="E13" s="48" t="str">
        <f aca="false">COST!P13</f>
        <v>Social Worker</v>
      </c>
      <c r="F13" s="63" t="n">
        <f aca="false">COST!R13</f>
        <v>8</v>
      </c>
      <c r="G13" s="48" t="str">
        <f aca="false">STACK!M13</f>
        <v/>
      </c>
      <c r="H13" s="1" t="str">
        <f aca="false">C13&amp;"|"&amp;IF(ISNUMBER(D13),TEXT(D13,"yyyy-mm-dd"),"no date")&amp;"|"&amp;E13&amp;"|"&amp;IF(ISNUMBER(F13),TEXT(F13,"0.00"),"blank")</f>
        <v>Mental Health First Aid Training|2025-07-18|Social Worker|8.00</v>
      </c>
      <c r="I13" s="1" t="n">
        <f aca="false">COUNTIF($H$5:$H$1624,H13)</f>
        <v>1</v>
      </c>
      <c r="J13" s="1" t="n">
        <f aca="false">COUNTIF($H$5:H13,H13)</f>
        <v>1</v>
      </c>
      <c r="K13" s="1" t="n">
        <f aca="false">COUNTIFS($H$5:$H$1624,H13,$B$5:$B$1624,"&lt;&gt;"&amp;B13)</f>
        <v>0</v>
      </c>
      <c r="L13" s="1" t="str">
        <f aca="false">IF(I13&gt;1,IF(K13&gt;0,"Cross-hospital match","Same-hospital match"),"")</f>
        <v/>
      </c>
      <c r="M13" s="52"/>
      <c r="N13" s="52"/>
      <c r="O13" s="1" t="n">
        <f aca="false">IF(M13="Exclude (duplicate)",0,1)</f>
        <v>1</v>
      </c>
      <c r="P13" s="1" t="str">
        <f aca="false">IF(AND(L13&lt;&gt;"",M13=""),"Needs decision","")</f>
        <v/>
      </c>
    </row>
    <row r="14" customFormat="false" ht="15" hidden="false" customHeight="false" outlineLevel="0" collapsed="false">
      <c r="A14" s="48" t="str">
        <f aca="false">COST!A14</f>
        <v>KVMC-0010</v>
      </c>
      <c r="B14" s="48" t="str">
        <f aca="false">COST!B14</f>
        <v>KVMC</v>
      </c>
      <c r="C14" s="48" t="str">
        <f aca="false">COST!D14</f>
        <v>Affordable Housing Partnership</v>
      </c>
      <c r="D14" s="62" t="n">
        <f aca="false">COST!M14</f>
        <v>45862</v>
      </c>
      <c r="E14" s="48" t="str">
        <f aca="false">COST!P14</f>
        <v>Director</v>
      </c>
      <c r="F14" s="63" t="n">
        <f aca="false">COST!R14</f>
        <v>4.25</v>
      </c>
      <c r="G14" s="48" t="str">
        <f aca="false">STACK!M14</f>
        <v/>
      </c>
      <c r="H14" s="1" t="str">
        <f aca="false">C14&amp;"|"&amp;IF(ISNUMBER(D14),TEXT(D14,"yyyy-mm-dd"),"no date")&amp;"|"&amp;E14&amp;"|"&amp;IF(ISNUMBER(F14),TEXT(F14,"0.00"),"blank")</f>
        <v>Affordable Housing Partnership|2025-07-24|Director|4.25</v>
      </c>
      <c r="I14" s="1" t="n">
        <f aca="false">COUNTIF($H$5:$H$1624,H14)</f>
        <v>1</v>
      </c>
      <c r="J14" s="1" t="n">
        <f aca="false">COUNTIF($H$5:H14,H14)</f>
        <v>1</v>
      </c>
      <c r="K14" s="1" t="n">
        <f aca="false">COUNTIFS($H$5:$H$1624,H14,$B$5:$B$1624,"&lt;&gt;"&amp;B14)</f>
        <v>0</v>
      </c>
      <c r="L14" s="1" t="str">
        <f aca="false">IF(I14&gt;1,IF(K14&gt;0,"Cross-hospital match","Same-hospital match"),"")</f>
        <v/>
      </c>
      <c r="M14" s="52"/>
      <c r="N14" s="52"/>
      <c r="O14" s="1" t="n">
        <f aca="false">IF(M14="Exclude (duplicate)",0,1)</f>
        <v>1</v>
      </c>
      <c r="P14" s="1" t="str">
        <f aca="false">IF(AND(L14&lt;&gt;"",M14=""),"Needs decision","")</f>
        <v/>
      </c>
    </row>
    <row r="15" customFormat="false" ht="15" hidden="false" customHeight="false" outlineLevel="0" collapsed="false">
      <c r="A15" s="48" t="str">
        <f aca="false">COST!A15</f>
        <v>KVMC-0011</v>
      </c>
      <c r="B15" s="48" t="str">
        <f aca="false">COST!B15</f>
        <v>KVMC</v>
      </c>
      <c r="C15" s="48" t="str">
        <f aca="false">COST!D15</f>
        <v>Affordable Housing Partnership</v>
      </c>
      <c r="D15" s="62" t="n">
        <f aca="false">COST!M15</f>
        <v>45862</v>
      </c>
      <c r="E15" s="48" t="str">
        <f aca="false">COST!P15</f>
        <v>Program Coordinator</v>
      </c>
      <c r="F15" s="63" t="n">
        <f aca="false">COST!R15</f>
        <v>8.5</v>
      </c>
      <c r="G15" s="48" t="str">
        <f aca="false">STACK!M15</f>
        <v/>
      </c>
      <c r="H15" s="1" t="str">
        <f aca="false">C15&amp;"|"&amp;IF(ISNUMBER(D15),TEXT(D15,"yyyy-mm-dd"),"no date")&amp;"|"&amp;E15&amp;"|"&amp;IF(ISNUMBER(F15),TEXT(F15,"0.00"),"blank")</f>
        <v>Affordable Housing Partnership|2025-07-24|Program Coordinator|8.50</v>
      </c>
      <c r="I15" s="1" t="n">
        <f aca="false">COUNTIF($H$5:$H$1624,H15)</f>
        <v>1</v>
      </c>
      <c r="J15" s="1" t="n">
        <f aca="false">COUNTIF($H$5:H15,H15)</f>
        <v>1</v>
      </c>
      <c r="K15" s="1" t="n">
        <f aca="false">COUNTIFS($H$5:$H$1624,H15,$B$5:$B$1624,"&lt;&gt;"&amp;B15)</f>
        <v>0</v>
      </c>
      <c r="L15" s="1" t="str">
        <f aca="false">IF(I15&gt;1,IF(K15&gt;0,"Cross-hospital match","Same-hospital match"),"")</f>
        <v/>
      </c>
      <c r="M15" s="52"/>
      <c r="N15" s="52"/>
      <c r="O15" s="1" t="n">
        <f aca="false">IF(M15="Exclude (duplicate)",0,1)</f>
        <v>1</v>
      </c>
      <c r="P15" s="1" t="str">
        <f aca="false">IF(AND(L15&lt;&gt;"",M15=""),"Needs decision","")</f>
        <v/>
      </c>
    </row>
    <row r="16" customFormat="false" ht="15" hidden="false" customHeight="false" outlineLevel="0" collapsed="false">
      <c r="A16" s="48" t="str">
        <f aca="false">COST!A16</f>
        <v>KVMC-0012</v>
      </c>
      <c r="B16" s="48" t="str">
        <f aca="false">COST!B16</f>
        <v>KVMC</v>
      </c>
      <c r="C16" s="48" t="str">
        <f aca="false">COST!D16</f>
        <v>Diabetes Prevention Classes</v>
      </c>
      <c r="D16" s="62" t="n">
        <f aca="false">COST!M16</f>
        <v>45863</v>
      </c>
      <c r="E16" s="48" t="str">
        <f aca="false">COST!P16</f>
        <v>Health Educator</v>
      </c>
      <c r="F16" s="63" t="n">
        <f aca="false">COST!R16</f>
        <v>2</v>
      </c>
      <c r="G16" s="48" t="str">
        <f aca="false">STACK!M16</f>
        <v/>
      </c>
      <c r="H16" s="1" t="str">
        <f aca="false">C16&amp;"|"&amp;IF(ISNUMBER(D16),TEXT(D16,"yyyy-mm-dd"),"no date")&amp;"|"&amp;E16&amp;"|"&amp;IF(ISNUMBER(F16),TEXT(F16,"0.00"),"blank")</f>
        <v>Diabetes Prevention Classes|2025-07-25|Health Educator|2.00</v>
      </c>
      <c r="I16" s="1" t="n">
        <f aca="false">COUNTIF($H$5:$H$1624,H16)</f>
        <v>1</v>
      </c>
      <c r="J16" s="1" t="n">
        <f aca="false">COUNTIF($H$5:H16,H16)</f>
        <v>1</v>
      </c>
      <c r="K16" s="1" t="n">
        <f aca="false">COUNTIFS($H$5:$H$1624,H16,$B$5:$B$1624,"&lt;&gt;"&amp;B16)</f>
        <v>0</v>
      </c>
      <c r="L16" s="1" t="str">
        <f aca="false">IF(I16&gt;1,IF(K16&gt;0,"Cross-hospital match","Same-hospital match"),"")</f>
        <v/>
      </c>
      <c r="M16" s="52"/>
      <c r="N16" s="52"/>
      <c r="O16" s="1" t="n">
        <f aca="false">IF(M16="Exclude (duplicate)",0,1)</f>
        <v>1</v>
      </c>
      <c r="P16" s="1" t="str">
        <f aca="false">IF(AND(L16&lt;&gt;"",M16=""),"Needs decision","")</f>
        <v/>
      </c>
    </row>
    <row r="17" customFormat="false" ht="15" hidden="false" customHeight="false" outlineLevel="0" collapsed="false">
      <c r="A17" s="48" t="str">
        <f aca="false">COST!A17</f>
        <v>KVMC-0013</v>
      </c>
      <c r="B17" s="48" t="str">
        <f aca="false">COST!B17</f>
        <v>KVMC</v>
      </c>
      <c r="C17" s="48" t="str">
        <f aca="false">COST!D17</f>
        <v>Diabetes Prevention Classes</v>
      </c>
      <c r="D17" s="62" t="n">
        <f aca="false">COST!M17</f>
        <v>45863</v>
      </c>
      <c r="E17" s="48" t="str">
        <f aca="false">COST!P17</f>
        <v>Registered Dietitian</v>
      </c>
      <c r="F17" s="63" t="n">
        <f aca="false">COST!R17</f>
        <v>1.75</v>
      </c>
      <c r="G17" s="48" t="str">
        <f aca="false">STACK!M17</f>
        <v/>
      </c>
      <c r="H17" s="1" t="str">
        <f aca="false">C17&amp;"|"&amp;IF(ISNUMBER(D17),TEXT(D17,"yyyy-mm-dd"),"no date")&amp;"|"&amp;E17&amp;"|"&amp;IF(ISNUMBER(F17),TEXT(F17,"0.00"),"blank")</f>
        <v>Diabetes Prevention Classes|2025-07-25|Registered Dietitian|1.75</v>
      </c>
      <c r="I17" s="1" t="n">
        <f aca="false">COUNTIF($H$5:$H$1624,H17)</f>
        <v>1</v>
      </c>
      <c r="J17" s="1" t="n">
        <f aca="false">COUNTIF($H$5:H17,H17)</f>
        <v>1</v>
      </c>
      <c r="K17" s="1" t="n">
        <f aca="false">COUNTIFS($H$5:$H$1624,H17,$B$5:$B$1624,"&lt;&gt;"&amp;B17)</f>
        <v>0</v>
      </c>
      <c r="L17" s="1" t="str">
        <f aca="false">IF(I17&gt;1,IF(K17&gt;0,"Cross-hospital match","Same-hospital match"),"")</f>
        <v/>
      </c>
      <c r="M17" s="52"/>
      <c r="N17" s="52"/>
      <c r="O17" s="1" t="n">
        <f aca="false">IF(M17="Exclude (duplicate)",0,1)</f>
        <v>1</v>
      </c>
      <c r="P17" s="1" t="str">
        <f aca="false">IF(AND(L17&lt;&gt;"",M17=""),"Needs decision","")</f>
        <v/>
      </c>
    </row>
    <row r="18" customFormat="false" ht="15" hidden="false" customHeight="false" outlineLevel="0" collapsed="false">
      <c r="A18" s="48" t="str">
        <f aca="false">COST!A18</f>
        <v>KVMC-0014</v>
      </c>
      <c r="B18" s="48" t="str">
        <f aca="false">COST!B18</f>
        <v>KVMC</v>
      </c>
      <c r="C18" s="48" t="str">
        <f aca="false">COST!D18</f>
        <v>Tobacco Cessation Classes</v>
      </c>
      <c r="D18" s="62" t="n">
        <f aca="false">COST!M18</f>
        <v>45863</v>
      </c>
      <c r="E18" s="48" t="str">
        <f aca="false">COST!P18</f>
        <v>Licensed Therapist</v>
      </c>
      <c r="F18" s="63" t="n">
        <f aca="false">COST!R18</f>
        <v>2</v>
      </c>
      <c r="G18" s="48" t="str">
        <f aca="false">STACK!M18</f>
        <v/>
      </c>
      <c r="H18" s="1" t="str">
        <f aca="false">C18&amp;"|"&amp;IF(ISNUMBER(D18),TEXT(D18,"yyyy-mm-dd"),"no date")&amp;"|"&amp;E18&amp;"|"&amp;IF(ISNUMBER(F18),TEXT(F18,"0.00"),"blank")</f>
        <v>Tobacco Cessation Classes|2025-07-25|Licensed Therapist|2.00</v>
      </c>
      <c r="I18" s="1" t="n">
        <f aca="false">COUNTIF($H$5:$H$1624,H18)</f>
        <v>1</v>
      </c>
      <c r="J18" s="1" t="n">
        <f aca="false">COUNTIF($H$5:H18,H18)</f>
        <v>1</v>
      </c>
      <c r="K18" s="1" t="n">
        <f aca="false">COUNTIFS($H$5:$H$1624,H18,$B$5:$B$1624,"&lt;&gt;"&amp;B18)</f>
        <v>0</v>
      </c>
      <c r="L18" s="1" t="str">
        <f aca="false">IF(I18&gt;1,IF(K18&gt;0,"Cross-hospital match","Same-hospital match"),"")</f>
        <v/>
      </c>
      <c r="M18" s="52"/>
      <c r="N18" s="52"/>
      <c r="O18" s="1" t="n">
        <f aca="false">IF(M18="Exclude (duplicate)",0,1)</f>
        <v>1</v>
      </c>
      <c r="P18" s="1" t="str">
        <f aca="false">IF(AND(L18&lt;&gt;"",M18=""),"Needs decision","")</f>
        <v/>
      </c>
    </row>
    <row r="19" customFormat="false" ht="15" hidden="false" customHeight="false" outlineLevel="0" collapsed="false">
      <c r="A19" s="48" t="str">
        <f aca="false">COST!A19</f>
        <v>KVMC-0015</v>
      </c>
      <c r="B19" s="48" t="str">
        <f aca="false">COST!B19</f>
        <v>KVMC</v>
      </c>
      <c r="C19" s="48" t="str">
        <f aca="false">COST!D19</f>
        <v>Naloxone Training and Distribution</v>
      </c>
      <c r="D19" s="62" t="n">
        <f aca="false">COST!M19</f>
        <v>45866</v>
      </c>
      <c r="E19" s="48" t="str">
        <f aca="false">COST!P19</f>
        <v>Health Educator</v>
      </c>
      <c r="F19" s="63" t="n">
        <f aca="false">COST!R19</f>
        <v>2</v>
      </c>
      <c r="G19" s="48" t="str">
        <f aca="false">STACK!M19</f>
        <v/>
      </c>
      <c r="H19" s="1" t="str">
        <f aca="false">C19&amp;"|"&amp;IF(ISNUMBER(D19),TEXT(D19,"yyyy-mm-dd"),"no date")&amp;"|"&amp;E19&amp;"|"&amp;IF(ISNUMBER(F19),TEXT(F19,"0.00"),"blank")</f>
        <v>Naloxone Training and Distribution|2025-07-28|Health Educator|2.00</v>
      </c>
      <c r="I19" s="1" t="n">
        <f aca="false">COUNTIF($H$5:$H$1624,H19)</f>
        <v>1</v>
      </c>
      <c r="J19" s="1" t="n">
        <f aca="false">COUNTIF($H$5:H19,H19)</f>
        <v>1</v>
      </c>
      <c r="K19" s="1" t="n">
        <f aca="false">COUNTIFS($H$5:$H$1624,H19,$B$5:$B$1624,"&lt;&gt;"&amp;B19)</f>
        <v>0</v>
      </c>
      <c r="L19" s="1" t="str">
        <f aca="false">IF(I19&gt;1,IF(K19&gt;0,"Cross-hospital match","Same-hospital match"),"")</f>
        <v/>
      </c>
      <c r="M19" s="52"/>
      <c r="N19" s="52"/>
      <c r="O19" s="1" t="n">
        <f aca="false">IF(M19="Exclude (duplicate)",0,1)</f>
        <v>1</v>
      </c>
      <c r="P19" s="1" t="str">
        <f aca="false">IF(AND(L19&lt;&gt;"",M19=""),"Needs decision","")</f>
        <v/>
      </c>
    </row>
    <row r="20" customFormat="false" ht="15" hidden="false" customHeight="false" outlineLevel="0" collapsed="false">
      <c r="A20" s="48" t="str">
        <f aca="false">COST!A20</f>
        <v>KVMC-0016</v>
      </c>
      <c r="B20" s="48" t="str">
        <f aca="false">COST!B20</f>
        <v>KVMC</v>
      </c>
      <c r="C20" s="48" t="str">
        <f aca="false">COST!D20</f>
        <v>Naloxone Training and Distribution</v>
      </c>
      <c r="D20" s="62" t="n">
        <f aca="false">COST!M20</f>
        <v>45866</v>
      </c>
      <c r="E20" s="48" t="str">
        <f aca="false">COST!P20</f>
        <v>Pharmacist</v>
      </c>
      <c r="F20" s="63" t="n">
        <f aca="false">COST!R20</f>
        <v>2.25</v>
      </c>
      <c r="G20" s="48" t="str">
        <f aca="false">STACK!M20</f>
        <v/>
      </c>
      <c r="H20" s="1" t="str">
        <f aca="false">C20&amp;"|"&amp;IF(ISNUMBER(D20),TEXT(D20,"yyyy-mm-dd"),"no date")&amp;"|"&amp;E20&amp;"|"&amp;IF(ISNUMBER(F20),TEXT(F20,"0.00"),"blank")</f>
        <v>Naloxone Training and Distribution|2025-07-28|Pharmacist|2.25</v>
      </c>
      <c r="I20" s="1" t="n">
        <f aca="false">COUNTIF($H$5:$H$1624,H20)</f>
        <v>1</v>
      </c>
      <c r="J20" s="1" t="n">
        <f aca="false">COUNTIF($H$5:H20,H20)</f>
        <v>1</v>
      </c>
      <c r="K20" s="1" t="n">
        <f aca="false">COUNTIFS($H$5:$H$1624,H20,$B$5:$B$1624,"&lt;&gt;"&amp;B20)</f>
        <v>0</v>
      </c>
      <c r="L20" s="1" t="str">
        <f aca="false">IF(I20&gt;1,IF(K20&gt;0,"Cross-hospital match","Same-hospital match"),"")</f>
        <v/>
      </c>
      <c r="M20" s="52"/>
      <c r="N20" s="52"/>
      <c r="O20" s="1" t="n">
        <f aca="false">IF(M20="Exclude (duplicate)",0,1)</f>
        <v>1</v>
      </c>
      <c r="P20" s="1" t="str">
        <f aca="false">IF(AND(L20&lt;&gt;"",M20=""),"Needs decision","")</f>
        <v/>
      </c>
    </row>
    <row r="21" customFormat="false" ht="15" hidden="false" customHeight="false" outlineLevel="0" collapsed="false">
      <c r="A21" s="48" t="str">
        <f aca="false">COST!A21</f>
        <v>KVMC-0017</v>
      </c>
      <c r="B21" s="48" t="str">
        <f aca="false">COST!B21</f>
        <v>KVMC</v>
      </c>
      <c r="C21" s="48" t="str">
        <f aca="false">COST!D21</f>
        <v>Diabetes Prevention Classes</v>
      </c>
      <c r="D21" s="62" t="n">
        <f aca="false">COST!M21</f>
        <v>45868</v>
      </c>
      <c r="E21" s="48" t="str">
        <f aca="false">COST!P21</f>
        <v>Health Educator</v>
      </c>
      <c r="F21" s="63" t="n">
        <f aca="false">COST!R21</f>
        <v>2.25</v>
      </c>
      <c r="G21" s="48" t="str">
        <f aca="false">STACK!M21</f>
        <v/>
      </c>
      <c r="H21" s="1" t="str">
        <f aca="false">C21&amp;"|"&amp;IF(ISNUMBER(D21),TEXT(D21,"yyyy-mm-dd"),"no date")&amp;"|"&amp;E21&amp;"|"&amp;IF(ISNUMBER(F21),TEXT(F21,"0.00"),"blank")</f>
        <v>Diabetes Prevention Classes|2025-07-30|Health Educator|2.25</v>
      </c>
      <c r="I21" s="1" t="n">
        <f aca="false">COUNTIF($H$5:$H$1624,H21)</f>
        <v>1</v>
      </c>
      <c r="J21" s="1" t="n">
        <f aca="false">COUNTIF($H$5:H21,H21)</f>
        <v>1</v>
      </c>
      <c r="K21" s="1" t="n">
        <f aca="false">COUNTIFS($H$5:$H$1624,H21,$B$5:$B$1624,"&lt;&gt;"&amp;B21)</f>
        <v>0</v>
      </c>
      <c r="L21" s="1" t="str">
        <f aca="false">IF(I21&gt;1,IF(K21&gt;0,"Cross-hospital match","Same-hospital match"),"")</f>
        <v/>
      </c>
      <c r="M21" s="52"/>
      <c r="N21" s="52"/>
      <c r="O21" s="1" t="n">
        <f aca="false">IF(M21="Exclude (duplicate)",0,1)</f>
        <v>1</v>
      </c>
      <c r="P21" s="1" t="str">
        <f aca="false">IF(AND(L21&lt;&gt;"",M21=""),"Needs decision","")</f>
        <v/>
      </c>
    </row>
    <row r="22" customFormat="false" ht="15" hidden="false" customHeight="false" outlineLevel="0" collapsed="false">
      <c r="A22" s="48" t="str">
        <f aca="false">COST!A22</f>
        <v>KVMC-0018</v>
      </c>
      <c r="B22" s="48" t="str">
        <f aca="false">COST!B22</f>
        <v>KVMC</v>
      </c>
      <c r="C22" s="48" t="str">
        <f aca="false">COST!D22</f>
        <v>Diabetes Prevention Classes</v>
      </c>
      <c r="D22" s="62" t="n">
        <f aca="false">COST!M22</f>
        <v>45868</v>
      </c>
      <c r="E22" s="48" t="str">
        <f aca="false">COST!P22</f>
        <v>Registered Dietitian</v>
      </c>
      <c r="F22" s="63" t="n">
        <f aca="false">COST!R22</f>
        <v>1.5</v>
      </c>
      <c r="G22" s="48" t="str">
        <f aca="false">STACK!M22</f>
        <v/>
      </c>
      <c r="H22" s="1" t="str">
        <f aca="false">C22&amp;"|"&amp;IF(ISNUMBER(D22),TEXT(D22,"yyyy-mm-dd"),"no date")&amp;"|"&amp;E22&amp;"|"&amp;IF(ISNUMBER(F22),TEXT(F22,"0.00"),"blank")</f>
        <v>Diabetes Prevention Classes|2025-07-30|Registered Dietitian|1.50</v>
      </c>
      <c r="I22" s="1" t="n">
        <f aca="false">COUNTIF($H$5:$H$1624,H22)</f>
        <v>1</v>
      </c>
      <c r="J22" s="1" t="n">
        <f aca="false">COUNTIF($H$5:H22,H22)</f>
        <v>1</v>
      </c>
      <c r="K22" s="1" t="n">
        <f aca="false">COUNTIFS($H$5:$H$1624,H22,$B$5:$B$1624,"&lt;&gt;"&amp;B22)</f>
        <v>0</v>
      </c>
      <c r="L22" s="1" t="str">
        <f aca="false">IF(I22&gt;1,IF(K22&gt;0,"Cross-hospital match","Same-hospital match"),"")</f>
        <v/>
      </c>
      <c r="M22" s="52"/>
      <c r="N22" s="52"/>
      <c r="O22" s="1" t="n">
        <f aca="false">IF(M22="Exclude (duplicate)",0,1)</f>
        <v>1</v>
      </c>
      <c r="P22" s="1" t="str">
        <f aca="false">IF(AND(L22&lt;&gt;"",M22=""),"Needs decision","")</f>
        <v/>
      </c>
    </row>
    <row r="23" customFormat="false" ht="15" hidden="false" customHeight="false" outlineLevel="0" collapsed="false">
      <c r="A23" s="48" t="str">
        <f aca="false">COST!A23</f>
        <v>KVMC-0019</v>
      </c>
      <c r="B23" s="48" t="str">
        <f aca="false">COST!B23</f>
        <v>KVMC</v>
      </c>
      <c r="C23" s="48" t="str">
        <f aca="false">COST!D23</f>
        <v>Youth Health Careers Pathway</v>
      </c>
      <c r="D23" s="62" t="n">
        <f aca="false">COST!M23</f>
        <v>45868</v>
      </c>
      <c r="E23" s="48" t="str">
        <f aca="false">COST!P23</f>
        <v>Clinical Nurse Educator</v>
      </c>
      <c r="F23" s="63" t="n">
        <f aca="false">COST!R23</f>
        <v>4.75</v>
      </c>
      <c r="G23" s="48" t="str">
        <f aca="false">STACK!M23</f>
        <v/>
      </c>
      <c r="H23" s="1" t="str">
        <f aca="false">C23&amp;"|"&amp;IF(ISNUMBER(D23),TEXT(D23,"yyyy-mm-dd"),"no date")&amp;"|"&amp;E23&amp;"|"&amp;IF(ISNUMBER(F23),TEXT(F23,"0.00"),"blank")</f>
        <v>Youth Health Careers Pathway|2025-07-30|Clinical Nurse Educator|4.75</v>
      </c>
      <c r="I23" s="1" t="n">
        <f aca="false">COUNTIF($H$5:$H$1624,H23)</f>
        <v>1</v>
      </c>
      <c r="J23" s="1" t="n">
        <f aca="false">COUNTIF($H$5:H23,H23)</f>
        <v>1</v>
      </c>
      <c r="K23" s="1" t="n">
        <f aca="false">COUNTIFS($H$5:$H$1624,H23,$B$5:$B$1624,"&lt;&gt;"&amp;B23)</f>
        <v>0</v>
      </c>
      <c r="L23" s="1" t="str">
        <f aca="false">IF(I23&gt;1,IF(K23&gt;0,"Cross-hospital match","Same-hospital match"),"")</f>
        <v/>
      </c>
      <c r="M23" s="52"/>
      <c r="N23" s="52"/>
      <c r="O23" s="1" t="n">
        <f aca="false">IF(M23="Exclude (duplicate)",0,1)</f>
        <v>1</v>
      </c>
      <c r="P23" s="1" t="str">
        <f aca="false">IF(AND(L23&lt;&gt;"",M23=""),"Needs decision","")</f>
        <v/>
      </c>
    </row>
    <row r="24" customFormat="false" ht="15" hidden="false" customHeight="false" outlineLevel="0" collapsed="false">
      <c r="A24" s="48" t="str">
        <f aca="false">COST!A24</f>
        <v>KVMC-0020</v>
      </c>
      <c r="B24" s="48" t="str">
        <f aca="false">COST!B24</f>
        <v>KVMC</v>
      </c>
      <c r="C24" s="48" t="str">
        <f aca="false">COST!D24</f>
        <v>Youth Health Careers Pathway</v>
      </c>
      <c r="D24" s="62" t="n">
        <f aca="false">COST!M24</f>
        <v>45868</v>
      </c>
      <c r="E24" s="48" t="str">
        <f aca="false">COST!P24</f>
        <v>Program Coordinator</v>
      </c>
      <c r="F24" s="63" t="n">
        <f aca="false">COST!R24</f>
        <v>6.75</v>
      </c>
      <c r="G24" s="48" t="str">
        <f aca="false">STACK!M24</f>
        <v/>
      </c>
      <c r="H24" s="1" t="str">
        <f aca="false">C24&amp;"|"&amp;IF(ISNUMBER(D24),TEXT(D24,"yyyy-mm-dd"),"no date")&amp;"|"&amp;E24&amp;"|"&amp;IF(ISNUMBER(F24),TEXT(F24,"0.00"),"blank")</f>
        <v>Youth Health Careers Pathway|2025-07-30|Program Coordinator|6.75</v>
      </c>
      <c r="I24" s="1" t="n">
        <f aca="false">COUNTIF($H$5:$H$1624,H24)</f>
        <v>1</v>
      </c>
      <c r="J24" s="1" t="n">
        <f aca="false">COUNTIF($H$5:H24,H24)</f>
        <v>1</v>
      </c>
      <c r="K24" s="1" t="n">
        <f aca="false">COUNTIFS($H$5:$H$1624,H24,$B$5:$B$1624,"&lt;&gt;"&amp;B24)</f>
        <v>0</v>
      </c>
      <c r="L24" s="1" t="str">
        <f aca="false">IF(I24&gt;1,IF(K24&gt;0,"Cross-hospital match","Same-hospital match"),"")</f>
        <v/>
      </c>
      <c r="M24" s="52"/>
      <c r="N24" s="52"/>
      <c r="O24" s="1" t="n">
        <f aca="false">IF(M24="Exclude (duplicate)",0,1)</f>
        <v>1</v>
      </c>
      <c r="P24" s="1" t="str">
        <f aca="false">IF(AND(L24&lt;&gt;"",M24=""),"Needs decision","")</f>
        <v/>
      </c>
    </row>
    <row r="25" customFormat="false" ht="15" hidden="false" customHeight="false" outlineLevel="0" collapsed="false">
      <c r="A25" s="48" t="str">
        <f aca="false">COST!A25</f>
        <v>KVMC-0021</v>
      </c>
      <c r="B25" s="48" t="str">
        <f aca="false">COST!B25</f>
        <v>KVMC</v>
      </c>
      <c r="C25" s="48" t="str">
        <f aca="false">COST!D25</f>
        <v>Diabetes Prevention Classes</v>
      </c>
      <c r="D25" s="62" t="n">
        <f aca="false">COST!M25</f>
        <v>45869</v>
      </c>
      <c r="E25" s="48" t="str">
        <f aca="false">COST!P25</f>
        <v>Health Educator</v>
      </c>
      <c r="F25" s="63" t="n">
        <f aca="false">COST!R25</f>
        <v>2.25</v>
      </c>
      <c r="G25" s="48" t="str">
        <f aca="false">STACK!M25</f>
        <v/>
      </c>
      <c r="H25" s="1" t="str">
        <f aca="false">C25&amp;"|"&amp;IF(ISNUMBER(D25),TEXT(D25,"yyyy-mm-dd"),"no date")&amp;"|"&amp;E25&amp;"|"&amp;IF(ISNUMBER(F25),TEXT(F25,"0.00"),"blank")</f>
        <v>Diabetes Prevention Classes|2025-07-31|Health Educator|2.25</v>
      </c>
      <c r="I25" s="1" t="n">
        <f aca="false">COUNTIF($H$5:$H$1624,H25)</f>
        <v>1</v>
      </c>
      <c r="J25" s="1" t="n">
        <f aca="false">COUNTIF($H$5:H25,H25)</f>
        <v>1</v>
      </c>
      <c r="K25" s="1" t="n">
        <f aca="false">COUNTIFS($H$5:$H$1624,H25,$B$5:$B$1624,"&lt;&gt;"&amp;B25)</f>
        <v>0</v>
      </c>
      <c r="L25" s="1" t="str">
        <f aca="false">IF(I25&gt;1,IF(K25&gt;0,"Cross-hospital match","Same-hospital match"),"")</f>
        <v/>
      </c>
      <c r="M25" s="52"/>
      <c r="N25" s="52"/>
      <c r="O25" s="1" t="n">
        <f aca="false">IF(M25="Exclude (duplicate)",0,1)</f>
        <v>1</v>
      </c>
      <c r="P25" s="1" t="str">
        <f aca="false">IF(AND(L25&lt;&gt;"",M25=""),"Needs decision","")</f>
        <v/>
      </c>
    </row>
    <row r="26" customFormat="false" ht="15" hidden="false" customHeight="false" outlineLevel="0" collapsed="false">
      <c r="A26" s="48" t="str">
        <f aca="false">COST!A26</f>
        <v>KVMC-0022</v>
      </c>
      <c r="B26" s="48" t="str">
        <f aca="false">COST!B26</f>
        <v>KVMC</v>
      </c>
      <c r="C26" s="48" t="str">
        <f aca="false">COST!D26</f>
        <v>Diabetes Prevention Classes</v>
      </c>
      <c r="D26" s="62" t="n">
        <f aca="false">COST!M26</f>
        <v>45869</v>
      </c>
      <c r="E26" s="48" t="str">
        <f aca="false">COST!P26</f>
        <v>Registered Dietitian</v>
      </c>
      <c r="F26" s="63" t="n">
        <f aca="false">COST!R26</f>
        <v>1.75</v>
      </c>
      <c r="G26" s="48" t="str">
        <f aca="false">STACK!M26</f>
        <v/>
      </c>
      <c r="H26" s="1" t="str">
        <f aca="false">C26&amp;"|"&amp;IF(ISNUMBER(D26),TEXT(D26,"yyyy-mm-dd"),"no date")&amp;"|"&amp;E26&amp;"|"&amp;IF(ISNUMBER(F26),TEXT(F26,"0.00"),"blank")</f>
        <v>Diabetes Prevention Classes|2025-07-31|Registered Dietitian|1.75</v>
      </c>
      <c r="I26" s="1" t="n">
        <f aca="false">COUNTIF($H$5:$H$1624,H26)</f>
        <v>1</v>
      </c>
      <c r="J26" s="1" t="n">
        <f aca="false">COUNTIF($H$5:H26,H26)</f>
        <v>1</v>
      </c>
      <c r="K26" s="1" t="n">
        <f aca="false">COUNTIFS($H$5:$H$1624,H26,$B$5:$B$1624,"&lt;&gt;"&amp;B26)</f>
        <v>0</v>
      </c>
      <c r="L26" s="1" t="str">
        <f aca="false">IF(I26&gt;1,IF(K26&gt;0,"Cross-hospital match","Same-hospital match"),"")</f>
        <v/>
      </c>
      <c r="M26" s="52"/>
      <c r="N26" s="52"/>
      <c r="O26" s="1" t="n">
        <f aca="false">IF(M26="Exclude (duplicate)",0,1)</f>
        <v>1</v>
      </c>
      <c r="P26" s="1" t="str">
        <f aca="false">IF(AND(L26&lt;&gt;"",M26=""),"Needs decision","")</f>
        <v/>
      </c>
    </row>
    <row r="27" customFormat="false" ht="15" hidden="false" customHeight="false" outlineLevel="0" collapsed="false">
      <c r="A27" s="48" t="str">
        <f aca="false">COST!A27</f>
        <v>KVMC-0023</v>
      </c>
      <c r="B27" s="48" t="str">
        <f aca="false">COST!B27</f>
        <v>KVMC</v>
      </c>
      <c r="C27" s="48" t="str">
        <f aca="false">COST!D27</f>
        <v>Mobile Health Screening Unit</v>
      </c>
      <c r="D27" s="62" t="n">
        <f aca="false">COST!M27</f>
        <v>45869</v>
      </c>
      <c r="E27" s="48" t="str">
        <f aca="false">COST!P27</f>
        <v>Community Health Worker</v>
      </c>
      <c r="F27" s="63" t="n">
        <f aca="false">COST!R27</f>
        <v>105.75</v>
      </c>
      <c r="G27" s="48" t="str">
        <f aca="false">STACK!M27</f>
        <v/>
      </c>
      <c r="H27" s="1" t="str">
        <f aca="false">C27&amp;"|"&amp;IF(ISNUMBER(D27),TEXT(D27,"yyyy-mm-dd"),"no date")&amp;"|"&amp;E27&amp;"|"&amp;IF(ISNUMBER(F27),TEXT(F27,"0.00"),"blank")</f>
        <v>Mobile Health Screening Unit|2025-07-31|Community Health Worker|105.75</v>
      </c>
      <c r="I27" s="1" t="n">
        <f aca="false">COUNTIF($H$5:$H$1624,H27)</f>
        <v>1</v>
      </c>
      <c r="J27" s="1" t="n">
        <f aca="false">COUNTIF($H$5:H27,H27)</f>
        <v>1</v>
      </c>
      <c r="K27" s="1" t="n">
        <f aca="false">COUNTIFS($H$5:$H$1624,H27,$B$5:$B$1624,"&lt;&gt;"&amp;B27)</f>
        <v>0</v>
      </c>
      <c r="L27" s="1" t="str">
        <f aca="false">IF(I27&gt;1,IF(K27&gt;0,"Cross-hospital match","Same-hospital match"),"")</f>
        <v/>
      </c>
      <c r="M27" s="52"/>
      <c r="N27" s="52"/>
      <c r="O27" s="1" t="n">
        <f aca="false">IF(M27="Exclude (duplicate)",0,1)</f>
        <v>1</v>
      </c>
      <c r="P27" s="1" t="str">
        <f aca="false">IF(AND(L27&lt;&gt;"",M27=""),"Needs decision","")</f>
        <v/>
      </c>
    </row>
    <row r="28" customFormat="false" ht="15" hidden="false" customHeight="false" outlineLevel="0" collapsed="false">
      <c r="A28" s="48" t="str">
        <f aca="false">COST!A28</f>
        <v>KVMC-0024</v>
      </c>
      <c r="B28" s="48" t="str">
        <f aca="false">COST!B28</f>
        <v>KVMC</v>
      </c>
      <c r="C28" s="48" t="str">
        <f aca="false">COST!D28</f>
        <v>Mobile Health Screening Unit</v>
      </c>
      <c r="D28" s="62" t="n">
        <f aca="false">COST!M28</f>
        <v>45869</v>
      </c>
      <c r="E28" s="48" t="str">
        <f aca="false">COST!P28</f>
        <v>Medical Assistant</v>
      </c>
      <c r="F28" s="63" t="n">
        <f aca="false">COST!R28</f>
        <v>130.25</v>
      </c>
      <c r="G28" s="48" t="str">
        <f aca="false">STACK!M28</f>
        <v/>
      </c>
      <c r="H28" s="1" t="str">
        <f aca="false">C28&amp;"|"&amp;IF(ISNUMBER(D28),TEXT(D28,"yyyy-mm-dd"),"no date")&amp;"|"&amp;E28&amp;"|"&amp;IF(ISNUMBER(F28),TEXT(F28,"0.00"),"blank")</f>
        <v>Mobile Health Screening Unit|2025-07-31|Medical Assistant|130.25</v>
      </c>
      <c r="I28" s="1" t="n">
        <f aca="false">COUNTIF($H$5:$H$1624,H28)</f>
        <v>1</v>
      </c>
      <c r="J28" s="1" t="n">
        <f aca="false">COUNTIF($H$5:H28,H28)</f>
        <v>1</v>
      </c>
      <c r="K28" s="1" t="n">
        <f aca="false">COUNTIFS($H$5:$H$1624,H28,$B$5:$B$1624,"&lt;&gt;"&amp;B28)</f>
        <v>0</v>
      </c>
      <c r="L28" s="1" t="str">
        <f aca="false">IF(I28&gt;1,IF(K28&gt;0,"Cross-hospital match","Same-hospital match"),"")</f>
        <v/>
      </c>
      <c r="M28" s="52"/>
      <c r="N28" s="52"/>
      <c r="O28" s="1" t="n">
        <f aca="false">IF(M28="Exclude (duplicate)",0,1)</f>
        <v>1</v>
      </c>
      <c r="P28" s="1" t="str">
        <f aca="false">IF(AND(L28&lt;&gt;"",M28=""),"Needs decision","")</f>
        <v/>
      </c>
    </row>
    <row r="29" customFormat="false" ht="15" hidden="false" customHeight="false" outlineLevel="0" collapsed="false">
      <c r="A29" s="48" t="str">
        <f aca="false">COST!A29</f>
        <v>KVMC-0025</v>
      </c>
      <c r="B29" s="48" t="str">
        <f aca="false">COST!B29</f>
        <v>KVMC</v>
      </c>
      <c r="C29" s="48" t="str">
        <f aca="false">COST!D29</f>
        <v>Mobile Health Screening Unit</v>
      </c>
      <c r="D29" s="62" t="n">
        <f aca="false">COST!M29</f>
        <v>45869</v>
      </c>
      <c r="E29" s="48" t="str">
        <f aca="false">COST!P29</f>
        <v>Registered Nurse</v>
      </c>
      <c r="F29" s="63" t="n">
        <f aca="false">COST!R29</f>
        <v>115.25</v>
      </c>
      <c r="G29" s="48" t="str">
        <f aca="false">STACK!M29</f>
        <v/>
      </c>
      <c r="H29" s="1" t="str">
        <f aca="false">C29&amp;"|"&amp;IF(ISNUMBER(D29),TEXT(D29,"yyyy-mm-dd"),"no date")&amp;"|"&amp;E29&amp;"|"&amp;IF(ISNUMBER(F29),TEXT(F29,"0.00"),"blank")</f>
        <v>Mobile Health Screening Unit|2025-07-31|Registered Nurse|115.25</v>
      </c>
      <c r="I29" s="1" t="n">
        <f aca="false">COUNTIF($H$5:$H$1624,H29)</f>
        <v>1</v>
      </c>
      <c r="J29" s="1" t="n">
        <f aca="false">COUNTIF($H$5:H29,H29)</f>
        <v>1</v>
      </c>
      <c r="K29" s="1" t="n">
        <f aca="false">COUNTIFS($H$5:$H$1624,H29,$B$5:$B$1624,"&lt;&gt;"&amp;B29)</f>
        <v>0</v>
      </c>
      <c r="L29" s="1" t="str">
        <f aca="false">IF(I29&gt;1,IF(K29&gt;0,"Cross-hospital match","Same-hospital match"),"")</f>
        <v/>
      </c>
      <c r="M29" s="52"/>
      <c r="N29" s="52"/>
      <c r="O29" s="1" t="n">
        <f aca="false">IF(M29="Exclude (duplicate)",0,1)</f>
        <v>1</v>
      </c>
      <c r="P29" s="1" t="str">
        <f aca="false">IF(AND(L29&lt;&gt;"",M29=""),"Needs decision","")</f>
        <v/>
      </c>
    </row>
    <row r="30" customFormat="false" ht="15" hidden="false" customHeight="false" outlineLevel="0" collapsed="false">
      <c r="A30" s="48" t="str">
        <f aca="false">COST!A30</f>
        <v>KVMC-0026</v>
      </c>
      <c r="B30" s="48" t="str">
        <f aca="false">COST!B30</f>
        <v>KVMC</v>
      </c>
      <c r="C30" s="48" t="str">
        <f aca="false">COST!D30</f>
        <v>Free Clinic Provider Staffing</v>
      </c>
      <c r="D30" s="62" t="n">
        <f aca="false">COST!M30</f>
        <v>45869</v>
      </c>
      <c r="E30" s="48" t="str">
        <f aca="false">COST!P30</f>
        <v>Nurse Practitioner</v>
      </c>
      <c r="F30" s="63" t="n">
        <f aca="false">COST!R30</f>
        <v>44</v>
      </c>
      <c r="G30" s="48" t="str">
        <f aca="false">STACK!M30</f>
        <v/>
      </c>
      <c r="H30" s="1" t="str">
        <f aca="false">C30&amp;"|"&amp;IF(ISNUMBER(D30),TEXT(D30,"yyyy-mm-dd"),"no date")&amp;"|"&amp;E30&amp;"|"&amp;IF(ISNUMBER(F30),TEXT(F30,"0.00"),"blank")</f>
        <v>Free Clinic Provider Staffing|2025-07-31|Nurse Practitioner|44.00</v>
      </c>
      <c r="I30" s="1" t="n">
        <f aca="false">COUNTIF($H$5:$H$1624,H30)</f>
        <v>1</v>
      </c>
      <c r="J30" s="1" t="n">
        <f aca="false">COUNTIF($H$5:H30,H30)</f>
        <v>1</v>
      </c>
      <c r="K30" s="1" t="n">
        <f aca="false">COUNTIFS($H$5:$H$1624,H30,$B$5:$B$1624,"&lt;&gt;"&amp;B30)</f>
        <v>0</v>
      </c>
      <c r="L30" s="1" t="str">
        <f aca="false">IF(I30&gt;1,IF(K30&gt;0,"Cross-hospital match","Same-hospital match"),"")</f>
        <v/>
      </c>
      <c r="M30" s="52"/>
      <c r="N30" s="52"/>
      <c r="O30" s="1" t="n">
        <f aca="false">IF(M30="Exclude (duplicate)",0,1)</f>
        <v>1</v>
      </c>
      <c r="P30" s="1" t="str">
        <f aca="false">IF(AND(L30&lt;&gt;"",M30=""),"Needs decision","")</f>
        <v/>
      </c>
    </row>
    <row r="31" customFormat="false" ht="15" hidden="false" customHeight="false" outlineLevel="0" collapsed="false">
      <c r="A31" s="48" t="str">
        <f aca="false">COST!A31</f>
        <v>KVMC-0027</v>
      </c>
      <c r="B31" s="48" t="str">
        <f aca="false">COST!B31</f>
        <v>KVMC</v>
      </c>
      <c r="C31" s="48" t="str">
        <f aca="false">COST!D31</f>
        <v>Free Clinic Provider Staffing</v>
      </c>
      <c r="D31" s="62" t="n">
        <f aca="false">COST!M31</f>
        <v>45869</v>
      </c>
      <c r="E31" s="48" t="str">
        <f aca="false">COST!P31</f>
        <v>Pharmacist</v>
      </c>
      <c r="F31" s="63" t="n">
        <f aca="false">COST!R31</f>
        <v>13.75</v>
      </c>
      <c r="G31" s="48" t="str">
        <f aca="false">STACK!M31</f>
        <v/>
      </c>
      <c r="H31" s="1" t="str">
        <f aca="false">C31&amp;"|"&amp;IF(ISNUMBER(D31),TEXT(D31,"yyyy-mm-dd"),"no date")&amp;"|"&amp;E31&amp;"|"&amp;IF(ISNUMBER(F31),TEXT(F31,"0.00"),"blank")</f>
        <v>Free Clinic Provider Staffing|2025-07-31|Pharmacist|13.75</v>
      </c>
      <c r="I31" s="1" t="n">
        <f aca="false">COUNTIF($H$5:$H$1624,H31)</f>
        <v>1</v>
      </c>
      <c r="J31" s="1" t="n">
        <f aca="false">COUNTIF($H$5:H31,H31)</f>
        <v>1</v>
      </c>
      <c r="K31" s="1" t="n">
        <f aca="false">COUNTIFS($H$5:$H$1624,H31,$B$5:$B$1624,"&lt;&gt;"&amp;B31)</f>
        <v>0</v>
      </c>
      <c r="L31" s="1" t="str">
        <f aca="false">IF(I31&gt;1,IF(K31&gt;0,"Cross-hospital match","Same-hospital match"),"")</f>
        <v/>
      </c>
      <c r="M31" s="52"/>
      <c r="N31" s="52"/>
      <c r="O31" s="1" t="n">
        <f aca="false">IF(M31="Exclude (duplicate)",0,1)</f>
        <v>1</v>
      </c>
      <c r="P31" s="1" t="str">
        <f aca="false">IF(AND(L31&lt;&gt;"",M31=""),"Needs decision","")</f>
        <v/>
      </c>
    </row>
    <row r="32" customFormat="false" ht="15" hidden="false" customHeight="false" outlineLevel="0" collapsed="false">
      <c r="A32" s="48" t="str">
        <f aca="false">COST!A32</f>
        <v>KVMC-0028</v>
      </c>
      <c r="B32" s="48" t="str">
        <f aca="false">COST!B32</f>
        <v>KVMC</v>
      </c>
      <c r="C32" s="48" t="str">
        <f aca="false">COST!D32</f>
        <v>Free Clinic Provider Staffing</v>
      </c>
      <c r="D32" s="62" t="n">
        <f aca="false">COST!M32</f>
        <v>45869</v>
      </c>
      <c r="E32" s="48" t="str">
        <f aca="false">COST!P32</f>
        <v>Registered Nurse</v>
      </c>
      <c r="F32" s="63" t="n">
        <f aca="false">COST!R32</f>
        <v>59.25</v>
      </c>
      <c r="G32" s="48" t="str">
        <f aca="false">STACK!M32</f>
        <v/>
      </c>
      <c r="H32" s="1" t="str">
        <f aca="false">C32&amp;"|"&amp;IF(ISNUMBER(D32),TEXT(D32,"yyyy-mm-dd"),"no date")&amp;"|"&amp;E32&amp;"|"&amp;IF(ISNUMBER(F32),TEXT(F32,"0.00"),"blank")</f>
        <v>Free Clinic Provider Staffing|2025-07-31|Registered Nurse|59.25</v>
      </c>
      <c r="I32" s="1" t="n">
        <f aca="false">COUNTIF($H$5:$H$1624,H32)</f>
        <v>1</v>
      </c>
      <c r="J32" s="1" t="n">
        <f aca="false">COUNTIF($H$5:H32,H32)</f>
        <v>1</v>
      </c>
      <c r="K32" s="1" t="n">
        <f aca="false">COUNTIFS($H$5:$H$1624,H32,$B$5:$B$1624,"&lt;&gt;"&amp;B32)</f>
        <v>0</v>
      </c>
      <c r="L32" s="1" t="str">
        <f aca="false">IF(I32&gt;1,IF(K32&gt;0,"Cross-hospital match","Same-hospital match"),"")</f>
        <v/>
      </c>
      <c r="M32" s="52"/>
      <c r="N32" s="52"/>
      <c r="O32" s="1" t="n">
        <f aca="false">IF(M32="Exclude (duplicate)",0,1)</f>
        <v>1</v>
      </c>
      <c r="P32" s="1" t="str">
        <f aca="false">IF(AND(L32&lt;&gt;"",M32=""),"Needs decision","")</f>
        <v/>
      </c>
    </row>
    <row r="33" customFormat="false" ht="15" hidden="false" customHeight="false" outlineLevel="0" collapsed="false">
      <c r="A33" s="48" t="str">
        <f aca="false">COST!A33</f>
        <v>KVMC-0029</v>
      </c>
      <c r="B33" s="48" t="str">
        <f aca="false">COST!B33</f>
        <v>KVMC</v>
      </c>
      <c r="C33" s="48" t="str">
        <f aca="false">COST!D33</f>
        <v>Community Health Worker Outreach</v>
      </c>
      <c r="D33" s="62" t="n">
        <f aca="false">COST!M33</f>
        <v>45869</v>
      </c>
      <c r="E33" s="48" t="str">
        <f aca="false">COST!P33</f>
        <v>Community Health Worker</v>
      </c>
      <c r="F33" s="63" t="n">
        <f aca="false">COST!R33</f>
        <v>387.75</v>
      </c>
      <c r="G33" s="48" t="str">
        <f aca="false">STACK!M33</f>
        <v/>
      </c>
      <c r="H33" s="1" t="str">
        <f aca="false">C33&amp;"|"&amp;IF(ISNUMBER(D33),TEXT(D33,"yyyy-mm-dd"),"no date")&amp;"|"&amp;E33&amp;"|"&amp;IF(ISNUMBER(F33),TEXT(F33,"0.00"),"blank")</f>
        <v>Community Health Worker Outreach|2025-07-31|Community Health Worker|387.75</v>
      </c>
      <c r="I33" s="1" t="n">
        <f aca="false">COUNTIF($H$5:$H$1624,H33)</f>
        <v>1</v>
      </c>
      <c r="J33" s="1" t="n">
        <f aca="false">COUNTIF($H$5:H33,H33)</f>
        <v>1</v>
      </c>
      <c r="K33" s="1" t="n">
        <f aca="false">COUNTIFS($H$5:$H$1624,H33,$B$5:$B$1624,"&lt;&gt;"&amp;B33)</f>
        <v>0</v>
      </c>
      <c r="L33" s="1" t="str">
        <f aca="false">IF(I33&gt;1,IF(K33&gt;0,"Cross-hospital match","Same-hospital match"),"")</f>
        <v/>
      </c>
      <c r="M33" s="52"/>
      <c r="N33" s="52"/>
      <c r="O33" s="1" t="n">
        <f aca="false">IF(M33="Exclude (duplicate)",0,1)</f>
        <v>1</v>
      </c>
      <c r="P33" s="1" t="str">
        <f aca="false">IF(AND(L33&lt;&gt;"",M33=""),"Needs decision","")</f>
        <v/>
      </c>
    </row>
    <row r="34" customFormat="false" ht="15" hidden="false" customHeight="false" outlineLevel="0" collapsed="false">
      <c r="A34" s="48" t="str">
        <f aca="false">COST!A34</f>
        <v>KVMC-0030</v>
      </c>
      <c r="B34" s="48" t="str">
        <f aca="false">COST!B34</f>
        <v>KVMC</v>
      </c>
      <c r="C34" s="48" t="str">
        <f aca="false">COST!D34</f>
        <v>Community Health Worker Outreach</v>
      </c>
      <c r="D34" s="62" t="n">
        <f aca="false">COST!M34</f>
        <v>45869</v>
      </c>
      <c r="E34" s="48" t="str">
        <f aca="false">COST!P34</f>
        <v>Patient Navigator</v>
      </c>
      <c r="F34" s="63" t="n">
        <f aca="false">COST!R34</f>
        <v>155.5</v>
      </c>
      <c r="G34" s="48" t="str">
        <f aca="false">STACK!M34</f>
        <v/>
      </c>
      <c r="H34" s="1" t="str">
        <f aca="false">C34&amp;"|"&amp;IF(ISNUMBER(D34),TEXT(D34,"yyyy-mm-dd"),"no date")&amp;"|"&amp;E34&amp;"|"&amp;IF(ISNUMBER(F34),TEXT(F34,"0.00"),"blank")</f>
        <v>Community Health Worker Outreach|2025-07-31|Patient Navigator|155.50</v>
      </c>
      <c r="I34" s="1" t="n">
        <f aca="false">COUNTIF($H$5:$H$1624,H34)</f>
        <v>1</v>
      </c>
      <c r="J34" s="1" t="n">
        <f aca="false">COUNTIF($H$5:H34,H34)</f>
        <v>1</v>
      </c>
      <c r="K34" s="1" t="n">
        <f aca="false">COUNTIFS($H$5:$H$1624,H34,$B$5:$B$1624,"&lt;&gt;"&amp;B34)</f>
        <v>0</v>
      </c>
      <c r="L34" s="1" t="str">
        <f aca="false">IF(I34&gt;1,IF(K34&gt;0,"Cross-hospital match","Same-hospital match"),"")</f>
        <v/>
      </c>
      <c r="M34" s="52"/>
      <c r="N34" s="52"/>
      <c r="O34" s="1" t="n">
        <f aca="false">IF(M34="Exclude (duplicate)",0,1)</f>
        <v>1</v>
      </c>
      <c r="P34" s="1" t="str">
        <f aca="false">IF(AND(L34&lt;&gt;"",M34=""),"Needs decision","")</f>
        <v/>
      </c>
    </row>
    <row r="35" customFormat="false" ht="15" hidden="false" customHeight="false" outlineLevel="0" collapsed="false">
      <c r="A35" s="48" t="str">
        <f aca="false">COST!A35</f>
        <v>KVMC-0031</v>
      </c>
      <c r="B35" s="48" t="str">
        <f aca="false">COST!B35</f>
        <v>KVMC</v>
      </c>
      <c r="C35" s="48" t="str">
        <f aca="false">COST!D35</f>
        <v>Medication Assistance Program</v>
      </c>
      <c r="D35" s="62" t="n">
        <f aca="false">COST!M35</f>
        <v>45869</v>
      </c>
      <c r="E35" s="48" t="str">
        <f aca="false">COST!P35</f>
        <v>Patient Navigator</v>
      </c>
      <c r="F35" s="63" t="n">
        <f aca="false">COST!R35</f>
        <v>90.75</v>
      </c>
      <c r="G35" s="48" t="str">
        <f aca="false">STACK!M35</f>
        <v/>
      </c>
      <c r="H35" s="1" t="str">
        <f aca="false">C35&amp;"|"&amp;IF(ISNUMBER(D35),TEXT(D35,"yyyy-mm-dd"),"no date")&amp;"|"&amp;E35&amp;"|"&amp;IF(ISNUMBER(F35),TEXT(F35,"0.00"),"blank")</f>
        <v>Medication Assistance Program|2025-07-31|Patient Navigator|90.75</v>
      </c>
      <c r="I35" s="1" t="n">
        <f aca="false">COUNTIF($H$5:$H$1624,H35)</f>
        <v>1</v>
      </c>
      <c r="J35" s="1" t="n">
        <f aca="false">COUNTIF($H$5:H35,H35)</f>
        <v>1</v>
      </c>
      <c r="K35" s="1" t="n">
        <f aca="false">COUNTIFS($H$5:$H$1624,H35,$B$5:$B$1624,"&lt;&gt;"&amp;B35)</f>
        <v>0</v>
      </c>
      <c r="L35" s="1" t="str">
        <f aca="false">IF(I35&gt;1,IF(K35&gt;0,"Cross-hospital match","Same-hospital match"),"")</f>
        <v/>
      </c>
      <c r="M35" s="52"/>
      <c r="N35" s="52"/>
      <c r="O35" s="1" t="n">
        <f aca="false">IF(M35="Exclude (duplicate)",0,1)</f>
        <v>1</v>
      </c>
      <c r="P35" s="1" t="str">
        <f aca="false">IF(AND(L35&lt;&gt;"",M35=""),"Needs decision","")</f>
        <v/>
      </c>
    </row>
    <row r="36" customFormat="false" ht="15" hidden="false" customHeight="false" outlineLevel="0" collapsed="false">
      <c r="A36" s="48" t="str">
        <f aca="false">COST!A36</f>
        <v>KVMC-0032</v>
      </c>
      <c r="B36" s="48" t="str">
        <f aca="false">COST!B36</f>
        <v>KVMC</v>
      </c>
      <c r="C36" s="48" t="str">
        <f aca="false">COST!D36</f>
        <v>Medication Assistance Program</v>
      </c>
      <c r="D36" s="62" t="n">
        <f aca="false">COST!M36</f>
        <v>45869</v>
      </c>
      <c r="E36" s="48" t="str">
        <f aca="false">COST!P36</f>
        <v>Pharmacist</v>
      </c>
      <c r="F36" s="63" t="n">
        <f aca="false">COST!R36</f>
        <v>24.25</v>
      </c>
      <c r="G36" s="48" t="str">
        <f aca="false">STACK!M36</f>
        <v/>
      </c>
      <c r="H36" s="1" t="str">
        <f aca="false">C36&amp;"|"&amp;IF(ISNUMBER(D36),TEXT(D36,"yyyy-mm-dd"),"no date")&amp;"|"&amp;E36&amp;"|"&amp;IF(ISNUMBER(F36),TEXT(F36,"0.00"),"blank")</f>
        <v>Medication Assistance Program|2025-07-31|Pharmacist|24.25</v>
      </c>
      <c r="I36" s="1" t="n">
        <f aca="false">COUNTIF($H$5:$H$1624,H36)</f>
        <v>1</v>
      </c>
      <c r="J36" s="1" t="n">
        <f aca="false">COUNTIF($H$5:H36,H36)</f>
        <v>1</v>
      </c>
      <c r="K36" s="1" t="n">
        <f aca="false">COUNTIFS($H$5:$H$1624,H36,$B$5:$B$1624,"&lt;&gt;"&amp;B36)</f>
        <v>0</v>
      </c>
      <c r="L36" s="1" t="str">
        <f aca="false">IF(I36&gt;1,IF(K36&gt;0,"Cross-hospital match","Same-hospital match"),"")</f>
        <v/>
      </c>
      <c r="M36" s="52"/>
      <c r="N36" s="52"/>
      <c r="O36" s="1" t="n">
        <f aca="false">IF(M36="Exclude (duplicate)",0,1)</f>
        <v>1</v>
      </c>
      <c r="P36" s="1" t="str">
        <f aca="false">IF(AND(L36&lt;&gt;"",M36=""),"Needs decision","")</f>
        <v/>
      </c>
    </row>
    <row r="37" customFormat="false" ht="15" hidden="false" customHeight="false" outlineLevel="0" collapsed="false">
      <c r="A37" s="48" t="str">
        <f aca="false">COST!A37</f>
        <v>KVMC-0033</v>
      </c>
      <c r="B37" s="48" t="str">
        <f aca="false">COST!B37</f>
        <v>KVMC</v>
      </c>
      <c r="C37" s="48" t="str">
        <f aca="false">COST!D37</f>
        <v>Community Health Needs Assessment</v>
      </c>
      <c r="D37" s="62" t="n">
        <f aca="false">COST!M37</f>
        <v>45869</v>
      </c>
      <c r="E37" s="48" t="str">
        <f aca="false">COST!P37</f>
        <v>Community Benefit Manager</v>
      </c>
      <c r="F37" s="63" t="n">
        <f aca="false">COST!R37</f>
        <v>38.25</v>
      </c>
      <c r="G37" s="48" t="str">
        <f aca="false">STACK!M37</f>
        <v/>
      </c>
      <c r="H37" s="1" t="str">
        <f aca="false">C37&amp;"|"&amp;IF(ISNUMBER(D37),TEXT(D37,"yyyy-mm-dd"),"no date")&amp;"|"&amp;E37&amp;"|"&amp;IF(ISNUMBER(F37),TEXT(F37,"0.00"),"blank")</f>
        <v>Community Health Needs Assessment|2025-07-31|Community Benefit Manager|38.25</v>
      </c>
      <c r="I37" s="1" t="n">
        <f aca="false">COUNTIF($H$5:$H$1624,H37)</f>
        <v>1</v>
      </c>
      <c r="J37" s="1" t="n">
        <f aca="false">COUNTIF($H$5:H37,H37)</f>
        <v>1</v>
      </c>
      <c r="K37" s="1" t="n">
        <f aca="false">COUNTIFS($H$5:$H$1624,H37,$B$5:$B$1624,"&lt;&gt;"&amp;B37)</f>
        <v>0</v>
      </c>
      <c r="L37" s="1" t="str">
        <f aca="false">IF(I37&gt;1,IF(K37&gt;0,"Cross-hospital match","Same-hospital match"),"")</f>
        <v/>
      </c>
      <c r="M37" s="52"/>
      <c r="N37" s="52"/>
      <c r="O37" s="1" t="n">
        <f aca="false">IF(M37="Exclude (duplicate)",0,1)</f>
        <v>1</v>
      </c>
      <c r="P37" s="1" t="str">
        <f aca="false">IF(AND(L37&lt;&gt;"",M37=""),"Needs decision","")</f>
        <v/>
      </c>
    </row>
    <row r="38" customFormat="false" ht="15" hidden="false" customHeight="false" outlineLevel="0" collapsed="false">
      <c r="A38" s="48" t="str">
        <f aca="false">COST!A38</f>
        <v>KVMC-0034</v>
      </c>
      <c r="B38" s="48" t="str">
        <f aca="false">COST!B38</f>
        <v>KVMC</v>
      </c>
      <c r="C38" s="48" t="str">
        <f aca="false">COST!D38</f>
        <v>Community Health Needs Assessment</v>
      </c>
      <c r="D38" s="62" t="n">
        <f aca="false">COST!M38</f>
        <v>45869</v>
      </c>
      <c r="E38" s="48" t="str">
        <f aca="false">COST!P38</f>
        <v>Data Analyst</v>
      </c>
      <c r="F38" s="63" t="n">
        <f aca="false">COST!R38</f>
        <v>24</v>
      </c>
      <c r="G38" s="48" t="str">
        <f aca="false">STACK!M38</f>
        <v/>
      </c>
      <c r="H38" s="1" t="str">
        <f aca="false">C38&amp;"|"&amp;IF(ISNUMBER(D38),TEXT(D38,"yyyy-mm-dd"),"no date")&amp;"|"&amp;E38&amp;"|"&amp;IF(ISNUMBER(F38),TEXT(F38,"0.00"),"blank")</f>
        <v>Community Health Needs Assessment|2025-07-31|Data Analyst|24.00</v>
      </c>
      <c r="I38" s="1" t="n">
        <f aca="false">COUNTIF($H$5:$H$1624,H38)</f>
        <v>1</v>
      </c>
      <c r="J38" s="1" t="n">
        <f aca="false">COUNTIF($H$5:H38,H38)</f>
        <v>1</v>
      </c>
      <c r="K38" s="1" t="n">
        <f aca="false">COUNTIFS($H$5:$H$1624,H38,$B$5:$B$1624,"&lt;&gt;"&amp;B38)</f>
        <v>0</v>
      </c>
      <c r="L38" s="1" t="str">
        <f aca="false">IF(I38&gt;1,IF(K38&gt;0,"Cross-hospital match","Same-hospital match"),"")</f>
        <v/>
      </c>
      <c r="M38" s="52"/>
      <c r="N38" s="52"/>
      <c r="O38" s="1" t="n">
        <f aca="false">IF(M38="Exclude (duplicate)",0,1)</f>
        <v>1</v>
      </c>
      <c r="P38" s="1" t="str">
        <f aca="false">IF(AND(L38&lt;&gt;"",M38=""),"Needs decision","")</f>
        <v/>
      </c>
    </row>
    <row r="39" customFormat="false" ht="15" hidden="false" customHeight="false" outlineLevel="0" collapsed="false">
      <c r="A39" s="48" t="str">
        <f aca="false">COST!A39</f>
        <v>KVMC-0035</v>
      </c>
      <c r="B39" s="48" t="str">
        <f aca="false">COST!B39</f>
        <v>KVMC</v>
      </c>
      <c r="C39" s="48" t="str">
        <f aca="false">COST!D39</f>
        <v>Community Benefit Program Administration</v>
      </c>
      <c r="D39" s="62" t="n">
        <f aca="false">COST!M39</f>
        <v>45869</v>
      </c>
      <c r="E39" s="48" t="str">
        <f aca="false">COST!P39</f>
        <v>Administrative Assistant</v>
      </c>
      <c r="F39" s="63" t="n">
        <f aca="false">COST!R39</f>
        <v>48.75</v>
      </c>
      <c r="G39" s="48" t="str">
        <f aca="false">STACK!M39</f>
        <v/>
      </c>
      <c r="H39" s="1" t="str">
        <f aca="false">C39&amp;"|"&amp;IF(ISNUMBER(D39),TEXT(D39,"yyyy-mm-dd"),"no date")&amp;"|"&amp;E39&amp;"|"&amp;IF(ISNUMBER(F39),TEXT(F39,"0.00"),"blank")</f>
        <v>Community Benefit Program Administration|2025-07-31|Administrative Assistant|48.75</v>
      </c>
      <c r="I39" s="1" t="n">
        <f aca="false">COUNTIF($H$5:$H$1624,H39)</f>
        <v>1</v>
      </c>
      <c r="J39" s="1" t="n">
        <f aca="false">COUNTIF($H$5:H39,H39)</f>
        <v>1</v>
      </c>
      <c r="K39" s="1" t="n">
        <f aca="false">COUNTIFS($H$5:$H$1624,H39,$B$5:$B$1624,"&lt;&gt;"&amp;B39)</f>
        <v>0</v>
      </c>
      <c r="L39" s="1" t="str">
        <f aca="false">IF(I39&gt;1,IF(K39&gt;0,"Cross-hospital match","Same-hospital match"),"")</f>
        <v/>
      </c>
      <c r="M39" s="52"/>
      <c r="N39" s="52"/>
      <c r="O39" s="1" t="n">
        <f aca="false">IF(M39="Exclude (duplicate)",0,1)</f>
        <v>1</v>
      </c>
      <c r="P39" s="1" t="str">
        <f aca="false">IF(AND(L39&lt;&gt;"",M39=""),"Needs decision","")</f>
        <v/>
      </c>
    </row>
    <row r="40" customFormat="false" ht="15" hidden="false" customHeight="false" outlineLevel="0" collapsed="false">
      <c r="A40" s="48" t="str">
        <f aca="false">COST!A40</f>
        <v>KVMC-0036</v>
      </c>
      <c r="B40" s="48" t="str">
        <f aca="false">COST!B40</f>
        <v>KVMC</v>
      </c>
      <c r="C40" s="48" t="str">
        <f aca="false">COST!D40</f>
        <v>Community Benefit Program Administration</v>
      </c>
      <c r="D40" s="62" t="n">
        <f aca="false">COST!M40</f>
        <v>45869</v>
      </c>
      <c r="E40" s="48" t="str">
        <f aca="false">COST!P40</f>
        <v>Community Benefit Manager</v>
      </c>
      <c r="F40" s="63" t="n">
        <f aca="false">COST!R40</f>
        <v>92</v>
      </c>
      <c r="G40" s="48" t="str">
        <f aca="false">STACK!M40</f>
        <v/>
      </c>
      <c r="H40" s="1" t="str">
        <f aca="false">C40&amp;"|"&amp;IF(ISNUMBER(D40),TEXT(D40,"yyyy-mm-dd"),"no date")&amp;"|"&amp;E40&amp;"|"&amp;IF(ISNUMBER(F40),TEXT(F40,"0.00"),"blank")</f>
        <v>Community Benefit Program Administration|2025-07-31|Community Benefit Manager|92.00</v>
      </c>
      <c r="I40" s="1" t="n">
        <f aca="false">COUNTIF($H$5:$H$1624,H40)</f>
        <v>1</v>
      </c>
      <c r="J40" s="1" t="n">
        <f aca="false">COUNTIF($H$5:H40,H40)</f>
        <v>1</v>
      </c>
      <c r="K40" s="1" t="n">
        <f aca="false">COUNTIFS($H$5:$H$1624,H40,$B$5:$B$1624,"&lt;&gt;"&amp;B40)</f>
        <v>0</v>
      </c>
      <c r="L40" s="1" t="str">
        <f aca="false">IF(I40&gt;1,IF(K40&gt;0,"Cross-hospital match","Same-hospital match"),"")</f>
        <v/>
      </c>
      <c r="M40" s="52"/>
      <c r="N40" s="52"/>
      <c r="O40" s="1" t="n">
        <f aca="false">IF(M40="Exclude (duplicate)",0,1)</f>
        <v>1</v>
      </c>
      <c r="P40" s="1" t="str">
        <f aca="false">IF(AND(L40&lt;&gt;"",M40=""),"Needs decision","")</f>
        <v/>
      </c>
    </row>
    <row r="41" customFormat="false" ht="15" hidden="false" customHeight="false" outlineLevel="0" collapsed="false">
      <c r="A41" s="48" t="str">
        <f aca="false">COST!A41</f>
        <v>KVMC-0037</v>
      </c>
      <c r="B41" s="48" t="str">
        <f aca="false">COST!B41</f>
        <v>KVMC</v>
      </c>
      <c r="C41" s="48" t="str">
        <f aca="false">COST!D41</f>
        <v>Interpreter Services for Community Clinics</v>
      </c>
      <c r="D41" s="62" t="n">
        <f aca="false">COST!M41</f>
        <v>45869</v>
      </c>
      <c r="E41" s="48" t="str">
        <f aca="false">COST!P41</f>
        <v>Interpreter</v>
      </c>
      <c r="F41" s="63" t="n">
        <f aca="false">COST!R41</f>
        <v>51</v>
      </c>
      <c r="G41" s="48" t="str">
        <f aca="false">STACK!M41</f>
        <v/>
      </c>
      <c r="H41" s="1" t="str">
        <f aca="false">C41&amp;"|"&amp;IF(ISNUMBER(D41),TEXT(D41,"yyyy-mm-dd"),"no date")&amp;"|"&amp;E41&amp;"|"&amp;IF(ISNUMBER(F41),TEXT(F41,"0.00"),"blank")</f>
        <v>Interpreter Services for Community Clinics|2025-07-31|Interpreter|51.00</v>
      </c>
      <c r="I41" s="1" t="n">
        <f aca="false">COUNTIF($H$5:$H$1624,H41)</f>
        <v>1</v>
      </c>
      <c r="J41" s="1" t="n">
        <f aca="false">COUNTIF($H$5:H41,H41)</f>
        <v>1</v>
      </c>
      <c r="K41" s="1" t="n">
        <f aca="false">COUNTIFS($H$5:$H$1624,H41,$B$5:$B$1624,"&lt;&gt;"&amp;B41)</f>
        <v>0</v>
      </c>
      <c r="L41" s="1" t="str">
        <f aca="false">IF(I41&gt;1,IF(K41&gt;0,"Cross-hospital match","Same-hospital match"),"")</f>
        <v/>
      </c>
      <c r="M41" s="52"/>
      <c r="N41" s="52"/>
      <c r="O41" s="1" t="n">
        <f aca="false">IF(M41="Exclude (duplicate)",0,1)</f>
        <v>1</v>
      </c>
      <c r="P41" s="1" t="str">
        <f aca="false">IF(AND(L41&lt;&gt;"",M41=""),"Needs decision","")</f>
        <v/>
      </c>
    </row>
    <row r="42" customFormat="false" ht="15" hidden="false" customHeight="false" outlineLevel="0" collapsed="false">
      <c r="A42" s="48" t="str">
        <f aca="false">COST!A42</f>
        <v>KVMC-0038</v>
      </c>
      <c r="B42" s="48" t="str">
        <f aca="false">COST!B42</f>
        <v>KVMC</v>
      </c>
      <c r="C42" s="48" t="str">
        <f aca="false">COST!D42</f>
        <v>Nursing Student Clinical Rotations</v>
      </c>
      <c r="D42" s="62" t="n">
        <f aca="false">COST!M42</f>
        <v>45869</v>
      </c>
      <c r="E42" s="48" t="str">
        <f aca="false">COST!P42</f>
        <v>Clinical Nurse Educator</v>
      </c>
      <c r="F42" s="63" t="n">
        <f aca="false">COST!R42</f>
        <v>61</v>
      </c>
      <c r="G42" s="48" t="str">
        <f aca="false">STACK!M42</f>
        <v/>
      </c>
      <c r="H42" s="1" t="str">
        <f aca="false">C42&amp;"|"&amp;IF(ISNUMBER(D42),TEXT(D42,"yyyy-mm-dd"),"no date")&amp;"|"&amp;E42&amp;"|"&amp;IF(ISNUMBER(F42),TEXT(F42,"0.00"),"blank")</f>
        <v>Nursing Student Clinical Rotations|2025-07-31|Clinical Nurse Educator|61.00</v>
      </c>
      <c r="I42" s="1" t="n">
        <f aca="false">COUNTIF($H$5:$H$1624,H42)</f>
        <v>1</v>
      </c>
      <c r="J42" s="1" t="n">
        <f aca="false">COUNTIF($H$5:H42,H42)</f>
        <v>1</v>
      </c>
      <c r="K42" s="1" t="n">
        <f aca="false">COUNTIFS($H$5:$H$1624,H42,$B$5:$B$1624,"&lt;&gt;"&amp;B42)</f>
        <v>0</v>
      </c>
      <c r="L42" s="1" t="str">
        <f aca="false">IF(I42&gt;1,IF(K42&gt;0,"Cross-hospital match","Same-hospital match"),"")</f>
        <v/>
      </c>
      <c r="M42" s="52"/>
      <c r="N42" s="52"/>
      <c r="O42" s="1" t="n">
        <f aca="false">IF(M42="Exclude (duplicate)",0,1)</f>
        <v>1</v>
      </c>
      <c r="P42" s="1" t="str">
        <f aca="false">IF(AND(L42&lt;&gt;"",M42=""),"Needs decision","")</f>
        <v/>
      </c>
    </row>
    <row r="43" customFormat="false" ht="15" hidden="false" customHeight="false" outlineLevel="0" collapsed="false">
      <c r="A43" s="48" t="str">
        <f aca="false">COST!A43</f>
        <v>KVMC-0039</v>
      </c>
      <c r="B43" s="48" t="str">
        <f aca="false">COST!B43</f>
        <v>KVMC</v>
      </c>
      <c r="C43" s="48" t="str">
        <f aca="false">COST!D43</f>
        <v>Nursing Student Clinical Rotations</v>
      </c>
      <c r="D43" s="62" t="n">
        <f aca="false">COST!M43</f>
        <v>45869</v>
      </c>
      <c r="E43" s="48" t="str">
        <f aca="false">COST!P43</f>
        <v>Registered Nurse</v>
      </c>
      <c r="F43" s="63" t="n">
        <f aca="false">COST!R43</f>
        <v>110.25</v>
      </c>
      <c r="G43" s="48" t="str">
        <f aca="false">STACK!M43</f>
        <v/>
      </c>
      <c r="H43" s="1" t="str">
        <f aca="false">C43&amp;"|"&amp;IF(ISNUMBER(D43),TEXT(D43,"yyyy-mm-dd"),"no date")&amp;"|"&amp;E43&amp;"|"&amp;IF(ISNUMBER(F43),TEXT(F43,"0.00"),"blank")</f>
        <v>Nursing Student Clinical Rotations|2025-07-31|Registered Nurse|110.25</v>
      </c>
      <c r="I43" s="1" t="n">
        <f aca="false">COUNTIF($H$5:$H$1624,H43)</f>
        <v>1</v>
      </c>
      <c r="J43" s="1" t="n">
        <f aca="false">COUNTIF($H$5:H43,H43)</f>
        <v>1</v>
      </c>
      <c r="K43" s="1" t="n">
        <f aca="false">COUNTIFS($H$5:$H$1624,H43,$B$5:$B$1624,"&lt;&gt;"&amp;B43)</f>
        <v>0</v>
      </c>
      <c r="L43" s="1" t="str">
        <f aca="false">IF(I43&gt;1,IF(K43&gt;0,"Cross-hospital match","Same-hospital match"),"")</f>
        <v/>
      </c>
      <c r="M43" s="52"/>
      <c r="N43" s="52"/>
      <c r="O43" s="1" t="n">
        <f aca="false">IF(M43="Exclude (duplicate)",0,1)</f>
        <v>1</v>
      </c>
      <c r="P43" s="1" t="str">
        <f aca="false">IF(AND(L43&lt;&gt;"",M43=""),"Needs decision","")</f>
        <v/>
      </c>
    </row>
    <row r="44" customFormat="false" ht="15" hidden="false" customHeight="false" outlineLevel="0" collapsed="false">
      <c r="A44" s="48" t="str">
        <f aca="false">COST!A44</f>
        <v>KVMC-0040</v>
      </c>
      <c r="B44" s="48" t="str">
        <f aca="false">COST!B44</f>
        <v>KVMC</v>
      </c>
      <c r="C44" s="48" t="str">
        <f aca="false">COST!D44</f>
        <v>Family Medicine Residency Program</v>
      </c>
      <c r="D44" s="62" t="n">
        <f aca="false">COST!M44</f>
        <v>45869</v>
      </c>
      <c r="E44" s="48" t="str">
        <f aca="false">COST!P44</f>
        <v>Physician</v>
      </c>
      <c r="F44" s="63" t="n">
        <f aca="false">COST!R44</f>
        <v>367.5</v>
      </c>
      <c r="G44" s="48" t="str">
        <f aca="false">STACK!M44</f>
        <v/>
      </c>
      <c r="H44" s="1" t="str">
        <f aca="false">C44&amp;"|"&amp;IF(ISNUMBER(D44),TEXT(D44,"yyyy-mm-dd"),"no date")&amp;"|"&amp;E44&amp;"|"&amp;IF(ISNUMBER(F44),TEXT(F44,"0.00"),"blank")</f>
        <v>Family Medicine Residency Program|2025-07-31|Physician|367.50</v>
      </c>
      <c r="I44" s="1" t="n">
        <f aca="false">COUNTIF($H$5:$H$1624,H44)</f>
        <v>1</v>
      </c>
      <c r="J44" s="1" t="n">
        <f aca="false">COUNTIF($H$5:H44,H44)</f>
        <v>1</v>
      </c>
      <c r="K44" s="1" t="n">
        <f aca="false">COUNTIFS($H$5:$H$1624,H44,$B$5:$B$1624,"&lt;&gt;"&amp;B44)</f>
        <v>0</v>
      </c>
      <c r="L44" s="1" t="str">
        <f aca="false">IF(I44&gt;1,IF(K44&gt;0,"Cross-hospital match","Same-hospital match"),"")</f>
        <v/>
      </c>
      <c r="M44" s="52"/>
      <c r="N44" s="52"/>
      <c r="O44" s="1" t="n">
        <f aca="false">IF(M44="Exclude (duplicate)",0,1)</f>
        <v>1</v>
      </c>
      <c r="P44" s="1" t="str">
        <f aca="false">IF(AND(L44&lt;&gt;"",M44=""),"Needs decision","")</f>
        <v/>
      </c>
    </row>
    <row r="45" customFormat="false" ht="15" hidden="false" customHeight="false" outlineLevel="0" collapsed="false">
      <c r="A45" s="48" t="str">
        <f aca="false">COST!A45</f>
        <v>KVMC-0041</v>
      </c>
      <c r="B45" s="48" t="str">
        <f aca="false">COST!B45</f>
        <v>KVMC</v>
      </c>
      <c r="C45" s="48" t="str">
        <f aca="false">COST!D45</f>
        <v>Family Medicine Residency Program</v>
      </c>
      <c r="D45" s="62" t="n">
        <f aca="false">COST!M45</f>
        <v>45869</v>
      </c>
      <c r="E45" s="48" t="str">
        <f aca="false">COST!P45</f>
        <v>Program Coordinator</v>
      </c>
      <c r="F45" s="63" t="n">
        <f aca="false">COST!R45</f>
        <v>162</v>
      </c>
      <c r="G45" s="48" t="str">
        <f aca="false">STACK!M45</f>
        <v/>
      </c>
      <c r="H45" s="1" t="str">
        <f aca="false">C45&amp;"|"&amp;IF(ISNUMBER(D45),TEXT(D45,"yyyy-mm-dd"),"no date")&amp;"|"&amp;E45&amp;"|"&amp;IF(ISNUMBER(F45),TEXT(F45,"0.00"),"blank")</f>
        <v>Family Medicine Residency Program|2025-07-31|Program Coordinator|162.00</v>
      </c>
      <c r="I45" s="1" t="n">
        <f aca="false">COUNTIF($H$5:$H$1624,H45)</f>
        <v>1</v>
      </c>
      <c r="J45" s="1" t="n">
        <f aca="false">COUNTIF($H$5:H45,H45)</f>
        <v>1</v>
      </c>
      <c r="K45" s="1" t="n">
        <f aca="false">COUNTIFS($H$5:$H$1624,H45,$B$5:$B$1624,"&lt;&gt;"&amp;B45)</f>
        <v>0</v>
      </c>
      <c r="L45" s="1" t="str">
        <f aca="false">IF(I45&gt;1,IF(K45&gt;0,"Cross-hospital match","Same-hospital match"),"")</f>
        <v/>
      </c>
      <c r="M45" s="52"/>
      <c r="N45" s="52"/>
      <c r="O45" s="1" t="n">
        <f aca="false">IF(M45="Exclude (duplicate)",0,1)</f>
        <v>1</v>
      </c>
      <c r="P45" s="1" t="str">
        <f aca="false">IF(AND(L45&lt;&gt;"",M45=""),"Needs decision","")</f>
        <v/>
      </c>
    </row>
    <row r="46" customFormat="false" ht="15" hidden="false" customHeight="false" outlineLevel="0" collapsed="false">
      <c r="A46" s="48" t="str">
        <f aca="false">COST!A46</f>
        <v>KVMC-0042</v>
      </c>
      <c r="B46" s="48" t="str">
        <f aca="false">COST!B46</f>
        <v>KVMC</v>
      </c>
      <c r="C46" s="48" t="str">
        <f aca="false">COST!D46</f>
        <v>Family Medicine Residency Program</v>
      </c>
      <c r="D46" s="62" t="n">
        <f aca="false">COST!M46</f>
        <v>45869</v>
      </c>
      <c r="E46" s="48" t="str">
        <f aca="false">COST!P46</f>
        <v>Resident Physician</v>
      </c>
      <c r="F46" s="63" t="n">
        <f aca="false">COST!R46</f>
        <v>3989.5</v>
      </c>
      <c r="G46" s="48" t="str">
        <f aca="false">STACK!M46</f>
        <v/>
      </c>
      <c r="H46" s="1" t="str">
        <f aca="false">C46&amp;"|"&amp;IF(ISNUMBER(D46),TEXT(D46,"yyyy-mm-dd"),"no date")&amp;"|"&amp;E46&amp;"|"&amp;IF(ISNUMBER(F46),TEXT(F46,"0.00"),"blank")</f>
        <v>Family Medicine Residency Program|2025-07-31|Resident Physician|3989.50</v>
      </c>
      <c r="I46" s="1" t="n">
        <f aca="false">COUNTIF($H$5:$H$1624,H46)</f>
        <v>1</v>
      </c>
      <c r="J46" s="1" t="n">
        <f aca="false">COUNTIF($H$5:H46,H46)</f>
        <v>1</v>
      </c>
      <c r="K46" s="1" t="n">
        <f aca="false">COUNTIFS($H$5:$H$1624,H46,$B$5:$B$1624,"&lt;&gt;"&amp;B46)</f>
        <v>0</v>
      </c>
      <c r="L46" s="1" t="str">
        <f aca="false">IF(I46&gt;1,IF(K46&gt;0,"Cross-hospital match","Same-hospital match"),"")</f>
        <v/>
      </c>
      <c r="M46" s="52"/>
      <c r="N46" s="52"/>
      <c r="O46" s="1" t="n">
        <f aca="false">IF(M46="Exclude (duplicate)",0,1)</f>
        <v>1</v>
      </c>
      <c r="P46" s="1" t="str">
        <f aca="false">IF(AND(L46&lt;&gt;"",M46=""),"Needs decision","")</f>
        <v/>
      </c>
    </row>
    <row r="47" customFormat="false" ht="15" hidden="false" customHeight="false" outlineLevel="0" collapsed="false">
      <c r="A47" s="48" t="str">
        <f aca="false">COST!A47</f>
        <v>KVMC-0043</v>
      </c>
      <c r="B47" s="48" t="str">
        <f aca="false">COST!B47</f>
        <v>KVMC</v>
      </c>
      <c r="C47" s="48" t="str">
        <f aca="false">COST!D47</f>
        <v>Pharmacy Student Rotations</v>
      </c>
      <c r="D47" s="62" t="n">
        <f aca="false">COST!M47</f>
        <v>45869</v>
      </c>
      <c r="E47" s="48" t="str">
        <f aca="false">COST!P47</f>
        <v>Pharmacist</v>
      </c>
      <c r="F47" s="63" t="n">
        <f aca="false">COST!R47</f>
        <v>77.5</v>
      </c>
      <c r="G47" s="48" t="str">
        <f aca="false">STACK!M47</f>
        <v/>
      </c>
      <c r="H47" s="1" t="str">
        <f aca="false">C47&amp;"|"&amp;IF(ISNUMBER(D47),TEXT(D47,"yyyy-mm-dd"),"no date")&amp;"|"&amp;E47&amp;"|"&amp;IF(ISNUMBER(F47),TEXT(F47,"0.00"),"blank")</f>
        <v>Pharmacy Student Rotations|2025-07-31|Pharmacist|77.50</v>
      </c>
      <c r="I47" s="1" t="n">
        <f aca="false">COUNTIF($H$5:$H$1624,H47)</f>
        <v>1</v>
      </c>
      <c r="J47" s="1" t="n">
        <f aca="false">COUNTIF($H$5:H47,H47)</f>
        <v>1</v>
      </c>
      <c r="K47" s="1" t="n">
        <f aca="false">COUNTIFS($H$5:$H$1624,H47,$B$5:$B$1624,"&lt;&gt;"&amp;B47)</f>
        <v>0</v>
      </c>
      <c r="L47" s="1" t="str">
        <f aca="false">IF(I47&gt;1,IF(K47&gt;0,"Cross-hospital match","Same-hospital match"),"")</f>
        <v/>
      </c>
      <c r="M47" s="52"/>
      <c r="N47" s="52"/>
      <c r="O47" s="1" t="n">
        <f aca="false">IF(M47="Exclude (duplicate)",0,1)</f>
        <v>1</v>
      </c>
      <c r="P47" s="1" t="str">
        <f aca="false">IF(AND(L47&lt;&gt;"",M47=""),"Needs decision","")</f>
        <v/>
      </c>
    </row>
    <row r="48" customFormat="false" ht="15" hidden="false" customHeight="false" outlineLevel="0" collapsed="false">
      <c r="A48" s="48" t="str">
        <f aca="false">COST!A48</f>
        <v>KVMC-0044</v>
      </c>
      <c r="B48" s="48" t="str">
        <f aca="false">COST!B48</f>
        <v>KVMC</v>
      </c>
      <c r="C48" s="48" t="str">
        <f aca="false">COST!D48</f>
        <v>Community Hypertension Control Study</v>
      </c>
      <c r="D48" s="62" t="n">
        <f aca="false">COST!M48</f>
        <v>45869</v>
      </c>
      <c r="E48" s="48" t="str">
        <f aca="false">COST!P48</f>
        <v>Data Analyst</v>
      </c>
      <c r="F48" s="63" t="n">
        <f aca="false">COST!R48</f>
        <v>43.75</v>
      </c>
      <c r="G48" s="48" t="str">
        <f aca="false">STACK!M48</f>
        <v/>
      </c>
      <c r="H48" s="1" t="str">
        <f aca="false">C48&amp;"|"&amp;IF(ISNUMBER(D48),TEXT(D48,"yyyy-mm-dd"),"no date")&amp;"|"&amp;E48&amp;"|"&amp;IF(ISNUMBER(F48),TEXT(F48,"0.00"),"blank")</f>
        <v>Community Hypertension Control Study|2025-07-31|Data Analyst|43.75</v>
      </c>
      <c r="I48" s="1" t="n">
        <f aca="false">COUNTIF($H$5:$H$1624,H48)</f>
        <v>1</v>
      </c>
      <c r="J48" s="1" t="n">
        <f aca="false">COUNTIF($H$5:H48,H48)</f>
        <v>1</v>
      </c>
      <c r="K48" s="1" t="n">
        <f aca="false">COUNTIFS($H$5:$H$1624,H48,$B$5:$B$1624,"&lt;&gt;"&amp;B48)</f>
        <v>0</v>
      </c>
      <c r="L48" s="1" t="str">
        <f aca="false">IF(I48&gt;1,IF(K48&gt;0,"Cross-hospital match","Same-hospital match"),"")</f>
        <v/>
      </c>
      <c r="M48" s="52"/>
      <c r="N48" s="52"/>
      <c r="O48" s="1" t="n">
        <f aca="false">IF(M48="Exclude (duplicate)",0,1)</f>
        <v>1</v>
      </c>
      <c r="P48" s="1" t="str">
        <f aca="false">IF(AND(L48&lt;&gt;"",M48=""),"Needs decision","")</f>
        <v/>
      </c>
    </row>
    <row r="49" customFormat="false" ht="15" hidden="false" customHeight="false" outlineLevel="0" collapsed="false">
      <c r="A49" s="48" t="str">
        <f aca="false">COST!A49</f>
        <v>KVMC-0045</v>
      </c>
      <c r="B49" s="48" t="str">
        <f aca="false">COST!B49</f>
        <v>KVMC</v>
      </c>
      <c r="C49" s="48" t="str">
        <f aca="false">COST!D49</f>
        <v>Community Hypertension Control Study</v>
      </c>
      <c r="D49" s="62" t="n">
        <f aca="false">COST!M49</f>
        <v>45869</v>
      </c>
      <c r="E49" s="48" t="str">
        <f aca="false">COST!P49</f>
        <v>Physician</v>
      </c>
      <c r="F49" s="63" t="n">
        <f aca="false">COST!R49</f>
        <v>23</v>
      </c>
      <c r="G49" s="48" t="str">
        <f aca="false">STACK!M49</f>
        <v/>
      </c>
      <c r="H49" s="1" t="str">
        <f aca="false">C49&amp;"|"&amp;IF(ISNUMBER(D49),TEXT(D49,"yyyy-mm-dd"),"no date")&amp;"|"&amp;E49&amp;"|"&amp;IF(ISNUMBER(F49),TEXT(F49,"0.00"),"blank")</f>
        <v>Community Hypertension Control Study|2025-07-31|Physician|23.00</v>
      </c>
      <c r="I49" s="1" t="n">
        <f aca="false">COUNTIF($H$5:$H$1624,H49)</f>
        <v>1</v>
      </c>
      <c r="J49" s="1" t="n">
        <f aca="false">COUNTIF($H$5:H49,H49)</f>
        <v>1</v>
      </c>
      <c r="K49" s="1" t="n">
        <f aca="false">COUNTIFS($H$5:$H$1624,H49,$B$5:$B$1624,"&lt;&gt;"&amp;B49)</f>
        <v>0</v>
      </c>
      <c r="L49" s="1" t="str">
        <f aca="false">IF(I49&gt;1,IF(K49&gt;0,"Cross-hospital match","Same-hospital match"),"")</f>
        <v/>
      </c>
      <c r="M49" s="52"/>
      <c r="N49" s="52"/>
      <c r="O49" s="1" t="n">
        <f aca="false">IF(M49="Exclude (duplicate)",0,1)</f>
        <v>1</v>
      </c>
      <c r="P49" s="1" t="str">
        <f aca="false">IF(AND(L49&lt;&gt;"",M49=""),"Needs decision","")</f>
        <v/>
      </c>
    </row>
    <row r="50" customFormat="false" ht="15" hidden="false" customHeight="false" outlineLevel="0" collapsed="false">
      <c r="A50" s="48" t="str">
        <f aca="false">COST!A50</f>
        <v>KVMC-0046</v>
      </c>
      <c r="B50" s="48" t="str">
        <f aca="false">COST!B50</f>
        <v>KVMC</v>
      </c>
      <c r="C50" s="48" t="str">
        <f aca="false">COST!D50</f>
        <v>Community Hypertension Control Study</v>
      </c>
      <c r="D50" s="62" t="n">
        <f aca="false">COST!M50</f>
        <v>45869</v>
      </c>
      <c r="E50" s="48" t="str">
        <f aca="false">COST!P50</f>
        <v>Research Coordinator</v>
      </c>
      <c r="F50" s="63" t="n">
        <f aca="false">COST!R50</f>
        <v>174.75</v>
      </c>
      <c r="G50" s="48" t="str">
        <f aca="false">STACK!M50</f>
        <v/>
      </c>
      <c r="H50" s="1" t="str">
        <f aca="false">C50&amp;"|"&amp;IF(ISNUMBER(D50),TEXT(D50,"yyyy-mm-dd"),"no date")&amp;"|"&amp;E50&amp;"|"&amp;IF(ISNUMBER(F50),TEXT(F50,"0.00"),"blank")</f>
        <v>Community Hypertension Control Study|2025-07-31|Research Coordinator|174.75</v>
      </c>
      <c r="I50" s="1" t="n">
        <f aca="false">COUNTIF($H$5:$H$1624,H50)</f>
        <v>1</v>
      </c>
      <c r="J50" s="1" t="n">
        <f aca="false">COUNTIF($H$5:H50,H50)</f>
        <v>1</v>
      </c>
      <c r="K50" s="1" t="n">
        <f aca="false">COUNTIFS($H$5:$H$1624,H50,$B$5:$B$1624,"&lt;&gt;"&amp;B50)</f>
        <v>0</v>
      </c>
      <c r="L50" s="1" t="str">
        <f aca="false">IF(I50&gt;1,IF(K50&gt;0,"Cross-hospital match","Same-hospital match"),"")</f>
        <v/>
      </c>
      <c r="M50" s="52"/>
      <c r="N50" s="52"/>
      <c r="O50" s="1" t="n">
        <f aca="false">IF(M50="Exclude (duplicate)",0,1)</f>
        <v>1</v>
      </c>
      <c r="P50" s="1" t="str">
        <f aca="false">IF(AND(L50&lt;&gt;"",M50=""),"Needs decision","")</f>
        <v/>
      </c>
    </row>
    <row r="51" customFormat="false" ht="15" hidden="false" customHeight="false" outlineLevel="0" collapsed="false">
      <c r="A51" s="48" t="str">
        <f aca="false">COST!A51</f>
        <v>KVMC-0047</v>
      </c>
      <c r="B51" s="48" t="str">
        <f aca="false">COST!B51</f>
        <v>KVMC</v>
      </c>
      <c r="C51" s="48" t="str">
        <f aca="false">COST!D51</f>
        <v>Regional Health Coalition</v>
      </c>
      <c r="D51" s="62" t="n">
        <f aca="false">COST!M51</f>
        <v>45873</v>
      </c>
      <c r="E51" s="48" t="str">
        <f aca="false">COST!P51</f>
        <v>Community Benefit Manager</v>
      </c>
      <c r="F51" s="63" t="n">
        <f aca="false">COST!R51</f>
        <v>2.75</v>
      </c>
      <c r="G51" s="48" t="str">
        <f aca="false">STACK!M51</f>
        <v/>
      </c>
      <c r="H51" s="1" t="str">
        <f aca="false">C51&amp;"|"&amp;IF(ISNUMBER(D51),TEXT(D51,"yyyy-mm-dd"),"no date")&amp;"|"&amp;E51&amp;"|"&amp;IF(ISNUMBER(F51),TEXT(F51,"0.00"),"blank")</f>
        <v>Regional Health Coalition|2025-08-04|Community Benefit Manager|2.75</v>
      </c>
      <c r="I51" s="1" t="n">
        <f aca="false">COUNTIF($H$5:$H$1624,H51)</f>
        <v>1</v>
      </c>
      <c r="J51" s="1" t="n">
        <f aca="false">COUNTIF($H$5:H51,H51)</f>
        <v>1</v>
      </c>
      <c r="K51" s="1" t="n">
        <f aca="false">COUNTIFS($H$5:$H$1624,H51,$B$5:$B$1624,"&lt;&gt;"&amp;B51)</f>
        <v>0</v>
      </c>
      <c r="L51" s="1" t="str">
        <f aca="false">IF(I51&gt;1,IF(K51&gt;0,"Cross-hospital match","Same-hospital match"),"")</f>
        <v/>
      </c>
      <c r="M51" s="52"/>
      <c r="N51" s="52"/>
      <c r="O51" s="1" t="n">
        <f aca="false">IF(M51="Exclude (duplicate)",0,1)</f>
        <v>1</v>
      </c>
      <c r="P51" s="1" t="str">
        <f aca="false">IF(AND(L51&lt;&gt;"",M51=""),"Needs decision","")</f>
        <v/>
      </c>
    </row>
    <row r="52" customFormat="false" ht="15" hidden="false" customHeight="false" outlineLevel="0" collapsed="false">
      <c r="A52" s="48" t="str">
        <f aca="false">COST!A52</f>
        <v>KVMC-0048</v>
      </c>
      <c r="B52" s="48" t="str">
        <f aca="false">COST!B52</f>
        <v>KVMC</v>
      </c>
      <c r="C52" s="48" t="str">
        <f aca="false">COST!D52</f>
        <v>Regional Health Coalition</v>
      </c>
      <c r="D52" s="62" t="n">
        <f aca="false">COST!M52</f>
        <v>45873</v>
      </c>
      <c r="E52" s="48" t="str">
        <f aca="false">COST!P52</f>
        <v>Director</v>
      </c>
      <c r="F52" s="63" t="n">
        <f aca="false">COST!R52</f>
        <v>2.5</v>
      </c>
      <c r="G52" s="48" t="str">
        <f aca="false">STACK!M52</f>
        <v/>
      </c>
      <c r="H52" s="1" t="str">
        <f aca="false">C52&amp;"|"&amp;IF(ISNUMBER(D52),TEXT(D52,"yyyy-mm-dd"),"no date")&amp;"|"&amp;E52&amp;"|"&amp;IF(ISNUMBER(F52),TEXT(F52,"0.00"),"blank")</f>
        <v>Regional Health Coalition|2025-08-04|Director|2.50</v>
      </c>
      <c r="I52" s="1" t="n">
        <f aca="false">COUNTIF($H$5:$H$1624,H52)</f>
        <v>1</v>
      </c>
      <c r="J52" s="1" t="n">
        <f aca="false">COUNTIF($H$5:H52,H52)</f>
        <v>1</v>
      </c>
      <c r="K52" s="1" t="n">
        <f aca="false">COUNTIFS($H$5:$H$1624,H52,$B$5:$B$1624,"&lt;&gt;"&amp;B52)</f>
        <v>0</v>
      </c>
      <c r="L52" s="1" t="str">
        <f aca="false">IF(I52&gt;1,IF(K52&gt;0,"Cross-hospital match","Same-hospital match"),"")</f>
        <v/>
      </c>
      <c r="M52" s="52"/>
      <c r="N52" s="52"/>
      <c r="O52" s="1" t="n">
        <f aca="false">IF(M52="Exclude (duplicate)",0,1)</f>
        <v>1</v>
      </c>
      <c r="P52" s="1" t="str">
        <f aca="false">IF(AND(L52&lt;&gt;"",M52=""),"Needs decision","")</f>
        <v/>
      </c>
    </row>
    <row r="53" customFormat="false" ht="15" hidden="false" customHeight="false" outlineLevel="0" collapsed="false">
      <c r="A53" s="48" t="str">
        <f aca="false">COST!A53</f>
        <v>KVMC-0049</v>
      </c>
      <c r="B53" s="48" t="str">
        <f aca="false">COST!B53</f>
        <v>KVMC</v>
      </c>
      <c r="C53" s="48" t="str">
        <f aca="false">COST!D53</f>
        <v>Diabetes Prevention Classes</v>
      </c>
      <c r="D53" s="62" t="n">
        <f aca="false">COST!M53</f>
        <v>45874</v>
      </c>
      <c r="E53" s="48" t="str">
        <f aca="false">COST!P53</f>
        <v>Health Educator</v>
      </c>
      <c r="F53" s="63" t="n">
        <f aca="false">COST!R53</f>
        <v>2.25</v>
      </c>
      <c r="G53" s="48" t="str">
        <f aca="false">STACK!M53</f>
        <v/>
      </c>
      <c r="H53" s="1" t="str">
        <f aca="false">C53&amp;"|"&amp;IF(ISNUMBER(D53),TEXT(D53,"yyyy-mm-dd"),"no date")&amp;"|"&amp;E53&amp;"|"&amp;IF(ISNUMBER(F53),TEXT(F53,"0.00"),"blank")</f>
        <v>Diabetes Prevention Classes|2025-08-05|Health Educator|2.25</v>
      </c>
      <c r="I53" s="1" t="n">
        <f aca="false">COUNTIF($H$5:$H$1624,H53)</f>
        <v>1</v>
      </c>
      <c r="J53" s="1" t="n">
        <f aca="false">COUNTIF($H$5:H53,H53)</f>
        <v>1</v>
      </c>
      <c r="K53" s="1" t="n">
        <f aca="false">COUNTIFS($H$5:$H$1624,H53,$B$5:$B$1624,"&lt;&gt;"&amp;B53)</f>
        <v>0</v>
      </c>
      <c r="L53" s="1" t="str">
        <f aca="false">IF(I53&gt;1,IF(K53&gt;0,"Cross-hospital match","Same-hospital match"),"")</f>
        <v/>
      </c>
      <c r="M53" s="52"/>
      <c r="N53" s="52"/>
      <c r="O53" s="1" t="n">
        <f aca="false">IF(M53="Exclude (duplicate)",0,1)</f>
        <v>1</v>
      </c>
      <c r="P53" s="1" t="str">
        <f aca="false">IF(AND(L53&lt;&gt;"",M53=""),"Needs decision","")</f>
        <v/>
      </c>
    </row>
    <row r="54" customFormat="false" ht="15" hidden="false" customHeight="false" outlineLevel="0" collapsed="false">
      <c r="A54" s="48" t="str">
        <f aca="false">COST!A54</f>
        <v>KVMC-0050</v>
      </c>
      <c r="B54" s="48" t="str">
        <f aca="false">COST!B54</f>
        <v>KVMC</v>
      </c>
      <c r="C54" s="48" t="str">
        <f aca="false">COST!D54</f>
        <v>Diabetes Prevention Classes</v>
      </c>
      <c r="D54" s="62" t="n">
        <f aca="false">COST!M54</f>
        <v>45874</v>
      </c>
      <c r="E54" s="48" t="str">
        <f aca="false">COST!P54</f>
        <v>Registered Dietitian</v>
      </c>
      <c r="F54" s="63" t="n">
        <f aca="false">COST!R54</f>
        <v>1.5</v>
      </c>
      <c r="G54" s="48" t="str">
        <f aca="false">STACK!M54</f>
        <v/>
      </c>
      <c r="H54" s="1" t="str">
        <f aca="false">C54&amp;"|"&amp;IF(ISNUMBER(D54),TEXT(D54,"yyyy-mm-dd"),"no date")&amp;"|"&amp;E54&amp;"|"&amp;IF(ISNUMBER(F54),TEXT(F54,"0.00"),"blank")</f>
        <v>Diabetes Prevention Classes|2025-08-05|Registered Dietitian|1.50</v>
      </c>
      <c r="I54" s="1" t="n">
        <f aca="false">COUNTIF($H$5:$H$1624,H54)</f>
        <v>1</v>
      </c>
      <c r="J54" s="1" t="n">
        <f aca="false">COUNTIF($H$5:H54,H54)</f>
        <v>1</v>
      </c>
      <c r="K54" s="1" t="n">
        <f aca="false">COUNTIFS($H$5:$H$1624,H54,$B$5:$B$1624,"&lt;&gt;"&amp;B54)</f>
        <v>0</v>
      </c>
      <c r="L54" s="1" t="str">
        <f aca="false">IF(I54&gt;1,IF(K54&gt;0,"Cross-hospital match","Same-hospital match"),"")</f>
        <v/>
      </c>
      <c r="M54" s="52"/>
      <c r="N54" s="52"/>
      <c r="O54" s="1" t="n">
        <f aca="false">IF(M54="Exclude (duplicate)",0,1)</f>
        <v>1</v>
      </c>
      <c r="P54" s="1" t="str">
        <f aca="false">IF(AND(L54&lt;&gt;"",M54=""),"Needs decision","")</f>
        <v/>
      </c>
    </row>
    <row r="55" customFormat="false" ht="15" hidden="false" customHeight="false" outlineLevel="0" collapsed="false">
      <c r="A55" s="48" t="str">
        <f aca="false">COST!A55</f>
        <v>KVMC-0051</v>
      </c>
      <c r="B55" s="48" t="str">
        <f aca="false">COST!B55</f>
        <v>KVMC</v>
      </c>
      <c r="C55" s="48" t="str">
        <f aca="false">COST!D55</f>
        <v>Naloxone Training and Distribution</v>
      </c>
      <c r="D55" s="62" t="n">
        <f aca="false">COST!M55</f>
        <v>45876</v>
      </c>
      <c r="E55" s="48" t="str">
        <f aca="false">COST!P55</f>
        <v>Health Educator</v>
      </c>
      <c r="F55" s="63" t="n">
        <f aca="false">COST!R55</f>
        <v>2</v>
      </c>
      <c r="G55" s="48" t="str">
        <f aca="false">STACK!M55</f>
        <v/>
      </c>
      <c r="H55" s="1" t="str">
        <f aca="false">C55&amp;"|"&amp;IF(ISNUMBER(D55),TEXT(D55,"yyyy-mm-dd"),"no date")&amp;"|"&amp;E55&amp;"|"&amp;IF(ISNUMBER(F55),TEXT(F55,"0.00"),"blank")</f>
        <v>Naloxone Training and Distribution|2025-08-07|Health Educator|2.00</v>
      </c>
      <c r="I55" s="1" t="n">
        <f aca="false">COUNTIF($H$5:$H$1624,H55)</f>
        <v>1</v>
      </c>
      <c r="J55" s="1" t="n">
        <f aca="false">COUNTIF($H$5:H55,H55)</f>
        <v>1</v>
      </c>
      <c r="K55" s="1" t="n">
        <f aca="false">COUNTIFS($H$5:$H$1624,H55,$B$5:$B$1624,"&lt;&gt;"&amp;B55)</f>
        <v>0</v>
      </c>
      <c r="L55" s="1" t="str">
        <f aca="false">IF(I55&gt;1,IF(K55&gt;0,"Cross-hospital match","Same-hospital match"),"")</f>
        <v/>
      </c>
      <c r="M55" s="52"/>
      <c r="N55" s="52"/>
      <c r="O55" s="1" t="n">
        <f aca="false">IF(M55="Exclude (duplicate)",0,1)</f>
        <v>1</v>
      </c>
      <c r="P55" s="1" t="str">
        <f aca="false">IF(AND(L55&lt;&gt;"",M55=""),"Needs decision","")</f>
        <v/>
      </c>
    </row>
    <row r="56" customFormat="false" ht="15" hidden="false" customHeight="false" outlineLevel="0" collapsed="false">
      <c r="A56" s="48" t="str">
        <f aca="false">COST!A56</f>
        <v>KVMC-0052</v>
      </c>
      <c r="B56" s="48" t="str">
        <f aca="false">COST!B56</f>
        <v>KVMC</v>
      </c>
      <c r="C56" s="48" t="str">
        <f aca="false">COST!D56</f>
        <v>Naloxone Training and Distribution</v>
      </c>
      <c r="D56" s="62" t="n">
        <f aca="false">COST!M56</f>
        <v>45876</v>
      </c>
      <c r="E56" s="48" t="str">
        <f aca="false">COST!P56</f>
        <v>Pharmacist</v>
      </c>
      <c r="F56" s="63" t="n">
        <f aca="false">COST!R56</f>
        <v>2.75</v>
      </c>
      <c r="G56" s="48" t="str">
        <f aca="false">STACK!M56</f>
        <v/>
      </c>
      <c r="H56" s="1" t="str">
        <f aca="false">C56&amp;"|"&amp;IF(ISNUMBER(D56),TEXT(D56,"yyyy-mm-dd"),"no date")&amp;"|"&amp;E56&amp;"|"&amp;IF(ISNUMBER(F56),TEXT(F56,"0.00"),"blank")</f>
        <v>Naloxone Training and Distribution|2025-08-07|Pharmacist|2.75</v>
      </c>
      <c r="I56" s="1" t="n">
        <f aca="false">COUNTIF($H$5:$H$1624,H56)</f>
        <v>1</v>
      </c>
      <c r="J56" s="1" t="n">
        <f aca="false">COUNTIF($H$5:H56,H56)</f>
        <v>1</v>
      </c>
      <c r="K56" s="1" t="n">
        <f aca="false">COUNTIFS($H$5:$H$1624,H56,$B$5:$B$1624,"&lt;&gt;"&amp;B56)</f>
        <v>0</v>
      </c>
      <c r="L56" s="1" t="str">
        <f aca="false">IF(I56&gt;1,IF(K56&gt;0,"Cross-hospital match","Same-hospital match"),"")</f>
        <v/>
      </c>
      <c r="M56" s="52"/>
      <c r="N56" s="52"/>
      <c r="O56" s="1" t="n">
        <f aca="false">IF(M56="Exclude (duplicate)",0,1)</f>
        <v>1</v>
      </c>
      <c r="P56" s="1" t="str">
        <f aca="false">IF(AND(L56&lt;&gt;"",M56=""),"Needs decision","")</f>
        <v/>
      </c>
    </row>
    <row r="57" customFormat="false" ht="15" hidden="false" customHeight="false" outlineLevel="0" collapsed="false">
      <c r="A57" s="48" t="str">
        <f aca="false">COST!A57</f>
        <v>KVMC-0053</v>
      </c>
      <c r="B57" s="48" t="str">
        <f aca="false">COST!B57</f>
        <v>KVMC</v>
      </c>
      <c r="C57" s="48" t="str">
        <f aca="false">COST!D57</f>
        <v>Community Blood Pressure Checks</v>
      </c>
      <c r="D57" s="62" t="n">
        <f aca="false">COST!M57</f>
        <v>45878</v>
      </c>
      <c r="E57" s="48" t="str">
        <f aca="false">COST!P57</f>
        <v>Registered Nurse</v>
      </c>
      <c r="F57" s="63" t="n">
        <f aca="false">COST!R57</f>
        <v>3.5</v>
      </c>
      <c r="G57" s="48" t="str">
        <f aca="false">STACK!M57</f>
        <v/>
      </c>
      <c r="H57" s="1" t="str">
        <f aca="false">C57&amp;"|"&amp;IF(ISNUMBER(D57),TEXT(D57,"yyyy-mm-dd"),"no date")&amp;"|"&amp;E57&amp;"|"&amp;IF(ISNUMBER(F57),TEXT(F57,"0.00"),"blank")</f>
        <v>Community Blood Pressure Checks|2025-08-09|Registered Nurse|3.50</v>
      </c>
      <c r="I57" s="1" t="n">
        <f aca="false">COUNTIF($H$5:$H$1624,H57)</f>
        <v>1</v>
      </c>
      <c r="J57" s="1" t="n">
        <f aca="false">COUNTIF($H$5:H57,H57)</f>
        <v>1</v>
      </c>
      <c r="K57" s="1" t="n">
        <f aca="false">COUNTIFS($H$5:$H$1624,H57,$B$5:$B$1624,"&lt;&gt;"&amp;B57)</f>
        <v>0</v>
      </c>
      <c r="L57" s="1" t="str">
        <f aca="false">IF(I57&gt;1,IF(K57&gt;0,"Cross-hospital match","Same-hospital match"),"")</f>
        <v/>
      </c>
      <c r="M57" s="52"/>
      <c r="N57" s="52"/>
      <c r="O57" s="1" t="n">
        <f aca="false">IF(M57="Exclude (duplicate)",0,1)</f>
        <v>1</v>
      </c>
      <c r="P57" s="1" t="str">
        <f aca="false">IF(AND(L57&lt;&gt;"",M57=""),"Needs decision","")</f>
        <v/>
      </c>
    </row>
    <row r="58" customFormat="false" ht="15" hidden="false" customHeight="false" outlineLevel="0" collapsed="false">
      <c r="A58" s="48" t="str">
        <f aca="false">COST!A58</f>
        <v>KVMC-0054</v>
      </c>
      <c r="B58" s="48" t="str">
        <f aca="false">COST!B58</f>
        <v>KVMC</v>
      </c>
      <c r="C58" s="48" t="str">
        <f aca="false">COST!D58</f>
        <v>Affordable Housing Partnership</v>
      </c>
      <c r="D58" s="62" t="n">
        <f aca="false">COST!M58</f>
        <v>45878</v>
      </c>
      <c r="E58" s="48" t="str">
        <f aca="false">COST!P58</f>
        <v>Director</v>
      </c>
      <c r="F58" s="63" t="n">
        <f aca="false">COST!R58</f>
        <v>5.5</v>
      </c>
      <c r="G58" s="48" t="str">
        <f aca="false">STACK!M58</f>
        <v/>
      </c>
      <c r="H58" s="1" t="str">
        <f aca="false">C58&amp;"|"&amp;IF(ISNUMBER(D58),TEXT(D58,"yyyy-mm-dd"),"no date")&amp;"|"&amp;E58&amp;"|"&amp;IF(ISNUMBER(F58),TEXT(F58,"0.00"),"blank")</f>
        <v>Affordable Housing Partnership|2025-08-09|Director|5.50</v>
      </c>
      <c r="I58" s="1" t="n">
        <f aca="false">COUNTIF($H$5:$H$1624,H58)</f>
        <v>1</v>
      </c>
      <c r="J58" s="1" t="n">
        <f aca="false">COUNTIF($H$5:H58,H58)</f>
        <v>1</v>
      </c>
      <c r="K58" s="1" t="n">
        <f aca="false">COUNTIFS($H$5:$H$1624,H58,$B$5:$B$1624,"&lt;&gt;"&amp;B58)</f>
        <v>0</v>
      </c>
      <c r="L58" s="1" t="str">
        <f aca="false">IF(I58&gt;1,IF(K58&gt;0,"Cross-hospital match","Same-hospital match"),"")</f>
        <v/>
      </c>
      <c r="M58" s="52"/>
      <c r="N58" s="52"/>
      <c r="O58" s="1" t="n">
        <f aca="false">IF(M58="Exclude (duplicate)",0,1)</f>
        <v>1</v>
      </c>
      <c r="P58" s="1" t="str">
        <f aca="false">IF(AND(L58&lt;&gt;"",M58=""),"Needs decision","")</f>
        <v/>
      </c>
    </row>
    <row r="59" customFormat="false" ht="15" hidden="false" customHeight="false" outlineLevel="0" collapsed="false">
      <c r="A59" s="48" t="str">
        <f aca="false">COST!A59</f>
        <v>KVMC-0055</v>
      </c>
      <c r="B59" s="48" t="str">
        <f aca="false">COST!B59</f>
        <v>KVMC</v>
      </c>
      <c r="C59" s="48" t="str">
        <f aca="false">COST!D59</f>
        <v>Affordable Housing Partnership</v>
      </c>
      <c r="D59" s="62" t="n">
        <f aca="false">COST!M59</f>
        <v>45878</v>
      </c>
      <c r="E59" s="48" t="str">
        <f aca="false">COST!P59</f>
        <v>Program Coordinator</v>
      </c>
      <c r="F59" s="63" t="n">
        <f aca="false">COST!R59</f>
        <v>9.75</v>
      </c>
      <c r="G59" s="48" t="str">
        <f aca="false">STACK!M59</f>
        <v/>
      </c>
      <c r="H59" s="1" t="str">
        <f aca="false">C59&amp;"|"&amp;IF(ISNUMBER(D59),TEXT(D59,"yyyy-mm-dd"),"no date")&amp;"|"&amp;E59&amp;"|"&amp;IF(ISNUMBER(F59),TEXT(F59,"0.00"),"blank")</f>
        <v>Affordable Housing Partnership|2025-08-09|Program Coordinator|9.75</v>
      </c>
      <c r="I59" s="1" t="n">
        <f aca="false">COUNTIF($H$5:$H$1624,H59)</f>
        <v>1</v>
      </c>
      <c r="J59" s="1" t="n">
        <f aca="false">COUNTIF($H$5:H59,H59)</f>
        <v>1</v>
      </c>
      <c r="K59" s="1" t="n">
        <f aca="false">COUNTIFS($H$5:$H$1624,H59,$B$5:$B$1624,"&lt;&gt;"&amp;B59)</f>
        <v>0</v>
      </c>
      <c r="L59" s="1" t="str">
        <f aca="false">IF(I59&gt;1,IF(K59&gt;0,"Cross-hospital match","Same-hospital match"),"")</f>
        <v/>
      </c>
      <c r="M59" s="52"/>
      <c r="N59" s="52"/>
      <c r="O59" s="1" t="n">
        <f aca="false">IF(M59="Exclude (duplicate)",0,1)</f>
        <v>1</v>
      </c>
      <c r="P59" s="1" t="str">
        <f aca="false">IF(AND(L59&lt;&gt;"",M59=""),"Needs decision","")</f>
        <v/>
      </c>
    </row>
    <row r="60" customFormat="false" ht="15" hidden="false" customHeight="false" outlineLevel="0" collapsed="false">
      <c r="A60" s="48" t="str">
        <f aca="false">COST!A60</f>
        <v>KVMC-0056</v>
      </c>
      <c r="B60" s="48" t="str">
        <f aca="false">COST!B60</f>
        <v>KVMC</v>
      </c>
      <c r="C60" s="48" t="str">
        <f aca="false">COST!D60</f>
        <v>In-Kind Medical Supply Donations</v>
      </c>
      <c r="D60" s="62" t="n">
        <f aca="false">COST!M60</f>
        <v>45881</v>
      </c>
      <c r="E60" s="48" t="str">
        <f aca="false">COST!P60</f>
        <v>No staff time</v>
      </c>
      <c r="F60" s="63" t="n">
        <f aca="false">COST!R60</f>
        <v>0</v>
      </c>
      <c r="G60" s="48" t="str">
        <f aca="false">STACK!M60</f>
        <v/>
      </c>
      <c r="H60" s="1" t="str">
        <f aca="false">C60&amp;"|"&amp;IF(ISNUMBER(D60),TEXT(D60,"yyyy-mm-dd"),"no date")&amp;"|"&amp;E60&amp;"|"&amp;IF(ISNUMBER(F60),TEXT(F60,"0.00"),"blank")</f>
        <v>In-Kind Medical Supply Donations|2025-08-12|No staff time|0.00</v>
      </c>
      <c r="I60" s="1" t="n">
        <f aca="false">COUNTIF($H$5:$H$1624,H60)</f>
        <v>1</v>
      </c>
      <c r="J60" s="1" t="n">
        <f aca="false">COUNTIF($H$5:H60,H60)</f>
        <v>1</v>
      </c>
      <c r="K60" s="1" t="n">
        <f aca="false">COUNTIFS($H$5:$H$1624,H60,$B$5:$B$1624,"&lt;&gt;"&amp;B60)</f>
        <v>0</v>
      </c>
      <c r="L60" s="1" t="str">
        <f aca="false">IF(I60&gt;1,IF(K60&gt;0,"Cross-hospital match","Same-hospital match"),"")</f>
        <v/>
      </c>
      <c r="M60" s="52"/>
      <c r="N60" s="52"/>
      <c r="O60" s="1" t="n">
        <f aca="false">IF(M60="Exclude (duplicate)",0,1)</f>
        <v>1</v>
      </c>
      <c r="P60" s="1" t="str">
        <f aca="false">IF(AND(L60&lt;&gt;"",M60=""),"Needs decision","")</f>
        <v/>
      </c>
    </row>
    <row r="61" customFormat="false" ht="15" hidden="false" customHeight="false" outlineLevel="0" collapsed="false">
      <c r="A61" s="48" t="str">
        <f aca="false">COST!A61</f>
        <v>KVMC-0057</v>
      </c>
      <c r="B61" s="48" t="str">
        <f aca="false">COST!B61</f>
        <v>KVMC</v>
      </c>
      <c r="C61" s="48" t="str">
        <f aca="false">COST!D61</f>
        <v>Regional Health Coalition</v>
      </c>
      <c r="D61" s="62" t="n">
        <f aca="false">COST!M61</f>
        <v>45883</v>
      </c>
      <c r="E61" s="48" t="str">
        <f aca="false">COST!P61</f>
        <v>Community Benefit Manager</v>
      </c>
      <c r="F61" s="63" t="n">
        <f aca="false">COST!R61</f>
        <v>2.5</v>
      </c>
      <c r="G61" s="48" t="str">
        <f aca="false">STACK!M61</f>
        <v/>
      </c>
      <c r="H61" s="1" t="str">
        <f aca="false">C61&amp;"|"&amp;IF(ISNUMBER(D61),TEXT(D61,"yyyy-mm-dd"),"no date")&amp;"|"&amp;E61&amp;"|"&amp;IF(ISNUMBER(F61),TEXT(F61,"0.00"),"blank")</f>
        <v>Regional Health Coalition|2025-08-14|Community Benefit Manager|2.50</v>
      </c>
      <c r="I61" s="1" t="n">
        <f aca="false">COUNTIF($H$5:$H$1624,H61)</f>
        <v>2</v>
      </c>
      <c r="J61" s="1" t="n">
        <f aca="false">COUNTIF($H$5:H61,H61)</f>
        <v>1</v>
      </c>
      <c r="K61" s="1" t="n">
        <f aca="false">COUNTIFS($H$5:$H$1624,H61,$B$5:$B$1624,"&lt;&gt;"&amp;B61)</f>
        <v>1</v>
      </c>
      <c r="L61" s="1" t="str">
        <f aca="false">IF(I61&gt;1,IF(K61&gt;0,"Cross-hospital match","Same-hospital match"),"")</f>
        <v>Cross-hospital match</v>
      </c>
      <c r="M61" s="52" t="s">
        <v>2959</v>
      </c>
      <c r="N61" s="52" t="s">
        <v>2960</v>
      </c>
      <c r="O61" s="1" t="n">
        <f aca="false">IF(M61="Exclude (duplicate)",0,1)</f>
        <v>1</v>
      </c>
      <c r="P61" s="1" t="str">
        <f aca="false">IF(AND(L61&lt;&gt;"",M61=""),"Needs decision","")</f>
        <v/>
      </c>
    </row>
    <row r="62" customFormat="false" ht="15" hidden="false" customHeight="false" outlineLevel="0" collapsed="false">
      <c r="A62" s="48" t="str">
        <f aca="false">COST!A62</f>
        <v>KVMC-0058</v>
      </c>
      <c r="B62" s="48" t="str">
        <f aca="false">COST!B62</f>
        <v>KVMC</v>
      </c>
      <c r="C62" s="48" t="str">
        <f aca="false">COST!D62</f>
        <v>Regional Health Coalition</v>
      </c>
      <c r="D62" s="62" t="n">
        <f aca="false">COST!M62</f>
        <v>45883</v>
      </c>
      <c r="E62" s="48" t="str">
        <f aca="false">COST!P62</f>
        <v>Director</v>
      </c>
      <c r="F62" s="63" t="n">
        <f aca="false">COST!R62</f>
        <v>2.25</v>
      </c>
      <c r="G62" s="48" t="str">
        <f aca="false">STACK!M62</f>
        <v/>
      </c>
      <c r="H62" s="1" t="str">
        <f aca="false">C62&amp;"|"&amp;IF(ISNUMBER(D62),TEXT(D62,"yyyy-mm-dd"),"no date")&amp;"|"&amp;E62&amp;"|"&amp;IF(ISNUMBER(F62),TEXT(F62,"0.00"),"blank")</f>
        <v>Regional Health Coalition|2025-08-14|Director|2.25</v>
      </c>
      <c r="I62" s="1" t="n">
        <f aca="false">COUNTIF($H$5:$H$1624,H62)</f>
        <v>2</v>
      </c>
      <c r="J62" s="1" t="n">
        <f aca="false">COUNTIF($H$5:H62,H62)</f>
        <v>1</v>
      </c>
      <c r="K62" s="1" t="n">
        <f aca="false">COUNTIFS($H$5:$H$1624,H62,$B$5:$B$1624,"&lt;&gt;"&amp;B62)</f>
        <v>1</v>
      </c>
      <c r="L62" s="1" t="str">
        <f aca="false">IF(I62&gt;1,IF(K62&gt;0,"Cross-hospital match","Same-hospital match"),"")</f>
        <v>Cross-hospital match</v>
      </c>
      <c r="M62" s="52" t="s">
        <v>2959</v>
      </c>
      <c r="N62" s="52" t="s">
        <v>2960</v>
      </c>
      <c r="O62" s="1" t="n">
        <f aca="false">IF(M62="Exclude (duplicate)",0,1)</f>
        <v>1</v>
      </c>
      <c r="P62" s="1" t="str">
        <f aca="false">IF(AND(L62&lt;&gt;"",M62=""),"Needs decision","")</f>
        <v/>
      </c>
    </row>
    <row r="63" customFormat="false" ht="15" hidden="false" customHeight="false" outlineLevel="0" collapsed="false">
      <c r="A63" s="48" t="str">
        <f aca="false">COST!A63</f>
        <v>KVMC-0059</v>
      </c>
      <c r="B63" s="48" t="str">
        <f aca="false">COST!B63</f>
        <v>KVMC</v>
      </c>
      <c r="C63" s="48" t="str">
        <f aca="false">COST!D63</f>
        <v>Naloxone Training and Distribution</v>
      </c>
      <c r="D63" s="62" t="n">
        <f aca="false">COST!M63</f>
        <v>45889</v>
      </c>
      <c r="E63" s="48" t="str">
        <f aca="false">COST!P63</f>
        <v>Health Educator</v>
      </c>
      <c r="F63" s="63" t="n">
        <f aca="false">COST!R63</f>
        <v>2.5</v>
      </c>
      <c r="G63" s="48" t="str">
        <f aca="false">STACK!M63</f>
        <v/>
      </c>
      <c r="H63" s="1" t="str">
        <f aca="false">C63&amp;"|"&amp;IF(ISNUMBER(D63),TEXT(D63,"yyyy-mm-dd"),"no date")&amp;"|"&amp;E63&amp;"|"&amp;IF(ISNUMBER(F63),TEXT(F63,"0.00"),"blank")</f>
        <v>Naloxone Training and Distribution|2025-08-20|Health Educator|2.50</v>
      </c>
      <c r="I63" s="1" t="n">
        <f aca="false">COUNTIF($H$5:$H$1624,H63)</f>
        <v>1</v>
      </c>
      <c r="J63" s="1" t="n">
        <f aca="false">COUNTIF($H$5:H63,H63)</f>
        <v>1</v>
      </c>
      <c r="K63" s="1" t="n">
        <f aca="false">COUNTIFS($H$5:$H$1624,H63,$B$5:$B$1624,"&lt;&gt;"&amp;B63)</f>
        <v>0</v>
      </c>
      <c r="L63" s="1" t="str">
        <f aca="false">IF(I63&gt;1,IF(K63&gt;0,"Cross-hospital match","Same-hospital match"),"")</f>
        <v/>
      </c>
      <c r="M63" s="52"/>
      <c r="N63" s="52"/>
      <c r="O63" s="1" t="n">
        <f aca="false">IF(M63="Exclude (duplicate)",0,1)</f>
        <v>1</v>
      </c>
      <c r="P63" s="1" t="str">
        <f aca="false">IF(AND(L63&lt;&gt;"",M63=""),"Needs decision","")</f>
        <v/>
      </c>
    </row>
    <row r="64" customFormat="false" ht="15" hidden="false" customHeight="false" outlineLevel="0" collapsed="false">
      <c r="A64" s="48" t="str">
        <f aca="false">COST!A64</f>
        <v>KVMC-0060</v>
      </c>
      <c r="B64" s="48" t="str">
        <f aca="false">COST!B64</f>
        <v>KVMC</v>
      </c>
      <c r="C64" s="48" t="str">
        <f aca="false">COST!D64</f>
        <v>Naloxone Training and Distribution</v>
      </c>
      <c r="D64" s="62" t="n">
        <f aca="false">COST!M64</f>
        <v>45889</v>
      </c>
      <c r="E64" s="48" t="str">
        <f aca="false">COST!P64</f>
        <v>Pharmacist</v>
      </c>
      <c r="F64" s="63" t="n">
        <f aca="false">COST!R64</f>
        <v>2.25</v>
      </c>
      <c r="G64" s="48" t="str">
        <f aca="false">STACK!M64</f>
        <v/>
      </c>
      <c r="H64" s="1" t="str">
        <f aca="false">C64&amp;"|"&amp;IF(ISNUMBER(D64),TEXT(D64,"yyyy-mm-dd"),"no date")&amp;"|"&amp;E64&amp;"|"&amp;IF(ISNUMBER(F64),TEXT(F64,"0.00"),"blank")</f>
        <v>Naloxone Training and Distribution|2025-08-20|Pharmacist|2.25</v>
      </c>
      <c r="I64" s="1" t="n">
        <f aca="false">COUNTIF($H$5:$H$1624,H64)</f>
        <v>1</v>
      </c>
      <c r="J64" s="1" t="n">
        <f aca="false">COUNTIF($H$5:H64,H64)</f>
        <v>1</v>
      </c>
      <c r="K64" s="1" t="n">
        <f aca="false">COUNTIFS($H$5:$H$1624,H64,$B$5:$B$1624,"&lt;&gt;"&amp;B64)</f>
        <v>0</v>
      </c>
      <c r="L64" s="1" t="str">
        <f aca="false">IF(I64&gt;1,IF(K64&gt;0,"Cross-hospital match","Same-hospital match"),"")</f>
        <v/>
      </c>
      <c r="M64" s="52"/>
      <c r="N64" s="52"/>
      <c r="O64" s="1" t="n">
        <f aca="false">IF(M64="Exclude (duplicate)",0,1)</f>
        <v>1</v>
      </c>
      <c r="P64" s="1" t="str">
        <f aca="false">IF(AND(L64&lt;&gt;"",M64=""),"Needs decision","")</f>
        <v/>
      </c>
    </row>
    <row r="65" customFormat="false" ht="15" hidden="false" customHeight="false" outlineLevel="0" collapsed="false">
      <c r="A65" s="48" t="str">
        <f aca="false">COST!A65</f>
        <v>KVMC-0061</v>
      </c>
      <c r="B65" s="48" t="str">
        <f aca="false">COST!B65</f>
        <v>KVMC</v>
      </c>
      <c r="C65" s="48" t="str">
        <f aca="false">COST!D65</f>
        <v>Mental Health First Aid Training</v>
      </c>
      <c r="D65" s="62" t="n">
        <f aca="false">COST!M65</f>
        <v>45891</v>
      </c>
      <c r="E65" s="48" t="str">
        <f aca="false">COST!P65</f>
        <v>Health Educator</v>
      </c>
      <c r="F65" s="63" t="n">
        <f aca="false">COST!R65</f>
        <v>8</v>
      </c>
      <c r="G65" s="48" t="str">
        <f aca="false">STACK!M65</f>
        <v/>
      </c>
      <c r="H65" s="1" t="str">
        <f aca="false">C65&amp;"|"&amp;IF(ISNUMBER(D65),TEXT(D65,"yyyy-mm-dd"),"no date")&amp;"|"&amp;E65&amp;"|"&amp;IF(ISNUMBER(F65),TEXT(F65,"0.00"),"blank")</f>
        <v>Mental Health First Aid Training|2025-08-22|Health Educator|8.00</v>
      </c>
      <c r="I65" s="1" t="n">
        <f aca="false">COUNTIF($H$5:$H$1624,H65)</f>
        <v>1</v>
      </c>
      <c r="J65" s="1" t="n">
        <f aca="false">COUNTIF($H$5:H65,H65)</f>
        <v>1</v>
      </c>
      <c r="K65" s="1" t="n">
        <f aca="false">COUNTIFS($H$5:$H$1624,H65,$B$5:$B$1624,"&lt;&gt;"&amp;B65)</f>
        <v>0</v>
      </c>
      <c r="L65" s="1" t="str">
        <f aca="false">IF(I65&gt;1,IF(K65&gt;0,"Cross-hospital match","Same-hospital match"),"")</f>
        <v/>
      </c>
      <c r="M65" s="52"/>
      <c r="N65" s="52"/>
      <c r="O65" s="1" t="n">
        <f aca="false">IF(M65="Exclude (duplicate)",0,1)</f>
        <v>1</v>
      </c>
      <c r="P65" s="1" t="str">
        <f aca="false">IF(AND(L65&lt;&gt;"",M65=""),"Needs decision","")</f>
        <v/>
      </c>
    </row>
    <row r="66" customFormat="false" ht="15" hidden="false" customHeight="false" outlineLevel="0" collapsed="false">
      <c r="A66" s="48" t="str">
        <f aca="false">COST!A66</f>
        <v>KVMC-0062</v>
      </c>
      <c r="B66" s="48" t="str">
        <f aca="false">COST!B66</f>
        <v>KVMC</v>
      </c>
      <c r="C66" s="48" t="str">
        <f aca="false">COST!D66</f>
        <v>Mental Health First Aid Training</v>
      </c>
      <c r="D66" s="62" t="n">
        <f aca="false">COST!M66</f>
        <v>45891</v>
      </c>
      <c r="E66" s="48" t="str">
        <f aca="false">COST!P66</f>
        <v>Social Worker</v>
      </c>
      <c r="F66" s="63" t="n">
        <f aca="false">COST!R66</f>
        <v>8</v>
      </c>
      <c r="G66" s="48" t="str">
        <f aca="false">STACK!M66</f>
        <v/>
      </c>
      <c r="H66" s="1" t="str">
        <f aca="false">C66&amp;"|"&amp;IF(ISNUMBER(D66),TEXT(D66,"yyyy-mm-dd"),"no date")&amp;"|"&amp;E66&amp;"|"&amp;IF(ISNUMBER(F66),TEXT(F66,"0.00"),"blank")</f>
        <v>Mental Health First Aid Training|2025-08-22|Social Worker|8.00</v>
      </c>
      <c r="I66" s="1" t="n">
        <f aca="false">COUNTIF($H$5:$H$1624,H66)</f>
        <v>1</v>
      </c>
      <c r="J66" s="1" t="n">
        <f aca="false">COUNTIF($H$5:H66,H66)</f>
        <v>1</v>
      </c>
      <c r="K66" s="1" t="n">
        <f aca="false">COUNTIFS($H$5:$H$1624,H66,$B$5:$B$1624,"&lt;&gt;"&amp;B66)</f>
        <v>0</v>
      </c>
      <c r="L66" s="1" t="str">
        <f aca="false">IF(I66&gt;1,IF(K66&gt;0,"Cross-hospital match","Same-hospital match"),"")</f>
        <v/>
      </c>
      <c r="M66" s="52"/>
      <c r="N66" s="52"/>
      <c r="O66" s="1" t="n">
        <f aca="false">IF(M66="Exclude (duplicate)",0,1)</f>
        <v>1</v>
      </c>
      <c r="P66" s="1" t="str">
        <f aca="false">IF(AND(L66&lt;&gt;"",M66=""),"Needs decision","")</f>
        <v/>
      </c>
    </row>
    <row r="67" customFormat="false" ht="15" hidden="false" customHeight="false" outlineLevel="0" collapsed="false">
      <c r="A67" s="48" t="str">
        <f aca="false">COST!A67</f>
        <v>KVMC-0063</v>
      </c>
      <c r="B67" s="48" t="str">
        <f aca="false">COST!B67</f>
        <v>KVMC</v>
      </c>
      <c r="C67" s="48" t="str">
        <f aca="false">COST!D67</f>
        <v>Mobile Health Screening Unit</v>
      </c>
      <c r="D67" s="62" t="n">
        <f aca="false">COST!M67</f>
        <v>45900</v>
      </c>
      <c r="E67" s="48" t="str">
        <f aca="false">COST!P67</f>
        <v>Community Health Worker</v>
      </c>
      <c r="F67" s="63" t="n">
        <f aca="false">COST!R67</f>
        <v>98.25</v>
      </c>
      <c r="G67" s="48" t="str">
        <f aca="false">STACK!M67</f>
        <v/>
      </c>
      <c r="H67" s="1" t="str">
        <f aca="false">C67&amp;"|"&amp;IF(ISNUMBER(D67),TEXT(D67,"yyyy-mm-dd"),"no date")&amp;"|"&amp;E67&amp;"|"&amp;IF(ISNUMBER(F67),TEXT(F67,"0.00"),"blank")</f>
        <v>Mobile Health Screening Unit|2025-08-31|Community Health Worker|98.25</v>
      </c>
      <c r="I67" s="1" t="n">
        <f aca="false">COUNTIF($H$5:$H$1624,H67)</f>
        <v>1</v>
      </c>
      <c r="J67" s="1" t="n">
        <f aca="false">COUNTIF($H$5:H67,H67)</f>
        <v>1</v>
      </c>
      <c r="K67" s="1" t="n">
        <f aca="false">COUNTIFS($H$5:$H$1624,H67,$B$5:$B$1624,"&lt;&gt;"&amp;B67)</f>
        <v>0</v>
      </c>
      <c r="L67" s="1" t="str">
        <f aca="false">IF(I67&gt;1,IF(K67&gt;0,"Cross-hospital match","Same-hospital match"),"")</f>
        <v/>
      </c>
      <c r="M67" s="52"/>
      <c r="N67" s="52"/>
      <c r="O67" s="1" t="n">
        <f aca="false">IF(M67="Exclude (duplicate)",0,1)</f>
        <v>1</v>
      </c>
      <c r="P67" s="1" t="str">
        <f aca="false">IF(AND(L67&lt;&gt;"",M67=""),"Needs decision","")</f>
        <v/>
      </c>
    </row>
    <row r="68" customFormat="false" ht="15" hidden="false" customHeight="false" outlineLevel="0" collapsed="false">
      <c r="A68" s="48" t="str">
        <f aca="false">COST!A68</f>
        <v>KVMC-0064</v>
      </c>
      <c r="B68" s="48" t="str">
        <f aca="false">COST!B68</f>
        <v>KVMC</v>
      </c>
      <c r="C68" s="48" t="str">
        <f aca="false">COST!D68</f>
        <v>Mobile Health Screening Unit</v>
      </c>
      <c r="D68" s="62" t="n">
        <f aca="false">COST!M68</f>
        <v>45900</v>
      </c>
      <c r="E68" s="48" t="str">
        <f aca="false">COST!P68</f>
        <v>Medical Assistant</v>
      </c>
      <c r="F68" s="63" t="n">
        <f aca="false">COST!R68</f>
        <v>114</v>
      </c>
      <c r="G68" s="48" t="str">
        <f aca="false">STACK!M68</f>
        <v/>
      </c>
      <c r="H68" s="1" t="str">
        <f aca="false">C68&amp;"|"&amp;IF(ISNUMBER(D68),TEXT(D68,"yyyy-mm-dd"),"no date")&amp;"|"&amp;E68&amp;"|"&amp;IF(ISNUMBER(F68),TEXT(F68,"0.00"),"blank")</f>
        <v>Mobile Health Screening Unit|2025-08-31|Medical Assistant|114.00</v>
      </c>
      <c r="I68" s="1" t="n">
        <f aca="false">COUNTIF($H$5:$H$1624,H68)</f>
        <v>1</v>
      </c>
      <c r="J68" s="1" t="n">
        <f aca="false">COUNTIF($H$5:H68,H68)</f>
        <v>1</v>
      </c>
      <c r="K68" s="1" t="n">
        <f aca="false">COUNTIFS($H$5:$H$1624,H68,$B$5:$B$1624,"&lt;&gt;"&amp;B68)</f>
        <v>0</v>
      </c>
      <c r="L68" s="1" t="str">
        <f aca="false">IF(I68&gt;1,IF(K68&gt;0,"Cross-hospital match","Same-hospital match"),"")</f>
        <v/>
      </c>
      <c r="M68" s="52"/>
      <c r="N68" s="52"/>
      <c r="O68" s="1" t="n">
        <f aca="false">IF(M68="Exclude (duplicate)",0,1)</f>
        <v>1</v>
      </c>
      <c r="P68" s="1" t="str">
        <f aca="false">IF(AND(L68&lt;&gt;"",M68=""),"Needs decision","")</f>
        <v/>
      </c>
    </row>
    <row r="69" customFormat="false" ht="15" hidden="false" customHeight="false" outlineLevel="0" collapsed="false">
      <c r="A69" s="48" t="str">
        <f aca="false">COST!A69</f>
        <v>KVMC-0065</v>
      </c>
      <c r="B69" s="48" t="str">
        <f aca="false">COST!B69</f>
        <v>KVMC</v>
      </c>
      <c r="C69" s="48" t="str">
        <f aca="false">COST!D69</f>
        <v>Mobile Health Screening Unit</v>
      </c>
      <c r="D69" s="62" t="n">
        <f aca="false">COST!M69</f>
        <v>45900</v>
      </c>
      <c r="E69" s="48" t="str">
        <f aca="false">COST!P69</f>
        <v>Registered Nurse</v>
      </c>
      <c r="F69" s="63" t="n">
        <f aca="false">COST!R69</f>
        <v>149.25</v>
      </c>
      <c r="G69" s="48" t="str">
        <f aca="false">STACK!M69</f>
        <v/>
      </c>
      <c r="H69" s="1" t="str">
        <f aca="false">C69&amp;"|"&amp;IF(ISNUMBER(D69),TEXT(D69,"yyyy-mm-dd"),"no date")&amp;"|"&amp;E69&amp;"|"&amp;IF(ISNUMBER(F69),TEXT(F69,"0.00"),"blank")</f>
        <v>Mobile Health Screening Unit|2025-08-31|Registered Nurse|149.25</v>
      </c>
      <c r="I69" s="1" t="n">
        <f aca="false">COUNTIF($H$5:$H$1624,H69)</f>
        <v>1</v>
      </c>
      <c r="J69" s="1" t="n">
        <f aca="false">COUNTIF($H$5:H69,H69)</f>
        <v>1</v>
      </c>
      <c r="K69" s="1" t="n">
        <f aca="false">COUNTIFS($H$5:$H$1624,H69,$B$5:$B$1624,"&lt;&gt;"&amp;B69)</f>
        <v>0</v>
      </c>
      <c r="L69" s="1" t="str">
        <f aca="false">IF(I69&gt;1,IF(K69&gt;0,"Cross-hospital match","Same-hospital match"),"")</f>
        <v/>
      </c>
      <c r="M69" s="52"/>
      <c r="N69" s="52"/>
      <c r="O69" s="1" t="n">
        <f aca="false">IF(M69="Exclude (duplicate)",0,1)</f>
        <v>1</v>
      </c>
      <c r="P69" s="1" t="str">
        <f aca="false">IF(AND(L69&lt;&gt;"",M69=""),"Needs decision","")</f>
        <v/>
      </c>
    </row>
    <row r="70" customFormat="false" ht="15" hidden="false" customHeight="false" outlineLevel="0" collapsed="false">
      <c r="A70" s="48" t="str">
        <f aca="false">COST!A70</f>
        <v>KVMC-0066</v>
      </c>
      <c r="B70" s="48" t="str">
        <f aca="false">COST!B70</f>
        <v>KVMC</v>
      </c>
      <c r="C70" s="48" t="str">
        <f aca="false">COST!D70</f>
        <v>Free Clinic Provider Staffing</v>
      </c>
      <c r="D70" s="62" t="n">
        <f aca="false">COST!M70</f>
        <v>45900</v>
      </c>
      <c r="E70" s="48" t="str">
        <f aca="false">COST!P70</f>
        <v>Nurse Practitioner</v>
      </c>
      <c r="F70" s="63" t="n">
        <f aca="false">COST!R70</f>
        <v>43.25</v>
      </c>
      <c r="G70" s="48" t="str">
        <f aca="false">STACK!M70</f>
        <v/>
      </c>
      <c r="H70" s="1" t="str">
        <f aca="false">C70&amp;"|"&amp;IF(ISNUMBER(D70),TEXT(D70,"yyyy-mm-dd"),"no date")&amp;"|"&amp;E70&amp;"|"&amp;IF(ISNUMBER(F70),TEXT(F70,"0.00"),"blank")</f>
        <v>Free Clinic Provider Staffing|2025-08-31|Nurse Practitioner|43.25</v>
      </c>
      <c r="I70" s="1" t="n">
        <f aca="false">COUNTIF($H$5:$H$1624,H70)</f>
        <v>1</v>
      </c>
      <c r="J70" s="1" t="n">
        <f aca="false">COUNTIF($H$5:H70,H70)</f>
        <v>1</v>
      </c>
      <c r="K70" s="1" t="n">
        <f aca="false">COUNTIFS($H$5:$H$1624,H70,$B$5:$B$1624,"&lt;&gt;"&amp;B70)</f>
        <v>0</v>
      </c>
      <c r="L70" s="1" t="str">
        <f aca="false">IF(I70&gt;1,IF(K70&gt;0,"Cross-hospital match","Same-hospital match"),"")</f>
        <v/>
      </c>
      <c r="M70" s="52"/>
      <c r="N70" s="52"/>
      <c r="O70" s="1" t="n">
        <f aca="false">IF(M70="Exclude (duplicate)",0,1)</f>
        <v>1</v>
      </c>
      <c r="P70" s="1" t="str">
        <f aca="false">IF(AND(L70&lt;&gt;"",M70=""),"Needs decision","")</f>
        <v/>
      </c>
    </row>
    <row r="71" customFormat="false" ht="15" hidden="false" customHeight="false" outlineLevel="0" collapsed="false">
      <c r="A71" s="48" t="str">
        <f aca="false">COST!A71</f>
        <v>KVMC-0067</v>
      </c>
      <c r="B71" s="48" t="str">
        <f aca="false">COST!B71</f>
        <v>KVMC</v>
      </c>
      <c r="C71" s="48" t="str">
        <f aca="false">COST!D71</f>
        <v>Free Clinic Provider Staffing</v>
      </c>
      <c r="D71" s="62" t="n">
        <f aca="false">COST!M71</f>
        <v>45900</v>
      </c>
      <c r="E71" s="48" t="str">
        <f aca="false">COST!P71</f>
        <v>Pharmacist</v>
      </c>
      <c r="F71" s="63" t="n">
        <f aca="false">COST!R71</f>
        <v>21.25</v>
      </c>
      <c r="G71" s="48" t="str">
        <f aca="false">STACK!M71</f>
        <v/>
      </c>
      <c r="H71" s="1" t="str">
        <f aca="false">C71&amp;"|"&amp;IF(ISNUMBER(D71),TEXT(D71,"yyyy-mm-dd"),"no date")&amp;"|"&amp;E71&amp;"|"&amp;IF(ISNUMBER(F71),TEXT(F71,"0.00"),"blank")</f>
        <v>Free Clinic Provider Staffing|2025-08-31|Pharmacist|21.25</v>
      </c>
      <c r="I71" s="1" t="n">
        <f aca="false">COUNTIF($H$5:$H$1624,H71)</f>
        <v>1</v>
      </c>
      <c r="J71" s="1" t="n">
        <f aca="false">COUNTIF($H$5:H71,H71)</f>
        <v>1</v>
      </c>
      <c r="K71" s="1" t="n">
        <f aca="false">COUNTIFS($H$5:$H$1624,H71,$B$5:$B$1624,"&lt;&gt;"&amp;B71)</f>
        <v>0</v>
      </c>
      <c r="L71" s="1" t="str">
        <f aca="false">IF(I71&gt;1,IF(K71&gt;0,"Cross-hospital match","Same-hospital match"),"")</f>
        <v/>
      </c>
      <c r="M71" s="52"/>
      <c r="N71" s="52"/>
      <c r="O71" s="1" t="n">
        <f aca="false">IF(M71="Exclude (duplicate)",0,1)</f>
        <v>1</v>
      </c>
      <c r="P71" s="1" t="str">
        <f aca="false">IF(AND(L71&lt;&gt;"",M71=""),"Needs decision","")</f>
        <v/>
      </c>
    </row>
    <row r="72" customFormat="false" ht="15" hidden="false" customHeight="false" outlineLevel="0" collapsed="false">
      <c r="A72" s="48" t="str">
        <f aca="false">COST!A72</f>
        <v>KVMC-0068</v>
      </c>
      <c r="B72" s="48" t="str">
        <f aca="false">COST!B72</f>
        <v>KVMC</v>
      </c>
      <c r="C72" s="48" t="str">
        <f aca="false">COST!D72</f>
        <v>Free Clinic Provider Staffing</v>
      </c>
      <c r="D72" s="62" t="n">
        <f aca="false">COST!M72</f>
        <v>45900</v>
      </c>
      <c r="E72" s="48" t="str">
        <f aca="false">COST!P72</f>
        <v>Registered Nurse</v>
      </c>
      <c r="F72" s="63" t="n">
        <f aca="false">COST!R72</f>
        <v>50.75</v>
      </c>
      <c r="G72" s="48" t="str">
        <f aca="false">STACK!M72</f>
        <v/>
      </c>
      <c r="H72" s="1" t="str">
        <f aca="false">C72&amp;"|"&amp;IF(ISNUMBER(D72),TEXT(D72,"yyyy-mm-dd"),"no date")&amp;"|"&amp;E72&amp;"|"&amp;IF(ISNUMBER(F72),TEXT(F72,"0.00"),"blank")</f>
        <v>Free Clinic Provider Staffing|2025-08-31|Registered Nurse|50.75</v>
      </c>
      <c r="I72" s="1" t="n">
        <f aca="false">COUNTIF($H$5:$H$1624,H72)</f>
        <v>1</v>
      </c>
      <c r="J72" s="1" t="n">
        <f aca="false">COUNTIF($H$5:H72,H72)</f>
        <v>1</v>
      </c>
      <c r="K72" s="1" t="n">
        <f aca="false">COUNTIFS($H$5:$H$1624,H72,$B$5:$B$1624,"&lt;&gt;"&amp;B72)</f>
        <v>0</v>
      </c>
      <c r="L72" s="1" t="str">
        <f aca="false">IF(I72&gt;1,IF(K72&gt;0,"Cross-hospital match","Same-hospital match"),"")</f>
        <v/>
      </c>
      <c r="M72" s="52"/>
      <c r="N72" s="52"/>
      <c r="O72" s="1" t="n">
        <f aca="false">IF(M72="Exclude (duplicate)",0,1)</f>
        <v>1</v>
      </c>
      <c r="P72" s="1" t="str">
        <f aca="false">IF(AND(L72&lt;&gt;"",M72=""),"Needs decision","")</f>
        <v/>
      </c>
    </row>
    <row r="73" customFormat="false" ht="15" hidden="false" customHeight="false" outlineLevel="0" collapsed="false">
      <c r="A73" s="48" t="str">
        <f aca="false">COST!A73</f>
        <v>KVMC-0069</v>
      </c>
      <c r="B73" s="48" t="str">
        <f aca="false">COST!B73</f>
        <v>KVMC</v>
      </c>
      <c r="C73" s="48" t="str">
        <f aca="false">COST!D73</f>
        <v>Community Health Worker Outreach</v>
      </c>
      <c r="D73" s="62" t="n">
        <f aca="false">COST!M73</f>
        <v>45900</v>
      </c>
      <c r="E73" s="48" t="str">
        <f aca="false">COST!P73</f>
        <v>Community Health Worker</v>
      </c>
      <c r="F73" s="63" t="n">
        <f aca="false">COST!R73</f>
        <v>498.25</v>
      </c>
      <c r="G73" s="48" t="str">
        <f aca="false">STACK!M73</f>
        <v/>
      </c>
      <c r="H73" s="1" t="str">
        <f aca="false">C73&amp;"|"&amp;IF(ISNUMBER(D73),TEXT(D73,"yyyy-mm-dd"),"no date")&amp;"|"&amp;E73&amp;"|"&amp;IF(ISNUMBER(F73),TEXT(F73,"0.00"),"blank")</f>
        <v>Community Health Worker Outreach|2025-08-31|Community Health Worker|498.25</v>
      </c>
      <c r="I73" s="1" t="n">
        <f aca="false">COUNTIF($H$5:$H$1624,H73)</f>
        <v>1</v>
      </c>
      <c r="J73" s="1" t="n">
        <f aca="false">COUNTIF($H$5:H73,H73)</f>
        <v>1</v>
      </c>
      <c r="K73" s="1" t="n">
        <f aca="false">COUNTIFS($H$5:$H$1624,H73,$B$5:$B$1624,"&lt;&gt;"&amp;B73)</f>
        <v>0</v>
      </c>
      <c r="L73" s="1" t="str">
        <f aca="false">IF(I73&gt;1,IF(K73&gt;0,"Cross-hospital match","Same-hospital match"),"")</f>
        <v/>
      </c>
      <c r="M73" s="52"/>
      <c r="N73" s="52"/>
      <c r="O73" s="1" t="n">
        <f aca="false">IF(M73="Exclude (duplicate)",0,1)</f>
        <v>1</v>
      </c>
      <c r="P73" s="1" t="str">
        <f aca="false">IF(AND(L73&lt;&gt;"",M73=""),"Needs decision","")</f>
        <v/>
      </c>
    </row>
    <row r="74" customFormat="false" ht="15" hidden="false" customHeight="false" outlineLevel="0" collapsed="false">
      <c r="A74" s="48" t="str">
        <f aca="false">COST!A74</f>
        <v>KVMC-0070</v>
      </c>
      <c r="B74" s="48" t="str">
        <f aca="false">COST!B74</f>
        <v>KVMC</v>
      </c>
      <c r="C74" s="48" t="str">
        <f aca="false">COST!D74</f>
        <v>Community Health Worker Outreach</v>
      </c>
      <c r="D74" s="62" t="n">
        <f aca="false">COST!M74</f>
        <v>45900</v>
      </c>
      <c r="E74" s="48" t="str">
        <f aca="false">COST!P74</f>
        <v>Patient Navigator</v>
      </c>
      <c r="F74" s="63" t="n">
        <f aca="false">COST!R74</f>
        <v>187.75</v>
      </c>
      <c r="G74" s="48" t="str">
        <f aca="false">STACK!M74</f>
        <v/>
      </c>
      <c r="H74" s="1" t="str">
        <f aca="false">C74&amp;"|"&amp;IF(ISNUMBER(D74),TEXT(D74,"yyyy-mm-dd"),"no date")&amp;"|"&amp;E74&amp;"|"&amp;IF(ISNUMBER(F74),TEXT(F74,"0.00"),"blank")</f>
        <v>Community Health Worker Outreach|2025-08-31|Patient Navigator|187.75</v>
      </c>
      <c r="I74" s="1" t="n">
        <f aca="false">COUNTIF($H$5:$H$1624,H74)</f>
        <v>1</v>
      </c>
      <c r="J74" s="1" t="n">
        <f aca="false">COUNTIF($H$5:H74,H74)</f>
        <v>1</v>
      </c>
      <c r="K74" s="1" t="n">
        <f aca="false">COUNTIFS($H$5:$H$1624,H74,$B$5:$B$1624,"&lt;&gt;"&amp;B74)</f>
        <v>0</v>
      </c>
      <c r="L74" s="1" t="str">
        <f aca="false">IF(I74&gt;1,IF(K74&gt;0,"Cross-hospital match","Same-hospital match"),"")</f>
        <v/>
      </c>
      <c r="M74" s="52"/>
      <c r="N74" s="52"/>
      <c r="O74" s="1" t="n">
        <f aca="false">IF(M74="Exclude (duplicate)",0,1)</f>
        <v>1</v>
      </c>
      <c r="P74" s="1" t="str">
        <f aca="false">IF(AND(L74&lt;&gt;"",M74=""),"Needs decision","")</f>
        <v/>
      </c>
    </row>
    <row r="75" customFormat="false" ht="15" hidden="false" customHeight="false" outlineLevel="0" collapsed="false">
      <c r="A75" s="48" t="str">
        <f aca="false">COST!A75</f>
        <v>KVMC-0071</v>
      </c>
      <c r="B75" s="48" t="str">
        <f aca="false">COST!B75</f>
        <v>KVMC</v>
      </c>
      <c r="C75" s="48" t="str">
        <f aca="false">COST!D75</f>
        <v>Medication Assistance Program</v>
      </c>
      <c r="D75" s="62" t="n">
        <f aca="false">COST!M75</f>
        <v>45900</v>
      </c>
      <c r="E75" s="48" t="str">
        <f aca="false">COST!P75</f>
        <v>Patient Navigator</v>
      </c>
      <c r="F75" s="63" t="n">
        <f aca="false">COST!R75</f>
        <v>111.75</v>
      </c>
      <c r="G75" s="48" t="str">
        <f aca="false">STACK!M75</f>
        <v/>
      </c>
      <c r="H75" s="1" t="str">
        <f aca="false">C75&amp;"|"&amp;IF(ISNUMBER(D75),TEXT(D75,"yyyy-mm-dd"),"no date")&amp;"|"&amp;E75&amp;"|"&amp;IF(ISNUMBER(F75),TEXT(F75,"0.00"),"blank")</f>
        <v>Medication Assistance Program|2025-08-31|Patient Navigator|111.75</v>
      </c>
      <c r="I75" s="1" t="n">
        <f aca="false">COUNTIF($H$5:$H$1624,H75)</f>
        <v>1</v>
      </c>
      <c r="J75" s="1" t="n">
        <f aca="false">COUNTIF($H$5:H75,H75)</f>
        <v>1</v>
      </c>
      <c r="K75" s="1" t="n">
        <f aca="false">COUNTIFS($H$5:$H$1624,H75,$B$5:$B$1624,"&lt;&gt;"&amp;B75)</f>
        <v>0</v>
      </c>
      <c r="L75" s="1" t="str">
        <f aca="false">IF(I75&gt;1,IF(K75&gt;0,"Cross-hospital match","Same-hospital match"),"")</f>
        <v/>
      </c>
      <c r="M75" s="52"/>
      <c r="N75" s="52"/>
      <c r="O75" s="1" t="n">
        <f aca="false">IF(M75="Exclude (duplicate)",0,1)</f>
        <v>1</v>
      </c>
      <c r="P75" s="1" t="str">
        <f aca="false">IF(AND(L75&lt;&gt;"",M75=""),"Needs decision","")</f>
        <v/>
      </c>
    </row>
    <row r="76" customFormat="false" ht="15" hidden="false" customHeight="false" outlineLevel="0" collapsed="false">
      <c r="A76" s="48" t="str">
        <f aca="false">COST!A76</f>
        <v>KVMC-0072</v>
      </c>
      <c r="B76" s="48" t="str">
        <f aca="false">COST!B76</f>
        <v>KVMC</v>
      </c>
      <c r="C76" s="48" t="str">
        <f aca="false">COST!D76</f>
        <v>Medication Assistance Program</v>
      </c>
      <c r="D76" s="62" t="n">
        <f aca="false">COST!M76</f>
        <v>45900</v>
      </c>
      <c r="E76" s="48" t="str">
        <f aca="false">COST!P76</f>
        <v>Pharmacist</v>
      </c>
      <c r="F76" s="63" t="n">
        <f aca="false">COST!R76</f>
        <v>21.25</v>
      </c>
      <c r="G76" s="48" t="str">
        <f aca="false">STACK!M76</f>
        <v/>
      </c>
      <c r="H76" s="1" t="str">
        <f aca="false">C76&amp;"|"&amp;IF(ISNUMBER(D76),TEXT(D76,"yyyy-mm-dd"),"no date")&amp;"|"&amp;E76&amp;"|"&amp;IF(ISNUMBER(F76),TEXT(F76,"0.00"),"blank")</f>
        <v>Medication Assistance Program|2025-08-31|Pharmacist|21.25</v>
      </c>
      <c r="I76" s="1" t="n">
        <f aca="false">COUNTIF($H$5:$H$1624,H76)</f>
        <v>1</v>
      </c>
      <c r="J76" s="1" t="n">
        <f aca="false">COUNTIF($H$5:H76,H76)</f>
        <v>1</v>
      </c>
      <c r="K76" s="1" t="n">
        <f aca="false">COUNTIFS($H$5:$H$1624,H76,$B$5:$B$1624,"&lt;&gt;"&amp;B76)</f>
        <v>0</v>
      </c>
      <c r="L76" s="1" t="str">
        <f aca="false">IF(I76&gt;1,IF(K76&gt;0,"Cross-hospital match","Same-hospital match"),"")</f>
        <v/>
      </c>
      <c r="M76" s="52"/>
      <c r="N76" s="52"/>
      <c r="O76" s="1" t="n">
        <f aca="false">IF(M76="Exclude (duplicate)",0,1)</f>
        <v>1</v>
      </c>
      <c r="P76" s="1" t="str">
        <f aca="false">IF(AND(L76&lt;&gt;"",M76=""),"Needs decision","")</f>
        <v/>
      </c>
    </row>
    <row r="77" customFormat="false" ht="15" hidden="false" customHeight="false" outlineLevel="0" collapsed="false">
      <c r="A77" s="48" t="str">
        <f aca="false">COST!A77</f>
        <v>KVMC-0073</v>
      </c>
      <c r="B77" s="48" t="str">
        <f aca="false">COST!B77</f>
        <v>KVMC</v>
      </c>
      <c r="C77" s="48" t="str">
        <f aca="false">COST!D77</f>
        <v>Community Health Needs Assessment</v>
      </c>
      <c r="D77" s="62" t="n">
        <f aca="false">COST!M77</f>
        <v>45900</v>
      </c>
      <c r="E77" s="48" t="str">
        <f aca="false">COST!P77</f>
        <v>Community Benefit Manager</v>
      </c>
      <c r="F77" s="63" t="n">
        <f aca="false">COST!R77</f>
        <v>34</v>
      </c>
      <c r="G77" s="48" t="str">
        <f aca="false">STACK!M77</f>
        <v/>
      </c>
      <c r="H77" s="1" t="str">
        <f aca="false">C77&amp;"|"&amp;IF(ISNUMBER(D77),TEXT(D77,"yyyy-mm-dd"),"no date")&amp;"|"&amp;E77&amp;"|"&amp;IF(ISNUMBER(F77),TEXT(F77,"0.00"),"blank")</f>
        <v>Community Health Needs Assessment|2025-08-31|Community Benefit Manager|34.00</v>
      </c>
      <c r="I77" s="1" t="n">
        <f aca="false">COUNTIF($H$5:$H$1624,H77)</f>
        <v>1</v>
      </c>
      <c r="J77" s="1" t="n">
        <f aca="false">COUNTIF($H$5:H77,H77)</f>
        <v>1</v>
      </c>
      <c r="K77" s="1" t="n">
        <f aca="false">COUNTIFS($H$5:$H$1624,H77,$B$5:$B$1624,"&lt;&gt;"&amp;B77)</f>
        <v>0</v>
      </c>
      <c r="L77" s="1" t="str">
        <f aca="false">IF(I77&gt;1,IF(K77&gt;0,"Cross-hospital match","Same-hospital match"),"")</f>
        <v/>
      </c>
      <c r="M77" s="52"/>
      <c r="N77" s="52"/>
      <c r="O77" s="1" t="n">
        <f aca="false">IF(M77="Exclude (duplicate)",0,1)</f>
        <v>1</v>
      </c>
      <c r="P77" s="1" t="str">
        <f aca="false">IF(AND(L77&lt;&gt;"",M77=""),"Needs decision","")</f>
        <v/>
      </c>
    </row>
    <row r="78" customFormat="false" ht="15" hidden="false" customHeight="false" outlineLevel="0" collapsed="false">
      <c r="A78" s="48" t="str">
        <f aca="false">COST!A78</f>
        <v>KVMC-0074</v>
      </c>
      <c r="B78" s="48" t="str">
        <f aca="false">COST!B78</f>
        <v>KVMC</v>
      </c>
      <c r="C78" s="48" t="str">
        <f aca="false">COST!D78</f>
        <v>Community Health Needs Assessment</v>
      </c>
      <c r="D78" s="62" t="n">
        <f aca="false">COST!M78</f>
        <v>45900</v>
      </c>
      <c r="E78" s="48" t="str">
        <f aca="false">COST!P78</f>
        <v>Data Analyst</v>
      </c>
      <c r="F78" s="63" t="n">
        <f aca="false">COST!R78</f>
        <v>21.5</v>
      </c>
      <c r="G78" s="48" t="str">
        <f aca="false">STACK!M78</f>
        <v/>
      </c>
      <c r="H78" s="1" t="str">
        <f aca="false">C78&amp;"|"&amp;IF(ISNUMBER(D78),TEXT(D78,"yyyy-mm-dd"),"no date")&amp;"|"&amp;E78&amp;"|"&amp;IF(ISNUMBER(F78),TEXT(F78,"0.00"),"blank")</f>
        <v>Community Health Needs Assessment|2025-08-31|Data Analyst|21.50</v>
      </c>
      <c r="I78" s="1" t="n">
        <f aca="false">COUNTIF($H$5:$H$1624,H78)</f>
        <v>1</v>
      </c>
      <c r="J78" s="1" t="n">
        <f aca="false">COUNTIF($H$5:H78,H78)</f>
        <v>1</v>
      </c>
      <c r="K78" s="1" t="n">
        <f aca="false">COUNTIFS($H$5:$H$1624,H78,$B$5:$B$1624,"&lt;&gt;"&amp;B78)</f>
        <v>0</v>
      </c>
      <c r="L78" s="1" t="str">
        <f aca="false">IF(I78&gt;1,IF(K78&gt;0,"Cross-hospital match","Same-hospital match"),"")</f>
        <v/>
      </c>
      <c r="M78" s="52"/>
      <c r="N78" s="52"/>
      <c r="O78" s="1" t="n">
        <f aca="false">IF(M78="Exclude (duplicate)",0,1)</f>
        <v>1</v>
      </c>
      <c r="P78" s="1" t="str">
        <f aca="false">IF(AND(L78&lt;&gt;"",M78=""),"Needs decision","")</f>
        <v/>
      </c>
    </row>
    <row r="79" customFormat="false" ht="15" hidden="false" customHeight="false" outlineLevel="0" collapsed="false">
      <c r="A79" s="48" t="str">
        <f aca="false">COST!A79</f>
        <v>KVMC-0075</v>
      </c>
      <c r="B79" s="48" t="str">
        <f aca="false">COST!B79</f>
        <v>KVMC</v>
      </c>
      <c r="C79" s="48" t="str">
        <f aca="false">COST!D79</f>
        <v>Community Benefit Program Administration</v>
      </c>
      <c r="D79" s="62" t="n">
        <f aca="false">COST!M79</f>
        <v>45900</v>
      </c>
      <c r="E79" s="48" t="str">
        <f aca="false">COST!P79</f>
        <v>Administrative Assistant</v>
      </c>
      <c r="F79" s="63" t="n">
        <f aca="false">COST!R79</f>
        <v>61.75</v>
      </c>
      <c r="G79" s="48" t="str">
        <f aca="false">STACK!M79</f>
        <v/>
      </c>
      <c r="H79" s="1" t="str">
        <f aca="false">C79&amp;"|"&amp;IF(ISNUMBER(D79),TEXT(D79,"yyyy-mm-dd"),"no date")&amp;"|"&amp;E79&amp;"|"&amp;IF(ISNUMBER(F79),TEXT(F79,"0.00"),"blank")</f>
        <v>Community Benefit Program Administration|2025-08-31|Administrative Assistant|61.75</v>
      </c>
      <c r="I79" s="1" t="n">
        <f aca="false">COUNTIF($H$5:$H$1624,H79)</f>
        <v>1</v>
      </c>
      <c r="J79" s="1" t="n">
        <f aca="false">COUNTIF($H$5:H79,H79)</f>
        <v>1</v>
      </c>
      <c r="K79" s="1" t="n">
        <f aca="false">COUNTIFS($H$5:$H$1624,H79,$B$5:$B$1624,"&lt;&gt;"&amp;B79)</f>
        <v>0</v>
      </c>
      <c r="L79" s="1" t="str">
        <f aca="false">IF(I79&gt;1,IF(K79&gt;0,"Cross-hospital match","Same-hospital match"),"")</f>
        <v/>
      </c>
      <c r="M79" s="52"/>
      <c r="N79" s="52"/>
      <c r="O79" s="1" t="n">
        <f aca="false">IF(M79="Exclude (duplicate)",0,1)</f>
        <v>1</v>
      </c>
      <c r="P79" s="1" t="str">
        <f aca="false">IF(AND(L79&lt;&gt;"",M79=""),"Needs decision","")</f>
        <v/>
      </c>
    </row>
    <row r="80" customFormat="false" ht="15" hidden="false" customHeight="false" outlineLevel="0" collapsed="false">
      <c r="A80" s="48" t="str">
        <f aca="false">COST!A80</f>
        <v>KVMC-0076</v>
      </c>
      <c r="B80" s="48" t="str">
        <f aca="false">COST!B80</f>
        <v>KVMC</v>
      </c>
      <c r="C80" s="48" t="str">
        <f aca="false">COST!D80</f>
        <v>Community Benefit Program Administration</v>
      </c>
      <c r="D80" s="62" t="n">
        <f aca="false">COST!M80</f>
        <v>45900</v>
      </c>
      <c r="E80" s="48" t="str">
        <f aca="false">COST!P80</f>
        <v>Community Benefit Manager</v>
      </c>
      <c r="F80" s="63" t="n">
        <f aca="false">COST!R80</f>
        <v>90.25</v>
      </c>
      <c r="G80" s="48" t="str">
        <f aca="false">STACK!M80</f>
        <v/>
      </c>
      <c r="H80" s="1" t="str">
        <f aca="false">C80&amp;"|"&amp;IF(ISNUMBER(D80),TEXT(D80,"yyyy-mm-dd"),"no date")&amp;"|"&amp;E80&amp;"|"&amp;IF(ISNUMBER(F80),TEXT(F80,"0.00"),"blank")</f>
        <v>Community Benefit Program Administration|2025-08-31|Community Benefit Manager|90.25</v>
      </c>
      <c r="I80" s="1" t="n">
        <f aca="false">COUNTIF($H$5:$H$1624,H80)</f>
        <v>1</v>
      </c>
      <c r="J80" s="1" t="n">
        <f aca="false">COUNTIF($H$5:H80,H80)</f>
        <v>1</v>
      </c>
      <c r="K80" s="1" t="n">
        <f aca="false">COUNTIFS($H$5:$H$1624,H80,$B$5:$B$1624,"&lt;&gt;"&amp;B80)</f>
        <v>0</v>
      </c>
      <c r="L80" s="1" t="str">
        <f aca="false">IF(I80&gt;1,IF(K80&gt;0,"Cross-hospital match","Same-hospital match"),"")</f>
        <v/>
      </c>
      <c r="M80" s="52"/>
      <c r="N80" s="52"/>
      <c r="O80" s="1" t="n">
        <f aca="false">IF(M80="Exclude (duplicate)",0,1)</f>
        <v>1</v>
      </c>
      <c r="P80" s="1" t="str">
        <f aca="false">IF(AND(L80&lt;&gt;"",M80=""),"Needs decision","")</f>
        <v/>
      </c>
    </row>
    <row r="81" customFormat="false" ht="15" hidden="false" customHeight="false" outlineLevel="0" collapsed="false">
      <c r="A81" s="48" t="str">
        <f aca="false">COST!A81</f>
        <v>KVMC-0077</v>
      </c>
      <c r="B81" s="48" t="str">
        <f aca="false">COST!B81</f>
        <v>KVMC</v>
      </c>
      <c r="C81" s="48" t="str">
        <f aca="false">COST!D81</f>
        <v>Interpreter Services for Community Clinics</v>
      </c>
      <c r="D81" s="62" t="n">
        <f aca="false">COST!M81</f>
        <v>45900</v>
      </c>
      <c r="E81" s="48" t="str">
        <f aca="false">COST!P81</f>
        <v>Interpreter</v>
      </c>
      <c r="F81" s="63" t="n">
        <f aca="false">COST!R81</f>
        <v>76.75</v>
      </c>
      <c r="G81" s="48" t="str">
        <f aca="false">STACK!M81</f>
        <v/>
      </c>
      <c r="H81" s="1" t="str">
        <f aca="false">C81&amp;"|"&amp;IF(ISNUMBER(D81),TEXT(D81,"yyyy-mm-dd"),"no date")&amp;"|"&amp;E81&amp;"|"&amp;IF(ISNUMBER(F81),TEXT(F81,"0.00"),"blank")</f>
        <v>Interpreter Services for Community Clinics|2025-08-31|Interpreter|76.75</v>
      </c>
      <c r="I81" s="1" t="n">
        <f aca="false">COUNTIF($H$5:$H$1624,H81)</f>
        <v>1</v>
      </c>
      <c r="J81" s="1" t="n">
        <f aca="false">COUNTIF($H$5:H81,H81)</f>
        <v>1</v>
      </c>
      <c r="K81" s="1" t="n">
        <f aca="false">COUNTIFS($H$5:$H$1624,H81,$B$5:$B$1624,"&lt;&gt;"&amp;B81)</f>
        <v>0</v>
      </c>
      <c r="L81" s="1" t="str">
        <f aca="false">IF(I81&gt;1,IF(K81&gt;0,"Cross-hospital match","Same-hospital match"),"")</f>
        <v/>
      </c>
      <c r="M81" s="52"/>
      <c r="N81" s="52"/>
      <c r="O81" s="1" t="n">
        <f aca="false">IF(M81="Exclude (duplicate)",0,1)</f>
        <v>1</v>
      </c>
      <c r="P81" s="1" t="str">
        <f aca="false">IF(AND(L81&lt;&gt;"",M81=""),"Needs decision","")</f>
        <v/>
      </c>
    </row>
    <row r="82" customFormat="false" ht="15" hidden="false" customHeight="false" outlineLevel="0" collapsed="false">
      <c r="A82" s="48" t="str">
        <f aca="false">COST!A82</f>
        <v>KVMC-0078</v>
      </c>
      <c r="B82" s="48" t="str">
        <f aca="false">COST!B82</f>
        <v>KVMC</v>
      </c>
      <c r="C82" s="48" t="str">
        <f aca="false">COST!D82</f>
        <v>Nursing Student Clinical Rotations</v>
      </c>
      <c r="D82" s="62" t="n">
        <f aca="false">COST!M82</f>
        <v>45900</v>
      </c>
      <c r="E82" s="48" t="str">
        <f aca="false">COST!P82</f>
        <v>Clinical Nurse Educator</v>
      </c>
      <c r="F82" s="63" t="n">
        <f aca="false">COST!R82</f>
        <v>133.25</v>
      </c>
      <c r="G82" s="48" t="str">
        <f aca="false">STACK!M82</f>
        <v/>
      </c>
      <c r="H82" s="1" t="str">
        <f aca="false">C82&amp;"|"&amp;IF(ISNUMBER(D82),TEXT(D82,"yyyy-mm-dd"),"no date")&amp;"|"&amp;E82&amp;"|"&amp;IF(ISNUMBER(F82),TEXT(F82,"0.00"),"blank")</f>
        <v>Nursing Student Clinical Rotations|2025-08-31|Clinical Nurse Educator|133.25</v>
      </c>
      <c r="I82" s="1" t="n">
        <f aca="false">COUNTIF($H$5:$H$1624,H82)</f>
        <v>1</v>
      </c>
      <c r="J82" s="1" t="n">
        <f aca="false">COUNTIF($H$5:H82,H82)</f>
        <v>1</v>
      </c>
      <c r="K82" s="1" t="n">
        <f aca="false">COUNTIFS($H$5:$H$1624,H82,$B$5:$B$1624,"&lt;&gt;"&amp;B82)</f>
        <v>0</v>
      </c>
      <c r="L82" s="1" t="str">
        <f aca="false">IF(I82&gt;1,IF(K82&gt;0,"Cross-hospital match","Same-hospital match"),"")</f>
        <v/>
      </c>
      <c r="M82" s="52"/>
      <c r="N82" s="52"/>
      <c r="O82" s="1" t="n">
        <f aca="false">IF(M82="Exclude (duplicate)",0,1)</f>
        <v>1</v>
      </c>
      <c r="P82" s="1" t="str">
        <f aca="false">IF(AND(L82&lt;&gt;"",M82=""),"Needs decision","")</f>
        <v/>
      </c>
    </row>
    <row r="83" customFormat="false" ht="15" hidden="false" customHeight="false" outlineLevel="0" collapsed="false">
      <c r="A83" s="48" t="str">
        <f aca="false">COST!A83</f>
        <v>KVMC-0079</v>
      </c>
      <c r="B83" s="48" t="str">
        <f aca="false">COST!B83</f>
        <v>KVMC</v>
      </c>
      <c r="C83" s="48" t="str">
        <f aca="false">COST!D83</f>
        <v>Nursing Student Clinical Rotations</v>
      </c>
      <c r="D83" s="62" t="n">
        <f aca="false">COST!M83</f>
        <v>45900</v>
      </c>
      <c r="E83" s="48" t="str">
        <f aca="false">COST!P83</f>
        <v>Registered Nurse</v>
      </c>
      <c r="F83" s="63" t="n">
        <f aca="false">COST!R83</f>
        <v>214.25</v>
      </c>
      <c r="G83" s="48" t="str">
        <f aca="false">STACK!M83</f>
        <v/>
      </c>
      <c r="H83" s="1" t="str">
        <f aca="false">C83&amp;"|"&amp;IF(ISNUMBER(D83),TEXT(D83,"yyyy-mm-dd"),"no date")&amp;"|"&amp;E83&amp;"|"&amp;IF(ISNUMBER(F83),TEXT(F83,"0.00"),"blank")</f>
        <v>Nursing Student Clinical Rotations|2025-08-31|Registered Nurse|214.25</v>
      </c>
      <c r="I83" s="1" t="n">
        <f aca="false">COUNTIF($H$5:$H$1624,H83)</f>
        <v>1</v>
      </c>
      <c r="J83" s="1" t="n">
        <f aca="false">COUNTIF($H$5:H83,H83)</f>
        <v>1</v>
      </c>
      <c r="K83" s="1" t="n">
        <f aca="false">COUNTIFS($H$5:$H$1624,H83,$B$5:$B$1624,"&lt;&gt;"&amp;B83)</f>
        <v>0</v>
      </c>
      <c r="L83" s="1" t="str">
        <f aca="false">IF(I83&gt;1,IF(K83&gt;0,"Cross-hospital match","Same-hospital match"),"")</f>
        <v/>
      </c>
      <c r="M83" s="52"/>
      <c r="N83" s="52"/>
      <c r="O83" s="1" t="n">
        <f aca="false">IF(M83="Exclude (duplicate)",0,1)</f>
        <v>1</v>
      </c>
      <c r="P83" s="1" t="str">
        <f aca="false">IF(AND(L83&lt;&gt;"",M83=""),"Needs decision","")</f>
        <v/>
      </c>
    </row>
    <row r="84" customFormat="false" ht="15" hidden="false" customHeight="false" outlineLevel="0" collapsed="false">
      <c r="A84" s="48" t="str">
        <f aca="false">COST!A84</f>
        <v>KVMC-0080</v>
      </c>
      <c r="B84" s="48" t="str">
        <f aca="false">COST!B84</f>
        <v>KVMC</v>
      </c>
      <c r="C84" s="48" t="str">
        <f aca="false">COST!D84</f>
        <v>Family Medicine Residency Program</v>
      </c>
      <c r="D84" s="62" t="n">
        <f aca="false">COST!M84</f>
        <v>45900</v>
      </c>
      <c r="E84" s="48" t="str">
        <f aca="false">COST!P84</f>
        <v>Physician</v>
      </c>
      <c r="F84" s="63" t="n">
        <f aca="false">COST!R84</f>
        <v>388.25</v>
      </c>
      <c r="G84" s="48" t="str">
        <f aca="false">STACK!M84</f>
        <v/>
      </c>
      <c r="H84" s="1" t="str">
        <f aca="false">C84&amp;"|"&amp;IF(ISNUMBER(D84),TEXT(D84,"yyyy-mm-dd"),"no date")&amp;"|"&amp;E84&amp;"|"&amp;IF(ISNUMBER(F84),TEXT(F84,"0.00"),"blank")</f>
        <v>Family Medicine Residency Program|2025-08-31|Physician|388.25</v>
      </c>
      <c r="I84" s="1" t="n">
        <f aca="false">COUNTIF($H$5:$H$1624,H84)</f>
        <v>1</v>
      </c>
      <c r="J84" s="1" t="n">
        <f aca="false">COUNTIF($H$5:H84,H84)</f>
        <v>1</v>
      </c>
      <c r="K84" s="1" t="n">
        <f aca="false">COUNTIFS($H$5:$H$1624,H84,$B$5:$B$1624,"&lt;&gt;"&amp;B84)</f>
        <v>0</v>
      </c>
      <c r="L84" s="1" t="str">
        <f aca="false">IF(I84&gt;1,IF(K84&gt;0,"Cross-hospital match","Same-hospital match"),"")</f>
        <v/>
      </c>
      <c r="M84" s="52"/>
      <c r="N84" s="52"/>
      <c r="O84" s="1" t="n">
        <f aca="false">IF(M84="Exclude (duplicate)",0,1)</f>
        <v>1</v>
      </c>
      <c r="P84" s="1" t="str">
        <f aca="false">IF(AND(L84&lt;&gt;"",M84=""),"Needs decision","")</f>
        <v/>
      </c>
    </row>
    <row r="85" customFormat="false" ht="15" hidden="false" customHeight="false" outlineLevel="0" collapsed="false">
      <c r="A85" s="48" t="str">
        <f aca="false">COST!A85</f>
        <v>KVMC-0081</v>
      </c>
      <c r="B85" s="48" t="str">
        <f aca="false">COST!B85</f>
        <v>KVMC</v>
      </c>
      <c r="C85" s="48" t="str">
        <f aca="false">COST!D85</f>
        <v>Family Medicine Residency Program</v>
      </c>
      <c r="D85" s="62" t="n">
        <f aca="false">COST!M85</f>
        <v>45900</v>
      </c>
      <c r="E85" s="48" t="str">
        <f aca="false">COST!P85</f>
        <v>Program Coordinator</v>
      </c>
      <c r="F85" s="63" t="n">
        <f aca="false">COST!R85</f>
        <v>165</v>
      </c>
      <c r="G85" s="48" t="str">
        <f aca="false">STACK!M85</f>
        <v/>
      </c>
      <c r="H85" s="1" t="str">
        <f aca="false">C85&amp;"|"&amp;IF(ISNUMBER(D85),TEXT(D85,"yyyy-mm-dd"),"no date")&amp;"|"&amp;E85&amp;"|"&amp;IF(ISNUMBER(F85),TEXT(F85,"0.00"),"blank")</f>
        <v>Family Medicine Residency Program|2025-08-31|Program Coordinator|165.00</v>
      </c>
      <c r="I85" s="1" t="n">
        <f aca="false">COUNTIF($H$5:$H$1624,H85)</f>
        <v>1</v>
      </c>
      <c r="J85" s="1" t="n">
        <f aca="false">COUNTIF($H$5:H85,H85)</f>
        <v>1</v>
      </c>
      <c r="K85" s="1" t="n">
        <f aca="false">COUNTIFS($H$5:$H$1624,H85,$B$5:$B$1624,"&lt;&gt;"&amp;B85)</f>
        <v>0</v>
      </c>
      <c r="L85" s="1" t="str">
        <f aca="false">IF(I85&gt;1,IF(K85&gt;0,"Cross-hospital match","Same-hospital match"),"")</f>
        <v/>
      </c>
      <c r="M85" s="52"/>
      <c r="N85" s="52"/>
      <c r="O85" s="1" t="n">
        <f aca="false">IF(M85="Exclude (duplicate)",0,1)</f>
        <v>1</v>
      </c>
      <c r="P85" s="1" t="str">
        <f aca="false">IF(AND(L85&lt;&gt;"",M85=""),"Needs decision","")</f>
        <v/>
      </c>
    </row>
    <row r="86" customFormat="false" ht="15" hidden="false" customHeight="false" outlineLevel="0" collapsed="false">
      <c r="A86" s="48" t="str">
        <f aca="false">COST!A86</f>
        <v>KVMC-0082</v>
      </c>
      <c r="B86" s="48" t="str">
        <f aca="false">COST!B86</f>
        <v>KVMC</v>
      </c>
      <c r="C86" s="48" t="str">
        <f aca="false">COST!D86</f>
        <v>Family Medicine Residency Program</v>
      </c>
      <c r="D86" s="62" t="n">
        <f aca="false">COST!M86</f>
        <v>45900</v>
      </c>
      <c r="E86" s="48" t="str">
        <f aca="false">COST!P86</f>
        <v>Resident Physician</v>
      </c>
      <c r="F86" s="63" t="n">
        <f aca="false">COST!R86</f>
        <v>4264</v>
      </c>
      <c r="G86" s="48" t="str">
        <f aca="false">STACK!M86</f>
        <v/>
      </c>
      <c r="H86" s="1" t="str">
        <f aca="false">C86&amp;"|"&amp;IF(ISNUMBER(D86),TEXT(D86,"yyyy-mm-dd"),"no date")&amp;"|"&amp;E86&amp;"|"&amp;IF(ISNUMBER(F86),TEXT(F86,"0.00"),"blank")</f>
        <v>Family Medicine Residency Program|2025-08-31|Resident Physician|4264.00</v>
      </c>
      <c r="I86" s="1" t="n">
        <f aca="false">COUNTIF($H$5:$H$1624,H86)</f>
        <v>1</v>
      </c>
      <c r="J86" s="1" t="n">
        <f aca="false">COUNTIF($H$5:H86,H86)</f>
        <v>1</v>
      </c>
      <c r="K86" s="1" t="n">
        <f aca="false">COUNTIFS($H$5:$H$1624,H86,$B$5:$B$1624,"&lt;&gt;"&amp;B86)</f>
        <v>0</v>
      </c>
      <c r="L86" s="1" t="str">
        <f aca="false">IF(I86&gt;1,IF(K86&gt;0,"Cross-hospital match","Same-hospital match"),"")</f>
        <v/>
      </c>
      <c r="M86" s="52"/>
      <c r="N86" s="52"/>
      <c r="O86" s="1" t="n">
        <f aca="false">IF(M86="Exclude (duplicate)",0,1)</f>
        <v>1</v>
      </c>
      <c r="P86" s="1" t="str">
        <f aca="false">IF(AND(L86&lt;&gt;"",M86=""),"Needs decision","")</f>
        <v/>
      </c>
    </row>
    <row r="87" customFormat="false" ht="15" hidden="false" customHeight="false" outlineLevel="0" collapsed="false">
      <c r="A87" s="48" t="str">
        <f aca="false">COST!A87</f>
        <v>KVMC-0083</v>
      </c>
      <c r="B87" s="48" t="str">
        <f aca="false">COST!B87</f>
        <v>KVMC</v>
      </c>
      <c r="C87" s="48" t="str">
        <f aca="false">COST!D87</f>
        <v>Pharmacy Student Rotations</v>
      </c>
      <c r="D87" s="62" t="n">
        <f aca="false">COST!M87</f>
        <v>45900</v>
      </c>
      <c r="E87" s="48" t="str">
        <f aca="false">COST!P87</f>
        <v>Pharmacist</v>
      </c>
      <c r="F87" s="63" t="n">
        <f aca="false">COST!R87</f>
        <v>85.75</v>
      </c>
      <c r="G87" s="48" t="str">
        <f aca="false">STACK!M87</f>
        <v/>
      </c>
      <c r="H87" s="1" t="str">
        <f aca="false">C87&amp;"|"&amp;IF(ISNUMBER(D87),TEXT(D87,"yyyy-mm-dd"),"no date")&amp;"|"&amp;E87&amp;"|"&amp;IF(ISNUMBER(F87),TEXT(F87,"0.00"),"blank")</f>
        <v>Pharmacy Student Rotations|2025-08-31|Pharmacist|85.75</v>
      </c>
      <c r="I87" s="1" t="n">
        <f aca="false">COUNTIF($H$5:$H$1624,H87)</f>
        <v>1</v>
      </c>
      <c r="J87" s="1" t="n">
        <f aca="false">COUNTIF($H$5:H87,H87)</f>
        <v>1</v>
      </c>
      <c r="K87" s="1" t="n">
        <f aca="false">COUNTIFS($H$5:$H$1624,H87,$B$5:$B$1624,"&lt;&gt;"&amp;B87)</f>
        <v>0</v>
      </c>
      <c r="L87" s="1" t="str">
        <f aca="false">IF(I87&gt;1,IF(K87&gt;0,"Cross-hospital match","Same-hospital match"),"")</f>
        <v/>
      </c>
      <c r="M87" s="52"/>
      <c r="N87" s="52"/>
      <c r="O87" s="1" t="n">
        <f aca="false">IF(M87="Exclude (duplicate)",0,1)</f>
        <v>1</v>
      </c>
      <c r="P87" s="1" t="str">
        <f aca="false">IF(AND(L87&lt;&gt;"",M87=""),"Needs decision","")</f>
        <v/>
      </c>
    </row>
    <row r="88" customFormat="false" ht="15" hidden="false" customHeight="false" outlineLevel="0" collapsed="false">
      <c r="A88" s="48" t="str">
        <f aca="false">COST!A88</f>
        <v>KVMC-0084</v>
      </c>
      <c r="B88" s="48" t="str">
        <f aca="false">COST!B88</f>
        <v>KVMC</v>
      </c>
      <c r="C88" s="48" t="str">
        <f aca="false">COST!D88</f>
        <v>Community Hypertension Control Study</v>
      </c>
      <c r="D88" s="62" t="n">
        <f aca="false">COST!M88</f>
        <v>45900</v>
      </c>
      <c r="E88" s="48" t="str">
        <f aca="false">COST!P88</f>
        <v>Data Analyst</v>
      </c>
      <c r="F88" s="63" t="n">
        <f aca="false">COST!R88</f>
        <v>42.75</v>
      </c>
      <c r="G88" s="48" t="str">
        <f aca="false">STACK!M88</f>
        <v/>
      </c>
      <c r="H88" s="1" t="str">
        <f aca="false">C88&amp;"|"&amp;IF(ISNUMBER(D88),TEXT(D88,"yyyy-mm-dd"),"no date")&amp;"|"&amp;E88&amp;"|"&amp;IF(ISNUMBER(F88),TEXT(F88,"0.00"),"blank")</f>
        <v>Community Hypertension Control Study|2025-08-31|Data Analyst|42.75</v>
      </c>
      <c r="I88" s="1" t="n">
        <f aca="false">COUNTIF($H$5:$H$1624,H88)</f>
        <v>1</v>
      </c>
      <c r="J88" s="1" t="n">
        <f aca="false">COUNTIF($H$5:H88,H88)</f>
        <v>1</v>
      </c>
      <c r="K88" s="1" t="n">
        <f aca="false">COUNTIFS($H$5:$H$1624,H88,$B$5:$B$1624,"&lt;&gt;"&amp;B88)</f>
        <v>0</v>
      </c>
      <c r="L88" s="1" t="str">
        <f aca="false">IF(I88&gt;1,IF(K88&gt;0,"Cross-hospital match","Same-hospital match"),"")</f>
        <v/>
      </c>
      <c r="M88" s="52"/>
      <c r="N88" s="52"/>
      <c r="O88" s="1" t="n">
        <f aca="false">IF(M88="Exclude (duplicate)",0,1)</f>
        <v>1</v>
      </c>
      <c r="P88" s="1" t="str">
        <f aca="false">IF(AND(L88&lt;&gt;"",M88=""),"Needs decision","")</f>
        <v/>
      </c>
    </row>
    <row r="89" customFormat="false" ht="15" hidden="false" customHeight="false" outlineLevel="0" collapsed="false">
      <c r="A89" s="48" t="str">
        <f aca="false">COST!A89</f>
        <v>KVMC-0085</v>
      </c>
      <c r="B89" s="48" t="str">
        <f aca="false">COST!B89</f>
        <v>KVMC</v>
      </c>
      <c r="C89" s="48" t="str">
        <f aca="false">COST!D89</f>
        <v>Community Hypertension Control Study</v>
      </c>
      <c r="D89" s="62" t="n">
        <f aca="false">COST!M89</f>
        <v>45900</v>
      </c>
      <c r="E89" s="48" t="str">
        <f aca="false">COST!P89</f>
        <v>Physician</v>
      </c>
      <c r="F89" s="63" t="n">
        <f aca="false">COST!R89</f>
        <v>16</v>
      </c>
      <c r="G89" s="48" t="str">
        <f aca="false">STACK!M89</f>
        <v/>
      </c>
      <c r="H89" s="1" t="str">
        <f aca="false">C89&amp;"|"&amp;IF(ISNUMBER(D89),TEXT(D89,"yyyy-mm-dd"),"no date")&amp;"|"&amp;E89&amp;"|"&amp;IF(ISNUMBER(F89),TEXT(F89,"0.00"),"blank")</f>
        <v>Community Hypertension Control Study|2025-08-31|Physician|16.00</v>
      </c>
      <c r="I89" s="1" t="n">
        <f aca="false">COUNTIF($H$5:$H$1624,H89)</f>
        <v>1</v>
      </c>
      <c r="J89" s="1" t="n">
        <f aca="false">COUNTIF($H$5:H89,H89)</f>
        <v>1</v>
      </c>
      <c r="K89" s="1" t="n">
        <f aca="false">COUNTIFS($H$5:$H$1624,H89,$B$5:$B$1624,"&lt;&gt;"&amp;B89)</f>
        <v>0</v>
      </c>
      <c r="L89" s="1" t="str">
        <f aca="false">IF(I89&gt;1,IF(K89&gt;0,"Cross-hospital match","Same-hospital match"),"")</f>
        <v/>
      </c>
      <c r="M89" s="52"/>
      <c r="N89" s="52"/>
      <c r="O89" s="1" t="n">
        <f aca="false">IF(M89="Exclude (duplicate)",0,1)</f>
        <v>1</v>
      </c>
      <c r="P89" s="1" t="str">
        <f aca="false">IF(AND(L89&lt;&gt;"",M89=""),"Needs decision","")</f>
        <v/>
      </c>
    </row>
    <row r="90" customFormat="false" ht="15" hidden="false" customHeight="false" outlineLevel="0" collapsed="false">
      <c r="A90" s="48" t="str">
        <f aca="false">COST!A90</f>
        <v>KVMC-0086</v>
      </c>
      <c r="B90" s="48" t="str">
        <f aca="false">COST!B90</f>
        <v>KVMC</v>
      </c>
      <c r="C90" s="48" t="str">
        <f aca="false">COST!D90</f>
        <v>Community Hypertension Control Study</v>
      </c>
      <c r="D90" s="62" t="n">
        <f aca="false">COST!M90</f>
        <v>45900</v>
      </c>
      <c r="E90" s="48" t="str">
        <f aca="false">COST!P90</f>
        <v>Research Coordinator</v>
      </c>
      <c r="F90" s="63" t="n">
        <f aca="false">COST!R90</f>
        <v>158</v>
      </c>
      <c r="G90" s="48" t="str">
        <f aca="false">STACK!M90</f>
        <v/>
      </c>
      <c r="H90" s="1" t="str">
        <f aca="false">C90&amp;"|"&amp;IF(ISNUMBER(D90),TEXT(D90,"yyyy-mm-dd"),"no date")&amp;"|"&amp;E90&amp;"|"&amp;IF(ISNUMBER(F90),TEXT(F90,"0.00"),"blank")</f>
        <v>Community Hypertension Control Study|2025-08-31|Research Coordinator|158.00</v>
      </c>
      <c r="I90" s="1" t="n">
        <f aca="false">COUNTIF($H$5:$H$1624,H90)</f>
        <v>1</v>
      </c>
      <c r="J90" s="1" t="n">
        <f aca="false">COUNTIF($H$5:H90,H90)</f>
        <v>1</v>
      </c>
      <c r="K90" s="1" t="n">
        <f aca="false">COUNTIFS($H$5:$H$1624,H90,$B$5:$B$1624,"&lt;&gt;"&amp;B90)</f>
        <v>0</v>
      </c>
      <c r="L90" s="1" t="str">
        <f aca="false">IF(I90&gt;1,IF(K90&gt;0,"Cross-hospital match","Same-hospital match"),"")</f>
        <v/>
      </c>
      <c r="M90" s="52"/>
      <c r="N90" s="52"/>
      <c r="O90" s="1" t="n">
        <f aca="false">IF(M90="Exclude (duplicate)",0,1)</f>
        <v>1</v>
      </c>
      <c r="P90" s="1" t="str">
        <f aca="false">IF(AND(L90&lt;&gt;"",M90=""),"Needs decision","")</f>
        <v/>
      </c>
    </row>
    <row r="91" customFormat="false" ht="15" hidden="false" customHeight="false" outlineLevel="0" collapsed="false">
      <c r="A91" s="48" t="str">
        <f aca="false">COST!A91</f>
        <v>KVMC-0087</v>
      </c>
      <c r="B91" s="48" t="str">
        <f aca="false">COST!B91</f>
        <v>KVMC</v>
      </c>
      <c r="C91" s="48" t="str">
        <f aca="false">COST!D91</f>
        <v>Community Blood Pressure Checks</v>
      </c>
      <c r="D91" s="62" t="n">
        <f aca="false">COST!M91</f>
        <v>45901</v>
      </c>
      <c r="E91" s="48" t="str">
        <f aca="false">COST!P91</f>
        <v>Registered Nurse</v>
      </c>
      <c r="F91" s="63" t="n">
        <f aca="false">COST!R91</f>
        <v>4.25</v>
      </c>
      <c r="G91" s="48" t="str">
        <f aca="false">STACK!M91</f>
        <v/>
      </c>
      <c r="H91" s="1" t="str">
        <f aca="false">C91&amp;"|"&amp;IF(ISNUMBER(D91),TEXT(D91,"yyyy-mm-dd"),"no date")&amp;"|"&amp;E91&amp;"|"&amp;IF(ISNUMBER(F91),TEXT(F91,"0.00"),"blank")</f>
        <v>Community Blood Pressure Checks|2025-09-01|Registered Nurse|4.25</v>
      </c>
      <c r="I91" s="1" t="n">
        <f aca="false">COUNTIF($H$5:$H$1624,H91)</f>
        <v>1</v>
      </c>
      <c r="J91" s="1" t="n">
        <f aca="false">COUNTIF($H$5:H91,H91)</f>
        <v>1</v>
      </c>
      <c r="K91" s="1" t="n">
        <f aca="false">COUNTIFS($H$5:$H$1624,H91,$B$5:$B$1624,"&lt;&gt;"&amp;B91)</f>
        <v>0</v>
      </c>
      <c r="L91" s="1" t="str">
        <f aca="false">IF(I91&gt;1,IF(K91&gt;0,"Cross-hospital match","Same-hospital match"),"")</f>
        <v/>
      </c>
      <c r="M91" s="52"/>
      <c r="N91" s="52"/>
      <c r="O91" s="1" t="n">
        <f aca="false">IF(M91="Exclude (duplicate)",0,1)</f>
        <v>1</v>
      </c>
      <c r="P91" s="1" t="str">
        <f aca="false">IF(AND(L91&lt;&gt;"",M91=""),"Needs decision","")</f>
        <v/>
      </c>
    </row>
    <row r="92" customFormat="false" ht="15" hidden="false" customHeight="false" outlineLevel="0" collapsed="false">
      <c r="A92" s="48" t="str">
        <f aca="false">COST!A92</f>
        <v>KVMC-0088</v>
      </c>
      <c r="B92" s="48" t="str">
        <f aca="false">COST!B92</f>
        <v>KVMC</v>
      </c>
      <c r="C92" s="48" t="str">
        <f aca="false">COST!D92</f>
        <v>Community Blood Pressure Checks</v>
      </c>
      <c r="D92" s="62" t="n">
        <f aca="false">COST!M92</f>
        <v>45903</v>
      </c>
      <c r="E92" s="48" t="str">
        <f aca="false">COST!P92</f>
        <v>Registered Nurse</v>
      </c>
      <c r="F92" s="63" t="n">
        <f aca="false">COST!R92</f>
        <v>3.5</v>
      </c>
      <c r="G92" s="48" t="str">
        <f aca="false">STACK!M92</f>
        <v/>
      </c>
      <c r="H92" s="1" t="str">
        <f aca="false">C92&amp;"|"&amp;IF(ISNUMBER(D92),TEXT(D92,"yyyy-mm-dd"),"no date")&amp;"|"&amp;E92&amp;"|"&amp;IF(ISNUMBER(F92),TEXT(F92,"0.00"),"blank")</f>
        <v>Community Blood Pressure Checks|2025-09-03|Registered Nurse|3.50</v>
      </c>
      <c r="I92" s="1" t="n">
        <f aca="false">COUNTIF($H$5:$H$1624,H92)</f>
        <v>1</v>
      </c>
      <c r="J92" s="1" t="n">
        <f aca="false">COUNTIF($H$5:H92,H92)</f>
        <v>1</v>
      </c>
      <c r="K92" s="1" t="n">
        <f aca="false">COUNTIFS($H$5:$H$1624,H92,$B$5:$B$1624,"&lt;&gt;"&amp;B92)</f>
        <v>0</v>
      </c>
      <c r="L92" s="1" t="str">
        <f aca="false">IF(I92&gt;1,IF(K92&gt;0,"Cross-hospital match","Same-hospital match"),"")</f>
        <v/>
      </c>
      <c r="M92" s="52"/>
      <c r="N92" s="52"/>
      <c r="O92" s="1" t="n">
        <f aca="false">IF(M92="Exclude (duplicate)",0,1)</f>
        <v>1</v>
      </c>
      <c r="P92" s="1" t="str">
        <f aca="false">IF(AND(L92&lt;&gt;"",M92=""),"Needs decision","")</f>
        <v/>
      </c>
    </row>
    <row r="93" customFormat="false" ht="15" hidden="false" customHeight="false" outlineLevel="0" collapsed="false">
      <c r="A93" s="48" t="str">
        <f aca="false">COST!A93</f>
        <v>KVMC-0089</v>
      </c>
      <c r="B93" s="48" t="str">
        <f aca="false">COST!B93</f>
        <v>KVMC</v>
      </c>
      <c r="C93" s="48" t="str">
        <f aca="false">COST!D93</f>
        <v>Mental Health First Aid Training</v>
      </c>
      <c r="D93" s="62" t="n">
        <f aca="false">COST!M93</f>
        <v>45906</v>
      </c>
      <c r="E93" s="48" t="str">
        <f aca="false">COST!P93</f>
        <v>Health Educator</v>
      </c>
      <c r="F93" s="63" t="n">
        <f aca="false">COST!R93</f>
        <v>8</v>
      </c>
      <c r="G93" s="48" t="str">
        <f aca="false">STACK!M93</f>
        <v/>
      </c>
      <c r="H93" s="1" t="str">
        <f aca="false">C93&amp;"|"&amp;IF(ISNUMBER(D93),TEXT(D93,"yyyy-mm-dd"),"no date")&amp;"|"&amp;E93&amp;"|"&amp;IF(ISNUMBER(F93),TEXT(F93,"0.00"),"blank")</f>
        <v>Mental Health First Aid Training|2025-09-06|Health Educator|8.00</v>
      </c>
      <c r="I93" s="1" t="n">
        <f aca="false">COUNTIF($H$5:$H$1624,H93)</f>
        <v>1</v>
      </c>
      <c r="J93" s="1" t="n">
        <f aca="false">COUNTIF($H$5:H93,H93)</f>
        <v>1</v>
      </c>
      <c r="K93" s="1" t="n">
        <f aca="false">COUNTIFS($H$5:$H$1624,H93,$B$5:$B$1624,"&lt;&gt;"&amp;B93)</f>
        <v>0</v>
      </c>
      <c r="L93" s="1" t="str">
        <f aca="false">IF(I93&gt;1,IF(K93&gt;0,"Cross-hospital match","Same-hospital match"),"")</f>
        <v/>
      </c>
      <c r="M93" s="52"/>
      <c r="N93" s="52"/>
      <c r="O93" s="1" t="n">
        <f aca="false">IF(M93="Exclude (duplicate)",0,1)</f>
        <v>1</v>
      </c>
      <c r="P93" s="1" t="str">
        <f aca="false">IF(AND(L93&lt;&gt;"",M93=""),"Needs decision","")</f>
        <v/>
      </c>
    </row>
    <row r="94" customFormat="false" ht="15" hidden="false" customHeight="false" outlineLevel="0" collapsed="false">
      <c r="A94" s="48" t="str">
        <f aca="false">COST!A94</f>
        <v>KVMC-0090</v>
      </c>
      <c r="B94" s="48" t="str">
        <f aca="false">COST!B94</f>
        <v>KVMC</v>
      </c>
      <c r="C94" s="48" t="str">
        <f aca="false">COST!D94</f>
        <v>Mental Health First Aid Training</v>
      </c>
      <c r="D94" s="62" t="n">
        <f aca="false">COST!M94</f>
        <v>45906</v>
      </c>
      <c r="E94" s="48" t="str">
        <f aca="false">COST!P94</f>
        <v>Social Worker</v>
      </c>
      <c r="F94" s="63" t="n">
        <f aca="false">COST!R94</f>
        <v>8</v>
      </c>
      <c r="G94" s="48" t="str">
        <f aca="false">STACK!M94</f>
        <v/>
      </c>
      <c r="H94" s="1" t="str">
        <f aca="false">C94&amp;"|"&amp;IF(ISNUMBER(D94),TEXT(D94,"yyyy-mm-dd"),"no date")&amp;"|"&amp;E94&amp;"|"&amp;IF(ISNUMBER(F94),TEXT(F94,"0.00"),"blank")</f>
        <v>Mental Health First Aid Training|2025-09-06|Social Worker|8.00</v>
      </c>
      <c r="I94" s="1" t="n">
        <f aca="false">COUNTIF($H$5:$H$1624,H94)</f>
        <v>1</v>
      </c>
      <c r="J94" s="1" t="n">
        <f aca="false">COUNTIF($H$5:H94,H94)</f>
        <v>1</v>
      </c>
      <c r="K94" s="1" t="n">
        <f aca="false">COUNTIFS($H$5:$H$1624,H94,$B$5:$B$1624,"&lt;&gt;"&amp;B94)</f>
        <v>0</v>
      </c>
      <c r="L94" s="1" t="str">
        <f aca="false">IF(I94&gt;1,IF(K94&gt;0,"Cross-hospital match","Same-hospital match"),"")</f>
        <v/>
      </c>
      <c r="M94" s="52"/>
      <c r="N94" s="52"/>
      <c r="O94" s="1" t="n">
        <f aca="false">IF(M94="Exclude (duplicate)",0,1)</f>
        <v>1</v>
      </c>
      <c r="P94" s="1" t="str">
        <f aca="false">IF(AND(L94&lt;&gt;"",M94=""),"Needs decision","")</f>
        <v/>
      </c>
    </row>
    <row r="95" customFormat="false" ht="15" hidden="false" customHeight="false" outlineLevel="0" collapsed="false">
      <c r="A95" s="48" t="str">
        <f aca="false">COST!A95</f>
        <v>KVMC-0091</v>
      </c>
      <c r="B95" s="48" t="str">
        <f aca="false">COST!B95</f>
        <v>KVMC</v>
      </c>
      <c r="C95" s="48" t="str">
        <f aca="false">COST!D95</f>
        <v>Tobacco Cessation Classes</v>
      </c>
      <c r="D95" s="62" t="n">
        <f aca="false">COST!M95</f>
        <v>45908</v>
      </c>
      <c r="E95" s="48" t="str">
        <f aca="false">COST!P95</f>
        <v>Licensed Therapist</v>
      </c>
      <c r="F95" s="63" t="n">
        <f aca="false">COST!R95</f>
        <v>2</v>
      </c>
      <c r="G95" s="48" t="str">
        <f aca="false">STACK!M95</f>
        <v/>
      </c>
      <c r="H95" s="1" t="str">
        <f aca="false">C95&amp;"|"&amp;IF(ISNUMBER(D95),TEXT(D95,"yyyy-mm-dd"),"no date")&amp;"|"&amp;E95&amp;"|"&amp;IF(ISNUMBER(F95),TEXT(F95,"0.00"),"blank")</f>
        <v>Tobacco Cessation Classes|2025-09-08|Licensed Therapist|2.00</v>
      </c>
      <c r="I95" s="1" t="n">
        <f aca="false">COUNTIF($H$5:$H$1624,H95)</f>
        <v>1</v>
      </c>
      <c r="J95" s="1" t="n">
        <f aca="false">COUNTIF($H$5:H95,H95)</f>
        <v>1</v>
      </c>
      <c r="K95" s="1" t="n">
        <f aca="false">COUNTIFS($H$5:$H$1624,H95,$B$5:$B$1624,"&lt;&gt;"&amp;B95)</f>
        <v>0</v>
      </c>
      <c r="L95" s="1" t="str">
        <f aca="false">IF(I95&gt;1,IF(K95&gt;0,"Cross-hospital match","Same-hospital match"),"")</f>
        <v/>
      </c>
      <c r="M95" s="52"/>
      <c r="N95" s="52"/>
      <c r="O95" s="1" t="n">
        <f aca="false">IF(M95="Exclude (duplicate)",0,1)</f>
        <v>1</v>
      </c>
      <c r="P95" s="1" t="str">
        <f aca="false">IF(AND(L95&lt;&gt;"",M95=""),"Needs decision","")</f>
        <v/>
      </c>
    </row>
    <row r="96" customFormat="false" ht="15" hidden="false" customHeight="false" outlineLevel="0" collapsed="false">
      <c r="A96" s="48" t="str">
        <f aca="false">COST!A96</f>
        <v>KVMC-0092</v>
      </c>
      <c r="B96" s="48" t="str">
        <f aca="false">COST!B96</f>
        <v>KVMC</v>
      </c>
      <c r="C96" s="48" t="str">
        <f aca="false">COST!D96</f>
        <v>Grief Support Group</v>
      </c>
      <c r="D96" s="62" t="n">
        <f aca="false">COST!M96</f>
        <v>45913</v>
      </c>
      <c r="E96" s="48" t="str">
        <f aca="false">COST!P96</f>
        <v>Chaplain</v>
      </c>
      <c r="F96" s="63" t="n">
        <f aca="false">COST!R96</f>
        <v>2</v>
      </c>
      <c r="G96" s="48" t="str">
        <f aca="false">STACK!M96</f>
        <v/>
      </c>
      <c r="H96" s="1" t="str">
        <f aca="false">C96&amp;"|"&amp;IF(ISNUMBER(D96),TEXT(D96,"yyyy-mm-dd"),"no date")&amp;"|"&amp;E96&amp;"|"&amp;IF(ISNUMBER(F96),TEXT(F96,"0.00"),"blank")</f>
        <v>Grief Support Group|2025-09-13|Chaplain|2.00</v>
      </c>
      <c r="I96" s="1" t="n">
        <f aca="false">COUNTIF($H$5:$H$1624,H96)</f>
        <v>1</v>
      </c>
      <c r="J96" s="1" t="n">
        <f aca="false">COUNTIF($H$5:H96,H96)</f>
        <v>1</v>
      </c>
      <c r="K96" s="1" t="n">
        <f aca="false">COUNTIFS($H$5:$H$1624,H96,$B$5:$B$1624,"&lt;&gt;"&amp;B96)</f>
        <v>0</v>
      </c>
      <c r="L96" s="1" t="str">
        <f aca="false">IF(I96&gt;1,IF(K96&gt;0,"Cross-hospital match","Same-hospital match"),"")</f>
        <v/>
      </c>
      <c r="M96" s="52"/>
      <c r="N96" s="52"/>
      <c r="O96" s="1" t="n">
        <f aca="false">IF(M96="Exclude (duplicate)",0,1)</f>
        <v>1</v>
      </c>
      <c r="P96" s="1" t="str">
        <f aca="false">IF(AND(L96&lt;&gt;"",M96=""),"Needs decision","")</f>
        <v/>
      </c>
    </row>
    <row r="97" customFormat="false" ht="15" hidden="false" customHeight="false" outlineLevel="0" collapsed="false">
      <c r="A97" s="48" t="str">
        <f aca="false">COST!A97</f>
        <v>KVMC-0093</v>
      </c>
      <c r="B97" s="48" t="str">
        <f aca="false">COST!B97</f>
        <v>KVMC</v>
      </c>
      <c r="C97" s="48" t="str">
        <f aca="false">COST!D97</f>
        <v>Grief Support Group</v>
      </c>
      <c r="D97" s="62" t="n">
        <f aca="false">COST!M97</f>
        <v>45913</v>
      </c>
      <c r="E97" s="48" t="str">
        <f aca="false">COST!P97</f>
        <v>Social Worker</v>
      </c>
      <c r="F97" s="63" t="n">
        <f aca="false">COST!R97</f>
        <v>2</v>
      </c>
      <c r="G97" s="48" t="str">
        <f aca="false">STACK!M97</f>
        <v/>
      </c>
      <c r="H97" s="1" t="str">
        <f aca="false">C97&amp;"|"&amp;IF(ISNUMBER(D97),TEXT(D97,"yyyy-mm-dd"),"no date")&amp;"|"&amp;E97&amp;"|"&amp;IF(ISNUMBER(F97),TEXT(F97,"0.00"),"blank")</f>
        <v>Grief Support Group|2025-09-13|Social Worker|2.00</v>
      </c>
      <c r="I97" s="1" t="n">
        <f aca="false">COUNTIF($H$5:$H$1624,H97)</f>
        <v>1</v>
      </c>
      <c r="J97" s="1" t="n">
        <f aca="false">COUNTIF($H$5:H97,H97)</f>
        <v>1</v>
      </c>
      <c r="K97" s="1" t="n">
        <f aca="false">COUNTIFS($H$5:$H$1624,H97,$B$5:$B$1624,"&lt;&gt;"&amp;B97)</f>
        <v>0</v>
      </c>
      <c r="L97" s="1" t="str">
        <f aca="false">IF(I97&gt;1,IF(K97&gt;0,"Cross-hospital match","Same-hospital match"),"")</f>
        <v/>
      </c>
      <c r="M97" s="52"/>
      <c r="N97" s="52"/>
      <c r="O97" s="1" t="n">
        <f aca="false">IF(M97="Exclude (duplicate)",0,1)</f>
        <v>1</v>
      </c>
      <c r="P97" s="1" t="str">
        <f aca="false">IF(AND(L97&lt;&gt;"",M97=""),"Needs decision","")</f>
        <v/>
      </c>
    </row>
    <row r="98" customFormat="false" ht="15" hidden="false" customHeight="false" outlineLevel="0" collapsed="false">
      <c r="A98" s="48" t="str">
        <f aca="false">COST!A98</f>
        <v>KVMC-0094</v>
      </c>
      <c r="B98" s="48" t="str">
        <f aca="false">COST!B98</f>
        <v>KVMC</v>
      </c>
      <c r="C98" s="48" t="str">
        <f aca="false">COST!D98</f>
        <v>Grief Support Group</v>
      </c>
      <c r="D98" s="62" t="n">
        <f aca="false">COST!M98</f>
        <v>45915</v>
      </c>
      <c r="E98" s="48" t="str">
        <f aca="false">COST!P98</f>
        <v>Chaplain</v>
      </c>
      <c r="F98" s="63" t="n">
        <f aca="false">COST!R98</f>
        <v>2.25</v>
      </c>
      <c r="G98" s="48" t="str">
        <f aca="false">STACK!M98</f>
        <v/>
      </c>
      <c r="H98" s="1" t="str">
        <f aca="false">C98&amp;"|"&amp;IF(ISNUMBER(D98),TEXT(D98,"yyyy-mm-dd"),"no date")&amp;"|"&amp;E98&amp;"|"&amp;IF(ISNUMBER(F98),TEXT(F98,"0.00"),"blank")</f>
        <v>Grief Support Group|2025-09-15|Chaplain|2.25</v>
      </c>
      <c r="I98" s="1" t="n">
        <f aca="false">COUNTIF($H$5:$H$1624,H98)</f>
        <v>1</v>
      </c>
      <c r="J98" s="1" t="n">
        <f aca="false">COUNTIF($H$5:H98,H98)</f>
        <v>1</v>
      </c>
      <c r="K98" s="1" t="n">
        <f aca="false">COUNTIFS($H$5:$H$1624,H98,$B$5:$B$1624,"&lt;&gt;"&amp;B98)</f>
        <v>0</v>
      </c>
      <c r="L98" s="1" t="str">
        <f aca="false">IF(I98&gt;1,IF(K98&gt;0,"Cross-hospital match","Same-hospital match"),"")</f>
        <v/>
      </c>
      <c r="M98" s="52"/>
      <c r="N98" s="52"/>
      <c r="O98" s="1" t="n">
        <f aca="false">IF(M98="Exclude (duplicate)",0,1)</f>
        <v>1</v>
      </c>
      <c r="P98" s="1" t="str">
        <f aca="false">IF(AND(L98&lt;&gt;"",M98=""),"Needs decision","")</f>
        <v/>
      </c>
    </row>
    <row r="99" customFormat="false" ht="15" hidden="false" customHeight="false" outlineLevel="0" collapsed="false">
      <c r="A99" s="48" t="str">
        <f aca="false">COST!A99</f>
        <v>KVMC-0095</v>
      </c>
      <c r="B99" s="48" t="str">
        <f aca="false">COST!B99</f>
        <v>KVMC</v>
      </c>
      <c r="C99" s="48" t="str">
        <f aca="false">COST!D99</f>
        <v>Grief Support Group</v>
      </c>
      <c r="D99" s="62" t="n">
        <f aca="false">COST!M99</f>
        <v>45915</v>
      </c>
      <c r="E99" s="48" t="str">
        <f aca="false">COST!P99</f>
        <v>Social Worker</v>
      </c>
      <c r="F99" s="63" t="n">
        <f aca="false">COST!R99</f>
        <v>2</v>
      </c>
      <c r="G99" s="48" t="str">
        <f aca="false">STACK!M99</f>
        <v/>
      </c>
      <c r="H99" s="1" t="str">
        <f aca="false">C99&amp;"|"&amp;IF(ISNUMBER(D99),TEXT(D99,"yyyy-mm-dd"),"no date")&amp;"|"&amp;E99&amp;"|"&amp;IF(ISNUMBER(F99),TEXT(F99,"0.00"),"blank")</f>
        <v>Grief Support Group|2025-09-15|Social Worker|2.00</v>
      </c>
      <c r="I99" s="1" t="n">
        <f aca="false">COUNTIF($H$5:$H$1624,H99)</f>
        <v>1</v>
      </c>
      <c r="J99" s="1" t="n">
        <f aca="false">COUNTIF($H$5:H99,H99)</f>
        <v>1</v>
      </c>
      <c r="K99" s="1" t="n">
        <f aca="false">COUNTIFS($H$5:$H$1624,H99,$B$5:$B$1624,"&lt;&gt;"&amp;B99)</f>
        <v>0</v>
      </c>
      <c r="L99" s="1" t="str">
        <f aca="false">IF(I99&gt;1,IF(K99&gt;0,"Cross-hospital match","Same-hospital match"),"")</f>
        <v/>
      </c>
      <c r="M99" s="52"/>
      <c r="N99" s="52"/>
      <c r="O99" s="1" t="n">
        <f aca="false">IF(M99="Exclude (duplicate)",0,1)</f>
        <v>1</v>
      </c>
      <c r="P99" s="1" t="str">
        <f aca="false">IF(AND(L99&lt;&gt;"",M99=""),"Needs decision","")</f>
        <v/>
      </c>
    </row>
    <row r="100" customFormat="false" ht="15" hidden="false" customHeight="false" outlineLevel="0" collapsed="false">
      <c r="A100" s="48" t="str">
        <f aca="false">COST!A100</f>
        <v>KVMC-0096</v>
      </c>
      <c r="B100" s="48" t="str">
        <f aca="false">COST!B100</f>
        <v>KVMC</v>
      </c>
      <c r="C100" s="48" t="str">
        <f aca="false">COST!D100</f>
        <v>Grief Support Group</v>
      </c>
      <c r="D100" s="62" t="n">
        <f aca="false">COST!M100</f>
        <v>45916</v>
      </c>
      <c r="E100" s="48" t="str">
        <f aca="false">COST!P100</f>
        <v>Chaplain</v>
      </c>
      <c r="F100" s="63" t="n">
        <f aca="false">COST!R100</f>
        <v>2</v>
      </c>
      <c r="G100" s="48" t="str">
        <f aca="false">STACK!M100</f>
        <v/>
      </c>
      <c r="H100" s="1" t="str">
        <f aca="false">C100&amp;"|"&amp;IF(ISNUMBER(D100),TEXT(D100,"yyyy-mm-dd"),"no date")&amp;"|"&amp;E100&amp;"|"&amp;IF(ISNUMBER(F100),TEXT(F100,"0.00"),"blank")</f>
        <v>Grief Support Group|2025-09-16|Chaplain|2.00</v>
      </c>
      <c r="I100" s="1" t="n">
        <f aca="false">COUNTIF($H$5:$H$1624,H100)</f>
        <v>1</v>
      </c>
      <c r="J100" s="1" t="n">
        <f aca="false">COUNTIF($H$5:H100,H100)</f>
        <v>1</v>
      </c>
      <c r="K100" s="1" t="n">
        <f aca="false">COUNTIFS($H$5:$H$1624,H100,$B$5:$B$1624,"&lt;&gt;"&amp;B100)</f>
        <v>0</v>
      </c>
      <c r="L100" s="1" t="str">
        <f aca="false">IF(I100&gt;1,IF(K100&gt;0,"Cross-hospital match","Same-hospital match"),"")</f>
        <v/>
      </c>
      <c r="M100" s="52"/>
      <c r="N100" s="52"/>
      <c r="O100" s="1" t="n">
        <f aca="false">IF(M100="Exclude (duplicate)",0,1)</f>
        <v>1</v>
      </c>
      <c r="P100" s="1" t="str">
        <f aca="false">IF(AND(L100&lt;&gt;"",M100=""),"Needs decision","")</f>
        <v/>
      </c>
    </row>
    <row r="101" customFormat="false" ht="15" hidden="false" customHeight="false" outlineLevel="0" collapsed="false">
      <c r="A101" s="48" t="str">
        <f aca="false">COST!A101</f>
        <v>KVMC-0097</v>
      </c>
      <c r="B101" s="48" t="str">
        <f aca="false">COST!B101</f>
        <v>KVMC</v>
      </c>
      <c r="C101" s="48" t="str">
        <f aca="false">COST!D101</f>
        <v>Grief Support Group</v>
      </c>
      <c r="D101" s="62" t="n">
        <f aca="false">COST!M101</f>
        <v>45916</v>
      </c>
      <c r="E101" s="48" t="str">
        <f aca="false">COST!P101</f>
        <v>Social Worker</v>
      </c>
      <c r="F101" s="63" t="n">
        <f aca="false">COST!R101</f>
        <v>2</v>
      </c>
      <c r="G101" s="48" t="str">
        <f aca="false">STACK!M101</f>
        <v/>
      </c>
      <c r="H101" s="1" t="str">
        <f aca="false">C101&amp;"|"&amp;IF(ISNUMBER(D101),TEXT(D101,"yyyy-mm-dd"),"no date")&amp;"|"&amp;E101&amp;"|"&amp;IF(ISNUMBER(F101),TEXT(F101,"0.00"),"blank")</f>
        <v>Grief Support Group|2025-09-16|Social Worker|2.00</v>
      </c>
      <c r="I101" s="1" t="n">
        <f aca="false">COUNTIF($H$5:$H$1624,H101)</f>
        <v>1</v>
      </c>
      <c r="J101" s="1" t="n">
        <f aca="false">COUNTIF($H$5:H101,H101)</f>
        <v>1</v>
      </c>
      <c r="K101" s="1" t="n">
        <f aca="false">COUNTIFS($H$5:$H$1624,H101,$B$5:$B$1624,"&lt;&gt;"&amp;B101)</f>
        <v>0</v>
      </c>
      <c r="L101" s="1" t="str">
        <f aca="false">IF(I101&gt;1,IF(K101&gt;0,"Cross-hospital match","Same-hospital match"),"")</f>
        <v/>
      </c>
      <c r="M101" s="52"/>
      <c r="N101" s="52"/>
      <c r="O101" s="1" t="n">
        <f aca="false">IF(M101="Exclude (duplicate)",0,1)</f>
        <v>1</v>
      </c>
      <c r="P101" s="1" t="str">
        <f aca="false">IF(AND(L101&lt;&gt;"",M101=""),"Needs decision","")</f>
        <v/>
      </c>
    </row>
    <row r="102" customFormat="false" ht="15" hidden="false" customHeight="false" outlineLevel="0" collapsed="false">
      <c r="A102" s="48" t="str">
        <f aca="false">COST!A102</f>
        <v>KVMC-0098</v>
      </c>
      <c r="B102" s="48" t="str">
        <f aca="false">COST!B102</f>
        <v>KVMC</v>
      </c>
      <c r="C102" s="48" t="str">
        <f aca="false">COST!D102</f>
        <v>Diabetes Prevention Classes</v>
      </c>
      <c r="D102" s="62" t="n">
        <f aca="false">COST!M102</f>
        <v>45917</v>
      </c>
      <c r="E102" s="48" t="str">
        <f aca="false">COST!P102</f>
        <v>Health Educator</v>
      </c>
      <c r="F102" s="63" t="n">
        <f aca="false">COST!R102</f>
        <v>3</v>
      </c>
      <c r="G102" s="48" t="str">
        <f aca="false">STACK!M102</f>
        <v/>
      </c>
      <c r="H102" s="1" t="str">
        <f aca="false">C102&amp;"|"&amp;IF(ISNUMBER(D102),TEXT(D102,"yyyy-mm-dd"),"no date")&amp;"|"&amp;E102&amp;"|"&amp;IF(ISNUMBER(F102),TEXT(F102,"0.00"),"blank")</f>
        <v>Diabetes Prevention Classes|2025-09-17|Health Educator|3.00</v>
      </c>
      <c r="I102" s="1" t="n">
        <f aca="false">COUNTIF($H$5:$H$1624,H102)</f>
        <v>1</v>
      </c>
      <c r="J102" s="1" t="n">
        <f aca="false">COUNTIF($H$5:H102,H102)</f>
        <v>1</v>
      </c>
      <c r="K102" s="1" t="n">
        <f aca="false">COUNTIFS($H$5:$H$1624,H102,$B$5:$B$1624,"&lt;&gt;"&amp;B102)</f>
        <v>0</v>
      </c>
      <c r="L102" s="1" t="str">
        <f aca="false">IF(I102&gt;1,IF(K102&gt;0,"Cross-hospital match","Same-hospital match"),"")</f>
        <v/>
      </c>
      <c r="M102" s="52"/>
      <c r="N102" s="52"/>
      <c r="O102" s="1" t="n">
        <f aca="false">IF(M102="Exclude (duplicate)",0,1)</f>
        <v>1</v>
      </c>
      <c r="P102" s="1" t="str">
        <f aca="false">IF(AND(L102&lt;&gt;"",M102=""),"Needs decision","")</f>
        <v/>
      </c>
    </row>
    <row r="103" customFormat="false" ht="15" hidden="false" customHeight="false" outlineLevel="0" collapsed="false">
      <c r="A103" s="48" t="str">
        <f aca="false">COST!A103</f>
        <v>KVMC-0099</v>
      </c>
      <c r="B103" s="48" t="str">
        <f aca="false">COST!B103</f>
        <v>KVMC</v>
      </c>
      <c r="C103" s="48" t="str">
        <f aca="false">COST!D103</f>
        <v>Diabetes Prevention Classes</v>
      </c>
      <c r="D103" s="62" t="n">
        <f aca="false">COST!M103</f>
        <v>45917</v>
      </c>
      <c r="E103" s="48" t="str">
        <f aca="false">COST!P103</f>
        <v>Registered Dietitian</v>
      </c>
      <c r="F103" s="63" t="n">
        <f aca="false">COST!R103</f>
        <v>2</v>
      </c>
      <c r="G103" s="48" t="str">
        <f aca="false">STACK!M103</f>
        <v/>
      </c>
      <c r="H103" s="1" t="str">
        <f aca="false">C103&amp;"|"&amp;IF(ISNUMBER(D103),TEXT(D103,"yyyy-mm-dd"),"no date")&amp;"|"&amp;E103&amp;"|"&amp;IF(ISNUMBER(F103),TEXT(F103,"0.00"),"blank")</f>
        <v>Diabetes Prevention Classes|2025-09-17|Registered Dietitian|2.00</v>
      </c>
      <c r="I103" s="1" t="n">
        <f aca="false">COUNTIF($H$5:$H$1624,H103)</f>
        <v>1</v>
      </c>
      <c r="J103" s="1" t="n">
        <f aca="false">COUNTIF($H$5:H103,H103)</f>
        <v>1</v>
      </c>
      <c r="K103" s="1" t="n">
        <f aca="false">COUNTIFS($H$5:$H$1624,H103,$B$5:$B$1624,"&lt;&gt;"&amp;B103)</f>
        <v>0</v>
      </c>
      <c r="L103" s="1" t="str">
        <f aca="false">IF(I103&gt;1,IF(K103&gt;0,"Cross-hospital match","Same-hospital match"),"")</f>
        <v/>
      </c>
      <c r="M103" s="52"/>
      <c r="N103" s="52"/>
      <c r="O103" s="1" t="n">
        <f aca="false">IF(M103="Exclude (duplicate)",0,1)</f>
        <v>1</v>
      </c>
      <c r="P103" s="1" t="str">
        <f aca="false">IF(AND(L103&lt;&gt;"",M103=""),"Needs decision","")</f>
        <v/>
      </c>
    </row>
    <row r="104" customFormat="false" ht="15" hidden="false" customHeight="false" outlineLevel="0" collapsed="false">
      <c r="A104" s="48" t="str">
        <f aca="false">COST!A104</f>
        <v>KVMC-0100</v>
      </c>
      <c r="B104" s="48" t="str">
        <f aca="false">COST!B104</f>
        <v>KVMC</v>
      </c>
      <c r="C104" s="48" t="str">
        <f aca="false">COST!D104</f>
        <v>School-Based Health Center Support Grant</v>
      </c>
      <c r="D104" s="62" t="n">
        <f aca="false">COST!M104</f>
        <v>45918</v>
      </c>
      <c r="E104" s="48" t="str">
        <f aca="false">COST!P104</f>
        <v>No staff time</v>
      </c>
      <c r="F104" s="63" t="n">
        <f aca="false">COST!R104</f>
        <v>0</v>
      </c>
      <c r="G104" s="48" t="str">
        <f aca="false">STACK!M104</f>
        <v/>
      </c>
      <c r="H104" s="1" t="str">
        <f aca="false">C104&amp;"|"&amp;IF(ISNUMBER(D104),TEXT(D104,"yyyy-mm-dd"),"no date")&amp;"|"&amp;E104&amp;"|"&amp;IF(ISNUMBER(F104),TEXT(F104,"0.00"),"blank")</f>
        <v>School-Based Health Center Support Grant|2025-09-18|No staff time|0.00</v>
      </c>
      <c r="I104" s="1" t="n">
        <f aca="false">COUNTIF($H$5:$H$1624,H104)</f>
        <v>1</v>
      </c>
      <c r="J104" s="1" t="n">
        <f aca="false">COUNTIF($H$5:H104,H104)</f>
        <v>1</v>
      </c>
      <c r="K104" s="1" t="n">
        <f aca="false">COUNTIFS($H$5:$H$1624,H104,$B$5:$B$1624,"&lt;&gt;"&amp;B104)</f>
        <v>0</v>
      </c>
      <c r="L104" s="1" t="str">
        <f aca="false">IF(I104&gt;1,IF(K104&gt;0,"Cross-hospital match","Same-hospital match"),"")</f>
        <v/>
      </c>
      <c r="M104" s="52"/>
      <c r="N104" s="52"/>
      <c r="O104" s="1" t="n">
        <f aca="false">IF(M104="Exclude (duplicate)",0,1)</f>
        <v>1</v>
      </c>
      <c r="P104" s="1" t="str">
        <f aca="false">IF(AND(L104&lt;&gt;"",M104=""),"Needs decision","")</f>
        <v/>
      </c>
    </row>
    <row r="105" customFormat="false" ht="15" hidden="false" customHeight="false" outlineLevel="0" collapsed="false">
      <c r="A105" s="48" t="str">
        <f aca="false">COST!A105</f>
        <v>KVMC-0101</v>
      </c>
      <c r="B105" s="48" t="str">
        <f aca="false">COST!B105</f>
        <v>KVMC</v>
      </c>
      <c r="C105" s="48" t="str">
        <f aca="false">COST!D105</f>
        <v>Free Clinic Operating Grant</v>
      </c>
      <c r="D105" s="62" t="n">
        <f aca="false">COST!M105</f>
        <v>45927</v>
      </c>
      <c r="E105" s="48" t="str">
        <f aca="false">COST!P105</f>
        <v>No staff time</v>
      </c>
      <c r="F105" s="63" t="n">
        <f aca="false">COST!R105</f>
        <v>0</v>
      </c>
      <c r="G105" s="48" t="str">
        <f aca="false">STACK!M105</f>
        <v/>
      </c>
      <c r="H105" s="1" t="str">
        <f aca="false">C105&amp;"|"&amp;IF(ISNUMBER(D105),TEXT(D105,"yyyy-mm-dd"),"no date")&amp;"|"&amp;E105&amp;"|"&amp;IF(ISNUMBER(F105),TEXT(F105,"0.00"),"blank")</f>
        <v>Free Clinic Operating Grant|2025-09-27|No staff time|0.00</v>
      </c>
      <c r="I105" s="1" t="n">
        <f aca="false">COUNTIF($H$5:$H$1624,H105)</f>
        <v>1</v>
      </c>
      <c r="J105" s="1" t="n">
        <f aca="false">COUNTIF($H$5:H105,H105)</f>
        <v>1</v>
      </c>
      <c r="K105" s="1" t="n">
        <f aca="false">COUNTIFS($H$5:$H$1624,H105,$B$5:$B$1624,"&lt;&gt;"&amp;B105)</f>
        <v>0</v>
      </c>
      <c r="L105" s="1" t="str">
        <f aca="false">IF(I105&gt;1,IF(K105&gt;0,"Cross-hospital match","Same-hospital match"),"")</f>
        <v/>
      </c>
      <c r="M105" s="52"/>
      <c r="N105" s="52"/>
      <c r="O105" s="1" t="n">
        <f aca="false">IF(M105="Exclude (duplicate)",0,1)</f>
        <v>1</v>
      </c>
      <c r="P105" s="1" t="str">
        <f aca="false">IF(AND(L105&lt;&gt;"",M105=""),"Needs decision","")</f>
        <v/>
      </c>
    </row>
    <row r="106" customFormat="false" ht="15" hidden="false" customHeight="false" outlineLevel="0" collapsed="false">
      <c r="A106" s="48" t="str">
        <f aca="false">COST!A106</f>
        <v>KVMC-0102</v>
      </c>
      <c r="B106" s="48" t="str">
        <f aca="false">COST!B106</f>
        <v>KVMC</v>
      </c>
      <c r="C106" s="48" t="str">
        <f aca="false">COST!D106</f>
        <v>Community Emergency Preparedness Drills</v>
      </c>
      <c r="D106" s="62" t="n">
        <f aca="false">COST!M106</f>
        <v>45929</v>
      </c>
      <c r="E106" s="48" t="str">
        <f aca="false">COST!P106</f>
        <v>Paramedic</v>
      </c>
      <c r="F106" s="63" t="n">
        <f aca="false">COST!R106</f>
        <v>7.75</v>
      </c>
      <c r="G106" s="48" t="str">
        <f aca="false">STACK!M106</f>
        <v/>
      </c>
      <c r="H106" s="1" t="str">
        <f aca="false">C106&amp;"|"&amp;IF(ISNUMBER(D106),TEXT(D106,"yyyy-mm-dd"),"no date")&amp;"|"&amp;E106&amp;"|"&amp;IF(ISNUMBER(F106),TEXT(F106,"0.00"),"blank")</f>
        <v>Community Emergency Preparedness Drills|2025-09-29|Paramedic|7.75</v>
      </c>
      <c r="I106" s="1" t="n">
        <f aca="false">COUNTIF($H$5:$H$1624,H106)</f>
        <v>1</v>
      </c>
      <c r="J106" s="1" t="n">
        <f aca="false">COUNTIF($H$5:H106,H106)</f>
        <v>1</v>
      </c>
      <c r="K106" s="1" t="n">
        <f aca="false">COUNTIFS($H$5:$H$1624,H106,$B$5:$B$1624,"&lt;&gt;"&amp;B106)</f>
        <v>0</v>
      </c>
      <c r="L106" s="1" t="str">
        <f aca="false">IF(I106&gt;1,IF(K106&gt;0,"Cross-hospital match","Same-hospital match"),"")</f>
        <v/>
      </c>
      <c r="M106" s="52"/>
      <c r="N106" s="52"/>
      <c r="O106" s="1" t="n">
        <f aca="false">IF(M106="Exclude (duplicate)",0,1)</f>
        <v>1</v>
      </c>
      <c r="P106" s="1" t="str">
        <f aca="false">IF(AND(L106&lt;&gt;"",M106=""),"Needs decision","")</f>
        <v/>
      </c>
    </row>
    <row r="107" customFormat="false" ht="15" hidden="false" customHeight="false" outlineLevel="0" collapsed="false">
      <c r="A107" s="48" t="str">
        <f aca="false">COST!A107</f>
        <v>KVMC-0103</v>
      </c>
      <c r="B107" s="48" t="str">
        <f aca="false">COST!B107</f>
        <v>KVMC</v>
      </c>
      <c r="C107" s="48" t="str">
        <f aca="false">COST!D107</f>
        <v>Community Emergency Preparedness Drills</v>
      </c>
      <c r="D107" s="62" t="n">
        <f aca="false">COST!M107</f>
        <v>45929</v>
      </c>
      <c r="E107" s="48" t="str">
        <f aca="false">COST!P107</f>
        <v>Program Coordinator</v>
      </c>
      <c r="F107" s="63" t="n">
        <f aca="false">COST!R107</f>
        <v>4.25</v>
      </c>
      <c r="G107" s="48" t="str">
        <f aca="false">STACK!M107</f>
        <v/>
      </c>
      <c r="H107" s="1" t="str">
        <f aca="false">C107&amp;"|"&amp;IF(ISNUMBER(D107),TEXT(D107,"yyyy-mm-dd"),"no date")&amp;"|"&amp;E107&amp;"|"&amp;IF(ISNUMBER(F107),TEXT(F107,"0.00"),"blank")</f>
        <v>Community Emergency Preparedness Drills|2025-09-29|Program Coordinator|4.25</v>
      </c>
      <c r="I107" s="1" t="n">
        <f aca="false">COUNTIF($H$5:$H$1624,H107)</f>
        <v>1</v>
      </c>
      <c r="J107" s="1" t="n">
        <f aca="false">COUNTIF($H$5:H107,H107)</f>
        <v>1</v>
      </c>
      <c r="K107" s="1" t="n">
        <f aca="false">COUNTIFS($H$5:$H$1624,H107,$B$5:$B$1624,"&lt;&gt;"&amp;B107)</f>
        <v>0</v>
      </c>
      <c r="L107" s="1" t="str">
        <f aca="false">IF(I107&gt;1,IF(K107&gt;0,"Cross-hospital match","Same-hospital match"),"")</f>
        <v/>
      </c>
      <c r="M107" s="52"/>
      <c r="N107" s="52"/>
      <c r="O107" s="1" t="n">
        <f aca="false">IF(M107="Exclude (duplicate)",0,1)</f>
        <v>1</v>
      </c>
      <c r="P107" s="1" t="str">
        <f aca="false">IF(AND(L107&lt;&gt;"",M107=""),"Needs decision","")</f>
        <v/>
      </c>
    </row>
    <row r="108" customFormat="false" ht="15" hidden="false" customHeight="false" outlineLevel="0" collapsed="false">
      <c r="A108" s="48" t="str">
        <f aca="false">COST!A108</f>
        <v>KVMC-0104</v>
      </c>
      <c r="B108" s="48" t="str">
        <f aca="false">COST!B108</f>
        <v>KVMC</v>
      </c>
      <c r="C108" s="48" t="str">
        <f aca="false">COST!D108</f>
        <v>Community Emergency Preparedness Drills</v>
      </c>
      <c r="D108" s="62" t="n">
        <f aca="false">COST!M108</f>
        <v>45929</v>
      </c>
      <c r="E108" s="48" t="str">
        <f aca="false">COST!P108</f>
        <v>Registered Nurse</v>
      </c>
      <c r="F108" s="63" t="n">
        <f aca="false">COST!R108</f>
        <v>7</v>
      </c>
      <c r="G108" s="48" t="str">
        <f aca="false">STACK!M108</f>
        <v/>
      </c>
      <c r="H108" s="1" t="str">
        <f aca="false">C108&amp;"|"&amp;IF(ISNUMBER(D108),TEXT(D108,"yyyy-mm-dd"),"no date")&amp;"|"&amp;E108&amp;"|"&amp;IF(ISNUMBER(F108),TEXT(F108,"0.00"),"blank")</f>
        <v>Community Emergency Preparedness Drills|2025-09-29|Registered Nurse|7.00</v>
      </c>
      <c r="I108" s="1" t="n">
        <f aca="false">COUNTIF($H$5:$H$1624,H108)</f>
        <v>1</v>
      </c>
      <c r="J108" s="1" t="n">
        <f aca="false">COUNTIF($H$5:H108,H108)</f>
        <v>1</v>
      </c>
      <c r="K108" s="1" t="n">
        <f aca="false">COUNTIFS($H$5:$H$1624,H108,$B$5:$B$1624,"&lt;&gt;"&amp;B108)</f>
        <v>0</v>
      </c>
      <c r="L108" s="1" t="str">
        <f aca="false">IF(I108&gt;1,IF(K108&gt;0,"Cross-hospital match","Same-hospital match"),"")</f>
        <v/>
      </c>
      <c r="M108" s="52"/>
      <c r="N108" s="52"/>
      <c r="O108" s="1" t="n">
        <f aca="false">IF(M108="Exclude (duplicate)",0,1)</f>
        <v>1</v>
      </c>
      <c r="P108" s="1" t="str">
        <f aca="false">IF(AND(L108&lt;&gt;"",M108=""),"Needs decision","")</f>
        <v/>
      </c>
    </row>
    <row r="109" customFormat="false" ht="15" hidden="false" customHeight="false" outlineLevel="0" collapsed="false">
      <c r="A109" s="48" t="str">
        <f aca="false">COST!A109</f>
        <v>KVMC-0105</v>
      </c>
      <c r="B109" s="48" t="str">
        <f aca="false">COST!B109</f>
        <v>KVMC</v>
      </c>
      <c r="C109" s="48" t="str">
        <f aca="false">COST!D109</f>
        <v>Mobile Health Screening Unit</v>
      </c>
      <c r="D109" s="62" t="n">
        <f aca="false">COST!M109</f>
        <v>45930</v>
      </c>
      <c r="E109" s="48" t="str">
        <f aca="false">COST!P109</f>
        <v>Community Health Worker</v>
      </c>
      <c r="F109" s="63" t="n">
        <f aca="false">COST!R109</f>
        <v>102.25</v>
      </c>
      <c r="G109" s="48" t="str">
        <f aca="false">STACK!M109</f>
        <v/>
      </c>
      <c r="H109" s="1" t="str">
        <f aca="false">C109&amp;"|"&amp;IF(ISNUMBER(D109),TEXT(D109,"yyyy-mm-dd"),"no date")&amp;"|"&amp;E109&amp;"|"&amp;IF(ISNUMBER(F109),TEXT(F109,"0.00"),"blank")</f>
        <v>Mobile Health Screening Unit|2025-09-30|Community Health Worker|102.25</v>
      </c>
      <c r="I109" s="1" t="n">
        <f aca="false">COUNTIF($H$5:$H$1624,H109)</f>
        <v>1</v>
      </c>
      <c r="J109" s="1" t="n">
        <f aca="false">COUNTIF($H$5:H109,H109)</f>
        <v>1</v>
      </c>
      <c r="K109" s="1" t="n">
        <f aca="false">COUNTIFS($H$5:$H$1624,H109,$B$5:$B$1624,"&lt;&gt;"&amp;B109)</f>
        <v>0</v>
      </c>
      <c r="L109" s="1" t="str">
        <f aca="false">IF(I109&gt;1,IF(K109&gt;0,"Cross-hospital match","Same-hospital match"),"")</f>
        <v/>
      </c>
      <c r="M109" s="52"/>
      <c r="N109" s="52"/>
      <c r="O109" s="1" t="n">
        <f aca="false">IF(M109="Exclude (duplicate)",0,1)</f>
        <v>1</v>
      </c>
      <c r="P109" s="1" t="str">
        <f aca="false">IF(AND(L109&lt;&gt;"",M109=""),"Needs decision","")</f>
        <v/>
      </c>
    </row>
    <row r="110" customFormat="false" ht="15" hidden="false" customHeight="false" outlineLevel="0" collapsed="false">
      <c r="A110" s="48" t="str">
        <f aca="false">COST!A110</f>
        <v>KVMC-0106</v>
      </c>
      <c r="B110" s="48" t="str">
        <f aca="false">COST!B110</f>
        <v>KVMC</v>
      </c>
      <c r="C110" s="48" t="str">
        <f aca="false">COST!D110</f>
        <v>Mobile Health Screening Unit</v>
      </c>
      <c r="D110" s="62" t="n">
        <f aca="false">COST!M110</f>
        <v>45930</v>
      </c>
      <c r="E110" s="48" t="str">
        <f aca="false">COST!P110</f>
        <v>Medical Assistant</v>
      </c>
      <c r="F110" s="63" t="n">
        <f aca="false">COST!R110</f>
        <v>110</v>
      </c>
      <c r="G110" s="48" t="str">
        <f aca="false">STACK!M110</f>
        <v/>
      </c>
      <c r="H110" s="1" t="str">
        <f aca="false">C110&amp;"|"&amp;IF(ISNUMBER(D110),TEXT(D110,"yyyy-mm-dd"),"no date")&amp;"|"&amp;E110&amp;"|"&amp;IF(ISNUMBER(F110),TEXT(F110,"0.00"),"blank")</f>
        <v>Mobile Health Screening Unit|2025-09-30|Medical Assistant|110.00</v>
      </c>
      <c r="I110" s="1" t="n">
        <f aca="false">COUNTIF($H$5:$H$1624,H110)</f>
        <v>1</v>
      </c>
      <c r="J110" s="1" t="n">
        <f aca="false">COUNTIF($H$5:H110,H110)</f>
        <v>1</v>
      </c>
      <c r="K110" s="1" t="n">
        <f aca="false">COUNTIFS($H$5:$H$1624,H110,$B$5:$B$1624,"&lt;&gt;"&amp;B110)</f>
        <v>0</v>
      </c>
      <c r="L110" s="1" t="str">
        <f aca="false">IF(I110&gt;1,IF(K110&gt;0,"Cross-hospital match","Same-hospital match"),"")</f>
        <v/>
      </c>
      <c r="M110" s="52"/>
      <c r="N110" s="52"/>
      <c r="O110" s="1" t="n">
        <f aca="false">IF(M110="Exclude (duplicate)",0,1)</f>
        <v>1</v>
      </c>
      <c r="P110" s="1" t="str">
        <f aca="false">IF(AND(L110&lt;&gt;"",M110=""),"Needs decision","")</f>
        <v/>
      </c>
    </row>
    <row r="111" customFormat="false" ht="15" hidden="false" customHeight="false" outlineLevel="0" collapsed="false">
      <c r="A111" s="48" t="str">
        <f aca="false">COST!A111</f>
        <v>KVMC-0107</v>
      </c>
      <c r="B111" s="48" t="str">
        <f aca="false">COST!B111</f>
        <v>KVMC</v>
      </c>
      <c r="C111" s="48" t="str">
        <f aca="false">COST!D111</f>
        <v>Mobile Health Screening Unit</v>
      </c>
      <c r="D111" s="62" t="n">
        <f aca="false">COST!M111</f>
        <v>45930</v>
      </c>
      <c r="E111" s="48" t="str">
        <f aca="false">COST!P111</f>
        <v>Registered Nurse</v>
      </c>
      <c r="F111" s="63" t="n">
        <f aca="false">COST!R111</f>
        <v>147.5</v>
      </c>
      <c r="G111" s="48" t="str">
        <f aca="false">STACK!M111</f>
        <v/>
      </c>
      <c r="H111" s="1" t="str">
        <f aca="false">C111&amp;"|"&amp;IF(ISNUMBER(D111),TEXT(D111,"yyyy-mm-dd"),"no date")&amp;"|"&amp;E111&amp;"|"&amp;IF(ISNUMBER(F111),TEXT(F111,"0.00"),"blank")</f>
        <v>Mobile Health Screening Unit|2025-09-30|Registered Nurse|147.50</v>
      </c>
      <c r="I111" s="1" t="n">
        <f aca="false">COUNTIF($H$5:$H$1624,H111)</f>
        <v>1</v>
      </c>
      <c r="J111" s="1" t="n">
        <f aca="false">COUNTIF($H$5:H111,H111)</f>
        <v>1</v>
      </c>
      <c r="K111" s="1" t="n">
        <f aca="false">COUNTIFS($H$5:$H$1624,H111,$B$5:$B$1624,"&lt;&gt;"&amp;B111)</f>
        <v>0</v>
      </c>
      <c r="L111" s="1" t="str">
        <f aca="false">IF(I111&gt;1,IF(K111&gt;0,"Cross-hospital match","Same-hospital match"),"")</f>
        <v/>
      </c>
      <c r="M111" s="52"/>
      <c r="N111" s="52"/>
      <c r="O111" s="1" t="n">
        <f aca="false">IF(M111="Exclude (duplicate)",0,1)</f>
        <v>1</v>
      </c>
      <c r="P111" s="1" t="str">
        <f aca="false">IF(AND(L111&lt;&gt;"",M111=""),"Needs decision","")</f>
        <v/>
      </c>
    </row>
    <row r="112" customFormat="false" ht="15" hidden="false" customHeight="false" outlineLevel="0" collapsed="false">
      <c r="A112" s="48" t="str">
        <f aca="false">COST!A112</f>
        <v>KVMC-0108</v>
      </c>
      <c r="B112" s="48" t="str">
        <f aca="false">COST!B112</f>
        <v>KVMC</v>
      </c>
      <c r="C112" s="48" t="str">
        <f aca="false">COST!D112</f>
        <v>Grief Support Group</v>
      </c>
      <c r="D112" s="62" t="n">
        <f aca="false">COST!M112</f>
        <v>45930</v>
      </c>
      <c r="E112" s="48" t="str">
        <f aca="false">COST!P112</f>
        <v>Chaplain</v>
      </c>
      <c r="F112" s="63" t="n">
        <f aca="false">COST!R112</f>
        <v>2.25</v>
      </c>
      <c r="G112" s="48" t="str">
        <f aca="false">STACK!M112</f>
        <v/>
      </c>
      <c r="H112" s="1" t="str">
        <f aca="false">C112&amp;"|"&amp;IF(ISNUMBER(D112),TEXT(D112,"yyyy-mm-dd"),"no date")&amp;"|"&amp;E112&amp;"|"&amp;IF(ISNUMBER(F112),TEXT(F112,"0.00"),"blank")</f>
        <v>Grief Support Group|2025-09-30|Chaplain|2.25</v>
      </c>
      <c r="I112" s="1" t="n">
        <f aca="false">COUNTIF($H$5:$H$1624,H112)</f>
        <v>1</v>
      </c>
      <c r="J112" s="1" t="n">
        <f aca="false">COUNTIF($H$5:H112,H112)</f>
        <v>1</v>
      </c>
      <c r="K112" s="1" t="n">
        <f aca="false">COUNTIFS($H$5:$H$1624,H112,$B$5:$B$1624,"&lt;&gt;"&amp;B112)</f>
        <v>0</v>
      </c>
      <c r="L112" s="1" t="str">
        <f aca="false">IF(I112&gt;1,IF(K112&gt;0,"Cross-hospital match","Same-hospital match"),"")</f>
        <v/>
      </c>
      <c r="M112" s="52"/>
      <c r="N112" s="52"/>
      <c r="O112" s="1" t="n">
        <f aca="false">IF(M112="Exclude (duplicate)",0,1)</f>
        <v>1</v>
      </c>
      <c r="P112" s="1" t="str">
        <f aca="false">IF(AND(L112&lt;&gt;"",M112=""),"Needs decision","")</f>
        <v/>
      </c>
    </row>
    <row r="113" customFormat="false" ht="15" hidden="false" customHeight="false" outlineLevel="0" collapsed="false">
      <c r="A113" s="48" t="str">
        <f aca="false">COST!A113</f>
        <v>KVMC-0109</v>
      </c>
      <c r="B113" s="48" t="str">
        <f aca="false">COST!B113</f>
        <v>KVMC</v>
      </c>
      <c r="C113" s="48" t="str">
        <f aca="false">COST!D113</f>
        <v>Grief Support Group</v>
      </c>
      <c r="D113" s="62" t="n">
        <f aca="false">COST!M113</f>
        <v>45930</v>
      </c>
      <c r="E113" s="48" t="str">
        <f aca="false">COST!P113</f>
        <v>Social Worker</v>
      </c>
      <c r="F113" s="63" t="n">
        <f aca="false">COST!R113</f>
        <v>1.5</v>
      </c>
      <c r="G113" s="48" t="str">
        <f aca="false">STACK!M113</f>
        <v/>
      </c>
      <c r="H113" s="1" t="str">
        <f aca="false">C113&amp;"|"&amp;IF(ISNUMBER(D113),TEXT(D113,"yyyy-mm-dd"),"no date")&amp;"|"&amp;E113&amp;"|"&amp;IF(ISNUMBER(F113),TEXT(F113,"0.00"),"blank")</f>
        <v>Grief Support Group|2025-09-30|Social Worker|1.50</v>
      </c>
      <c r="I113" s="1" t="n">
        <f aca="false">COUNTIF($H$5:$H$1624,H113)</f>
        <v>1</v>
      </c>
      <c r="J113" s="1" t="n">
        <f aca="false">COUNTIF($H$5:H113,H113)</f>
        <v>1</v>
      </c>
      <c r="K113" s="1" t="n">
        <f aca="false">COUNTIFS($H$5:$H$1624,H113,$B$5:$B$1624,"&lt;&gt;"&amp;B113)</f>
        <v>0</v>
      </c>
      <c r="L113" s="1" t="str">
        <f aca="false">IF(I113&gt;1,IF(K113&gt;0,"Cross-hospital match","Same-hospital match"),"")</f>
        <v/>
      </c>
      <c r="M113" s="52"/>
      <c r="N113" s="52"/>
      <c r="O113" s="1" t="n">
        <f aca="false">IF(M113="Exclude (duplicate)",0,1)</f>
        <v>1</v>
      </c>
      <c r="P113" s="1" t="str">
        <f aca="false">IF(AND(L113&lt;&gt;"",M113=""),"Needs decision","")</f>
        <v/>
      </c>
    </row>
    <row r="114" customFormat="false" ht="15" hidden="false" customHeight="false" outlineLevel="0" collapsed="false">
      <c r="A114" s="48" t="str">
        <f aca="false">COST!A114</f>
        <v>KVMC-0110</v>
      </c>
      <c r="B114" s="48" t="str">
        <f aca="false">COST!B114</f>
        <v>KVMC</v>
      </c>
      <c r="C114" s="48" t="str">
        <f aca="false">COST!D114</f>
        <v>Tobacco Cessation Classes</v>
      </c>
      <c r="D114" s="62" t="n">
        <f aca="false">COST!M114</f>
        <v>45930</v>
      </c>
      <c r="E114" s="48" t="str">
        <f aca="false">COST!P114</f>
        <v>Licensed Therapist</v>
      </c>
      <c r="F114" s="63" t="n">
        <f aca="false">COST!R114</f>
        <v>2</v>
      </c>
      <c r="G114" s="48" t="str">
        <f aca="false">STACK!M114</f>
        <v/>
      </c>
      <c r="H114" s="1" t="str">
        <f aca="false">C114&amp;"|"&amp;IF(ISNUMBER(D114),TEXT(D114,"yyyy-mm-dd"),"no date")&amp;"|"&amp;E114&amp;"|"&amp;IF(ISNUMBER(F114),TEXT(F114,"0.00"),"blank")</f>
        <v>Tobacco Cessation Classes|2025-09-30|Licensed Therapist|2.00</v>
      </c>
      <c r="I114" s="1" t="n">
        <f aca="false">COUNTIF($H$5:$H$1624,H114)</f>
        <v>1</v>
      </c>
      <c r="J114" s="1" t="n">
        <f aca="false">COUNTIF($H$5:H114,H114)</f>
        <v>1</v>
      </c>
      <c r="K114" s="1" t="n">
        <f aca="false">COUNTIFS($H$5:$H$1624,H114,$B$5:$B$1624,"&lt;&gt;"&amp;B114)</f>
        <v>0</v>
      </c>
      <c r="L114" s="1" t="str">
        <f aca="false">IF(I114&gt;1,IF(K114&gt;0,"Cross-hospital match","Same-hospital match"),"")</f>
        <v/>
      </c>
      <c r="M114" s="52"/>
      <c r="N114" s="52"/>
      <c r="O114" s="1" t="n">
        <f aca="false">IF(M114="Exclude (duplicate)",0,1)</f>
        <v>1</v>
      </c>
      <c r="P114" s="1" t="str">
        <f aca="false">IF(AND(L114&lt;&gt;"",M114=""),"Needs decision","")</f>
        <v/>
      </c>
    </row>
    <row r="115" customFormat="false" ht="15" hidden="false" customHeight="false" outlineLevel="0" collapsed="false">
      <c r="A115" s="48" t="str">
        <f aca="false">COST!A115</f>
        <v>KVMC-0111</v>
      </c>
      <c r="B115" s="48" t="str">
        <f aca="false">COST!B115</f>
        <v>KVMC</v>
      </c>
      <c r="C115" s="48" t="str">
        <f aca="false">COST!D115</f>
        <v>Free Clinic Provider Staffing</v>
      </c>
      <c r="D115" s="62" t="n">
        <f aca="false">COST!M115</f>
        <v>45930</v>
      </c>
      <c r="E115" s="48" t="str">
        <f aca="false">COST!P115</f>
        <v>Nurse Practitioner</v>
      </c>
      <c r="F115" s="63" t="n">
        <f aca="false">COST!R115</f>
        <v>42</v>
      </c>
      <c r="G115" s="48" t="str">
        <f aca="false">STACK!M115</f>
        <v/>
      </c>
      <c r="H115" s="1" t="str">
        <f aca="false">C115&amp;"|"&amp;IF(ISNUMBER(D115),TEXT(D115,"yyyy-mm-dd"),"no date")&amp;"|"&amp;E115&amp;"|"&amp;IF(ISNUMBER(F115),TEXT(F115,"0.00"),"blank")</f>
        <v>Free Clinic Provider Staffing|2025-09-30|Nurse Practitioner|42.00</v>
      </c>
      <c r="I115" s="1" t="n">
        <f aca="false">COUNTIF($H$5:$H$1624,H115)</f>
        <v>1</v>
      </c>
      <c r="J115" s="1" t="n">
        <f aca="false">COUNTIF($H$5:H115,H115)</f>
        <v>1</v>
      </c>
      <c r="K115" s="1" t="n">
        <f aca="false">COUNTIFS($H$5:$H$1624,H115,$B$5:$B$1624,"&lt;&gt;"&amp;B115)</f>
        <v>0</v>
      </c>
      <c r="L115" s="1" t="str">
        <f aca="false">IF(I115&gt;1,IF(K115&gt;0,"Cross-hospital match","Same-hospital match"),"")</f>
        <v/>
      </c>
      <c r="M115" s="52"/>
      <c r="N115" s="52"/>
      <c r="O115" s="1" t="n">
        <f aca="false">IF(M115="Exclude (duplicate)",0,1)</f>
        <v>1</v>
      </c>
      <c r="P115" s="1" t="str">
        <f aca="false">IF(AND(L115&lt;&gt;"",M115=""),"Needs decision","")</f>
        <v/>
      </c>
    </row>
    <row r="116" customFormat="false" ht="15" hidden="false" customHeight="false" outlineLevel="0" collapsed="false">
      <c r="A116" s="48" t="str">
        <f aca="false">COST!A116</f>
        <v>KVMC-0112</v>
      </c>
      <c r="B116" s="48" t="str">
        <f aca="false">COST!B116</f>
        <v>KVMC</v>
      </c>
      <c r="C116" s="48" t="str">
        <f aca="false">COST!D116</f>
        <v>Free Clinic Provider Staffing</v>
      </c>
      <c r="D116" s="62" t="n">
        <f aca="false">COST!M116</f>
        <v>45930</v>
      </c>
      <c r="E116" s="48" t="str">
        <f aca="false">COST!P116</f>
        <v>Pharmacist</v>
      </c>
      <c r="F116" s="63" t="n">
        <f aca="false">COST!R116</f>
        <v>13.25</v>
      </c>
      <c r="G116" s="48" t="str">
        <f aca="false">STACK!M116</f>
        <v/>
      </c>
      <c r="H116" s="1" t="str">
        <f aca="false">C116&amp;"|"&amp;IF(ISNUMBER(D116),TEXT(D116,"yyyy-mm-dd"),"no date")&amp;"|"&amp;E116&amp;"|"&amp;IF(ISNUMBER(F116),TEXT(F116,"0.00"),"blank")</f>
        <v>Free Clinic Provider Staffing|2025-09-30|Pharmacist|13.25</v>
      </c>
      <c r="I116" s="1" t="n">
        <f aca="false">COUNTIF($H$5:$H$1624,H116)</f>
        <v>1</v>
      </c>
      <c r="J116" s="1" t="n">
        <f aca="false">COUNTIF($H$5:H116,H116)</f>
        <v>1</v>
      </c>
      <c r="K116" s="1" t="n">
        <f aca="false">COUNTIFS($H$5:$H$1624,H116,$B$5:$B$1624,"&lt;&gt;"&amp;B116)</f>
        <v>0</v>
      </c>
      <c r="L116" s="1" t="str">
        <f aca="false">IF(I116&gt;1,IF(K116&gt;0,"Cross-hospital match","Same-hospital match"),"")</f>
        <v/>
      </c>
      <c r="M116" s="52"/>
      <c r="N116" s="52"/>
      <c r="O116" s="1" t="n">
        <f aca="false">IF(M116="Exclude (duplicate)",0,1)</f>
        <v>1</v>
      </c>
      <c r="P116" s="1" t="str">
        <f aca="false">IF(AND(L116&lt;&gt;"",M116=""),"Needs decision","")</f>
        <v/>
      </c>
    </row>
    <row r="117" customFormat="false" ht="15" hidden="false" customHeight="false" outlineLevel="0" collapsed="false">
      <c r="A117" s="48" t="str">
        <f aca="false">COST!A117</f>
        <v>KVMC-0113</v>
      </c>
      <c r="B117" s="48" t="str">
        <f aca="false">COST!B117</f>
        <v>KVMC</v>
      </c>
      <c r="C117" s="48" t="str">
        <f aca="false">COST!D117</f>
        <v>Free Clinic Provider Staffing</v>
      </c>
      <c r="D117" s="62" t="n">
        <f aca="false">COST!M117</f>
        <v>45930</v>
      </c>
      <c r="E117" s="48" t="str">
        <f aca="false">COST!P117</f>
        <v>Registered Nurse</v>
      </c>
      <c r="F117" s="63" t="n">
        <f aca="false">COST!R117</f>
        <v>41.75</v>
      </c>
      <c r="G117" s="48" t="str">
        <f aca="false">STACK!M117</f>
        <v/>
      </c>
      <c r="H117" s="1" t="str">
        <f aca="false">C117&amp;"|"&amp;IF(ISNUMBER(D117),TEXT(D117,"yyyy-mm-dd"),"no date")&amp;"|"&amp;E117&amp;"|"&amp;IF(ISNUMBER(F117),TEXT(F117,"0.00"),"blank")</f>
        <v>Free Clinic Provider Staffing|2025-09-30|Registered Nurse|41.75</v>
      </c>
      <c r="I117" s="1" t="n">
        <f aca="false">COUNTIF($H$5:$H$1624,H117)</f>
        <v>1</v>
      </c>
      <c r="J117" s="1" t="n">
        <f aca="false">COUNTIF($H$5:H117,H117)</f>
        <v>1</v>
      </c>
      <c r="K117" s="1" t="n">
        <f aca="false">COUNTIFS($H$5:$H$1624,H117,$B$5:$B$1624,"&lt;&gt;"&amp;B117)</f>
        <v>0</v>
      </c>
      <c r="L117" s="1" t="str">
        <f aca="false">IF(I117&gt;1,IF(K117&gt;0,"Cross-hospital match","Same-hospital match"),"")</f>
        <v/>
      </c>
      <c r="M117" s="52"/>
      <c r="N117" s="52"/>
      <c r="O117" s="1" t="n">
        <f aca="false">IF(M117="Exclude (duplicate)",0,1)</f>
        <v>1</v>
      </c>
      <c r="P117" s="1" t="str">
        <f aca="false">IF(AND(L117&lt;&gt;"",M117=""),"Needs decision","")</f>
        <v/>
      </c>
    </row>
    <row r="118" customFormat="false" ht="15" hidden="false" customHeight="false" outlineLevel="0" collapsed="false">
      <c r="A118" s="48" t="str">
        <f aca="false">COST!A118</f>
        <v>KVMC-0114</v>
      </c>
      <c r="B118" s="48" t="str">
        <f aca="false">COST!B118</f>
        <v>KVMC</v>
      </c>
      <c r="C118" s="48" t="str">
        <f aca="false">COST!D118</f>
        <v>Community Health Worker Outreach</v>
      </c>
      <c r="D118" s="62" t="n">
        <f aca="false">COST!M118</f>
        <v>45930</v>
      </c>
      <c r="E118" s="48" t="str">
        <f aca="false">COST!P118</f>
        <v>Community Health Worker</v>
      </c>
      <c r="F118" s="63" t="n">
        <f aca="false">COST!R118</f>
        <v>499.5</v>
      </c>
      <c r="G118" s="48" t="str">
        <f aca="false">STACK!M118</f>
        <v/>
      </c>
      <c r="H118" s="1" t="str">
        <f aca="false">C118&amp;"|"&amp;IF(ISNUMBER(D118),TEXT(D118,"yyyy-mm-dd"),"no date")&amp;"|"&amp;E118&amp;"|"&amp;IF(ISNUMBER(F118),TEXT(F118,"0.00"),"blank")</f>
        <v>Community Health Worker Outreach|2025-09-30|Community Health Worker|499.50</v>
      </c>
      <c r="I118" s="1" t="n">
        <f aca="false">COUNTIF($H$5:$H$1624,H118)</f>
        <v>1</v>
      </c>
      <c r="J118" s="1" t="n">
        <f aca="false">COUNTIF($H$5:H118,H118)</f>
        <v>1</v>
      </c>
      <c r="K118" s="1" t="n">
        <f aca="false">COUNTIFS($H$5:$H$1624,H118,$B$5:$B$1624,"&lt;&gt;"&amp;B118)</f>
        <v>0</v>
      </c>
      <c r="L118" s="1" t="str">
        <f aca="false">IF(I118&gt;1,IF(K118&gt;0,"Cross-hospital match","Same-hospital match"),"")</f>
        <v/>
      </c>
      <c r="M118" s="52"/>
      <c r="N118" s="52"/>
      <c r="O118" s="1" t="n">
        <f aca="false">IF(M118="Exclude (duplicate)",0,1)</f>
        <v>1</v>
      </c>
      <c r="P118" s="1" t="str">
        <f aca="false">IF(AND(L118&lt;&gt;"",M118=""),"Needs decision","")</f>
        <v/>
      </c>
    </row>
    <row r="119" customFormat="false" ht="15" hidden="false" customHeight="false" outlineLevel="0" collapsed="false">
      <c r="A119" s="48" t="str">
        <f aca="false">COST!A119</f>
        <v>KVMC-0115</v>
      </c>
      <c r="B119" s="48" t="str">
        <f aca="false">COST!B119</f>
        <v>KVMC</v>
      </c>
      <c r="C119" s="48" t="str">
        <f aca="false">COST!D119</f>
        <v>Community Health Worker Outreach</v>
      </c>
      <c r="D119" s="62" t="n">
        <f aca="false">COST!M119</f>
        <v>45930</v>
      </c>
      <c r="E119" s="48" t="str">
        <f aca="false">COST!P119</f>
        <v>Patient Navigator</v>
      </c>
      <c r="F119" s="63" t="n">
        <f aca="false">COST!R119</f>
        <v>205.25</v>
      </c>
      <c r="G119" s="48" t="str">
        <f aca="false">STACK!M119</f>
        <v/>
      </c>
      <c r="H119" s="1" t="str">
        <f aca="false">C119&amp;"|"&amp;IF(ISNUMBER(D119),TEXT(D119,"yyyy-mm-dd"),"no date")&amp;"|"&amp;E119&amp;"|"&amp;IF(ISNUMBER(F119),TEXT(F119,"0.00"),"blank")</f>
        <v>Community Health Worker Outreach|2025-09-30|Patient Navigator|205.25</v>
      </c>
      <c r="I119" s="1" t="n">
        <f aca="false">COUNTIF($H$5:$H$1624,H119)</f>
        <v>1</v>
      </c>
      <c r="J119" s="1" t="n">
        <f aca="false">COUNTIF($H$5:H119,H119)</f>
        <v>1</v>
      </c>
      <c r="K119" s="1" t="n">
        <f aca="false">COUNTIFS($H$5:$H$1624,H119,$B$5:$B$1624,"&lt;&gt;"&amp;B119)</f>
        <v>0</v>
      </c>
      <c r="L119" s="1" t="str">
        <f aca="false">IF(I119&gt;1,IF(K119&gt;0,"Cross-hospital match","Same-hospital match"),"")</f>
        <v/>
      </c>
      <c r="M119" s="52"/>
      <c r="N119" s="52"/>
      <c r="O119" s="1" t="n">
        <f aca="false">IF(M119="Exclude (duplicate)",0,1)</f>
        <v>1</v>
      </c>
      <c r="P119" s="1" t="str">
        <f aca="false">IF(AND(L119&lt;&gt;"",M119=""),"Needs decision","")</f>
        <v/>
      </c>
    </row>
    <row r="120" customFormat="false" ht="15" hidden="false" customHeight="false" outlineLevel="0" collapsed="false">
      <c r="A120" s="48" t="str">
        <f aca="false">COST!A120</f>
        <v>KVMC-0116</v>
      </c>
      <c r="B120" s="48" t="str">
        <f aca="false">COST!B120</f>
        <v>KVMC</v>
      </c>
      <c r="C120" s="48" t="str">
        <f aca="false">COST!D120</f>
        <v>Medication Assistance Program</v>
      </c>
      <c r="D120" s="62" t="n">
        <f aca="false">COST!M120</f>
        <v>45930</v>
      </c>
      <c r="E120" s="48" t="str">
        <f aca="false">COST!P120</f>
        <v>Patient Navigator</v>
      </c>
      <c r="F120" s="63" t="n">
        <f aca="false">COST!R120</f>
        <v>111.75</v>
      </c>
      <c r="G120" s="48" t="str">
        <f aca="false">STACK!M120</f>
        <v/>
      </c>
      <c r="H120" s="1" t="str">
        <f aca="false">C120&amp;"|"&amp;IF(ISNUMBER(D120),TEXT(D120,"yyyy-mm-dd"),"no date")&amp;"|"&amp;E120&amp;"|"&amp;IF(ISNUMBER(F120),TEXT(F120,"0.00"),"blank")</f>
        <v>Medication Assistance Program|2025-09-30|Patient Navigator|111.75</v>
      </c>
      <c r="I120" s="1" t="n">
        <f aca="false">COUNTIF($H$5:$H$1624,H120)</f>
        <v>1</v>
      </c>
      <c r="J120" s="1" t="n">
        <f aca="false">COUNTIF($H$5:H120,H120)</f>
        <v>1</v>
      </c>
      <c r="K120" s="1" t="n">
        <f aca="false">COUNTIFS($H$5:$H$1624,H120,$B$5:$B$1624,"&lt;&gt;"&amp;B120)</f>
        <v>0</v>
      </c>
      <c r="L120" s="1" t="str">
        <f aca="false">IF(I120&gt;1,IF(K120&gt;0,"Cross-hospital match","Same-hospital match"),"")</f>
        <v/>
      </c>
      <c r="M120" s="52"/>
      <c r="N120" s="52"/>
      <c r="O120" s="1" t="n">
        <f aca="false">IF(M120="Exclude (duplicate)",0,1)</f>
        <v>1</v>
      </c>
      <c r="P120" s="1" t="str">
        <f aca="false">IF(AND(L120&lt;&gt;"",M120=""),"Needs decision","")</f>
        <v/>
      </c>
    </row>
    <row r="121" customFormat="false" ht="15" hidden="false" customHeight="false" outlineLevel="0" collapsed="false">
      <c r="A121" s="48" t="str">
        <f aca="false">COST!A121</f>
        <v>KVMC-0117</v>
      </c>
      <c r="B121" s="48" t="str">
        <f aca="false">COST!B121</f>
        <v>KVMC</v>
      </c>
      <c r="C121" s="48" t="str">
        <f aca="false">COST!D121</f>
        <v>Medication Assistance Program</v>
      </c>
      <c r="D121" s="62" t="n">
        <f aca="false">COST!M121</f>
        <v>45930</v>
      </c>
      <c r="E121" s="48" t="str">
        <f aca="false">COST!P121</f>
        <v>Pharmacist</v>
      </c>
      <c r="F121" s="63" t="n">
        <f aca="false">COST!R121</f>
        <v>20.5</v>
      </c>
      <c r="G121" s="48" t="str">
        <f aca="false">STACK!M121</f>
        <v/>
      </c>
      <c r="H121" s="1" t="str">
        <f aca="false">C121&amp;"|"&amp;IF(ISNUMBER(D121),TEXT(D121,"yyyy-mm-dd"),"no date")&amp;"|"&amp;E121&amp;"|"&amp;IF(ISNUMBER(F121),TEXT(F121,"0.00"),"blank")</f>
        <v>Medication Assistance Program|2025-09-30|Pharmacist|20.50</v>
      </c>
      <c r="I121" s="1" t="n">
        <f aca="false">COUNTIF($H$5:$H$1624,H121)</f>
        <v>1</v>
      </c>
      <c r="J121" s="1" t="n">
        <f aca="false">COUNTIF($H$5:H121,H121)</f>
        <v>1</v>
      </c>
      <c r="K121" s="1" t="n">
        <f aca="false">COUNTIFS($H$5:$H$1624,H121,$B$5:$B$1624,"&lt;&gt;"&amp;B121)</f>
        <v>0</v>
      </c>
      <c r="L121" s="1" t="str">
        <f aca="false">IF(I121&gt;1,IF(K121&gt;0,"Cross-hospital match","Same-hospital match"),"")</f>
        <v/>
      </c>
      <c r="M121" s="52"/>
      <c r="N121" s="52"/>
      <c r="O121" s="1" t="n">
        <f aca="false">IF(M121="Exclude (duplicate)",0,1)</f>
        <v>1</v>
      </c>
      <c r="P121" s="1" t="str">
        <f aca="false">IF(AND(L121&lt;&gt;"",M121=""),"Needs decision","")</f>
        <v/>
      </c>
    </row>
    <row r="122" customFormat="false" ht="15" hidden="false" customHeight="false" outlineLevel="0" collapsed="false">
      <c r="A122" s="48" t="str">
        <f aca="false">COST!A122</f>
        <v>KVMC-0118</v>
      </c>
      <c r="B122" s="48" t="str">
        <f aca="false">COST!B122</f>
        <v>KVMC</v>
      </c>
      <c r="C122" s="48" t="str">
        <f aca="false">COST!D122</f>
        <v>Community Health Needs Assessment</v>
      </c>
      <c r="D122" s="62" t="n">
        <f aca="false">COST!M122</f>
        <v>45930</v>
      </c>
      <c r="E122" s="48" t="str">
        <f aca="false">COST!P122</f>
        <v>Community Benefit Manager</v>
      </c>
      <c r="F122" s="63" t="n">
        <f aca="false">COST!R122</f>
        <v>43.5</v>
      </c>
      <c r="G122" s="48" t="str">
        <f aca="false">STACK!M122</f>
        <v/>
      </c>
      <c r="H122" s="1" t="str">
        <f aca="false">C122&amp;"|"&amp;IF(ISNUMBER(D122),TEXT(D122,"yyyy-mm-dd"),"no date")&amp;"|"&amp;E122&amp;"|"&amp;IF(ISNUMBER(F122),TEXT(F122,"0.00"),"blank")</f>
        <v>Community Health Needs Assessment|2025-09-30|Community Benefit Manager|43.50</v>
      </c>
      <c r="I122" s="1" t="n">
        <f aca="false">COUNTIF($H$5:$H$1624,H122)</f>
        <v>1</v>
      </c>
      <c r="J122" s="1" t="n">
        <f aca="false">COUNTIF($H$5:H122,H122)</f>
        <v>1</v>
      </c>
      <c r="K122" s="1" t="n">
        <f aca="false">COUNTIFS($H$5:$H$1624,H122,$B$5:$B$1624,"&lt;&gt;"&amp;B122)</f>
        <v>0</v>
      </c>
      <c r="L122" s="1" t="str">
        <f aca="false">IF(I122&gt;1,IF(K122&gt;0,"Cross-hospital match","Same-hospital match"),"")</f>
        <v/>
      </c>
      <c r="M122" s="52"/>
      <c r="N122" s="52"/>
      <c r="O122" s="1" t="n">
        <f aca="false">IF(M122="Exclude (duplicate)",0,1)</f>
        <v>1</v>
      </c>
      <c r="P122" s="1" t="str">
        <f aca="false">IF(AND(L122&lt;&gt;"",M122=""),"Needs decision","")</f>
        <v/>
      </c>
    </row>
    <row r="123" customFormat="false" ht="15" hidden="false" customHeight="false" outlineLevel="0" collapsed="false">
      <c r="A123" s="48" t="str">
        <f aca="false">COST!A123</f>
        <v>KVMC-0119</v>
      </c>
      <c r="B123" s="48" t="str">
        <f aca="false">COST!B123</f>
        <v>KVMC</v>
      </c>
      <c r="C123" s="48" t="str">
        <f aca="false">COST!D123</f>
        <v>Community Health Needs Assessment</v>
      </c>
      <c r="D123" s="62" t="n">
        <f aca="false">COST!M123</f>
        <v>45930</v>
      </c>
      <c r="E123" s="48" t="str">
        <f aca="false">COST!P123</f>
        <v>Data Analyst</v>
      </c>
      <c r="F123" s="63" t="n">
        <f aca="false">COST!R123</f>
        <v>32.75</v>
      </c>
      <c r="G123" s="48" t="str">
        <f aca="false">STACK!M123</f>
        <v/>
      </c>
      <c r="H123" s="1" t="str">
        <f aca="false">C123&amp;"|"&amp;IF(ISNUMBER(D123),TEXT(D123,"yyyy-mm-dd"),"no date")&amp;"|"&amp;E123&amp;"|"&amp;IF(ISNUMBER(F123),TEXT(F123,"0.00"),"blank")</f>
        <v>Community Health Needs Assessment|2025-09-30|Data Analyst|32.75</v>
      </c>
      <c r="I123" s="1" t="n">
        <f aca="false">COUNTIF($H$5:$H$1624,H123)</f>
        <v>1</v>
      </c>
      <c r="J123" s="1" t="n">
        <f aca="false">COUNTIF($H$5:H123,H123)</f>
        <v>1</v>
      </c>
      <c r="K123" s="1" t="n">
        <f aca="false">COUNTIFS($H$5:$H$1624,H123,$B$5:$B$1624,"&lt;&gt;"&amp;B123)</f>
        <v>0</v>
      </c>
      <c r="L123" s="1" t="str">
        <f aca="false">IF(I123&gt;1,IF(K123&gt;0,"Cross-hospital match","Same-hospital match"),"")</f>
        <v/>
      </c>
      <c r="M123" s="52"/>
      <c r="N123" s="52"/>
      <c r="O123" s="1" t="n">
        <f aca="false">IF(M123="Exclude (duplicate)",0,1)</f>
        <v>1</v>
      </c>
      <c r="P123" s="1" t="str">
        <f aca="false">IF(AND(L123&lt;&gt;"",M123=""),"Needs decision","")</f>
        <v/>
      </c>
    </row>
    <row r="124" customFormat="false" ht="15" hidden="false" customHeight="false" outlineLevel="0" collapsed="false">
      <c r="A124" s="48" t="str">
        <f aca="false">COST!A124</f>
        <v>KVMC-0120</v>
      </c>
      <c r="B124" s="48" t="str">
        <f aca="false">COST!B124</f>
        <v>KVMC</v>
      </c>
      <c r="C124" s="48" t="str">
        <f aca="false">COST!D124</f>
        <v>Community Benefit Program Administration</v>
      </c>
      <c r="D124" s="62" t="n">
        <f aca="false">COST!M124</f>
        <v>45930</v>
      </c>
      <c r="E124" s="48" t="str">
        <f aca="false">COST!P124</f>
        <v>Administrative Assistant</v>
      </c>
      <c r="F124" s="63" t="n">
        <f aca="false">COST!R124</f>
        <v>67.5</v>
      </c>
      <c r="G124" s="48" t="str">
        <f aca="false">STACK!M124</f>
        <v/>
      </c>
      <c r="H124" s="1" t="str">
        <f aca="false">C124&amp;"|"&amp;IF(ISNUMBER(D124),TEXT(D124,"yyyy-mm-dd"),"no date")&amp;"|"&amp;E124&amp;"|"&amp;IF(ISNUMBER(F124),TEXT(F124,"0.00"),"blank")</f>
        <v>Community Benefit Program Administration|2025-09-30|Administrative Assistant|67.50</v>
      </c>
      <c r="I124" s="1" t="n">
        <f aca="false">COUNTIF($H$5:$H$1624,H124)</f>
        <v>1</v>
      </c>
      <c r="J124" s="1" t="n">
        <f aca="false">COUNTIF($H$5:H124,H124)</f>
        <v>1</v>
      </c>
      <c r="K124" s="1" t="n">
        <f aca="false">COUNTIFS($H$5:$H$1624,H124,$B$5:$B$1624,"&lt;&gt;"&amp;B124)</f>
        <v>0</v>
      </c>
      <c r="L124" s="1" t="str">
        <f aca="false">IF(I124&gt;1,IF(K124&gt;0,"Cross-hospital match","Same-hospital match"),"")</f>
        <v/>
      </c>
      <c r="M124" s="52"/>
      <c r="N124" s="52"/>
      <c r="O124" s="1" t="n">
        <f aca="false">IF(M124="Exclude (duplicate)",0,1)</f>
        <v>1</v>
      </c>
      <c r="P124" s="1" t="str">
        <f aca="false">IF(AND(L124&lt;&gt;"",M124=""),"Needs decision","")</f>
        <v/>
      </c>
    </row>
    <row r="125" customFormat="false" ht="15" hidden="false" customHeight="false" outlineLevel="0" collapsed="false">
      <c r="A125" s="48" t="str">
        <f aca="false">COST!A125</f>
        <v>KVMC-0121</v>
      </c>
      <c r="B125" s="48" t="str">
        <f aca="false">COST!B125</f>
        <v>KVMC</v>
      </c>
      <c r="C125" s="48" t="str">
        <f aca="false">COST!D125</f>
        <v>Community Benefit Program Administration</v>
      </c>
      <c r="D125" s="62" t="n">
        <f aca="false">COST!M125</f>
        <v>45930</v>
      </c>
      <c r="E125" s="48" t="str">
        <f aca="false">COST!P125</f>
        <v>Community Benefit Manager</v>
      </c>
      <c r="F125" s="63" t="n">
        <f aca="false">COST!R125</f>
        <v>86.5</v>
      </c>
      <c r="G125" s="48" t="str">
        <f aca="false">STACK!M125</f>
        <v/>
      </c>
      <c r="H125" s="1" t="str">
        <f aca="false">C125&amp;"|"&amp;IF(ISNUMBER(D125),TEXT(D125,"yyyy-mm-dd"),"no date")&amp;"|"&amp;E125&amp;"|"&amp;IF(ISNUMBER(F125),TEXT(F125,"0.00"),"blank")</f>
        <v>Community Benefit Program Administration|2025-09-30|Community Benefit Manager|86.50</v>
      </c>
      <c r="I125" s="1" t="n">
        <f aca="false">COUNTIF($H$5:$H$1624,H125)</f>
        <v>1</v>
      </c>
      <c r="J125" s="1" t="n">
        <f aca="false">COUNTIF($H$5:H125,H125)</f>
        <v>1</v>
      </c>
      <c r="K125" s="1" t="n">
        <f aca="false">COUNTIFS($H$5:$H$1624,H125,$B$5:$B$1624,"&lt;&gt;"&amp;B125)</f>
        <v>0</v>
      </c>
      <c r="L125" s="1" t="str">
        <f aca="false">IF(I125&gt;1,IF(K125&gt;0,"Cross-hospital match","Same-hospital match"),"")</f>
        <v/>
      </c>
      <c r="M125" s="52"/>
      <c r="N125" s="52"/>
      <c r="O125" s="1" t="n">
        <f aca="false">IF(M125="Exclude (duplicate)",0,1)</f>
        <v>1</v>
      </c>
      <c r="P125" s="1" t="str">
        <f aca="false">IF(AND(L125&lt;&gt;"",M125=""),"Needs decision","")</f>
        <v/>
      </c>
    </row>
    <row r="126" customFormat="false" ht="15" hidden="false" customHeight="false" outlineLevel="0" collapsed="false">
      <c r="A126" s="48" t="str">
        <f aca="false">COST!A126</f>
        <v>KVMC-0122</v>
      </c>
      <c r="B126" s="48" t="str">
        <f aca="false">COST!B126</f>
        <v>KVMC</v>
      </c>
      <c r="C126" s="48" t="str">
        <f aca="false">COST!D126</f>
        <v>Interpreter Services for Community Clinics</v>
      </c>
      <c r="D126" s="62" t="n">
        <f aca="false">COST!M126</f>
        <v>45930</v>
      </c>
      <c r="E126" s="48" t="str">
        <f aca="false">COST!P126</f>
        <v>Interpreter</v>
      </c>
      <c r="F126" s="63" t="n">
        <f aca="false">COST!R126</f>
        <v>64</v>
      </c>
      <c r="G126" s="48" t="str">
        <f aca="false">STACK!M126</f>
        <v/>
      </c>
      <c r="H126" s="1" t="str">
        <f aca="false">C126&amp;"|"&amp;IF(ISNUMBER(D126),TEXT(D126,"yyyy-mm-dd"),"no date")&amp;"|"&amp;E126&amp;"|"&amp;IF(ISNUMBER(F126),TEXT(F126,"0.00"),"blank")</f>
        <v>Interpreter Services for Community Clinics|2025-09-30|Interpreter|64.00</v>
      </c>
      <c r="I126" s="1" t="n">
        <f aca="false">COUNTIF($H$5:$H$1624,H126)</f>
        <v>1</v>
      </c>
      <c r="J126" s="1" t="n">
        <f aca="false">COUNTIF($H$5:H126,H126)</f>
        <v>1</v>
      </c>
      <c r="K126" s="1" t="n">
        <f aca="false">COUNTIFS($H$5:$H$1624,H126,$B$5:$B$1624,"&lt;&gt;"&amp;B126)</f>
        <v>0</v>
      </c>
      <c r="L126" s="1" t="str">
        <f aca="false">IF(I126&gt;1,IF(K126&gt;0,"Cross-hospital match","Same-hospital match"),"")</f>
        <v/>
      </c>
      <c r="M126" s="52"/>
      <c r="N126" s="52"/>
      <c r="O126" s="1" t="n">
        <f aca="false">IF(M126="Exclude (duplicate)",0,1)</f>
        <v>1</v>
      </c>
      <c r="P126" s="1" t="str">
        <f aca="false">IF(AND(L126&lt;&gt;"",M126=""),"Needs decision","")</f>
        <v/>
      </c>
    </row>
    <row r="127" customFormat="false" ht="15" hidden="false" customHeight="false" outlineLevel="0" collapsed="false">
      <c r="A127" s="48" t="str">
        <f aca="false">COST!A127</f>
        <v>KVMC-0123</v>
      </c>
      <c r="B127" s="48" t="str">
        <f aca="false">COST!B127</f>
        <v>KVMC</v>
      </c>
      <c r="C127" s="48" t="str">
        <f aca="false">COST!D127</f>
        <v>Nursing Student Clinical Rotations</v>
      </c>
      <c r="D127" s="62" t="n">
        <f aca="false">COST!M127</f>
        <v>45930</v>
      </c>
      <c r="E127" s="48" t="str">
        <f aca="false">COST!P127</f>
        <v>Clinical Nurse Educator</v>
      </c>
      <c r="F127" s="63" t="n">
        <f aca="false">COST!R127</f>
        <v>116.75</v>
      </c>
      <c r="G127" s="48" t="str">
        <f aca="false">STACK!M127</f>
        <v/>
      </c>
      <c r="H127" s="1" t="str">
        <f aca="false">C127&amp;"|"&amp;IF(ISNUMBER(D127),TEXT(D127,"yyyy-mm-dd"),"no date")&amp;"|"&amp;E127&amp;"|"&amp;IF(ISNUMBER(F127),TEXT(F127,"0.00"),"blank")</f>
        <v>Nursing Student Clinical Rotations|2025-09-30|Clinical Nurse Educator|116.75</v>
      </c>
      <c r="I127" s="1" t="n">
        <f aca="false">COUNTIF($H$5:$H$1624,H127)</f>
        <v>1</v>
      </c>
      <c r="J127" s="1" t="n">
        <f aca="false">COUNTIF($H$5:H127,H127)</f>
        <v>1</v>
      </c>
      <c r="K127" s="1" t="n">
        <f aca="false">COUNTIFS($H$5:$H$1624,H127,$B$5:$B$1624,"&lt;&gt;"&amp;B127)</f>
        <v>0</v>
      </c>
      <c r="L127" s="1" t="str">
        <f aca="false">IF(I127&gt;1,IF(K127&gt;0,"Cross-hospital match","Same-hospital match"),"")</f>
        <v/>
      </c>
      <c r="M127" s="52"/>
      <c r="N127" s="52"/>
      <c r="O127" s="1" t="n">
        <f aca="false">IF(M127="Exclude (duplicate)",0,1)</f>
        <v>1</v>
      </c>
      <c r="P127" s="1" t="str">
        <f aca="false">IF(AND(L127&lt;&gt;"",M127=""),"Needs decision","")</f>
        <v/>
      </c>
    </row>
    <row r="128" customFormat="false" ht="15" hidden="false" customHeight="false" outlineLevel="0" collapsed="false">
      <c r="A128" s="48" t="str">
        <f aca="false">COST!A128</f>
        <v>KVMC-0124</v>
      </c>
      <c r="B128" s="48" t="str">
        <f aca="false">COST!B128</f>
        <v>KVMC</v>
      </c>
      <c r="C128" s="48" t="str">
        <f aca="false">COST!D128</f>
        <v>Nursing Student Clinical Rotations</v>
      </c>
      <c r="D128" s="62" t="n">
        <f aca="false">COST!M128</f>
        <v>45930</v>
      </c>
      <c r="E128" s="48" t="str">
        <f aca="false">COST!P128</f>
        <v>Registered Nurse</v>
      </c>
      <c r="F128" s="63" t="n">
        <f aca="false">COST!R128</f>
        <v>282</v>
      </c>
      <c r="G128" s="48" t="str">
        <f aca="false">STACK!M128</f>
        <v/>
      </c>
      <c r="H128" s="1" t="str">
        <f aca="false">C128&amp;"|"&amp;IF(ISNUMBER(D128),TEXT(D128,"yyyy-mm-dd"),"no date")&amp;"|"&amp;E128&amp;"|"&amp;IF(ISNUMBER(F128),TEXT(F128,"0.00"),"blank")</f>
        <v>Nursing Student Clinical Rotations|2025-09-30|Registered Nurse|282.00</v>
      </c>
      <c r="I128" s="1" t="n">
        <f aca="false">COUNTIF($H$5:$H$1624,H128)</f>
        <v>1</v>
      </c>
      <c r="J128" s="1" t="n">
        <f aca="false">COUNTIF($H$5:H128,H128)</f>
        <v>1</v>
      </c>
      <c r="K128" s="1" t="n">
        <f aca="false">COUNTIFS($H$5:$H$1624,H128,$B$5:$B$1624,"&lt;&gt;"&amp;B128)</f>
        <v>0</v>
      </c>
      <c r="L128" s="1" t="str">
        <f aca="false">IF(I128&gt;1,IF(K128&gt;0,"Cross-hospital match","Same-hospital match"),"")</f>
        <v/>
      </c>
      <c r="M128" s="52"/>
      <c r="N128" s="52"/>
      <c r="O128" s="1" t="n">
        <f aca="false">IF(M128="Exclude (duplicate)",0,1)</f>
        <v>1</v>
      </c>
      <c r="P128" s="1" t="str">
        <f aca="false">IF(AND(L128&lt;&gt;"",M128=""),"Needs decision","")</f>
        <v/>
      </c>
    </row>
    <row r="129" customFormat="false" ht="15" hidden="false" customHeight="false" outlineLevel="0" collapsed="false">
      <c r="A129" s="48" t="str">
        <f aca="false">COST!A129</f>
        <v>KVMC-0125</v>
      </c>
      <c r="B129" s="48" t="str">
        <f aca="false">COST!B129</f>
        <v>KVMC</v>
      </c>
      <c r="C129" s="48" t="str">
        <f aca="false">COST!D129</f>
        <v>Family Medicine Residency Program</v>
      </c>
      <c r="D129" s="62" t="n">
        <f aca="false">COST!M129</f>
        <v>45930</v>
      </c>
      <c r="E129" s="48" t="str">
        <f aca="false">COST!P129</f>
        <v>Physician</v>
      </c>
      <c r="F129" s="63" t="n">
        <f aca="false">COST!R129</f>
        <v>410.25</v>
      </c>
      <c r="G129" s="48" t="str">
        <f aca="false">STACK!M129</f>
        <v/>
      </c>
      <c r="H129" s="1" t="str">
        <f aca="false">C129&amp;"|"&amp;IF(ISNUMBER(D129),TEXT(D129,"yyyy-mm-dd"),"no date")&amp;"|"&amp;E129&amp;"|"&amp;IF(ISNUMBER(F129),TEXT(F129,"0.00"),"blank")</f>
        <v>Family Medicine Residency Program|2025-09-30|Physician|410.25</v>
      </c>
      <c r="I129" s="1" t="n">
        <f aca="false">COUNTIF($H$5:$H$1624,H129)</f>
        <v>1</v>
      </c>
      <c r="J129" s="1" t="n">
        <f aca="false">COUNTIF($H$5:H129,H129)</f>
        <v>1</v>
      </c>
      <c r="K129" s="1" t="n">
        <f aca="false">COUNTIFS($H$5:$H$1624,H129,$B$5:$B$1624,"&lt;&gt;"&amp;B129)</f>
        <v>0</v>
      </c>
      <c r="L129" s="1" t="str">
        <f aca="false">IF(I129&gt;1,IF(K129&gt;0,"Cross-hospital match","Same-hospital match"),"")</f>
        <v/>
      </c>
      <c r="M129" s="52"/>
      <c r="N129" s="52"/>
      <c r="O129" s="1" t="n">
        <f aca="false">IF(M129="Exclude (duplicate)",0,1)</f>
        <v>1</v>
      </c>
      <c r="P129" s="1" t="str">
        <f aca="false">IF(AND(L129&lt;&gt;"",M129=""),"Needs decision","")</f>
        <v/>
      </c>
    </row>
    <row r="130" customFormat="false" ht="15" hidden="false" customHeight="false" outlineLevel="0" collapsed="false">
      <c r="A130" s="48" t="str">
        <f aca="false">COST!A130</f>
        <v>KVMC-0126</v>
      </c>
      <c r="B130" s="48" t="str">
        <f aca="false">COST!B130</f>
        <v>KVMC</v>
      </c>
      <c r="C130" s="48" t="str">
        <f aca="false">COST!D130</f>
        <v>Family Medicine Residency Program</v>
      </c>
      <c r="D130" s="62" t="n">
        <f aca="false">COST!M130</f>
        <v>45930</v>
      </c>
      <c r="E130" s="48" t="str">
        <f aca="false">COST!P130</f>
        <v>Program Coordinator</v>
      </c>
      <c r="F130" s="63" t="n">
        <f aca="false">COST!R130</f>
        <v>167</v>
      </c>
      <c r="G130" s="48" t="str">
        <f aca="false">STACK!M130</f>
        <v/>
      </c>
      <c r="H130" s="1" t="str">
        <f aca="false">C130&amp;"|"&amp;IF(ISNUMBER(D130),TEXT(D130,"yyyy-mm-dd"),"no date")&amp;"|"&amp;E130&amp;"|"&amp;IF(ISNUMBER(F130),TEXT(F130,"0.00"),"blank")</f>
        <v>Family Medicine Residency Program|2025-09-30|Program Coordinator|167.00</v>
      </c>
      <c r="I130" s="1" t="n">
        <f aca="false">COUNTIF($H$5:$H$1624,H130)</f>
        <v>1</v>
      </c>
      <c r="J130" s="1" t="n">
        <f aca="false">COUNTIF($H$5:H130,H130)</f>
        <v>1</v>
      </c>
      <c r="K130" s="1" t="n">
        <f aca="false">COUNTIFS($H$5:$H$1624,H130,$B$5:$B$1624,"&lt;&gt;"&amp;B130)</f>
        <v>0</v>
      </c>
      <c r="L130" s="1" t="str">
        <f aca="false">IF(I130&gt;1,IF(K130&gt;0,"Cross-hospital match","Same-hospital match"),"")</f>
        <v/>
      </c>
      <c r="M130" s="52"/>
      <c r="N130" s="52"/>
      <c r="O130" s="1" t="n">
        <f aca="false">IF(M130="Exclude (duplicate)",0,1)</f>
        <v>1</v>
      </c>
      <c r="P130" s="1" t="str">
        <f aca="false">IF(AND(L130&lt;&gt;"",M130=""),"Needs decision","")</f>
        <v/>
      </c>
    </row>
    <row r="131" customFormat="false" ht="15" hidden="false" customHeight="false" outlineLevel="0" collapsed="false">
      <c r="A131" s="48" t="str">
        <f aca="false">COST!A131</f>
        <v>KVMC-0127</v>
      </c>
      <c r="B131" s="48" t="str">
        <f aca="false">COST!B131</f>
        <v>KVMC</v>
      </c>
      <c r="C131" s="48" t="str">
        <f aca="false">COST!D131</f>
        <v>Family Medicine Residency Program</v>
      </c>
      <c r="D131" s="62" t="n">
        <f aca="false">COST!M131</f>
        <v>45930</v>
      </c>
      <c r="E131" s="48" t="str">
        <f aca="false">COST!P131</f>
        <v>Resident Physician</v>
      </c>
      <c r="F131" s="63" t="n">
        <f aca="false">COST!R131</f>
        <v>3939.5</v>
      </c>
      <c r="G131" s="48" t="str">
        <f aca="false">STACK!M131</f>
        <v/>
      </c>
      <c r="H131" s="1" t="str">
        <f aca="false">C131&amp;"|"&amp;IF(ISNUMBER(D131),TEXT(D131,"yyyy-mm-dd"),"no date")&amp;"|"&amp;E131&amp;"|"&amp;IF(ISNUMBER(F131),TEXT(F131,"0.00"),"blank")</f>
        <v>Family Medicine Residency Program|2025-09-30|Resident Physician|3939.50</v>
      </c>
      <c r="I131" s="1" t="n">
        <f aca="false">COUNTIF($H$5:$H$1624,H131)</f>
        <v>1</v>
      </c>
      <c r="J131" s="1" t="n">
        <f aca="false">COUNTIF($H$5:H131,H131)</f>
        <v>1</v>
      </c>
      <c r="K131" s="1" t="n">
        <f aca="false">COUNTIFS($H$5:$H$1624,H131,$B$5:$B$1624,"&lt;&gt;"&amp;B131)</f>
        <v>0</v>
      </c>
      <c r="L131" s="1" t="str">
        <f aca="false">IF(I131&gt;1,IF(K131&gt;0,"Cross-hospital match","Same-hospital match"),"")</f>
        <v/>
      </c>
      <c r="M131" s="52"/>
      <c r="N131" s="52"/>
      <c r="O131" s="1" t="n">
        <f aca="false">IF(M131="Exclude (duplicate)",0,1)</f>
        <v>1</v>
      </c>
      <c r="P131" s="1" t="str">
        <f aca="false">IF(AND(L131&lt;&gt;"",M131=""),"Needs decision","")</f>
        <v/>
      </c>
    </row>
    <row r="132" customFormat="false" ht="15" hidden="false" customHeight="false" outlineLevel="0" collapsed="false">
      <c r="A132" s="48" t="str">
        <f aca="false">COST!A132</f>
        <v>KVMC-0128</v>
      </c>
      <c r="B132" s="48" t="str">
        <f aca="false">COST!B132</f>
        <v>KVMC</v>
      </c>
      <c r="C132" s="48" t="str">
        <f aca="false">COST!D132</f>
        <v>Pharmacy Student Rotations</v>
      </c>
      <c r="D132" s="62" t="n">
        <f aca="false">COST!M132</f>
        <v>45930</v>
      </c>
      <c r="E132" s="48" t="str">
        <f aca="false">COST!P132</f>
        <v>Pharmacist</v>
      </c>
      <c r="F132" s="63" t="n">
        <f aca="false">COST!R132</f>
        <v>85.5</v>
      </c>
      <c r="G132" s="48" t="str">
        <f aca="false">STACK!M132</f>
        <v/>
      </c>
      <c r="H132" s="1" t="str">
        <f aca="false">C132&amp;"|"&amp;IF(ISNUMBER(D132),TEXT(D132,"yyyy-mm-dd"),"no date")&amp;"|"&amp;E132&amp;"|"&amp;IF(ISNUMBER(F132),TEXT(F132,"0.00"),"blank")</f>
        <v>Pharmacy Student Rotations|2025-09-30|Pharmacist|85.50</v>
      </c>
      <c r="I132" s="1" t="n">
        <f aca="false">COUNTIF($H$5:$H$1624,H132)</f>
        <v>1</v>
      </c>
      <c r="J132" s="1" t="n">
        <f aca="false">COUNTIF($H$5:H132,H132)</f>
        <v>1</v>
      </c>
      <c r="K132" s="1" t="n">
        <f aca="false">COUNTIFS($H$5:$H$1624,H132,$B$5:$B$1624,"&lt;&gt;"&amp;B132)</f>
        <v>0</v>
      </c>
      <c r="L132" s="1" t="str">
        <f aca="false">IF(I132&gt;1,IF(K132&gt;0,"Cross-hospital match","Same-hospital match"),"")</f>
        <v/>
      </c>
      <c r="M132" s="52"/>
      <c r="N132" s="52"/>
      <c r="O132" s="1" t="n">
        <f aca="false">IF(M132="Exclude (duplicate)",0,1)</f>
        <v>1</v>
      </c>
      <c r="P132" s="1" t="str">
        <f aca="false">IF(AND(L132&lt;&gt;"",M132=""),"Needs decision","")</f>
        <v/>
      </c>
    </row>
    <row r="133" customFormat="false" ht="15" hidden="false" customHeight="false" outlineLevel="0" collapsed="false">
      <c r="A133" s="48" t="str">
        <f aca="false">COST!A133</f>
        <v>KVMC-0129</v>
      </c>
      <c r="B133" s="48" t="str">
        <f aca="false">COST!B133</f>
        <v>KVMC</v>
      </c>
      <c r="C133" s="48" t="str">
        <f aca="false">COST!D133</f>
        <v>Community Hypertension Control Study</v>
      </c>
      <c r="D133" s="62" t="n">
        <f aca="false">COST!M133</f>
        <v>45930</v>
      </c>
      <c r="E133" s="48" t="str">
        <f aca="false">COST!P133</f>
        <v>Data Analyst</v>
      </c>
      <c r="F133" s="63" t="n">
        <f aca="false">COST!R133</f>
        <v>43</v>
      </c>
      <c r="G133" s="48" t="str">
        <f aca="false">STACK!M133</f>
        <v/>
      </c>
      <c r="H133" s="1" t="str">
        <f aca="false">C133&amp;"|"&amp;IF(ISNUMBER(D133),TEXT(D133,"yyyy-mm-dd"),"no date")&amp;"|"&amp;E133&amp;"|"&amp;IF(ISNUMBER(F133),TEXT(F133,"0.00"),"blank")</f>
        <v>Community Hypertension Control Study|2025-09-30|Data Analyst|43.00</v>
      </c>
      <c r="I133" s="1" t="n">
        <f aca="false">COUNTIF($H$5:$H$1624,H133)</f>
        <v>1</v>
      </c>
      <c r="J133" s="1" t="n">
        <f aca="false">COUNTIF($H$5:H133,H133)</f>
        <v>1</v>
      </c>
      <c r="K133" s="1" t="n">
        <f aca="false">COUNTIFS($H$5:$H$1624,H133,$B$5:$B$1624,"&lt;&gt;"&amp;B133)</f>
        <v>0</v>
      </c>
      <c r="L133" s="1" t="str">
        <f aca="false">IF(I133&gt;1,IF(K133&gt;0,"Cross-hospital match","Same-hospital match"),"")</f>
        <v/>
      </c>
      <c r="M133" s="52"/>
      <c r="N133" s="52"/>
      <c r="O133" s="1" t="n">
        <f aca="false">IF(M133="Exclude (duplicate)",0,1)</f>
        <v>1</v>
      </c>
      <c r="P133" s="1" t="str">
        <f aca="false">IF(AND(L133&lt;&gt;"",M133=""),"Needs decision","")</f>
        <v/>
      </c>
    </row>
    <row r="134" customFormat="false" ht="15" hidden="false" customHeight="false" outlineLevel="0" collapsed="false">
      <c r="A134" s="48" t="str">
        <f aca="false">COST!A134</f>
        <v>KVMC-0130</v>
      </c>
      <c r="B134" s="48" t="str">
        <f aca="false">COST!B134</f>
        <v>KVMC</v>
      </c>
      <c r="C134" s="48" t="str">
        <f aca="false">COST!D134</f>
        <v>Community Hypertension Control Study</v>
      </c>
      <c r="D134" s="62" t="n">
        <f aca="false">COST!M134</f>
        <v>45930</v>
      </c>
      <c r="E134" s="48" t="str">
        <f aca="false">COST!P134</f>
        <v>Physician</v>
      </c>
      <c r="F134" s="63" t="n">
        <f aca="false">COST!R134</f>
        <v>24.5</v>
      </c>
      <c r="G134" s="48" t="str">
        <f aca="false">STACK!M134</f>
        <v/>
      </c>
      <c r="H134" s="1" t="str">
        <f aca="false">C134&amp;"|"&amp;IF(ISNUMBER(D134),TEXT(D134,"yyyy-mm-dd"),"no date")&amp;"|"&amp;E134&amp;"|"&amp;IF(ISNUMBER(F134),TEXT(F134,"0.00"),"blank")</f>
        <v>Community Hypertension Control Study|2025-09-30|Physician|24.50</v>
      </c>
      <c r="I134" s="1" t="n">
        <f aca="false">COUNTIF($H$5:$H$1624,H134)</f>
        <v>1</v>
      </c>
      <c r="J134" s="1" t="n">
        <f aca="false">COUNTIF($H$5:H134,H134)</f>
        <v>1</v>
      </c>
      <c r="K134" s="1" t="n">
        <f aca="false">COUNTIFS($H$5:$H$1624,H134,$B$5:$B$1624,"&lt;&gt;"&amp;B134)</f>
        <v>0</v>
      </c>
      <c r="L134" s="1" t="str">
        <f aca="false">IF(I134&gt;1,IF(K134&gt;0,"Cross-hospital match","Same-hospital match"),"")</f>
        <v/>
      </c>
      <c r="M134" s="52"/>
      <c r="N134" s="52"/>
      <c r="O134" s="1" t="n">
        <f aca="false">IF(M134="Exclude (duplicate)",0,1)</f>
        <v>1</v>
      </c>
      <c r="P134" s="1" t="str">
        <f aca="false">IF(AND(L134&lt;&gt;"",M134=""),"Needs decision","")</f>
        <v/>
      </c>
    </row>
    <row r="135" customFormat="false" ht="15" hidden="false" customHeight="false" outlineLevel="0" collapsed="false">
      <c r="A135" s="48" t="str">
        <f aca="false">COST!A135</f>
        <v>KVMC-0131</v>
      </c>
      <c r="B135" s="48" t="str">
        <f aca="false">COST!B135</f>
        <v>KVMC</v>
      </c>
      <c r="C135" s="48" t="str">
        <f aca="false">COST!D135</f>
        <v>Community Hypertension Control Study</v>
      </c>
      <c r="D135" s="62" t="n">
        <f aca="false">COST!M135</f>
        <v>45930</v>
      </c>
      <c r="E135" s="48" t="str">
        <f aca="false">COST!P135</f>
        <v>Research Coordinator</v>
      </c>
      <c r="F135" s="63" t="n">
        <f aca="false">COST!R135</f>
        <v>168.5</v>
      </c>
      <c r="G135" s="48" t="str">
        <f aca="false">STACK!M135</f>
        <v/>
      </c>
      <c r="H135" s="1" t="str">
        <f aca="false">C135&amp;"|"&amp;IF(ISNUMBER(D135),TEXT(D135,"yyyy-mm-dd"),"no date")&amp;"|"&amp;E135&amp;"|"&amp;IF(ISNUMBER(F135),TEXT(F135,"0.00"),"blank")</f>
        <v>Community Hypertension Control Study|2025-09-30|Research Coordinator|168.50</v>
      </c>
      <c r="I135" s="1" t="n">
        <f aca="false">COUNTIF($H$5:$H$1624,H135)</f>
        <v>1</v>
      </c>
      <c r="J135" s="1" t="n">
        <f aca="false">COUNTIF($H$5:H135,H135)</f>
        <v>1</v>
      </c>
      <c r="K135" s="1" t="n">
        <f aca="false">COUNTIFS($H$5:$H$1624,H135,$B$5:$B$1624,"&lt;&gt;"&amp;B135)</f>
        <v>0</v>
      </c>
      <c r="L135" s="1" t="str">
        <f aca="false">IF(I135&gt;1,IF(K135&gt;0,"Cross-hospital match","Same-hospital match"),"")</f>
        <v/>
      </c>
      <c r="M135" s="52"/>
      <c r="N135" s="52"/>
      <c r="O135" s="1" t="n">
        <f aca="false">IF(M135="Exclude (duplicate)",0,1)</f>
        <v>1</v>
      </c>
      <c r="P135" s="1" t="str">
        <f aca="false">IF(AND(L135&lt;&gt;"",M135=""),"Needs decision","")</f>
        <v/>
      </c>
    </row>
    <row r="136" customFormat="false" ht="15" hidden="false" customHeight="false" outlineLevel="0" collapsed="false">
      <c r="A136" s="48" t="str">
        <f aca="false">COST!A136</f>
        <v>KVMC-0132</v>
      </c>
      <c r="B136" s="48" t="str">
        <f aca="false">COST!B136</f>
        <v>KVMC</v>
      </c>
      <c r="C136" s="48" t="str">
        <f aca="false">COST!D136</f>
        <v>Community Blood Pressure Checks</v>
      </c>
      <c r="D136" s="62" t="n">
        <f aca="false">COST!M136</f>
        <v>45934</v>
      </c>
      <c r="E136" s="48" t="str">
        <f aca="false">COST!P136</f>
        <v>Registered Nurse</v>
      </c>
      <c r="F136" s="63" t="n">
        <f aca="false">COST!R136</f>
        <v>4.5</v>
      </c>
      <c r="G136" s="48" t="str">
        <f aca="false">STACK!M136</f>
        <v/>
      </c>
      <c r="H136" s="1" t="str">
        <f aca="false">C136&amp;"|"&amp;IF(ISNUMBER(D136),TEXT(D136,"yyyy-mm-dd"),"no date")&amp;"|"&amp;E136&amp;"|"&amp;IF(ISNUMBER(F136),TEXT(F136,"0.00"),"blank")</f>
        <v>Community Blood Pressure Checks|2025-10-04|Registered Nurse|4.50</v>
      </c>
      <c r="I136" s="1" t="n">
        <f aca="false">COUNTIF($H$5:$H$1624,H136)</f>
        <v>1</v>
      </c>
      <c r="J136" s="1" t="n">
        <f aca="false">COUNTIF($H$5:H136,H136)</f>
        <v>1</v>
      </c>
      <c r="K136" s="1" t="n">
        <f aca="false">COUNTIFS($H$5:$H$1624,H136,$B$5:$B$1624,"&lt;&gt;"&amp;B136)</f>
        <v>0</v>
      </c>
      <c r="L136" s="1" t="str">
        <f aca="false">IF(I136&gt;1,IF(K136&gt;0,"Cross-hospital match","Same-hospital match"),"")</f>
        <v/>
      </c>
      <c r="M136" s="52"/>
      <c r="N136" s="52"/>
      <c r="O136" s="1" t="n">
        <f aca="false">IF(M136="Exclude (duplicate)",0,1)</f>
        <v>1</v>
      </c>
      <c r="P136" s="1" t="str">
        <f aca="false">IF(AND(L136&lt;&gt;"",M136=""),"Needs decision","")</f>
        <v/>
      </c>
    </row>
    <row r="137" customFormat="false" ht="15" hidden="false" customHeight="false" outlineLevel="0" collapsed="false">
      <c r="A137" s="48" t="str">
        <f aca="false">COST!A137</f>
        <v>KVMC-0133</v>
      </c>
      <c r="B137" s="48" t="str">
        <f aca="false">COST!B137</f>
        <v>KVMC</v>
      </c>
      <c r="C137" s="48" t="str">
        <f aca="false">COST!D137</f>
        <v>Grief Support Group</v>
      </c>
      <c r="D137" s="62" t="n">
        <f aca="false">COST!M137</f>
        <v>45936</v>
      </c>
      <c r="E137" s="48" t="str">
        <f aca="false">COST!P137</f>
        <v>Chaplain</v>
      </c>
      <c r="F137" s="63" t="n">
        <f aca="false">COST!R137</f>
        <v>2.25</v>
      </c>
      <c r="G137" s="48" t="str">
        <f aca="false">STACK!M137</f>
        <v/>
      </c>
      <c r="H137" s="1" t="str">
        <f aca="false">C137&amp;"|"&amp;IF(ISNUMBER(D137),TEXT(D137,"yyyy-mm-dd"),"no date")&amp;"|"&amp;E137&amp;"|"&amp;IF(ISNUMBER(F137),TEXT(F137,"0.00"),"blank")</f>
        <v>Grief Support Group|2025-10-06|Chaplain|2.25</v>
      </c>
      <c r="I137" s="1" t="n">
        <f aca="false">COUNTIF($H$5:$H$1624,H137)</f>
        <v>1</v>
      </c>
      <c r="J137" s="1" t="n">
        <f aca="false">COUNTIF($H$5:H137,H137)</f>
        <v>1</v>
      </c>
      <c r="K137" s="1" t="n">
        <f aca="false">COUNTIFS($H$5:$H$1624,H137,$B$5:$B$1624,"&lt;&gt;"&amp;B137)</f>
        <v>0</v>
      </c>
      <c r="L137" s="1" t="str">
        <f aca="false">IF(I137&gt;1,IF(K137&gt;0,"Cross-hospital match","Same-hospital match"),"")</f>
        <v/>
      </c>
      <c r="M137" s="52"/>
      <c r="N137" s="52"/>
      <c r="O137" s="1" t="n">
        <f aca="false">IF(M137="Exclude (duplicate)",0,1)</f>
        <v>1</v>
      </c>
      <c r="P137" s="1" t="str">
        <f aca="false">IF(AND(L137&lt;&gt;"",M137=""),"Needs decision","")</f>
        <v/>
      </c>
    </row>
    <row r="138" customFormat="false" ht="15" hidden="false" customHeight="false" outlineLevel="0" collapsed="false">
      <c r="A138" s="48" t="str">
        <f aca="false">COST!A138</f>
        <v>KVMC-0134</v>
      </c>
      <c r="B138" s="48" t="str">
        <f aca="false">COST!B138</f>
        <v>KVMC</v>
      </c>
      <c r="C138" s="48" t="str">
        <f aca="false">COST!D138</f>
        <v>Grief Support Group</v>
      </c>
      <c r="D138" s="62" t="n">
        <f aca="false">COST!M138</f>
        <v>45936</v>
      </c>
      <c r="E138" s="48" t="str">
        <f aca="false">COST!P138</f>
        <v>Social Worker</v>
      </c>
      <c r="F138" s="63" t="n">
        <f aca="false">COST!R138</f>
        <v>1.75</v>
      </c>
      <c r="G138" s="48" t="str">
        <f aca="false">STACK!M138</f>
        <v/>
      </c>
      <c r="H138" s="1" t="str">
        <f aca="false">C138&amp;"|"&amp;IF(ISNUMBER(D138),TEXT(D138,"yyyy-mm-dd"),"no date")&amp;"|"&amp;E138&amp;"|"&amp;IF(ISNUMBER(F138),TEXT(F138,"0.00"),"blank")</f>
        <v>Grief Support Group|2025-10-06|Social Worker|1.75</v>
      </c>
      <c r="I138" s="1" t="n">
        <f aca="false">COUNTIF($H$5:$H$1624,H138)</f>
        <v>1</v>
      </c>
      <c r="J138" s="1" t="n">
        <f aca="false">COUNTIF($H$5:H138,H138)</f>
        <v>1</v>
      </c>
      <c r="K138" s="1" t="n">
        <f aca="false">COUNTIFS($H$5:$H$1624,H138,$B$5:$B$1624,"&lt;&gt;"&amp;B138)</f>
        <v>0</v>
      </c>
      <c r="L138" s="1" t="str">
        <f aca="false">IF(I138&gt;1,IF(K138&gt;0,"Cross-hospital match","Same-hospital match"),"")</f>
        <v/>
      </c>
      <c r="M138" s="52"/>
      <c r="N138" s="52"/>
      <c r="O138" s="1" t="n">
        <f aca="false">IF(M138="Exclude (duplicate)",0,1)</f>
        <v>1</v>
      </c>
      <c r="P138" s="1" t="str">
        <f aca="false">IF(AND(L138&lt;&gt;"",M138=""),"Needs decision","")</f>
        <v/>
      </c>
    </row>
    <row r="139" customFormat="false" ht="15" hidden="false" customHeight="false" outlineLevel="0" collapsed="false">
      <c r="A139" s="48" t="str">
        <f aca="false">COST!A139</f>
        <v>KVMC-0135</v>
      </c>
      <c r="B139" s="48" t="str">
        <f aca="false">COST!B139</f>
        <v>KVMC</v>
      </c>
      <c r="C139" s="48" t="str">
        <f aca="false">COST!D139</f>
        <v>Tobacco Cessation Classes</v>
      </c>
      <c r="D139" s="62" t="n">
        <f aca="false">COST!M139</f>
        <v>45936</v>
      </c>
      <c r="E139" s="48" t="str">
        <f aca="false">COST!P139</f>
        <v>Licensed Therapist</v>
      </c>
      <c r="F139" s="63" t="n">
        <f aca="false">COST!R139</f>
        <v>2</v>
      </c>
      <c r="G139" s="48" t="str">
        <f aca="false">STACK!M139</f>
        <v/>
      </c>
      <c r="H139" s="1" t="str">
        <f aca="false">C139&amp;"|"&amp;IF(ISNUMBER(D139),TEXT(D139,"yyyy-mm-dd"),"no date")&amp;"|"&amp;E139&amp;"|"&amp;IF(ISNUMBER(F139),TEXT(F139,"0.00"),"blank")</f>
        <v>Tobacco Cessation Classes|2025-10-06|Licensed Therapist|2.00</v>
      </c>
      <c r="I139" s="1" t="n">
        <f aca="false">COUNTIF($H$5:$H$1624,H139)</f>
        <v>1</v>
      </c>
      <c r="J139" s="1" t="n">
        <f aca="false">COUNTIF($H$5:H139,H139)</f>
        <v>1</v>
      </c>
      <c r="K139" s="1" t="n">
        <f aca="false">COUNTIFS($H$5:$H$1624,H139,$B$5:$B$1624,"&lt;&gt;"&amp;B139)</f>
        <v>0</v>
      </c>
      <c r="L139" s="1" t="str">
        <f aca="false">IF(I139&gt;1,IF(K139&gt;0,"Cross-hospital match","Same-hospital match"),"")</f>
        <v/>
      </c>
      <c r="M139" s="52"/>
      <c r="N139" s="52"/>
      <c r="O139" s="1" t="n">
        <f aca="false">IF(M139="Exclude (duplicate)",0,1)</f>
        <v>1</v>
      </c>
      <c r="P139" s="1" t="str">
        <f aca="false">IF(AND(L139&lt;&gt;"",M139=""),"Needs decision","")</f>
        <v/>
      </c>
    </row>
    <row r="140" customFormat="false" ht="15" hidden="false" customHeight="false" outlineLevel="0" collapsed="false">
      <c r="A140" s="48" t="str">
        <f aca="false">COST!A140</f>
        <v>KVMC-0136</v>
      </c>
      <c r="B140" s="48" t="str">
        <f aca="false">COST!B140</f>
        <v>KVMC</v>
      </c>
      <c r="C140" s="48" t="str">
        <f aca="false">COST!D140</f>
        <v>Community Emergency Preparedness Drills</v>
      </c>
      <c r="D140" s="62" t="n">
        <f aca="false">COST!M140</f>
        <v>45937</v>
      </c>
      <c r="E140" s="48" t="str">
        <f aca="false">COST!P140</f>
        <v>Paramedic</v>
      </c>
      <c r="F140" s="63" t="n">
        <f aca="false">COST!R140</f>
        <v>6</v>
      </c>
      <c r="G140" s="48" t="str">
        <f aca="false">STACK!M140</f>
        <v/>
      </c>
      <c r="H140" s="1" t="str">
        <f aca="false">C140&amp;"|"&amp;IF(ISNUMBER(D140),TEXT(D140,"yyyy-mm-dd"),"no date")&amp;"|"&amp;E140&amp;"|"&amp;IF(ISNUMBER(F140),TEXT(F140,"0.00"),"blank")</f>
        <v>Community Emergency Preparedness Drills|2025-10-07|Paramedic|6.00</v>
      </c>
      <c r="I140" s="1" t="n">
        <f aca="false">COUNTIF($H$5:$H$1624,H140)</f>
        <v>1</v>
      </c>
      <c r="J140" s="1" t="n">
        <f aca="false">COUNTIF($H$5:H140,H140)</f>
        <v>1</v>
      </c>
      <c r="K140" s="1" t="n">
        <f aca="false">COUNTIFS($H$5:$H$1624,H140,$B$5:$B$1624,"&lt;&gt;"&amp;B140)</f>
        <v>0</v>
      </c>
      <c r="L140" s="1" t="str">
        <f aca="false">IF(I140&gt;1,IF(K140&gt;0,"Cross-hospital match","Same-hospital match"),"")</f>
        <v/>
      </c>
      <c r="M140" s="52"/>
      <c r="N140" s="52"/>
      <c r="O140" s="1" t="n">
        <f aca="false">IF(M140="Exclude (duplicate)",0,1)</f>
        <v>1</v>
      </c>
      <c r="P140" s="1" t="str">
        <f aca="false">IF(AND(L140&lt;&gt;"",M140=""),"Needs decision","")</f>
        <v/>
      </c>
    </row>
    <row r="141" customFormat="false" ht="15" hidden="false" customHeight="false" outlineLevel="0" collapsed="false">
      <c r="A141" s="48" t="str">
        <f aca="false">COST!A141</f>
        <v>KVMC-0137</v>
      </c>
      <c r="B141" s="48" t="str">
        <f aca="false">COST!B141</f>
        <v>KVMC</v>
      </c>
      <c r="C141" s="48" t="str">
        <f aca="false">COST!D141</f>
        <v>Community Emergency Preparedness Drills</v>
      </c>
      <c r="D141" s="62" t="n">
        <f aca="false">COST!M141</f>
        <v>45937</v>
      </c>
      <c r="E141" s="48" t="str">
        <f aca="false">COST!P141</f>
        <v>Program Coordinator</v>
      </c>
      <c r="F141" s="63" t="n">
        <f aca="false">COST!R141</f>
        <v>5.25</v>
      </c>
      <c r="G141" s="48" t="str">
        <f aca="false">STACK!M141</f>
        <v/>
      </c>
      <c r="H141" s="1" t="str">
        <f aca="false">C141&amp;"|"&amp;IF(ISNUMBER(D141),TEXT(D141,"yyyy-mm-dd"),"no date")&amp;"|"&amp;E141&amp;"|"&amp;IF(ISNUMBER(F141),TEXT(F141,"0.00"),"blank")</f>
        <v>Community Emergency Preparedness Drills|2025-10-07|Program Coordinator|5.25</v>
      </c>
      <c r="I141" s="1" t="n">
        <f aca="false">COUNTIF($H$5:$H$1624,H141)</f>
        <v>1</v>
      </c>
      <c r="J141" s="1" t="n">
        <f aca="false">COUNTIF($H$5:H141,H141)</f>
        <v>1</v>
      </c>
      <c r="K141" s="1" t="n">
        <f aca="false">COUNTIFS($H$5:$H$1624,H141,$B$5:$B$1624,"&lt;&gt;"&amp;B141)</f>
        <v>0</v>
      </c>
      <c r="L141" s="1" t="str">
        <f aca="false">IF(I141&gt;1,IF(K141&gt;0,"Cross-hospital match","Same-hospital match"),"")</f>
        <v/>
      </c>
      <c r="M141" s="52"/>
      <c r="N141" s="52"/>
      <c r="O141" s="1" t="n">
        <f aca="false">IF(M141="Exclude (duplicate)",0,1)</f>
        <v>1</v>
      </c>
      <c r="P141" s="1" t="str">
        <f aca="false">IF(AND(L141&lt;&gt;"",M141=""),"Needs decision","")</f>
        <v/>
      </c>
    </row>
    <row r="142" customFormat="false" ht="15" hidden="false" customHeight="false" outlineLevel="0" collapsed="false">
      <c r="A142" s="48" t="str">
        <f aca="false">COST!A142</f>
        <v>KVMC-0138</v>
      </c>
      <c r="B142" s="48" t="str">
        <f aca="false">COST!B142</f>
        <v>KVMC</v>
      </c>
      <c r="C142" s="48" t="str">
        <f aca="false">COST!D142</f>
        <v>Community Emergency Preparedness Drills</v>
      </c>
      <c r="D142" s="62" t="n">
        <f aca="false">COST!M142</f>
        <v>45937</v>
      </c>
      <c r="E142" s="48" t="str">
        <f aca="false">COST!P142</f>
        <v>Registered Nurse</v>
      </c>
      <c r="F142" s="63" t="n">
        <f aca="false">COST!R142</f>
        <v>6</v>
      </c>
      <c r="G142" s="48" t="str">
        <f aca="false">STACK!M142</f>
        <v/>
      </c>
      <c r="H142" s="1" t="str">
        <f aca="false">C142&amp;"|"&amp;IF(ISNUMBER(D142),TEXT(D142,"yyyy-mm-dd"),"no date")&amp;"|"&amp;E142&amp;"|"&amp;IF(ISNUMBER(F142),TEXT(F142,"0.00"),"blank")</f>
        <v>Community Emergency Preparedness Drills|2025-10-07|Registered Nurse|6.00</v>
      </c>
      <c r="I142" s="1" t="n">
        <f aca="false">COUNTIF($H$5:$H$1624,H142)</f>
        <v>1</v>
      </c>
      <c r="J142" s="1" t="n">
        <f aca="false">COUNTIF($H$5:H142,H142)</f>
        <v>1</v>
      </c>
      <c r="K142" s="1" t="n">
        <f aca="false">COUNTIFS($H$5:$H$1624,H142,$B$5:$B$1624,"&lt;&gt;"&amp;B142)</f>
        <v>0</v>
      </c>
      <c r="L142" s="1" t="str">
        <f aca="false">IF(I142&gt;1,IF(K142&gt;0,"Cross-hospital match","Same-hospital match"),"")</f>
        <v/>
      </c>
      <c r="M142" s="52"/>
      <c r="N142" s="52"/>
      <c r="O142" s="1" t="n">
        <f aca="false">IF(M142="Exclude (duplicate)",0,1)</f>
        <v>1</v>
      </c>
      <c r="P142" s="1" t="str">
        <f aca="false">IF(AND(L142&lt;&gt;"",M142=""),"Needs decision","")</f>
        <v/>
      </c>
    </row>
    <row r="143" customFormat="false" ht="15" hidden="false" customHeight="false" outlineLevel="0" collapsed="false">
      <c r="A143" s="48" t="str">
        <f aca="false">COST!A143</f>
        <v>KVMC-0139</v>
      </c>
      <c r="B143" s="48" t="str">
        <f aca="false">COST!B143</f>
        <v>KVMC</v>
      </c>
      <c r="C143" s="48" t="str">
        <f aca="false">COST!D143</f>
        <v>Diabetes Prevention Classes</v>
      </c>
      <c r="D143" s="62" t="n">
        <f aca="false">COST!M143</f>
        <v>45941</v>
      </c>
      <c r="E143" s="48" t="str">
        <f aca="false">COST!P143</f>
        <v>Health Educator</v>
      </c>
      <c r="F143" s="63" t="n">
        <f aca="false">COST!R143</f>
        <v>2.75</v>
      </c>
      <c r="G143" s="48" t="str">
        <f aca="false">STACK!M143</f>
        <v/>
      </c>
      <c r="H143" s="1" t="str">
        <f aca="false">C143&amp;"|"&amp;IF(ISNUMBER(D143),TEXT(D143,"yyyy-mm-dd"),"no date")&amp;"|"&amp;E143&amp;"|"&amp;IF(ISNUMBER(F143),TEXT(F143,"0.00"),"blank")</f>
        <v>Diabetes Prevention Classes|2025-10-11|Health Educator|2.75</v>
      </c>
      <c r="I143" s="1" t="n">
        <f aca="false">COUNTIF($H$5:$H$1624,H143)</f>
        <v>1</v>
      </c>
      <c r="J143" s="1" t="n">
        <f aca="false">COUNTIF($H$5:H143,H143)</f>
        <v>1</v>
      </c>
      <c r="K143" s="1" t="n">
        <f aca="false">COUNTIFS($H$5:$H$1624,H143,$B$5:$B$1624,"&lt;&gt;"&amp;B143)</f>
        <v>0</v>
      </c>
      <c r="L143" s="1" t="str">
        <f aca="false">IF(I143&gt;1,IF(K143&gt;0,"Cross-hospital match","Same-hospital match"),"")</f>
        <v/>
      </c>
      <c r="M143" s="52"/>
      <c r="N143" s="52"/>
      <c r="O143" s="1" t="n">
        <f aca="false">IF(M143="Exclude (duplicate)",0,1)</f>
        <v>1</v>
      </c>
      <c r="P143" s="1" t="str">
        <f aca="false">IF(AND(L143&lt;&gt;"",M143=""),"Needs decision","")</f>
        <v/>
      </c>
    </row>
    <row r="144" customFormat="false" ht="15" hidden="false" customHeight="false" outlineLevel="0" collapsed="false">
      <c r="A144" s="48" t="str">
        <f aca="false">COST!A144</f>
        <v>KVMC-0140</v>
      </c>
      <c r="B144" s="48" t="str">
        <f aca="false">COST!B144</f>
        <v>KVMC</v>
      </c>
      <c r="C144" s="48" t="str">
        <f aca="false">COST!D144</f>
        <v>Diabetes Prevention Classes</v>
      </c>
      <c r="D144" s="62" t="n">
        <f aca="false">COST!M144</f>
        <v>45941</v>
      </c>
      <c r="E144" s="48" t="str">
        <f aca="false">COST!P144</f>
        <v>Health Educator</v>
      </c>
      <c r="F144" s="63" t="n">
        <f aca="false">COST!R144</f>
        <v>3</v>
      </c>
      <c r="G144" s="48" t="str">
        <f aca="false">STACK!M144</f>
        <v/>
      </c>
      <c r="H144" s="1" t="str">
        <f aca="false">C144&amp;"|"&amp;IF(ISNUMBER(D144),TEXT(D144,"yyyy-mm-dd"),"no date")&amp;"|"&amp;E144&amp;"|"&amp;IF(ISNUMBER(F144),TEXT(F144,"0.00"),"blank")</f>
        <v>Diabetes Prevention Classes|2025-10-11|Health Educator|3.00</v>
      </c>
      <c r="I144" s="1" t="n">
        <f aca="false">COUNTIF($H$5:$H$1624,H144)</f>
        <v>1</v>
      </c>
      <c r="J144" s="1" t="n">
        <f aca="false">COUNTIF($H$5:H144,H144)</f>
        <v>1</v>
      </c>
      <c r="K144" s="1" t="n">
        <f aca="false">COUNTIFS($H$5:$H$1624,H144,$B$5:$B$1624,"&lt;&gt;"&amp;B144)</f>
        <v>0</v>
      </c>
      <c r="L144" s="1" t="str">
        <f aca="false">IF(I144&gt;1,IF(K144&gt;0,"Cross-hospital match","Same-hospital match"),"")</f>
        <v/>
      </c>
      <c r="M144" s="52"/>
      <c r="N144" s="52"/>
      <c r="O144" s="1" t="n">
        <f aca="false">IF(M144="Exclude (duplicate)",0,1)</f>
        <v>1</v>
      </c>
      <c r="P144" s="1" t="str">
        <f aca="false">IF(AND(L144&lt;&gt;"",M144=""),"Needs decision","")</f>
        <v/>
      </c>
    </row>
    <row r="145" customFormat="false" ht="15" hidden="false" customHeight="false" outlineLevel="0" collapsed="false">
      <c r="A145" s="48" t="str">
        <f aca="false">COST!A145</f>
        <v>KVMC-0141</v>
      </c>
      <c r="B145" s="48" t="str">
        <f aca="false">COST!B145</f>
        <v>KVMC</v>
      </c>
      <c r="C145" s="48" t="str">
        <f aca="false">COST!D145</f>
        <v>Diabetes Prevention Classes</v>
      </c>
      <c r="D145" s="62" t="n">
        <f aca="false">COST!M145</f>
        <v>45941</v>
      </c>
      <c r="E145" s="48" t="str">
        <f aca="false">COST!P145</f>
        <v>Registered Dietitian</v>
      </c>
      <c r="F145" s="63" t="n">
        <f aca="false">COST!R145</f>
        <v>1.75</v>
      </c>
      <c r="G145" s="48" t="str">
        <f aca="false">STACK!M145</f>
        <v/>
      </c>
      <c r="H145" s="1" t="str">
        <f aca="false">C145&amp;"|"&amp;IF(ISNUMBER(D145),TEXT(D145,"yyyy-mm-dd"),"no date")&amp;"|"&amp;E145&amp;"|"&amp;IF(ISNUMBER(F145),TEXT(F145,"0.00"),"blank")</f>
        <v>Diabetes Prevention Classes|2025-10-11|Registered Dietitian|1.75</v>
      </c>
      <c r="I145" s="1" t="n">
        <f aca="false">COUNTIF($H$5:$H$1624,H145)</f>
        <v>1</v>
      </c>
      <c r="J145" s="1" t="n">
        <f aca="false">COUNTIF($H$5:H145,H145)</f>
        <v>1</v>
      </c>
      <c r="K145" s="1" t="n">
        <f aca="false">COUNTIFS($H$5:$H$1624,H145,$B$5:$B$1624,"&lt;&gt;"&amp;B145)</f>
        <v>0</v>
      </c>
      <c r="L145" s="1" t="str">
        <f aca="false">IF(I145&gt;1,IF(K145&gt;0,"Cross-hospital match","Same-hospital match"),"")</f>
        <v/>
      </c>
      <c r="M145" s="52"/>
      <c r="N145" s="52"/>
      <c r="O145" s="1" t="n">
        <f aca="false">IF(M145="Exclude (duplicate)",0,1)</f>
        <v>1</v>
      </c>
      <c r="P145" s="1" t="str">
        <f aca="false">IF(AND(L145&lt;&gt;"",M145=""),"Needs decision","")</f>
        <v/>
      </c>
    </row>
    <row r="146" customFormat="false" ht="15" hidden="false" customHeight="false" outlineLevel="0" collapsed="false">
      <c r="A146" s="48" t="str">
        <f aca="false">COST!A146</f>
        <v>KVMC-0142</v>
      </c>
      <c r="B146" s="48" t="str">
        <f aca="false">COST!B146</f>
        <v>KVMC</v>
      </c>
      <c r="C146" s="48" t="str">
        <f aca="false">COST!D146</f>
        <v>Diabetes Prevention Classes</v>
      </c>
      <c r="D146" s="62" t="n">
        <f aca="false">COST!M146</f>
        <v>45941</v>
      </c>
      <c r="E146" s="48" t="str">
        <f aca="false">COST!P146</f>
        <v>Registered Dietitian</v>
      </c>
      <c r="F146" s="63" t="n">
        <f aca="false">COST!R146</f>
        <v>2</v>
      </c>
      <c r="G146" s="48" t="str">
        <f aca="false">STACK!M146</f>
        <v/>
      </c>
      <c r="H146" s="1" t="str">
        <f aca="false">C146&amp;"|"&amp;IF(ISNUMBER(D146),TEXT(D146,"yyyy-mm-dd"),"no date")&amp;"|"&amp;E146&amp;"|"&amp;IF(ISNUMBER(F146),TEXT(F146,"0.00"),"blank")</f>
        <v>Diabetes Prevention Classes|2025-10-11|Registered Dietitian|2.00</v>
      </c>
      <c r="I146" s="1" t="n">
        <f aca="false">COUNTIF($H$5:$H$1624,H146)</f>
        <v>1</v>
      </c>
      <c r="J146" s="1" t="n">
        <f aca="false">COUNTIF($H$5:H146,H146)</f>
        <v>1</v>
      </c>
      <c r="K146" s="1" t="n">
        <f aca="false">COUNTIFS($H$5:$H$1624,H146,$B$5:$B$1624,"&lt;&gt;"&amp;B146)</f>
        <v>0</v>
      </c>
      <c r="L146" s="1" t="str">
        <f aca="false">IF(I146&gt;1,IF(K146&gt;0,"Cross-hospital match","Same-hospital match"),"")</f>
        <v/>
      </c>
      <c r="M146" s="52"/>
      <c r="N146" s="52"/>
      <c r="O146" s="1" t="n">
        <f aca="false">IF(M146="Exclude (duplicate)",0,1)</f>
        <v>1</v>
      </c>
      <c r="P146" s="1" t="str">
        <f aca="false">IF(AND(L146&lt;&gt;"",M146=""),"Needs decision","")</f>
        <v/>
      </c>
    </row>
    <row r="147" customFormat="false" ht="15" hidden="false" customHeight="false" outlineLevel="0" collapsed="false">
      <c r="A147" s="48" t="str">
        <f aca="false">COST!A147</f>
        <v>KVMC-0143</v>
      </c>
      <c r="B147" s="48" t="str">
        <f aca="false">COST!B147</f>
        <v>KVMC</v>
      </c>
      <c r="C147" s="48" t="str">
        <f aca="false">COST!D147</f>
        <v>Affordable Housing Partnership</v>
      </c>
      <c r="D147" s="62" t="n">
        <f aca="false">COST!M147</f>
        <v>45943</v>
      </c>
      <c r="E147" s="48" t="str">
        <f aca="false">COST!P147</f>
        <v>Director</v>
      </c>
      <c r="F147" s="63" t="n">
        <f aca="false">COST!R147</f>
        <v>4.75</v>
      </c>
      <c r="G147" s="48" t="str">
        <f aca="false">STACK!M147</f>
        <v/>
      </c>
      <c r="H147" s="1" t="str">
        <f aca="false">C147&amp;"|"&amp;IF(ISNUMBER(D147),TEXT(D147,"yyyy-mm-dd"),"no date")&amp;"|"&amp;E147&amp;"|"&amp;IF(ISNUMBER(F147),TEXT(F147,"0.00"),"blank")</f>
        <v>Affordable Housing Partnership|2025-10-13|Director|4.75</v>
      </c>
      <c r="I147" s="1" t="n">
        <f aca="false">COUNTIF($H$5:$H$1624,H147)</f>
        <v>1</v>
      </c>
      <c r="J147" s="1" t="n">
        <f aca="false">COUNTIF($H$5:H147,H147)</f>
        <v>1</v>
      </c>
      <c r="K147" s="1" t="n">
        <f aca="false">COUNTIFS($H$5:$H$1624,H147,$B$5:$B$1624,"&lt;&gt;"&amp;B147)</f>
        <v>0</v>
      </c>
      <c r="L147" s="1" t="str">
        <f aca="false">IF(I147&gt;1,IF(K147&gt;0,"Cross-hospital match","Same-hospital match"),"")</f>
        <v/>
      </c>
      <c r="M147" s="52"/>
      <c r="N147" s="52"/>
      <c r="O147" s="1" t="n">
        <f aca="false">IF(M147="Exclude (duplicate)",0,1)</f>
        <v>1</v>
      </c>
      <c r="P147" s="1" t="str">
        <f aca="false">IF(AND(L147&lt;&gt;"",M147=""),"Needs decision","")</f>
        <v/>
      </c>
    </row>
    <row r="148" customFormat="false" ht="15" hidden="false" customHeight="false" outlineLevel="0" collapsed="false">
      <c r="A148" s="48" t="str">
        <f aca="false">COST!A148</f>
        <v>KVMC-0144</v>
      </c>
      <c r="B148" s="48" t="str">
        <f aca="false">COST!B148</f>
        <v>KVMC</v>
      </c>
      <c r="C148" s="48" t="str">
        <f aca="false">COST!D148</f>
        <v>Affordable Housing Partnership</v>
      </c>
      <c r="D148" s="62" t="n">
        <f aca="false">COST!M148</f>
        <v>45943</v>
      </c>
      <c r="E148" s="48" t="str">
        <f aca="false">COST!P148</f>
        <v>Program Coordinator</v>
      </c>
      <c r="F148" s="63" t="n">
        <f aca="false">COST!R148</f>
        <v>8.25</v>
      </c>
      <c r="G148" s="48" t="str">
        <f aca="false">STACK!M148</f>
        <v/>
      </c>
      <c r="H148" s="1" t="str">
        <f aca="false">C148&amp;"|"&amp;IF(ISNUMBER(D148),TEXT(D148,"yyyy-mm-dd"),"no date")&amp;"|"&amp;E148&amp;"|"&amp;IF(ISNUMBER(F148),TEXT(F148,"0.00"),"blank")</f>
        <v>Affordable Housing Partnership|2025-10-13|Program Coordinator|8.25</v>
      </c>
      <c r="I148" s="1" t="n">
        <f aca="false">COUNTIF($H$5:$H$1624,H148)</f>
        <v>1</v>
      </c>
      <c r="J148" s="1" t="n">
        <f aca="false">COUNTIF($H$5:H148,H148)</f>
        <v>1</v>
      </c>
      <c r="K148" s="1" t="n">
        <f aca="false">COUNTIFS($H$5:$H$1624,H148,$B$5:$B$1624,"&lt;&gt;"&amp;B148)</f>
        <v>0</v>
      </c>
      <c r="L148" s="1" t="str">
        <f aca="false">IF(I148&gt;1,IF(K148&gt;0,"Cross-hospital match","Same-hospital match"),"")</f>
        <v/>
      </c>
      <c r="M148" s="52"/>
      <c r="N148" s="52"/>
      <c r="O148" s="1" t="n">
        <f aca="false">IF(M148="Exclude (duplicate)",0,1)</f>
        <v>1</v>
      </c>
      <c r="P148" s="1" t="str">
        <f aca="false">IF(AND(L148&lt;&gt;"",M148=""),"Needs decision","")</f>
        <v/>
      </c>
    </row>
    <row r="149" customFormat="false" ht="15" hidden="false" customHeight="false" outlineLevel="0" collapsed="false">
      <c r="A149" s="48" t="str">
        <f aca="false">COST!A149</f>
        <v>KVMC-0145</v>
      </c>
      <c r="B149" s="48" t="str">
        <f aca="false">COST!B149</f>
        <v>KVMC</v>
      </c>
      <c r="C149" s="48" t="str">
        <f aca="false">COST!D149</f>
        <v>Tobacco Cessation Classes</v>
      </c>
      <c r="D149" s="62" t="n">
        <f aca="false">COST!M149</f>
        <v>45945</v>
      </c>
      <c r="E149" s="48" t="str">
        <f aca="false">COST!P149</f>
        <v>Licensed Therapist</v>
      </c>
      <c r="F149" s="63" t="n">
        <f aca="false">COST!R149</f>
        <v>2</v>
      </c>
      <c r="G149" s="48" t="str">
        <f aca="false">STACK!M149</f>
        <v/>
      </c>
      <c r="H149" s="1" t="str">
        <f aca="false">C149&amp;"|"&amp;IF(ISNUMBER(D149),TEXT(D149,"yyyy-mm-dd"),"no date")&amp;"|"&amp;E149&amp;"|"&amp;IF(ISNUMBER(F149),TEXT(F149,"0.00"),"blank")</f>
        <v>Tobacco Cessation Classes|2025-10-15|Licensed Therapist|2.00</v>
      </c>
      <c r="I149" s="1" t="n">
        <f aca="false">COUNTIF($H$5:$H$1624,H149)</f>
        <v>1</v>
      </c>
      <c r="J149" s="1" t="n">
        <f aca="false">COUNTIF($H$5:H149,H149)</f>
        <v>1</v>
      </c>
      <c r="K149" s="1" t="n">
        <f aca="false">COUNTIFS($H$5:$H$1624,H149,$B$5:$B$1624,"&lt;&gt;"&amp;B149)</f>
        <v>0</v>
      </c>
      <c r="L149" s="1" t="str">
        <f aca="false">IF(I149&gt;1,IF(K149&gt;0,"Cross-hospital match","Same-hospital match"),"")</f>
        <v/>
      </c>
      <c r="M149" s="52"/>
      <c r="N149" s="52"/>
      <c r="O149" s="1" t="n">
        <f aca="false">IF(M149="Exclude (duplicate)",0,1)</f>
        <v>1</v>
      </c>
      <c r="P149" s="1" t="str">
        <f aca="false">IF(AND(L149&lt;&gt;"",M149=""),"Needs decision","")</f>
        <v/>
      </c>
    </row>
    <row r="150" customFormat="false" ht="15" hidden="false" customHeight="false" outlineLevel="0" collapsed="false">
      <c r="A150" s="48" t="str">
        <f aca="false">COST!A150</f>
        <v>KVMC-0146</v>
      </c>
      <c r="B150" s="48" t="str">
        <f aca="false">COST!B150</f>
        <v>KVMC</v>
      </c>
      <c r="C150" s="48" t="str">
        <f aca="false">COST!D150</f>
        <v>Tobacco Cessation Classes</v>
      </c>
      <c r="D150" s="62" t="n">
        <f aca="false">COST!M150</f>
        <v>45947</v>
      </c>
      <c r="E150" s="48" t="str">
        <f aca="false">COST!P150</f>
        <v>Licensed Therapist</v>
      </c>
      <c r="F150" s="63" t="n">
        <f aca="false">COST!R150</f>
        <v>2</v>
      </c>
      <c r="G150" s="48" t="str">
        <f aca="false">STACK!M150</f>
        <v/>
      </c>
      <c r="H150" s="1" t="str">
        <f aca="false">C150&amp;"|"&amp;IF(ISNUMBER(D150),TEXT(D150,"yyyy-mm-dd"),"no date")&amp;"|"&amp;E150&amp;"|"&amp;IF(ISNUMBER(F150),TEXT(F150,"0.00"),"blank")</f>
        <v>Tobacco Cessation Classes|2025-10-17|Licensed Therapist|2.00</v>
      </c>
      <c r="I150" s="1" t="n">
        <f aca="false">COUNTIF($H$5:$H$1624,H150)</f>
        <v>1</v>
      </c>
      <c r="J150" s="1" t="n">
        <f aca="false">COUNTIF($H$5:H150,H150)</f>
        <v>1</v>
      </c>
      <c r="K150" s="1" t="n">
        <f aca="false">COUNTIFS($H$5:$H$1624,H150,$B$5:$B$1624,"&lt;&gt;"&amp;B150)</f>
        <v>0</v>
      </c>
      <c r="L150" s="1" t="str">
        <f aca="false">IF(I150&gt;1,IF(K150&gt;0,"Cross-hospital match","Same-hospital match"),"")</f>
        <v/>
      </c>
      <c r="M150" s="52"/>
      <c r="N150" s="52"/>
      <c r="O150" s="1" t="n">
        <f aca="false">IF(M150="Exclude (duplicate)",0,1)</f>
        <v>1</v>
      </c>
      <c r="P150" s="1" t="str">
        <f aca="false">IF(AND(L150&lt;&gt;"",M150=""),"Needs decision","")</f>
        <v/>
      </c>
    </row>
    <row r="151" customFormat="false" ht="15" hidden="false" customHeight="false" outlineLevel="0" collapsed="false">
      <c r="A151" s="48" t="str">
        <f aca="false">COST!A151</f>
        <v>KVMC-0147</v>
      </c>
      <c r="B151" s="48" t="str">
        <f aca="false">COST!B151</f>
        <v>KVMC</v>
      </c>
      <c r="C151" s="48" t="str">
        <f aca="false">COST!D151</f>
        <v>Childbirth and Newborn Care Classes</v>
      </c>
      <c r="D151" s="62" t="n">
        <f aca="false">COST!M151</f>
        <v>45948</v>
      </c>
      <c r="E151" s="48" t="str">
        <f aca="false">COST!P151</f>
        <v>Clinical Nurse Educator</v>
      </c>
      <c r="F151" s="63" t="n">
        <f aca="false">COST!R151</f>
        <v>3.25</v>
      </c>
      <c r="G151" s="48" t="str">
        <f aca="false">STACK!M151</f>
        <v/>
      </c>
      <c r="H151" s="1" t="str">
        <f aca="false">C151&amp;"|"&amp;IF(ISNUMBER(D151),TEXT(D151,"yyyy-mm-dd"),"no date")&amp;"|"&amp;E151&amp;"|"&amp;IF(ISNUMBER(F151),TEXT(F151,"0.00"),"blank")</f>
        <v>Childbirth and Newborn Care Classes|2025-10-18|Clinical Nurse Educator|3.25</v>
      </c>
      <c r="I151" s="1" t="n">
        <f aca="false">COUNTIF($H$5:$H$1624,H151)</f>
        <v>1</v>
      </c>
      <c r="J151" s="1" t="n">
        <f aca="false">COUNTIF($H$5:H151,H151)</f>
        <v>1</v>
      </c>
      <c r="K151" s="1" t="n">
        <f aca="false">COUNTIFS($H$5:$H$1624,H151,$B$5:$B$1624,"&lt;&gt;"&amp;B151)</f>
        <v>0</v>
      </c>
      <c r="L151" s="1" t="str">
        <f aca="false">IF(I151&gt;1,IF(K151&gt;0,"Cross-hospital match","Same-hospital match"),"")</f>
        <v/>
      </c>
      <c r="M151" s="52"/>
      <c r="N151" s="52"/>
      <c r="O151" s="1" t="n">
        <f aca="false">IF(M151="Exclude (duplicate)",0,1)</f>
        <v>1</v>
      </c>
      <c r="P151" s="1" t="str">
        <f aca="false">IF(AND(L151&lt;&gt;"",M151=""),"Needs decision","")</f>
        <v/>
      </c>
    </row>
    <row r="152" customFormat="false" ht="15" hidden="false" customHeight="false" outlineLevel="0" collapsed="false">
      <c r="A152" s="48" t="str">
        <f aca="false">COST!A152</f>
        <v>KVMC-0148</v>
      </c>
      <c r="B152" s="48" t="str">
        <f aca="false">COST!B152</f>
        <v>KVMC</v>
      </c>
      <c r="C152" s="48" t="str">
        <f aca="false">COST!D152</f>
        <v>Youth Health Careers Pathway</v>
      </c>
      <c r="D152" s="62" t="n">
        <f aca="false">COST!M152</f>
        <v>45948</v>
      </c>
      <c r="E152" s="48" t="str">
        <f aca="false">COST!P152</f>
        <v>Clinical Nurse Educator</v>
      </c>
      <c r="F152" s="63" t="n">
        <f aca="false">COST!R152</f>
        <v>3.5</v>
      </c>
      <c r="G152" s="48" t="str">
        <f aca="false">STACK!M152</f>
        <v/>
      </c>
      <c r="H152" s="1" t="str">
        <f aca="false">C152&amp;"|"&amp;IF(ISNUMBER(D152),TEXT(D152,"yyyy-mm-dd"),"no date")&amp;"|"&amp;E152&amp;"|"&amp;IF(ISNUMBER(F152),TEXT(F152,"0.00"),"blank")</f>
        <v>Youth Health Careers Pathway|2025-10-18|Clinical Nurse Educator|3.50</v>
      </c>
      <c r="I152" s="1" t="n">
        <f aca="false">COUNTIF($H$5:$H$1624,H152)</f>
        <v>1</v>
      </c>
      <c r="J152" s="1" t="n">
        <f aca="false">COUNTIF($H$5:H152,H152)</f>
        <v>1</v>
      </c>
      <c r="K152" s="1" t="n">
        <f aca="false">COUNTIFS($H$5:$H$1624,H152,$B$5:$B$1624,"&lt;&gt;"&amp;B152)</f>
        <v>0</v>
      </c>
      <c r="L152" s="1" t="str">
        <f aca="false">IF(I152&gt;1,IF(K152&gt;0,"Cross-hospital match","Same-hospital match"),"")</f>
        <v/>
      </c>
      <c r="M152" s="52"/>
      <c r="N152" s="52"/>
      <c r="O152" s="1" t="n">
        <f aca="false">IF(M152="Exclude (duplicate)",0,1)</f>
        <v>1</v>
      </c>
      <c r="P152" s="1" t="str">
        <f aca="false">IF(AND(L152&lt;&gt;"",M152=""),"Needs decision","")</f>
        <v/>
      </c>
    </row>
    <row r="153" customFormat="false" ht="15" hidden="false" customHeight="false" outlineLevel="0" collapsed="false">
      <c r="A153" s="48" t="str">
        <f aca="false">COST!A153</f>
        <v>KVMC-0149</v>
      </c>
      <c r="B153" s="48" t="str">
        <f aca="false">COST!B153</f>
        <v>KVMC</v>
      </c>
      <c r="C153" s="48" t="str">
        <f aca="false">COST!D153</f>
        <v>Youth Health Careers Pathway</v>
      </c>
      <c r="D153" s="62" t="n">
        <f aca="false">COST!M153</f>
        <v>45948</v>
      </c>
      <c r="E153" s="48" t="str">
        <f aca="false">COST!P153</f>
        <v>Program Coordinator</v>
      </c>
      <c r="F153" s="63" t="n">
        <f aca="false">COST!R153</f>
        <v>6</v>
      </c>
      <c r="G153" s="48" t="str">
        <f aca="false">STACK!M153</f>
        <v/>
      </c>
      <c r="H153" s="1" t="str">
        <f aca="false">C153&amp;"|"&amp;IF(ISNUMBER(D153),TEXT(D153,"yyyy-mm-dd"),"no date")&amp;"|"&amp;E153&amp;"|"&amp;IF(ISNUMBER(F153),TEXT(F153,"0.00"),"blank")</f>
        <v>Youth Health Careers Pathway|2025-10-18|Program Coordinator|6.00</v>
      </c>
      <c r="I153" s="1" t="n">
        <f aca="false">COUNTIF($H$5:$H$1624,H153)</f>
        <v>1</v>
      </c>
      <c r="J153" s="1" t="n">
        <f aca="false">COUNTIF($H$5:H153,H153)</f>
        <v>1</v>
      </c>
      <c r="K153" s="1" t="n">
        <f aca="false">COUNTIFS($H$5:$H$1624,H153,$B$5:$B$1624,"&lt;&gt;"&amp;B153)</f>
        <v>0</v>
      </c>
      <c r="L153" s="1" t="str">
        <f aca="false">IF(I153&gt;1,IF(K153&gt;0,"Cross-hospital match","Same-hospital match"),"")</f>
        <v/>
      </c>
      <c r="M153" s="52"/>
      <c r="N153" s="52"/>
      <c r="O153" s="1" t="n">
        <f aca="false">IF(M153="Exclude (duplicate)",0,1)</f>
        <v>1</v>
      </c>
      <c r="P153" s="1" t="str">
        <f aca="false">IF(AND(L153&lt;&gt;"",M153=""),"Needs decision","")</f>
        <v/>
      </c>
    </row>
    <row r="154" customFormat="false" ht="15" hidden="false" customHeight="false" outlineLevel="0" collapsed="false">
      <c r="A154" s="48" t="str">
        <f aca="false">COST!A154</f>
        <v>KVMC-0150</v>
      </c>
      <c r="B154" s="48" t="str">
        <f aca="false">COST!B154</f>
        <v>KVMC</v>
      </c>
      <c r="C154" s="48" t="str">
        <f aca="false">COST!D154</f>
        <v>Affordable Housing Partnership</v>
      </c>
      <c r="D154" s="62" t="n">
        <f aca="false">COST!M154</f>
        <v>45958</v>
      </c>
      <c r="E154" s="48" t="str">
        <f aca="false">COST!P154</f>
        <v>Director</v>
      </c>
      <c r="F154" s="63" t="n">
        <f aca="false">COST!R154</f>
        <v>5</v>
      </c>
      <c r="G154" s="48" t="str">
        <f aca="false">STACK!M154</f>
        <v/>
      </c>
      <c r="H154" s="1" t="str">
        <f aca="false">C154&amp;"|"&amp;IF(ISNUMBER(D154),TEXT(D154,"yyyy-mm-dd"),"no date")&amp;"|"&amp;E154&amp;"|"&amp;IF(ISNUMBER(F154),TEXT(F154,"0.00"),"blank")</f>
        <v>Affordable Housing Partnership|2025-10-28|Director|5.00</v>
      </c>
      <c r="I154" s="1" t="n">
        <f aca="false">COUNTIF($H$5:$H$1624,H154)</f>
        <v>1</v>
      </c>
      <c r="J154" s="1" t="n">
        <f aca="false">COUNTIF($H$5:H154,H154)</f>
        <v>1</v>
      </c>
      <c r="K154" s="1" t="n">
        <f aca="false">COUNTIFS($H$5:$H$1624,H154,$B$5:$B$1624,"&lt;&gt;"&amp;B154)</f>
        <v>0</v>
      </c>
      <c r="L154" s="1" t="str">
        <f aca="false">IF(I154&gt;1,IF(K154&gt;0,"Cross-hospital match","Same-hospital match"),"")</f>
        <v/>
      </c>
      <c r="M154" s="52"/>
      <c r="N154" s="52"/>
      <c r="O154" s="1" t="n">
        <f aca="false">IF(M154="Exclude (duplicate)",0,1)</f>
        <v>1</v>
      </c>
      <c r="P154" s="1" t="str">
        <f aca="false">IF(AND(L154&lt;&gt;"",M154=""),"Needs decision","")</f>
        <v/>
      </c>
    </row>
    <row r="155" customFormat="false" ht="15" hidden="false" customHeight="false" outlineLevel="0" collapsed="false">
      <c r="A155" s="48" t="str">
        <f aca="false">COST!A155</f>
        <v>KVMC-0151</v>
      </c>
      <c r="B155" s="48" t="str">
        <f aca="false">COST!B155</f>
        <v>KVMC</v>
      </c>
      <c r="C155" s="48" t="str">
        <f aca="false">COST!D155</f>
        <v>Affordable Housing Partnership</v>
      </c>
      <c r="D155" s="62" t="n">
        <f aca="false">COST!M155</f>
        <v>45958</v>
      </c>
      <c r="E155" s="48" t="str">
        <f aca="false">COST!P155</f>
        <v>Program Coordinator</v>
      </c>
      <c r="F155" s="63" t="n">
        <f aca="false">COST!R155</f>
        <v>9.25</v>
      </c>
      <c r="G155" s="48" t="str">
        <f aca="false">STACK!M155</f>
        <v/>
      </c>
      <c r="H155" s="1" t="str">
        <f aca="false">C155&amp;"|"&amp;IF(ISNUMBER(D155),TEXT(D155,"yyyy-mm-dd"),"no date")&amp;"|"&amp;E155&amp;"|"&amp;IF(ISNUMBER(F155),TEXT(F155,"0.00"),"blank")</f>
        <v>Affordable Housing Partnership|2025-10-28|Program Coordinator|9.25</v>
      </c>
      <c r="I155" s="1" t="n">
        <f aca="false">COUNTIF($H$5:$H$1624,H155)</f>
        <v>1</v>
      </c>
      <c r="J155" s="1" t="n">
        <f aca="false">COUNTIF($H$5:H155,H155)</f>
        <v>1</v>
      </c>
      <c r="K155" s="1" t="n">
        <f aca="false">COUNTIFS($H$5:$H$1624,H155,$B$5:$B$1624,"&lt;&gt;"&amp;B155)</f>
        <v>0</v>
      </c>
      <c r="L155" s="1" t="str">
        <f aca="false">IF(I155&gt;1,IF(K155&gt;0,"Cross-hospital match","Same-hospital match"),"")</f>
        <v/>
      </c>
      <c r="M155" s="52"/>
      <c r="N155" s="52"/>
      <c r="O155" s="1" t="n">
        <f aca="false">IF(M155="Exclude (duplicate)",0,1)</f>
        <v>1</v>
      </c>
      <c r="P155" s="1" t="str">
        <f aca="false">IF(AND(L155&lt;&gt;"",M155=""),"Needs decision","")</f>
        <v/>
      </c>
    </row>
    <row r="156" customFormat="false" ht="15" hidden="false" customHeight="false" outlineLevel="0" collapsed="false">
      <c r="A156" s="48" t="str">
        <f aca="false">COST!A156</f>
        <v>KVMC-0152</v>
      </c>
      <c r="B156" s="48" t="str">
        <f aca="false">COST!B156</f>
        <v>KVMC</v>
      </c>
      <c r="C156" s="48" t="str">
        <f aca="false">COST!D156</f>
        <v>Childbirth and Newborn Care Classes</v>
      </c>
      <c r="D156" s="62" t="n">
        <f aca="false">COST!M156</f>
        <v>45959</v>
      </c>
      <c r="E156" s="48" t="str">
        <f aca="false">COST!P156</f>
        <v>Clinical Nurse Educator</v>
      </c>
      <c r="F156" s="63" t="n">
        <f aca="false">COST!R156</f>
        <v>3</v>
      </c>
      <c r="G156" s="48" t="str">
        <f aca="false">STACK!M156</f>
        <v/>
      </c>
      <c r="H156" s="1" t="str">
        <f aca="false">C156&amp;"|"&amp;IF(ISNUMBER(D156),TEXT(D156,"yyyy-mm-dd"),"no date")&amp;"|"&amp;E156&amp;"|"&amp;IF(ISNUMBER(F156),TEXT(F156,"0.00"),"blank")</f>
        <v>Childbirth and Newborn Care Classes|2025-10-29|Clinical Nurse Educator|3.00</v>
      </c>
      <c r="I156" s="1" t="n">
        <f aca="false">COUNTIF($H$5:$H$1624,H156)</f>
        <v>1</v>
      </c>
      <c r="J156" s="1" t="n">
        <f aca="false">COUNTIF($H$5:H156,H156)</f>
        <v>1</v>
      </c>
      <c r="K156" s="1" t="n">
        <f aca="false">COUNTIFS($H$5:$H$1624,H156,$B$5:$B$1624,"&lt;&gt;"&amp;B156)</f>
        <v>0</v>
      </c>
      <c r="L156" s="1" t="str">
        <f aca="false">IF(I156&gt;1,IF(K156&gt;0,"Cross-hospital match","Same-hospital match"),"")</f>
        <v/>
      </c>
      <c r="M156" s="52"/>
      <c r="N156" s="52"/>
      <c r="O156" s="1" t="n">
        <f aca="false">IF(M156="Exclude (duplicate)",0,1)</f>
        <v>1</v>
      </c>
      <c r="P156" s="1" t="str">
        <f aca="false">IF(AND(L156&lt;&gt;"",M156=""),"Needs decision","")</f>
        <v/>
      </c>
    </row>
    <row r="157" customFormat="false" ht="15" hidden="false" customHeight="false" outlineLevel="0" collapsed="false">
      <c r="A157" s="48" t="str">
        <f aca="false">COST!A157</f>
        <v>KVMC-0153</v>
      </c>
      <c r="B157" s="48" t="str">
        <f aca="false">COST!B157</f>
        <v>KVMC</v>
      </c>
      <c r="C157" s="48" t="str">
        <f aca="false">COST!D157</f>
        <v>Youth Health Careers Pathway</v>
      </c>
      <c r="D157" s="62" t="n">
        <f aca="false">COST!M157</f>
        <v>45959</v>
      </c>
      <c r="E157" s="48" t="str">
        <f aca="false">COST!P157</f>
        <v>Clinical Nurse Educator</v>
      </c>
      <c r="F157" s="63" t="n">
        <f aca="false">COST!R157</f>
        <v>4.5</v>
      </c>
      <c r="G157" s="48" t="str">
        <f aca="false">STACK!M157</f>
        <v/>
      </c>
      <c r="H157" s="1" t="str">
        <f aca="false">C157&amp;"|"&amp;IF(ISNUMBER(D157),TEXT(D157,"yyyy-mm-dd"),"no date")&amp;"|"&amp;E157&amp;"|"&amp;IF(ISNUMBER(F157),TEXT(F157,"0.00"),"blank")</f>
        <v>Youth Health Careers Pathway|2025-10-29|Clinical Nurse Educator|4.50</v>
      </c>
      <c r="I157" s="1" t="n">
        <f aca="false">COUNTIF($H$5:$H$1624,H157)</f>
        <v>1</v>
      </c>
      <c r="J157" s="1" t="n">
        <f aca="false">COUNTIF($H$5:H157,H157)</f>
        <v>1</v>
      </c>
      <c r="K157" s="1" t="n">
        <f aca="false">COUNTIFS($H$5:$H$1624,H157,$B$5:$B$1624,"&lt;&gt;"&amp;B157)</f>
        <v>0</v>
      </c>
      <c r="L157" s="1" t="str">
        <f aca="false">IF(I157&gt;1,IF(K157&gt;0,"Cross-hospital match","Same-hospital match"),"")</f>
        <v/>
      </c>
      <c r="M157" s="52"/>
      <c r="N157" s="52"/>
      <c r="O157" s="1" t="n">
        <f aca="false">IF(M157="Exclude (duplicate)",0,1)</f>
        <v>1</v>
      </c>
      <c r="P157" s="1" t="str">
        <f aca="false">IF(AND(L157&lt;&gt;"",M157=""),"Needs decision","")</f>
        <v/>
      </c>
    </row>
    <row r="158" customFormat="false" ht="15" hidden="false" customHeight="false" outlineLevel="0" collapsed="false">
      <c r="A158" s="48" t="str">
        <f aca="false">COST!A158</f>
        <v>KVMC-0154</v>
      </c>
      <c r="B158" s="48" t="str">
        <f aca="false">COST!B158</f>
        <v>KVMC</v>
      </c>
      <c r="C158" s="48" t="str">
        <f aca="false">COST!D158</f>
        <v>Youth Health Careers Pathway</v>
      </c>
      <c r="D158" s="62" t="n">
        <f aca="false">COST!M158</f>
        <v>45959</v>
      </c>
      <c r="E158" s="48" t="str">
        <f aca="false">COST!P158</f>
        <v>Program Coordinator</v>
      </c>
      <c r="F158" s="63" t="n">
        <f aca="false">COST!R158</f>
        <v>6.5</v>
      </c>
      <c r="G158" s="48" t="str">
        <f aca="false">STACK!M158</f>
        <v/>
      </c>
      <c r="H158" s="1" t="str">
        <f aca="false">C158&amp;"|"&amp;IF(ISNUMBER(D158),TEXT(D158,"yyyy-mm-dd"),"no date")&amp;"|"&amp;E158&amp;"|"&amp;IF(ISNUMBER(F158),TEXT(F158,"0.00"),"blank")</f>
        <v>Youth Health Careers Pathway|2025-10-29|Program Coordinator|6.50</v>
      </c>
      <c r="I158" s="1" t="n">
        <f aca="false">COUNTIF($H$5:$H$1624,H158)</f>
        <v>1</v>
      </c>
      <c r="J158" s="1" t="n">
        <f aca="false">COUNTIF($H$5:H158,H158)</f>
        <v>1</v>
      </c>
      <c r="K158" s="1" t="n">
        <f aca="false">COUNTIFS($H$5:$H$1624,H158,$B$5:$B$1624,"&lt;&gt;"&amp;B158)</f>
        <v>0</v>
      </c>
      <c r="L158" s="1" t="str">
        <f aca="false">IF(I158&gt;1,IF(K158&gt;0,"Cross-hospital match","Same-hospital match"),"")</f>
        <v/>
      </c>
      <c r="M158" s="52"/>
      <c r="N158" s="52"/>
      <c r="O158" s="1" t="n">
        <f aca="false">IF(M158="Exclude (duplicate)",0,1)</f>
        <v>1</v>
      </c>
      <c r="P158" s="1" t="str">
        <f aca="false">IF(AND(L158&lt;&gt;"",M158=""),"Needs decision","")</f>
        <v/>
      </c>
    </row>
    <row r="159" customFormat="false" ht="15" hidden="false" customHeight="false" outlineLevel="0" collapsed="false">
      <c r="A159" s="48" t="str">
        <f aca="false">COST!A159</f>
        <v>KVMC-0155</v>
      </c>
      <c r="B159" s="48" t="str">
        <f aca="false">COST!B159</f>
        <v>KVMC</v>
      </c>
      <c r="C159" s="48" t="str">
        <f aca="false">COST!D159</f>
        <v>Diabetes Prevention Classes</v>
      </c>
      <c r="D159" s="62" t="n">
        <f aca="false">COST!M159</f>
        <v>45960</v>
      </c>
      <c r="E159" s="48" t="str">
        <f aca="false">COST!P159</f>
        <v>Health Educator</v>
      </c>
      <c r="F159" s="63" t="n">
        <f aca="false">COST!R159</f>
        <v>2.25</v>
      </c>
      <c r="G159" s="48" t="str">
        <f aca="false">STACK!M159</f>
        <v/>
      </c>
      <c r="H159" s="1" t="str">
        <f aca="false">C159&amp;"|"&amp;IF(ISNUMBER(D159),TEXT(D159,"yyyy-mm-dd"),"no date")&amp;"|"&amp;E159&amp;"|"&amp;IF(ISNUMBER(F159),TEXT(F159,"0.00"),"blank")</f>
        <v>Diabetes Prevention Classes|2025-10-30|Health Educator|2.25</v>
      </c>
      <c r="I159" s="1" t="n">
        <f aca="false">COUNTIF($H$5:$H$1624,H159)</f>
        <v>1</v>
      </c>
      <c r="J159" s="1" t="n">
        <f aca="false">COUNTIF($H$5:H159,H159)</f>
        <v>1</v>
      </c>
      <c r="K159" s="1" t="n">
        <f aca="false">COUNTIFS($H$5:$H$1624,H159,$B$5:$B$1624,"&lt;&gt;"&amp;B159)</f>
        <v>0</v>
      </c>
      <c r="L159" s="1" t="str">
        <f aca="false">IF(I159&gt;1,IF(K159&gt;0,"Cross-hospital match","Same-hospital match"),"")</f>
        <v/>
      </c>
      <c r="M159" s="52"/>
      <c r="N159" s="52"/>
      <c r="O159" s="1" t="n">
        <f aca="false">IF(M159="Exclude (duplicate)",0,1)</f>
        <v>1</v>
      </c>
      <c r="P159" s="1" t="str">
        <f aca="false">IF(AND(L159&lt;&gt;"",M159=""),"Needs decision","")</f>
        <v/>
      </c>
    </row>
    <row r="160" customFormat="false" ht="15" hidden="false" customHeight="false" outlineLevel="0" collapsed="false">
      <c r="A160" s="48" t="str">
        <f aca="false">COST!A160</f>
        <v>KVMC-0156</v>
      </c>
      <c r="B160" s="48" t="str">
        <f aca="false">COST!B160</f>
        <v>KVMC</v>
      </c>
      <c r="C160" s="48" t="str">
        <f aca="false">COST!D160</f>
        <v>Diabetes Prevention Classes</v>
      </c>
      <c r="D160" s="62" t="n">
        <f aca="false">COST!M160</f>
        <v>45960</v>
      </c>
      <c r="E160" s="48" t="str">
        <f aca="false">COST!P160</f>
        <v>Registered Dietitian</v>
      </c>
      <c r="F160" s="63" t="n">
        <f aca="false">COST!R160</f>
        <v>1.5</v>
      </c>
      <c r="G160" s="48" t="str">
        <f aca="false">STACK!M160</f>
        <v/>
      </c>
      <c r="H160" s="1" t="str">
        <f aca="false">C160&amp;"|"&amp;IF(ISNUMBER(D160),TEXT(D160,"yyyy-mm-dd"),"no date")&amp;"|"&amp;E160&amp;"|"&amp;IF(ISNUMBER(F160),TEXT(F160,"0.00"),"blank")</f>
        <v>Diabetes Prevention Classes|2025-10-30|Registered Dietitian|1.50</v>
      </c>
      <c r="I160" s="1" t="n">
        <f aca="false">COUNTIF($H$5:$H$1624,H160)</f>
        <v>1</v>
      </c>
      <c r="J160" s="1" t="n">
        <f aca="false">COUNTIF($H$5:H160,H160)</f>
        <v>1</v>
      </c>
      <c r="K160" s="1" t="n">
        <f aca="false">COUNTIFS($H$5:$H$1624,H160,$B$5:$B$1624,"&lt;&gt;"&amp;B160)</f>
        <v>0</v>
      </c>
      <c r="L160" s="1" t="str">
        <f aca="false">IF(I160&gt;1,IF(K160&gt;0,"Cross-hospital match","Same-hospital match"),"")</f>
        <v/>
      </c>
      <c r="M160" s="52"/>
      <c r="N160" s="52"/>
      <c r="O160" s="1" t="n">
        <f aca="false">IF(M160="Exclude (duplicate)",0,1)</f>
        <v>1</v>
      </c>
      <c r="P160" s="1" t="str">
        <f aca="false">IF(AND(L160&lt;&gt;"",M160=""),"Needs decision","")</f>
        <v/>
      </c>
    </row>
    <row r="161" customFormat="false" ht="15" hidden="false" customHeight="false" outlineLevel="0" collapsed="false">
      <c r="A161" s="48" t="str">
        <f aca="false">COST!A161</f>
        <v>KVMC-0157</v>
      </c>
      <c r="B161" s="48" t="str">
        <f aca="false">COST!B161</f>
        <v>KVMC</v>
      </c>
      <c r="C161" s="48" t="str">
        <f aca="false">COST!D161</f>
        <v>Mobile Health Screening Unit</v>
      </c>
      <c r="D161" s="62" t="n">
        <f aca="false">COST!M161</f>
        <v>45961</v>
      </c>
      <c r="E161" s="48" t="str">
        <f aca="false">COST!P161</f>
        <v>Community Health Worker</v>
      </c>
      <c r="F161" s="63" t="n">
        <f aca="false">COST!R161</f>
        <v>103.75</v>
      </c>
      <c r="G161" s="48" t="str">
        <f aca="false">STACK!M161</f>
        <v/>
      </c>
      <c r="H161" s="1" t="str">
        <f aca="false">C161&amp;"|"&amp;IF(ISNUMBER(D161),TEXT(D161,"yyyy-mm-dd"),"no date")&amp;"|"&amp;E161&amp;"|"&amp;IF(ISNUMBER(F161),TEXT(F161,"0.00"),"blank")</f>
        <v>Mobile Health Screening Unit|2025-10-31|Community Health Worker|103.75</v>
      </c>
      <c r="I161" s="1" t="n">
        <f aca="false">COUNTIF($H$5:$H$1624,H161)</f>
        <v>1</v>
      </c>
      <c r="J161" s="1" t="n">
        <f aca="false">COUNTIF($H$5:H161,H161)</f>
        <v>1</v>
      </c>
      <c r="K161" s="1" t="n">
        <f aca="false">COUNTIFS($H$5:$H$1624,H161,$B$5:$B$1624,"&lt;&gt;"&amp;B161)</f>
        <v>0</v>
      </c>
      <c r="L161" s="1" t="str">
        <f aca="false">IF(I161&gt;1,IF(K161&gt;0,"Cross-hospital match","Same-hospital match"),"")</f>
        <v/>
      </c>
      <c r="M161" s="52"/>
      <c r="N161" s="52"/>
      <c r="O161" s="1" t="n">
        <f aca="false">IF(M161="Exclude (duplicate)",0,1)</f>
        <v>1</v>
      </c>
      <c r="P161" s="1" t="str">
        <f aca="false">IF(AND(L161&lt;&gt;"",M161=""),"Needs decision","")</f>
        <v/>
      </c>
    </row>
    <row r="162" customFormat="false" ht="15" hidden="false" customHeight="false" outlineLevel="0" collapsed="false">
      <c r="A162" s="48" t="str">
        <f aca="false">COST!A162</f>
        <v>KVMC-0158</v>
      </c>
      <c r="B162" s="48" t="str">
        <f aca="false">COST!B162</f>
        <v>KVMC</v>
      </c>
      <c r="C162" s="48" t="str">
        <f aca="false">COST!D162</f>
        <v>Mobile Health Screening Unit</v>
      </c>
      <c r="D162" s="62" t="n">
        <f aca="false">COST!M162</f>
        <v>45961</v>
      </c>
      <c r="E162" s="48" t="str">
        <f aca="false">COST!P162</f>
        <v>Medical Assistant</v>
      </c>
      <c r="F162" s="63" t="n">
        <f aca="false">COST!R162</f>
        <v>108.5</v>
      </c>
      <c r="G162" s="48" t="str">
        <f aca="false">STACK!M162</f>
        <v/>
      </c>
      <c r="H162" s="1" t="str">
        <f aca="false">C162&amp;"|"&amp;IF(ISNUMBER(D162),TEXT(D162,"yyyy-mm-dd"),"no date")&amp;"|"&amp;E162&amp;"|"&amp;IF(ISNUMBER(F162),TEXT(F162,"0.00"),"blank")</f>
        <v>Mobile Health Screening Unit|2025-10-31|Medical Assistant|108.50</v>
      </c>
      <c r="I162" s="1" t="n">
        <f aca="false">COUNTIF($H$5:$H$1624,H162)</f>
        <v>1</v>
      </c>
      <c r="J162" s="1" t="n">
        <f aca="false">COUNTIF($H$5:H162,H162)</f>
        <v>1</v>
      </c>
      <c r="K162" s="1" t="n">
        <f aca="false">COUNTIFS($H$5:$H$1624,H162,$B$5:$B$1624,"&lt;&gt;"&amp;B162)</f>
        <v>0</v>
      </c>
      <c r="L162" s="1" t="str">
        <f aca="false">IF(I162&gt;1,IF(K162&gt;0,"Cross-hospital match","Same-hospital match"),"")</f>
        <v/>
      </c>
      <c r="M162" s="52"/>
      <c r="N162" s="52"/>
      <c r="O162" s="1" t="n">
        <f aca="false">IF(M162="Exclude (duplicate)",0,1)</f>
        <v>1</v>
      </c>
      <c r="P162" s="1" t="str">
        <f aca="false">IF(AND(L162&lt;&gt;"",M162=""),"Needs decision","")</f>
        <v/>
      </c>
    </row>
    <row r="163" customFormat="false" ht="15" hidden="false" customHeight="false" outlineLevel="0" collapsed="false">
      <c r="A163" s="48" t="str">
        <f aca="false">COST!A163</f>
        <v>KVMC-0159</v>
      </c>
      <c r="B163" s="48" t="str">
        <f aca="false">COST!B163</f>
        <v>KVMC</v>
      </c>
      <c r="C163" s="48" t="str">
        <f aca="false">COST!D163</f>
        <v>Mobile Health Screening Unit</v>
      </c>
      <c r="D163" s="62" t="n">
        <f aca="false">COST!M163</f>
        <v>45961</v>
      </c>
      <c r="E163" s="48" t="str">
        <f aca="false">COST!P163</f>
        <v>Registered Nurse</v>
      </c>
      <c r="F163" s="63" t="n">
        <f aca="false">COST!R163</f>
        <v>117</v>
      </c>
      <c r="G163" s="48" t="str">
        <f aca="false">STACK!M163</f>
        <v/>
      </c>
      <c r="H163" s="1" t="str">
        <f aca="false">C163&amp;"|"&amp;IF(ISNUMBER(D163),TEXT(D163,"yyyy-mm-dd"),"no date")&amp;"|"&amp;E163&amp;"|"&amp;IF(ISNUMBER(F163),TEXT(F163,"0.00"),"blank")</f>
        <v>Mobile Health Screening Unit|2025-10-31|Registered Nurse|117.00</v>
      </c>
      <c r="I163" s="1" t="n">
        <f aca="false">COUNTIF($H$5:$H$1624,H163)</f>
        <v>1</v>
      </c>
      <c r="J163" s="1" t="n">
        <f aca="false">COUNTIF($H$5:H163,H163)</f>
        <v>1</v>
      </c>
      <c r="K163" s="1" t="n">
        <f aca="false">COUNTIFS($H$5:$H$1624,H163,$B$5:$B$1624,"&lt;&gt;"&amp;B163)</f>
        <v>0</v>
      </c>
      <c r="L163" s="1" t="str">
        <f aca="false">IF(I163&gt;1,IF(K163&gt;0,"Cross-hospital match","Same-hospital match"),"")</f>
        <v/>
      </c>
      <c r="M163" s="52"/>
      <c r="N163" s="52"/>
      <c r="O163" s="1" t="n">
        <f aca="false">IF(M163="Exclude (duplicate)",0,1)</f>
        <v>1</v>
      </c>
      <c r="P163" s="1" t="str">
        <f aca="false">IF(AND(L163&lt;&gt;"",M163=""),"Needs decision","")</f>
        <v/>
      </c>
    </row>
    <row r="164" customFormat="false" ht="15" hidden="false" customHeight="false" outlineLevel="0" collapsed="false">
      <c r="A164" s="48" t="str">
        <f aca="false">COST!A164</f>
        <v>KVMC-0160</v>
      </c>
      <c r="B164" s="48" t="str">
        <f aca="false">COST!B164</f>
        <v>KVMC</v>
      </c>
      <c r="C164" s="48" t="str">
        <f aca="false">COST!D164</f>
        <v>Free Clinic Provider Staffing</v>
      </c>
      <c r="D164" s="62" t="n">
        <f aca="false">COST!M164</f>
        <v>45961</v>
      </c>
      <c r="E164" s="48" t="str">
        <f aca="false">COST!P164</f>
        <v>Nurse Practitioner</v>
      </c>
      <c r="F164" s="63" t="n">
        <f aca="false">COST!R164</f>
        <v>42.75</v>
      </c>
      <c r="G164" s="48" t="str">
        <f aca="false">STACK!M164</f>
        <v/>
      </c>
      <c r="H164" s="1" t="str">
        <f aca="false">C164&amp;"|"&amp;IF(ISNUMBER(D164),TEXT(D164,"yyyy-mm-dd"),"no date")&amp;"|"&amp;E164&amp;"|"&amp;IF(ISNUMBER(F164),TEXT(F164,"0.00"),"blank")</f>
        <v>Free Clinic Provider Staffing|2025-10-31|Nurse Practitioner|42.75</v>
      </c>
      <c r="I164" s="1" t="n">
        <f aca="false">COUNTIF($H$5:$H$1624,H164)</f>
        <v>1</v>
      </c>
      <c r="J164" s="1" t="n">
        <f aca="false">COUNTIF($H$5:H164,H164)</f>
        <v>1</v>
      </c>
      <c r="K164" s="1" t="n">
        <f aca="false">COUNTIFS($H$5:$H$1624,H164,$B$5:$B$1624,"&lt;&gt;"&amp;B164)</f>
        <v>0</v>
      </c>
      <c r="L164" s="1" t="str">
        <f aca="false">IF(I164&gt;1,IF(K164&gt;0,"Cross-hospital match","Same-hospital match"),"")</f>
        <v/>
      </c>
      <c r="M164" s="52"/>
      <c r="N164" s="52"/>
      <c r="O164" s="1" t="n">
        <f aca="false">IF(M164="Exclude (duplicate)",0,1)</f>
        <v>1</v>
      </c>
      <c r="P164" s="1" t="str">
        <f aca="false">IF(AND(L164&lt;&gt;"",M164=""),"Needs decision","")</f>
        <v/>
      </c>
    </row>
    <row r="165" customFormat="false" ht="15" hidden="false" customHeight="false" outlineLevel="0" collapsed="false">
      <c r="A165" s="48" t="str">
        <f aca="false">COST!A165</f>
        <v>KVMC-0161</v>
      </c>
      <c r="B165" s="48" t="str">
        <f aca="false">COST!B165</f>
        <v>KVMC</v>
      </c>
      <c r="C165" s="48" t="str">
        <f aca="false">COST!D165</f>
        <v>Free Clinic Provider Staffing</v>
      </c>
      <c r="D165" s="62" t="n">
        <f aca="false">COST!M165</f>
        <v>45961</v>
      </c>
      <c r="E165" s="48" t="str">
        <f aca="false">COST!P165</f>
        <v>Pharmacist</v>
      </c>
      <c r="F165" s="63" t="n">
        <f aca="false">COST!R165</f>
        <v>12.75</v>
      </c>
      <c r="G165" s="48" t="str">
        <f aca="false">STACK!M165</f>
        <v/>
      </c>
      <c r="H165" s="1" t="str">
        <f aca="false">C165&amp;"|"&amp;IF(ISNUMBER(D165),TEXT(D165,"yyyy-mm-dd"),"no date")&amp;"|"&amp;E165&amp;"|"&amp;IF(ISNUMBER(F165),TEXT(F165,"0.00"),"blank")</f>
        <v>Free Clinic Provider Staffing|2025-10-31|Pharmacist|12.75</v>
      </c>
      <c r="I165" s="1" t="n">
        <f aca="false">COUNTIF($H$5:$H$1624,H165)</f>
        <v>1</v>
      </c>
      <c r="J165" s="1" t="n">
        <f aca="false">COUNTIF($H$5:H165,H165)</f>
        <v>1</v>
      </c>
      <c r="K165" s="1" t="n">
        <f aca="false">COUNTIFS($H$5:$H$1624,H165,$B$5:$B$1624,"&lt;&gt;"&amp;B165)</f>
        <v>0</v>
      </c>
      <c r="L165" s="1" t="str">
        <f aca="false">IF(I165&gt;1,IF(K165&gt;0,"Cross-hospital match","Same-hospital match"),"")</f>
        <v/>
      </c>
      <c r="M165" s="52"/>
      <c r="N165" s="52"/>
      <c r="O165" s="1" t="n">
        <f aca="false">IF(M165="Exclude (duplicate)",0,1)</f>
        <v>1</v>
      </c>
      <c r="P165" s="1" t="str">
        <f aca="false">IF(AND(L165&lt;&gt;"",M165=""),"Needs decision","")</f>
        <v/>
      </c>
    </row>
    <row r="166" customFormat="false" ht="15" hidden="false" customHeight="false" outlineLevel="0" collapsed="false">
      <c r="A166" s="48" t="str">
        <f aca="false">COST!A166</f>
        <v>KVMC-0162</v>
      </c>
      <c r="B166" s="48" t="str">
        <f aca="false">COST!B166</f>
        <v>KVMC</v>
      </c>
      <c r="C166" s="48" t="str">
        <f aca="false">COST!D166</f>
        <v>Free Clinic Provider Staffing</v>
      </c>
      <c r="D166" s="62" t="n">
        <f aca="false">COST!M166</f>
        <v>45961</v>
      </c>
      <c r="E166" s="48" t="str">
        <f aca="false">COST!P166</f>
        <v>Registered Nurse</v>
      </c>
      <c r="F166" s="63" t="n">
        <f aca="false">COST!R166</f>
        <v>42.75</v>
      </c>
      <c r="G166" s="48" t="str">
        <f aca="false">STACK!M166</f>
        <v/>
      </c>
      <c r="H166" s="1" t="str">
        <f aca="false">C166&amp;"|"&amp;IF(ISNUMBER(D166),TEXT(D166,"yyyy-mm-dd"),"no date")&amp;"|"&amp;E166&amp;"|"&amp;IF(ISNUMBER(F166),TEXT(F166,"0.00"),"blank")</f>
        <v>Free Clinic Provider Staffing|2025-10-31|Registered Nurse|42.75</v>
      </c>
      <c r="I166" s="1" t="n">
        <f aca="false">COUNTIF($H$5:$H$1624,H166)</f>
        <v>1</v>
      </c>
      <c r="J166" s="1" t="n">
        <f aca="false">COUNTIF($H$5:H166,H166)</f>
        <v>1</v>
      </c>
      <c r="K166" s="1" t="n">
        <f aca="false">COUNTIFS($H$5:$H$1624,H166,$B$5:$B$1624,"&lt;&gt;"&amp;B166)</f>
        <v>0</v>
      </c>
      <c r="L166" s="1" t="str">
        <f aca="false">IF(I166&gt;1,IF(K166&gt;0,"Cross-hospital match","Same-hospital match"),"")</f>
        <v/>
      </c>
      <c r="M166" s="52"/>
      <c r="N166" s="52"/>
      <c r="O166" s="1" t="n">
        <f aca="false">IF(M166="Exclude (duplicate)",0,1)</f>
        <v>1</v>
      </c>
      <c r="P166" s="1" t="str">
        <f aca="false">IF(AND(L166&lt;&gt;"",M166=""),"Needs decision","")</f>
        <v/>
      </c>
    </row>
    <row r="167" customFormat="false" ht="15" hidden="false" customHeight="false" outlineLevel="0" collapsed="false">
      <c r="A167" s="48" t="str">
        <f aca="false">COST!A167</f>
        <v>KVMC-0163</v>
      </c>
      <c r="B167" s="48" t="str">
        <f aca="false">COST!B167</f>
        <v>KVMC</v>
      </c>
      <c r="C167" s="48" t="str">
        <f aca="false">COST!D167</f>
        <v>Community Health Worker Outreach</v>
      </c>
      <c r="D167" s="62" t="n">
        <f aca="false">COST!M167</f>
        <v>45961</v>
      </c>
      <c r="E167" s="48" t="str">
        <f aca="false">COST!P167</f>
        <v>Community Health Worker</v>
      </c>
      <c r="F167" s="63" t="n">
        <f aca="false">COST!R167</f>
        <v>485.75</v>
      </c>
      <c r="G167" s="48" t="str">
        <f aca="false">STACK!M167</f>
        <v/>
      </c>
      <c r="H167" s="1" t="str">
        <f aca="false">C167&amp;"|"&amp;IF(ISNUMBER(D167),TEXT(D167,"yyyy-mm-dd"),"no date")&amp;"|"&amp;E167&amp;"|"&amp;IF(ISNUMBER(F167),TEXT(F167,"0.00"),"blank")</f>
        <v>Community Health Worker Outreach|2025-10-31|Community Health Worker|485.75</v>
      </c>
      <c r="I167" s="1" t="n">
        <f aca="false">COUNTIF($H$5:$H$1624,H167)</f>
        <v>1</v>
      </c>
      <c r="J167" s="1" t="n">
        <f aca="false">COUNTIF($H$5:H167,H167)</f>
        <v>1</v>
      </c>
      <c r="K167" s="1" t="n">
        <f aca="false">COUNTIFS($H$5:$H$1624,H167,$B$5:$B$1624,"&lt;&gt;"&amp;B167)</f>
        <v>0</v>
      </c>
      <c r="L167" s="1" t="str">
        <f aca="false">IF(I167&gt;1,IF(K167&gt;0,"Cross-hospital match","Same-hospital match"),"")</f>
        <v/>
      </c>
      <c r="M167" s="52"/>
      <c r="N167" s="52"/>
      <c r="O167" s="1" t="n">
        <f aca="false">IF(M167="Exclude (duplicate)",0,1)</f>
        <v>1</v>
      </c>
      <c r="P167" s="1" t="str">
        <f aca="false">IF(AND(L167&lt;&gt;"",M167=""),"Needs decision","")</f>
        <v/>
      </c>
    </row>
    <row r="168" customFormat="false" ht="15" hidden="false" customHeight="false" outlineLevel="0" collapsed="false">
      <c r="A168" s="48" t="str">
        <f aca="false">COST!A168</f>
        <v>KVMC-0164</v>
      </c>
      <c r="B168" s="48" t="str">
        <f aca="false">COST!B168</f>
        <v>KVMC</v>
      </c>
      <c r="C168" s="48" t="str">
        <f aca="false">COST!D168</f>
        <v>Community Health Worker Outreach</v>
      </c>
      <c r="D168" s="62" t="n">
        <f aca="false">COST!M168</f>
        <v>45961</v>
      </c>
      <c r="E168" s="48" t="str">
        <f aca="false">COST!P168</f>
        <v>Patient Navigator</v>
      </c>
      <c r="F168" s="63" t="n">
        <f aca="false">COST!R168</f>
        <v>214.5</v>
      </c>
      <c r="G168" s="48" t="str">
        <f aca="false">STACK!M168</f>
        <v/>
      </c>
      <c r="H168" s="1" t="str">
        <f aca="false">C168&amp;"|"&amp;IF(ISNUMBER(D168),TEXT(D168,"yyyy-mm-dd"),"no date")&amp;"|"&amp;E168&amp;"|"&amp;IF(ISNUMBER(F168),TEXT(F168,"0.00"),"blank")</f>
        <v>Community Health Worker Outreach|2025-10-31|Patient Navigator|214.50</v>
      </c>
      <c r="I168" s="1" t="n">
        <f aca="false">COUNTIF($H$5:$H$1624,H168)</f>
        <v>1</v>
      </c>
      <c r="J168" s="1" t="n">
        <f aca="false">COUNTIF($H$5:H168,H168)</f>
        <v>1</v>
      </c>
      <c r="K168" s="1" t="n">
        <f aca="false">COUNTIFS($H$5:$H$1624,H168,$B$5:$B$1624,"&lt;&gt;"&amp;B168)</f>
        <v>0</v>
      </c>
      <c r="L168" s="1" t="str">
        <f aca="false">IF(I168&gt;1,IF(K168&gt;0,"Cross-hospital match","Same-hospital match"),"")</f>
        <v/>
      </c>
      <c r="M168" s="52"/>
      <c r="N168" s="52"/>
      <c r="O168" s="1" t="n">
        <f aca="false">IF(M168="Exclude (duplicate)",0,1)</f>
        <v>1</v>
      </c>
      <c r="P168" s="1" t="str">
        <f aca="false">IF(AND(L168&lt;&gt;"",M168=""),"Needs decision","")</f>
        <v/>
      </c>
    </row>
    <row r="169" customFormat="false" ht="15" hidden="false" customHeight="false" outlineLevel="0" collapsed="false">
      <c r="A169" s="48" t="str">
        <f aca="false">COST!A169</f>
        <v>KVMC-0165</v>
      </c>
      <c r="B169" s="48" t="str">
        <f aca="false">COST!B169</f>
        <v>KVMC</v>
      </c>
      <c r="C169" s="48" t="str">
        <f aca="false">COST!D169</f>
        <v>Medication Assistance Program</v>
      </c>
      <c r="D169" s="62" t="n">
        <f aca="false">COST!M169</f>
        <v>45961</v>
      </c>
      <c r="E169" s="48" t="str">
        <f aca="false">COST!P169</f>
        <v>Patient Navigator</v>
      </c>
      <c r="F169" s="63" t="n">
        <f aca="false">COST!R169</f>
        <v>98.25</v>
      </c>
      <c r="G169" s="48" t="str">
        <f aca="false">STACK!M169</f>
        <v/>
      </c>
      <c r="H169" s="1" t="str">
        <f aca="false">C169&amp;"|"&amp;IF(ISNUMBER(D169),TEXT(D169,"yyyy-mm-dd"),"no date")&amp;"|"&amp;E169&amp;"|"&amp;IF(ISNUMBER(F169),TEXT(F169,"0.00"),"blank")</f>
        <v>Medication Assistance Program|2025-10-31|Patient Navigator|98.25</v>
      </c>
      <c r="I169" s="1" t="n">
        <f aca="false">COUNTIF($H$5:$H$1624,H169)</f>
        <v>1</v>
      </c>
      <c r="J169" s="1" t="n">
        <f aca="false">COUNTIF($H$5:H169,H169)</f>
        <v>1</v>
      </c>
      <c r="K169" s="1" t="n">
        <f aca="false">COUNTIFS($H$5:$H$1624,H169,$B$5:$B$1624,"&lt;&gt;"&amp;B169)</f>
        <v>0</v>
      </c>
      <c r="L169" s="1" t="str">
        <f aca="false">IF(I169&gt;1,IF(K169&gt;0,"Cross-hospital match","Same-hospital match"),"")</f>
        <v/>
      </c>
      <c r="M169" s="52"/>
      <c r="N169" s="52"/>
      <c r="O169" s="1" t="n">
        <f aca="false">IF(M169="Exclude (duplicate)",0,1)</f>
        <v>1</v>
      </c>
      <c r="P169" s="1" t="str">
        <f aca="false">IF(AND(L169&lt;&gt;"",M169=""),"Needs decision","")</f>
        <v/>
      </c>
    </row>
    <row r="170" customFormat="false" ht="15" hidden="false" customHeight="false" outlineLevel="0" collapsed="false">
      <c r="A170" s="48" t="str">
        <f aca="false">COST!A170</f>
        <v>KVMC-0166</v>
      </c>
      <c r="B170" s="48" t="str">
        <f aca="false">COST!B170</f>
        <v>KVMC</v>
      </c>
      <c r="C170" s="48" t="str">
        <f aca="false">COST!D170</f>
        <v>Medication Assistance Program</v>
      </c>
      <c r="D170" s="62" t="n">
        <f aca="false">COST!M170</f>
        <v>45961</v>
      </c>
      <c r="E170" s="48" t="str">
        <f aca="false">COST!P170</f>
        <v>Pharmacist</v>
      </c>
      <c r="F170" s="63" t="n">
        <f aca="false">COST!R170</f>
        <v>31.5</v>
      </c>
      <c r="G170" s="48" t="str">
        <f aca="false">STACK!M170</f>
        <v/>
      </c>
      <c r="H170" s="1" t="str">
        <f aca="false">C170&amp;"|"&amp;IF(ISNUMBER(D170),TEXT(D170,"yyyy-mm-dd"),"no date")&amp;"|"&amp;E170&amp;"|"&amp;IF(ISNUMBER(F170),TEXT(F170,"0.00"),"blank")</f>
        <v>Medication Assistance Program|2025-10-31|Pharmacist|31.50</v>
      </c>
      <c r="I170" s="1" t="n">
        <f aca="false">COUNTIF($H$5:$H$1624,H170)</f>
        <v>1</v>
      </c>
      <c r="J170" s="1" t="n">
        <f aca="false">COUNTIF($H$5:H170,H170)</f>
        <v>1</v>
      </c>
      <c r="K170" s="1" t="n">
        <f aca="false">COUNTIFS($H$5:$H$1624,H170,$B$5:$B$1624,"&lt;&gt;"&amp;B170)</f>
        <v>0</v>
      </c>
      <c r="L170" s="1" t="str">
        <f aca="false">IF(I170&gt;1,IF(K170&gt;0,"Cross-hospital match","Same-hospital match"),"")</f>
        <v/>
      </c>
      <c r="M170" s="52"/>
      <c r="N170" s="52"/>
      <c r="O170" s="1" t="n">
        <f aca="false">IF(M170="Exclude (duplicate)",0,1)</f>
        <v>1</v>
      </c>
      <c r="P170" s="1" t="str">
        <f aca="false">IF(AND(L170&lt;&gt;"",M170=""),"Needs decision","")</f>
        <v/>
      </c>
    </row>
    <row r="171" customFormat="false" ht="15" hidden="false" customHeight="false" outlineLevel="0" collapsed="false">
      <c r="A171" s="48" t="str">
        <f aca="false">COST!A171</f>
        <v>KVMC-0167</v>
      </c>
      <c r="B171" s="48" t="str">
        <f aca="false">COST!B171</f>
        <v>KVMC</v>
      </c>
      <c r="C171" s="48" t="str">
        <f aca="false">COST!D171</f>
        <v>Community Health Needs Assessment</v>
      </c>
      <c r="D171" s="62" t="n">
        <f aca="false">COST!M171</f>
        <v>45961</v>
      </c>
      <c r="E171" s="48" t="str">
        <f aca="false">COST!P171</f>
        <v>Community Benefit Manager</v>
      </c>
      <c r="F171" s="63" t="n">
        <f aca="false">COST!R171</f>
        <v>43.75</v>
      </c>
      <c r="G171" s="48" t="str">
        <f aca="false">STACK!M171</f>
        <v/>
      </c>
      <c r="H171" s="1" t="str">
        <f aca="false">C171&amp;"|"&amp;IF(ISNUMBER(D171),TEXT(D171,"yyyy-mm-dd"),"no date")&amp;"|"&amp;E171&amp;"|"&amp;IF(ISNUMBER(F171),TEXT(F171,"0.00"),"blank")</f>
        <v>Community Health Needs Assessment|2025-10-31|Community Benefit Manager|43.75</v>
      </c>
      <c r="I171" s="1" t="n">
        <f aca="false">COUNTIF($H$5:$H$1624,H171)</f>
        <v>1</v>
      </c>
      <c r="J171" s="1" t="n">
        <f aca="false">COUNTIF($H$5:H171,H171)</f>
        <v>1</v>
      </c>
      <c r="K171" s="1" t="n">
        <f aca="false">COUNTIFS($H$5:$H$1624,H171,$B$5:$B$1624,"&lt;&gt;"&amp;B171)</f>
        <v>0</v>
      </c>
      <c r="L171" s="1" t="str">
        <f aca="false">IF(I171&gt;1,IF(K171&gt;0,"Cross-hospital match","Same-hospital match"),"")</f>
        <v/>
      </c>
      <c r="M171" s="52"/>
      <c r="N171" s="52"/>
      <c r="O171" s="1" t="n">
        <f aca="false">IF(M171="Exclude (duplicate)",0,1)</f>
        <v>1</v>
      </c>
      <c r="P171" s="1" t="str">
        <f aca="false">IF(AND(L171&lt;&gt;"",M171=""),"Needs decision","")</f>
        <v/>
      </c>
    </row>
    <row r="172" customFormat="false" ht="15" hidden="false" customHeight="false" outlineLevel="0" collapsed="false">
      <c r="A172" s="48" t="str">
        <f aca="false">COST!A172</f>
        <v>KVMC-0168</v>
      </c>
      <c r="B172" s="48" t="str">
        <f aca="false">COST!B172</f>
        <v>KVMC</v>
      </c>
      <c r="C172" s="48" t="str">
        <f aca="false">COST!D172</f>
        <v>Community Health Needs Assessment</v>
      </c>
      <c r="D172" s="62" t="n">
        <f aca="false">COST!M172</f>
        <v>45961</v>
      </c>
      <c r="E172" s="48" t="str">
        <f aca="false">COST!P172</f>
        <v>Data Analyst</v>
      </c>
      <c r="F172" s="63" t="n">
        <f aca="false">COST!R172</f>
        <v>33.5</v>
      </c>
      <c r="G172" s="48" t="str">
        <f aca="false">STACK!M172</f>
        <v/>
      </c>
      <c r="H172" s="1" t="str">
        <f aca="false">C172&amp;"|"&amp;IF(ISNUMBER(D172),TEXT(D172,"yyyy-mm-dd"),"no date")&amp;"|"&amp;E172&amp;"|"&amp;IF(ISNUMBER(F172),TEXT(F172,"0.00"),"blank")</f>
        <v>Community Health Needs Assessment|2025-10-31|Data Analyst|33.50</v>
      </c>
      <c r="I172" s="1" t="n">
        <f aca="false">COUNTIF($H$5:$H$1624,H172)</f>
        <v>1</v>
      </c>
      <c r="J172" s="1" t="n">
        <f aca="false">COUNTIF($H$5:H172,H172)</f>
        <v>1</v>
      </c>
      <c r="K172" s="1" t="n">
        <f aca="false">COUNTIFS($H$5:$H$1624,H172,$B$5:$B$1624,"&lt;&gt;"&amp;B172)</f>
        <v>0</v>
      </c>
      <c r="L172" s="1" t="str">
        <f aca="false">IF(I172&gt;1,IF(K172&gt;0,"Cross-hospital match","Same-hospital match"),"")</f>
        <v/>
      </c>
      <c r="M172" s="52"/>
      <c r="N172" s="52"/>
      <c r="O172" s="1" t="n">
        <f aca="false">IF(M172="Exclude (duplicate)",0,1)</f>
        <v>1</v>
      </c>
      <c r="P172" s="1" t="str">
        <f aca="false">IF(AND(L172&lt;&gt;"",M172=""),"Needs decision","")</f>
        <v/>
      </c>
    </row>
    <row r="173" customFormat="false" ht="15" hidden="false" customHeight="false" outlineLevel="0" collapsed="false">
      <c r="A173" s="48" t="str">
        <f aca="false">COST!A173</f>
        <v>KVMC-0169</v>
      </c>
      <c r="B173" s="48" t="str">
        <f aca="false">COST!B173</f>
        <v>KVMC</v>
      </c>
      <c r="C173" s="48" t="str">
        <f aca="false">COST!D173</f>
        <v>Community Benefit Program Administration</v>
      </c>
      <c r="D173" s="62" t="n">
        <f aca="false">COST!M173</f>
        <v>45961</v>
      </c>
      <c r="E173" s="48" t="str">
        <f aca="false">COST!P173</f>
        <v>Administrative Assistant</v>
      </c>
      <c r="F173" s="63" t="n">
        <f aca="false">COST!R173</f>
        <v>51.25</v>
      </c>
      <c r="G173" s="48" t="str">
        <f aca="false">STACK!M173</f>
        <v/>
      </c>
      <c r="H173" s="1" t="str">
        <f aca="false">C173&amp;"|"&amp;IF(ISNUMBER(D173),TEXT(D173,"yyyy-mm-dd"),"no date")&amp;"|"&amp;E173&amp;"|"&amp;IF(ISNUMBER(F173),TEXT(F173,"0.00"),"blank")</f>
        <v>Community Benefit Program Administration|2025-10-31|Administrative Assistant|51.25</v>
      </c>
      <c r="I173" s="1" t="n">
        <f aca="false">COUNTIF($H$5:$H$1624,H173)</f>
        <v>1</v>
      </c>
      <c r="J173" s="1" t="n">
        <f aca="false">COUNTIF($H$5:H173,H173)</f>
        <v>1</v>
      </c>
      <c r="K173" s="1" t="n">
        <f aca="false">COUNTIFS($H$5:$H$1624,H173,$B$5:$B$1624,"&lt;&gt;"&amp;B173)</f>
        <v>0</v>
      </c>
      <c r="L173" s="1" t="str">
        <f aca="false">IF(I173&gt;1,IF(K173&gt;0,"Cross-hospital match","Same-hospital match"),"")</f>
        <v/>
      </c>
      <c r="M173" s="52"/>
      <c r="N173" s="52"/>
      <c r="O173" s="1" t="n">
        <f aca="false">IF(M173="Exclude (duplicate)",0,1)</f>
        <v>1</v>
      </c>
      <c r="P173" s="1" t="str">
        <f aca="false">IF(AND(L173&lt;&gt;"",M173=""),"Needs decision","")</f>
        <v/>
      </c>
    </row>
    <row r="174" customFormat="false" ht="15" hidden="false" customHeight="false" outlineLevel="0" collapsed="false">
      <c r="A174" s="48" t="str">
        <f aca="false">COST!A174</f>
        <v>KVMC-0170</v>
      </c>
      <c r="B174" s="48" t="str">
        <f aca="false">COST!B174</f>
        <v>KVMC</v>
      </c>
      <c r="C174" s="48" t="str">
        <f aca="false">COST!D174</f>
        <v>Community Benefit Program Administration</v>
      </c>
      <c r="D174" s="62" t="n">
        <f aca="false">COST!M174</f>
        <v>45961</v>
      </c>
      <c r="E174" s="48" t="str">
        <f aca="false">COST!P174</f>
        <v>Community Benefit Manager</v>
      </c>
      <c r="F174" s="63" t="n">
        <f aca="false">COST!R174</f>
        <v>97.25</v>
      </c>
      <c r="G174" s="48" t="str">
        <f aca="false">STACK!M174</f>
        <v/>
      </c>
      <c r="H174" s="1" t="str">
        <f aca="false">C174&amp;"|"&amp;IF(ISNUMBER(D174),TEXT(D174,"yyyy-mm-dd"),"no date")&amp;"|"&amp;E174&amp;"|"&amp;IF(ISNUMBER(F174),TEXT(F174,"0.00"),"blank")</f>
        <v>Community Benefit Program Administration|2025-10-31|Community Benefit Manager|97.25</v>
      </c>
      <c r="I174" s="1" t="n">
        <f aca="false">COUNTIF($H$5:$H$1624,H174)</f>
        <v>1</v>
      </c>
      <c r="J174" s="1" t="n">
        <f aca="false">COUNTIF($H$5:H174,H174)</f>
        <v>1</v>
      </c>
      <c r="K174" s="1" t="n">
        <f aca="false">COUNTIFS($H$5:$H$1624,H174,$B$5:$B$1624,"&lt;&gt;"&amp;B174)</f>
        <v>0</v>
      </c>
      <c r="L174" s="1" t="str">
        <f aca="false">IF(I174&gt;1,IF(K174&gt;0,"Cross-hospital match","Same-hospital match"),"")</f>
        <v/>
      </c>
      <c r="M174" s="52"/>
      <c r="N174" s="52"/>
      <c r="O174" s="1" t="n">
        <f aca="false">IF(M174="Exclude (duplicate)",0,1)</f>
        <v>1</v>
      </c>
      <c r="P174" s="1" t="str">
        <f aca="false">IF(AND(L174&lt;&gt;"",M174=""),"Needs decision","")</f>
        <v/>
      </c>
    </row>
    <row r="175" customFormat="false" ht="15" hidden="false" customHeight="false" outlineLevel="0" collapsed="false">
      <c r="A175" s="48" t="str">
        <f aca="false">COST!A175</f>
        <v>KVMC-0171</v>
      </c>
      <c r="B175" s="48" t="str">
        <f aca="false">COST!B175</f>
        <v>KVMC</v>
      </c>
      <c r="C175" s="48" t="str">
        <f aca="false">COST!D175</f>
        <v>Interpreter Services for Community Clinics</v>
      </c>
      <c r="D175" s="62" t="n">
        <f aca="false">COST!M175</f>
        <v>45961</v>
      </c>
      <c r="E175" s="48" t="str">
        <f aca="false">COST!P175</f>
        <v>Interpreter</v>
      </c>
      <c r="F175" s="63" t="n">
        <f aca="false">COST!R175</f>
        <v>68.25</v>
      </c>
      <c r="G175" s="48" t="str">
        <f aca="false">STACK!M175</f>
        <v/>
      </c>
      <c r="H175" s="1" t="str">
        <f aca="false">C175&amp;"|"&amp;IF(ISNUMBER(D175),TEXT(D175,"yyyy-mm-dd"),"no date")&amp;"|"&amp;E175&amp;"|"&amp;IF(ISNUMBER(F175),TEXT(F175,"0.00"),"blank")</f>
        <v>Interpreter Services for Community Clinics|2025-10-31|Interpreter|68.25</v>
      </c>
      <c r="I175" s="1" t="n">
        <f aca="false">COUNTIF($H$5:$H$1624,H175)</f>
        <v>1</v>
      </c>
      <c r="J175" s="1" t="n">
        <f aca="false">COUNTIF($H$5:H175,H175)</f>
        <v>1</v>
      </c>
      <c r="K175" s="1" t="n">
        <f aca="false">COUNTIFS($H$5:$H$1624,H175,$B$5:$B$1624,"&lt;&gt;"&amp;B175)</f>
        <v>0</v>
      </c>
      <c r="L175" s="1" t="str">
        <f aca="false">IF(I175&gt;1,IF(K175&gt;0,"Cross-hospital match","Same-hospital match"),"")</f>
        <v/>
      </c>
      <c r="M175" s="52"/>
      <c r="N175" s="52"/>
      <c r="O175" s="1" t="n">
        <f aca="false">IF(M175="Exclude (duplicate)",0,1)</f>
        <v>1</v>
      </c>
      <c r="P175" s="1" t="str">
        <f aca="false">IF(AND(L175&lt;&gt;"",M175=""),"Needs decision","")</f>
        <v/>
      </c>
    </row>
    <row r="176" customFormat="false" ht="15" hidden="false" customHeight="false" outlineLevel="0" collapsed="false">
      <c r="A176" s="48" t="str">
        <f aca="false">COST!A176</f>
        <v>KVMC-0172</v>
      </c>
      <c r="B176" s="48" t="str">
        <f aca="false">COST!B176</f>
        <v>KVMC</v>
      </c>
      <c r="C176" s="48" t="str">
        <f aca="false">COST!D176</f>
        <v>Nursing Student Clinical Rotations</v>
      </c>
      <c r="D176" s="62" t="n">
        <f aca="false">COST!M176</f>
        <v>45961</v>
      </c>
      <c r="E176" s="48" t="str">
        <f aca="false">COST!P176</f>
        <v>Clinical Nurse Educator</v>
      </c>
      <c r="F176" s="63" t="n">
        <f aca="false">COST!R176</f>
        <v>150</v>
      </c>
      <c r="G176" s="48" t="str">
        <f aca="false">STACK!M176</f>
        <v/>
      </c>
      <c r="H176" s="1" t="str">
        <f aca="false">C176&amp;"|"&amp;IF(ISNUMBER(D176),TEXT(D176,"yyyy-mm-dd"),"no date")&amp;"|"&amp;E176&amp;"|"&amp;IF(ISNUMBER(F176),TEXT(F176,"0.00"),"blank")</f>
        <v>Nursing Student Clinical Rotations|2025-10-31|Clinical Nurse Educator|150.00</v>
      </c>
      <c r="I176" s="1" t="n">
        <f aca="false">COUNTIF($H$5:$H$1624,H176)</f>
        <v>1</v>
      </c>
      <c r="J176" s="1" t="n">
        <f aca="false">COUNTIF($H$5:H176,H176)</f>
        <v>1</v>
      </c>
      <c r="K176" s="1" t="n">
        <f aca="false">COUNTIFS($H$5:$H$1624,H176,$B$5:$B$1624,"&lt;&gt;"&amp;B176)</f>
        <v>0</v>
      </c>
      <c r="L176" s="1" t="str">
        <f aca="false">IF(I176&gt;1,IF(K176&gt;0,"Cross-hospital match","Same-hospital match"),"")</f>
        <v/>
      </c>
      <c r="M176" s="52"/>
      <c r="N176" s="52"/>
      <c r="O176" s="1" t="n">
        <f aca="false">IF(M176="Exclude (duplicate)",0,1)</f>
        <v>1</v>
      </c>
      <c r="P176" s="1" t="str">
        <f aca="false">IF(AND(L176&lt;&gt;"",M176=""),"Needs decision","")</f>
        <v/>
      </c>
    </row>
    <row r="177" customFormat="false" ht="15" hidden="false" customHeight="false" outlineLevel="0" collapsed="false">
      <c r="A177" s="48" t="str">
        <f aca="false">COST!A177</f>
        <v>KVMC-0173</v>
      </c>
      <c r="B177" s="48" t="str">
        <f aca="false">COST!B177</f>
        <v>KVMC</v>
      </c>
      <c r="C177" s="48" t="str">
        <f aca="false">COST!D177</f>
        <v>Nursing Student Clinical Rotations</v>
      </c>
      <c r="D177" s="62" t="n">
        <f aca="false">COST!M177</f>
        <v>45961</v>
      </c>
      <c r="E177" s="48" t="str">
        <f aca="false">COST!P177</f>
        <v>Registered Nurse</v>
      </c>
      <c r="F177" s="63" t="n">
        <f aca="false">COST!R177</f>
        <v>209.25</v>
      </c>
      <c r="G177" s="48" t="str">
        <f aca="false">STACK!M177</f>
        <v/>
      </c>
      <c r="H177" s="1" t="str">
        <f aca="false">C177&amp;"|"&amp;IF(ISNUMBER(D177),TEXT(D177,"yyyy-mm-dd"),"no date")&amp;"|"&amp;E177&amp;"|"&amp;IF(ISNUMBER(F177),TEXT(F177,"0.00"),"blank")</f>
        <v>Nursing Student Clinical Rotations|2025-10-31|Registered Nurse|209.25</v>
      </c>
      <c r="I177" s="1" t="n">
        <f aca="false">COUNTIF($H$5:$H$1624,H177)</f>
        <v>1</v>
      </c>
      <c r="J177" s="1" t="n">
        <f aca="false">COUNTIF($H$5:H177,H177)</f>
        <v>1</v>
      </c>
      <c r="K177" s="1" t="n">
        <f aca="false">COUNTIFS($H$5:$H$1624,H177,$B$5:$B$1624,"&lt;&gt;"&amp;B177)</f>
        <v>0</v>
      </c>
      <c r="L177" s="1" t="str">
        <f aca="false">IF(I177&gt;1,IF(K177&gt;0,"Cross-hospital match","Same-hospital match"),"")</f>
        <v/>
      </c>
      <c r="M177" s="52"/>
      <c r="N177" s="52"/>
      <c r="O177" s="1" t="n">
        <f aca="false">IF(M177="Exclude (duplicate)",0,1)</f>
        <v>1</v>
      </c>
      <c r="P177" s="1" t="str">
        <f aca="false">IF(AND(L177&lt;&gt;"",M177=""),"Needs decision","")</f>
        <v/>
      </c>
    </row>
    <row r="178" customFormat="false" ht="15" hidden="false" customHeight="false" outlineLevel="0" collapsed="false">
      <c r="A178" s="48" t="str">
        <f aca="false">COST!A178</f>
        <v>KVMC-0174</v>
      </c>
      <c r="B178" s="48" t="str">
        <f aca="false">COST!B178</f>
        <v>KVMC</v>
      </c>
      <c r="C178" s="48" t="str">
        <f aca="false">COST!D178</f>
        <v>Family Medicine Residency Program</v>
      </c>
      <c r="D178" s="62" t="n">
        <f aca="false">COST!M178</f>
        <v>45961</v>
      </c>
      <c r="E178" s="48" t="str">
        <f aca="false">COST!P178</f>
        <v>Physician</v>
      </c>
      <c r="F178" s="63" t="n">
        <f aca="false">COST!R178</f>
        <v>373.5</v>
      </c>
      <c r="G178" s="48" t="str">
        <f aca="false">STACK!M178</f>
        <v/>
      </c>
      <c r="H178" s="1" t="str">
        <f aca="false">C178&amp;"|"&amp;IF(ISNUMBER(D178),TEXT(D178,"yyyy-mm-dd"),"no date")&amp;"|"&amp;E178&amp;"|"&amp;IF(ISNUMBER(F178),TEXT(F178,"0.00"),"blank")</f>
        <v>Family Medicine Residency Program|2025-10-31|Physician|373.50</v>
      </c>
      <c r="I178" s="1" t="n">
        <f aca="false">COUNTIF($H$5:$H$1624,H178)</f>
        <v>1</v>
      </c>
      <c r="J178" s="1" t="n">
        <f aca="false">COUNTIF($H$5:H178,H178)</f>
        <v>1</v>
      </c>
      <c r="K178" s="1" t="n">
        <f aca="false">COUNTIFS($H$5:$H$1624,H178,$B$5:$B$1624,"&lt;&gt;"&amp;B178)</f>
        <v>0</v>
      </c>
      <c r="L178" s="1" t="str">
        <f aca="false">IF(I178&gt;1,IF(K178&gt;0,"Cross-hospital match","Same-hospital match"),"")</f>
        <v/>
      </c>
      <c r="M178" s="52"/>
      <c r="N178" s="52"/>
      <c r="O178" s="1" t="n">
        <f aca="false">IF(M178="Exclude (duplicate)",0,1)</f>
        <v>1</v>
      </c>
      <c r="P178" s="1" t="str">
        <f aca="false">IF(AND(L178&lt;&gt;"",M178=""),"Needs decision","")</f>
        <v/>
      </c>
    </row>
    <row r="179" customFormat="false" ht="15" hidden="false" customHeight="false" outlineLevel="0" collapsed="false">
      <c r="A179" s="48" t="str">
        <f aca="false">COST!A179</f>
        <v>KVMC-0175</v>
      </c>
      <c r="B179" s="48" t="str">
        <f aca="false">COST!B179</f>
        <v>KVMC</v>
      </c>
      <c r="C179" s="48" t="str">
        <f aca="false">COST!D179</f>
        <v>Family Medicine Residency Program</v>
      </c>
      <c r="D179" s="62" t="n">
        <f aca="false">COST!M179</f>
        <v>45961</v>
      </c>
      <c r="E179" s="48" t="str">
        <f aca="false">COST!P179</f>
        <v>Program Coordinator</v>
      </c>
      <c r="F179" s="63" t="n">
        <f aca="false">COST!R179</f>
        <v>163.75</v>
      </c>
      <c r="G179" s="48" t="str">
        <f aca="false">STACK!M179</f>
        <v/>
      </c>
      <c r="H179" s="1" t="str">
        <f aca="false">C179&amp;"|"&amp;IF(ISNUMBER(D179),TEXT(D179,"yyyy-mm-dd"),"no date")&amp;"|"&amp;E179&amp;"|"&amp;IF(ISNUMBER(F179),TEXT(F179,"0.00"),"blank")</f>
        <v>Family Medicine Residency Program|2025-10-31|Program Coordinator|163.75</v>
      </c>
      <c r="I179" s="1" t="n">
        <f aca="false">COUNTIF($H$5:$H$1624,H179)</f>
        <v>1</v>
      </c>
      <c r="J179" s="1" t="n">
        <f aca="false">COUNTIF($H$5:H179,H179)</f>
        <v>1</v>
      </c>
      <c r="K179" s="1" t="n">
        <f aca="false">COUNTIFS($H$5:$H$1624,H179,$B$5:$B$1624,"&lt;&gt;"&amp;B179)</f>
        <v>0</v>
      </c>
      <c r="L179" s="1" t="str">
        <f aca="false">IF(I179&gt;1,IF(K179&gt;0,"Cross-hospital match","Same-hospital match"),"")</f>
        <v/>
      </c>
      <c r="M179" s="52"/>
      <c r="N179" s="52"/>
      <c r="O179" s="1" t="n">
        <f aca="false">IF(M179="Exclude (duplicate)",0,1)</f>
        <v>1</v>
      </c>
      <c r="P179" s="1" t="str">
        <f aca="false">IF(AND(L179&lt;&gt;"",M179=""),"Needs decision","")</f>
        <v/>
      </c>
    </row>
    <row r="180" customFormat="false" ht="15" hidden="false" customHeight="false" outlineLevel="0" collapsed="false">
      <c r="A180" s="48" t="str">
        <f aca="false">COST!A180</f>
        <v>KVMC-0176</v>
      </c>
      <c r="B180" s="48" t="str">
        <f aca="false">COST!B180</f>
        <v>KVMC</v>
      </c>
      <c r="C180" s="48" t="str">
        <f aca="false">COST!D180</f>
        <v>Family Medicine Residency Program</v>
      </c>
      <c r="D180" s="62" t="n">
        <f aca="false">COST!M180</f>
        <v>45961</v>
      </c>
      <c r="E180" s="48" t="str">
        <f aca="false">COST!P180</f>
        <v>Resident Physician</v>
      </c>
      <c r="F180" s="63" t="n">
        <f aca="false">COST!R180</f>
        <v>4206.75</v>
      </c>
      <c r="G180" s="48" t="str">
        <f aca="false">STACK!M180</f>
        <v/>
      </c>
      <c r="H180" s="1" t="str">
        <f aca="false">C180&amp;"|"&amp;IF(ISNUMBER(D180),TEXT(D180,"yyyy-mm-dd"),"no date")&amp;"|"&amp;E180&amp;"|"&amp;IF(ISNUMBER(F180),TEXT(F180,"0.00"),"blank")</f>
        <v>Family Medicine Residency Program|2025-10-31|Resident Physician|4206.75</v>
      </c>
      <c r="I180" s="1" t="n">
        <f aca="false">COUNTIF($H$5:$H$1624,H180)</f>
        <v>1</v>
      </c>
      <c r="J180" s="1" t="n">
        <f aca="false">COUNTIF($H$5:H180,H180)</f>
        <v>1</v>
      </c>
      <c r="K180" s="1" t="n">
        <f aca="false">COUNTIFS($H$5:$H$1624,H180,$B$5:$B$1624,"&lt;&gt;"&amp;B180)</f>
        <v>0</v>
      </c>
      <c r="L180" s="1" t="str">
        <f aca="false">IF(I180&gt;1,IF(K180&gt;0,"Cross-hospital match","Same-hospital match"),"")</f>
        <v/>
      </c>
      <c r="M180" s="52"/>
      <c r="N180" s="52"/>
      <c r="O180" s="1" t="n">
        <f aca="false">IF(M180="Exclude (duplicate)",0,1)</f>
        <v>1</v>
      </c>
      <c r="P180" s="1" t="str">
        <f aca="false">IF(AND(L180&lt;&gt;"",M180=""),"Needs decision","")</f>
        <v/>
      </c>
    </row>
    <row r="181" customFormat="false" ht="15" hidden="false" customHeight="false" outlineLevel="0" collapsed="false">
      <c r="A181" s="48" t="str">
        <f aca="false">COST!A181</f>
        <v>KVMC-0177</v>
      </c>
      <c r="B181" s="48" t="str">
        <f aca="false">COST!B181</f>
        <v>KVMC</v>
      </c>
      <c r="C181" s="48" t="str">
        <f aca="false">COST!D181</f>
        <v>Pharmacy Student Rotations</v>
      </c>
      <c r="D181" s="62" t="n">
        <f aca="false">COST!M181</f>
        <v>45961</v>
      </c>
      <c r="E181" s="48" t="str">
        <f aca="false">COST!P181</f>
        <v>Pharmacist</v>
      </c>
      <c r="F181" s="63" t="n">
        <f aca="false">COST!R181</f>
        <v>82.5</v>
      </c>
      <c r="G181" s="48" t="str">
        <f aca="false">STACK!M181</f>
        <v/>
      </c>
      <c r="H181" s="1" t="str">
        <f aca="false">C181&amp;"|"&amp;IF(ISNUMBER(D181),TEXT(D181,"yyyy-mm-dd"),"no date")&amp;"|"&amp;E181&amp;"|"&amp;IF(ISNUMBER(F181),TEXT(F181,"0.00"),"blank")</f>
        <v>Pharmacy Student Rotations|2025-10-31|Pharmacist|82.50</v>
      </c>
      <c r="I181" s="1" t="n">
        <f aca="false">COUNTIF($H$5:$H$1624,H181)</f>
        <v>1</v>
      </c>
      <c r="J181" s="1" t="n">
        <f aca="false">COUNTIF($H$5:H181,H181)</f>
        <v>1</v>
      </c>
      <c r="K181" s="1" t="n">
        <f aca="false">COUNTIFS($H$5:$H$1624,H181,$B$5:$B$1624,"&lt;&gt;"&amp;B181)</f>
        <v>0</v>
      </c>
      <c r="L181" s="1" t="str">
        <f aca="false">IF(I181&gt;1,IF(K181&gt;0,"Cross-hospital match","Same-hospital match"),"")</f>
        <v/>
      </c>
      <c r="M181" s="52"/>
      <c r="N181" s="52"/>
      <c r="O181" s="1" t="n">
        <f aca="false">IF(M181="Exclude (duplicate)",0,1)</f>
        <v>1</v>
      </c>
      <c r="P181" s="1" t="str">
        <f aca="false">IF(AND(L181&lt;&gt;"",M181=""),"Needs decision","")</f>
        <v/>
      </c>
    </row>
    <row r="182" customFormat="false" ht="15" hidden="false" customHeight="false" outlineLevel="0" collapsed="false">
      <c r="A182" s="48" t="str">
        <f aca="false">COST!A182</f>
        <v>KVMC-0178</v>
      </c>
      <c r="B182" s="48" t="str">
        <f aca="false">COST!B182</f>
        <v>KVMC</v>
      </c>
      <c r="C182" s="48" t="str">
        <f aca="false">COST!D182</f>
        <v>Community Hypertension Control Study</v>
      </c>
      <c r="D182" s="62" t="n">
        <f aca="false">COST!M182</f>
        <v>45961</v>
      </c>
      <c r="E182" s="48" t="str">
        <f aca="false">COST!P182</f>
        <v>Data Analyst</v>
      </c>
      <c r="F182" s="63" t="n">
        <f aca="false">COST!R182</f>
        <v>50.25</v>
      </c>
      <c r="G182" s="48" t="str">
        <f aca="false">STACK!M182</f>
        <v/>
      </c>
      <c r="H182" s="1" t="str">
        <f aca="false">C182&amp;"|"&amp;IF(ISNUMBER(D182),TEXT(D182,"yyyy-mm-dd"),"no date")&amp;"|"&amp;E182&amp;"|"&amp;IF(ISNUMBER(F182),TEXT(F182,"0.00"),"blank")</f>
        <v>Community Hypertension Control Study|2025-10-31|Data Analyst|50.25</v>
      </c>
      <c r="I182" s="1" t="n">
        <f aca="false">COUNTIF($H$5:$H$1624,H182)</f>
        <v>1</v>
      </c>
      <c r="J182" s="1" t="n">
        <f aca="false">COUNTIF($H$5:H182,H182)</f>
        <v>1</v>
      </c>
      <c r="K182" s="1" t="n">
        <f aca="false">COUNTIFS($H$5:$H$1624,H182,$B$5:$B$1624,"&lt;&gt;"&amp;B182)</f>
        <v>0</v>
      </c>
      <c r="L182" s="1" t="str">
        <f aca="false">IF(I182&gt;1,IF(K182&gt;0,"Cross-hospital match","Same-hospital match"),"")</f>
        <v/>
      </c>
      <c r="M182" s="52"/>
      <c r="N182" s="52"/>
      <c r="O182" s="1" t="n">
        <f aca="false">IF(M182="Exclude (duplicate)",0,1)</f>
        <v>1</v>
      </c>
      <c r="P182" s="1" t="str">
        <f aca="false">IF(AND(L182&lt;&gt;"",M182=""),"Needs decision","")</f>
        <v/>
      </c>
    </row>
    <row r="183" customFormat="false" ht="15" hidden="false" customHeight="false" outlineLevel="0" collapsed="false">
      <c r="A183" s="48" t="str">
        <f aca="false">COST!A183</f>
        <v>KVMC-0179</v>
      </c>
      <c r="B183" s="48" t="str">
        <f aca="false">COST!B183</f>
        <v>KVMC</v>
      </c>
      <c r="C183" s="48" t="str">
        <f aca="false">COST!D183</f>
        <v>Community Hypertension Control Study</v>
      </c>
      <c r="D183" s="62" t="n">
        <f aca="false">COST!M183</f>
        <v>45961</v>
      </c>
      <c r="E183" s="48" t="str">
        <f aca="false">COST!P183</f>
        <v>Physician</v>
      </c>
      <c r="F183" s="63" t="n">
        <f aca="false">COST!R183</f>
        <v>15.25</v>
      </c>
      <c r="G183" s="48" t="str">
        <f aca="false">STACK!M183</f>
        <v/>
      </c>
      <c r="H183" s="1" t="str">
        <f aca="false">C183&amp;"|"&amp;IF(ISNUMBER(D183),TEXT(D183,"yyyy-mm-dd"),"no date")&amp;"|"&amp;E183&amp;"|"&amp;IF(ISNUMBER(F183),TEXT(F183,"0.00"),"blank")</f>
        <v>Community Hypertension Control Study|2025-10-31|Physician|15.25</v>
      </c>
      <c r="I183" s="1" t="n">
        <f aca="false">COUNTIF($H$5:$H$1624,H183)</f>
        <v>1</v>
      </c>
      <c r="J183" s="1" t="n">
        <f aca="false">COUNTIF($H$5:H183,H183)</f>
        <v>1</v>
      </c>
      <c r="K183" s="1" t="n">
        <f aca="false">COUNTIFS($H$5:$H$1624,H183,$B$5:$B$1624,"&lt;&gt;"&amp;B183)</f>
        <v>0</v>
      </c>
      <c r="L183" s="1" t="str">
        <f aca="false">IF(I183&gt;1,IF(K183&gt;0,"Cross-hospital match","Same-hospital match"),"")</f>
        <v/>
      </c>
      <c r="M183" s="52"/>
      <c r="N183" s="52"/>
      <c r="O183" s="1" t="n">
        <f aca="false">IF(M183="Exclude (duplicate)",0,1)</f>
        <v>1</v>
      </c>
      <c r="P183" s="1" t="str">
        <f aca="false">IF(AND(L183&lt;&gt;"",M183=""),"Needs decision","")</f>
        <v/>
      </c>
    </row>
    <row r="184" customFormat="false" ht="15" hidden="false" customHeight="false" outlineLevel="0" collapsed="false">
      <c r="A184" s="48" t="str">
        <f aca="false">COST!A184</f>
        <v>KVMC-0180</v>
      </c>
      <c r="B184" s="48" t="str">
        <f aca="false">COST!B184</f>
        <v>KVMC</v>
      </c>
      <c r="C184" s="48" t="str">
        <f aca="false">COST!D184</f>
        <v>Community Hypertension Control Study</v>
      </c>
      <c r="D184" s="62" t="n">
        <f aca="false">COST!M184</f>
        <v>45961</v>
      </c>
      <c r="E184" s="48" t="str">
        <f aca="false">COST!P184</f>
        <v>Research Coordinator</v>
      </c>
      <c r="F184" s="63" t="n">
        <f aca="false">COST!R184</f>
        <v>196.5</v>
      </c>
      <c r="G184" s="48" t="str">
        <f aca="false">STACK!M184</f>
        <v/>
      </c>
      <c r="H184" s="1" t="str">
        <f aca="false">C184&amp;"|"&amp;IF(ISNUMBER(D184),TEXT(D184,"yyyy-mm-dd"),"no date")&amp;"|"&amp;E184&amp;"|"&amp;IF(ISNUMBER(F184),TEXT(F184,"0.00"),"blank")</f>
        <v>Community Hypertension Control Study|2025-10-31|Research Coordinator|196.50</v>
      </c>
      <c r="I184" s="1" t="n">
        <f aca="false">COUNTIF($H$5:$H$1624,H184)</f>
        <v>1</v>
      </c>
      <c r="J184" s="1" t="n">
        <f aca="false">COUNTIF($H$5:H184,H184)</f>
        <v>1</v>
      </c>
      <c r="K184" s="1" t="n">
        <f aca="false">COUNTIFS($H$5:$H$1624,H184,$B$5:$B$1624,"&lt;&gt;"&amp;B184)</f>
        <v>0</v>
      </c>
      <c r="L184" s="1" t="str">
        <f aca="false">IF(I184&gt;1,IF(K184&gt;0,"Cross-hospital match","Same-hospital match"),"")</f>
        <v/>
      </c>
      <c r="M184" s="52"/>
      <c r="N184" s="52"/>
      <c r="O184" s="1" t="n">
        <f aca="false">IF(M184="Exclude (duplicate)",0,1)</f>
        <v>1</v>
      </c>
      <c r="P184" s="1" t="str">
        <f aca="false">IF(AND(L184&lt;&gt;"",M184=""),"Needs decision","")</f>
        <v/>
      </c>
    </row>
    <row r="185" customFormat="false" ht="15" hidden="false" customHeight="false" outlineLevel="0" collapsed="false">
      <c r="A185" s="48" t="str">
        <f aca="false">COST!A185</f>
        <v>KVMC-0181</v>
      </c>
      <c r="B185" s="48" t="str">
        <f aca="false">COST!B185</f>
        <v>KVMC</v>
      </c>
      <c r="C185" s="48" t="str">
        <f aca="false">COST!D185</f>
        <v>Community Blood Pressure Checks</v>
      </c>
      <c r="D185" s="62" t="n">
        <f aca="false">COST!M185</f>
        <v>45972</v>
      </c>
      <c r="E185" s="48" t="str">
        <f aca="false">COST!P185</f>
        <v>Registered Nurse</v>
      </c>
      <c r="F185" s="63" t="n">
        <f aca="false">COST!R185</f>
        <v>3.25</v>
      </c>
      <c r="G185" s="48" t="str">
        <f aca="false">STACK!M185</f>
        <v/>
      </c>
      <c r="H185" s="1" t="str">
        <f aca="false">C185&amp;"|"&amp;IF(ISNUMBER(D185),TEXT(D185,"yyyy-mm-dd"),"no date")&amp;"|"&amp;E185&amp;"|"&amp;IF(ISNUMBER(F185),TEXT(F185,"0.00"),"blank")</f>
        <v>Community Blood Pressure Checks|2025-11-11|Registered Nurse|3.25</v>
      </c>
      <c r="I185" s="1" t="n">
        <f aca="false">COUNTIF($H$5:$H$1624,H185)</f>
        <v>1</v>
      </c>
      <c r="J185" s="1" t="n">
        <f aca="false">COUNTIF($H$5:H185,H185)</f>
        <v>1</v>
      </c>
      <c r="K185" s="1" t="n">
        <f aca="false">COUNTIFS($H$5:$H$1624,H185,$B$5:$B$1624,"&lt;&gt;"&amp;B185)</f>
        <v>0</v>
      </c>
      <c r="L185" s="1" t="str">
        <f aca="false">IF(I185&gt;1,IF(K185&gt;0,"Cross-hospital match","Same-hospital match"),"")</f>
        <v/>
      </c>
      <c r="M185" s="52"/>
      <c r="N185" s="52"/>
      <c r="O185" s="1" t="n">
        <f aca="false">IF(M185="Exclude (duplicate)",0,1)</f>
        <v>1</v>
      </c>
      <c r="P185" s="1" t="str">
        <f aca="false">IF(AND(L185&lt;&gt;"",M185=""),"Needs decision","")</f>
        <v/>
      </c>
    </row>
    <row r="186" customFormat="false" ht="15" hidden="false" customHeight="false" outlineLevel="0" collapsed="false">
      <c r="A186" s="48" t="str">
        <f aca="false">COST!A186</f>
        <v>KVMC-0182</v>
      </c>
      <c r="B186" s="48" t="str">
        <f aca="false">COST!B186</f>
        <v>KVMC</v>
      </c>
      <c r="C186" s="48" t="str">
        <f aca="false">COST!D186</f>
        <v>Tobacco Cessation Classes</v>
      </c>
      <c r="D186" s="62" t="n">
        <f aca="false">COST!M186</f>
        <v>45972</v>
      </c>
      <c r="E186" s="48" t="str">
        <f aca="false">COST!P186</f>
        <v>Licensed Therapist</v>
      </c>
      <c r="F186" s="63" t="n">
        <f aca="false">COST!R186</f>
        <v>2</v>
      </c>
      <c r="G186" s="48" t="str">
        <f aca="false">STACK!M186</f>
        <v/>
      </c>
      <c r="H186" s="1" t="str">
        <f aca="false">C186&amp;"|"&amp;IF(ISNUMBER(D186),TEXT(D186,"yyyy-mm-dd"),"no date")&amp;"|"&amp;E186&amp;"|"&amp;IF(ISNUMBER(F186),TEXT(F186,"0.00"),"blank")</f>
        <v>Tobacco Cessation Classes|2025-11-11|Licensed Therapist|2.00</v>
      </c>
      <c r="I186" s="1" t="n">
        <f aca="false">COUNTIF($H$5:$H$1624,H186)</f>
        <v>1</v>
      </c>
      <c r="J186" s="1" t="n">
        <f aca="false">COUNTIF($H$5:H186,H186)</f>
        <v>1</v>
      </c>
      <c r="K186" s="1" t="n">
        <f aca="false">COUNTIFS($H$5:$H$1624,H186,$B$5:$B$1624,"&lt;&gt;"&amp;B186)</f>
        <v>0</v>
      </c>
      <c r="L186" s="1" t="str">
        <f aca="false">IF(I186&gt;1,IF(K186&gt;0,"Cross-hospital match","Same-hospital match"),"")</f>
        <v/>
      </c>
      <c r="M186" s="52"/>
      <c r="N186" s="52"/>
      <c r="O186" s="1" t="n">
        <f aca="false">IF(M186="Exclude (duplicate)",0,1)</f>
        <v>1</v>
      </c>
      <c r="P186" s="1" t="str">
        <f aca="false">IF(AND(L186&lt;&gt;"",M186=""),"Needs decision","")</f>
        <v/>
      </c>
    </row>
    <row r="187" customFormat="false" ht="15" hidden="false" customHeight="false" outlineLevel="0" collapsed="false">
      <c r="A187" s="48" t="str">
        <f aca="false">COST!A187</f>
        <v>KVMC-0183</v>
      </c>
      <c r="B187" s="48" t="str">
        <f aca="false">COST!B187</f>
        <v>KVMC</v>
      </c>
      <c r="C187" s="48" t="str">
        <f aca="false">COST!D187</f>
        <v>Childbirth and Newborn Care Classes</v>
      </c>
      <c r="D187" s="62" t="n">
        <f aca="false">COST!M187</f>
        <v>45976</v>
      </c>
      <c r="E187" s="48" t="str">
        <f aca="false">COST!P187</f>
        <v>Clinical Nurse Educator</v>
      </c>
      <c r="F187" s="63" t="n">
        <f aca="false">COST!R187</f>
        <v>3.5</v>
      </c>
      <c r="G187" s="48" t="str">
        <f aca="false">STACK!M187</f>
        <v/>
      </c>
      <c r="H187" s="1" t="str">
        <f aca="false">C187&amp;"|"&amp;IF(ISNUMBER(D187),TEXT(D187,"yyyy-mm-dd"),"no date")&amp;"|"&amp;E187&amp;"|"&amp;IF(ISNUMBER(F187),TEXT(F187,"0.00"),"blank")</f>
        <v>Childbirth and Newborn Care Classes|2025-11-15|Clinical Nurse Educator|3.50</v>
      </c>
      <c r="I187" s="1" t="n">
        <f aca="false">COUNTIF($H$5:$H$1624,H187)</f>
        <v>1</v>
      </c>
      <c r="J187" s="1" t="n">
        <f aca="false">COUNTIF($H$5:H187,H187)</f>
        <v>1</v>
      </c>
      <c r="K187" s="1" t="n">
        <f aca="false">COUNTIFS($H$5:$H$1624,H187,$B$5:$B$1624,"&lt;&gt;"&amp;B187)</f>
        <v>0</v>
      </c>
      <c r="L187" s="1" t="str">
        <f aca="false">IF(I187&gt;1,IF(K187&gt;0,"Cross-hospital match","Same-hospital match"),"")</f>
        <v/>
      </c>
      <c r="M187" s="52"/>
      <c r="N187" s="52"/>
      <c r="O187" s="1" t="n">
        <f aca="false">IF(M187="Exclude (duplicate)",0,1)</f>
        <v>1</v>
      </c>
      <c r="P187" s="1" t="str">
        <f aca="false">IF(AND(L187&lt;&gt;"",M187=""),"Needs decision","")</f>
        <v/>
      </c>
    </row>
    <row r="188" customFormat="false" ht="15" hidden="false" customHeight="false" outlineLevel="0" collapsed="false">
      <c r="A188" s="48" t="str">
        <f aca="false">COST!A188</f>
        <v>KVMC-0184</v>
      </c>
      <c r="B188" s="48" t="str">
        <f aca="false">COST!B188</f>
        <v>KVMC</v>
      </c>
      <c r="C188" s="48" t="str">
        <f aca="false">COST!D188</f>
        <v>In-Kind Medical Supply Donations</v>
      </c>
      <c r="D188" s="62" t="n">
        <f aca="false">COST!M188</f>
        <v>45977</v>
      </c>
      <c r="E188" s="48" t="str">
        <f aca="false">COST!P188</f>
        <v>No staff time</v>
      </c>
      <c r="F188" s="63" t="n">
        <f aca="false">COST!R188</f>
        <v>0</v>
      </c>
      <c r="G188" s="48" t="str">
        <f aca="false">STACK!M188</f>
        <v/>
      </c>
      <c r="H188" s="1" t="str">
        <f aca="false">C188&amp;"|"&amp;IF(ISNUMBER(D188),TEXT(D188,"yyyy-mm-dd"),"no date")&amp;"|"&amp;E188&amp;"|"&amp;IF(ISNUMBER(F188),TEXT(F188,"0.00"),"blank")</f>
        <v>In-Kind Medical Supply Donations|2025-11-16|No staff time|0.00</v>
      </c>
      <c r="I188" s="1" t="n">
        <f aca="false">COUNTIF($H$5:$H$1624,H188)</f>
        <v>1</v>
      </c>
      <c r="J188" s="1" t="n">
        <f aca="false">COUNTIF($H$5:H188,H188)</f>
        <v>1</v>
      </c>
      <c r="K188" s="1" t="n">
        <f aca="false">COUNTIFS($H$5:$H$1624,H188,$B$5:$B$1624,"&lt;&gt;"&amp;B188)</f>
        <v>0</v>
      </c>
      <c r="L188" s="1" t="str">
        <f aca="false">IF(I188&gt;1,IF(K188&gt;0,"Cross-hospital match","Same-hospital match"),"")</f>
        <v/>
      </c>
      <c r="M188" s="52"/>
      <c r="N188" s="52"/>
      <c r="O188" s="1" t="n">
        <f aca="false">IF(M188="Exclude (duplicate)",0,1)</f>
        <v>1</v>
      </c>
      <c r="P188" s="1" t="str">
        <f aca="false">IF(AND(L188&lt;&gt;"",M188=""),"Needs decision","")</f>
        <v/>
      </c>
    </row>
    <row r="189" customFormat="false" ht="15" hidden="false" customHeight="false" outlineLevel="0" collapsed="false">
      <c r="A189" s="48" t="str">
        <f aca="false">COST!A189</f>
        <v>KVMC-0185</v>
      </c>
      <c r="B189" s="48" t="str">
        <f aca="false">COST!B189</f>
        <v>KVMC</v>
      </c>
      <c r="C189" s="48" t="str">
        <f aca="false">COST!D189</f>
        <v>Grief Support Group</v>
      </c>
      <c r="D189" s="62" t="n">
        <f aca="false">COST!M189</f>
        <v>45980</v>
      </c>
      <c r="E189" s="48" t="str">
        <f aca="false">COST!P189</f>
        <v>Chaplain</v>
      </c>
      <c r="F189" s="63" t="n">
        <f aca="false">COST!R189</f>
        <v>2.5</v>
      </c>
      <c r="G189" s="48" t="str">
        <f aca="false">STACK!M189</f>
        <v/>
      </c>
      <c r="H189" s="1" t="str">
        <f aca="false">C189&amp;"|"&amp;IF(ISNUMBER(D189),TEXT(D189,"yyyy-mm-dd"),"no date")&amp;"|"&amp;E189&amp;"|"&amp;IF(ISNUMBER(F189),TEXT(F189,"0.00"),"blank")</f>
        <v>Grief Support Group|2025-11-19|Chaplain|2.50</v>
      </c>
      <c r="I189" s="1" t="n">
        <f aca="false">COUNTIF($H$5:$H$1624,H189)</f>
        <v>1</v>
      </c>
      <c r="J189" s="1" t="n">
        <f aca="false">COUNTIF($H$5:H189,H189)</f>
        <v>1</v>
      </c>
      <c r="K189" s="1" t="n">
        <f aca="false">COUNTIFS($H$5:$H$1624,H189,$B$5:$B$1624,"&lt;&gt;"&amp;B189)</f>
        <v>0</v>
      </c>
      <c r="L189" s="1" t="str">
        <f aca="false">IF(I189&gt;1,IF(K189&gt;0,"Cross-hospital match","Same-hospital match"),"")</f>
        <v/>
      </c>
      <c r="M189" s="52"/>
      <c r="N189" s="52"/>
      <c r="O189" s="1" t="n">
        <f aca="false">IF(M189="Exclude (duplicate)",0,1)</f>
        <v>1</v>
      </c>
      <c r="P189" s="1" t="str">
        <f aca="false">IF(AND(L189&lt;&gt;"",M189=""),"Needs decision","")</f>
        <v/>
      </c>
    </row>
    <row r="190" customFormat="false" ht="15" hidden="false" customHeight="false" outlineLevel="0" collapsed="false">
      <c r="A190" s="48" t="str">
        <f aca="false">COST!A190</f>
        <v>KVMC-0186</v>
      </c>
      <c r="B190" s="48" t="str">
        <f aca="false">COST!B190</f>
        <v>KVMC</v>
      </c>
      <c r="C190" s="48" t="str">
        <f aca="false">COST!D190</f>
        <v>Grief Support Group</v>
      </c>
      <c r="D190" s="62" t="n">
        <f aca="false">COST!M190</f>
        <v>45980</v>
      </c>
      <c r="E190" s="48" t="str">
        <f aca="false">COST!P190</f>
        <v>Social Worker</v>
      </c>
      <c r="F190" s="63" t="n">
        <f aca="false">COST!R190</f>
        <v>1.5</v>
      </c>
      <c r="G190" s="48" t="str">
        <f aca="false">STACK!M190</f>
        <v/>
      </c>
      <c r="H190" s="1" t="str">
        <f aca="false">C190&amp;"|"&amp;IF(ISNUMBER(D190),TEXT(D190,"yyyy-mm-dd"),"no date")&amp;"|"&amp;E190&amp;"|"&amp;IF(ISNUMBER(F190),TEXT(F190,"0.00"),"blank")</f>
        <v>Grief Support Group|2025-11-19|Social Worker|1.50</v>
      </c>
      <c r="I190" s="1" t="n">
        <f aca="false">COUNTIF($H$5:$H$1624,H190)</f>
        <v>1</v>
      </c>
      <c r="J190" s="1" t="n">
        <f aca="false">COUNTIF($H$5:H190,H190)</f>
        <v>1</v>
      </c>
      <c r="K190" s="1" t="n">
        <f aca="false">COUNTIFS($H$5:$H$1624,H190,$B$5:$B$1624,"&lt;&gt;"&amp;B190)</f>
        <v>0</v>
      </c>
      <c r="L190" s="1" t="str">
        <f aca="false">IF(I190&gt;1,IF(K190&gt;0,"Cross-hospital match","Same-hospital match"),"")</f>
        <v/>
      </c>
      <c r="M190" s="52"/>
      <c r="N190" s="52"/>
      <c r="O190" s="1" t="n">
        <f aca="false">IF(M190="Exclude (duplicate)",0,1)</f>
        <v>1</v>
      </c>
      <c r="P190" s="1" t="str">
        <f aca="false">IF(AND(L190&lt;&gt;"",M190=""),"Needs decision","")</f>
        <v/>
      </c>
    </row>
    <row r="191" customFormat="false" ht="15" hidden="false" customHeight="false" outlineLevel="0" collapsed="false">
      <c r="A191" s="48" t="str">
        <f aca="false">COST!A191</f>
        <v>KVMC-0187</v>
      </c>
      <c r="B191" s="48" t="str">
        <f aca="false">COST!B191</f>
        <v>KVMC</v>
      </c>
      <c r="C191" s="48" t="str">
        <f aca="false">COST!D191</f>
        <v>Childbirth and Newborn Care Classes</v>
      </c>
      <c r="D191" s="62" t="n">
        <f aca="false">COST!M191</f>
        <v>45981</v>
      </c>
      <c r="E191" s="48" t="str">
        <f aca="false">COST!P191</f>
        <v>Clinical Nurse Educator</v>
      </c>
      <c r="F191" s="63" t="n">
        <f aca="false">COST!R191</f>
        <v>3.5</v>
      </c>
      <c r="G191" s="48" t="str">
        <f aca="false">STACK!M191</f>
        <v/>
      </c>
      <c r="H191" s="1" t="str">
        <f aca="false">C191&amp;"|"&amp;IF(ISNUMBER(D191),TEXT(D191,"yyyy-mm-dd"),"no date")&amp;"|"&amp;E191&amp;"|"&amp;IF(ISNUMBER(F191),TEXT(F191,"0.00"),"blank")</f>
        <v>Childbirth and Newborn Care Classes|2025-11-20|Clinical Nurse Educator|3.50</v>
      </c>
      <c r="I191" s="1" t="n">
        <f aca="false">COUNTIF($H$5:$H$1624,H191)</f>
        <v>1</v>
      </c>
      <c r="J191" s="1" t="n">
        <f aca="false">COUNTIF($H$5:H191,H191)</f>
        <v>1</v>
      </c>
      <c r="K191" s="1" t="n">
        <f aca="false">COUNTIFS($H$5:$H$1624,H191,$B$5:$B$1624,"&lt;&gt;"&amp;B191)</f>
        <v>0</v>
      </c>
      <c r="L191" s="1" t="str">
        <f aca="false">IF(I191&gt;1,IF(K191&gt;0,"Cross-hospital match","Same-hospital match"),"")</f>
        <v/>
      </c>
      <c r="M191" s="52"/>
      <c r="N191" s="52"/>
      <c r="O191" s="1" t="n">
        <f aca="false">IF(M191="Exclude (duplicate)",0,1)</f>
        <v>1</v>
      </c>
      <c r="P191" s="1" t="str">
        <f aca="false">IF(AND(L191&lt;&gt;"",M191=""),"Needs decision","")</f>
        <v/>
      </c>
    </row>
    <row r="192" customFormat="false" ht="15" hidden="false" customHeight="false" outlineLevel="0" collapsed="false">
      <c r="A192" s="48" t="str">
        <f aca="false">COST!A192</f>
        <v>KVMC-0188</v>
      </c>
      <c r="B192" s="48" t="str">
        <f aca="false">COST!B192</f>
        <v>KVMC</v>
      </c>
      <c r="C192" s="48" t="str">
        <f aca="false">COST!D192</f>
        <v>Childbirth and Newborn Care Classes</v>
      </c>
      <c r="D192" s="62" t="n">
        <f aca="false">COST!M192</f>
        <v>45988</v>
      </c>
      <c r="E192" s="48" t="str">
        <f aca="false">COST!P192</f>
        <v>Clinical Nurse Educator</v>
      </c>
      <c r="F192" s="63" t="n">
        <f aca="false">COST!R192</f>
        <v>3</v>
      </c>
      <c r="G192" s="48" t="str">
        <f aca="false">STACK!M192</f>
        <v/>
      </c>
      <c r="H192" s="1" t="str">
        <f aca="false">C192&amp;"|"&amp;IF(ISNUMBER(D192),TEXT(D192,"yyyy-mm-dd"),"no date")&amp;"|"&amp;E192&amp;"|"&amp;IF(ISNUMBER(F192),TEXT(F192,"0.00"),"blank")</f>
        <v>Childbirth and Newborn Care Classes|2025-11-27|Clinical Nurse Educator|3.00</v>
      </c>
      <c r="I192" s="1" t="n">
        <f aca="false">COUNTIF($H$5:$H$1624,H192)</f>
        <v>1</v>
      </c>
      <c r="J192" s="1" t="n">
        <f aca="false">COUNTIF($H$5:H192,H192)</f>
        <v>1</v>
      </c>
      <c r="K192" s="1" t="n">
        <f aca="false">COUNTIFS($H$5:$H$1624,H192,$B$5:$B$1624,"&lt;&gt;"&amp;B192)</f>
        <v>0</v>
      </c>
      <c r="L192" s="1" t="str">
        <f aca="false">IF(I192&gt;1,IF(K192&gt;0,"Cross-hospital match","Same-hospital match"),"")</f>
        <v/>
      </c>
      <c r="M192" s="52"/>
      <c r="N192" s="52"/>
      <c r="O192" s="1" t="n">
        <f aca="false">IF(M192="Exclude (duplicate)",0,1)</f>
        <v>1</v>
      </c>
      <c r="P192" s="1" t="str">
        <f aca="false">IF(AND(L192&lt;&gt;"",M192=""),"Needs decision","")</f>
        <v/>
      </c>
    </row>
    <row r="193" customFormat="false" ht="15" hidden="false" customHeight="false" outlineLevel="0" collapsed="false">
      <c r="A193" s="48" t="str">
        <f aca="false">COST!A193</f>
        <v>KVMC-0189</v>
      </c>
      <c r="B193" s="48" t="str">
        <f aca="false">COST!B193</f>
        <v>KVMC</v>
      </c>
      <c r="C193" s="48" t="str">
        <f aca="false">COST!D193</f>
        <v>Mental Health First Aid Training</v>
      </c>
      <c r="D193" s="62" t="n">
        <f aca="false">COST!M193</f>
        <v>45990</v>
      </c>
      <c r="E193" s="48" t="str">
        <f aca="false">COST!P193</f>
        <v>Health Educator</v>
      </c>
      <c r="F193" s="63" t="n">
        <f aca="false">COST!R193</f>
        <v>8</v>
      </c>
      <c r="G193" s="48" t="str">
        <f aca="false">STACK!M193</f>
        <v/>
      </c>
      <c r="H193" s="1" t="str">
        <f aca="false">C193&amp;"|"&amp;IF(ISNUMBER(D193),TEXT(D193,"yyyy-mm-dd"),"no date")&amp;"|"&amp;E193&amp;"|"&amp;IF(ISNUMBER(F193),TEXT(F193,"0.00"),"blank")</f>
        <v>Mental Health First Aid Training|2025-11-29|Health Educator|8.00</v>
      </c>
      <c r="I193" s="1" t="n">
        <f aca="false">COUNTIF($H$5:$H$1624,H193)</f>
        <v>1</v>
      </c>
      <c r="J193" s="1" t="n">
        <f aca="false">COUNTIF($H$5:H193,H193)</f>
        <v>1</v>
      </c>
      <c r="K193" s="1" t="n">
        <f aca="false">COUNTIFS($H$5:$H$1624,H193,$B$5:$B$1624,"&lt;&gt;"&amp;B193)</f>
        <v>0</v>
      </c>
      <c r="L193" s="1" t="str">
        <f aca="false">IF(I193&gt;1,IF(K193&gt;0,"Cross-hospital match","Same-hospital match"),"")</f>
        <v/>
      </c>
      <c r="M193" s="52"/>
      <c r="N193" s="52"/>
      <c r="O193" s="1" t="n">
        <f aca="false">IF(M193="Exclude (duplicate)",0,1)</f>
        <v>1</v>
      </c>
      <c r="P193" s="1" t="str">
        <f aca="false">IF(AND(L193&lt;&gt;"",M193=""),"Needs decision","")</f>
        <v/>
      </c>
    </row>
    <row r="194" customFormat="false" ht="15" hidden="false" customHeight="false" outlineLevel="0" collapsed="false">
      <c r="A194" s="48" t="str">
        <f aca="false">COST!A194</f>
        <v>KVMC-0190</v>
      </c>
      <c r="B194" s="48" t="str">
        <f aca="false">COST!B194</f>
        <v>KVMC</v>
      </c>
      <c r="C194" s="48" t="str">
        <f aca="false">COST!D194</f>
        <v>Mental Health First Aid Training</v>
      </c>
      <c r="D194" s="62" t="n">
        <f aca="false">COST!M194</f>
        <v>45990</v>
      </c>
      <c r="E194" s="48" t="str">
        <f aca="false">COST!P194</f>
        <v>Social Worker</v>
      </c>
      <c r="F194" s="63" t="n">
        <f aca="false">COST!R194</f>
        <v>8</v>
      </c>
      <c r="G194" s="48" t="str">
        <f aca="false">STACK!M194</f>
        <v/>
      </c>
      <c r="H194" s="1" t="str">
        <f aca="false">C194&amp;"|"&amp;IF(ISNUMBER(D194),TEXT(D194,"yyyy-mm-dd"),"no date")&amp;"|"&amp;E194&amp;"|"&amp;IF(ISNUMBER(F194),TEXT(F194,"0.00"),"blank")</f>
        <v>Mental Health First Aid Training|2025-11-29|Social Worker|8.00</v>
      </c>
      <c r="I194" s="1" t="n">
        <f aca="false">COUNTIF($H$5:$H$1624,H194)</f>
        <v>1</v>
      </c>
      <c r="J194" s="1" t="n">
        <f aca="false">COUNTIF($H$5:H194,H194)</f>
        <v>1</v>
      </c>
      <c r="K194" s="1" t="n">
        <f aca="false">COUNTIFS($H$5:$H$1624,H194,$B$5:$B$1624,"&lt;&gt;"&amp;B194)</f>
        <v>0</v>
      </c>
      <c r="L194" s="1" t="str">
        <f aca="false">IF(I194&gt;1,IF(K194&gt;0,"Cross-hospital match","Same-hospital match"),"")</f>
        <v/>
      </c>
      <c r="M194" s="52"/>
      <c r="N194" s="52"/>
      <c r="O194" s="1" t="n">
        <f aca="false">IF(M194="Exclude (duplicate)",0,1)</f>
        <v>1</v>
      </c>
      <c r="P194" s="1" t="str">
        <f aca="false">IF(AND(L194&lt;&gt;"",M194=""),"Needs decision","")</f>
        <v/>
      </c>
    </row>
    <row r="195" customFormat="false" ht="15" hidden="false" customHeight="false" outlineLevel="0" collapsed="false">
      <c r="A195" s="48" t="str">
        <f aca="false">COST!A195</f>
        <v>KVMC-0191</v>
      </c>
      <c r="B195" s="48" t="str">
        <f aca="false">COST!B195</f>
        <v>KVMC</v>
      </c>
      <c r="C195" s="48" t="str">
        <f aca="false">COST!D195</f>
        <v>Grief Support Group</v>
      </c>
      <c r="D195" s="62" t="n">
        <f aca="false">COST!M195</f>
        <v>45990</v>
      </c>
      <c r="E195" s="48" t="str">
        <f aca="false">COST!P195</f>
        <v>Chaplain</v>
      </c>
      <c r="F195" s="63" t="n">
        <f aca="false">COST!R195</f>
        <v>2.25</v>
      </c>
      <c r="G195" s="48" t="str">
        <f aca="false">STACK!M195</f>
        <v/>
      </c>
      <c r="H195" s="1" t="str">
        <f aca="false">C195&amp;"|"&amp;IF(ISNUMBER(D195),TEXT(D195,"yyyy-mm-dd"),"no date")&amp;"|"&amp;E195&amp;"|"&amp;IF(ISNUMBER(F195),TEXT(F195,"0.00"),"blank")</f>
        <v>Grief Support Group|2025-11-29|Chaplain|2.25</v>
      </c>
      <c r="I195" s="1" t="n">
        <f aca="false">COUNTIF($H$5:$H$1624,H195)</f>
        <v>1</v>
      </c>
      <c r="J195" s="1" t="n">
        <f aca="false">COUNTIF($H$5:H195,H195)</f>
        <v>1</v>
      </c>
      <c r="K195" s="1" t="n">
        <f aca="false">COUNTIFS($H$5:$H$1624,H195,$B$5:$B$1624,"&lt;&gt;"&amp;B195)</f>
        <v>0</v>
      </c>
      <c r="L195" s="1" t="str">
        <f aca="false">IF(I195&gt;1,IF(K195&gt;0,"Cross-hospital match","Same-hospital match"),"")</f>
        <v/>
      </c>
      <c r="M195" s="52"/>
      <c r="N195" s="52"/>
      <c r="O195" s="1" t="n">
        <f aca="false">IF(M195="Exclude (duplicate)",0,1)</f>
        <v>1</v>
      </c>
      <c r="P195" s="1" t="str">
        <f aca="false">IF(AND(L195&lt;&gt;"",M195=""),"Needs decision","")</f>
        <v/>
      </c>
    </row>
    <row r="196" customFormat="false" ht="15" hidden="false" customHeight="false" outlineLevel="0" collapsed="false">
      <c r="A196" s="48" t="str">
        <f aca="false">COST!A196</f>
        <v>KVMC-0192</v>
      </c>
      <c r="B196" s="48" t="str">
        <f aca="false">COST!B196</f>
        <v>KVMC</v>
      </c>
      <c r="C196" s="48" t="str">
        <f aca="false">COST!D196</f>
        <v>Grief Support Group</v>
      </c>
      <c r="D196" s="62" t="n">
        <f aca="false">COST!M196</f>
        <v>45990</v>
      </c>
      <c r="E196" s="48" t="str">
        <f aca="false">COST!P196</f>
        <v>Chaplain</v>
      </c>
      <c r="F196" s="63" t="n">
        <f aca="false">COST!R196</f>
        <v>2.5</v>
      </c>
      <c r="G196" s="48" t="str">
        <f aca="false">STACK!M196</f>
        <v/>
      </c>
      <c r="H196" s="1" t="str">
        <f aca="false">C196&amp;"|"&amp;IF(ISNUMBER(D196),TEXT(D196,"yyyy-mm-dd"),"no date")&amp;"|"&amp;E196&amp;"|"&amp;IF(ISNUMBER(F196),TEXT(F196,"0.00"),"blank")</f>
        <v>Grief Support Group|2025-11-29|Chaplain|2.50</v>
      </c>
      <c r="I196" s="1" t="n">
        <f aca="false">COUNTIF($H$5:$H$1624,H196)</f>
        <v>1</v>
      </c>
      <c r="J196" s="1" t="n">
        <f aca="false">COUNTIF($H$5:H196,H196)</f>
        <v>1</v>
      </c>
      <c r="K196" s="1" t="n">
        <f aca="false">COUNTIFS($H$5:$H$1624,H196,$B$5:$B$1624,"&lt;&gt;"&amp;B196)</f>
        <v>0</v>
      </c>
      <c r="L196" s="1" t="str">
        <f aca="false">IF(I196&gt;1,IF(K196&gt;0,"Cross-hospital match","Same-hospital match"),"")</f>
        <v/>
      </c>
      <c r="M196" s="52"/>
      <c r="N196" s="52"/>
      <c r="O196" s="1" t="n">
        <f aca="false">IF(M196="Exclude (duplicate)",0,1)</f>
        <v>1</v>
      </c>
      <c r="P196" s="1" t="str">
        <f aca="false">IF(AND(L196&lt;&gt;"",M196=""),"Needs decision","")</f>
        <v/>
      </c>
    </row>
    <row r="197" customFormat="false" ht="15" hidden="false" customHeight="false" outlineLevel="0" collapsed="false">
      <c r="A197" s="48" t="str">
        <f aca="false">COST!A197</f>
        <v>KVMC-0193</v>
      </c>
      <c r="B197" s="48" t="str">
        <f aca="false">COST!B197</f>
        <v>KVMC</v>
      </c>
      <c r="C197" s="48" t="str">
        <f aca="false">COST!D197</f>
        <v>Grief Support Group</v>
      </c>
      <c r="D197" s="62" t="n">
        <f aca="false">COST!M197</f>
        <v>45990</v>
      </c>
      <c r="E197" s="48" t="str">
        <f aca="false">COST!P197</f>
        <v>Social Worker</v>
      </c>
      <c r="F197" s="63" t="n">
        <f aca="false">COST!R197</f>
        <v>1.5</v>
      </c>
      <c r="G197" s="48" t="str">
        <f aca="false">STACK!M197</f>
        <v/>
      </c>
      <c r="H197" s="1" t="str">
        <f aca="false">C197&amp;"|"&amp;IF(ISNUMBER(D197),TEXT(D197,"yyyy-mm-dd"),"no date")&amp;"|"&amp;E197&amp;"|"&amp;IF(ISNUMBER(F197),TEXT(F197,"0.00"),"blank")</f>
        <v>Grief Support Group|2025-11-29|Social Worker|1.50</v>
      </c>
      <c r="I197" s="1" t="n">
        <f aca="false">COUNTIF($H$5:$H$1624,H197)</f>
        <v>1</v>
      </c>
      <c r="J197" s="1" t="n">
        <f aca="false">COUNTIF($H$5:H197,H197)</f>
        <v>1</v>
      </c>
      <c r="K197" s="1" t="n">
        <f aca="false">COUNTIFS($H$5:$H$1624,H197,$B$5:$B$1624,"&lt;&gt;"&amp;B197)</f>
        <v>0</v>
      </c>
      <c r="L197" s="1" t="str">
        <f aca="false">IF(I197&gt;1,IF(K197&gt;0,"Cross-hospital match","Same-hospital match"),"")</f>
        <v/>
      </c>
      <c r="M197" s="52"/>
      <c r="N197" s="52"/>
      <c r="O197" s="1" t="n">
        <f aca="false">IF(M197="Exclude (duplicate)",0,1)</f>
        <v>1</v>
      </c>
      <c r="P197" s="1" t="str">
        <f aca="false">IF(AND(L197&lt;&gt;"",M197=""),"Needs decision","")</f>
        <v/>
      </c>
    </row>
    <row r="198" customFormat="false" ht="15" hidden="false" customHeight="false" outlineLevel="0" collapsed="false">
      <c r="A198" s="48" t="str">
        <f aca="false">COST!A198</f>
        <v>KVMC-0194</v>
      </c>
      <c r="B198" s="48" t="str">
        <f aca="false">COST!B198</f>
        <v>KVMC</v>
      </c>
      <c r="C198" s="48" t="str">
        <f aca="false">COST!D198</f>
        <v>Grief Support Group</v>
      </c>
      <c r="D198" s="62" t="n">
        <f aca="false">COST!M198</f>
        <v>45990</v>
      </c>
      <c r="E198" s="48" t="str">
        <f aca="false">COST!P198</f>
        <v>Social Worker</v>
      </c>
      <c r="F198" s="63" t="n">
        <f aca="false">COST!R198</f>
        <v>1.75</v>
      </c>
      <c r="G198" s="48" t="str">
        <f aca="false">STACK!M198</f>
        <v/>
      </c>
      <c r="H198" s="1" t="str">
        <f aca="false">C198&amp;"|"&amp;IF(ISNUMBER(D198),TEXT(D198,"yyyy-mm-dd"),"no date")&amp;"|"&amp;E198&amp;"|"&amp;IF(ISNUMBER(F198),TEXT(F198,"0.00"),"blank")</f>
        <v>Grief Support Group|2025-11-29|Social Worker|1.75</v>
      </c>
      <c r="I198" s="1" t="n">
        <f aca="false">COUNTIF($H$5:$H$1624,H198)</f>
        <v>1</v>
      </c>
      <c r="J198" s="1" t="n">
        <f aca="false">COUNTIF($H$5:H198,H198)</f>
        <v>1</v>
      </c>
      <c r="K198" s="1" t="n">
        <f aca="false">COUNTIFS($H$5:$H$1624,H198,$B$5:$B$1624,"&lt;&gt;"&amp;B198)</f>
        <v>0</v>
      </c>
      <c r="L198" s="1" t="str">
        <f aca="false">IF(I198&gt;1,IF(K198&gt;0,"Cross-hospital match","Same-hospital match"),"")</f>
        <v/>
      </c>
      <c r="M198" s="52"/>
      <c r="N198" s="52"/>
      <c r="O198" s="1" t="n">
        <f aca="false">IF(M198="Exclude (duplicate)",0,1)</f>
        <v>1</v>
      </c>
      <c r="P198" s="1" t="str">
        <f aca="false">IF(AND(L198&lt;&gt;"",M198=""),"Needs decision","")</f>
        <v/>
      </c>
    </row>
    <row r="199" customFormat="false" ht="15" hidden="false" customHeight="false" outlineLevel="0" collapsed="false">
      <c r="A199" s="48" t="str">
        <f aca="false">COST!A199</f>
        <v>KVMC-0195</v>
      </c>
      <c r="B199" s="48" t="str">
        <f aca="false">COST!B199</f>
        <v>KVMC</v>
      </c>
      <c r="C199" s="48" t="str">
        <f aca="false">COST!D199</f>
        <v>Mobile Health Screening Unit</v>
      </c>
      <c r="D199" s="62" t="n">
        <f aca="false">COST!M199</f>
        <v>45991</v>
      </c>
      <c r="E199" s="48" t="str">
        <f aca="false">COST!P199</f>
        <v>Community Health Worker</v>
      </c>
      <c r="F199" s="63" t="n">
        <f aca="false">COST!R199</f>
        <v>92.25</v>
      </c>
      <c r="G199" s="48" t="str">
        <f aca="false">STACK!M199</f>
        <v/>
      </c>
      <c r="H199" s="1" t="str">
        <f aca="false">C199&amp;"|"&amp;IF(ISNUMBER(D199),TEXT(D199,"yyyy-mm-dd"),"no date")&amp;"|"&amp;E199&amp;"|"&amp;IF(ISNUMBER(F199),TEXT(F199,"0.00"),"blank")</f>
        <v>Mobile Health Screening Unit|2025-11-30|Community Health Worker|92.25</v>
      </c>
      <c r="I199" s="1" t="n">
        <f aca="false">COUNTIF($H$5:$H$1624,H199)</f>
        <v>1</v>
      </c>
      <c r="J199" s="1" t="n">
        <f aca="false">COUNTIF($H$5:H199,H199)</f>
        <v>1</v>
      </c>
      <c r="K199" s="1" t="n">
        <f aca="false">COUNTIFS($H$5:$H$1624,H199,$B$5:$B$1624,"&lt;&gt;"&amp;B199)</f>
        <v>0</v>
      </c>
      <c r="L199" s="1" t="str">
        <f aca="false">IF(I199&gt;1,IF(K199&gt;0,"Cross-hospital match","Same-hospital match"),"")</f>
        <v/>
      </c>
      <c r="M199" s="52"/>
      <c r="N199" s="52"/>
      <c r="O199" s="1" t="n">
        <f aca="false">IF(M199="Exclude (duplicate)",0,1)</f>
        <v>1</v>
      </c>
      <c r="P199" s="1" t="str">
        <f aca="false">IF(AND(L199&lt;&gt;"",M199=""),"Needs decision","")</f>
        <v/>
      </c>
    </row>
    <row r="200" customFormat="false" ht="15" hidden="false" customHeight="false" outlineLevel="0" collapsed="false">
      <c r="A200" s="48" t="str">
        <f aca="false">COST!A200</f>
        <v>KVMC-0196</v>
      </c>
      <c r="B200" s="48" t="str">
        <f aca="false">COST!B200</f>
        <v>KVMC</v>
      </c>
      <c r="C200" s="48" t="str">
        <f aca="false">COST!D200</f>
        <v>Mobile Health Screening Unit</v>
      </c>
      <c r="D200" s="62" t="n">
        <f aca="false">COST!M200</f>
        <v>45991</v>
      </c>
      <c r="E200" s="48" t="str">
        <f aca="false">COST!P200</f>
        <v>Medical Assistant</v>
      </c>
      <c r="F200" s="63" t="n">
        <f aca="false">COST!R200</f>
        <v>99</v>
      </c>
      <c r="G200" s="48" t="str">
        <f aca="false">STACK!M200</f>
        <v/>
      </c>
      <c r="H200" s="1" t="str">
        <f aca="false">C200&amp;"|"&amp;IF(ISNUMBER(D200),TEXT(D200,"yyyy-mm-dd"),"no date")&amp;"|"&amp;E200&amp;"|"&amp;IF(ISNUMBER(F200),TEXT(F200,"0.00"),"blank")</f>
        <v>Mobile Health Screening Unit|2025-11-30|Medical Assistant|99.00</v>
      </c>
      <c r="I200" s="1" t="n">
        <f aca="false">COUNTIF($H$5:$H$1624,H200)</f>
        <v>1</v>
      </c>
      <c r="J200" s="1" t="n">
        <f aca="false">COUNTIF($H$5:H200,H200)</f>
        <v>1</v>
      </c>
      <c r="K200" s="1" t="n">
        <f aca="false">COUNTIFS($H$5:$H$1624,H200,$B$5:$B$1624,"&lt;&gt;"&amp;B200)</f>
        <v>0</v>
      </c>
      <c r="L200" s="1" t="str">
        <f aca="false">IF(I200&gt;1,IF(K200&gt;0,"Cross-hospital match","Same-hospital match"),"")</f>
        <v/>
      </c>
      <c r="M200" s="52"/>
      <c r="N200" s="52"/>
      <c r="O200" s="1" t="n">
        <f aca="false">IF(M200="Exclude (duplicate)",0,1)</f>
        <v>1</v>
      </c>
      <c r="P200" s="1" t="str">
        <f aca="false">IF(AND(L200&lt;&gt;"",M200=""),"Needs decision","")</f>
        <v/>
      </c>
    </row>
    <row r="201" customFormat="false" ht="15" hidden="false" customHeight="false" outlineLevel="0" collapsed="false">
      <c r="A201" s="48" t="str">
        <f aca="false">COST!A201</f>
        <v>KVMC-0197</v>
      </c>
      <c r="B201" s="48" t="str">
        <f aca="false">COST!B201</f>
        <v>KVMC</v>
      </c>
      <c r="C201" s="48" t="str">
        <f aca="false">COST!D201</f>
        <v>Mobile Health Screening Unit</v>
      </c>
      <c r="D201" s="62" t="n">
        <f aca="false">COST!M201</f>
        <v>45991</v>
      </c>
      <c r="E201" s="48" t="str">
        <f aca="false">COST!P201</f>
        <v>Registered Nurse</v>
      </c>
      <c r="F201" s="63" t="n">
        <f aca="false">COST!R201</f>
        <v>133</v>
      </c>
      <c r="G201" s="48" t="str">
        <f aca="false">STACK!M201</f>
        <v/>
      </c>
      <c r="H201" s="1" t="str">
        <f aca="false">C201&amp;"|"&amp;IF(ISNUMBER(D201),TEXT(D201,"yyyy-mm-dd"),"no date")&amp;"|"&amp;E201&amp;"|"&amp;IF(ISNUMBER(F201),TEXT(F201,"0.00"),"blank")</f>
        <v>Mobile Health Screening Unit|2025-11-30|Registered Nurse|133.00</v>
      </c>
      <c r="I201" s="1" t="n">
        <f aca="false">COUNTIF($H$5:$H$1624,H201)</f>
        <v>1</v>
      </c>
      <c r="J201" s="1" t="n">
        <f aca="false">COUNTIF($H$5:H201,H201)</f>
        <v>1</v>
      </c>
      <c r="K201" s="1" t="n">
        <f aca="false">COUNTIFS($H$5:$H$1624,H201,$B$5:$B$1624,"&lt;&gt;"&amp;B201)</f>
        <v>0</v>
      </c>
      <c r="L201" s="1" t="str">
        <f aca="false">IF(I201&gt;1,IF(K201&gt;0,"Cross-hospital match","Same-hospital match"),"")</f>
        <v/>
      </c>
      <c r="M201" s="52"/>
      <c r="N201" s="52"/>
      <c r="O201" s="1" t="n">
        <f aca="false">IF(M201="Exclude (duplicate)",0,1)</f>
        <v>1</v>
      </c>
      <c r="P201" s="1" t="str">
        <f aca="false">IF(AND(L201&lt;&gt;"",M201=""),"Needs decision","")</f>
        <v/>
      </c>
    </row>
    <row r="202" customFormat="false" ht="15" hidden="false" customHeight="false" outlineLevel="0" collapsed="false">
      <c r="A202" s="48" t="str">
        <f aca="false">COST!A202</f>
        <v>KVMC-0198</v>
      </c>
      <c r="B202" s="48" t="str">
        <f aca="false">COST!B202</f>
        <v>KVMC</v>
      </c>
      <c r="C202" s="48" t="str">
        <f aca="false">COST!D202</f>
        <v>Free Clinic Provider Staffing</v>
      </c>
      <c r="D202" s="62" t="n">
        <f aca="false">COST!M202</f>
        <v>45991</v>
      </c>
      <c r="E202" s="48" t="str">
        <f aca="false">COST!P202</f>
        <v>Nurse Practitioner</v>
      </c>
      <c r="F202" s="63" t="n">
        <f aca="false">COST!R202</f>
        <v>59.5</v>
      </c>
      <c r="G202" s="48" t="str">
        <f aca="false">STACK!M202</f>
        <v/>
      </c>
      <c r="H202" s="1" t="str">
        <f aca="false">C202&amp;"|"&amp;IF(ISNUMBER(D202),TEXT(D202,"yyyy-mm-dd"),"no date")&amp;"|"&amp;E202&amp;"|"&amp;IF(ISNUMBER(F202),TEXT(F202,"0.00"),"blank")</f>
        <v>Free Clinic Provider Staffing|2025-11-30|Nurse Practitioner|59.50</v>
      </c>
      <c r="I202" s="1" t="n">
        <f aca="false">COUNTIF($H$5:$H$1624,H202)</f>
        <v>1</v>
      </c>
      <c r="J202" s="1" t="n">
        <f aca="false">COUNTIF($H$5:H202,H202)</f>
        <v>1</v>
      </c>
      <c r="K202" s="1" t="n">
        <f aca="false">COUNTIFS($H$5:$H$1624,H202,$B$5:$B$1624,"&lt;&gt;"&amp;B202)</f>
        <v>0</v>
      </c>
      <c r="L202" s="1" t="str">
        <f aca="false">IF(I202&gt;1,IF(K202&gt;0,"Cross-hospital match","Same-hospital match"),"")</f>
        <v/>
      </c>
      <c r="M202" s="52"/>
      <c r="N202" s="52"/>
      <c r="O202" s="1" t="n">
        <f aca="false">IF(M202="Exclude (duplicate)",0,1)</f>
        <v>1</v>
      </c>
      <c r="P202" s="1" t="str">
        <f aca="false">IF(AND(L202&lt;&gt;"",M202=""),"Needs decision","")</f>
        <v/>
      </c>
    </row>
    <row r="203" customFormat="false" ht="15" hidden="false" customHeight="false" outlineLevel="0" collapsed="false">
      <c r="A203" s="48" t="str">
        <f aca="false">COST!A203</f>
        <v>KVMC-0199</v>
      </c>
      <c r="B203" s="48" t="str">
        <f aca="false">COST!B203</f>
        <v>KVMC</v>
      </c>
      <c r="C203" s="48" t="str">
        <f aca="false">COST!D203</f>
        <v>Free Clinic Provider Staffing</v>
      </c>
      <c r="D203" s="62" t="n">
        <f aca="false">COST!M203</f>
        <v>45991</v>
      </c>
      <c r="E203" s="48" t="str">
        <f aca="false">COST!P203</f>
        <v>Pharmacist</v>
      </c>
      <c r="F203" s="63" t="n">
        <f aca="false">COST!R203</f>
        <v>21.5</v>
      </c>
      <c r="G203" s="48" t="str">
        <f aca="false">STACK!M203</f>
        <v/>
      </c>
      <c r="H203" s="1" t="str">
        <f aca="false">C203&amp;"|"&amp;IF(ISNUMBER(D203),TEXT(D203,"yyyy-mm-dd"),"no date")&amp;"|"&amp;E203&amp;"|"&amp;IF(ISNUMBER(F203),TEXT(F203,"0.00"),"blank")</f>
        <v>Free Clinic Provider Staffing|2025-11-30|Pharmacist|21.50</v>
      </c>
      <c r="I203" s="1" t="n">
        <f aca="false">COUNTIF($H$5:$H$1624,H203)</f>
        <v>1</v>
      </c>
      <c r="J203" s="1" t="n">
        <f aca="false">COUNTIF($H$5:H203,H203)</f>
        <v>1</v>
      </c>
      <c r="K203" s="1" t="n">
        <f aca="false">COUNTIFS($H$5:$H$1624,H203,$B$5:$B$1624,"&lt;&gt;"&amp;B203)</f>
        <v>0</v>
      </c>
      <c r="L203" s="1" t="str">
        <f aca="false">IF(I203&gt;1,IF(K203&gt;0,"Cross-hospital match","Same-hospital match"),"")</f>
        <v/>
      </c>
      <c r="M203" s="52"/>
      <c r="N203" s="52"/>
      <c r="O203" s="1" t="n">
        <f aca="false">IF(M203="Exclude (duplicate)",0,1)</f>
        <v>1</v>
      </c>
      <c r="P203" s="1" t="str">
        <f aca="false">IF(AND(L203&lt;&gt;"",M203=""),"Needs decision","")</f>
        <v/>
      </c>
    </row>
    <row r="204" customFormat="false" ht="15" hidden="false" customHeight="false" outlineLevel="0" collapsed="false">
      <c r="A204" s="48" t="str">
        <f aca="false">COST!A204</f>
        <v>KVMC-0200</v>
      </c>
      <c r="B204" s="48" t="str">
        <f aca="false">COST!B204</f>
        <v>KVMC</v>
      </c>
      <c r="C204" s="48" t="str">
        <f aca="false">COST!D204</f>
        <v>Free Clinic Provider Staffing</v>
      </c>
      <c r="D204" s="62" t="n">
        <f aca="false">COST!M204</f>
        <v>45991</v>
      </c>
      <c r="E204" s="48" t="str">
        <f aca="false">COST!P204</f>
        <v>Registered Nurse</v>
      </c>
      <c r="F204" s="63" t="n">
        <f aca="false">COST!R204</f>
        <v>45</v>
      </c>
      <c r="G204" s="48" t="str">
        <f aca="false">STACK!M204</f>
        <v/>
      </c>
      <c r="H204" s="1" t="str">
        <f aca="false">C204&amp;"|"&amp;IF(ISNUMBER(D204),TEXT(D204,"yyyy-mm-dd"),"no date")&amp;"|"&amp;E204&amp;"|"&amp;IF(ISNUMBER(F204),TEXT(F204,"0.00"),"blank")</f>
        <v>Free Clinic Provider Staffing|2025-11-30|Registered Nurse|45.00</v>
      </c>
      <c r="I204" s="1" t="n">
        <f aca="false">COUNTIF($H$5:$H$1624,H204)</f>
        <v>1</v>
      </c>
      <c r="J204" s="1" t="n">
        <f aca="false">COUNTIF($H$5:H204,H204)</f>
        <v>1</v>
      </c>
      <c r="K204" s="1" t="n">
        <f aca="false">COUNTIFS($H$5:$H$1624,H204,$B$5:$B$1624,"&lt;&gt;"&amp;B204)</f>
        <v>0</v>
      </c>
      <c r="L204" s="1" t="str">
        <f aca="false">IF(I204&gt;1,IF(K204&gt;0,"Cross-hospital match","Same-hospital match"),"")</f>
        <v/>
      </c>
      <c r="M204" s="52"/>
      <c r="N204" s="52"/>
      <c r="O204" s="1" t="n">
        <f aca="false">IF(M204="Exclude (duplicate)",0,1)</f>
        <v>1</v>
      </c>
      <c r="P204" s="1" t="str">
        <f aca="false">IF(AND(L204&lt;&gt;"",M204=""),"Needs decision","")</f>
        <v/>
      </c>
    </row>
    <row r="205" customFormat="false" ht="15" hidden="false" customHeight="false" outlineLevel="0" collapsed="false">
      <c r="A205" s="48" t="str">
        <f aca="false">COST!A205</f>
        <v>KVMC-0201</v>
      </c>
      <c r="B205" s="48" t="str">
        <f aca="false">COST!B205</f>
        <v>KVMC</v>
      </c>
      <c r="C205" s="48" t="str">
        <f aca="false">COST!D205</f>
        <v>Community Health Worker Outreach</v>
      </c>
      <c r="D205" s="62" t="n">
        <f aca="false">COST!M205</f>
        <v>45991</v>
      </c>
      <c r="E205" s="48" t="str">
        <f aca="false">COST!P205</f>
        <v>Community Health Worker</v>
      </c>
      <c r="F205" s="63" t="n">
        <f aca="false">COST!R205</f>
        <v>376.5</v>
      </c>
      <c r="G205" s="48" t="str">
        <f aca="false">STACK!M205</f>
        <v/>
      </c>
      <c r="H205" s="1" t="str">
        <f aca="false">C205&amp;"|"&amp;IF(ISNUMBER(D205),TEXT(D205,"yyyy-mm-dd"),"no date")&amp;"|"&amp;E205&amp;"|"&amp;IF(ISNUMBER(F205),TEXT(F205,"0.00"),"blank")</f>
        <v>Community Health Worker Outreach|2025-11-30|Community Health Worker|376.50</v>
      </c>
      <c r="I205" s="1" t="n">
        <f aca="false">COUNTIF($H$5:$H$1624,H205)</f>
        <v>1</v>
      </c>
      <c r="J205" s="1" t="n">
        <f aca="false">COUNTIF($H$5:H205,H205)</f>
        <v>1</v>
      </c>
      <c r="K205" s="1" t="n">
        <f aca="false">COUNTIFS($H$5:$H$1624,H205,$B$5:$B$1624,"&lt;&gt;"&amp;B205)</f>
        <v>0</v>
      </c>
      <c r="L205" s="1" t="str">
        <f aca="false">IF(I205&gt;1,IF(K205&gt;0,"Cross-hospital match","Same-hospital match"),"")</f>
        <v/>
      </c>
      <c r="M205" s="52"/>
      <c r="N205" s="52"/>
      <c r="O205" s="1" t="n">
        <f aca="false">IF(M205="Exclude (duplicate)",0,1)</f>
        <v>1</v>
      </c>
      <c r="P205" s="1" t="str">
        <f aca="false">IF(AND(L205&lt;&gt;"",M205=""),"Needs decision","")</f>
        <v/>
      </c>
    </row>
    <row r="206" customFormat="false" ht="15" hidden="false" customHeight="false" outlineLevel="0" collapsed="false">
      <c r="A206" s="48" t="str">
        <f aca="false">COST!A206</f>
        <v>KVMC-0202</v>
      </c>
      <c r="B206" s="48" t="str">
        <f aca="false">COST!B206</f>
        <v>KVMC</v>
      </c>
      <c r="C206" s="48" t="str">
        <f aca="false">COST!D206</f>
        <v>Community Health Worker Outreach</v>
      </c>
      <c r="D206" s="62" t="n">
        <f aca="false">COST!M206</f>
        <v>45991</v>
      </c>
      <c r="E206" s="48" t="str">
        <f aca="false">COST!P206</f>
        <v>Patient Navigator</v>
      </c>
      <c r="F206" s="63" t="n">
        <f aca="false">COST!R206</f>
        <v>202</v>
      </c>
      <c r="G206" s="48" t="str">
        <f aca="false">STACK!M206</f>
        <v/>
      </c>
      <c r="H206" s="1" t="str">
        <f aca="false">C206&amp;"|"&amp;IF(ISNUMBER(D206),TEXT(D206,"yyyy-mm-dd"),"no date")&amp;"|"&amp;E206&amp;"|"&amp;IF(ISNUMBER(F206),TEXT(F206,"0.00"),"blank")</f>
        <v>Community Health Worker Outreach|2025-11-30|Patient Navigator|202.00</v>
      </c>
      <c r="I206" s="1" t="n">
        <f aca="false">COUNTIF($H$5:$H$1624,H206)</f>
        <v>1</v>
      </c>
      <c r="J206" s="1" t="n">
        <f aca="false">COUNTIF($H$5:H206,H206)</f>
        <v>1</v>
      </c>
      <c r="K206" s="1" t="n">
        <f aca="false">COUNTIFS($H$5:$H$1624,H206,$B$5:$B$1624,"&lt;&gt;"&amp;B206)</f>
        <v>0</v>
      </c>
      <c r="L206" s="1" t="str">
        <f aca="false">IF(I206&gt;1,IF(K206&gt;0,"Cross-hospital match","Same-hospital match"),"")</f>
        <v/>
      </c>
      <c r="M206" s="52"/>
      <c r="N206" s="52"/>
      <c r="O206" s="1" t="n">
        <f aca="false">IF(M206="Exclude (duplicate)",0,1)</f>
        <v>1</v>
      </c>
      <c r="P206" s="1" t="str">
        <f aca="false">IF(AND(L206&lt;&gt;"",M206=""),"Needs decision","")</f>
        <v/>
      </c>
    </row>
    <row r="207" customFormat="false" ht="15" hidden="false" customHeight="false" outlineLevel="0" collapsed="false">
      <c r="A207" s="48" t="str">
        <f aca="false">COST!A207</f>
        <v>KVMC-0203</v>
      </c>
      <c r="B207" s="48" t="str">
        <f aca="false">COST!B207</f>
        <v>KVMC</v>
      </c>
      <c r="C207" s="48" t="str">
        <f aca="false">COST!D207</f>
        <v>Medication Assistance Program</v>
      </c>
      <c r="D207" s="62" t="n">
        <f aca="false">COST!M207</f>
        <v>45991</v>
      </c>
      <c r="E207" s="48" t="str">
        <f aca="false">COST!P207</f>
        <v>Patient Navigator</v>
      </c>
      <c r="F207" s="63" t="n">
        <f aca="false">COST!R207</f>
        <v>78</v>
      </c>
      <c r="G207" s="48" t="str">
        <f aca="false">STACK!M207</f>
        <v/>
      </c>
      <c r="H207" s="1" t="str">
        <f aca="false">C207&amp;"|"&amp;IF(ISNUMBER(D207),TEXT(D207,"yyyy-mm-dd"),"no date")&amp;"|"&amp;E207&amp;"|"&amp;IF(ISNUMBER(F207),TEXT(F207,"0.00"),"blank")</f>
        <v>Medication Assistance Program|2025-11-30|Patient Navigator|78.00</v>
      </c>
      <c r="I207" s="1" t="n">
        <f aca="false">COUNTIF($H$5:$H$1624,H207)</f>
        <v>1</v>
      </c>
      <c r="J207" s="1" t="n">
        <f aca="false">COUNTIF($H$5:H207,H207)</f>
        <v>1</v>
      </c>
      <c r="K207" s="1" t="n">
        <f aca="false">COUNTIFS($H$5:$H$1624,H207,$B$5:$B$1624,"&lt;&gt;"&amp;B207)</f>
        <v>0</v>
      </c>
      <c r="L207" s="1" t="str">
        <f aca="false">IF(I207&gt;1,IF(K207&gt;0,"Cross-hospital match","Same-hospital match"),"")</f>
        <v/>
      </c>
      <c r="M207" s="52"/>
      <c r="N207" s="52"/>
      <c r="O207" s="1" t="n">
        <f aca="false">IF(M207="Exclude (duplicate)",0,1)</f>
        <v>1</v>
      </c>
      <c r="P207" s="1" t="str">
        <f aca="false">IF(AND(L207&lt;&gt;"",M207=""),"Needs decision","")</f>
        <v/>
      </c>
    </row>
    <row r="208" customFormat="false" ht="15" hidden="false" customHeight="false" outlineLevel="0" collapsed="false">
      <c r="A208" s="48" t="str">
        <f aca="false">COST!A208</f>
        <v>KVMC-0204</v>
      </c>
      <c r="B208" s="48" t="str">
        <f aca="false">COST!B208</f>
        <v>KVMC</v>
      </c>
      <c r="C208" s="48" t="str">
        <f aca="false">COST!D208</f>
        <v>Medication Assistance Program</v>
      </c>
      <c r="D208" s="62" t="n">
        <f aca="false">COST!M208</f>
        <v>45991</v>
      </c>
      <c r="E208" s="48" t="str">
        <f aca="false">COST!P208</f>
        <v>Pharmacist</v>
      </c>
      <c r="F208" s="63" t="n">
        <f aca="false">COST!R208</f>
        <v>25.25</v>
      </c>
      <c r="G208" s="48" t="str">
        <f aca="false">STACK!M208</f>
        <v/>
      </c>
      <c r="H208" s="1" t="str">
        <f aca="false">C208&amp;"|"&amp;IF(ISNUMBER(D208),TEXT(D208,"yyyy-mm-dd"),"no date")&amp;"|"&amp;E208&amp;"|"&amp;IF(ISNUMBER(F208),TEXT(F208,"0.00"),"blank")</f>
        <v>Medication Assistance Program|2025-11-30|Pharmacist|25.25</v>
      </c>
      <c r="I208" s="1" t="n">
        <f aca="false">COUNTIF($H$5:$H$1624,H208)</f>
        <v>1</v>
      </c>
      <c r="J208" s="1" t="n">
        <f aca="false">COUNTIF($H$5:H208,H208)</f>
        <v>1</v>
      </c>
      <c r="K208" s="1" t="n">
        <f aca="false">COUNTIFS($H$5:$H$1624,H208,$B$5:$B$1624,"&lt;&gt;"&amp;B208)</f>
        <v>0</v>
      </c>
      <c r="L208" s="1" t="str">
        <f aca="false">IF(I208&gt;1,IF(K208&gt;0,"Cross-hospital match","Same-hospital match"),"")</f>
        <v/>
      </c>
      <c r="M208" s="52"/>
      <c r="N208" s="52"/>
      <c r="O208" s="1" t="n">
        <f aca="false">IF(M208="Exclude (duplicate)",0,1)</f>
        <v>1</v>
      </c>
      <c r="P208" s="1" t="str">
        <f aca="false">IF(AND(L208&lt;&gt;"",M208=""),"Needs decision","")</f>
        <v/>
      </c>
    </row>
    <row r="209" customFormat="false" ht="15" hidden="false" customHeight="false" outlineLevel="0" collapsed="false">
      <c r="A209" s="48" t="str">
        <f aca="false">COST!A209</f>
        <v>KVMC-0205</v>
      </c>
      <c r="B209" s="48" t="str">
        <f aca="false">COST!B209</f>
        <v>KVMC</v>
      </c>
      <c r="C209" s="48" t="str">
        <f aca="false">COST!D209</f>
        <v>Community Health Needs Assessment</v>
      </c>
      <c r="D209" s="62" t="n">
        <f aca="false">COST!M209</f>
        <v>45991</v>
      </c>
      <c r="E209" s="48" t="str">
        <f aca="false">COST!P209</f>
        <v>Community Benefit Manager</v>
      </c>
      <c r="F209" s="63" t="n">
        <f aca="false">COST!R209</f>
        <v>32.5</v>
      </c>
      <c r="G209" s="48" t="str">
        <f aca="false">STACK!M209</f>
        <v/>
      </c>
      <c r="H209" s="1" t="str">
        <f aca="false">C209&amp;"|"&amp;IF(ISNUMBER(D209),TEXT(D209,"yyyy-mm-dd"),"no date")&amp;"|"&amp;E209&amp;"|"&amp;IF(ISNUMBER(F209),TEXT(F209,"0.00"),"blank")</f>
        <v>Community Health Needs Assessment|2025-11-30|Community Benefit Manager|32.50</v>
      </c>
      <c r="I209" s="1" t="n">
        <f aca="false">COUNTIF($H$5:$H$1624,H209)</f>
        <v>1</v>
      </c>
      <c r="J209" s="1" t="n">
        <f aca="false">COUNTIF($H$5:H209,H209)</f>
        <v>1</v>
      </c>
      <c r="K209" s="1" t="n">
        <f aca="false">COUNTIFS($H$5:$H$1624,H209,$B$5:$B$1624,"&lt;&gt;"&amp;B209)</f>
        <v>0</v>
      </c>
      <c r="L209" s="1" t="str">
        <f aca="false">IF(I209&gt;1,IF(K209&gt;0,"Cross-hospital match","Same-hospital match"),"")</f>
        <v/>
      </c>
      <c r="M209" s="52"/>
      <c r="N209" s="52"/>
      <c r="O209" s="1" t="n">
        <f aca="false">IF(M209="Exclude (duplicate)",0,1)</f>
        <v>1</v>
      </c>
      <c r="P209" s="1" t="str">
        <f aca="false">IF(AND(L209&lt;&gt;"",M209=""),"Needs decision","")</f>
        <v/>
      </c>
    </row>
    <row r="210" customFormat="false" ht="15" hidden="false" customHeight="false" outlineLevel="0" collapsed="false">
      <c r="A210" s="48" t="str">
        <f aca="false">COST!A210</f>
        <v>KVMC-0206</v>
      </c>
      <c r="B210" s="48" t="str">
        <f aca="false">COST!B210</f>
        <v>KVMC</v>
      </c>
      <c r="C210" s="48" t="str">
        <f aca="false">COST!D210</f>
        <v>Community Health Needs Assessment</v>
      </c>
      <c r="D210" s="62" t="n">
        <f aca="false">COST!M210</f>
        <v>45991</v>
      </c>
      <c r="E210" s="48" t="str">
        <f aca="false">COST!P210</f>
        <v>Data Analyst</v>
      </c>
      <c r="F210" s="63" t="n">
        <f aca="false">COST!R210</f>
        <v>25.25</v>
      </c>
      <c r="G210" s="48" t="str">
        <f aca="false">STACK!M210</f>
        <v/>
      </c>
      <c r="H210" s="1" t="str">
        <f aca="false">C210&amp;"|"&amp;IF(ISNUMBER(D210),TEXT(D210,"yyyy-mm-dd"),"no date")&amp;"|"&amp;E210&amp;"|"&amp;IF(ISNUMBER(F210),TEXT(F210,"0.00"),"blank")</f>
        <v>Community Health Needs Assessment|2025-11-30|Data Analyst|25.25</v>
      </c>
      <c r="I210" s="1" t="n">
        <f aca="false">COUNTIF($H$5:$H$1624,H210)</f>
        <v>1</v>
      </c>
      <c r="J210" s="1" t="n">
        <f aca="false">COUNTIF($H$5:H210,H210)</f>
        <v>1</v>
      </c>
      <c r="K210" s="1" t="n">
        <f aca="false">COUNTIFS($H$5:$H$1624,H210,$B$5:$B$1624,"&lt;&gt;"&amp;B210)</f>
        <v>0</v>
      </c>
      <c r="L210" s="1" t="str">
        <f aca="false">IF(I210&gt;1,IF(K210&gt;0,"Cross-hospital match","Same-hospital match"),"")</f>
        <v/>
      </c>
      <c r="M210" s="52"/>
      <c r="N210" s="52"/>
      <c r="O210" s="1" t="n">
        <f aca="false">IF(M210="Exclude (duplicate)",0,1)</f>
        <v>1</v>
      </c>
      <c r="P210" s="1" t="str">
        <f aca="false">IF(AND(L210&lt;&gt;"",M210=""),"Needs decision","")</f>
        <v/>
      </c>
    </row>
    <row r="211" customFormat="false" ht="15" hidden="false" customHeight="false" outlineLevel="0" collapsed="false">
      <c r="A211" s="48" t="str">
        <f aca="false">COST!A211</f>
        <v>KVMC-0207</v>
      </c>
      <c r="B211" s="48" t="str">
        <f aca="false">COST!B211</f>
        <v>KVMC</v>
      </c>
      <c r="C211" s="48" t="str">
        <f aca="false">COST!D211</f>
        <v>Community Benefit Program Administration</v>
      </c>
      <c r="D211" s="62" t="n">
        <f aca="false">COST!M211</f>
        <v>45991</v>
      </c>
      <c r="E211" s="48" t="str">
        <f aca="false">COST!P211</f>
        <v>Administrative Assistant</v>
      </c>
      <c r="F211" s="63" t="n">
        <f aca="false">COST!R211</f>
        <v>49.5</v>
      </c>
      <c r="G211" s="48" t="str">
        <f aca="false">STACK!M211</f>
        <v/>
      </c>
      <c r="H211" s="1" t="str">
        <f aca="false">C211&amp;"|"&amp;IF(ISNUMBER(D211),TEXT(D211,"yyyy-mm-dd"),"no date")&amp;"|"&amp;E211&amp;"|"&amp;IF(ISNUMBER(F211),TEXT(F211,"0.00"),"blank")</f>
        <v>Community Benefit Program Administration|2025-11-30|Administrative Assistant|49.50</v>
      </c>
      <c r="I211" s="1" t="n">
        <f aca="false">COUNTIF($H$5:$H$1624,H211)</f>
        <v>1</v>
      </c>
      <c r="J211" s="1" t="n">
        <f aca="false">COUNTIF($H$5:H211,H211)</f>
        <v>1</v>
      </c>
      <c r="K211" s="1" t="n">
        <f aca="false">COUNTIFS($H$5:$H$1624,H211,$B$5:$B$1624,"&lt;&gt;"&amp;B211)</f>
        <v>0</v>
      </c>
      <c r="L211" s="1" t="str">
        <f aca="false">IF(I211&gt;1,IF(K211&gt;0,"Cross-hospital match","Same-hospital match"),"")</f>
        <v/>
      </c>
      <c r="M211" s="52"/>
      <c r="N211" s="52"/>
      <c r="O211" s="1" t="n">
        <f aca="false">IF(M211="Exclude (duplicate)",0,1)</f>
        <v>1</v>
      </c>
      <c r="P211" s="1" t="str">
        <f aca="false">IF(AND(L211&lt;&gt;"",M211=""),"Needs decision","")</f>
        <v/>
      </c>
    </row>
    <row r="212" customFormat="false" ht="15" hidden="false" customHeight="false" outlineLevel="0" collapsed="false">
      <c r="A212" s="48" t="str">
        <f aca="false">COST!A212</f>
        <v>KVMC-0208</v>
      </c>
      <c r="B212" s="48" t="str">
        <f aca="false">COST!B212</f>
        <v>KVMC</v>
      </c>
      <c r="C212" s="48" t="str">
        <f aca="false">COST!D212</f>
        <v>Community Benefit Program Administration</v>
      </c>
      <c r="D212" s="62" t="n">
        <f aca="false">COST!M212</f>
        <v>45991</v>
      </c>
      <c r="E212" s="48" t="str">
        <f aca="false">COST!P212</f>
        <v>Community Benefit Manager</v>
      </c>
      <c r="F212" s="63" t="n">
        <f aca="false">COST!R212</f>
        <v>89</v>
      </c>
      <c r="G212" s="48" t="str">
        <f aca="false">STACK!M212</f>
        <v/>
      </c>
      <c r="H212" s="1" t="str">
        <f aca="false">C212&amp;"|"&amp;IF(ISNUMBER(D212),TEXT(D212,"yyyy-mm-dd"),"no date")&amp;"|"&amp;E212&amp;"|"&amp;IF(ISNUMBER(F212),TEXT(F212,"0.00"),"blank")</f>
        <v>Community Benefit Program Administration|2025-11-30|Community Benefit Manager|89.00</v>
      </c>
      <c r="I212" s="1" t="n">
        <f aca="false">COUNTIF($H$5:$H$1624,H212)</f>
        <v>1</v>
      </c>
      <c r="J212" s="1" t="n">
        <f aca="false">COUNTIF($H$5:H212,H212)</f>
        <v>1</v>
      </c>
      <c r="K212" s="1" t="n">
        <f aca="false">COUNTIFS($H$5:$H$1624,H212,$B$5:$B$1624,"&lt;&gt;"&amp;B212)</f>
        <v>0</v>
      </c>
      <c r="L212" s="1" t="str">
        <f aca="false">IF(I212&gt;1,IF(K212&gt;0,"Cross-hospital match","Same-hospital match"),"")</f>
        <v/>
      </c>
      <c r="M212" s="52"/>
      <c r="N212" s="52"/>
      <c r="O212" s="1" t="n">
        <f aca="false">IF(M212="Exclude (duplicate)",0,1)</f>
        <v>1</v>
      </c>
      <c r="P212" s="1" t="str">
        <f aca="false">IF(AND(L212&lt;&gt;"",M212=""),"Needs decision","")</f>
        <v/>
      </c>
    </row>
    <row r="213" customFormat="false" ht="15" hidden="false" customHeight="false" outlineLevel="0" collapsed="false">
      <c r="A213" s="48" t="str">
        <f aca="false">COST!A213</f>
        <v>KVMC-0209</v>
      </c>
      <c r="B213" s="48" t="str">
        <f aca="false">COST!B213</f>
        <v>KVMC</v>
      </c>
      <c r="C213" s="48" t="str">
        <f aca="false">COST!D213</f>
        <v>Interpreter Services for Community Clinics</v>
      </c>
      <c r="D213" s="62" t="n">
        <f aca="false">COST!M213</f>
        <v>45991</v>
      </c>
      <c r="E213" s="48" t="str">
        <f aca="false">COST!P213</f>
        <v>Interpreter</v>
      </c>
      <c r="F213" s="63" t="n">
        <f aca="false">COST!R213</f>
        <v>78.25</v>
      </c>
      <c r="G213" s="48" t="str">
        <f aca="false">STACK!M213</f>
        <v/>
      </c>
      <c r="H213" s="1" t="str">
        <f aca="false">C213&amp;"|"&amp;IF(ISNUMBER(D213),TEXT(D213,"yyyy-mm-dd"),"no date")&amp;"|"&amp;E213&amp;"|"&amp;IF(ISNUMBER(F213),TEXT(F213,"0.00"),"blank")</f>
        <v>Interpreter Services for Community Clinics|2025-11-30|Interpreter|78.25</v>
      </c>
      <c r="I213" s="1" t="n">
        <f aca="false">COUNTIF($H$5:$H$1624,H213)</f>
        <v>1</v>
      </c>
      <c r="J213" s="1" t="n">
        <f aca="false">COUNTIF($H$5:H213,H213)</f>
        <v>1</v>
      </c>
      <c r="K213" s="1" t="n">
        <f aca="false">COUNTIFS($H$5:$H$1624,H213,$B$5:$B$1624,"&lt;&gt;"&amp;B213)</f>
        <v>0</v>
      </c>
      <c r="L213" s="1" t="str">
        <f aca="false">IF(I213&gt;1,IF(K213&gt;0,"Cross-hospital match","Same-hospital match"),"")</f>
        <v/>
      </c>
      <c r="M213" s="52"/>
      <c r="N213" s="52"/>
      <c r="O213" s="1" t="n">
        <f aca="false">IF(M213="Exclude (duplicate)",0,1)</f>
        <v>1</v>
      </c>
      <c r="P213" s="1" t="str">
        <f aca="false">IF(AND(L213&lt;&gt;"",M213=""),"Needs decision","")</f>
        <v/>
      </c>
    </row>
    <row r="214" customFormat="false" ht="15" hidden="false" customHeight="false" outlineLevel="0" collapsed="false">
      <c r="A214" s="48" t="str">
        <f aca="false">COST!A214</f>
        <v>KVMC-0210</v>
      </c>
      <c r="B214" s="48" t="str">
        <f aca="false">COST!B214</f>
        <v>KVMC</v>
      </c>
      <c r="C214" s="48" t="str">
        <f aca="false">COST!D214</f>
        <v>Nursing Student Clinical Rotations</v>
      </c>
      <c r="D214" s="62" t="n">
        <f aca="false">COST!M214</f>
        <v>45991</v>
      </c>
      <c r="E214" s="48" t="str">
        <f aca="false">COST!P214</f>
        <v>Clinical Nurse Educator</v>
      </c>
      <c r="F214" s="63" t="n">
        <f aca="false">COST!R214</f>
        <v>179.5</v>
      </c>
      <c r="G214" s="48" t="str">
        <f aca="false">STACK!M214</f>
        <v/>
      </c>
      <c r="H214" s="1" t="str">
        <f aca="false">C214&amp;"|"&amp;IF(ISNUMBER(D214),TEXT(D214,"yyyy-mm-dd"),"no date")&amp;"|"&amp;E214&amp;"|"&amp;IF(ISNUMBER(F214),TEXT(F214,"0.00"),"blank")</f>
        <v>Nursing Student Clinical Rotations|2025-11-30|Clinical Nurse Educator|179.50</v>
      </c>
      <c r="I214" s="1" t="n">
        <f aca="false">COUNTIF($H$5:$H$1624,H214)</f>
        <v>1</v>
      </c>
      <c r="J214" s="1" t="n">
        <f aca="false">COUNTIF($H$5:H214,H214)</f>
        <v>1</v>
      </c>
      <c r="K214" s="1" t="n">
        <f aca="false">COUNTIFS($H$5:$H$1624,H214,$B$5:$B$1624,"&lt;&gt;"&amp;B214)</f>
        <v>0</v>
      </c>
      <c r="L214" s="1" t="str">
        <f aca="false">IF(I214&gt;1,IF(K214&gt;0,"Cross-hospital match","Same-hospital match"),"")</f>
        <v/>
      </c>
      <c r="M214" s="52"/>
      <c r="N214" s="52"/>
      <c r="O214" s="1" t="n">
        <f aca="false">IF(M214="Exclude (duplicate)",0,1)</f>
        <v>1</v>
      </c>
      <c r="P214" s="1" t="str">
        <f aca="false">IF(AND(L214&lt;&gt;"",M214=""),"Needs decision","")</f>
        <v/>
      </c>
    </row>
    <row r="215" customFormat="false" ht="15" hidden="false" customHeight="false" outlineLevel="0" collapsed="false">
      <c r="A215" s="48" t="str">
        <f aca="false">COST!A215</f>
        <v>KVMC-0211</v>
      </c>
      <c r="B215" s="48" t="str">
        <f aca="false">COST!B215</f>
        <v>KVMC</v>
      </c>
      <c r="C215" s="48" t="str">
        <f aca="false">COST!D215</f>
        <v>Nursing Student Clinical Rotations</v>
      </c>
      <c r="D215" s="62" t="n">
        <f aca="false">COST!M215</f>
        <v>45991</v>
      </c>
      <c r="E215" s="48" t="str">
        <f aca="false">COST!P215</f>
        <v>Registered Nurse</v>
      </c>
      <c r="F215" s="63" t="n">
        <f aca="false">COST!R215</f>
        <v>296</v>
      </c>
      <c r="G215" s="48" t="str">
        <f aca="false">STACK!M215</f>
        <v/>
      </c>
      <c r="H215" s="1" t="str">
        <f aca="false">C215&amp;"|"&amp;IF(ISNUMBER(D215),TEXT(D215,"yyyy-mm-dd"),"no date")&amp;"|"&amp;E215&amp;"|"&amp;IF(ISNUMBER(F215),TEXT(F215,"0.00"),"blank")</f>
        <v>Nursing Student Clinical Rotations|2025-11-30|Registered Nurse|296.00</v>
      </c>
      <c r="I215" s="1" t="n">
        <f aca="false">COUNTIF($H$5:$H$1624,H215)</f>
        <v>1</v>
      </c>
      <c r="J215" s="1" t="n">
        <f aca="false">COUNTIF($H$5:H215,H215)</f>
        <v>1</v>
      </c>
      <c r="K215" s="1" t="n">
        <f aca="false">COUNTIFS($H$5:$H$1624,H215,$B$5:$B$1624,"&lt;&gt;"&amp;B215)</f>
        <v>0</v>
      </c>
      <c r="L215" s="1" t="str">
        <f aca="false">IF(I215&gt;1,IF(K215&gt;0,"Cross-hospital match","Same-hospital match"),"")</f>
        <v/>
      </c>
      <c r="M215" s="52"/>
      <c r="N215" s="52"/>
      <c r="O215" s="1" t="n">
        <f aca="false">IF(M215="Exclude (duplicate)",0,1)</f>
        <v>1</v>
      </c>
      <c r="P215" s="1" t="str">
        <f aca="false">IF(AND(L215&lt;&gt;"",M215=""),"Needs decision","")</f>
        <v/>
      </c>
    </row>
    <row r="216" customFormat="false" ht="15" hidden="false" customHeight="false" outlineLevel="0" collapsed="false">
      <c r="A216" s="48" t="str">
        <f aca="false">COST!A216</f>
        <v>KVMC-0212</v>
      </c>
      <c r="B216" s="48" t="str">
        <f aca="false">COST!B216</f>
        <v>KVMC</v>
      </c>
      <c r="C216" s="48" t="str">
        <f aca="false">COST!D216</f>
        <v>Family Medicine Residency Program</v>
      </c>
      <c r="D216" s="62" t="n">
        <f aca="false">COST!M216</f>
        <v>45991</v>
      </c>
      <c r="E216" s="48" t="str">
        <f aca="false">COST!P216</f>
        <v>Physician</v>
      </c>
      <c r="F216" s="63" t="n">
        <f aca="false">COST!R216</f>
        <v>384.75</v>
      </c>
      <c r="G216" s="48" t="str">
        <f aca="false">STACK!M216</f>
        <v/>
      </c>
      <c r="H216" s="1" t="str">
        <f aca="false">C216&amp;"|"&amp;IF(ISNUMBER(D216),TEXT(D216,"yyyy-mm-dd"),"no date")&amp;"|"&amp;E216&amp;"|"&amp;IF(ISNUMBER(F216),TEXT(F216,"0.00"),"blank")</f>
        <v>Family Medicine Residency Program|2025-11-30|Physician|384.75</v>
      </c>
      <c r="I216" s="1" t="n">
        <f aca="false">COUNTIF($H$5:$H$1624,H216)</f>
        <v>1</v>
      </c>
      <c r="J216" s="1" t="n">
        <f aca="false">COUNTIF($H$5:H216,H216)</f>
        <v>1</v>
      </c>
      <c r="K216" s="1" t="n">
        <f aca="false">COUNTIFS($H$5:$H$1624,H216,$B$5:$B$1624,"&lt;&gt;"&amp;B216)</f>
        <v>0</v>
      </c>
      <c r="L216" s="1" t="str">
        <f aca="false">IF(I216&gt;1,IF(K216&gt;0,"Cross-hospital match","Same-hospital match"),"")</f>
        <v/>
      </c>
      <c r="M216" s="52"/>
      <c r="N216" s="52"/>
      <c r="O216" s="1" t="n">
        <f aca="false">IF(M216="Exclude (duplicate)",0,1)</f>
        <v>1</v>
      </c>
      <c r="P216" s="1" t="str">
        <f aca="false">IF(AND(L216&lt;&gt;"",M216=""),"Needs decision","")</f>
        <v/>
      </c>
    </row>
    <row r="217" customFormat="false" ht="15" hidden="false" customHeight="false" outlineLevel="0" collapsed="false">
      <c r="A217" s="48" t="str">
        <f aca="false">COST!A217</f>
        <v>KVMC-0213</v>
      </c>
      <c r="B217" s="48" t="str">
        <f aca="false">COST!B217</f>
        <v>KVMC</v>
      </c>
      <c r="C217" s="48" t="str">
        <f aca="false">COST!D217</f>
        <v>Family Medicine Residency Program</v>
      </c>
      <c r="D217" s="62" t="n">
        <f aca="false">COST!M217</f>
        <v>45991</v>
      </c>
      <c r="E217" s="48" t="str">
        <f aca="false">COST!P217</f>
        <v>Program Coordinator</v>
      </c>
      <c r="F217" s="63" t="n">
        <f aca="false">COST!R217</f>
        <v>162.75</v>
      </c>
      <c r="G217" s="48" t="str">
        <f aca="false">STACK!M217</f>
        <v/>
      </c>
      <c r="H217" s="1" t="str">
        <f aca="false">C217&amp;"|"&amp;IF(ISNUMBER(D217),TEXT(D217,"yyyy-mm-dd"),"no date")&amp;"|"&amp;E217&amp;"|"&amp;IF(ISNUMBER(F217),TEXT(F217,"0.00"),"blank")</f>
        <v>Family Medicine Residency Program|2025-11-30|Program Coordinator|162.75</v>
      </c>
      <c r="I217" s="1" t="n">
        <f aca="false">COUNTIF($H$5:$H$1624,H217)</f>
        <v>1</v>
      </c>
      <c r="J217" s="1" t="n">
        <f aca="false">COUNTIF($H$5:H217,H217)</f>
        <v>1</v>
      </c>
      <c r="K217" s="1" t="n">
        <f aca="false">COUNTIFS($H$5:$H$1624,H217,$B$5:$B$1624,"&lt;&gt;"&amp;B217)</f>
        <v>0</v>
      </c>
      <c r="L217" s="1" t="str">
        <f aca="false">IF(I217&gt;1,IF(K217&gt;0,"Cross-hospital match","Same-hospital match"),"")</f>
        <v/>
      </c>
      <c r="M217" s="52"/>
      <c r="N217" s="52"/>
      <c r="O217" s="1" t="n">
        <f aca="false">IF(M217="Exclude (duplicate)",0,1)</f>
        <v>1</v>
      </c>
      <c r="P217" s="1" t="str">
        <f aca="false">IF(AND(L217&lt;&gt;"",M217=""),"Needs decision","")</f>
        <v/>
      </c>
    </row>
    <row r="218" customFormat="false" ht="15" hidden="false" customHeight="false" outlineLevel="0" collapsed="false">
      <c r="A218" s="48" t="str">
        <f aca="false">COST!A218</f>
        <v>KVMC-0214</v>
      </c>
      <c r="B218" s="48" t="str">
        <f aca="false">COST!B218</f>
        <v>KVMC</v>
      </c>
      <c r="C218" s="48" t="str">
        <f aca="false">COST!D218</f>
        <v>Family Medicine Residency Program</v>
      </c>
      <c r="D218" s="62" t="n">
        <f aca="false">COST!M218</f>
        <v>45991</v>
      </c>
      <c r="E218" s="48" t="str">
        <f aca="false">COST!P218</f>
        <v>Resident Physician</v>
      </c>
      <c r="F218" s="63" t="n">
        <f aca="false">COST!R218</f>
        <v>4019.75</v>
      </c>
      <c r="G218" s="48" t="str">
        <f aca="false">STACK!M218</f>
        <v/>
      </c>
      <c r="H218" s="1" t="str">
        <f aca="false">C218&amp;"|"&amp;IF(ISNUMBER(D218),TEXT(D218,"yyyy-mm-dd"),"no date")&amp;"|"&amp;E218&amp;"|"&amp;IF(ISNUMBER(F218),TEXT(F218,"0.00"),"blank")</f>
        <v>Family Medicine Residency Program|2025-11-30|Resident Physician|4019.75</v>
      </c>
      <c r="I218" s="1" t="n">
        <f aca="false">COUNTIF($H$5:$H$1624,H218)</f>
        <v>1</v>
      </c>
      <c r="J218" s="1" t="n">
        <f aca="false">COUNTIF($H$5:H218,H218)</f>
        <v>1</v>
      </c>
      <c r="K218" s="1" t="n">
        <f aca="false">COUNTIFS($H$5:$H$1624,H218,$B$5:$B$1624,"&lt;&gt;"&amp;B218)</f>
        <v>0</v>
      </c>
      <c r="L218" s="1" t="str">
        <f aca="false">IF(I218&gt;1,IF(K218&gt;0,"Cross-hospital match","Same-hospital match"),"")</f>
        <v/>
      </c>
      <c r="M218" s="52"/>
      <c r="N218" s="52"/>
      <c r="O218" s="1" t="n">
        <f aca="false">IF(M218="Exclude (duplicate)",0,1)</f>
        <v>1</v>
      </c>
      <c r="P218" s="1" t="str">
        <f aca="false">IF(AND(L218&lt;&gt;"",M218=""),"Needs decision","")</f>
        <v/>
      </c>
    </row>
    <row r="219" customFormat="false" ht="15" hidden="false" customHeight="false" outlineLevel="0" collapsed="false">
      <c r="A219" s="48" t="str">
        <f aca="false">COST!A219</f>
        <v>KVMC-0215</v>
      </c>
      <c r="B219" s="48" t="str">
        <f aca="false">COST!B219</f>
        <v>KVMC</v>
      </c>
      <c r="C219" s="48" t="str">
        <f aca="false">COST!D219</f>
        <v>Pharmacy Student Rotations</v>
      </c>
      <c r="D219" s="62" t="n">
        <f aca="false">COST!M219</f>
        <v>45991</v>
      </c>
      <c r="E219" s="48" t="str">
        <f aca="false">COST!P219</f>
        <v>Pharmacist</v>
      </c>
      <c r="F219" s="63" t="n">
        <f aca="false">COST!R219</f>
        <v>81.75</v>
      </c>
      <c r="G219" s="48" t="str">
        <f aca="false">STACK!M219</f>
        <v/>
      </c>
      <c r="H219" s="1" t="str">
        <f aca="false">C219&amp;"|"&amp;IF(ISNUMBER(D219),TEXT(D219,"yyyy-mm-dd"),"no date")&amp;"|"&amp;E219&amp;"|"&amp;IF(ISNUMBER(F219),TEXT(F219,"0.00"),"blank")</f>
        <v>Pharmacy Student Rotations|2025-11-30|Pharmacist|81.75</v>
      </c>
      <c r="I219" s="1" t="n">
        <f aca="false">COUNTIF($H$5:$H$1624,H219)</f>
        <v>1</v>
      </c>
      <c r="J219" s="1" t="n">
        <f aca="false">COUNTIF($H$5:H219,H219)</f>
        <v>1</v>
      </c>
      <c r="K219" s="1" t="n">
        <f aca="false">COUNTIFS($H$5:$H$1624,H219,$B$5:$B$1624,"&lt;&gt;"&amp;B219)</f>
        <v>0</v>
      </c>
      <c r="L219" s="1" t="str">
        <f aca="false">IF(I219&gt;1,IF(K219&gt;0,"Cross-hospital match","Same-hospital match"),"")</f>
        <v/>
      </c>
      <c r="M219" s="52"/>
      <c r="N219" s="52"/>
      <c r="O219" s="1" t="n">
        <f aca="false">IF(M219="Exclude (duplicate)",0,1)</f>
        <v>1</v>
      </c>
      <c r="P219" s="1" t="str">
        <f aca="false">IF(AND(L219&lt;&gt;"",M219=""),"Needs decision","")</f>
        <v/>
      </c>
    </row>
    <row r="220" customFormat="false" ht="15" hidden="false" customHeight="false" outlineLevel="0" collapsed="false">
      <c r="A220" s="48" t="str">
        <f aca="false">COST!A220</f>
        <v>KVMC-0216</v>
      </c>
      <c r="B220" s="48" t="str">
        <f aca="false">COST!B220</f>
        <v>KVMC</v>
      </c>
      <c r="C220" s="48" t="str">
        <f aca="false">COST!D220</f>
        <v>Community Hypertension Control Study</v>
      </c>
      <c r="D220" s="62" t="n">
        <f aca="false">COST!M220</f>
        <v>45991</v>
      </c>
      <c r="E220" s="48" t="str">
        <f aca="false">COST!P220</f>
        <v>Data Analyst</v>
      </c>
      <c r="F220" s="63" t="n">
        <f aca="false">COST!R220</f>
        <v>40.25</v>
      </c>
      <c r="G220" s="48" t="str">
        <f aca="false">STACK!M220</f>
        <v/>
      </c>
      <c r="H220" s="1" t="str">
        <f aca="false">C220&amp;"|"&amp;IF(ISNUMBER(D220),TEXT(D220,"yyyy-mm-dd"),"no date")&amp;"|"&amp;E220&amp;"|"&amp;IF(ISNUMBER(F220),TEXT(F220,"0.00"),"blank")</f>
        <v>Community Hypertension Control Study|2025-11-30|Data Analyst|40.25</v>
      </c>
      <c r="I220" s="1" t="n">
        <f aca="false">COUNTIF($H$5:$H$1624,H220)</f>
        <v>1</v>
      </c>
      <c r="J220" s="1" t="n">
        <f aca="false">COUNTIF($H$5:H220,H220)</f>
        <v>1</v>
      </c>
      <c r="K220" s="1" t="n">
        <f aca="false">COUNTIFS($H$5:$H$1624,H220,$B$5:$B$1624,"&lt;&gt;"&amp;B220)</f>
        <v>0</v>
      </c>
      <c r="L220" s="1" t="str">
        <f aca="false">IF(I220&gt;1,IF(K220&gt;0,"Cross-hospital match","Same-hospital match"),"")</f>
        <v/>
      </c>
      <c r="M220" s="52"/>
      <c r="N220" s="52"/>
      <c r="O220" s="1" t="n">
        <f aca="false">IF(M220="Exclude (duplicate)",0,1)</f>
        <v>1</v>
      </c>
      <c r="P220" s="1" t="str">
        <f aca="false">IF(AND(L220&lt;&gt;"",M220=""),"Needs decision","")</f>
        <v/>
      </c>
    </row>
    <row r="221" customFormat="false" ht="15" hidden="false" customHeight="false" outlineLevel="0" collapsed="false">
      <c r="A221" s="48" t="str">
        <f aca="false">COST!A221</f>
        <v>KVMC-0217</v>
      </c>
      <c r="B221" s="48" t="str">
        <f aca="false">COST!B221</f>
        <v>KVMC</v>
      </c>
      <c r="C221" s="48" t="str">
        <f aca="false">COST!D221</f>
        <v>Community Hypertension Control Study</v>
      </c>
      <c r="D221" s="62" t="n">
        <f aca="false">COST!M221</f>
        <v>45991</v>
      </c>
      <c r="E221" s="48" t="str">
        <f aca="false">COST!P221</f>
        <v>Physician</v>
      </c>
      <c r="F221" s="63" t="n">
        <f aca="false">COST!R221</f>
        <v>16</v>
      </c>
      <c r="G221" s="48" t="str">
        <f aca="false">STACK!M221</f>
        <v/>
      </c>
      <c r="H221" s="1" t="str">
        <f aca="false">C221&amp;"|"&amp;IF(ISNUMBER(D221),TEXT(D221,"yyyy-mm-dd"),"no date")&amp;"|"&amp;E221&amp;"|"&amp;IF(ISNUMBER(F221),TEXT(F221,"0.00"),"blank")</f>
        <v>Community Hypertension Control Study|2025-11-30|Physician|16.00</v>
      </c>
      <c r="I221" s="1" t="n">
        <f aca="false">COUNTIF($H$5:$H$1624,H221)</f>
        <v>1</v>
      </c>
      <c r="J221" s="1" t="n">
        <f aca="false">COUNTIF($H$5:H221,H221)</f>
        <v>1</v>
      </c>
      <c r="K221" s="1" t="n">
        <f aca="false">COUNTIFS($H$5:$H$1624,H221,$B$5:$B$1624,"&lt;&gt;"&amp;B221)</f>
        <v>0</v>
      </c>
      <c r="L221" s="1" t="str">
        <f aca="false">IF(I221&gt;1,IF(K221&gt;0,"Cross-hospital match","Same-hospital match"),"")</f>
        <v/>
      </c>
      <c r="M221" s="52"/>
      <c r="N221" s="52"/>
      <c r="O221" s="1" t="n">
        <f aca="false">IF(M221="Exclude (duplicate)",0,1)</f>
        <v>1</v>
      </c>
      <c r="P221" s="1" t="str">
        <f aca="false">IF(AND(L221&lt;&gt;"",M221=""),"Needs decision","")</f>
        <v/>
      </c>
    </row>
    <row r="222" customFormat="false" ht="15" hidden="false" customHeight="false" outlineLevel="0" collapsed="false">
      <c r="A222" s="48" t="str">
        <f aca="false">COST!A222</f>
        <v>KVMC-0218</v>
      </c>
      <c r="B222" s="48" t="str">
        <f aca="false">COST!B222</f>
        <v>KVMC</v>
      </c>
      <c r="C222" s="48" t="str">
        <f aca="false">COST!D222</f>
        <v>Community Hypertension Control Study</v>
      </c>
      <c r="D222" s="62" t="n">
        <f aca="false">COST!M222</f>
        <v>45991</v>
      </c>
      <c r="E222" s="48" t="str">
        <f aca="false">COST!P222</f>
        <v>Research Coordinator</v>
      </c>
      <c r="F222" s="63" t="n">
        <f aca="false">COST!R222</f>
        <v>181.75</v>
      </c>
      <c r="G222" s="48" t="str">
        <f aca="false">STACK!M222</f>
        <v/>
      </c>
      <c r="H222" s="1" t="str">
        <f aca="false">C222&amp;"|"&amp;IF(ISNUMBER(D222),TEXT(D222,"yyyy-mm-dd"),"no date")&amp;"|"&amp;E222&amp;"|"&amp;IF(ISNUMBER(F222),TEXT(F222,"0.00"),"blank")</f>
        <v>Community Hypertension Control Study|2025-11-30|Research Coordinator|181.75</v>
      </c>
      <c r="I222" s="1" t="n">
        <f aca="false">COUNTIF($H$5:$H$1624,H222)</f>
        <v>1</v>
      </c>
      <c r="J222" s="1" t="n">
        <f aca="false">COUNTIF($H$5:H222,H222)</f>
        <v>1</v>
      </c>
      <c r="K222" s="1" t="n">
        <f aca="false">COUNTIFS($H$5:$H$1624,H222,$B$5:$B$1624,"&lt;&gt;"&amp;B222)</f>
        <v>0</v>
      </c>
      <c r="L222" s="1" t="str">
        <f aca="false">IF(I222&gt;1,IF(K222&gt;0,"Cross-hospital match","Same-hospital match"),"")</f>
        <v/>
      </c>
      <c r="M222" s="52"/>
      <c r="N222" s="52"/>
      <c r="O222" s="1" t="n">
        <f aca="false">IF(M222="Exclude (duplicate)",0,1)</f>
        <v>1</v>
      </c>
      <c r="P222" s="1" t="str">
        <f aca="false">IF(AND(L222&lt;&gt;"",M222=""),"Needs decision","")</f>
        <v/>
      </c>
    </row>
    <row r="223" customFormat="false" ht="15" hidden="false" customHeight="false" outlineLevel="0" collapsed="false">
      <c r="A223" s="48" t="str">
        <f aca="false">COST!A223</f>
        <v>KVMC-0219</v>
      </c>
      <c r="B223" s="48" t="str">
        <f aca="false">COST!B223</f>
        <v>KVMC</v>
      </c>
      <c r="C223" s="48" t="str">
        <f aca="false">COST!D223</f>
        <v>Diabetes Prevention Classes</v>
      </c>
      <c r="D223" s="62" t="n">
        <f aca="false">COST!M223</f>
        <v>45992</v>
      </c>
      <c r="E223" s="48" t="str">
        <f aca="false">COST!P223</f>
        <v>Health Educator</v>
      </c>
      <c r="F223" s="63" t="n">
        <f aca="false">COST!R223</f>
        <v>2.25</v>
      </c>
      <c r="G223" s="48" t="str">
        <f aca="false">STACK!M223</f>
        <v/>
      </c>
      <c r="H223" s="1" t="str">
        <f aca="false">C223&amp;"|"&amp;IF(ISNUMBER(D223),TEXT(D223,"yyyy-mm-dd"),"no date")&amp;"|"&amp;E223&amp;"|"&amp;IF(ISNUMBER(F223),TEXT(F223,"0.00"),"blank")</f>
        <v>Diabetes Prevention Classes|2025-12-01|Health Educator|2.25</v>
      </c>
      <c r="I223" s="1" t="n">
        <f aca="false">COUNTIF($H$5:$H$1624,H223)</f>
        <v>1</v>
      </c>
      <c r="J223" s="1" t="n">
        <f aca="false">COUNTIF($H$5:H223,H223)</f>
        <v>1</v>
      </c>
      <c r="K223" s="1" t="n">
        <f aca="false">COUNTIFS($H$5:$H$1624,H223,$B$5:$B$1624,"&lt;&gt;"&amp;B223)</f>
        <v>0</v>
      </c>
      <c r="L223" s="1" t="str">
        <f aca="false">IF(I223&gt;1,IF(K223&gt;0,"Cross-hospital match","Same-hospital match"),"")</f>
        <v/>
      </c>
      <c r="M223" s="52"/>
      <c r="N223" s="52"/>
      <c r="O223" s="1" t="n">
        <f aca="false">IF(M223="Exclude (duplicate)",0,1)</f>
        <v>1</v>
      </c>
      <c r="P223" s="1" t="str">
        <f aca="false">IF(AND(L223&lt;&gt;"",M223=""),"Needs decision","")</f>
        <v/>
      </c>
    </row>
    <row r="224" customFormat="false" ht="15" hidden="false" customHeight="false" outlineLevel="0" collapsed="false">
      <c r="A224" s="48" t="str">
        <f aca="false">COST!A224</f>
        <v>KVMC-0220</v>
      </c>
      <c r="B224" s="48" t="str">
        <f aca="false">COST!B224</f>
        <v>KVMC</v>
      </c>
      <c r="C224" s="48" t="str">
        <f aca="false">COST!D224</f>
        <v>Diabetes Prevention Classes</v>
      </c>
      <c r="D224" s="62" t="n">
        <f aca="false">COST!M224</f>
        <v>45992</v>
      </c>
      <c r="E224" s="48" t="str">
        <f aca="false">COST!P224</f>
        <v>Registered Dietitian</v>
      </c>
      <c r="F224" s="63" t="n">
        <f aca="false">COST!R224</f>
        <v>1.75</v>
      </c>
      <c r="G224" s="48" t="str">
        <f aca="false">STACK!M224</f>
        <v/>
      </c>
      <c r="H224" s="1" t="str">
        <f aca="false">C224&amp;"|"&amp;IF(ISNUMBER(D224),TEXT(D224,"yyyy-mm-dd"),"no date")&amp;"|"&amp;E224&amp;"|"&amp;IF(ISNUMBER(F224),TEXT(F224,"0.00"),"blank")</f>
        <v>Diabetes Prevention Classes|2025-12-01|Registered Dietitian|1.75</v>
      </c>
      <c r="I224" s="1" t="n">
        <f aca="false">COUNTIF($H$5:$H$1624,H224)</f>
        <v>1</v>
      </c>
      <c r="J224" s="1" t="n">
        <f aca="false">COUNTIF($H$5:H224,H224)</f>
        <v>1</v>
      </c>
      <c r="K224" s="1" t="n">
        <f aca="false">COUNTIFS($H$5:$H$1624,H224,$B$5:$B$1624,"&lt;&gt;"&amp;B224)</f>
        <v>0</v>
      </c>
      <c r="L224" s="1" t="str">
        <f aca="false">IF(I224&gt;1,IF(K224&gt;0,"Cross-hospital match","Same-hospital match"),"")</f>
        <v/>
      </c>
      <c r="M224" s="52"/>
      <c r="N224" s="52"/>
      <c r="O224" s="1" t="n">
        <f aca="false">IF(M224="Exclude (duplicate)",0,1)</f>
        <v>1</v>
      </c>
      <c r="P224" s="1" t="str">
        <f aca="false">IF(AND(L224&lt;&gt;"",M224=""),"Needs decision","")</f>
        <v/>
      </c>
    </row>
    <row r="225" customFormat="false" ht="15" hidden="false" customHeight="false" outlineLevel="0" collapsed="false">
      <c r="A225" s="48" t="str">
        <f aca="false">COST!A225</f>
        <v>KVMC-0221</v>
      </c>
      <c r="B225" s="48" t="str">
        <f aca="false">COST!B225</f>
        <v>KVMC</v>
      </c>
      <c r="C225" s="48" t="str">
        <f aca="false">COST!D225</f>
        <v>Childbirth and Newborn Care Classes</v>
      </c>
      <c r="D225" s="62" t="n">
        <f aca="false">COST!M225</f>
        <v>45992</v>
      </c>
      <c r="E225" s="48" t="str">
        <f aca="false">COST!P225</f>
        <v>Clinical Nurse Educator</v>
      </c>
      <c r="F225" s="63" t="n">
        <f aca="false">COST!R225</f>
        <v>3.25</v>
      </c>
      <c r="G225" s="48" t="str">
        <f aca="false">STACK!M225</f>
        <v/>
      </c>
      <c r="H225" s="1" t="str">
        <f aca="false">C225&amp;"|"&amp;IF(ISNUMBER(D225),TEXT(D225,"yyyy-mm-dd"),"no date")&amp;"|"&amp;E225&amp;"|"&amp;IF(ISNUMBER(F225),TEXT(F225,"0.00"),"blank")</f>
        <v>Childbirth and Newborn Care Classes|2025-12-01|Clinical Nurse Educator|3.25</v>
      </c>
      <c r="I225" s="1" t="n">
        <f aca="false">COUNTIF($H$5:$H$1624,H225)</f>
        <v>1</v>
      </c>
      <c r="J225" s="1" t="n">
        <f aca="false">COUNTIF($H$5:H225,H225)</f>
        <v>1</v>
      </c>
      <c r="K225" s="1" t="n">
        <f aca="false">COUNTIFS($H$5:$H$1624,H225,$B$5:$B$1624,"&lt;&gt;"&amp;B225)</f>
        <v>0</v>
      </c>
      <c r="L225" s="1" t="str">
        <f aca="false">IF(I225&gt;1,IF(K225&gt;0,"Cross-hospital match","Same-hospital match"),"")</f>
        <v/>
      </c>
      <c r="M225" s="52"/>
      <c r="N225" s="52"/>
      <c r="O225" s="1" t="n">
        <f aca="false">IF(M225="Exclude (duplicate)",0,1)</f>
        <v>1</v>
      </c>
      <c r="P225" s="1" t="str">
        <f aca="false">IF(AND(L225&lt;&gt;"",M225=""),"Needs decision","")</f>
        <v/>
      </c>
    </row>
    <row r="226" customFormat="false" ht="15" hidden="false" customHeight="false" outlineLevel="0" collapsed="false">
      <c r="A226" s="48" t="str">
        <f aca="false">COST!A226</f>
        <v>KVMC-0222</v>
      </c>
      <c r="B226" s="48" t="str">
        <f aca="false">COST!B226</f>
        <v>KVMC</v>
      </c>
      <c r="C226" s="48" t="str">
        <f aca="false">COST!D226</f>
        <v>Diabetes Prevention Classes</v>
      </c>
      <c r="D226" s="62" t="n">
        <f aca="false">COST!M226</f>
        <v>45993</v>
      </c>
      <c r="E226" s="48" t="str">
        <f aca="false">COST!P226</f>
        <v>Health Educator</v>
      </c>
      <c r="F226" s="63" t="n">
        <f aca="false">COST!R226</f>
        <v>2.75</v>
      </c>
      <c r="G226" s="48" t="str">
        <f aca="false">STACK!M226</f>
        <v/>
      </c>
      <c r="H226" s="1" t="str">
        <f aca="false">C226&amp;"|"&amp;IF(ISNUMBER(D226),TEXT(D226,"yyyy-mm-dd"),"no date")&amp;"|"&amp;E226&amp;"|"&amp;IF(ISNUMBER(F226),TEXT(F226,"0.00"),"blank")</f>
        <v>Diabetes Prevention Classes|2025-12-02|Health Educator|2.75</v>
      </c>
      <c r="I226" s="1" t="n">
        <f aca="false">COUNTIF($H$5:$H$1624,H226)</f>
        <v>1</v>
      </c>
      <c r="J226" s="1" t="n">
        <f aca="false">COUNTIF($H$5:H226,H226)</f>
        <v>1</v>
      </c>
      <c r="K226" s="1" t="n">
        <f aca="false">COUNTIFS($H$5:$H$1624,H226,$B$5:$B$1624,"&lt;&gt;"&amp;B226)</f>
        <v>0</v>
      </c>
      <c r="L226" s="1" t="str">
        <f aca="false">IF(I226&gt;1,IF(K226&gt;0,"Cross-hospital match","Same-hospital match"),"")</f>
        <v/>
      </c>
      <c r="M226" s="52"/>
      <c r="N226" s="52"/>
      <c r="O226" s="1" t="n">
        <f aca="false">IF(M226="Exclude (duplicate)",0,1)</f>
        <v>1</v>
      </c>
      <c r="P226" s="1" t="str">
        <f aca="false">IF(AND(L226&lt;&gt;"",M226=""),"Needs decision","")</f>
        <v/>
      </c>
    </row>
    <row r="227" customFormat="false" ht="15" hidden="false" customHeight="false" outlineLevel="0" collapsed="false">
      <c r="A227" s="48" t="str">
        <f aca="false">COST!A227</f>
        <v>KVMC-0223</v>
      </c>
      <c r="B227" s="48" t="str">
        <f aca="false">COST!B227</f>
        <v>KVMC</v>
      </c>
      <c r="C227" s="48" t="str">
        <f aca="false">COST!D227</f>
        <v>Diabetes Prevention Classes</v>
      </c>
      <c r="D227" s="62" t="n">
        <f aca="false">COST!M227</f>
        <v>45993</v>
      </c>
      <c r="E227" s="48" t="str">
        <f aca="false">COST!P227</f>
        <v>Registered Dietitian</v>
      </c>
      <c r="F227" s="63" t="n">
        <f aca="false">COST!R227</f>
        <v>1.5</v>
      </c>
      <c r="G227" s="48" t="str">
        <f aca="false">STACK!M227</f>
        <v/>
      </c>
      <c r="H227" s="1" t="str">
        <f aca="false">C227&amp;"|"&amp;IF(ISNUMBER(D227),TEXT(D227,"yyyy-mm-dd"),"no date")&amp;"|"&amp;E227&amp;"|"&amp;IF(ISNUMBER(F227),TEXT(F227,"0.00"),"blank")</f>
        <v>Diabetes Prevention Classes|2025-12-02|Registered Dietitian|1.50</v>
      </c>
      <c r="I227" s="1" t="n">
        <f aca="false">COUNTIF($H$5:$H$1624,H227)</f>
        <v>1</v>
      </c>
      <c r="J227" s="1" t="n">
        <f aca="false">COUNTIF($H$5:H227,H227)</f>
        <v>1</v>
      </c>
      <c r="K227" s="1" t="n">
        <f aca="false">COUNTIFS($H$5:$H$1624,H227,$B$5:$B$1624,"&lt;&gt;"&amp;B227)</f>
        <v>0</v>
      </c>
      <c r="L227" s="1" t="str">
        <f aca="false">IF(I227&gt;1,IF(K227&gt;0,"Cross-hospital match","Same-hospital match"),"")</f>
        <v/>
      </c>
      <c r="M227" s="52"/>
      <c r="N227" s="52"/>
      <c r="O227" s="1" t="n">
        <f aca="false">IF(M227="Exclude (duplicate)",0,1)</f>
        <v>1</v>
      </c>
      <c r="P227" s="1" t="str">
        <f aca="false">IF(AND(L227&lt;&gt;"",M227=""),"Needs decision","")</f>
        <v/>
      </c>
    </row>
    <row r="228" customFormat="false" ht="15" hidden="false" customHeight="false" outlineLevel="0" collapsed="false">
      <c r="A228" s="48" t="str">
        <f aca="false">COST!A228</f>
        <v>KVMC-0224</v>
      </c>
      <c r="B228" s="48" t="str">
        <f aca="false">COST!B228</f>
        <v>KVMC</v>
      </c>
      <c r="C228" s="48" t="str">
        <f aca="false">COST!D228</f>
        <v>Childbirth and Newborn Care Classes</v>
      </c>
      <c r="D228" s="62" t="n">
        <f aca="false">COST!M228</f>
        <v>46004</v>
      </c>
      <c r="E228" s="48" t="str">
        <f aca="false">COST!P228</f>
        <v>Clinical Nurse Educator</v>
      </c>
      <c r="F228" s="63" t="n">
        <f aca="false">COST!R228</f>
        <v>3.25</v>
      </c>
      <c r="G228" s="48" t="str">
        <f aca="false">STACK!M228</f>
        <v/>
      </c>
      <c r="H228" s="1" t="str">
        <f aca="false">C228&amp;"|"&amp;IF(ISNUMBER(D228),TEXT(D228,"yyyy-mm-dd"),"no date")&amp;"|"&amp;E228&amp;"|"&amp;IF(ISNUMBER(F228),TEXT(F228,"0.00"),"blank")</f>
        <v>Childbirth and Newborn Care Classes|2025-12-13|Clinical Nurse Educator|3.25</v>
      </c>
      <c r="I228" s="1" t="n">
        <f aca="false">COUNTIF($H$5:$H$1624,H228)</f>
        <v>1</v>
      </c>
      <c r="J228" s="1" t="n">
        <f aca="false">COUNTIF($H$5:H228,H228)</f>
        <v>1</v>
      </c>
      <c r="K228" s="1" t="n">
        <f aca="false">COUNTIFS($H$5:$H$1624,H228,$B$5:$B$1624,"&lt;&gt;"&amp;B228)</f>
        <v>0</v>
      </c>
      <c r="L228" s="1" t="str">
        <f aca="false">IF(I228&gt;1,IF(K228&gt;0,"Cross-hospital match","Same-hospital match"),"")</f>
        <v/>
      </c>
      <c r="M228" s="52"/>
      <c r="N228" s="52"/>
      <c r="O228" s="1" t="n">
        <f aca="false">IF(M228="Exclude (duplicate)",0,1)</f>
        <v>1</v>
      </c>
      <c r="P228" s="1" t="str">
        <f aca="false">IF(AND(L228&lt;&gt;"",M228=""),"Needs decision","")</f>
        <v/>
      </c>
    </row>
    <row r="229" customFormat="false" ht="15" hidden="false" customHeight="false" outlineLevel="0" collapsed="false">
      <c r="A229" s="48" t="str">
        <f aca="false">COST!A229</f>
        <v>KVMC-0225</v>
      </c>
      <c r="B229" s="48" t="str">
        <f aca="false">COST!B229</f>
        <v>KVMC</v>
      </c>
      <c r="C229" s="48" t="str">
        <f aca="false">COST!D229</f>
        <v>Diabetes Prevention Classes</v>
      </c>
      <c r="D229" s="62" t="n">
        <f aca="false">COST!M229</f>
        <v>46008</v>
      </c>
      <c r="E229" s="48" t="str">
        <f aca="false">COST!P229</f>
        <v>Health Educator</v>
      </c>
      <c r="F229" s="63" t="n">
        <f aca="false">COST!R229</f>
        <v>2.5</v>
      </c>
      <c r="G229" s="48" t="str">
        <f aca="false">STACK!M229</f>
        <v/>
      </c>
      <c r="H229" s="1" t="str">
        <f aca="false">C229&amp;"|"&amp;IF(ISNUMBER(D229),TEXT(D229,"yyyy-mm-dd"),"no date")&amp;"|"&amp;E229&amp;"|"&amp;IF(ISNUMBER(F229),TEXT(F229,"0.00"),"blank")</f>
        <v>Diabetes Prevention Classes|2025-12-17|Health Educator|2.50</v>
      </c>
      <c r="I229" s="1" t="n">
        <f aca="false">COUNTIF($H$5:$H$1624,H229)</f>
        <v>1</v>
      </c>
      <c r="J229" s="1" t="n">
        <f aca="false">COUNTIF($H$5:H229,H229)</f>
        <v>1</v>
      </c>
      <c r="K229" s="1" t="n">
        <f aca="false">COUNTIFS($H$5:$H$1624,H229,$B$5:$B$1624,"&lt;&gt;"&amp;B229)</f>
        <v>0</v>
      </c>
      <c r="L229" s="1" t="str">
        <f aca="false">IF(I229&gt;1,IF(K229&gt;0,"Cross-hospital match","Same-hospital match"),"")</f>
        <v/>
      </c>
      <c r="M229" s="52"/>
      <c r="N229" s="52"/>
      <c r="O229" s="1" t="n">
        <f aca="false">IF(M229="Exclude (duplicate)",0,1)</f>
        <v>1</v>
      </c>
      <c r="P229" s="1" t="str">
        <f aca="false">IF(AND(L229&lt;&gt;"",M229=""),"Needs decision","")</f>
        <v/>
      </c>
    </row>
    <row r="230" customFormat="false" ht="15" hidden="false" customHeight="false" outlineLevel="0" collapsed="false">
      <c r="A230" s="48" t="str">
        <f aca="false">COST!A230</f>
        <v>KVMC-0226</v>
      </c>
      <c r="B230" s="48" t="str">
        <f aca="false">COST!B230</f>
        <v>KVMC</v>
      </c>
      <c r="C230" s="48" t="str">
        <f aca="false">COST!D230</f>
        <v>Diabetes Prevention Classes</v>
      </c>
      <c r="D230" s="62" t="n">
        <f aca="false">COST!M230</f>
        <v>46008</v>
      </c>
      <c r="E230" s="48" t="str">
        <f aca="false">COST!P230</f>
        <v>Registered Dietitian</v>
      </c>
      <c r="F230" s="63" t="n">
        <f aca="false">COST!R230</f>
        <v>1.75</v>
      </c>
      <c r="G230" s="48" t="str">
        <f aca="false">STACK!M230</f>
        <v/>
      </c>
      <c r="H230" s="1" t="str">
        <f aca="false">C230&amp;"|"&amp;IF(ISNUMBER(D230),TEXT(D230,"yyyy-mm-dd"),"no date")&amp;"|"&amp;E230&amp;"|"&amp;IF(ISNUMBER(F230),TEXT(F230,"0.00"),"blank")</f>
        <v>Diabetes Prevention Classes|2025-12-17|Registered Dietitian|1.75</v>
      </c>
      <c r="I230" s="1" t="n">
        <f aca="false">COUNTIF($H$5:$H$1624,H230)</f>
        <v>1</v>
      </c>
      <c r="J230" s="1" t="n">
        <f aca="false">COUNTIF($H$5:H230,H230)</f>
        <v>1</v>
      </c>
      <c r="K230" s="1" t="n">
        <f aca="false">COUNTIFS($H$5:$H$1624,H230,$B$5:$B$1624,"&lt;&gt;"&amp;B230)</f>
        <v>0</v>
      </c>
      <c r="L230" s="1" t="str">
        <f aca="false">IF(I230&gt;1,IF(K230&gt;0,"Cross-hospital match","Same-hospital match"),"")</f>
        <v/>
      </c>
      <c r="M230" s="52"/>
      <c r="N230" s="52"/>
      <c r="O230" s="1" t="n">
        <f aca="false">IF(M230="Exclude (duplicate)",0,1)</f>
        <v>1</v>
      </c>
      <c r="P230" s="1" t="str">
        <f aca="false">IF(AND(L230&lt;&gt;"",M230=""),"Needs decision","")</f>
        <v/>
      </c>
    </row>
    <row r="231" customFormat="false" ht="15" hidden="false" customHeight="false" outlineLevel="0" collapsed="false">
      <c r="A231" s="48" t="str">
        <f aca="false">COST!A231</f>
        <v>KVMC-0227</v>
      </c>
      <c r="B231" s="48" t="str">
        <f aca="false">COST!B231</f>
        <v>KVMC</v>
      </c>
      <c r="C231" s="48" t="str">
        <f aca="false">COST!D231</f>
        <v>Grief Support Group</v>
      </c>
      <c r="D231" s="62" t="n">
        <f aca="false">COST!M231</f>
        <v>46015</v>
      </c>
      <c r="E231" s="48" t="str">
        <f aca="false">COST!P231</f>
        <v>Chaplain</v>
      </c>
      <c r="F231" s="63" t="n">
        <f aca="false">COST!R231</f>
        <v>2.25</v>
      </c>
      <c r="G231" s="48" t="str">
        <f aca="false">STACK!M231</f>
        <v/>
      </c>
      <c r="H231" s="1" t="str">
        <f aca="false">C231&amp;"|"&amp;IF(ISNUMBER(D231),TEXT(D231,"yyyy-mm-dd"),"no date")&amp;"|"&amp;E231&amp;"|"&amp;IF(ISNUMBER(F231),TEXT(F231,"0.00"),"blank")</f>
        <v>Grief Support Group|2025-12-24|Chaplain|2.25</v>
      </c>
      <c r="I231" s="1" t="n">
        <f aca="false">COUNTIF($H$5:$H$1624,H231)</f>
        <v>1</v>
      </c>
      <c r="J231" s="1" t="n">
        <f aca="false">COUNTIF($H$5:H231,H231)</f>
        <v>1</v>
      </c>
      <c r="K231" s="1" t="n">
        <f aca="false">COUNTIFS($H$5:$H$1624,H231,$B$5:$B$1624,"&lt;&gt;"&amp;B231)</f>
        <v>0</v>
      </c>
      <c r="L231" s="1" t="str">
        <f aca="false">IF(I231&gt;1,IF(K231&gt;0,"Cross-hospital match","Same-hospital match"),"")</f>
        <v/>
      </c>
      <c r="M231" s="52"/>
      <c r="N231" s="52"/>
      <c r="O231" s="1" t="n">
        <f aca="false">IF(M231="Exclude (duplicate)",0,1)</f>
        <v>1</v>
      </c>
      <c r="P231" s="1" t="str">
        <f aca="false">IF(AND(L231&lt;&gt;"",M231=""),"Needs decision","")</f>
        <v/>
      </c>
    </row>
    <row r="232" customFormat="false" ht="15" hidden="false" customHeight="false" outlineLevel="0" collapsed="false">
      <c r="A232" s="48" t="str">
        <f aca="false">COST!A232</f>
        <v>KVMC-0228</v>
      </c>
      <c r="B232" s="48" t="str">
        <f aca="false">COST!B232</f>
        <v>KVMC</v>
      </c>
      <c r="C232" s="48" t="str">
        <f aca="false">COST!D232</f>
        <v>Grief Support Group</v>
      </c>
      <c r="D232" s="62" t="n">
        <f aca="false">COST!M232</f>
        <v>46015</v>
      </c>
      <c r="E232" s="48" t="str">
        <f aca="false">COST!P232</f>
        <v>Social Worker</v>
      </c>
      <c r="F232" s="63" t="n">
        <f aca="false">COST!R232</f>
        <v>2</v>
      </c>
      <c r="G232" s="48" t="str">
        <f aca="false">STACK!M232</f>
        <v/>
      </c>
      <c r="H232" s="1" t="str">
        <f aca="false">C232&amp;"|"&amp;IF(ISNUMBER(D232),TEXT(D232,"yyyy-mm-dd"),"no date")&amp;"|"&amp;E232&amp;"|"&amp;IF(ISNUMBER(F232),TEXT(F232,"0.00"),"blank")</f>
        <v>Grief Support Group|2025-12-24|Social Worker|2.00</v>
      </c>
      <c r="I232" s="1" t="n">
        <f aca="false">COUNTIF($H$5:$H$1624,H232)</f>
        <v>1</v>
      </c>
      <c r="J232" s="1" t="n">
        <f aca="false">COUNTIF($H$5:H232,H232)</f>
        <v>1</v>
      </c>
      <c r="K232" s="1" t="n">
        <f aca="false">COUNTIFS($H$5:$H$1624,H232,$B$5:$B$1624,"&lt;&gt;"&amp;B232)</f>
        <v>0</v>
      </c>
      <c r="L232" s="1" t="str">
        <f aca="false">IF(I232&gt;1,IF(K232&gt;0,"Cross-hospital match","Same-hospital match"),"")</f>
        <v/>
      </c>
      <c r="M232" s="52"/>
      <c r="N232" s="52"/>
      <c r="O232" s="1" t="n">
        <f aca="false">IF(M232="Exclude (duplicate)",0,1)</f>
        <v>1</v>
      </c>
      <c r="P232" s="1" t="str">
        <f aca="false">IF(AND(L232&lt;&gt;"",M232=""),"Needs decision","")</f>
        <v/>
      </c>
    </row>
    <row r="233" customFormat="false" ht="15" hidden="false" customHeight="false" outlineLevel="0" collapsed="false">
      <c r="A233" s="48" t="str">
        <f aca="false">COST!A233</f>
        <v>KVMC-0229</v>
      </c>
      <c r="B233" s="48" t="str">
        <f aca="false">COST!B233</f>
        <v>KVMC</v>
      </c>
      <c r="C233" s="48" t="str">
        <f aca="false">COST!D233</f>
        <v>Diabetes Prevention Classes</v>
      </c>
      <c r="D233" s="62" t="n">
        <f aca="false">COST!M233</f>
        <v>46016</v>
      </c>
      <c r="E233" s="48" t="str">
        <f aca="false">COST!P233</f>
        <v>Health Educator</v>
      </c>
      <c r="F233" s="63" t="n">
        <f aca="false">COST!R233</f>
        <v>2</v>
      </c>
      <c r="G233" s="48" t="str">
        <f aca="false">STACK!M233</f>
        <v/>
      </c>
      <c r="H233" s="1" t="str">
        <f aca="false">C233&amp;"|"&amp;IF(ISNUMBER(D233),TEXT(D233,"yyyy-mm-dd"),"no date")&amp;"|"&amp;E233&amp;"|"&amp;IF(ISNUMBER(F233),TEXT(F233,"0.00"),"blank")</f>
        <v>Diabetes Prevention Classes|2025-12-25|Health Educator|2.00</v>
      </c>
      <c r="I233" s="1" t="n">
        <f aca="false">COUNTIF($H$5:$H$1624,H233)</f>
        <v>1</v>
      </c>
      <c r="J233" s="1" t="n">
        <f aca="false">COUNTIF($H$5:H233,H233)</f>
        <v>1</v>
      </c>
      <c r="K233" s="1" t="n">
        <f aca="false">COUNTIFS($H$5:$H$1624,H233,$B$5:$B$1624,"&lt;&gt;"&amp;B233)</f>
        <v>0</v>
      </c>
      <c r="L233" s="1" t="str">
        <f aca="false">IF(I233&gt;1,IF(K233&gt;0,"Cross-hospital match","Same-hospital match"),"")</f>
        <v/>
      </c>
      <c r="M233" s="52"/>
      <c r="N233" s="52"/>
      <c r="O233" s="1" t="n">
        <f aca="false">IF(M233="Exclude (duplicate)",0,1)</f>
        <v>1</v>
      </c>
      <c r="P233" s="1" t="str">
        <f aca="false">IF(AND(L233&lt;&gt;"",M233=""),"Needs decision","")</f>
        <v/>
      </c>
    </row>
    <row r="234" customFormat="false" ht="15" hidden="false" customHeight="false" outlineLevel="0" collapsed="false">
      <c r="A234" s="48" t="str">
        <f aca="false">COST!A234</f>
        <v>KVMC-0230</v>
      </c>
      <c r="B234" s="48" t="str">
        <f aca="false">COST!B234</f>
        <v>KVMC</v>
      </c>
      <c r="C234" s="48" t="str">
        <f aca="false">COST!D234</f>
        <v>Diabetes Prevention Classes</v>
      </c>
      <c r="D234" s="62" t="n">
        <f aca="false">COST!M234</f>
        <v>46016</v>
      </c>
      <c r="E234" s="48" t="str">
        <f aca="false">COST!P234</f>
        <v>Registered Dietitian</v>
      </c>
      <c r="F234" s="63" t="n">
        <f aca="false">COST!R234</f>
        <v>1.75</v>
      </c>
      <c r="G234" s="48" t="str">
        <f aca="false">STACK!M234</f>
        <v/>
      </c>
      <c r="H234" s="1" t="str">
        <f aca="false">C234&amp;"|"&amp;IF(ISNUMBER(D234),TEXT(D234,"yyyy-mm-dd"),"no date")&amp;"|"&amp;E234&amp;"|"&amp;IF(ISNUMBER(F234),TEXT(F234,"0.00"),"blank")</f>
        <v>Diabetes Prevention Classes|2025-12-25|Registered Dietitian|1.75</v>
      </c>
      <c r="I234" s="1" t="n">
        <f aca="false">COUNTIF($H$5:$H$1624,H234)</f>
        <v>1</v>
      </c>
      <c r="J234" s="1" t="n">
        <f aca="false">COUNTIF($H$5:H234,H234)</f>
        <v>1</v>
      </c>
      <c r="K234" s="1" t="n">
        <f aca="false">COUNTIFS($H$5:$H$1624,H234,$B$5:$B$1624,"&lt;&gt;"&amp;B234)</f>
        <v>0</v>
      </c>
      <c r="L234" s="1" t="str">
        <f aca="false">IF(I234&gt;1,IF(K234&gt;0,"Cross-hospital match","Same-hospital match"),"")</f>
        <v/>
      </c>
      <c r="M234" s="52"/>
      <c r="N234" s="52"/>
      <c r="O234" s="1" t="n">
        <f aca="false">IF(M234="Exclude (duplicate)",0,1)</f>
        <v>1</v>
      </c>
      <c r="P234" s="1" t="str">
        <f aca="false">IF(AND(L234&lt;&gt;"",M234=""),"Needs decision","")</f>
        <v/>
      </c>
    </row>
    <row r="235" customFormat="false" ht="15" hidden="false" customHeight="false" outlineLevel="0" collapsed="false">
      <c r="A235" s="48" t="str">
        <f aca="false">COST!A235</f>
        <v>KVMC-0231</v>
      </c>
      <c r="B235" s="48" t="str">
        <f aca="false">COST!B235</f>
        <v>KVMC</v>
      </c>
      <c r="C235" s="48" t="str">
        <f aca="false">COST!D235</f>
        <v>Diabetes Prevention Classes</v>
      </c>
      <c r="D235" s="62" t="n">
        <f aca="false">COST!M235</f>
        <v>46017</v>
      </c>
      <c r="E235" s="48" t="str">
        <f aca="false">COST!P235</f>
        <v>Health Educator</v>
      </c>
      <c r="F235" s="63" t="n">
        <f aca="false">COST!R235</f>
        <v>2</v>
      </c>
      <c r="G235" s="48" t="str">
        <f aca="false">STACK!M235</f>
        <v/>
      </c>
      <c r="H235" s="1" t="str">
        <f aca="false">C235&amp;"|"&amp;IF(ISNUMBER(D235),TEXT(D235,"yyyy-mm-dd"),"no date")&amp;"|"&amp;E235&amp;"|"&amp;IF(ISNUMBER(F235),TEXT(F235,"0.00"),"blank")</f>
        <v>Diabetes Prevention Classes|2025-12-26|Health Educator|2.00</v>
      </c>
      <c r="I235" s="1" t="n">
        <f aca="false">COUNTIF($H$5:$H$1624,H235)</f>
        <v>1</v>
      </c>
      <c r="J235" s="1" t="n">
        <f aca="false">COUNTIF($H$5:H235,H235)</f>
        <v>1</v>
      </c>
      <c r="K235" s="1" t="n">
        <f aca="false">COUNTIFS($H$5:$H$1624,H235,$B$5:$B$1624,"&lt;&gt;"&amp;B235)</f>
        <v>0</v>
      </c>
      <c r="L235" s="1" t="str">
        <f aca="false">IF(I235&gt;1,IF(K235&gt;0,"Cross-hospital match","Same-hospital match"),"")</f>
        <v/>
      </c>
      <c r="M235" s="52"/>
      <c r="N235" s="52"/>
      <c r="O235" s="1" t="n">
        <f aca="false">IF(M235="Exclude (duplicate)",0,1)</f>
        <v>1</v>
      </c>
      <c r="P235" s="1" t="str">
        <f aca="false">IF(AND(L235&lt;&gt;"",M235=""),"Needs decision","")</f>
        <v/>
      </c>
    </row>
    <row r="236" customFormat="false" ht="15" hidden="false" customHeight="false" outlineLevel="0" collapsed="false">
      <c r="A236" s="48" t="str">
        <f aca="false">COST!A236</f>
        <v>KVMC-0232</v>
      </c>
      <c r="B236" s="48" t="str">
        <f aca="false">COST!B236</f>
        <v>KVMC</v>
      </c>
      <c r="C236" s="48" t="str">
        <f aca="false">COST!D236</f>
        <v>Diabetes Prevention Classes</v>
      </c>
      <c r="D236" s="62" t="n">
        <f aca="false">COST!M236</f>
        <v>46017</v>
      </c>
      <c r="E236" s="48" t="str">
        <f aca="false">COST!P236</f>
        <v>Registered Dietitian</v>
      </c>
      <c r="F236" s="63" t="n">
        <f aca="false">COST!R236</f>
        <v>1.75</v>
      </c>
      <c r="G236" s="48" t="str">
        <f aca="false">STACK!M236</f>
        <v/>
      </c>
      <c r="H236" s="1" t="str">
        <f aca="false">C236&amp;"|"&amp;IF(ISNUMBER(D236),TEXT(D236,"yyyy-mm-dd"),"no date")&amp;"|"&amp;E236&amp;"|"&amp;IF(ISNUMBER(F236),TEXT(F236,"0.00"),"blank")</f>
        <v>Diabetes Prevention Classes|2025-12-26|Registered Dietitian|1.75</v>
      </c>
      <c r="I236" s="1" t="n">
        <f aca="false">COUNTIF($H$5:$H$1624,H236)</f>
        <v>1</v>
      </c>
      <c r="J236" s="1" t="n">
        <f aca="false">COUNTIF($H$5:H236,H236)</f>
        <v>1</v>
      </c>
      <c r="K236" s="1" t="n">
        <f aca="false">COUNTIFS($H$5:$H$1624,H236,$B$5:$B$1624,"&lt;&gt;"&amp;B236)</f>
        <v>0</v>
      </c>
      <c r="L236" s="1" t="str">
        <f aca="false">IF(I236&gt;1,IF(K236&gt;0,"Cross-hospital match","Same-hospital match"),"")</f>
        <v/>
      </c>
      <c r="M236" s="52"/>
      <c r="N236" s="52"/>
      <c r="O236" s="1" t="n">
        <f aca="false">IF(M236="Exclude (duplicate)",0,1)</f>
        <v>1</v>
      </c>
      <c r="P236" s="1" t="str">
        <f aca="false">IF(AND(L236&lt;&gt;"",M236=""),"Needs decision","")</f>
        <v/>
      </c>
    </row>
    <row r="237" customFormat="false" ht="15" hidden="false" customHeight="false" outlineLevel="0" collapsed="false">
      <c r="A237" s="48" t="str">
        <f aca="false">COST!A237</f>
        <v>KVMC-0233</v>
      </c>
      <c r="B237" s="48" t="str">
        <f aca="false">COST!B237</f>
        <v>KVMC</v>
      </c>
      <c r="C237" s="48" t="str">
        <f aca="false">COST!D237</f>
        <v>Diabetes Prevention Classes</v>
      </c>
      <c r="D237" s="62" t="n">
        <f aca="false">COST!M237</f>
        <v>46018</v>
      </c>
      <c r="E237" s="48" t="str">
        <f aca="false">COST!P237</f>
        <v>Health Educator</v>
      </c>
      <c r="F237" s="63" t="n">
        <f aca="false">COST!R237</f>
        <v>2.5</v>
      </c>
      <c r="G237" s="48" t="str">
        <f aca="false">STACK!M237</f>
        <v/>
      </c>
      <c r="H237" s="1" t="str">
        <f aca="false">C237&amp;"|"&amp;IF(ISNUMBER(D237),TEXT(D237,"yyyy-mm-dd"),"no date")&amp;"|"&amp;E237&amp;"|"&amp;IF(ISNUMBER(F237),TEXT(F237,"0.00"),"blank")</f>
        <v>Diabetes Prevention Classes|2025-12-27|Health Educator|2.50</v>
      </c>
      <c r="I237" s="1" t="n">
        <f aca="false">COUNTIF($H$5:$H$1624,H237)</f>
        <v>1</v>
      </c>
      <c r="J237" s="1" t="n">
        <f aca="false">COUNTIF($H$5:H237,H237)</f>
        <v>1</v>
      </c>
      <c r="K237" s="1" t="n">
        <f aca="false">COUNTIFS($H$5:$H$1624,H237,$B$5:$B$1624,"&lt;&gt;"&amp;B237)</f>
        <v>0</v>
      </c>
      <c r="L237" s="1" t="str">
        <f aca="false">IF(I237&gt;1,IF(K237&gt;0,"Cross-hospital match","Same-hospital match"),"")</f>
        <v/>
      </c>
      <c r="M237" s="52"/>
      <c r="N237" s="52"/>
      <c r="O237" s="1" t="n">
        <f aca="false">IF(M237="Exclude (duplicate)",0,1)</f>
        <v>1</v>
      </c>
      <c r="P237" s="1" t="str">
        <f aca="false">IF(AND(L237&lt;&gt;"",M237=""),"Needs decision","")</f>
        <v/>
      </c>
    </row>
    <row r="238" customFormat="false" ht="15" hidden="false" customHeight="false" outlineLevel="0" collapsed="false">
      <c r="A238" s="48" t="str">
        <f aca="false">COST!A238</f>
        <v>KVMC-0234</v>
      </c>
      <c r="B238" s="48" t="str">
        <f aca="false">COST!B238</f>
        <v>KVMC</v>
      </c>
      <c r="C238" s="48" t="str">
        <f aca="false">COST!D238</f>
        <v>Diabetes Prevention Classes</v>
      </c>
      <c r="D238" s="62" t="n">
        <f aca="false">COST!M238</f>
        <v>46018</v>
      </c>
      <c r="E238" s="48" t="str">
        <f aca="false">COST!P238</f>
        <v>Registered Dietitian</v>
      </c>
      <c r="F238" s="63" t="n">
        <f aca="false">COST!R238</f>
        <v>1.75</v>
      </c>
      <c r="G238" s="48" t="str">
        <f aca="false">STACK!M238</f>
        <v/>
      </c>
      <c r="H238" s="1" t="str">
        <f aca="false">C238&amp;"|"&amp;IF(ISNUMBER(D238),TEXT(D238,"yyyy-mm-dd"),"no date")&amp;"|"&amp;E238&amp;"|"&amp;IF(ISNUMBER(F238),TEXT(F238,"0.00"),"blank")</f>
        <v>Diabetes Prevention Classes|2025-12-27|Registered Dietitian|1.75</v>
      </c>
      <c r="I238" s="1" t="n">
        <f aca="false">COUNTIF($H$5:$H$1624,H238)</f>
        <v>1</v>
      </c>
      <c r="J238" s="1" t="n">
        <f aca="false">COUNTIF($H$5:H238,H238)</f>
        <v>1</v>
      </c>
      <c r="K238" s="1" t="n">
        <f aca="false">COUNTIFS($H$5:$H$1624,H238,$B$5:$B$1624,"&lt;&gt;"&amp;B238)</f>
        <v>0</v>
      </c>
      <c r="L238" s="1" t="str">
        <f aca="false">IF(I238&gt;1,IF(K238&gt;0,"Cross-hospital match","Same-hospital match"),"")</f>
        <v/>
      </c>
      <c r="M238" s="52"/>
      <c r="N238" s="52"/>
      <c r="O238" s="1" t="n">
        <f aca="false">IF(M238="Exclude (duplicate)",0,1)</f>
        <v>1</v>
      </c>
      <c r="P238" s="1" t="str">
        <f aca="false">IF(AND(L238&lt;&gt;"",M238=""),"Needs decision","")</f>
        <v/>
      </c>
    </row>
    <row r="239" customFormat="false" ht="15" hidden="false" customHeight="false" outlineLevel="0" collapsed="false">
      <c r="A239" s="48" t="str">
        <f aca="false">COST!A239</f>
        <v>KVMC-0235</v>
      </c>
      <c r="B239" s="48" t="str">
        <f aca="false">COST!B239</f>
        <v>KVMC</v>
      </c>
      <c r="C239" s="48" t="str">
        <f aca="false">COST!D239</f>
        <v>Community Blood Pressure Checks</v>
      </c>
      <c r="D239" s="62" t="n">
        <f aca="false">COST!M239</f>
        <v>46021</v>
      </c>
      <c r="E239" s="48" t="str">
        <f aca="false">COST!P239</f>
        <v>Registered Nurse</v>
      </c>
      <c r="F239" s="63" t="n">
        <f aca="false">COST!R239</f>
        <v>3.5</v>
      </c>
      <c r="G239" s="48" t="str">
        <f aca="false">STACK!M239</f>
        <v/>
      </c>
      <c r="H239" s="1" t="str">
        <f aca="false">C239&amp;"|"&amp;IF(ISNUMBER(D239),TEXT(D239,"yyyy-mm-dd"),"no date")&amp;"|"&amp;E239&amp;"|"&amp;IF(ISNUMBER(F239),TEXT(F239,"0.00"),"blank")</f>
        <v>Community Blood Pressure Checks|2025-12-30|Registered Nurse|3.50</v>
      </c>
      <c r="I239" s="1" t="n">
        <f aca="false">COUNTIF($H$5:$H$1624,H239)</f>
        <v>1</v>
      </c>
      <c r="J239" s="1" t="n">
        <f aca="false">COUNTIF($H$5:H239,H239)</f>
        <v>1</v>
      </c>
      <c r="K239" s="1" t="n">
        <f aca="false">COUNTIFS($H$5:$H$1624,H239,$B$5:$B$1624,"&lt;&gt;"&amp;B239)</f>
        <v>0</v>
      </c>
      <c r="L239" s="1" t="str">
        <f aca="false">IF(I239&gt;1,IF(K239&gt;0,"Cross-hospital match","Same-hospital match"),"")</f>
        <v/>
      </c>
      <c r="M239" s="52"/>
      <c r="N239" s="52"/>
      <c r="O239" s="1" t="n">
        <f aca="false">IF(M239="Exclude (duplicate)",0,1)</f>
        <v>1</v>
      </c>
      <c r="P239" s="1" t="str">
        <f aca="false">IF(AND(L239&lt;&gt;"",M239=""),"Needs decision","")</f>
        <v/>
      </c>
    </row>
    <row r="240" customFormat="false" ht="15" hidden="false" customHeight="false" outlineLevel="0" collapsed="false">
      <c r="A240" s="48" t="str">
        <f aca="false">COST!A240</f>
        <v>KVMC-0236</v>
      </c>
      <c r="B240" s="48" t="str">
        <f aca="false">COST!B240</f>
        <v>KVMC</v>
      </c>
      <c r="C240" s="48" t="str">
        <f aca="false">COST!D240</f>
        <v>Regional Health Coalition</v>
      </c>
      <c r="D240" s="62" t="n">
        <f aca="false">COST!M240</f>
        <v>46021</v>
      </c>
      <c r="E240" s="48" t="str">
        <f aca="false">COST!P240</f>
        <v>Community Benefit Manager</v>
      </c>
      <c r="F240" s="63" t="n">
        <f aca="false">COST!R240</f>
        <v>2.25</v>
      </c>
      <c r="G240" s="48" t="str">
        <f aca="false">STACK!M240</f>
        <v/>
      </c>
      <c r="H240" s="1" t="str">
        <f aca="false">C240&amp;"|"&amp;IF(ISNUMBER(D240),TEXT(D240,"yyyy-mm-dd"),"no date")&amp;"|"&amp;E240&amp;"|"&amp;IF(ISNUMBER(F240),TEXT(F240,"0.00"),"blank")</f>
        <v>Regional Health Coalition|2025-12-30|Community Benefit Manager|2.25</v>
      </c>
      <c r="I240" s="1" t="n">
        <f aca="false">COUNTIF($H$5:$H$1624,H240)</f>
        <v>1</v>
      </c>
      <c r="J240" s="1" t="n">
        <f aca="false">COUNTIF($H$5:H240,H240)</f>
        <v>1</v>
      </c>
      <c r="K240" s="1" t="n">
        <f aca="false">COUNTIFS($H$5:$H$1624,H240,$B$5:$B$1624,"&lt;&gt;"&amp;B240)</f>
        <v>0</v>
      </c>
      <c r="L240" s="1" t="str">
        <f aca="false">IF(I240&gt;1,IF(K240&gt;0,"Cross-hospital match","Same-hospital match"),"")</f>
        <v/>
      </c>
      <c r="M240" s="52"/>
      <c r="N240" s="52"/>
      <c r="O240" s="1" t="n">
        <f aca="false">IF(M240="Exclude (duplicate)",0,1)</f>
        <v>1</v>
      </c>
      <c r="P240" s="1" t="str">
        <f aca="false">IF(AND(L240&lt;&gt;"",M240=""),"Needs decision","")</f>
        <v/>
      </c>
    </row>
    <row r="241" customFormat="false" ht="15" hidden="false" customHeight="false" outlineLevel="0" collapsed="false">
      <c r="A241" s="48" t="str">
        <f aca="false">COST!A241</f>
        <v>KVMC-0237</v>
      </c>
      <c r="B241" s="48" t="str">
        <f aca="false">COST!B241</f>
        <v>KVMC</v>
      </c>
      <c r="C241" s="48" t="str">
        <f aca="false">COST!D241</f>
        <v>Regional Health Coalition</v>
      </c>
      <c r="D241" s="62" t="n">
        <f aca="false">COST!M241</f>
        <v>46021</v>
      </c>
      <c r="E241" s="48" t="str">
        <f aca="false">COST!P241</f>
        <v>Director</v>
      </c>
      <c r="F241" s="63" t="n">
        <f aca="false">COST!R241</f>
        <v>2.75</v>
      </c>
      <c r="G241" s="48" t="str">
        <f aca="false">STACK!M241</f>
        <v/>
      </c>
      <c r="H241" s="1" t="str">
        <f aca="false">C241&amp;"|"&amp;IF(ISNUMBER(D241),TEXT(D241,"yyyy-mm-dd"),"no date")&amp;"|"&amp;E241&amp;"|"&amp;IF(ISNUMBER(F241),TEXT(F241,"0.00"),"blank")</f>
        <v>Regional Health Coalition|2025-12-30|Director|2.75</v>
      </c>
      <c r="I241" s="1" t="n">
        <f aca="false">COUNTIF($H$5:$H$1624,H241)</f>
        <v>1</v>
      </c>
      <c r="J241" s="1" t="n">
        <f aca="false">COUNTIF($H$5:H241,H241)</f>
        <v>1</v>
      </c>
      <c r="K241" s="1" t="n">
        <f aca="false">COUNTIFS($H$5:$H$1624,H241,$B$5:$B$1624,"&lt;&gt;"&amp;B241)</f>
        <v>0</v>
      </c>
      <c r="L241" s="1" t="str">
        <f aca="false">IF(I241&gt;1,IF(K241&gt;0,"Cross-hospital match","Same-hospital match"),"")</f>
        <v/>
      </c>
      <c r="M241" s="52"/>
      <c r="N241" s="52"/>
      <c r="O241" s="1" t="n">
        <f aca="false">IF(M241="Exclude (duplicate)",0,1)</f>
        <v>1</v>
      </c>
      <c r="P241" s="1" t="str">
        <f aca="false">IF(AND(L241&lt;&gt;"",M241=""),"Needs decision","")</f>
        <v/>
      </c>
    </row>
    <row r="242" customFormat="false" ht="15" hidden="false" customHeight="false" outlineLevel="0" collapsed="false">
      <c r="A242" s="48" t="str">
        <f aca="false">COST!A242</f>
        <v>KVMC-0238</v>
      </c>
      <c r="B242" s="48" t="str">
        <f aca="false">COST!B242</f>
        <v>KVMC</v>
      </c>
      <c r="C242" s="48" t="str">
        <f aca="false">COST!D242</f>
        <v>Mobile Health Screening Unit</v>
      </c>
      <c r="D242" s="62" t="n">
        <f aca="false">COST!M242</f>
        <v>46022</v>
      </c>
      <c r="E242" s="48" t="str">
        <f aca="false">COST!P242</f>
        <v>Community Health Worker</v>
      </c>
      <c r="F242" s="63" t="n">
        <f aca="false">COST!R242</f>
        <v>73.75</v>
      </c>
      <c r="G242" s="48" t="str">
        <f aca="false">STACK!M242</f>
        <v/>
      </c>
      <c r="H242" s="1" t="str">
        <f aca="false">C242&amp;"|"&amp;IF(ISNUMBER(D242),TEXT(D242,"yyyy-mm-dd"),"no date")&amp;"|"&amp;E242&amp;"|"&amp;IF(ISNUMBER(F242),TEXT(F242,"0.00"),"blank")</f>
        <v>Mobile Health Screening Unit|2025-12-31|Community Health Worker|73.75</v>
      </c>
      <c r="I242" s="1" t="n">
        <f aca="false">COUNTIF($H$5:$H$1624,H242)</f>
        <v>1</v>
      </c>
      <c r="J242" s="1" t="n">
        <f aca="false">COUNTIF($H$5:H242,H242)</f>
        <v>1</v>
      </c>
      <c r="K242" s="1" t="n">
        <f aca="false">COUNTIFS($H$5:$H$1624,H242,$B$5:$B$1624,"&lt;&gt;"&amp;B242)</f>
        <v>0</v>
      </c>
      <c r="L242" s="1" t="str">
        <f aca="false">IF(I242&gt;1,IF(K242&gt;0,"Cross-hospital match","Same-hospital match"),"")</f>
        <v/>
      </c>
      <c r="M242" s="52"/>
      <c r="N242" s="52"/>
      <c r="O242" s="1" t="n">
        <f aca="false">IF(M242="Exclude (duplicate)",0,1)</f>
        <v>1</v>
      </c>
      <c r="P242" s="1" t="str">
        <f aca="false">IF(AND(L242&lt;&gt;"",M242=""),"Needs decision","")</f>
        <v/>
      </c>
    </row>
    <row r="243" customFormat="false" ht="15" hidden="false" customHeight="false" outlineLevel="0" collapsed="false">
      <c r="A243" s="48" t="str">
        <f aca="false">COST!A243</f>
        <v>KVMC-0239</v>
      </c>
      <c r="B243" s="48" t="str">
        <f aca="false">COST!B243</f>
        <v>KVMC</v>
      </c>
      <c r="C243" s="48" t="str">
        <f aca="false">COST!D243</f>
        <v>Mobile Health Screening Unit</v>
      </c>
      <c r="D243" s="62" t="n">
        <f aca="false">COST!M243</f>
        <v>46022</v>
      </c>
      <c r="E243" s="48" t="str">
        <f aca="false">COST!P243</f>
        <v>Medical Assistant</v>
      </c>
      <c r="F243" s="63" t="n">
        <f aca="false">COST!R243</f>
        <v>123.5</v>
      </c>
      <c r="G243" s="48" t="str">
        <f aca="false">STACK!M243</f>
        <v/>
      </c>
      <c r="H243" s="1" t="str">
        <f aca="false">C243&amp;"|"&amp;IF(ISNUMBER(D243),TEXT(D243,"yyyy-mm-dd"),"no date")&amp;"|"&amp;E243&amp;"|"&amp;IF(ISNUMBER(F243),TEXT(F243,"0.00"),"blank")</f>
        <v>Mobile Health Screening Unit|2025-12-31|Medical Assistant|123.50</v>
      </c>
      <c r="I243" s="1" t="n">
        <f aca="false">COUNTIF($H$5:$H$1624,H243)</f>
        <v>1</v>
      </c>
      <c r="J243" s="1" t="n">
        <f aca="false">COUNTIF($H$5:H243,H243)</f>
        <v>1</v>
      </c>
      <c r="K243" s="1" t="n">
        <f aca="false">COUNTIFS($H$5:$H$1624,H243,$B$5:$B$1624,"&lt;&gt;"&amp;B243)</f>
        <v>0</v>
      </c>
      <c r="L243" s="1" t="str">
        <f aca="false">IF(I243&gt;1,IF(K243&gt;0,"Cross-hospital match","Same-hospital match"),"")</f>
        <v/>
      </c>
      <c r="M243" s="52"/>
      <c r="N243" s="52"/>
      <c r="O243" s="1" t="n">
        <f aca="false">IF(M243="Exclude (duplicate)",0,1)</f>
        <v>1</v>
      </c>
      <c r="P243" s="1" t="str">
        <f aca="false">IF(AND(L243&lt;&gt;"",M243=""),"Needs decision","")</f>
        <v/>
      </c>
    </row>
    <row r="244" customFormat="false" ht="15" hidden="false" customHeight="false" outlineLevel="0" collapsed="false">
      <c r="A244" s="48" t="str">
        <f aca="false">COST!A244</f>
        <v>KVMC-0240</v>
      </c>
      <c r="B244" s="48" t="str">
        <f aca="false">COST!B244</f>
        <v>KVMC</v>
      </c>
      <c r="C244" s="48" t="str">
        <f aca="false">COST!D244</f>
        <v>Mobile Health Screening Unit</v>
      </c>
      <c r="D244" s="62" t="n">
        <f aca="false">COST!M244</f>
        <v>46022</v>
      </c>
      <c r="E244" s="48" t="str">
        <f aca="false">COST!P244</f>
        <v>Registered Nurse</v>
      </c>
      <c r="F244" s="63" t="n">
        <f aca="false">COST!R244</f>
        <v>122</v>
      </c>
      <c r="G244" s="48" t="str">
        <f aca="false">STACK!M244</f>
        <v/>
      </c>
      <c r="H244" s="1" t="str">
        <f aca="false">C244&amp;"|"&amp;IF(ISNUMBER(D244),TEXT(D244,"yyyy-mm-dd"),"no date")&amp;"|"&amp;E244&amp;"|"&amp;IF(ISNUMBER(F244),TEXT(F244,"0.00"),"blank")</f>
        <v>Mobile Health Screening Unit|2025-12-31|Registered Nurse|122.00</v>
      </c>
      <c r="I244" s="1" t="n">
        <f aca="false">COUNTIF($H$5:$H$1624,H244)</f>
        <v>1</v>
      </c>
      <c r="J244" s="1" t="n">
        <f aca="false">COUNTIF($H$5:H244,H244)</f>
        <v>1</v>
      </c>
      <c r="K244" s="1" t="n">
        <f aca="false">COUNTIFS($H$5:$H$1624,H244,$B$5:$B$1624,"&lt;&gt;"&amp;B244)</f>
        <v>0</v>
      </c>
      <c r="L244" s="1" t="str">
        <f aca="false">IF(I244&gt;1,IF(K244&gt;0,"Cross-hospital match","Same-hospital match"),"")</f>
        <v/>
      </c>
      <c r="M244" s="52"/>
      <c r="N244" s="52"/>
      <c r="O244" s="1" t="n">
        <f aca="false">IF(M244="Exclude (duplicate)",0,1)</f>
        <v>1</v>
      </c>
      <c r="P244" s="1" t="str">
        <f aca="false">IF(AND(L244&lt;&gt;"",M244=""),"Needs decision","")</f>
        <v/>
      </c>
    </row>
    <row r="245" customFormat="false" ht="15" hidden="false" customHeight="false" outlineLevel="0" collapsed="false">
      <c r="A245" s="48" t="str">
        <f aca="false">COST!A245</f>
        <v>KVMC-0241</v>
      </c>
      <c r="B245" s="48" t="str">
        <f aca="false">COST!B245</f>
        <v>KVMC</v>
      </c>
      <c r="C245" s="48" t="str">
        <f aca="false">COST!D245</f>
        <v>Childbirth and Newborn Care Classes</v>
      </c>
      <c r="D245" s="62" t="n">
        <f aca="false">COST!M245</f>
        <v>46022</v>
      </c>
      <c r="E245" s="48" t="str">
        <f aca="false">COST!P245</f>
        <v>Clinical Nurse Educator</v>
      </c>
      <c r="F245" s="63" t="n">
        <f aca="false">COST!R245</f>
        <v>3.25</v>
      </c>
      <c r="G245" s="48" t="str">
        <f aca="false">STACK!M245</f>
        <v/>
      </c>
      <c r="H245" s="1" t="str">
        <f aca="false">C245&amp;"|"&amp;IF(ISNUMBER(D245),TEXT(D245,"yyyy-mm-dd"),"no date")&amp;"|"&amp;E245&amp;"|"&amp;IF(ISNUMBER(F245),TEXT(F245,"0.00"),"blank")</f>
        <v>Childbirth and Newborn Care Classes|2025-12-31|Clinical Nurse Educator|3.25</v>
      </c>
      <c r="I245" s="1" t="n">
        <f aca="false">COUNTIF($H$5:$H$1624,H245)</f>
        <v>1</v>
      </c>
      <c r="J245" s="1" t="n">
        <f aca="false">COUNTIF($H$5:H245,H245)</f>
        <v>1</v>
      </c>
      <c r="K245" s="1" t="n">
        <f aca="false">COUNTIFS($H$5:$H$1624,H245,$B$5:$B$1624,"&lt;&gt;"&amp;B245)</f>
        <v>0</v>
      </c>
      <c r="L245" s="1" t="str">
        <f aca="false">IF(I245&gt;1,IF(K245&gt;0,"Cross-hospital match","Same-hospital match"),"")</f>
        <v/>
      </c>
      <c r="M245" s="52"/>
      <c r="N245" s="52"/>
      <c r="O245" s="1" t="n">
        <f aca="false">IF(M245="Exclude (duplicate)",0,1)</f>
        <v>1</v>
      </c>
      <c r="P245" s="1" t="str">
        <f aca="false">IF(AND(L245&lt;&gt;"",M245=""),"Needs decision","")</f>
        <v/>
      </c>
    </row>
    <row r="246" customFormat="false" ht="15" hidden="false" customHeight="false" outlineLevel="0" collapsed="false">
      <c r="A246" s="48" t="str">
        <f aca="false">COST!A246</f>
        <v>KVMC-0242</v>
      </c>
      <c r="B246" s="48" t="str">
        <f aca="false">COST!B246</f>
        <v>KVMC</v>
      </c>
      <c r="C246" s="48" t="str">
        <f aca="false">COST!D246</f>
        <v>Grief Support Group</v>
      </c>
      <c r="D246" s="62" t="n">
        <f aca="false">COST!M246</f>
        <v>46022</v>
      </c>
      <c r="E246" s="48" t="str">
        <f aca="false">COST!P246</f>
        <v>Chaplain</v>
      </c>
      <c r="F246" s="63" t="n">
        <f aca="false">COST!R246</f>
        <v>2</v>
      </c>
      <c r="G246" s="48" t="str">
        <f aca="false">STACK!M246</f>
        <v/>
      </c>
      <c r="H246" s="1" t="str">
        <f aca="false">C246&amp;"|"&amp;IF(ISNUMBER(D246),TEXT(D246,"yyyy-mm-dd"),"no date")&amp;"|"&amp;E246&amp;"|"&amp;IF(ISNUMBER(F246),TEXT(F246,"0.00"),"blank")</f>
        <v>Grief Support Group|2025-12-31|Chaplain|2.00</v>
      </c>
      <c r="I246" s="1" t="n">
        <f aca="false">COUNTIF($H$5:$H$1624,H246)</f>
        <v>1</v>
      </c>
      <c r="J246" s="1" t="n">
        <f aca="false">COUNTIF($H$5:H246,H246)</f>
        <v>1</v>
      </c>
      <c r="K246" s="1" t="n">
        <f aca="false">COUNTIFS($H$5:$H$1624,H246,$B$5:$B$1624,"&lt;&gt;"&amp;B246)</f>
        <v>0</v>
      </c>
      <c r="L246" s="1" t="str">
        <f aca="false">IF(I246&gt;1,IF(K246&gt;0,"Cross-hospital match","Same-hospital match"),"")</f>
        <v/>
      </c>
      <c r="M246" s="52"/>
      <c r="N246" s="52"/>
      <c r="O246" s="1" t="n">
        <f aca="false">IF(M246="Exclude (duplicate)",0,1)</f>
        <v>1</v>
      </c>
      <c r="P246" s="1" t="str">
        <f aca="false">IF(AND(L246&lt;&gt;"",M246=""),"Needs decision","")</f>
        <v/>
      </c>
    </row>
    <row r="247" customFormat="false" ht="15" hidden="false" customHeight="false" outlineLevel="0" collapsed="false">
      <c r="A247" s="48" t="str">
        <f aca="false">COST!A247</f>
        <v>KVMC-0243</v>
      </c>
      <c r="B247" s="48" t="str">
        <f aca="false">COST!B247</f>
        <v>KVMC</v>
      </c>
      <c r="C247" s="48" t="str">
        <f aca="false">COST!D247</f>
        <v>Grief Support Group</v>
      </c>
      <c r="D247" s="62" t="n">
        <f aca="false">COST!M247</f>
        <v>46022</v>
      </c>
      <c r="E247" s="48" t="str">
        <f aca="false">COST!P247</f>
        <v>Social Worker</v>
      </c>
      <c r="F247" s="63" t="n">
        <f aca="false">COST!R247</f>
        <v>1.5</v>
      </c>
      <c r="G247" s="48" t="str">
        <f aca="false">STACK!M247</f>
        <v/>
      </c>
      <c r="H247" s="1" t="str">
        <f aca="false">C247&amp;"|"&amp;IF(ISNUMBER(D247),TEXT(D247,"yyyy-mm-dd"),"no date")&amp;"|"&amp;E247&amp;"|"&amp;IF(ISNUMBER(F247),TEXT(F247,"0.00"),"blank")</f>
        <v>Grief Support Group|2025-12-31|Social Worker|1.50</v>
      </c>
      <c r="I247" s="1" t="n">
        <f aca="false">COUNTIF($H$5:$H$1624,H247)</f>
        <v>1</v>
      </c>
      <c r="J247" s="1" t="n">
        <f aca="false">COUNTIF($H$5:H247,H247)</f>
        <v>1</v>
      </c>
      <c r="K247" s="1" t="n">
        <f aca="false">COUNTIFS($H$5:$H$1624,H247,$B$5:$B$1624,"&lt;&gt;"&amp;B247)</f>
        <v>0</v>
      </c>
      <c r="L247" s="1" t="str">
        <f aca="false">IF(I247&gt;1,IF(K247&gt;0,"Cross-hospital match","Same-hospital match"),"")</f>
        <v/>
      </c>
      <c r="M247" s="52"/>
      <c r="N247" s="52"/>
      <c r="O247" s="1" t="n">
        <f aca="false">IF(M247="Exclude (duplicate)",0,1)</f>
        <v>1</v>
      </c>
      <c r="P247" s="1" t="str">
        <f aca="false">IF(AND(L247&lt;&gt;"",M247=""),"Needs decision","")</f>
        <v/>
      </c>
    </row>
    <row r="248" customFormat="false" ht="15" hidden="false" customHeight="false" outlineLevel="0" collapsed="false">
      <c r="A248" s="48" t="str">
        <f aca="false">COST!A248</f>
        <v>KVMC-0244</v>
      </c>
      <c r="B248" s="48" t="str">
        <f aca="false">COST!B248</f>
        <v>KVMC</v>
      </c>
      <c r="C248" s="48" t="str">
        <f aca="false">COST!D248</f>
        <v>Free Clinic Provider Staffing</v>
      </c>
      <c r="D248" s="62" t="n">
        <f aca="false">COST!M248</f>
        <v>46022</v>
      </c>
      <c r="E248" s="48" t="str">
        <f aca="false">COST!P248</f>
        <v>Nurse Practitioner</v>
      </c>
      <c r="F248" s="63" t="n">
        <f aca="false">COST!R248</f>
        <v>50.25</v>
      </c>
      <c r="G248" s="48" t="str">
        <f aca="false">STACK!M248</f>
        <v/>
      </c>
      <c r="H248" s="1" t="str">
        <f aca="false">C248&amp;"|"&amp;IF(ISNUMBER(D248),TEXT(D248,"yyyy-mm-dd"),"no date")&amp;"|"&amp;E248&amp;"|"&amp;IF(ISNUMBER(F248),TEXT(F248,"0.00"),"blank")</f>
        <v>Free Clinic Provider Staffing|2025-12-31|Nurse Practitioner|50.25</v>
      </c>
      <c r="I248" s="1" t="n">
        <f aca="false">COUNTIF($H$5:$H$1624,H248)</f>
        <v>1</v>
      </c>
      <c r="J248" s="1" t="n">
        <f aca="false">COUNTIF($H$5:H248,H248)</f>
        <v>1</v>
      </c>
      <c r="K248" s="1" t="n">
        <f aca="false">COUNTIFS($H$5:$H$1624,H248,$B$5:$B$1624,"&lt;&gt;"&amp;B248)</f>
        <v>0</v>
      </c>
      <c r="L248" s="1" t="str">
        <f aca="false">IF(I248&gt;1,IF(K248&gt;0,"Cross-hospital match","Same-hospital match"),"")</f>
        <v/>
      </c>
      <c r="M248" s="52"/>
      <c r="N248" s="52"/>
      <c r="O248" s="1" t="n">
        <f aca="false">IF(M248="Exclude (duplicate)",0,1)</f>
        <v>1</v>
      </c>
      <c r="P248" s="1" t="str">
        <f aca="false">IF(AND(L248&lt;&gt;"",M248=""),"Needs decision","")</f>
        <v/>
      </c>
    </row>
    <row r="249" customFormat="false" ht="15" hidden="false" customHeight="false" outlineLevel="0" collapsed="false">
      <c r="A249" s="48" t="str">
        <f aca="false">COST!A249</f>
        <v>KVMC-0245</v>
      </c>
      <c r="B249" s="48" t="str">
        <f aca="false">COST!B249</f>
        <v>KVMC</v>
      </c>
      <c r="C249" s="48" t="str">
        <f aca="false">COST!D249</f>
        <v>Free Clinic Provider Staffing</v>
      </c>
      <c r="D249" s="62" t="n">
        <f aca="false">COST!M249</f>
        <v>46022</v>
      </c>
      <c r="E249" s="48" t="str">
        <f aca="false">COST!P249</f>
        <v>Pharmacist</v>
      </c>
      <c r="F249" s="63" t="n">
        <f aca="false">COST!R249</f>
        <v>16.25</v>
      </c>
      <c r="G249" s="48" t="str">
        <f aca="false">STACK!M249</f>
        <v/>
      </c>
      <c r="H249" s="1" t="str">
        <f aca="false">C249&amp;"|"&amp;IF(ISNUMBER(D249),TEXT(D249,"yyyy-mm-dd"),"no date")&amp;"|"&amp;E249&amp;"|"&amp;IF(ISNUMBER(F249),TEXT(F249,"0.00"),"blank")</f>
        <v>Free Clinic Provider Staffing|2025-12-31|Pharmacist|16.25</v>
      </c>
      <c r="I249" s="1" t="n">
        <f aca="false">COUNTIF($H$5:$H$1624,H249)</f>
        <v>1</v>
      </c>
      <c r="J249" s="1" t="n">
        <f aca="false">COUNTIF($H$5:H249,H249)</f>
        <v>1</v>
      </c>
      <c r="K249" s="1" t="n">
        <f aca="false">COUNTIFS($H$5:$H$1624,H249,$B$5:$B$1624,"&lt;&gt;"&amp;B249)</f>
        <v>0</v>
      </c>
      <c r="L249" s="1" t="str">
        <f aca="false">IF(I249&gt;1,IF(K249&gt;0,"Cross-hospital match","Same-hospital match"),"")</f>
        <v/>
      </c>
      <c r="M249" s="52"/>
      <c r="N249" s="52"/>
      <c r="O249" s="1" t="n">
        <f aca="false">IF(M249="Exclude (duplicate)",0,1)</f>
        <v>1</v>
      </c>
      <c r="P249" s="1" t="str">
        <f aca="false">IF(AND(L249&lt;&gt;"",M249=""),"Needs decision","")</f>
        <v/>
      </c>
    </row>
    <row r="250" customFormat="false" ht="15" hidden="false" customHeight="false" outlineLevel="0" collapsed="false">
      <c r="A250" s="48" t="str">
        <f aca="false">COST!A250</f>
        <v>KVMC-0246</v>
      </c>
      <c r="B250" s="48" t="str">
        <f aca="false">COST!B250</f>
        <v>KVMC</v>
      </c>
      <c r="C250" s="48" t="str">
        <f aca="false">COST!D250</f>
        <v>Free Clinic Provider Staffing</v>
      </c>
      <c r="D250" s="62" t="n">
        <f aca="false">COST!M250</f>
        <v>46022</v>
      </c>
      <c r="E250" s="48" t="str">
        <f aca="false">COST!P250</f>
        <v>Registered Nurse</v>
      </c>
      <c r="F250" s="63" t="n">
        <f aca="false">COST!R250</f>
        <v>43.75</v>
      </c>
      <c r="G250" s="48" t="str">
        <f aca="false">STACK!M250</f>
        <v/>
      </c>
      <c r="H250" s="1" t="str">
        <f aca="false">C250&amp;"|"&amp;IF(ISNUMBER(D250),TEXT(D250,"yyyy-mm-dd"),"no date")&amp;"|"&amp;E250&amp;"|"&amp;IF(ISNUMBER(F250),TEXT(F250,"0.00"),"blank")</f>
        <v>Free Clinic Provider Staffing|2025-12-31|Registered Nurse|43.75</v>
      </c>
      <c r="I250" s="1" t="n">
        <f aca="false">COUNTIF($H$5:$H$1624,H250)</f>
        <v>1</v>
      </c>
      <c r="J250" s="1" t="n">
        <f aca="false">COUNTIF($H$5:H250,H250)</f>
        <v>1</v>
      </c>
      <c r="K250" s="1" t="n">
        <f aca="false">COUNTIFS($H$5:$H$1624,H250,$B$5:$B$1624,"&lt;&gt;"&amp;B250)</f>
        <v>0</v>
      </c>
      <c r="L250" s="1" t="str">
        <f aca="false">IF(I250&gt;1,IF(K250&gt;0,"Cross-hospital match","Same-hospital match"),"")</f>
        <v/>
      </c>
      <c r="M250" s="52"/>
      <c r="N250" s="52"/>
      <c r="O250" s="1" t="n">
        <f aca="false">IF(M250="Exclude (duplicate)",0,1)</f>
        <v>1</v>
      </c>
      <c r="P250" s="1" t="str">
        <f aca="false">IF(AND(L250&lt;&gt;"",M250=""),"Needs decision","")</f>
        <v/>
      </c>
    </row>
    <row r="251" customFormat="false" ht="15" hidden="false" customHeight="false" outlineLevel="0" collapsed="false">
      <c r="A251" s="48" t="str">
        <f aca="false">COST!A251</f>
        <v>KVMC-0247</v>
      </c>
      <c r="B251" s="48" t="str">
        <f aca="false">COST!B251</f>
        <v>KVMC</v>
      </c>
      <c r="C251" s="48" t="str">
        <f aca="false">COST!D251</f>
        <v>Community Health Worker Outreach</v>
      </c>
      <c r="D251" s="62" t="n">
        <f aca="false">COST!M251</f>
        <v>46022</v>
      </c>
      <c r="E251" s="48" t="str">
        <f aca="false">COST!P251</f>
        <v>Community Health Worker</v>
      </c>
      <c r="F251" s="63" t="n">
        <f aca="false">COST!R251</f>
        <v>383.5</v>
      </c>
      <c r="G251" s="48" t="str">
        <f aca="false">STACK!M251</f>
        <v/>
      </c>
      <c r="H251" s="1" t="str">
        <f aca="false">C251&amp;"|"&amp;IF(ISNUMBER(D251),TEXT(D251,"yyyy-mm-dd"),"no date")&amp;"|"&amp;E251&amp;"|"&amp;IF(ISNUMBER(F251),TEXT(F251,"0.00"),"blank")</f>
        <v>Community Health Worker Outreach|2025-12-31|Community Health Worker|383.50</v>
      </c>
      <c r="I251" s="1" t="n">
        <f aca="false">COUNTIF($H$5:$H$1624,H251)</f>
        <v>1</v>
      </c>
      <c r="J251" s="1" t="n">
        <f aca="false">COUNTIF($H$5:H251,H251)</f>
        <v>1</v>
      </c>
      <c r="K251" s="1" t="n">
        <f aca="false">COUNTIFS($H$5:$H$1624,H251,$B$5:$B$1624,"&lt;&gt;"&amp;B251)</f>
        <v>0</v>
      </c>
      <c r="L251" s="1" t="str">
        <f aca="false">IF(I251&gt;1,IF(K251&gt;0,"Cross-hospital match","Same-hospital match"),"")</f>
        <v/>
      </c>
      <c r="M251" s="52"/>
      <c r="N251" s="52"/>
      <c r="O251" s="1" t="n">
        <f aca="false">IF(M251="Exclude (duplicate)",0,1)</f>
        <v>1</v>
      </c>
      <c r="P251" s="1" t="str">
        <f aca="false">IF(AND(L251&lt;&gt;"",M251=""),"Needs decision","")</f>
        <v/>
      </c>
    </row>
    <row r="252" customFormat="false" ht="15" hidden="false" customHeight="false" outlineLevel="0" collapsed="false">
      <c r="A252" s="48" t="str">
        <f aca="false">COST!A252</f>
        <v>KVMC-0248</v>
      </c>
      <c r="B252" s="48" t="str">
        <f aca="false">COST!B252</f>
        <v>KVMC</v>
      </c>
      <c r="C252" s="48" t="str">
        <f aca="false">COST!D252</f>
        <v>Community Health Worker Outreach</v>
      </c>
      <c r="D252" s="62" t="n">
        <f aca="false">COST!M252</f>
        <v>46022</v>
      </c>
      <c r="E252" s="48" t="str">
        <f aca="false">COST!P252</f>
        <v>Patient Navigator</v>
      </c>
      <c r="F252" s="63" t="n">
        <f aca="false">COST!R252</f>
        <v>159.5</v>
      </c>
      <c r="G252" s="48" t="str">
        <f aca="false">STACK!M252</f>
        <v/>
      </c>
      <c r="H252" s="1" t="str">
        <f aca="false">C252&amp;"|"&amp;IF(ISNUMBER(D252),TEXT(D252,"yyyy-mm-dd"),"no date")&amp;"|"&amp;E252&amp;"|"&amp;IF(ISNUMBER(F252),TEXT(F252,"0.00"),"blank")</f>
        <v>Community Health Worker Outreach|2025-12-31|Patient Navigator|159.50</v>
      </c>
      <c r="I252" s="1" t="n">
        <f aca="false">COUNTIF($H$5:$H$1624,H252)</f>
        <v>1</v>
      </c>
      <c r="J252" s="1" t="n">
        <f aca="false">COUNTIF($H$5:H252,H252)</f>
        <v>1</v>
      </c>
      <c r="K252" s="1" t="n">
        <f aca="false">COUNTIFS($H$5:$H$1624,H252,$B$5:$B$1624,"&lt;&gt;"&amp;B252)</f>
        <v>0</v>
      </c>
      <c r="L252" s="1" t="str">
        <f aca="false">IF(I252&gt;1,IF(K252&gt;0,"Cross-hospital match","Same-hospital match"),"")</f>
        <v/>
      </c>
      <c r="M252" s="52"/>
      <c r="N252" s="52"/>
      <c r="O252" s="1" t="n">
        <f aca="false">IF(M252="Exclude (duplicate)",0,1)</f>
        <v>1</v>
      </c>
      <c r="P252" s="1" t="str">
        <f aca="false">IF(AND(L252&lt;&gt;"",M252=""),"Needs decision","")</f>
        <v/>
      </c>
    </row>
    <row r="253" customFormat="false" ht="15" hidden="false" customHeight="false" outlineLevel="0" collapsed="false">
      <c r="A253" s="48" t="str">
        <f aca="false">COST!A253</f>
        <v>KVMC-0249</v>
      </c>
      <c r="B253" s="48" t="str">
        <f aca="false">COST!B253</f>
        <v>KVMC</v>
      </c>
      <c r="C253" s="48" t="str">
        <f aca="false">COST!D253</f>
        <v>Medication Assistance Program</v>
      </c>
      <c r="D253" s="62" t="n">
        <f aca="false">COST!M253</f>
        <v>46022</v>
      </c>
      <c r="E253" s="48" t="str">
        <f aca="false">COST!P253</f>
        <v>Patient Navigator</v>
      </c>
      <c r="F253" s="63" t="n">
        <f aca="false">COST!R253</f>
        <v>81.25</v>
      </c>
      <c r="G253" s="48" t="str">
        <f aca="false">STACK!M253</f>
        <v/>
      </c>
      <c r="H253" s="1" t="str">
        <f aca="false">C253&amp;"|"&amp;IF(ISNUMBER(D253),TEXT(D253,"yyyy-mm-dd"),"no date")&amp;"|"&amp;E253&amp;"|"&amp;IF(ISNUMBER(F253),TEXT(F253,"0.00"),"blank")</f>
        <v>Medication Assistance Program|2025-12-31|Patient Navigator|81.25</v>
      </c>
      <c r="I253" s="1" t="n">
        <f aca="false">COUNTIF($H$5:$H$1624,H253)</f>
        <v>1</v>
      </c>
      <c r="J253" s="1" t="n">
        <f aca="false">COUNTIF($H$5:H253,H253)</f>
        <v>1</v>
      </c>
      <c r="K253" s="1" t="n">
        <f aca="false">COUNTIFS($H$5:$H$1624,H253,$B$5:$B$1624,"&lt;&gt;"&amp;B253)</f>
        <v>0</v>
      </c>
      <c r="L253" s="1" t="str">
        <f aca="false">IF(I253&gt;1,IF(K253&gt;0,"Cross-hospital match","Same-hospital match"),"")</f>
        <v/>
      </c>
      <c r="M253" s="52"/>
      <c r="N253" s="52"/>
      <c r="O253" s="1" t="n">
        <f aca="false">IF(M253="Exclude (duplicate)",0,1)</f>
        <v>1</v>
      </c>
      <c r="P253" s="1" t="str">
        <f aca="false">IF(AND(L253&lt;&gt;"",M253=""),"Needs decision","")</f>
        <v/>
      </c>
    </row>
    <row r="254" customFormat="false" ht="15" hidden="false" customHeight="false" outlineLevel="0" collapsed="false">
      <c r="A254" s="48" t="str">
        <f aca="false">COST!A254</f>
        <v>KVMC-0250</v>
      </c>
      <c r="B254" s="48" t="str">
        <f aca="false">COST!B254</f>
        <v>KVMC</v>
      </c>
      <c r="C254" s="48" t="str">
        <f aca="false">COST!D254</f>
        <v>Medication Assistance Program</v>
      </c>
      <c r="D254" s="62" t="n">
        <f aca="false">COST!M254</f>
        <v>46022</v>
      </c>
      <c r="E254" s="48" t="str">
        <f aca="false">COST!P254</f>
        <v>Pharmacist</v>
      </c>
      <c r="F254" s="63" t="n">
        <f aca="false">COST!R254</f>
        <v>32.5</v>
      </c>
      <c r="G254" s="48" t="str">
        <f aca="false">STACK!M254</f>
        <v/>
      </c>
      <c r="H254" s="1" t="str">
        <f aca="false">C254&amp;"|"&amp;IF(ISNUMBER(D254),TEXT(D254,"yyyy-mm-dd"),"no date")&amp;"|"&amp;E254&amp;"|"&amp;IF(ISNUMBER(F254),TEXT(F254,"0.00"),"blank")</f>
        <v>Medication Assistance Program|2025-12-31|Pharmacist|32.50</v>
      </c>
      <c r="I254" s="1" t="n">
        <f aca="false">COUNTIF($H$5:$H$1624,H254)</f>
        <v>1</v>
      </c>
      <c r="J254" s="1" t="n">
        <f aca="false">COUNTIF($H$5:H254,H254)</f>
        <v>1</v>
      </c>
      <c r="K254" s="1" t="n">
        <f aca="false">COUNTIFS($H$5:$H$1624,H254,$B$5:$B$1624,"&lt;&gt;"&amp;B254)</f>
        <v>0</v>
      </c>
      <c r="L254" s="1" t="str">
        <f aca="false">IF(I254&gt;1,IF(K254&gt;0,"Cross-hospital match","Same-hospital match"),"")</f>
        <v/>
      </c>
      <c r="M254" s="52"/>
      <c r="N254" s="52"/>
      <c r="O254" s="1" t="n">
        <f aca="false">IF(M254="Exclude (duplicate)",0,1)</f>
        <v>1</v>
      </c>
      <c r="P254" s="1" t="str">
        <f aca="false">IF(AND(L254&lt;&gt;"",M254=""),"Needs decision","")</f>
        <v/>
      </c>
    </row>
    <row r="255" customFormat="false" ht="15" hidden="false" customHeight="false" outlineLevel="0" collapsed="false">
      <c r="A255" s="48" t="str">
        <f aca="false">COST!A255</f>
        <v>KVMC-0251</v>
      </c>
      <c r="B255" s="48" t="str">
        <f aca="false">COST!B255</f>
        <v>KVMC</v>
      </c>
      <c r="C255" s="48" t="str">
        <f aca="false">COST!D255</f>
        <v>Community Health Needs Assessment</v>
      </c>
      <c r="D255" s="62" t="n">
        <f aca="false">COST!M255</f>
        <v>46022</v>
      </c>
      <c r="E255" s="48" t="str">
        <f aca="false">COST!P255</f>
        <v>Community Benefit Manager</v>
      </c>
      <c r="F255" s="63" t="n">
        <f aca="false">COST!R255</f>
        <v>41.5</v>
      </c>
      <c r="G255" s="48" t="str">
        <f aca="false">STACK!M255</f>
        <v/>
      </c>
      <c r="H255" s="1" t="str">
        <f aca="false">C255&amp;"|"&amp;IF(ISNUMBER(D255),TEXT(D255,"yyyy-mm-dd"),"no date")&amp;"|"&amp;E255&amp;"|"&amp;IF(ISNUMBER(F255),TEXT(F255,"0.00"),"blank")</f>
        <v>Community Health Needs Assessment|2025-12-31|Community Benefit Manager|41.50</v>
      </c>
      <c r="I255" s="1" t="n">
        <f aca="false">COUNTIF($H$5:$H$1624,H255)</f>
        <v>1</v>
      </c>
      <c r="J255" s="1" t="n">
        <f aca="false">COUNTIF($H$5:H255,H255)</f>
        <v>1</v>
      </c>
      <c r="K255" s="1" t="n">
        <f aca="false">COUNTIFS($H$5:$H$1624,H255,$B$5:$B$1624,"&lt;&gt;"&amp;B255)</f>
        <v>0</v>
      </c>
      <c r="L255" s="1" t="str">
        <f aca="false">IF(I255&gt;1,IF(K255&gt;0,"Cross-hospital match","Same-hospital match"),"")</f>
        <v/>
      </c>
      <c r="M255" s="52"/>
      <c r="N255" s="52"/>
      <c r="O255" s="1" t="n">
        <f aca="false">IF(M255="Exclude (duplicate)",0,1)</f>
        <v>1</v>
      </c>
      <c r="P255" s="1" t="str">
        <f aca="false">IF(AND(L255&lt;&gt;"",M255=""),"Needs decision","")</f>
        <v/>
      </c>
    </row>
    <row r="256" customFormat="false" ht="15" hidden="false" customHeight="false" outlineLevel="0" collapsed="false">
      <c r="A256" s="48" t="str">
        <f aca="false">COST!A256</f>
        <v>KVMC-0252</v>
      </c>
      <c r="B256" s="48" t="str">
        <f aca="false">COST!B256</f>
        <v>KVMC</v>
      </c>
      <c r="C256" s="48" t="str">
        <f aca="false">COST!D256</f>
        <v>Community Health Needs Assessment</v>
      </c>
      <c r="D256" s="62" t="n">
        <f aca="false">COST!M256</f>
        <v>46022</v>
      </c>
      <c r="E256" s="48" t="str">
        <f aca="false">COST!P256</f>
        <v>Data Analyst</v>
      </c>
      <c r="F256" s="63" t="n">
        <f aca="false">COST!R256</f>
        <v>20.75</v>
      </c>
      <c r="G256" s="48" t="str">
        <f aca="false">STACK!M256</f>
        <v/>
      </c>
      <c r="H256" s="1" t="str">
        <f aca="false">C256&amp;"|"&amp;IF(ISNUMBER(D256),TEXT(D256,"yyyy-mm-dd"),"no date")&amp;"|"&amp;E256&amp;"|"&amp;IF(ISNUMBER(F256),TEXT(F256,"0.00"),"blank")</f>
        <v>Community Health Needs Assessment|2025-12-31|Data Analyst|20.75</v>
      </c>
      <c r="I256" s="1" t="n">
        <f aca="false">COUNTIF($H$5:$H$1624,H256)</f>
        <v>1</v>
      </c>
      <c r="J256" s="1" t="n">
        <f aca="false">COUNTIF($H$5:H256,H256)</f>
        <v>1</v>
      </c>
      <c r="K256" s="1" t="n">
        <f aca="false">COUNTIFS($H$5:$H$1624,H256,$B$5:$B$1624,"&lt;&gt;"&amp;B256)</f>
        <v>0</v>
      </c>
      <c r="L256" s="1" t="str">
        <f aca="false">IF(I256&gt;1,IF(K256&gt;0,"Cross-hospital match","Same-hospital match"),"")</f>
        <v/>
      </c>
      <c r="M256" s="52"/>
      <c r="N256" s="52"/>
      <c r="O256" s="1" t="n">
        <f aca="false">IF(M256="Exclude (duplicate)",0,1)</f>
        <v>1</v>
      </c>
      <c r="P256" s="1" t="str">
        <f aca="false">IF(AND(L256&lt;&gt;"",M256=""),"Needs decision","")</f>
        <v/>
      </c>
    </row>
    <row r="257" customFormat="false" ht="15" hidden="false" customHeight="false" outlineLevel="0" collapsed="false">
      <c r="A257" s="48" t="str">
        <f aca="false">COST!A257</f>
        <v>KVMC-0253</v>
      </c>
      <c r="B257" s="48" t="str">
        <f aca="false">COST!B257</f>
        <v>KVMC</v>
      </c>
      <c r="C257" s="48" t="str">
        <f aca="false">COST!D257</f>
        <v>Community Benefit Program Administration</v>
      </c>
      <c r="D257" s="62" t="n">
        <f aca="false">COST!M257</f>
        <v>46022</v>
      </c>
      <c r="E257" s="48" t="str">
        <f aca="false">COST!P257</f>
        <v>Administrative Assistant</v>
      </c>
      <c r="F257" s="63" t="n">
        <f aca="false">COST!R257</f>
        <v>73.5</v>
      </c>
      <c r="G257" s="48" t="str">
        <f aca="false">STACK!M257</f>
        <v/>
      </c>
      <c r="H257" s="1" t="str">
        <f aca="false">C257&amp;"|"&amp;IF(ISNUMBER(D257),TEXT(D257,"yyyy-mm-dd"),"no date")&amp;"|"&amp;E257&amp;"|"&amp;IF(ISNUMBER(F257),TEXT(F257,"0.00"),"blank")</f>
        <v>Community Benefit Program Administration|2025-12-31|Administrative Assistant|73.50</v>
      </c>
      <c r="I257" s="1" t="n">
        <f aca="false">COUNTIF($H$5:$H$1624,H257)</f>
        <v>1</v>
      </c>
      <c r="J257" s="1" t="n">
        <f aca="false">COUNTIF($H$5:H257,H257)</f>
        <v>1</v>
      </c>
      <c r="K257" s="1" t="n">
        <f aca="false">COUNTIFS($H$5:$H$1624,H257,$B$5:$B$1624,"&lt;&gt;"&amp;B257)</f>
        <v>0</v>
      </c>
      <c r="L257" s="1" t="str">
        <f aca="false">IF(I257&gt;1,IF(K257&gt;0,"Cross-hospital match","Same-hospital match"),"")</f>
        <v/>
      </c>
      <c r="M257" s="52"/>
      <c r="N257" s="52"/>
      <c r="O257" s="1" t="n">
        <f aca="false">IF(M257="Exclude (duplicate)",0,1)</f>
        <v>1</v>
      </c>
      <c r="P257" s="1" t="str">
        <f aca="false">IF(AND(L257&lt;&gt;"",M257=""),"Needs decision","")</f>
        <v/>
      </c>
    </row>
    <row r="258" customFormat="false" ht="15" hidden="false" customHeight="false" outlineLevel="0" collapsed="false">
      <c r="A258" s="48" t="str">
        <f aca="false">COST!A258</f>
        <v>KVMC-0254</v>
      </c>
      <c r="B258" s="48" t="str">
        <f aca="false">COST!B258</f>
        <v>KVMC</v>
      </c>
      <c r="C258" s="48" t="str">
        <f aca="false">COST!D258</f>
        <v>Community Benefit Program Administration</v>
      </c>
      <c r="D258" s="62" t="n">
        <f aca="false">COST!M258</f>
        <v>46022</v>
      </c>
      <c r="E258" s="48" t="str">
        <f aca="false">COST!P258</f>
        <v>Community Benefit Manager</v>
      </c>
      <c r="F258" s="63" t="n">
        <f aca="false">COST!R258</f>
        <v>76.75</v>
      </c>
      <c r="G258" s="48" t="str">
        <f aca="false">STACK!M258</f>
        <v/>
      </c>
      <c r="H258" s="1" t="str">
        <f aca="false">C258&amp;"|"&amp;IF(ISNUMBER(D258),TEXT(D258,"yyyy-mm-dd"),"no date")&amp;"|"&amp;E258&amp;"|"&amp;IF(ISNUMBER(F258),TEXT(F258,"0.00"),"blank")</f>
        <v>Community Benefit Program Administration|2025-12-31|Community Benefit Manager|76.75</v>
      </c>
      <c r="I258" s="1" t="n">
        <f aca="false">COUNTIF($H$5:$H$1624,H258)</f>
        <v>1</v>
      </c>
      <c r="J258" s="1" t="n">
        <f aca="false">COUNTIF($H$5:H258,H258)</f>
        <v>1</v>
      </c>
      <c r="K258" s="1" t="n">
        <f aca="false">COUNTIFS($H$5:$H$1624,H258,$B$5:$B$1624,"&lt;&gt;"&amp;B258)</f>
        <v>0</v>
      </c>
      <c r="L258" s="1" t="str">
        <f aca="false">IF(I258&gt;1,IF(K258&gt;0,"Cross-hospital match","Same-hospital match"),"")</f>
        <v/>
      </c>
      <c r="M258" s="52"/>
      <c r="N258" s="52"/>
      <c r="O258" s="1" t="n">
        <f aca="false">IF(M258="Exclude (duplicate)",0,1)</f>
        <v>1</v>
      </c>
      <c r="P258" s="1" t="str">
        <f aca="false">IF(AND(L258&lt;&gt;"",M258=""),"Needs decision","")</f>
        <v/>
      </c>
    </row>
    <row r="259" customFormat="false" ht="15" hidden="false" customHeight="false" outlineLevel="0" collapsed="false">
      <c r="A259" s="48" t="str">
        <f aca="false">COST!A259</f>
        <v>KVMC-0255</v>
      </c>
      <c r="B259" s="48" t="str">
        <f aca="false">COST!B259</f>
        <v>KVMC</v>
      </c>
      <c r="C259" s="48" t="str">
        <f aca="false">COST!D259</f>
        <v>Naloxone Training and Distribution</v>
      </c>
      <c r="D259" s="62" t="n">
        <f aca="false">COST!M259</f>
        <v>46022</v>
      </c>
      <c r="E259" s="48" t="str">
        <f aca="false">COST!P259</f>
        <v>Health Educator</v>
      </c>
      <c r="F259" s="63" t="n">
        <f aca="false">COST!R259</f>
        <v>3</v>
      </c>
      <c r="G259" s="48" t="str">
        <f aca="false">STACK!M259</f>
        <v/>
      </c>
      <c r="H259" s="1" t="str">
        <f aca="false">C259&amp;"|"&amp;IF(ISNUMBER(D259),TEXT(D259,"yyyy-mm-dd"),"no date")&amp;"|"&amp;E259&amp;"|"&amp;IF(ISNUMBER(F259),TEXT(F259,"0.00"),"blank")</f>
        <v>Naloxone Training and Distribution|2025-12-31|Health Educator|3.00</v>
      </c>
      <c r="I259" s="1" t="n">
        <f aca="false">COUNTIF($H$5:$H$1624,H259)</f>
        <v>1</v>
      </c>
      <c r="J259" s="1" t="n">
        <f aca="false">COUNTIF($H$5:H259,H259)</f>
        <v>1</v>
      </c>
      <c r="K259" s="1" t="n">
        <f aca="false">COUNTIFS($H$5:$H$1624,H259,$B$5:$B$1624,"&lt;&gt;"&amp;B259)</f>
        <v>0</v>
      </c>
      <c r="L259" s="1" t="str">
        <f aca="false">IF(I259&gt;1,IF(K259&gt;0,"Cross-hospital match","Same-hospital match"),"")</f>
        <v/>
      </c>
      <c r="M259" s="52"/>
      <c r="N259" s="52"/>
      <c r="O259" s="1" t="n">
        <f aca="false">IF(M259="Exclude (duplicate)",0,1)</f>
        <v>1</v>
      </c>
      <c r="P259" s="1" t="str">
        <f aca="false">IF(AND(L259&lt;&gt;"",M259=""),"Needs decision","")</f>
        <v/>
      </c>
    </row>
    <row r="260" customFormat="false" ht="15" hidden="false" customHeight="false" outlineLevel="0" collapsed="false">
      <c r="A260" s="48" t="str">
        <f aca="false">COST!A260</f>
        <v>KVMC-0256</v>
      </c>
      <c r="B260" s="48" t="str">
        <f aca="false">COST!B260</f>
        <v>KVMC</v>
      </c>
      <c r="C260" s="48" t="str">
        <f aca="false">COST!D260</f>
        <v>Naloxone Training and Distribution</v>
      </c>
      <c r="D260" s="62" t="n">
        <f aca="false">COST!M260</f>
        <v>46022</v>
      </c>
      <c r="E260" s="48" t="str">
        <f aca="false">COST!P260</f>
        <v>Pharmacist</v>
      </c>
      <c r="F260" s="63" t="n">
        <f aca="false">COST!R260</f>
        <v>2.5</v>
      </c>
      <c r="G260" s="48" t="str">
        <f aca="false">STACK!M260</f>
        <v/>
      </c>
      <c r="H260" s="1" t="str">
        <f aca="false">C260&amp;"|"&amp;IF(ISNUMBER(D260),TEXT(D260,"yyyy-mm-dd"),"no date")&amp;"|"&amp;E260&amp;"|"&amp;IF(ISNUMBER(F260),TEXT(F260,"0.00"),"blank")</f>
        <v>Naloxone Training and Distribution|2025-12-31|Pharmacist|2.50</v>
      </c>
      <c r="I260" s="1" t="n">
        <f aca="false">COUNTIF($H$5:$H$1624,H260)</f>
        <v>1</v>
      </c>
      <c r="J260" s="1" t="n">
        <f aca="false">COUNTIF($H$5:H260,H260)</f>
        <v>1</v>
      </c>
      <c r="K260" s="1" t="n">
        <f aca="false">COUNTIFS($H$5:$H$1624,H260,$B$5:$B$1624,"&lt;&gt;"&amp;B260)</f>
        <v>0</v>
      </c>
      <c r="L260" s="1" t="str">
        <f aca="false">IF(I260&gt;1,IF(K260&gt;0,"Cross-hospital match","Same-hospital match"),"")</f>
        <v/>
      </c>
      <c r="M260" s="52"/>
      <c r="N260" s="52"/>
      <c r="O260" s="1" t="n">
        <f aca="false">IF(M260="Exclude (duplicate)",0,1)</f>
        <v>1</v>
      </c>
      <c r="P260" s="1" t="str">
        <f aca="false">IF(AND(L260&lt;&gt;"",M260=""),"Needs decision","")</f>
        <v/>
      </c>
    </row>
    <row r="261" customFormat="false" ht="15" hidden="false" customHeight="false" outlineLevel="0" collapsed="false">
      <c r="A261" s="48" t="str">
        <f aca="false">COST!A261</f>
        <v>KVMC-0257</v>
      </c>
      <c r="B261" s="48" t="str">
        <f aca="false">COST!B261</f>
        <v>KVMC</v>
      </c>
      <c r="C261" s="48" t="str">
        <f aca="false">COST!D261</f>
        <v>Interpreter Services for Community Clinics</v>
      </c>
      <c r="D261" s="62" t="n">
        <f aca="false">COST!M261</f>
        <v>46022</v>
      </c>
      <c r="E261" s="48" t="str">
        <f aca="false">COST!P261</f>
        <v>Interpreter</v>
      </c>
      <c r="F261" s="63" t="n">
        <f aca="false">COST!R261</f>
        <v>83.25</v>
      </c>
      <c r="G261" s="48" t="str">
        <f aca="false">STACK!M261</f>
        <v/>
      </c>
      <c r="H261" s="1" t="str">
        <f aca="false">C261&amp;"|"&amp;IF(ISNUMBER(D261),TEXT(D261,"yyyy-mm-dd"),"no date")&amp;"|"&amp;E261&amp;"|"&amp;IF(ISNUMBER(F261),TEXT(F261,"0.00"),"blank")</f>
        <v>Interpreter Services for Community Clinics|2025-12-31|Interpreter|83.25</v>
      </c>
      <c r="I261" s="1" t="n">
        <f aca="false">COUNTIF($H$5:$H$1624,H261)</f>
        <v>1</v>
      </c>
      <c r="J261" s="1" t="n">
        <f aca="false">COUNTIF($H$5:H261,H261)</f>
        <v>1</v>
      </c>
      <c r="K261" s="1" t="n">
        <f aca="false">COUNTIFS($H$5:$H$1624,H261,$B$5:$B$1624,"&lt;&gt;"&amp;B261)</f>
        <v>0</v>
      </c>
      <c r="L261" s="1" t="str">
        <f aca="false">IF(I261&gt;1,IF(K261&gt;0,"Cross-hospital match","Same-hospital match"),"")</f>
        <v/>
      </c>
      <c r="M261" s="52"/>
      <c r="N261" s="52"/>
      <c r="O261" s="1" t="n">
        <f aca="false">IF(M261="Exclude (duplicate)",0,1)</f>
        <v>1</v>
      </c>
      <c r="P261" s="1" t="str">
        <f aca="false">IF(AND(L261&lt;&gt;"",M261=""),"Needs decision","")</f>
        <v/>
      </c>
    </row>
    <row r="262" customFormat="false" ht="15" hidden="false" customHeight="false" outlineLevel="0" collapsed="false">
      <c r="A262" s="48" t="str">
        <f aca="false">COST!A262</f>
        <v>KVMC-0258</v>
      </c>
      <c r="B262" s="48" t="str">
        <f aca="false">COST!B262</f>
        <v>KVMC</v>
      </c>
      <c r="C262" s="48" t="str">
        <f aca="false">COST!D262</f>
        <v>Nursing Student Clinical Rotations</v>
      </c>
      <c r="D262" s="62" t="n">
        <f aca="false">COST!M262</f>
        <v>46022</v>
      </c>
      <c r="E262" s="48" t="str">
        <f aca="false">COST!P262</f>
        <v>Clinical Nurse Educator</v>
      </c>
      <c r="F262" s="63" t="n">
        <f aca="false">COST!R262</f>
        <v>57</v>
      </c>
      <c r="G262" s="48" t="str">
        <f aca="false">STACK!M262</f>
        <v/>
      </c>
      <c r="H262" s="1" t="str">
        <f aca="false">C262&amp;"|"&amp;IF(ISNUMBER(D262),TEXT(D262,"yyyy-mm-dd"),"no date")&amp;"|"&amp;E262&amp;"|"&amp;IF(ISNUMBER(F262),TEXT(F262,"0.00"),"blank")</f>
        <v>Nursing Student Clinical Rotations|2025-12-31|Clinical Nurse Educator|57.00</v>
      </c>
      <c r="I262" s="1" t="n">
        <f aca="false">COUNTIF($H$5:$H$1624,H262)</f>
        <v>1</v>
      </c>
      <c r="J262" s="1" t="n">
        <f aca="false">COUNTIF($H$5:H262,H262)</f>
        <v>1</v>
      </c>
      <c r="K262" s="1" t="n">
        <f aca="false">COUNTIFS($H$5:$H$1624,H262,$B$5:$B$1624,"&lt;&gt;"&amp;B262)</f>
        <v>0</v>
      </c>
      <c r="L262" s="1" t="str">
        <f aca="false">IF(I262&gt;1,IF(K262&gt;0,"Cross-hospital match","Same-hospital match"),"")</f>
        <v/>
      </c>
      <c r="M262" s="52"/>
      <c r="N262" s="52"/>
      <c r="O262" s="1" t="n">
        <f aca="false">IF(M262="Exclude (duplicate)",0,1)</f>
        <v>1</v>
      </c>
      <c r="P262" s="1" t="str">
        <f aca="false">IF(AND(L262&lt;&gt;"",M262=""),"Needs decision","")</f>
        <v/>
      </c>
    </row>
    <row r="263" customFormat="false" ht="15" hidden="false" customHeight="false" outlineLevel="0" collapsed="false">
      <c r="A263" s="48" t="str">
        <f aca="false">COST!A263</f>
        <v>KVMC-0259</v>
      </c>
      <c r="B263" s="48" t="str">
        <f aca="false">COST!B263</f>
        <v>KVMC</v>
      </c>
      <c r="C263" s="48" t="str">
        <f aca="false">COST!D263</f>
        <v>Nursing Student Clinical Rotations</v>
      </c>
      <c r="D263" s="62" t="n">
        <f aca="false">COST!M263</f>
        <v>46022</v>
      </c>
      <c r="E263" s="48" t="str">
        <f aca="false">COST!P263</f>
        <v>Registered Nurse</v>
      </c>
      <c r="F263" s="63" t="n">
        <f aca="false">COST!R263</f>
        <v>85.75</v>
      </c>
      <c r="G263" s="48" t="str">
        <f aca="false">STACK!M263</f>
        <v/>
      </c>
      <c r="H263" s="1" t="str">
        <f aca="false">C263&amp;"|"&amp;IF(ISNUMBER(D263),TEXT(D263,"yyyy-mm-dd"),"no date")&amp;"|"&amp;E263&amp;"|"&amp;IF(ISNUMBER(F263),TEXT(F263,"0.00"),"blank")</f>
        <v>Nursing Student Clinical Rotations|2025-12-31|Registered Nurse|85.75</v>
      </c>
      <c r="I263" s="1" t="n">
        <f aca="false">COUNTIF($H$5:$H$1624,H263)</f>
        <v>1</v>
      </c>
      <c r="J263" s="1" t="n">
        <f aca="false">COUNTIF($H$5:H263,H263)</f>
        <v>1</v>
      </c>
      <c r="K263" s="1" t="n">
        <f aca="false">COUNTIFS($H$5:$H$1624,H263,$B$5:$B$1624,"&lt;&gt;"&amp;B263)</f>
        <v>0</v>
      </c>
      <c r="L263" s="1" t="str">
        <f aca="false">IF(I263&gt;1,IF(K263&gt;0,"Cross-hospital match","Same-hospital match"),"")</f>
        <v/>
      </c>
      <c r="M263" s="52"/>
      <c r="N263" s="52"/>
      <c r="O263" s="1" t="n">
        <f aca="false">IF(M263="Exclude (duplicate)",0,1)</f>
        <v>1</v>
      </c>
      <c r="P263" s="1" t="str">
        <f aca="false">IF(AND(L263&lt;&gt;"",M263=""),"Needs decision","")</f>
        <v/>
      </c>
    </row>
    <row r="264" customFormat="false" ht="15" hidden="false" customHeight="false" outlineLevel="0" collapsed="false">
      <c r="A264" s="48" t="str">
        <f aca="false">COST!A264</f>
        <v>KVMC-0260</v>
      </c>
      <c r="B264" s="48" t="str">
        <f aca="false">COST!B264</f>
        <v>KVMC</v>
      </c>
      <c r="C264" s="48" t="str">
        <f aca="false">COST!D264</f>
        <v>Family Medicine Residency Program</v>
      </c>
      <c r="D264" s="62" t="n">
        <f aca="false">COST!M264</f>
        <v>46022</v>
      </c>
      <c r="E264" s="48" t="str">
        <f aca="false">COST!P264</f>
        <v>Physician</v>
      </c>
      <c r="F264" s="63" t="n">
        <f aca="false">COST!R264</f>
        <v>414</v>
      </c>
      <c r="G264" s="48" t="str">
        <f aca="false">STACK!M264</f>
        <v/>
      </c>
      <c r="H264" s="1" t="str">
        <f aca="false">C264&amp;"|"&amp;IF(ISNUMBER(D264),TEXT(D264,"yyyy-mm-dd"),"no date")&amp;"|"&amp;E264&amp;"|"&amp;IF(ISNUMBER(F264),TEXT(F264,"0.00"),"blank")</f>
        <v>Family Medicine Residency Program|2025-12-31|Physician|414.00</v>
      </c>
      <c r="I264" s="1" t="n">
        <f aca="false">COUNTIF($H$5:$H$1624,H264)</f>
        <v>1</v>
      </c>
      <c r="J264" s="1" t="n">
        <f aca="false">COUNTIF($H$5:H264,H264)</f>
        <v>1</v>
      </c>
      <c r="K264" s="1" t="n">
        <f aca="false">COUNTIFS($H$5:$H$1624,H264,$B$5:$B$1624,"&lt;&gt;"&amp;B264)</f>
        <v>0</v>
      </c>
      <c r="L264" s="1" t="str">
        <f aca="false">IF(I264&gt;1,IF(K264&gt;0,"Cross-hospital match","Same-hospital match"),"")</f>
        <v/>
      </c>
      <c r="M264" s="52"/>
      <c r="N264" s="52"/>
      <c r="O264" s="1" t="n">
        <f aca="false">IF(M264="Exclude (duplicate)",0,1)</f>
        <v>1</v>
      </c>
      <c r="P264" s="1" t="str">
        <f aca="false">IF(AND(L264&lt;&gt;"",M264=""),"Needs decision","")</f>
        <v/>
      </c>
    </row>
    <row r="265" customFormat="false" ht="15" hidden="false" customHeight="false" outlineLevel="0" collapsed="false">
      <c r="A265" s="48" t="str">
        <f aca="false">COST!A265</f>
        <v>KVMC-0261</v>
      </c>
      <c r="B265" s="48" t="str">
        <f aca="false">COST!B265</f>
        <v>KVMC</v>
      </c>
      <c r="C265" s="48" t="str">
        <f aca="false">COST!D265</f>
        <v>Family Medicine Residency Program</v>
      </c>
      <c r="D265" s="62" t="n">
        <f aca="false">COST!M265</f>
        <v>46022</v>
      </c>
      <c r="E265" s="48" t="str">
        <f aca="false">COST!P265</f>
        <v>Program Coordinator</v>
      </c>
      <c r="F265" s="63" t="n">
        <f aca="false">COST!R265</f>
        <v>167.5</v>
      </c>
      <c r="G265" s="48" t="str">
        <f aca="false">STACK!M265</f>
        <v/>
      </c>
      <c r="H265" s="1" t="str">
        <f aca="false">C265&amp;"|"&amp;IF(ISNUMBER(D265),TEXT(D265,"yyyy-mm-dd"),"no date")&amp;"|"&amp;E265&amp;"|"&amp;IF(ISNUMBER(F265),TEXT(F265,"0.00"),"blank")</f>
        <v>Family Medicine Residency Program|2025-12-31|Program Coordinator|167.50</v>
      </c>
      <c r="I265" s="1" t="n">
        <f aca="false">COUNTIF($H$5:$H$1624,H265)</f>
        <v>1</v>
      </c>
      <c r="J265" s="1" t="n">
        <f aca="false">COUNTIF($H$5:H265,H265)</f>
        <v>1</v>
      </c>
      <c r="K265" s="1" t="n">
        <f aca="false">COUNTIFS($H$5:$H$1624,H265,$B$5:$B$1624,"&lt;&gt;"&amp;B265)</f>
        <v>0</v>
      </c>
      <c r="L265" s="1" t="str">
        <f aca="false">IF(I265&gt;1,IF(K265&gt;0,"Cross-hospital match","Same-hospital match"),"")</f>
        <v/>
      </c>
      <c r="M265" s="52"/>
      <c r="N265" s="52"/>
      <c r="O265" s="1" t="n">
        <f aca="false">IF(M265="Exclude (duplicate)",0,1)</f>
        <v>1</v>
      </c>
      <c r="P265" s="1" t="str">
        <f aca="false">IF(AND(L265&lt;&gt;"",M265=""),"Needs decision","")</f>
        <v/>
      </c>
    </row>
    <row r="266" customFormat="false" ht="15" hidden="false" customHeight="false" outlineLevel="0" collapsed="false">
      <c r="A266" s="48" t="str">
        <f aca="false">COST!A266</f>
        <v>KVMC-0262</v>
      </c>
      <c r="B266" s="48" t="str">
        <f aca="false">COST!B266</f>
        <v>KVMC</v>
      </c>
      <c r="C266" s="48" t="str">
        <f aca="false">COST!D266</f>
        <v>Family Medicine Residency Program</v>
      </c>
      <c r="D266" s="62" t="n">
        <f aca="false">COST!M266</f>
        <v>46022</v>
      </c>
      <c r="E266" s="48" t="str">
        <f aca="false">COST!P266</f>
        <v>Resident Physician</v>
      </c>
      <c r="F266" s="63" t="n">
        <f aca="false">COST!R266</f>
        <v>4291.25</v>
      </c>
      <c r="G266" s="48" t="str">
        <f aca="false">STACK!M266</f>
        <v/>
      </c>
      <c r="H266" s="1" t="str">
        <f aca="false">C266&amp;"|"&amp;IF(ISNUMBER(D266),TEXT(D266,"yyyy-mm-dd"),"no date")&amp;"|"&amp;E266&amp;"|"&amp;IF(ISNUMBER(F266),TEXT(F266,"0.00"),"blank")</f>
        <v>Family Medicine Residency Program|2025-12-31|Resident Physician|4291.25</v>
      </c>
      <c r="I266" s="1" t="n">
        <f aca="false">COUNTIF($H$5:$H$1624,H266)</f>
        <v>1</v>
      </c>
      <c r="J266" s="1" t="n">
        <f aca="false">COUNTIF($H$5:H266,H266)</f>
        <v>1</v>
      </c>
      <c r="K266" s="1" t="n">
        <f aca="false">COUNTIFS($H$5:$H$1624,H266,$B$5:$B$1624,"&lt;&gt;"&amp;B266)</f>
        <v>0</v>
      </c>
      <c r="L266" s="1" t="str">
        <f aca="false">IF(I266&gt;1,IF(K266&gt;0,"Cross-hospital match","Same-hospital match"),"")</f>
        <v/>
      </c>
      <c r="M266" s="52"/>
      <c r="N266" s="52"/>
      <c r="O266" s="1" t="n">
        <f aca="false">IF(M266="Exclude (duplicate)",0,1)</f>
        <v>1</v>
      </c>
      <c r="P266" s="1" t="str">
        <f aca="false">IF(AND(L266&lt;&gt;"",M266=""),"Needs decision","")</f>
        <v/>
      </c>
    </row>
    <row r="267" customFormat="false" ht="15" hidden="false" customHeight="false" outlineLevel="0" collapsed="false">
      <c r="A267" s="48" t="str">
        <f aca="false">COST!A267</f>
        <v>KVMC-0263</v>
      </c>
      <c r="B267" s="48" t="str">
        <f aca="false">COST!B267</f>
        <v>KVMC</v>
      </c>
      <c r="C267" s="48" t="str">
        <f aca="false">COST!D267</f>
        <v>Pharmacy Student Rotations</v>
      </c>
      <c r="D267" s="62" t="n">
        <f aca="false">COST!M267</f>
        <v>46022</v>
      </c>
      <c r="E267" s="48" t="str">
        <f aca="false">COST!P267</f>
        <v>Pharmacist</v>
      </c>
      <c r="F267" s="63" t="n">
        <f aca="false">COST!R267</f>
        <v>76.75</v>
      </c>
      <c r="G267" s="48" t="str">
        <f aca="false">STACK!M267</f>
        <v/>
      </c>
      <c r="H267" s="1" t="str">
        <f aca="false">C267&amp;"|"&amp;IF(ISNUMBER(D267),TEXT(D267,"yyyy-mm-dd"),"no date")&amp;"|"&amp;E267&amp;"|"&amp;IF(ISNUMBER(F267),TEXT(F267,"0.00"),"blank")</f>
        <v>Pharmacy Student Rotations|2025-12-31|Pharmacist|76.75</v>
      </c>
      <c r="I267" s="1" t="n">
        <f aca="false">COUNTIF($H$5:$H$1624,H267)</f>
        <v>1</v>
      </c>
      <c r="J267" s="1" t="n">
        <f aca="false">COUNTIF($H$5:H267,H267)</f>
        <v>1</v>
      </c>
      <c r="K267" s="1" t="n">
        <f aca="false">COUNTIFS($H$5:$H$1624,H267,$B$5:$B$1624,"&lt;&gt;"&amp;B267)</f>
        <v>0</v>
      </c>
      <c r="L267" s="1" t="str">
        <f aca="false">IF(I267&gt;1,IF(K267&gt;0,"Cross-hospital match","Same-hospital match"),"")</f>
        <v/>
      </c>
      <c r="M267" s="52"/>
      <c r="N267" s="52"/>
      <c r="O267" s="1" t="n">
        <f aca="false">IF(M267="Exclude (duplicate)",0,1)</f>
        <v>1</v>
      </c>
      <c r="P267" s="1" t="str">
        <f aca="false">IF(AND(L267&lt;&gt;"",M267=""),"Needs decision","")</f>
        <v/>
      </c>
    </row>
    <row r="268" customFormat="false" ht="15" hidden="false" customHeight="false" outlineLevel="0" collapsed="false">
      <c r="A268" s="48" t="str">
        <f aca="false">COST!A268</f>
        <v>KVMC-0264</v>
      </c>
      <c r="B268" s="48" t="str">
        <f aca="false">COST!B268</f>
        <v>KVMC</v>
      </c>
      <c r="C268" s="48" t="str">
        <f aca="false">COST!D268</f>
        <v>Community Hypertension Control Study</v>
      </c>
      <c r="D268" s="62" t="n">
        <f aca="false">COST!M268</f>
        <v>46022</v>
      </c>
      <c r="E268" s="48" t="str">
        <f aca="false">COST!P268</f>
        <v>Data Analyst</v>
      </c>
      <c r="F268" s="63" t="n">
        <f aca="false">COST!R268</f>
        <v>49.25</v>
      </c>
      <c r="G268" s="48" t="str">
        <f aca="false">STACK!M268</f>
        <v/>
      </c>
      <c r="H268" s="1" t="str">
        <f aca="false">C268&amp;"|"&amp;IF(ISNUMBER(D268),TEXT(D268,"yyyy-mm-dd"),"no date")&amp;"|"&amp;E268&amp;"|"&amp;IF(ISNUMBER(F268),TEXT(F268,"0.00"),"blank")</f>
        <v>Community Hypertension Control Study|2025-12-31|Data Analyst|49.25</v>
      </c>
      <c r="I268" s="1" t="n">
        <f aca="false">COUNTIF($H$5:$H$1624,H268)</f>
        <v>1</v>
      </c>
      <c r="J268" s="1" t="n">
        <f aca="false">COUNTIF($H$5:H268,H268)</f>
        <v>1</v>
      </c>
      <c r="K268" s="1" t="n">
        <f aca="false">COUNTIFS($H$5:$H$1624,H268,$B$5:$B$1624,"&lt;&gt;"&amp;B268)</f>
        <v>0</v>
      </c>
      <c r="L268" s="1" t="str">
        <f aca="false">IF(I268&gt;1,IF(K268&gt;0,"Cross-hospital match","Same-hospital match"),"")</f>
        <v/>
      </c>
      <c r="M268" s="52"/>
      <c r="N268" s="52"/>
      <c r="O268" s="1" t="n">
        <f aca="false">IF(M268="Exclude (duplicate)",0,1)</f>
        <v>1</v>
      </c>
      <c r="P268" s="1" t="str">
        <f aca="false">IF(AND(L268&lt;&gt;"",M268=""),"Needs decision","")</f>
        <v/>
      </c>
    </row>
    <row r="269" customFormat="false" ht="15" hidden="false" customHeight="false" outlineLevel="0" collapsed="false">
      <c r="A269" s="48" t="str">
        <f aca="false">COST!A269</f>
        <v>KVMC-0265</v>
      </c>
      <c r="B269" s="48" t="str">
        <f aca="false">COST!B269</f>
        <v>KVMC</v>
      </c>
      <c r="C269" s="48" t="str">
        <f aca="false">COST!D269</f>
        <v>Community Hypertension Control Study</v>
      </c>
      <c r="D269" s="62" t="n">
        <f aca="false">COST!M269</f>
        <v>46022</v>
      </c>
      <c r="E269" s="48" t="str">
        <f aca="false">COST!P269</f>
        <v>Physician</v>
      </c>
      <c r="F269" s="63" t="n">
        <f aca="false">COST!R269</f>
        <v>16.75</v>
      </c>
      <c r="G269" s="48" t="str">
        <f aca="false">STACK!M269</f>
        <v/>
      </c>
      <c r="H269" s="1" t="str">
        <f aca="false">C269&amp;"|"&amp;IF(ISNUMBER(D269),TEXT(D269,"yyyy-mm-dd"),"no date")&amp;"|"&amp;E269&amp;"|"&amp;IF(ISNUMBER(F269),TEXT(F269,"0.00"),"blank")</f>
        <v>Community Hypertension Control Study|2025-12-31|Physician|16.75</v>
      </c>
      <c r="I269" s="1" t="n">
        <f aca="false">COUNTIF($H$5:$H$1624,H269)</f>
        <v>1</v>
      </c>
      <c r="J269" s="1" t="n">
        <f aca="false">COUNTIF($H$5:H269,H269)</f>
        <v>1</v>
      </c>
      <c r="K269" s="1" t="n">
        <f aca="false">COUNTIFS($H$5:$H$1624,H269,$B$5:$B$1624,"&lt;&gt;"&amp;B269)</f>
        <v>0</v>
      </c>
      <c r="L269" s="1" t="str">
        <f aca="false">IF(I269&gt;1,IF(K269&gt;0,"Cross-hospital match","Same-hospital match"),"")</f>
        <v/>
      </c>
      <c r="M269" s="52"/>
      <c r="N269" s="52"/>
      <c r="O269" s="1" t="n">
        <f aca="false">IF(M269="Exclude (duplicate)",0,1)</f>
        <v>1</v>
      </c>
      <c r="P269" s="1" t="str">
        <f aca="false">IF(AND(L269&lt;&gt;"",M269=""),"Needs decision","")</f>
        <v/>
      </c>
    </row>
    <row r="270" customFormat="false" ht="15" hidden="false" customHeight="false" outlineLevel="0" collapsed="false">
      <c r="A270" s="48" t="str">
        <f aca="false">COST!A270</f>
        <v>KVMC-0266</v>
      </c>
      <c r="B270" s="48" t="str">
        <f aca="false">COST!B270</f>
        <v>KVMC</v>
      </c>
      <c r="C270" s="48" t="str">
        <f aca="false">COST!D270</f>
        <v>Community Hypertension Control Study</v>
      </c>
      <c r="D270" s="62" t="n">
        <f aca="false">COST!M270</f>
        <v>46022</v>
      </c>
      <c r="E270" s="48" t="str">
        <f aca="false">COST!P270</f>
        <v>Research Coordinator</v>
      </c>
      <c r="F270" s="63" t="n">
        <f aca="false">COST!R270</f>
        <v>158.75</v>
      </c>
      <c r="G270" s="48" t="str">
        <f aca="false">STACK!M270</f>
        <v/>
      </c>
      <c r="H270" s="1" t="str">
        <f aca="false">C270&amp;"|"&amp;IF(ISNUMBER(D270),TEXT(D270,"yyyy-mm-dd"),"no date")&amp;"|"&amp;E270&amp;"|"&amp;IF(ISNUMBER(F270),TEXT(F270,"0.00"),"blank")</f>
        <v>Community Hypertension Control Study|2025-12-31|Research Coordinator|158.75</v>
      </c>
      <c r="I270" s="1" t="n">
        <f aca="false">COUNTIF($H$5:$H$1624,H270)</f>
        <v>1</v>
      </c>
      <c r="J270" s="1" t="n">
        <f aca="false">COUNTIF($H$5:H270,H270)</f>
        <v>1</v>
      </c>
      <c r="K270" s="1" t="n">
        <f aca="false">COUNTIFS($H$5:$H$1624,H270,$B$5:$B$1624,"&lt;&gt;"&amp;B270)</f>
        <v>0</v>
      </c>
      <c r="L270" s="1" t="str">
        <f aca="false">IF(I270&gt;1,IF(K270&gt;0,"Cross-hospital match","Same-hospital match"),"")</f>
        <v/>
      </c>
      <c r="M270" s="52"/>
      <c r="N270" s="52"/>
      <c r="O270" s="1" t="n">
        <f aca="false">IF(M270="Exclude (duplicate)",0,1)</f>
        <v>1</v>
      </c>
      <c r="P270" s="1" t="str">
        <f aca="false">IF(AND(L270&lt;&gt;"",M270=""),"Needs decision","")</f>
        <v/>
      </c>
    </row>
    <row r="271" customFormat="false" ht="15" hidden="false" customHeight="false" outlineLevel="0" collapsed="false">
      <c r="A271" s="48" t="str">
        <f aca="false">COST!A271</f>
        <v>KVMC-0267</v>
      </c>
      <c r="B271" s="48" t="str">
        <f aca="false">COST!B271</f>
        <v>KVMC</v>
      </c>
      <c r="C271" s="48" t="str">
        <f aca="false">COST!D271</f>
        <v>Naloxone Training and Distribution</v>
      </c>
      <c r="D271" s="62" t="n">
        <f aca="false">COST!M271</f>
        <v>46024</v>
      </c>
      <c r="E271" s="48" t="str">
        <f aca="false">COST!P271</f>
        <v>Health Educator</v>
      </c>
      <c r="F271" s="63" t="n">
        <f aca="false">COST!R271</f>
        <v>3</v>
      </c>
      <c r="G271" s="48" t="str">
        <f aca="false">STACK!M271</f>
        <v/>
      </c>
      <c r="H271" s="1" t="str">
        <f aca="false">C271&amp;"|"&amp;IF(ISNUMBER(D271),TEXT(D271,"yyyy-mm-dd"),"no date")&amp;"|"&amp;E271&amp;"|"&amp;IF(ISNUMBER(F271),TEXT(F271,"0.00"),"blank")</f>
        <v>Naloxone Training and Distribution|2026-01-02|Health Educator|3.00</v>
      </c>
      <c r="I271" s="1" t="n">
        <f aca="false">COUNTIF($H$5:$H$1624,H271)</f>
        <v>1</v>
      </c>
      <c r="J271" s="1" t="n">
        <f aca="false">COUNTIF($H$5:H271,H271)</f>
        <v>1</v>
      </c>
      <c r="K271" s="1" t="n">
        <f aca="false">COUNTIFS($H$5:$H$1624,H271,$B$5:$B$1624,"&lt;&gt;"&amp;B271)</f>
        <v>0</v>
      </c>
      <c r="L271" s="1" t="str">
        <f aca="false">IF(I271&gt;1,IF(K271&gt;0,"Cross-hospital match","Same-hospital match"),"")</f>
        <v/>
      </c>
      <c r="M271" s="52"/>
      <c r="N271" s="52"/>
      <c r="O271" s="1" t="n">
        <f aca="false">IF(M271="Exclude (duplicate)",0,1)</f>
        <v>1</v>
      </c>
      <c r="P271" s="1" t="str">
        <f aca="false">IF(AND(L271&lt;&gt;"",M271=""),"Needs decision","")</f>
        <v/>
      </c>
    </row>
    <row r="272" customFormat="false" ht="15" hidden="false" customHeight="false" outlineLevel="0" collapsed="false">
      <c r="A272" s="48" t="str">
        <f aca="false">COST!A272</f>
        <v>KVMC-0268</v>
      </c>
      <c r="B272" s="48" t="str">
        <f aca="false">COST!B272</f>
        <v>KVMC</v>
      </c>
      <c r="C272" s="48" t="str">
        <f aca="false">COST!D272</f>
        <v>Naloxone Training and Distribution</v>
      </c>
      <c r="D272" s="62" t="n">
        <f aca="false">COST!M272</f>
        <v>46024</v>
      </c>
      <c r="E272" s="48" t="str">
        <f aca="false">COST!P272</f>
        <v>Pharmacist</v>
      </c>
      <c r="F272" s="63" t="n">
        <f aca="false">COST!R272</f>
        <v>2.5</v>
      </c>
      <c r="G272" s="48" t="str">
        <f aca="false">STACK!M272</f>
        <v/>
      </c>
      <c r="H272" s="1" t="str">
        <f aca="false">C272&amp;"|"&amp;IF(ISNUMBER(D272),TEXT(D272,"yyyy-mm-dd"),"no date")&amp;"|"&amp;E272&amp;"|"&amp;IF(ISNUMBER(F272),TEXT(F272,"0.00"),"blank")</f>
        <v>Naloxone Training and Distribution|2026-01-02|Pharmacist|2.50</v>
      </c>
      <c r="I272" s="1" t="n">
        <f aca="false">COUNTIF($H$5:$H$1624,H272)</f>
        <v>1</v>
      </c>
      <c r="J272" s="1" t="n">
        <f aca="false">COUNTIF($H$5:H272,H272)</f>
        <v>1</v>
      </c>
      <c r="K272" s="1" t="n">
        <f aca="false">COUNTIFS($H$5:$H$1624,H272,$B$5:$B$1624,"&lt;&gt;"&amp;B272)</f>
        <v>0</v>
      </c>
      <c r="L272" s="1" t="str">
        <f aca="false">IF(I272&gt;1,IF(K272&gt;0,"Cross-hospital match","Same-hospital match"),"")</f>
        <v/>
      </c>
      <c r="M272" s="52"/>
      <c r="N272" s="52"/>
      <c r="O272" s="1" t="n">
        <f aca="false">IF(M272="Exclude (duplicate)",0,1)</f>
        <v>1</v>
      </c>
      <c r="P272" s="1" t="str">
        <f aca="false">IF(AND(L272&lt;&gt;"",M272=""),"Needs decision","")</f>
        <v/>
      </c>
    </row>
    <row r="273" customFormat="false" ht="15" hidden="false" customHeight="false" outlineLevel="0" collapsed="false">
      <c r="A273" s="48" t="str">
        <f aca="false">COST!A273</f>
        <v>KVMC-0269</v>
      </c>
      <c r="B273" s="48" t="str">
        <f aca="false">COST!B273</f>
        <v>KVMC</v>
      </c>
      <c r="C273" s="48" t="str">
        <f aca="false">COST!D273</f>
        <v>Diabetes Prevention Classes</v>
      </c>
      <c r="D273" s="62" t="n">
        <f aca="false">COST!M273</f>
        <v>46025</v>
      </c>
      <c r="E273" s="48" t="str">
        <f aca="false">COST!P273</f>
        <v>Health Educator</v>
      </c>
      <c r="F273" s="63" t="n">
        <f aca="false">COST!R273</f>
        <v>2.25</v>
      </c>
      <c r="G273" s="48" t="str">
        <f aca="false">STACK!M273</f>
        <v/>
      </c>
      <c r="H273" s="1" t="str">
        <f aca="false">C273&amp;"|"&amp;IF(ISNUMBER(D273),TEXT(D273,"yyyy-mm-dd"),"no date")&amp;"|"&amp;E273&amp;"|"&amp;IF(ISNUMBER(F273),TEXT(F273,"0.00"),"blank")</f>
        <v>Diabetes Prevention Classes|2026-01-03|Health Educator|2.25</v>
      </c>
      <c r="I273" s="1" t="n">
        <f aca="false">COUNTIF($H$5:$H$1624,H273)</f>
        <v>1</v>
      </c>
      <c r="J273" s="1" t="n">
        <f aca="false">COUNTIF($H$5:H273,H273)</f>
        <v>1</v>
      </c>
      <c r="K273" s="1" t="n">
        <f aca="false">COUNTIFS($H$5:$H$1624,H273,$B$5:$B$1624,"&lt;&gt;"&amp;B273)</f>
        <v>0</v>
      </c>
      <c r="L273" s="1" t="str">
        <f aca="false">IF(I273&gt;1,IF(K273&gt;0,"Cross-hospital match","Same-hospital match"),"")</f>
        <v/>
      </c>
      <c r="M273" s="52"/>
      <c r="N273" s="52"/>
      <c r="O273" s="1" t="n">
        <f aca="false">IF(M273="Exclude (duplicate)",0,1)</f>
        <v>1</v>
      </c>
      <c r="P273" s="1" t="str">
        <f aca="false">IF(AND(L273&lt;&gt;"",M273=""),"Needs decision","")</f>
        <v/>
      </c>
    </row>
    <row r="274" customFormat="false" ht="15" hidden="false" customHeight="false" outlineLevel="0" collapsed="false">
      <c r="A274" s="48" t="str">
        <f aca="false">COST!A274</f>
        <v>KVMC-0270</v>
      </c>
      <c r="B274" s="48" t="str">
        <f aca="false">COST!B274</f>
        <v>KVMC</v>
      </c>
      <c r="C274" s="48" t="str">
        <f aca="false">COST!D274</f>
        <v>Diabetes Prevention Classes</v>
      </c>
      <c r="D274" s="62" t="n">
        <f aca="false">COST!M274</f>
        <v>46025</v>
      </c>
      <c r="E274" s="48" t="str">
        <f aca="false">COST!P274</f>
        <v>Registered Dietitian</v>
      </c>
      <c r="F274" s="63" t="n">
        <f aca="false">COST!R274</f>
        <v>1.5</v>
      </c>
      <c r="G274" s="48" t="str">
        <f aca="false">STACK!M274</f>
        <v/>
      </c>
      <c r="H274" s="1" t="str">
        <f aca="false">C274&amp;"|"&amp;IF(ISNUMBER(D274),TEXT(D274,"yyyy-mm-dd"),"no date")&amp;"|"&amp;E274&amp;"|"&amp;IF(ISNUMBER(F274),TEXT(F274,"0.00"),"blank")</f>
        <v>Diabetes Prevention Classes|2026-01-03|Registered Dietitian|1.50</v>
      </c>
      <c r="I274" s="1" t="n">
        <f aca="false">COUNTIF($H$5:$H$1624,H274)</f>
        <v>1</v>
      </c>
      <c r="J274" s="1" t="n">
        <f aca="false">COUNTIF($H$5:H274,H274)</f>
        <v>1</v>
      </c>
      <c r="K274" s="1" t="n">
        <f aca="false">COUNTIFS($H$5:$H$1624,H274,$B$5:$B$1624,"&lt;&gt;"&amp;B274)</f>
        <v>0</v>
      </c>
      <c r="L274" s="1" t="str">
        <f aca="false">IF(I274&gt;1,IF(K274&gt;0,"Cross-hospital match","Same-hospital match"),"")</f>
        <v/>
      </c>
      <c r="M274" s="52"/>
      <c r="N274" s="52"/>
      <c r="O274" s="1" t="n">
        <f aca="false">IF(M274="Exclude (duplicate)",0,1)</f>
        <v>1</v>
      </c>
      <c r="P274" s="1" t="str">
        <f aca="false">IF(AND(L274&lt;&gt;"",M274=""),"Needs decision","")</f>
        <v/>
      </c>
    </row>
    <row r="275" customFormat="false" ht="15" hidden="false" customHeight="false" outlineLevel="0" collapsed="false">
      <c r="A275" s="48" t="str">
        <f aca="false">COST!A275</f>
        <v>KVMC-0271</v>
      </c>
      <c r="B275" s="48" t="str">
        <f aca="false">COST!B275</f>
        <v>KVMC</v>
      </c>
      <c r="C275" s="48" t="str">
        <f aca="false">COST!D275</f>
        <v>Diabetes Prevention Classes</v>
      </c>
      <c r="D275" s="62" t="n">
        <f aca="false">COST!M275</f>
        <v>46031</v>
      </c>
      <c r="E275" s="48" t="str">
        <f aca="false">COST!P275</f>
        <v>Health Educator</v>
      </c>
      <c r="F275" s="63" t="n">
        <f aca="false">COST!R275</f>
        <v>2.5</v>
      </c>
      <c r="G275" s="48" t="str">
        <f aca="false">STACK!M275</f>
        <v/>
      </c>
      <c r="H275" s="1" t="str">
        <f aca="false">C275&amp;"|"&amp;IF(ISNUMBER(D275),TEXT(D275,"yyyy-mm-dd"),"no date")&amp;"|"&amp;E275&amp;"|"&amp;IF(ISNUMBER(F275),TEXT(F275,"0.00"),"blank")</f>
        <v>Diabetes Prevention Classes|2026-01-09|Health Educator|2.50</v>
      </c>
      <c r="I275" s="1" t="n">
        <f aca="false">COUNTIF($H$5:$H$1624,H275)</f>
        <v>1</v>
      </c>
      <c r="J275" s="1" t="n">
        <f aca="false">COUNTIF($H$5:H275,H275)</f>
        <v>1</v>
      </c>
      <c r="K275" s="1" t="n">
        <f aca="false">COUNTIFS($H$5:$H$1624,H275,$B$5:$B$1624,"&lt;&gt;"&amp;B275)</f>
        <v>0</v>
      </c>
      <c r="L275" s="1" t="str">
        <f aca="false">IF(I275&gt;1,IF(K275&gt;0,"Cross-hospital match","Same-hospital match"),"")</f>
        <v/>
      </c>
      <c r="M275" s="52"/>
      <c r="N275" s="52"/>
      <c r="O275" s="1" t="n">
        <f aca="false">IF(M275="Exclude (duplicate)",0,1)</f>
        <v>1</v>
      </c>
      <c r="P275" s="1" t="str">
        <f aca="false">IF(AND(L275&lt;&gt;"",M275=""),"Needs decision","")</f>
        <v/>
      </c>
    </row>
    <row r="276" customFormat="false" ht="15" hidden="false" customHeight="false" outlineLevel="0" collapsed="false">
      <c r="A276" s="48" t="str">
        <f aca="false">COST!A276</f>
        <v>KVMC-0272</v>
      </c>
      <c r="B276" s="48" t="str">
        <f aca="false">COST!B276</f>
        <v>KVMC</v>
      </c>
      <c r="C276" s="48" t="str">
        <f aca="false">COST!D276</f>
        <v>Diabetes Prevention Classes</v>
      </c>
      <c r="D276" s="62" t="n">
        <f aca="false">COST!M276</f>
        <v>46031</v>
      </c>
      <c r="E276" s="48" t="str">
        <f aca="false">COST!P276</f>
        <v>Registered Dietitian</v>
      </c>
      <c r="F276" s="63" t="n">
        <f aca="false">COST!R276</f>
        <v>1.75</v>
      </c>
      <c r="G276" s="48" t="str">
        <f aca="false">STACK!M276</f>
        <v/>
      </c>
      <c r="H276" s="1" t="str">
        <f aca="false">C276&amp;"|"&amp;IF(ISNUMBER(D276),TEXT(D276,"yyyy-mm-dd"),"no date")&amp;"|"&amp;E276&amp;"|"&amp;IF(ISNUMBER(F276),TEXT(F276,"0.00"),"blank")</f>
        <v>Diabetes Prevention Classes|2026-01-09|Registered Dietitian|1.75</v>
      </c>
      <c r="I276" s="1" t="n">
        <f aca="false">COUNTIF($H$5:$H$1624,H276)</f>
        <v>1</v>
      </c>
      <c r="J276" s="1" t="n">
        <f aca="false">COUNTIF($H$5:H276,H276)</f>
        <v>1</v>
      </c>
      <c r="K276" s="1" t="n">
        <f aca="false">COUNTIFS($H$5:$H$1624,H276,$B$5:$B$1624,"&lt;&gt;"&amp;B276)</f>
        <v>0</v>
      </c>
      <c r="L276" s="1" t="str">
        <f aca="false">IF(I276&gt;1,IF(K276&gt;0,"Cross-hospital match","Same-hospital match"),"")</f>
        <v/>
      </c>
      <c r="M276" s="52"/>
      <c r="N276" s="52"/>
      <c r="O276" s="1" t="n">
        <f aca="false">IF(M276="Exclude (duplicate)",0,1)</f>
        <v>1</v>
      </c>
      <c r="P276" s="1" t="str">
        <f aca="false">IF(AND(L276&lt;&gt;"",M276=""),"Needs decision","")</f>
        <v/>
      </c>
    </row>
    <row r="277" customFormat="false" ht="15" hidden="false" customHeight="false" outlineLevel="0" collapsed="false">
      <c r="A277" s="48" t="str">
        <f aca="false">COST!A277</f>
        <v>KVMC-0273</v>
      </c>
      <c r="B277" s="48" t="str">
        <f aca="false">COST!B277</f>
        <v>KVMC</v>
      </c>
      <c r="C277" s="48" t="str">
        <f aca="false">COST!D277</f>
        <v>Grief Support Group</v>
      </c>
      <c r="D277" s="62" t="n">
        <f aca="false">COST!M277</f>
        <v>46031</v>
      </c>
      <c r="E277" s="48" t="str">
        <f aca="false">COST!P277</f>
        <v>Chaplain</v>
      </c>
      <c r="F277" s="63" t="n">
        <f aca="false">COST!R277</f>
        <v>2.25</v>
      </c>
      <c r="G277" s="48" t="str">
        <f aca="false">STACK!M277</f>
        <v/>
      </c>
      <c r="H277" s="1" t="str">
        <f aca="false">C277&amp;"|"&amp;IF(ISNUMBER(D277),TEXT(D277,"yyyy-mm-dd"),"no date")&amp;"|"&amp;E277&amp;"|"&amp;IF(ISNUMBER(F277),TEXT(F277,"0.00"),"blank")</f>
        <v>Grief Support Group|2026-01-09|Chaplain|2.25</v>
      </c>
      <c r="I277" s="1" t="n">
        <f aca="false">COUNTIF($H$5:$H$1624,H277)</f>
        <v>1</v>
      </c>
      <c r="J277" s="1" t="n">
        <f aca="false">COUNTIF($H$5:H277,H277)</f>
        <v>1</v>
      </c>
      <c r="K277" s="1" t="n">
        <f aca="false">COUNTIFS($H$5:$H$1624,H277,$B$5:$B$1624,"&lt;&gt;"&amp;B277)</f>
        <v>0</v>
      </c>
      <c r="L277" s="1" t="str">
        <f aca="false">IF(I277&gt;1,IF(K277&gt;0,"Cross-hospital match","Same-hospital match"),"")</f>
        <v/>
      </c>
      <c r="M277" s="52"/>
      <c r="N277" s="52"/>
      <c r="O277" s="1" t="n">
        <f aca="false">IF(M277="Exclude (duplicate)",0,1)</f>
        <v>1</v>
      </c>
      <c r="P277" s="1" t="str">
        <f aca="false">IF(AND(L277&lt;&gt;"",M277=""),"Needs decision","")</f>
        <v/>
      </c>
    </row>
    <row r="278" customFormat="false" ht="15" hidden="false" customHeight="false" outlineLevel="0" collapsed="false">
      <c r="A278" s="48" t="str">
        <f aca="false">COST!A278</f>
        <v>KVMC-0274</v>
      </c>
      <c r="B278" s="48" t="str">
        <f aca="false">COST!B278</f>
        <v>KVMC</v>
      </c>
      <c r="C278" s="48" t="str">
        <f aca="false">COST!D278</f>
        <v>Grief Support Group</v>
      </c>
      <c r="D278" s="62" t="n">
        <f aca="false">COST!M278</f>
        <v>46031</v>
      </c>
      <c r="E278" s="48" t="str">
        <f aca="false">COST!P278</f>
        <v>Social Worker</v>
      </c>
      <c r="F278" s="63" t="n">
        <f aca="false">COST!R278</f>
        <v>1.5</v>
      </c>
      <c r="G278" s="48" t="str">
        <f aca="false">STACK!M278</f>
        <v/>
      </c>
      <c r="H278" s="1" t="str">
        <f aca="false">C278&amp;"|"&amp;IF(ISNUMBER(D278),TEXT(D278,"yyyy-mm-dd"),"no date")&amp;"|"&amp;E278&amp;"|"&amp;IF(ISNUMBER(F278),TEXT(F278,"0.00"),"blank")</f>
        <v>Grief Support Group|2026-01-09|Social Worker|1.50</v>
      </c>
      <c r="I278" s="1" t="n">
        <f aca="false">COUNTIF($H$5:$H$1624,H278)</f>
        <v>1</v>
      </c>
      <c r="J278" s="1" t="n">
        <f aca="false">COUNTIF($H$5:H278,H278)</f>
        <v>1</v>
      </c>
      <c r="K278" s="1" t="n">
        <f aca="false">COUNTIFS($H$5:$H$1624,H278,$B$5:$B$1624,"&lt;&gt;"&amp;B278)</f>
        <v>0</v>
      </c>
      <c r="L278" s="1" t="str">
        <f aca="false">IF(I278&gt;1,IF(K278&gt;0,"Cross-hospital match","Same-hospital match"),"")</f>
        <v/>
      </c>
      <c r="M278" s="52"/>
      <c r="N278" s="52"/>
      <c r="O278" s="1" t="n">
        <f aca="false">IF(M278="Exclude (duplicate)",0,1)</f>
        <v>1</v>
      </c>
      <c r="P278" s="1" t="str">
        <f aca="false">IF(AND(L278&lt;&gt;"",M278=""),"Needs decision","")</f>
        <v/>
      </c>
    </row>
    <row r="279" customFormat="false" ht="15" hidden="false" customHeight="false" outlineLevel="0" collapsed="false">
      <c r="A279" s="48" t="str">
        <f aca="false">COST!A279</f>
        <v>KVMC-0275</v>
      </c>
      <c r="B279" s="48" t="str">
        <f aca="false">COST!B279</f>
        <v>KVMC</v>
      </c>
      <c r="C279" s="48" t="str">
        <f aca="false">COST!D279</f>
        <v>Small Business Health Partnership</v>
      </c>
      <c r="D279" s="62" t="n">
        <f aca="false">COST!M279</f>
        <v>46032</v>
      </c>
      <c r="E279" s="48" t="str">
        <f aca="false">COST!P279</f>
        <v>Director</v>
      </c>
      <c r="F279" s="63" t="n">
        <f aca="false">COST!R279</f>
        <v>3.25</v>
      </c>
      <c r="G279" s="48" t="str">
        <f aca="false">STACK!M279</f>
        <v/>
      </c>
      <c r="H279" s="1" t="str">
        <f aca="false">C279&amp;"|"&amp;IF(ISNUMBER(D279),TEXT(D279,"yyyy-mm-dd"),"no date")&amp;"|"&amp;E279&amp;"|"&amp;IF(ISNUMBER(F279),TEXT(F279,"0.00"),"blank")</f>
        <v>Small Business Health Partnership|2026-01-10|Director|3.25</v>
      </c>
      <c r="I279" s="1" t="n">
        <f aca="false">COUNTIF($H$5:$H$1624,H279)</f>
        <v>1</v>
      </c>
      <c r="J279" s="1" t="n">
        <f aca="false">COUNTIF($H$5:H279,H279)</f>
        <v>1</v>
      </c>
      <c r="K279" s="1" t="n">
        <f aca="false">COUNTIFS($H$5:$H$1624,H279,$B$5:$B$1624,"&lt;&gt;"&amp;B279)</f>
        <v>0</v>
      </c>
      <c r="L279" s="1" t="str">
        <f aca="false">IF(I279&gt;1,IF(K279&gt;0,"Cross-hospital match","Same-hospital match"),"")</f>
        <v/>
      </c>
      <c r="M279" s="52"/>
      <c r="N279" s="52"/>
      <c r="O279" s="1" t="n">
        <f aca="false">IF(M279="Exclude (duplicate)",0,1)</f>
        <v>1</v>
      </c>
      <c r="P279" s="1" t="str">
        <f aca="false">IF(AND(L279&lt;&gt;"",M279=""),"Needs decision","")</f>
        <v/>
      </c>
    </row>
    <row r="280" customFormat="false" ht="15" hidden="false" customHeight="false" outlineLevel="0" collapsed="false">
      <c r="A280" s="48" t="str">
        <f aca="false">COST!A280</f>
        <v>KVMC-0276</v>
      </c>
      <c r="B280" s="48" t="str">
        <f aca="false">COST!B280</f>
        <v>KVMC</v>
      </c>
      <c r="C280" s="48" t="str">
        <f aca="false">COST!D280</f>
        <v>Small Business Health Partnership</v>
      </c>
      <c r="D280" s="62" t="n">
        <f aca="false">COST!M280</f>
        <v>46032</v>
      </c>
      <c r="E280" s="48" t="str">
        <f aca="false">COST!P280</f>
        <v>Program Coordinator</v>
      </c>
      <c r="F280" s="63" t="n">
        <f aca="false">COST!R280</f>
        <v>5.25</v>
      </c>
      <c r="G280" s="48" t="str">
        <f aca="false">STACK!M280</f>
        <v/>
      </c>
      <c r="H280" s="1" t="str">
        <f aca="false">C280&amp;"|"&amp;IF(ISNUMBER(D280),TEXT(D280,"yyyy-mm-dd"),"no date")&amp;"|"&amp;E280&amp;"|"&amp;IF(ISNUMBER(F280),TEXT(F280,"0.00"),"blank")</f>
        <v>Small Business Health Partnership|2026-01-10|Program Coordinator|5.25</v>
      </c>
      <c r="I280" s="1" t="n">
        <f aca="false">COUNTIF($H$5:$H$1624,H280)</f>
        <v>1</v>
      </c>
      <c r="J280" s="1" t="n">
        <f aca="false">COUNTIF($H$5:H280,H280)</f>
        <v>1</v>
      </c>
      <c r="K280" s="1" t="n">
        <f aca="false">COUNTIFS($H$5:$H$1624,H280,$B$5:$B$1624,"&lt;&gt;"&amp;B280)</f>
        <v>0</v>
      </c>
      <c r="L280" s="1" t="str">
        <f aca="false">IF(I280&gt;1,IF(K280&gt;0,"Cross-hospital match","Same-hospital match"),"")</f>
        <v/>
      </c>
      <c r="M280" s="52"/>
      <c r="N280" s="52"/>
      <c r="O280" s="1" t="n">
        <f aca="false">IF(M280="Exclude (duplicate)",0,1)</f>
        <v>1</v>
      </c>
      <c r="P280" s="1" t="str">
        <f aca="false">IF(AND(L280&lt;&gt;"",M280=""),"Needs decision","")</f>
        <v/>
      </c>
    </row>
    <row r="281" customFormat="false" ht="15" hidden="false" customHeight="false" outlineLevel="0" collapsed="false">
      <c r="A281" s="48" t="str">
        <f aca="false">COST!A281</f>
        <v>KVMC-0277</v>
      </c>
      <c r="B281" s="48" t="str">
        <f aca="false">COST!B281</f>
        <v>KVMC</v>
      </c>
      <c r="C281" s="48" t="str">
        <f aca="false">COST!D281</f>
        <v>Childbirth and Newborn Care Classes</v>
      </c>
      <c r="D281" s="62" t="n">
        <f aca="false">COST!M281</f>
        <v>46035</v>
      </c>
      <c r="E281" s="48" t="str">
        <f aca="false">COST!P281</f>
        <v>Clinical Nurse Educator</v>
      </c>
      <c r="F281" s="63" t="n">
        <f aca="false">COST!R281</f>
        <v>3.25</v>
      </c>
      <c r="G281" s="48" t="str">
        <f aca="false">STACK!M281</f>
        <v/>
      </c>
      <c r="H281" s="1" t="str">
        <f aca="false">C281&amp;"|"&amp;IF(ISNUMBER(D281),TEXT(D281,"yyyy-mm-dd"),"no date")&amp;"|"&amp;E281&amp;"|"&amp;IF(ISNUMBER(F281),TEXT(F281,"0.00"),"blank")</f>
        <v>Childbirth and Newborn Care Classes|2026-01-13|Clinical Nurse Educator|3.25</v>
      </c>
      <c r="I281" s="1" t="n">
        <f aca="false">COUNTIF($H$5:$H$1624,H281)</f>
        <v>1</v>
      </c>
      <c r="J281" s="1" t="n">
        <f aca="false">COUNTIF($H$5:H281,H281)</f>
        <v>1</v>
      </c>
      <c r="K281" s="1" t="n">
        <f aca="false">COUNTIFS($H$5:$H$1624,H281,$B$5:$B$1624,"&lt;&gt;"&amp;B281)</f>
        <v>0</v>
      </c>
      <c r="L281" s="1" t="str">
        <f aca="false">IF(I281&gt;1,IF(K281&gt;0,"Cross-hospital match","Same-hospital match"),"")</f>
        <v/>
      </c>
      <c r="M281" s="52"/>
      <c r="N281" s="52"/>
      <c r="O281" s="1" t="n">
        <f aca="false">IF(M281="Exclude (duplicate)",0,1)</f>
        <v>1</v>
      </c>
      <c r="P281" s="1" t="str">
        <f aca="false">IF(AND(L281&lt;&gt;"",M281=""),"Needs decision","")</f>
        <v/>
      </c>
    </row>
    <row r="282" customFormat="false" ht="15" hidden="false" customHeight="false" outlineLevel="0" collapsed="false">
      <c r="A282" s="48" t="str">
        <f aca="false">COST!A282</f>
        <v>KVMC-0278</v>
      </c>
      <c r="B282" s="48" t="str">
        <f aca="false">COST!B282</f>
        <v>KVMC</v>
      </c>
      <c r="C282" s="48" t="str">
        <f aca="false">COST!D282</f>
        <v>Grief Support Group</v>
      </c>
      <c r="D282" s="62" t="n">
        <f aca="false">COST!M282</f>
        <v>46039</v>
      </c>
      <c r="E282" s="48" t="str">
        <f aca="false">COST!P282</f>
        <v>Chaplain</v>
      </c>
      <c r="F282" s="63" t="n">
        <f aca="false">COST!R282</f>
        <v>2.25</v>
      </c>
      <c r="G282" s="48" t="str">
        <f aca="false">STACK!M282</f>
        <v/>
      </c>
      <c r="H282" s="1" t="str">
        <f aca="false">C282&amp;"|"&amp;IF(ISNUMBER(D282),TEXT(D282,"yyyy-mm-dd"),"no date")&amp;"|"&amp;E282&amp;"|"&amp;IF(ISNUMBER(F282),TEXT(F282,"0.00"),"blank")</f>
        <v>Grief Support Group|2026-01-17|Chaplain|2.25</v>
      </c>
      <c r="I282" s="1" t="n">
        <f aca="false">COUNTIF($H$5:$H$1624,H282)</f>
        <v>1</v>
      </c>
      <c r="J282" s="1" t="n">
        <f aca="false">COUNTIF($H$5:H282,H282)</f>
        <v>1</v>
      </c>
      <c r="K282" s="1" t="n">
        <f aca="false">COUNTIFS($H$5:$H$1624,H282,$B$5:$B$1624,"&lt;&gt;"&amp;B282)</f>
        <v>0</v>
      </c>
      <c r="L282" s="1" t="str">
        <f aca="false">IF(I282&gt;1,IF(K282&gt;0,"Cross-hospital match","Same-hospital match"),"")</f>
        <v/>
      </c>
      <c r="M282" s="52"/>
      <c r="N282" s="52"/>
      <c r="O282" s="1" t="n">
        <f aca="false">IF(M282="Exclude (duplicate)",0,1)</f>
        <v>1</v>
      </c>
      <c r="P282" s="1" t="str">
        <f aca="false">IF(AND(L282&lt;&gt;"",M282=""),"Needs decision","")</f>
        <v/>
      </c>
    </row>
    <row r="283" customFormat="false" ht="15" hidden="false" customHeight="false" outlineLevel="0" collapsed="false">
      <c r="A283" s="48" t="str">
        <f aca="false">COST!A283</f>
        <v>KVMC-0279</v>
      </c>
      <c r="B283" s="48" t="str">
        <f aca="false">COST!B283</f>
        <v>KVMC</v>
      </c>
      <c r="C283" s="48" t="str">
        <f aca="false">COST!D283</f>
        <v>Grief Support Group</v>
      </c>
      <c r="D283" s="62" t="n">
        <f aca="false">COST!M283</f>
        <v>46039</v>
      </c>
      <c r="E283" s="48" t="str">
        <f aca="false">COST!P283</f>
        <v>Social Worker</v>
      </c>
      <c r="F283" s="63" t="n">
        <f aca="false">COST!R283</f>
        <v>1.5</v>
      </c>
      <c r="G283" s="48" t="str">
        <f aca="false">STACK!M283</f>
        <v/>
      </c>
      <c r="H283" s="1" t="str">
        <f aca="false">C283&amp;"|"&amp;IF(ISNUMBER(D283),TEXT(D283,"yyyy-mm-dd"),"no date")&amp;"|"&amp;E283&amp;"|"&amp;IF(ISNUMBER(F283),TEXT(F283,"0.00"),"blank")</f>
        <v>Grief Support Group|2026-01-17|Social Worker|1.50</v>
      </c>
      <c r="I283" s="1" t="n">
        <f aca="false">COUNTIF($H$5:$H$1624,H283)</f>
        <v>1</v>
      </c>
      <c r="J283" s="1" t="n">
        <f aca="false">COUNTIF($H$5:H283,H283)</f>
        <v>1</v>
      </c>
      <c r="K283" s="1" t="n">
        <f aca="false">COUNTIFS($H$5:$H$1624,H283,$B$5:$B$1624,"&lt;&gt;"&amp;B283)</f>
        <v>0</v>
      </c>
      <c r="L283" s="1" t="str">
        <f aca="false">IF(I283&gt;1,IF(K283&gt;0,"Cross-hospital match","Same-hospital match"),"")</f>
        <v/>
      </c>
      <c r="M283" s="52"/>
      <c r="N283" s="52"/>
      <c r="O283" s="1" t="n">
        <f aca="false">IF(M283="Exclude (duplicate)",0,1)</f>
        <v>1</v>
      </c>
      <c r="P283" s="1" t="str">
        <f aca="false">IF(AND(L283&lt;&gt;"",M283=""),"Needs decision","")</f>
        <v/>
      </c>
    </row>
    <row r="284" customFormat="false" ht="15" hidden="false" customHeight="false" outlineLevel="0" collapsed="false">
      <c r="A284" s="48" t="str">
        <f aca="false">COST!A284</f>
        <v>KVMC-0280</v>
      </c>
      <c r="B284" s="48" t="str">
        <f aca="false">COST!B284</f>
        <v>KVMC</v>
      </c>
      <c r="C284" s="48" t="str">
        <f aca="false">COST!D284</f>
        <v>Childbirth and Newborn Care Classes</v>
      </c>
      <c r="D284" s="62" t="n">
        <f aca="false">COST!M284</f>
        <v>46041</v>
      </c>
      <c r="E284" s="48" t="str">
        <f aca="false">COST!P284</f>
        <v>Clinical Nurse Educator</v>
      </c>
      <c r="F284" s="63" t="n">
        <f aca="false">COST!R284</f>
        <v>3</v>
      </c>
      <c r="G284" s="48" t="str">
        <f aca="false">STACK!M284</f>
        <v/>
      </c>
      <c r="H284" s="1" t="str">
        <f aca="false">C284&amp;"|"&amp;IF(ISNUMBER(D284),TEXT(D284,"yyyy-mm-dd"),"no date")&amp;"|"&amp;E284&amp;"|"&amp;IF(ISNUMBER(F284),TEXT(F284,"0.00"),"blank")</f>
        <v>Childbirth and Newborn Care Classes|2026-01-19|Clinical Nurse Educator|3.00</v>
      </c>
      <c r="I284" s="1" t="n">
        <f aca="false">COUNTIF($H$5:$H$1624,H284)</f>
        <v>1</v>
      </c>
      <c r="J284" s="1" t="n">
        <f aca="false">COUNTIF($H$5:H284,H284)</f>
        <v>1</v>
      </c>
      <c r="K284" s="1" t="n">
        <f aca="false">COUNTIFS($H$5:$H$1624,H284,$B$5:$B$1624,"&lt;&gt;"&amp;B284)</f>
        <v>0</v>
      </c>
      <c r="L284" s="1" t="str">
        <f aca="false">IF(I284&gt;1,IF(K284&gt;0,"Cross-hospital match","Same-hospital match"),"")</f>
        <v/>
      </c>
      <c r="M284" s="52"/>
      <c r="N284" s="52"/>
      <c r="O284" s="1" t="n">
        <f aca="false">IF(M284="Exclude (duplicate)",0,1)</f>
        <v>1</v>
      </c>
      <c r="P284" s="1" t="str">
        <f aca="false">IF(AND(L284&lt;&gt;"",M284=""),"Needs decision","")</f>
        <v/>
      </c>
    </row>
    <row r="285" customFormat="false" ht="15" hidden="false" customHeight="false" outlineLevel="0" collapsed="false">
      <c r="A285" s="48" t="str">
        <f aca="false">COST!A285</f>
        <v>KVMC-0281</v>
      </c>
      <c r="B285" s="48" t="str">
        <f aca="false">COST!B285</f>
        <v>KVMC</v>
      </c>
      <c r="C285" s="48" t="str">
        <f aca="false">COST!D285</f>
        <v>Diabetes Prevention Classes</v>
      </c>
      <c r="D285" s="62" t="n">
        <f aca="false">COST!M285</f>
        <v>46043</v>
      </c>
      <c r="E285" s="48" t="str">
        <f aca="false">COST!P285</f>
        <v>Health Educator</v>
      </c>
      <c r="F285" s="63" t="n">
        <f aca="false">COST!R285</f>
        <v>2.5</v>
      </c>
      <c r="G285" s="48" t="str">
        <f aca="false">STACK!M285</f>
        <v/>
      </c>
      <c r="H285" s="1" t="str">
        <f aca="false">C285&amp;"|"&amp;IF(ISNUMBER(D285),TEXT(D285,"yyyy-mm-dd"),"no date")&amp;"|"&amp;E285&amp;"|"&amp;IF(ISNUMBER(F285),TEXT(F285,"0.00"),"blank")</f>
        <v>Diabetes Prevention Classes|2026-01-21|Health Educator|2.50</v>
      </c>
      <c r="I285" s="1" t="n">
        <f aca="false">COUNTIF($H$5:$H$1624,H285)</f>
        <v>1</v>
      </c>
      <c r="J285" s="1" t="n">
        <f aca="false">COUNTIF($H$5:H285,H285)</f>
        <v>1</v>
      </c>
      <c r="K285" s="1" t="n">
        <f aca="false">COUNTIFS($H$5:$H$1624,H285,$B$5:$B$1624,"&lt;&gt;"&amp;B285)</f>
        <v>0</v>
      </c>
      <c r="L285" s="1" t="str">
        <f aca="false">IF(I285&gt;1,IF(K285&gt;0,"Cross-hospital match","Same-hospital match"),"")</f>
        <v/>
      </c>
      <c r="M285" s="52"/>
      <c r="N285" s="52"/>
      <c r="O285" s="1" t="n">
        <f aca="false">IF(M285="Exclude (duplicate)",0,1)</f>
        <v>1</v>
      </c>
      <c r="P285" s="1" t="str">
        <f aca="false">IF(AND(L285&lt;&gt;"",M285=""),"Needs decision","")</f>
        <v/>
      </c>
    </row>
    <row r="286" customFormat="false" ht="15" hidden="false" customHeight="false" outlineLevel="0" collapsed="false">
      <c r="A286" s="48" t="str">
        <f aca="false">COST!A286</f>
        <v>KVMC-0282</v>
      </c>
      <c r="B286" s="48" t="str">
        <f aca="false">COST!B286</f>
        <v>KVMC</v>
      </c>
      <c r="C286" s="48" t="str">
        <f aca="false">COST!D286</f>
        <v>Diabetes Prevention Classes</v>
      </c>
      <c r="D286" s="62" t="n">
        <f aca="false">COST!M286</f>
        <v>46043</v>
      </c>
      <c r="E286" s="48" t="str">
        <f aca="false">COST!P286</f>
        <v>Registered Dietitian</v>
      </c>
      <c r="F286" s="63" t="n">
        <f aca="false">COST!R286</f>
        <v>1.5</v>
      </c>
      <c r="G286" s="48" t="str">
        <f aca="false">STACK!M286</f>
        <v/>
      </c>
      <c r="H286" s="1" t="str">
        <f aca="false">C286&amp;"|"&amp;IF(ISNUMBER(D286),TEXT(D286,"yyyy-mm-dd"),"no date")&amp;"|"&amp;E286&amp;"|"&amp;IF(ISNUMBER(F286),TEXT(F286,"0.00"),"blank")</f>
        <v>Diabetes Prevention Classes|2026-01-21|Registered Dietitian|1.50</v>
      </c>
      <c r="I286" s="1" t="n">
        <f aca="false">COUNTIF($H$5:$H$1624,H286)</f>
        <v>1</v>
      </c>
      <c r="J286" s="1" t="n">
        <f aca="false">COUNTIF($H$5:H286,H286)</f>
        <v>1</v>
      </c>
      <c r="K286" s="1" t="n">
        <f aca="false">COUNTIFS($H$5:$H$1624,H286,$B$5:$B$1624,"&lt;&gt;"&amp;B286)</f>
        <v>0</v>
      </c>
      <c r="L286" s="1" t="str">
        <f aca="false">IF(I286&gt;1,IF(K286&gt;0,"Cross-hospital match","Same-hospital match"),"")</f>
        <v/>
      </c>
      <c r="M286" s="52"/>
      <c r="N286" s="52"/>
      <c r="O286" s="1" t="n">
        <f aca="false">IF(M286="Exclude (duplicate)",0,1)</f>
        <v>1</v>
      </c>
      <c r="P286" s="1" t="str">
        <f aca="false">IF(AND(L286&lt;&gt;"",M286=""),"Needs decision","")</f>
        <v/>
      </c>
    </row>
    <row r="287" customFormat="false" ht="15" hidden="false" customHeight="false" outlineLevel="0" collapsed="false">
      <c r="A287" s="48" t="str">
        <f aca="false">COST!A287</f>
        <v>KVMC-0283</v>
      </c>
      <c r="B287" s="48" t="str">
        <f aca="false">COST!B287</f>
        <v>KVMC</v>
      </c>
      <c r="C287" s="48" t="str">
        <f aca="false">COST!D287</f>
        <v>Grief Support Group</v>
      </c>
      <c r="D287" s="62" t="n">
        <f aca="false">COST!M287</f>
        <v>46046</v>
      </c>
      <c r="E287" s="48" t="str">
        <f aca="false">COST!P287</f>
        <v>Chaplain</v>
      </c>
      <c r="F287" s="63" t="n">
        <f aca="false">COST!R287</f>
        <v>2</v>
      </c>
      <c r="G287" s="48" t="str">
        <f aca="false">STACK!M287</f>
        <v/>
      </c>
      <c r="H287" s="1" t="str">
        <f aca="false">C287&amp;"|"&amp;IF(ISNUMBER(D287),TEXT(D287,"yyyy-mm-dd"),"no date")&amp;"|"&amp;E287&amp;"|"&amp;IF(ISNUMBER(F287),TEXT(F287,"0.00"),"blank")</f>
        <v>Grief Support Group|2026-01-24|Chaplain|2.00</v>
      </c>
      <c r="I287" s="1" t="n">
        <f aca="false">COUNTIF($H$5:$H$1624,H287)</f>
        <v>1</v>
      </c>
      <c r="J287" s="1" t="n">
        <f aca="false">COUNTIF($H$5:H287,H287)</f>
        <v>1</v>
      </c>
      <c r="K287" s="1" t="n">
        <f aca="false">COUNTIFS($H$5:$H$1624,H287,$B$5:$B$1624,"&lt;&gt;"&amp;B287)</f>
        <v>0</v>
      </c>
      <c r="L287" s="1" t="str">
        <f aca="false">IF(I287&gt;1,IF(K287&gt;0,"Cross-hospital match","Same-hospital match"),"")</f>
        <v/>
      </c>
      <c r="M287" s="52"/>
      <c r="N287" s="52"/>
      <c r="O287" s="1" t="n">
        <f aca="false">IF(M287="Exclude (duplicate)",0,1)</f>
        <v>1</v>
      </c>
      <c r="P287" s="1" t="str">
        <f aca="false">IF(AND(L287&lt;&gt;"",M287=""),"Needs decision","")</f>
        <v/>
      </c>
    </row>
    <row r="288" customFormat="false" ht="15" hidden="false" customHeight="false" outlineLevel="0" collapsed="false">
      <c r="A288" s="48" t="str">
        <f aca="false">COST!A288</f>
        <v>KVMC-0284</v>
      </c>
      <c r="B288" s="48" t="str">
        <f aca="false">COST!B288</f>
        <v>KVMC</v>
      </c>
      <c r="C288" s="48" t="str">
        <f aca="false">COST!D288</f>
        <v>Grief Support Group</v>
      </c>
      <c r="D288" s="62" t="n">
        <f aca="false">COST!M288</f>
        <v>46046</v>
      </c>
      <c r="E288" s="48" t="str">
        <f aca="false">COST!P288</f>
        <v>Social Worker</v>
      </c>
      <c r="F288" s="63" t="n">
        <f aca="false">COST!R288</f>
        <v>2</v>
      </c>
      <c r="G288" s="48" t="str">
        <f aca="false">STACK!M288</f>
        <v/>
      </c>
      <c r="H288" s="1" t="str">
        <f aca="false">C288&amp;"|"&amp;IF(ISNUMBER(D288),TEXT(D288,"yyyy-mm-dd"),"no date")&amp;"|"&amp;E288&amp;"|"&amp;IF(ISNUMBER(F288),TEXT(F288,"0.00"),"blank")</f>
        <v>Grief Support Group|2026-01-24|Social Worker|2.00</v>
      </c>
      <c r="I288" s="1" t="n">
        <f aca="false">COUNTIF($H$5:$H$1624,H288)</f>
        <v>1</v>
      </c>
      <c r="J288" s="1" t="n">
        <f aca="false">COUNTIF($H$5:H288,H288)</f>
        <v>1</v>
      </c>
      <c r="K288" s="1" t="n">
        <f aca="false">COUNTIFS($H$5:$H$1624,H288,$B$5:$B$1624,"&lt;&gt;"&amp;B288)</f>
        <v>0</v>
      </c>
      <c r="L288" s="1" t="str">
        <f aca="false">IF(I288&gt;1,IF(K288&gt;0,"Cross-hospital match","Same-hospital match"),"")</f>
        <v/>
      </c>
      <c r="M288" s="52"/>
      <c r="N288" s="52"/>
      <c r="O288" s="1" t="n">
        <f aca="false">IF(M288="Exclude (duplicate)",0,1)</f>
        <v>1</v>
      </c>
      <c r="P288" s="1" t="str">
        <f aca="false">IF(AND(L288&lt;&gt;"",M288=""),"Needs decision","")</f>
        <v/>
      </c>
    </row>
    <row r="289" customFormat="false" ht="15" hidden="false" customHeight="false" outlineLevel="0" collapsed="false">
      <c r="A289" s="48" t="str">
        <f aca="false">COST!A289</f>
        <v>KVMC-0285</v>
      </c>
      <c r="B289" s="48" t="str">
        <f aca="false">COST!B289</f>
        <v>KVMC</v>
      </c>
      <c r="C289" s="48" t="str">
        <f aca="false">COST!D289</f>
        <v>Regional Health Coalition</v>
      </c>
      <c r="D289" s="62" t="n">
        <f aca="false">COST!M289</f>
        <v>46046</v>
      </c>
      <c r="E289" s="48" t="str">
        <f aca="false">COST!P289</f>
        <v>Community Benefit Manager</v>
      </c>
      <c r="F289" s="63" t="n">
        <f aca="false">COST!R289</f>
        <v>2.5</v>
      </c>
      <c r="G289" s="48" t="str">
        <f aca="false">STACK!M289</f>
        <v/>
      </c>
      <c r="H289" s="1" t="str">
        <f aca="false">C289&amp;"|"&amp;IF(ISNUMBER(D289),TEXT(D289,"yyyy-mm-dd"),"no date")&amp;"|"&amp;E289&amp;"|"&amp;IF(ISNUMBER(F289),TEXT(F289,"0.00"),"blank")</f>
        <v>Regional Health Coalition|2026-01-24|Community Benefit Manager|2.50</v>
      </c>
      <c r="I289" s="1" t="n">
        <f aca="false">COUNTIF($H$5:$H$1624,H289)</f>
        <v>1</v>
      </c>
      <c r="J289" s="1" t="n">
        <f aca="false">COUNTIF($H$5:H289,H289)</f>
        <v>1</v>
      </c>
      <c r="K289" s="1" t="n">
        <f aca="false">COUNTIFS($H$5:$H$1624,H289,$B$5:$B$1624,"&lt;&gt;"&amp;B289)</f>
        <v>0</v>
      </c>
      <c r="L289" s="1" t="str">
        <f aca="false">IF(I289&gt;1,IF(K289&gt;0,"Cross-hospital match","Same-hospital match"),"")</f>
        <v/>
      </c>
      <c r="M289" s="52"/>
      <c r="N289" s="52"/>
      <c r="O289" s="1" t="n">
        <f aca="false">IF(M289="Exclude (duplicate)",0,1)</f>
        <v>1</v>
      </c>
      <c r="P289" s="1" t="str">
        <f aca="false">IF(AND(L289&lt;&gt;"",M289=""),"Needs decision","")</f>
        <v/>
      </c>
    </row>
    <row r="290" customFormat="false" ht="15" hidden="false" customHeight="false" outlineLevel="0" collapsed="false">
      <c r="A290" s="48" t="str">
        <f aca="false">COST!A290</f>
        <v>KVMC-0286</v>
      </c>
      <c r="B290" s="48" t="str">
        <f aca="false">COST!B290</f>
        <v>KVMC</v>
      </c>
      <c r="C290" s="48" t="str">
        <f aca="false">COST!D290</f>
        <v>Regional Health Coalition</v>
      </c>
      <c r="D290" s="62" t="n">
        <f aca="false">COST!M290</f>
        <v>46046</v>
      </c>
      <c r="E290" s="48" t="str">
        <f aca="false">COST!P290</f>
        <v>Director</v>
      </c>
      <c r="F290" s="63" t="n">
        <f aca="false">COST!R290</f>
        <v>2.5</v>
      </c>
      <c r="G290" s="48" t="str">
        <f aca="false">STACK!M290</f>
        <v/>
      </c>
      <c r="H290" s="1" t="str">
        <f aca="false">C290&amp;"|"&amp;IF(ISNUMBER(D290),TEXT(D290,"yyyy-mm-dd"),"no date")&amp;"|"&amp;E290&amp;"|"&amp;IF(ISNUMBER(F290),TEXT(F290,"0.00"),"blank")</f>
        <v>Regional Health Coalition|2026-01-24|Director|2.50</v>
      </c>
      <c r="I290" s="1" t="n">
        <f aca="false">COUNTIF($H$5:$H$1624,H290)</f>
        <v>1</v>
      </c>
      <c r="J290" s="1" t="n">
        <f aca="false">COUNTIF($H$5:H290,H290)</f>
        <v>1</v>
      </c>
      <c r="K290" s="1" t="n">
        <f aca="false">COUNTIFS($H$5:$H$1624,H290,$B$5:$B$1624,"&lt;&gt;"&amp;B290)</f>
        <v>0</v>
      </c>
      <c r="L290" s="1" t="str">
        <f aca="false">IF(I290&gt;1,IF(K290&gt;0,"Cross-hospital match","Same-hospital match"),"")</f>
        <v/>
      </c>
      <c r="M290" s="52"/>
      <c r="N290" s="52"/>
      <c r="O290" s="1" t="n">
        <f aca="false">IF(M290="Exclude (duplicate)",0,1)</f>
        <v>1</v>
      </c>
      <c r="P290" s="1" t="str">
        <f aca="false">IF(AND(L290&lt;&gt;"",M290=""),"Needs decision","")</f>
        <v/>
      </c>
    </row>
    <row r="291" customFormat="false" ht="15" hidden="false" customHeight="false" outlineLevel="0" collapsed="false">
      <c r="A291" s="48" t="str">
        <f aca="false">COST!A291</f>
        <v>KVMC-0287</v>
      </c>
      <c r="B291" s="48" t="str">
        <f aca="false">COST!B291</f>
        <v>KVMC</v>
      </c>
      <c r="C291" s="48" t="str">
        <f aca="false">COST!D291</f>
        <v>Mobile Health Screening Unit</v>
      </c>
      <c r="D291" s="62" t="n">
        <f aca="false">COST!M291</f>
        <v>46053</v>
      </c>
      <c r="E291" s="48" t="str">
        <f aca="false">COST!P291</f>
        <v>Community Health Worker</v>
      </c>
      <c r="F291" s="63" t="n">
        <f aca="false">COST!R291</f>
        <v>92.75</v>
      </c>
      <c r="G291" s="48" t="str">
        <f aca="false">STACK!M291</f>
        <v/>
      </c>
      <c r="H291" s="1" t="str">
        <f aca="false">C291&amp;"|"&amp;IF(ISNUMBER(D291),TEXT(D291,"yyyy-mm-dd"),"no date")&amp;"|"&amp;E291&amp;"|"&amp;IF(ISNUMBER(F291),TEXT(F291,"0.00"),"blank")</f>
        <v>Mobile Health Screening Unit|2026-01-31|Community Health Worker|92.75</v>
      </c>
      <c r="I291" s="1" t="n">
        <f aca="false">COUNTIF($H$5:$H$1624,H291)</f>
        <v>1</v>
      </c>
      <c r="J291" s="1" t="n">
        <f aca="false">COUNTIF($H$5:H291,H291)</f>
        <v>1</v>
      </c>
      <c r="K291" s="1" t="n">
        <f aca="false">COUNTIFS($H$5:$H$1624,H291,$B$5:$B$1624,"&lt;&gt;"&amp;B291)</f>
        <v>0</v>
      </c>
      <c r="L291" s="1" t="str">
        <f aca="false">IF(I291&gt;1,IF(K291&gt;0,"Cross-hospital match","Same-hospital match"),"")</f>
        <v/>
      </c>
      <c r="M291" s="52"/>
      <c r="N291" s="52"/>
      <c r="O291" s="1" t="n">
        <f aca="false">IF(M291="Exclude (duplicate)",0,1)</f>
        <v>1</v>
      </c>
      <c r="P291" s="1" t="str">
        <f aca="false">IF(AND(L291&lt;&gt;"",M291=""),"Needs decision","")</f>
        <v/>
      </c>
    </row>
    <row r="292" customFormat="false" ht="15" hidden="false" customHeight="false" outlineLevel="0" collapsed="false">
      <c r="A292" s="48" t="str">
        <f aca="false">COST!A292</f>
        <v>KVMC-0288</v>
      </c>
      <c r="B292" s="48" t="str">
        <f aca="false">COST!B292</f>
        <v>KVMC</v>
      </c>
      <c r="C292" s="48" t="str">
        <f aca="false">COST!D292</f>
        <v>Mobile Health Screening Unit</v>
      </c>
      <c r="D292" s="62" t="n">
        <f aca="false">COST!M292</f>
        <v>46053</v>
      </c>
      <c r="E292" s="48" t="str">
        <f aca="false">COST!P292</f>
        <v>Medical Assistant</v>
      </c>
      <c r="F292" s="63" t="n">
        <f aca="false">COST!R292</f>
        <v>97</v>
      </c>
      <c r="G292" s="48" t="str">
        <f aca="false">STACK!M292</f>
        <v/>
      </c>
      <c r="H292" s="1" t="str">
        <f aca="false">C292&amp;"|"&amp;IF(ISNUMBER(D292),TEXT(D292,"yyyy-mm-dd"),"no date")&amp;"|"&amp;E292&amp;"|"&amp;IF(ISNUMBER(F292),TEXT(F292,"0.00"),"blank")</f>
        <v>Mobile Health Screening Unit|2026-01-31|Medical Assistant|97.00</v>
      </c>
      <c r="I292" s="1" t="n">
        <f aca="false">COUNTIF($H$5:$H$1624,H292)</f>
        <v>1</v>
      </c>
      <c r="J292" s="1" t="n">
        <f aca="false">COUNTIF($H$5:H292,H292)</f>
        <v>1</v>
      </c>
      <c r="K292" s="1" t="n">
        <f aca="false">COUNTIFS($H$5:$H$1624,H292,$B$5:$B$1624,"&lt;&gt;"&amp;B292)</f>
        <v>0</v>
      </c>
      <c r="L292" s="1" t="str">
        <f aca="false">IF(I292&gt;1,IF(K292&gt;0,"Cross-hospital match","Same-hospital match"),"")</f>
        <v/>
      </c>
      <c r="M292" s="52"/>
      <c r="N292" s="52"/>
      <c r="O292" s="1" t="n">
        <f aca="false">IF(M292="Exclude (duplicate)",0,1)</f>
        <v>1</v>
      </c>
      <c r="P292" s="1" t="str">
        <f aca="false">IF(AND(L292&lt;&gt;"",M292=""),"Needs decision","")</f>
        <v/>
      </c>
    </row>
    <row r="293" customFormat="false" ht="15" hidden="false" customHeight="false" outlineLevel="0" collapsed="false">
      <c r="A293" s="48" t="str">
        <f aca="false">COST!A293</f>
        <v>KVMC-0289</v>
      </c>
      <c r="B293" s="48" t="str">
        <f aca="false">COST!B293</f>
        <v>KVMC</v>
      </c>
      <c r="C293" s="48" t="str">
        <f aca="false">COST!D293</f>
        <v>Mobile Health Screening Unit</v>
      </c>
      <c r="D293" s="62" t="n">
        <f aca="false">COST!M293</f>
        <v>46053</v>
      </c>
      <c r="E293" s="48" t="str">
        <f aca="false">COST!P293</f>
        <v>Registered Nurse</v>
      </c>
      <c r="F293" s="63" t="n">
        <f aca="false">COST!R293</f>
        <v>120.5</v>
      </c>
      <c r="G293" s="48" t="str">
        <f aca="false">STACK!M293</f>
        <v/>
      </c>
      <c r="H293" s="1" t="str">
        <f aca="false">C293&amp;"|"&amp;IF(ISNUMBER(D293),TEXT(D293,"yyyy-mm-dd"),"no date")&amp;"|"&amp;E293&amp;"|"&amp;IF(ISNUMBER(F293),TEXT(F293,"0.00"),"blank")</f>
        <v>Mobile Health Screening Unit|2026-01-31|Registered Nurse|120.50</v>
      </c>
      <c r="I293" s="1" t="n">
        <f aca="false">COUNTIF($H$5:$H$1624,H293)</f>
        <v>1</v>
      </c>
      <c r="J293" s="1" t="n">
        <f aca="false">COUNTIF($H$5:H293,H293)</f>
        <v>1</v>
      </c>
      <c r="K293" s="1" t="n">
        <f aca="false">COUNTIFS($H$5:$H$1624,H293,$B$5:$B$1624,"&lt;&gt;"&amp;B293)</f>
        <v>0</v>
      </c>
      <c r="L293" s="1" t="str">
        <f aca="false">IF(I293&gt;1,IF(K293&gt;0,"Cross-hospital match","Same-hospital match"),"")</f>
        <v/>
      </c>
      <c r="M293" s="52"/>
      <c r="N293" s="52"/>
      <c r="O293" s="1" t="n">
        <f aca="false">IF(M293="Exclude (duplicate)",0,1)</f>
        <v>1</v>
      </c>
      <c r="P293" s="1" t="str">
        <f aca="false">IF(AND(L293&lt;&gt;"",M293=""),"Needs decision","")</f>
        <v/>
      </c>
    </row>
    <row r="294" customFormat="false" ht="15" hidden="false" customHeight="false" outlineLevel="0" collapsed="false">
      <c r="A294" s="48" t="str">
        <f aca="false">COST!A294</f>
        <v>KVMC-0290</v>
      </c>
      <c r="B294" s="48" t="str">
        <f aca="false">COST!B294</f>
        <v>KVMC</v>
      </c>
      <c r="C294" s="48" t="str">
        <f aca="false">COST!D294</f>
        <v>Free Clinic Provider Staffing</v>
      </c>
      <c r="D294" s="62" t="n">
        <f aca="false">COST!M294</f>
        <v>46053</v>
      </c>
      <c r="E294" s="48" t="str">
        <f aca="false">COST!P294</f>
        <v>Nurse Practitioner</v>
      </c>
      <c r="F294" s="63" t="n">
        <f aca="false">COST!R294</f>
        <v>39</v>
      </c>
      <c r="G294" s="48" t="str">
        <f aca="false">STACK!M294</f>
        <v/>
      </c>
      <c r="H294" s="1" t="str">
        <f aca="false">C294&amp;"|"&amp;IF(ISNUMBER(D294),TEXT(D294,"yyyy-mm-dd"),"no date")&amp;"|"&amp;E294&amp;"|"&amp;IF(ISNUMBER(F294),TEXT(F294,"0.00"),"blank")</f>
        <v>Free Clinic Provider Staffing|2026-01-31|Nurse Practitioner|39.00</v>
      </c>
      <c r="I294" s="1" t="n">
        <f aca="false">COUNTIF($H$5:$H$1624,H294)</f>
        <v>1</v>
      </c>
      <c r="J294" s="1" t="n">
        <f aca="false">COUNTIF($H$5:H294,H294)</f>
        <v>1</v>
      </c>
      <c r="K294" s="1" t="n">
        <f aca="false">COUNTIFS($H$5:$H$1624,H294,$B$5:$B$1624,"&lt;&gt;"&amp;B294)</f>
        <v>0</v>
      </c>
      <c r="L294" s="1" t="str">
        <f aca="false">IF(I294&gt;1,IF(K294&gt;0,"Cross-hospital match","Same-hospital match"),"")</f>
        <v/>
      </c>
      <c r="M294" s="52"/>
      <c r="N294" s="52"/>
      <c r="O294" s="1" t="n">
        <f aca="false">IF(M294="Exclude (duplicate)",0,1)</f>
        <v>1</v>
      </c>
      <c r="P294" s="1" t="str">
        <f aca="false">IF(AND(L294&lt;&gt;"",M294=""),"Needs decision","")</f>
        <v/>
      </c>
    </row>
    <row r="295" customFormat="false" ht="15" hidden="false" customHeight="false" outlineLevel="0" collapsed="false">
      <c r="A295" s="48" t="str">
        <f aca="false">COST!A295</f>
        <v>KVMC-0291</v>
      </c>
      <c r="B295" s="48" t="str">
        <f aca="false">COST!B295</f>
        <v>KVMC</v>
      </c>
      <c r="C295" s="48" t="str">
        <f aca="false">COST!D295</f>
        <v>Free Clinic Provider Staffing</v>
      </c>
      <c r="D295" s="62" t="n">
        <f aca="false">COST!M295</f>
        <v>46053</v>
      </c>
      <c r="E295" s="48" t="str">
        <f aca="false">COST!P295</f>
        <v>Pharmacist</v>
      </c>
      <c r="F295" s="63" t="n">
        <f aca="false">COST!R295</f>
        <v>19.5</v>
      </c>
      <c r="G295" s="48" t="str">
        <f aca="false">STACK!M295</f>
        <v/>
      </c>
      <c r="H295" s="1" t="str">
        <f aca="false">C295&amp;"|"&amp;IF(ISNUMBER(D295),TEXT(D295,"yyyy-mm-dd"),"no date")&amp;"|"&amp;E295&amp;"|"&amp;IF(ISNUMBER(F295),TEXT(F295,"0.00"),"blank")</f>
        <v>Free Clinic Provider Staffing|2026-01-31|Pharmacist|19.50</v>
      </c>
      <c r="I295" s="1" t="n">
        <f aca="false">COUNTIF($H$5:$H$1624,H295)</f>
        <v>1</v>
      </c>
      <c r="J295" s="1" t="n">
        <f aca="false">COUNTIF($H$5:H295,H295)</f>
        <v>1</v>
      </c>
      <c r="K295" s="1" t="n">
        <f aca="false">COUNTIFS($H$5:$H$1624,H295,$B$5:$B$1624,"&lt;&gt;"&amp;B295)</f>
        <v>0</v>
      </c>
      <c r="L295" s="1" t="str">
        <f aca="false">IF(I295&gt;1,IF(K295&gt;0,"Cross-hospital match","Same-hospital match"),"")</f>
        <v/>
      </c>
      <c r="M295" s="52"/>
      <c r="N295" s="52"/>
      <c r="O295" s="1" t="n">
        <f aca="false">IF(M295="Exclude (duplicate)",0,1)</f>
        <v>1</v>
      </c>
      <c r="P295" s="1" t="str">
        <f aca="false">IF(AND(L295&lt;&gt;"",M295=""),"Needs decision","")</f>
        <v/>
      </c>
    </row>
    <row r="296" customFormat="false" ht="15" hidden="false" customHeight="false" outlineLevel="0" collapsed="false">
      <c r="A296" s="48" t="str">
        <f aca="false">COST!A296</f>
        <v>KVMC-0292</v>
      </c>
      <c r="B296" s="48" t="str">
        <f aca="false">COST!B296</f>
        <v>KVMC</v>
      </c>
      <c r="C296" s="48" t="str">
        <f aca="false">COST!D296</f>
        <v>Free Clinic Provider Staffing</v>
      </c>
      <c r="D296" s="62" t="n">
        <f aca="false">COST!M296</f>
        <v>46053</v>
      </c>
      <c r="E296" s="48" t="str">
        <f aca="false">COST!P296</f>
        <v>Registered Nurse</v>
      </c>
      <c r="F296" s="63" t="n">
        <f aca="false">COST!R296</f>
        <v>59</v>
      </c>
      <c r="G296" s="48" t="str">
        <f aca="false">STACK!M296</f>
        <v/>
      </c>
      <c r="H296" s="1" t="str">
        <f aca="false">C296&amp;"|"&amp;IF(ISNUMBER(D296),TEXT(D296,"yyyy-mm-dd"),"no date")&amp;"|"&amp;E296&amp;"|"&amp;IF(ISNUMBER(F296),TEXT(F296,"0.00"),"blank")</f>
        <v>Free Clinic Provider Staffing|2026-01-31|Registered Nurse|59.00</v>
      </c>
      <c r="I296" s="1" t="n">
        <f aca="false">COUNTIF($H$5:$H$1624,H296)</f>
        <v>1</v>
      </c>
      <c r="J296" s="1" t="n">
        <f aca="false">COUNTIF($H$5:H296,H296)</f>
        <v>1</v>
      </c>
      <c r="K296" s="1" t="n">
        <f aca="false">COUNTIFS($H$5:$H$1624,H296,$B$5:$B$1624,"&lt;&gt;"&amp;B296)</f>
        <v>0</v>
      </c>
      <c r="L296" s="1" t="str">
        <f aca="false">IF(I296&gt;1,IF(K296&gt;0,"Cross-hospital match","Same-hospital match"),"")</f>
        <v/>
      </c>
      <c r="M296" s="52"/>
      <c r="N296" s="52"/>
      <c r="O296" s="1" t="n">
        <f aca="false">IF(M296="Exclude (duplicate)",0,1)</f>
        <v>1</v>
      </c>
      <c r="P296" s="1" t="str">
        <f aca="false">IF(AND(L296&lt;&gt;"",M296=""),"Needs decision","")</f>
        <v/>
      </c>
    </row>
    <row r="297" customFormat="false" ht="15" hidden="false" customHeight="false" outlineLevel="0" collapsed="false">
      <c r="A297" s="48" t="str">
        <f aca="false">COST!A297</f>
        <v>KVMC-0293</v>
      </c>
      <c r="B297" s="48" t="str">
        <f aca="false">COST!B297</f>
        <v>KVMC</v>
      </c>
      <c r="C297" s="48" t="str">
        <f aca="false">COST!D297</f>
        <v>Community Health Worker Outreach</v>
      </c>
      <c r="D297" s="62" t="n">
        <f aca="false">COST!M297</f>
        <v>46053</v>
      </c>
      <c r="E297" s="48" t="str">
        <f aca="false">COST!P297</f>
        <v>Community Health Worker</v>
      </c>
      <c r="F297" s="63" t="n">
        <f aca="false">COST!R297</f>
        <v>370.75</v>
      </c>
      <c r="G297" s="48" t="str">
        <f aca="false">STACK!M297</f>
        <v/>
      </c>
      <c r="H297" s="1" t="str">
        <f aca="false">C297&amp;"|"&amp;IF(ISNUMBER(D297),TEXT(D297,"yyyy-mm-dd"),"no date")&amp;"|"&amp;E297&amp;"|"&amp;IF(ISNUMBER(F297),TEXT(F297,"0.00"),"blank")</f>
        <v>Community Health Worker Outreach|2026-01-31|Community Health Worker|370.75</v>
      </c>
      <c r="I297" s="1" t="n">
        <f aca="false">COUNTIF($H$5:$H$1624,H297)</f>
        <v>1</v>
      </c>
      <c r="J297" s="1" t="n">
        <f aca="false">COUNTIF($H$5:H297,H297)</f>
        <v>1</v>
      </c>
      <c r="K297" s="1" t="n">
        <f aca="false">COUNTIFS($H$5:$H$1624,H297,$B$5:$B$1624,"&lt;&gt;"&amp;B297)</f>
        <v>0</v>
      </c>
      <c r="L297" s="1" t="str">
        <f aca="false">IF(I297&gt;1,IF(K297&gt;0,"Cross-hospital match","Same-hospital match"),"")</f>
        <v/>
      </c>
      <c r="M297" s="52"/>
      <c r="N297" s="52"/>
      <c r="O297" s="1" t="n">
        <f aca="false">IF(M297="Exclude (duplicate)",0,1)</f>
        <v>1</v>
      </c>
      <c r="P297" s="1" t="str">
        <f aca="false">IF(AND(L297&lt;&gt;"",M297=""),"Needs decision","")</f>
        <v/>
      </c>
    </row>
    <row r="298" customFormat="false" ht="15" hidden="false" customHeight="false" outlineLevel="0" collapsed="false">
      <c r="A298" s="48" t="str">
        <f aca="false">COST!A298</f>
        <v>KVMC-0294</v>
      </c>
      <c r="B298" s="48" t="str">
        <f aca="false">COST!B298</f>
        <v>KVMC</v>
      </c>
      <c r="C298" s="48" t="str">
        <f aca="false">COST!D298</f>
        <v>Community Health Worker Outreach</v>
      </c>
      <c r="D298" s="62" t="n">
        <f aca="false">COST!M298</f>
        <v>46053</v>
      </c>
      <c r="E298" s="48" t="str">
        <f aca="false">COST!P298</f>
        <v>Patient Navigator</v>
      </c>
      <c r="F298" s="63" t="n">
        <f aca="false">COST!R298</f>
        <v>144.5</v>
      </c>
      <c r="G298" s="48" t="str">
        <f aca="false">STACK!M298</f>
        <v/>
      </c>
      <c r="H298" s="1" t="str">
        <f aca="false">C298&amp;"|"&amp;IF(ISNUMBER(D298),TEXT(D298,"yyyy-mm-dd"),"no date")&amp;"|"&amp;E298&amp;"|"&amp;IF(ISNUMBER(F298),TEXT(F298,"0.00"),"blank")</f>
        <v>Community Health Worker Outreach|2026-01-31|Patient Navigator|144.50</v>
      </c>
      <c r="I298" s="1" t="n">
        <f aca="false">COUNTIF($H$5:$H$1624,H298)</f>
        <v>1</v>
      </c>
      <c r="J298" s="1" t="n">
        <f aca="false">COUNTIF($H$5:H298,H298)</f>
        <v>1</v>
      </c>
      <c r="K298" s="1" t="n">
        <f aca="false">COUNTIFS($H$5:$H$1624,H298,$B$5:$B$1624,"&lt;&gt;"&amp;B298)</f>
        <v>0</v>
      </c>
      <c r="L298" s="1" t="str">
        <f aca="false">IF(I298&gt;1,IF(K298&gt;0,"Cross-hospital match","Same-hospital match"),"")</f>
        <v/>
      </c>
      <c r="M298" s="52"/>
      <c r="N298" s="52"/>
      <c r="O298" s="1" t="n">
        <f aca="false">IF(M298="Exclude (duplicate)",0,1)</f>
        <v>1</v>
      </c>
      <c r="P298" s="1" t="str">
        <f aca="false">IF(AND(L298&lt;&gt;"",M298=""),"Needs decision","")</f>
        <v/>
      </c>
    </row>
    <row r="299" customFormat="false" ht="15" hidden="false" customHeight="false" outlineLevel="0" collapsed="false">
      <c r="A299" s="48" t="str">
        <f aca="false">COST!A299</f>
        <v>KVMC-0295</v>
      </c>
      <c r="B299" s="48" t="str">
        <f aca="false">COST!B299</f>
        <v>KVMC</v>
      </c>
      <c r="C299" s="48" t="str">
        <f aca="false">COST!D299</f>
        <v>Medication Assistance Program</v>
      </c>
      <c r="D299" s="62" t="n">
        <f aca="false">COST!M299</f>
        <v>46053</v>
      </c>
      <c r="E299" s="48" t="str">
        <f aca="false">COST!P299</f>
        <v>Patient Navigator</v>
      </c>
      <c r="F299" s="63" t="n">
        <f aca="false">COST!R299</f>
        <v>103.75</v>
      </c>
      <c r="G299" s="48" t="str">
        <f aca="false">STACK!M299</f>
        <v/>
      </c>
      <c r="H299" s="1" t="str">
        <f aca="false">C299&amp;"|"&amp;IF(ISNUMBER(D299),TEXT(D299,"yyyy-mm-dd"),"no date")&amp;"|"&amp;E299&amp;"|"&amp;IF(ISNUMBER(F299),TEXT(F299,"0.00"),"blank")</f>
        <v>Medication Assistance Program|2026-01-31|Patient Navigator|103.75</v>
      </c>
      <c r="I299" s="1" t="n">
        <f aca="false">COUNTIF($H$5:$H$1624,H299)</f>
        <v>1</v>
      </c>
      <c r="J299" s="1" t="n">
        <f aca="false">COUNTIF($H$5:H299,H299)</f>
        <v>1</v>
      </c>
      <c r="K299" s="1" t="n">
        <f aca="false">COUNTIFS($H$5:$H$1624,H299,$B$5:$B$1624,"&lt;&gt;"&amp;B299)</f>
        <v>0</v>
      </c>
      <c r="L299" s="1" t="str">
        <f aca="false">IF(I299&gt;1,IF(K299&gt;0,"Cross-hospital match","Same-hospital match"),"")</f>
        <v/>
      </c>
      <c r="M299" s="52"/>
      <c r="N299" s="52"/>
      <c r="O299" s="1" t="n">
        <f aca="false">IF(M299="Exclude (duplicate)",0,1)</f>
        <v>1</v>
      </c>
      <c r="P299" s="1" t="str">
        <f aca="false">IF(AND(L299&lt;&gt;"",M299=""),"Needs decision","")</f>
        <v/>
      </c>
    </row>
    <row r="300" customFormat="false" ht="15" hidden="false" customHeight="false" outlineLevel="0" collapsed="false">
      <c r="A300" s="48" t="str">
        <f aca="false">COST!A300</f>
        <v>KVMC-0296</v>
      </c>
      <c r="B300" s="48" t="str">
        <f aca="false">COST!B300</f>
        <v>KVMC</v>
      </c>
      <c r="C300" s="48" t="str">
        <f aca="false">COST!D300</f>
        <v>Medication Assistance Program</v>
      </c>
      <c r="D300" s="62" t="n">
        <f aca="false">COST!M300</f>
        <v>46053</v>
      </c>
      <c r="E300" s="48" t="str">
        <f aca="false">COST!P300</f>
        <v>Pharmacist</v>
      </c>
      <c r="F300" s="63" t="n">
        <f aca="false">COST!R300</f>
        <v>20.5</v>
      </c>
      <c r="G300" s="48" t="str">
        <f aca="false">STACK!M300</f>
        <v/>
      </c>
      <c r="H300" s="1" t="str">
        <f aca="false">C300&amp;"|"&amp;IF(ISNUMBER(D300),TEXT(D300,"yyyy-mm-dd"),"no date")&amp;"|"&amp;E300&amp;"|"&amp;IF(ISNUMBER(F300),TEXT(F300,"0.00"),"blank")</f>
        <v>Medication Assistance Program|2026-01-31|Pharmacist|20.50</v>
      </c>
      <c r="I300" s="1" t="n">
        <f aca="false">COUNTIF($H$5:$H$1624,H300)</f>
        <v>1</v>
      </c>
      <c r="J300" s="1" t="n">
        <f aca="false">COUNTIF($H$5:H300,H300)</f>
        <v>1</v>
      </c>
      <c r="K300" s="1" t="n">
        <f aca="false">COUNTIFS($H$5:$H$1624,H300,$B$5:$B$1624,"&lt;&gt;"&amp;B300)</f>
        <v>0</v>
      </c>
      <c r="L300" s="1" t="str">
        <f aca="false">IF(I300&gt;1,IF(K300&gt;0,"Cross-hospital match","Same-hospital match"),"")</f>
        <v/>
      </c>
      <c r="M300" s="52"/>
      <c r="N300" s="52"/>
      <c r="O300" s="1" t="n">
        <f aca="false">IF(M300="Exclude (duplicate)",0,1)</f>
        <v>1</v>
      </c>
      <c r="P300" s="1" t="str">
        <f aca="false">IF(AND(L300&lt;&gt;"",M300=""),"Needs decision","")</f>
        <v/>
      </c>
    </row>
    <row r="301" customFormat="false" ht="15" hidden="false" customHeight="false" outlineLevel="0" collapsed="false">
      <c r="A301" s="48" t="str">
        <f aca="false">COST!A301</f>
        <v>KVMC-0297</v>
      </c>
      <c r="B301" s="48" t="str">
        <f aca="false">COST!B301</f>
        <v>KVMC</v>
      </c>
      <c r="C301" s="48" t="str">
        <f aca="false">COST!D301</f>
        <v>Community Health Needs Assessment</v>
      </c>
      <c r="D301" s="62" t="n">
        <f aca="false">COST!M301</f>
        <v>46053</v>
      </c>
      <c r="E301" s="48" t="str">
        <f aca="false">COST!P301</f>
        <v>Community Benefit Manager</v>
      </c>
      <c r="F301" s="63" t="n">
        <f aca="false">COST!R301</f>
        <v>121.25</v>
      </c>
      <c r="G301" s="48" t="str">
        <f aca="false">STACK!M301</f>
        <v/>
      </c>
      <c r="H301" s="1" t="str">
        <f aca="false">C301&amp;"|"&amp;IF(ISNUMBER(D301),TEXT(D301,"yyyy-mm-dd"),"no date")&amp;"|"&amp;E301&amp;"|"&amp;IF(ISNUMBER(F301),TEXT(F301,"0.00"),"blank")</f>
        <v>Community Health Needs Assessment|2026-01-31|Community Benefit Manager|121.25</v>
      </c>
      <c r="I301" s="1" t="n">
        <f aca="false">COUNTIF($H$5:$H$1624,H301)</f>
        <v>1</v>
      </c>
      <c r="J301" s="1" t="n">
        <f aca="false">COUNTIF($H$5:H301,H301)</f>
        <v>1</v>
      </c>
      <c r="K301" s="1" t="n">
        <f aca="false">COUNTIFS($H$5:$H$1624,H301,$B$5:$B$1624,"&lt;&gt;"&amp;B301)</f>
        <v>0</v>
      </c>
      <c r="L301" s="1" t="str">
        <f aca="false">IF(I301&gt;1,IF(K301&gt;0,"Cross-hospital match","Same-hospital match"),"")</f>
        <v/>
      </c>
      <c r="M301" s="52"/>
      <c r="N301" s="52"/>
      <c r="O301" s="1" t="n">
        <f aca="false">IF(M301="Exclude (duplicate)",0,1)</f>
        <v>1</v>
      </c>
      <c r="P301" s="1" t="str">
        <f aca="false">IF(AND(L301&lt;&gt;"",M301=""),"Needs decision","")</f>
        <v/>
      </c>
    </row>
    <row r="302" customFormat="false" ht="15" hidden="false" customHeight="false" outlineLevel="0" collapsed="false">
      <c r="A302" s="48" t="str">
        <f aca="false">COST!A302</f>
        <v>KVMC-0298</v>
      </c>
      <c r="B302" s="48" t="str">
        <f aca="false">COST!B302</f>
        <v>KVMC</v>
      </c>
      <c r="C302" s="48" t="str">
        <f aca="false">COST!D302</f>
        <v>Community Health Needs Assessment</v>
      </c>
      <c r="D302" s="62" t="n">
        <f aca="false">COST!M302</f>
        <v>46053</v>
      </c>
      <c r="E302" s="48" t="str">
        <f aca="false">COST!P302</f>
        <v>Data Analyst</v>
      </c>
      <c r="F302" s="63" t="n">
        <f aca="false">COST!R302</f>
        <v>63.75</v>
      </c>
      <c r="G302" s="48" t="str">
        <f aca="false">STACK!M302</f>
        <v/>
      </c>
      <c r="H302" s="1" t="str">
        <f aca="false">C302&amp;"|"&amp;IF(ISNUMBER(D302),TEXT(D302,"yyyy-mm-dd"),"no date")&amp;"|"&amp;E302&amp;"|"&amp;IF(ISNUMBER(F302),TEXT(F302,"0.00"),"blank")</f>
        <v>Community Health Needs Assessment|2026-01-31|Data Analyst|63.75</v>
      </c>
      <c r="I302" s="1" t="n">
        <f aca="false">COUNTIF($H$5:$H$1624,H302)</f>
        <v>1</v>
      </c>
      <c r="J302" s="1" t="n">
        <f aca="false">COUNTIF($H$5:H302,H302)</f>
        <v>1</v>
      </c>
      <c r="K302" s="1" t="n">
        <f aca="false">COUNTIFS($H$5:$H$1624,H302,$B$5:$B$1624,"&lt;&gt;"&amp;B302)</f>
        <v>0</v>
      </c>
      <c r="L302" s="1" t="str">
        <f aca="false">IF(I302&gt;1,IF(K302&gt;0,"Cross-hospital match","Same-hospital match"),"")</f>
        <v/>
      </c>
      <c r="M302" s="52"/>
      <c r="N302" s="52"/>
      <c r="O302" s="1" t="n">
        <f aca="false">IF(M302="Exclude (duplicate)",0,1)</f>
        <v>1</v>
      </c>
      <c r="P302" s="1" t="str">
        <f aca="false">IF(AND(L302&lt;&gt;"",M302=""),"Needs decision","")</f>
        <v/>
      </c>
    </row>
    <row r="303" customFormat="false" ht="15" hidden="false" customHeight="false" outlineLevel="0" collapsed="false">
      <c r="A303" s="48" t="str">
        <f aca="false">COST!A303</f>
        <v>KVMC-0299</v>
      </c>
      <c r="B303" s="48" t="str">
        <f aca="false">COST!B303</f>
        <v>KVMC</v>
      </c>
      <c r="C303" s="48" t="str">
        <f aca="false">COST!D303</f>
        <v>Community Benefit Program Administration</v>
      </c>
      <c r="D303" s="62" t="n">
        <f aca="false">COST!M303</f>
        <v>46053</v>
      </c>
      <c r="E303" s="48" t="str">
        <f aca="false">COST!P303</f>
        <v>Administrative Assistant</v>
      </c>
      <c r="F303" s="63" t="n">
        <f aca="false">COST!R303</f>
        <v>37.5</v>
      </c>
      <c r="G303" s="48" t="str">
        <f aca="false">STACK!M303</f>
        <v/>
      </c>
      <c r="H303" s="1" t="str">
        <f aca="false">C303&amp;"|"&amp;IF(ISNUMBER(D303),TEXT(D303,"yyyy-mm-dd"),"no date")&amp;"|"&amp;E303&amp;"|"&amp;IF(ISNUMBER(F303),TEXT(F303,"0.00"),"blank")</f>
        <v>Community Benefit Program Administration|2026-01-31|Administrative Assistant|37.50</v>
      </c>
      <c r="I303" s="1" t="n">
        <f aca="false">COUNTIF($H$5:$H$1624,H303)</f>
        <v>1</v>
      </c>
      <c r="J303" s="1" t="n">
        <f aca="false">COUNTIF($H$5:H303,H303)</f>
        <v>1</v>
      </c>
      <c r="K303" s="1" t="n">
        <f aca="false">COUNTIFS($H$5:$H$1624,H303,$B$5:$B$1624,"&lt;&gt;"&amp;B303)</f>
        <v>0</v>
      </c>
      <c r="L303" s="1" t="str">
        <f aca="false">IF(I303&gt;1,IF(K303&gt;0,"Cross-hospital match","Same-hospital match"),"")</f>
        <v/>
      </c>
      <c r="M303" s="52"/>
      <c r="N303" s="52"/>
      <c r="O303" s="1" t="n">
        <f aca="false">IF(M303="Exclude (duplicate)",0,1)</f>
        <v>1</v>
      </c>
      <c r="P303" s="1" t="str">
        <f aca="false">IF(AND(L303&lt;&gt;"",M303=""),"Needs decision","")</f>
        <v/>
      </c>
    </row>
    <row r="304" customFormat="false" ht="15" hidden="false" customHeight="false" outlineLevel="0" collapsed="false">
      <c r="A304" s="48" t="str">
        <f aca="false">COST!A304</f>
        <v>KVMC-0300</v>
      </c>
      <c r="B304" s="48" t="str">
        <f aca="false">COST!B304</f>
        <v>KVMC</v>
      </c>
      <c r="C304" s="48" t="str">
        <f aca="false">COST!D304</f>
        <v>Community Benefit Program Administration</v>
      </c>
      <c r="D304" s="62" t="n">
        <f aca="false">COST!M304</f>
        <v>46053</v>
      </c>
      <c r="E304" s="48" t="str">
        <f aca="false">COST!P304</f>
        <v>Community Benefit Manager</v>
      </c>
      <c r="F304" s="63" t="n">
        <f aca="false">COST!R304</f>
        <v>70.75</v>
      </c>
      <c r="G304" s="48" t="str">
        <f aca="false">STACK!M304</f>
        <v/>
      </c>
      <c r="H304" s="1" t="str">
        <f aca="false">C304&amp;"|"&amp;IF(ISNUMBER(D304),TEXT(D304,"yyyy-mm-dd"),"no date")&amp;"|"&amp;E304&amp;"|"&amp;IF(ISNUMBER(F304),TEXT(F304,"0.00"),"blank")</f>
        <v>Community Benefit Program Administration|2026-01-31|Community Benefit Manager|70.75</v>
      </c>
      <c r="I304" s="1" t="n">
        <f aca="false">COUNTIF($H$5:$H$1624,H304)</f>
        <v>1</v>
      </c>
      <c r="J304" s="1" t="n">
        <f aca="false">COUNTIF($H$5:H304,H304)</f>
        <v>1</v>
      </c>
      <c r="K304" s="1" t="n">
        <f aca="false">COUNTIFS($H$5:$H$1624,H304,$B$5:$B$1624,"&lt;&gt;"&amp;B304)</f>
        <v>0</v>
      </c>
      <c r="L304" s="1" t="str">
        <f aca="false">IF(I304&gt;1,IF(K304&gt;0,"Cross-hospital match","Same-hospital match"),"")</f>
        <v/>
      </c>
      <c r="M304" s="52"/>
      <c r="N304" s="52"/>
      <c r="O304" s="1" t="n">
        <f aca="false">IF(M304="Exclude (duplicate)",0,1)</f>
        <v>1</v>
      </c>
      <c r="P304" s="1" t="str">
        <f aca="false">IF(AND(L304&lt;&gt;"",M304=""),"Needs decision","")</f>
        <v/>
      </c>
    </row>
    <row r="305" customFormat="false" ht="15" hidden="false" customHeight="false" outlineLevel="0" collapsed="false">
      <c r="A305" s="48" t="str">
        <f aca="false">COST!A305</f>
        <v>KVMC-0301</v>
      </c>
      <c r="B305" s="48" t="str">
        <f aca="false">COST!B305</f>
        <v>KVMC</v>
      </c>
      <c r="C305" s="48" t="str">
        <f aca="false">COST!D305</f>
        <v>Interpreter Services for Community Clinics</v>
      </c>
      <c r="D305" s="62" t="n">
        <f aca="false">COST!M305</f>
        <v>46053</v>
      </c>
      <c r="E305" s="48" t="str">
        <f aca="false">COST!P305</f>
        <v>Interpreter</v>
      </c>
      <c r="F305" s="63" t="n">
        <f aca="false">COST!R305</f>
        <v>66</v>
      </c>
      <c r="G305" s="48" t="str">
        <f aca="false">STACK!M305</f>
        <v/>
      </c>
      <c r="H305" s="1" t="str">
        <f aca="false">C305&amp;"|"&amp;IF(ISNUMBER(D305),TEXT(D305,"yyyy-mm-dd"),"no date")&amp;"|"&amp;E305&amp;"|"&amp;IF(ISNUMBER(F305),TEXT(F305,"0.00"),"blank")</f>
        <v>Interpreter Services for Community Clinics|2026-01-31|Interpreter|66.00</v>
      </c>
      <c r="I305" s="1" t="n">
        <f aca="false">COUNTIF($H$5:$H$1624,H305)</f>
        <v>1</v>
      </c>
      <c r="J305" s="1" t="n">
        <f aca="false">COUNTIF($H$5:H305,H305)</f>
        <v>1</v>
      </c>
      <c r="K305" s="1" t="n">
        <f aca="false">COUNTIFS($H$5:$H$1624,H305,$B$5:$B$1624,"&lt;&gt;"&amp;B305)</f>
        <v>0</v>
      </c>
      <c r="L305" s="1" t="str">
        <f aca="false">IF(I305&gt;1,IF(K305&gt;0,"Cross-hospital match","Same-hospital match"),"")</f>
        <v/>
      </c>
      <c r="M305" s="52"/>
      <c r="N305" s="52"/>
      <c r="O305" s="1" t="n">
        <f aca="false">IF(M305="Exclude (duplicate)",0,1)</f>
        <v>1</v>
      </c>
      <c r="P305" s="1" t="str">
        <f aca="false">IF(AND(L305&lt;&gt;"",M305=""),"Needs decision","")</f>
        <v/>
      </c>
    </row>
    <row r="306" customFormat="false" ht="15" hidden="false" customHeight="false" outlineLevel="0" collapsed="false">
      <c r="A306" s="48" t="str">
        <f aca="false">COST!A306</f>
        <v>KVMC-0302</v>
      </c>
      <c r="B306" s="48" t="str">
        <f aca="false">COST!B306</f>
        <v>KVMC</v>
      </c>
      <c r="C306" s="48" t="str">
        <f aca="false">COST!D306</f>
        <v>Nursing Student Clinical Rotations</v>
      </c>
      <c r="D306" s="62" t="n">
        <f aca="false">COST!M306</f>
        <v>46053</v>
      </c>
      <c r="E306" s="48" t="str">
        <f aca="false">COST!P306</f>
        <v>Clinical Nurse Educator</v>
      </c>
      <c r="F306" s="63" t="n">
        <f aca="false">COST!R306</f>
        <v>183.75</v>
      </c>
      <c r="G306" s="48" t="str">
        <f aca="false">STACK!M306</f>
        <v/>
      </c>
      <c r="H306" s="1" t="str">
        <f aca="false">C306&amp;"|"&amp;IF(ISNUMBER(D306),TEXT(D306,"yyyy-mm-dd"),"no date")&amp;"|"&amp;E306&amp;"|"&amp;IF(ISNUMBER(F306),TEXT(F306,"0.00"),"blank")</f>
        <v>Nursing Student Clinical Rotations|2026-01-31|Clinical Nurse Educator|183.75</v>
      </c>
      <c r="I306" s="1" t="n">
        <f aca="false">COUNTIF($H$5:$H$1624,H306)</f>
        <v>1</v>
      </c>
      <c r="J306" s="1" t="n">
        <f aca="false">COUNTIF($H$5:H306,H306)</f>
        <v>1</v>
      </c>
      <c r="K306" s="1" t="n">
        <f aca="false">COUNTIFS($H$5:$H$1624,H306,$B$5:$B$1624,"&lt;&gt;"&amp;B306)</f>
        <v>0</v>
      </c>
      <c r="L306" s="1" t="str">
        <f aca="false">IF(I306&gt;1,IF(K306&gt;0,"Cross-hospital match","Same-hospital match"),"")</f>
        <v/>
      </c>
      <c r="M306" s="52"/>
      <c r="N306" s="52"/>
      <c r="O306" s="1" t="n">
        <f aca="false">IF(M306="Exclude (duplicate)",0,1)</f>
        <v>1</v>
      </c>
      <c r="P306" s="1" t="str">
        <f aca="false">IF(AND(L306&lt;&gt;"",M306=""),"Needs decision","")</f>
        <v/>
      </c>
    </row>
    <row r="307" customFormat="false" ht="15" hidden="false" customHeight="false" outlineLevel="0" collapsed="false">
      <c r="A307" s="48" t="str">
        <f aca="false">COST!A307</f>
        <v>KVMC-0303</v>
      </c>
      <c r="B307" s="48" t="str">
        <f aca="false">COST!B307</f>
        <v>KVMC</v>
      </c>
      <c r="C307" s="48" t="str">
        <f aca="false">COST!D307</f>
        <v>Nursing Student Clinical Rotations</v>
      </c>
      <c r="D307" s="62" t="n">
        <f aca="false">COST!M307</f>
        <v>46053</v>
      </c>
      <c r="E307" s="48" t="str">
        <f aca="false">COST!P307</f>
        <v>Registered Nurse</v>
      </c>
      <c r="F307" s="63" t="n">
        <f aca="false">COST!R307</f>
        <v>305.5</v>
      </c>
      <c r="G307" s="48" t="str">
        <f aca="false">STACK!M307</f>
        <v/>
      </c>
      <c r="H307" s="1" t="str">
        <f aca="false">C307&amp;"|"&amp;IF(ISNUMBER(D307),TEXT(D307,"yyyy-mm-dd"),"no date")&amp;"|"&amp;E307&amp;"|"&amp;IF(ISNUMBER(F307),TEXT(F307,"0.00"),"blank")</f>
        <v>Nursing Student Clinical Rotations|2026-01-31|Registered Nurse|305.50</v>
      </c>
      <c r="I307" s="1" t="n">
        <f aca="false">COUNTIF($H$5:$H$1624,H307)</f>
        <v>1</v>
      </c>
      <c r="J307" s="1" t="n">
        <f aca="false">COUNTIF($H$5:H307,H307)</f>
        <v>1</v>
      </c>
      <c r="K307" s="1" t="n">
        <f aca="false">COUNTIFS($H$5:$H$1624,H307,$B$5:$B$1624,"&lt;&gt;"&amp;B307)</f>
        <v>0</v>
      </c>
      <c r="L307" s="1" t="str">
        <f aca="false">IF(I307&gt;1,IF(K307&gt;0,"Cross-hospital match","Same-hospital match"),"")</f>
        <v/>
      </c>
      <c r="M307" s="52"/>
      <c r="N307" s="52"/>
      <c r="O307" s="1" t="n">
        <f aca="false">IF(M307="Exclude (duplicate)",0,1)</f>
        <v>1</v>
      </c>
      <c r="P307" s="1" t="str">
        <f aca="false">IF(AND(L307&lt;&gt;"",M307=""),"Needs decision","")</f>
        <v/>
      </c>
    </row>
    <row r="308" customFormat="false" ht="15" hidden="false" customHeight="false" outlineLevel="0" collapsed="false">
      <c r="A308" s="48" t="str">
        <f aca="false">COST!A308</f>
        <v>KVMC-0304</v>
      </c>
      <c r="B308" s="48" t="str">
        <f aca="false">COST!B308</f>
        <v>KVMC</v>
      </c>
      <c r="C308" s="48" t="str">
        <f aca="false">COST!D308</f>
        <v>Family Medicine Residency Program</v>
      </c>
      <c r="D308" s="62" t="n">
        <f aca="false">COST!M308</f>
        <v>46053</v>
      </c>
      <c r="E308" s="48" t="str">
        <f aca="false">COST!P308</f>
        <v>Physician</v>
      </c>
      <c r="F308" s="63" t="n">
        <f aca="false">COST!R308</f>
        <v>403.25</v>
      </c>
      <c r="G308" s="48" t="str">
        <f aca="false">STACK!M308</f>
        <v/>
      </c>
      <c r="H308" s="1" t="str">
        <f aca="false">C308&amp;"|"&amp;IF(ISNUMBER(D308),TEXT(D308,"yyyy-mm-dd"),"no date")&amp;"|"&amp;E308&amp;"|"&amp;IF(ISNUMBER(F308),TEXT(F308,"0.00"),"blank")</f>
        <v>Family Medicine Residency Program|2026-01-31|Physician|403.25</v>
      </c>
      <c r="I308" s="1" t="n">
        <f aca="false">COUNTIF($H$5:$H$1624,H308)</f>
        <v>1</v>
      </c>
      <c r="J308" s="1" t="n">
        <f aca="false">COUNTIF($H$5:H308,H308)</f>
        <v>1</v>
      </c>
      <c r="K308" s="1" t="n">
        <f aca="false">COUNTIFS($H$5:$H$1624,H308,$B$5:$B$1624,"&lt;&gt;"&amp;B308)</f>
        <v>0</v>
      </c>
      <c r="L308" s="1" t="str">
        <f aca="false">IF(I308&gt;1,IF(K308&gt;0,"Cross-hospital match","Same-hospital match"),"")</f>
        <v/>
      </c>
      <c r="M308" s="52"/>
      <c r="N308" s="52"/>
      <c r="O308" s="1" t="n">
        <f aca="false">IF(M308="Exclude (duplicate)",0,1)</f>
        <v>1</v>
      </c>
      <c r="P308" s="1" t="str">
        <f aca="false">IF(AND(L308&lt;&gt;"",M308=""),"Needs decision","")</f>
        <v/>
      </c>
    </row>
    <row r="309" customFormat="false" ht="15" hidden="false" customHeight="false" outlineLevel="0" collapsed="false">
      <c r="A309" s="48" t="str">
        <f aca="false">COST!A309</f>
        <v>KVMC-0305</v>
      </c>
      <c r="B309" s="48" t="str">
        <f aca="false">COST!B309</f>
        <v>KVMC</v>
      </c>
      <c r="C309" s="48" t="str">
        <f aca="false">COST!D309</f>
        <v>Family Medicine Residency Program</v>
      </c>
      <c r="D309" s="62" t="n">
        <f aca="false">COST!M309</f>
        <v>46053</v>
      </c>
      <c r="E309" s="48" t="str">
        <f aca="false">COST!P309</f>
        <v>Program Coordinator</v>
      </c>
      <c r="F309" s="63" t="n">
        <f aca="false">COST!R309</f>
        <v>165.25</v>
      </c>
      <c r="G309" s="48" t="str">
        <f aca="false">STACK!M309</f>
        <v/>
      </c>
      <c r="H309" s="1" t="str">
        <f aca="false">C309&amp;"|"&amp;IF(ISNUMBER(D309),TEXT(D309,"yyyy-mm-dd"),"no date")&amp;"|"&amp;E309&amp;"|"&amp;IF(ISNUMBER(F309),TEXT(F309,"0.00"),"blank")</f>
        <v>Family Medicine Residency Program|2026-01-31|Program Coordinator|165.25</v>
      </c>
      <c r="I309" s="1" t="n">
        <f aca="false">COUNTIF($H$5:$H$1624,H309)</f>
        <v>1</v>
      </c>
      <c r="J309" s="1" t="n">
        <f aca="false">COUNTIF($H$5:H309,H309)</f>
        <v>1</v>
      </c>
      <c r="K309" s="1" t="n">
        <f aca="false">COUNTIFS($H$5:$H$1624,H309,$B$5:$B$1624,"&lt;&gt;"&amp;B309)</f>
        <v>0</v>
      </c>
      <c r="L309" s="1" t="str">
        <f aca="false">IF(I309&gt;1,IF(K309&gt;0,"Cross-hospital match","Same-hospital match"),"")</f>
        <v/>
      </c>
      <c r="M309" s="52"/>
      <c r="N309" s="52"/>
      <c r="O309" s="1" t="n">
        <f aca="false">IF(M309="Exclude (duplicate)",0,1)</f>
        <v>1</v>
      </c>
      <c r="P309" s="1" t="str">
        <f aca="false">IF(AND(L309&lt;&gt;"",M309=""),"Needs decision","")</f>
        <v/>
      </c>
    </row>
    <row r="310" customFormat="false" ht="15" hidden="false" customHeight="false" outlineLevel="0" collapsed="false">
      <c r="A310" s="48" t="str">
        <f aca="false">COST!A310</f>
        <v>KVMC-0306</v>
      </c>
      <c r="B310" s="48" t="str">
        <f aca="false">COST!B310</f>
        <v>KVMC</v>
      </c>
      <c r="C310" s="48" t="str">
        <f aca="false">COST!D310</f>
        <v>Family Medicine Residency Program</v>
      </c>
      <c r="D310" s="62" t="n">
        <f aca="false">COST!M310</f>
        <v>46053</v>
      </c>
      <c r="E310" s="48" t="str">
        <f aca="false">COST!P310</f>
        <v>Resident Physician</v>
      </c>
      <c r="F310" s="63" t="n">
        <f aca="false">COST!R310</f>
        <v>3925.5</v>
      </c>
      <c r="G310" s="48" t="str">
        <f aca="false">STACK!M310</f>
        <v/>
      </c>
      <c r="H310" s="1" t="str">
        <f aca="false">C310&amp;"|"&amp;IF(ISNUMBER(D310),TEXT(D310,"yyyy-mm-dd"),"no date")&amp;"|"&amp;E310&amp;"|"&amp;IF(ISNUMBER(F310),TEXT(F310,"0.00"),"blank")</f>
        <v>Family Medicine Residency Program|2026-01-31|Resident Physician|3925.50</v>
      </c>
      <c r="I310" s="1" t="n">
        <f aca="false">COUNTIF($H$5:$H$1624,H310)</f>
        <v>1</v>
      </c>
      <c r="J310" s="1" t="n">
        <f aca="false">COUNTIF($H$5:H310,H310)</f>
        <v>1</v>
      </c>
      <c r="K310" s="1" t="n">
        <f aca="false">COUNTIFS($H$5:$H$1624,H310,$B$5:$B$1624,"&lt;&gt;"&amp;B310)</f>
        <v>0</v>
      </c>
      <c r="L310" s="1" t="str">
        <f aca="false">IF(I310&gt;1,IF(K310&gt;0,"Cross-hospital match","Same-hospital match"),"")</f>
        <v/>
      </c>
      <c r="M310" s="52"/>
      <c r="N310" s="52"/>
      <c r="O310" s="1" t="n">
        <f aca="false">IF(M310="Exclude (duplicate)",0,1)</f>
        <v>1</v>
      </c>
      <c r="P310" s="1" t="str">
        <f aca="false">IF(AND(L310&lt;&gt;"",M310=""),"Needs decision","")</f>
        <v/>
      </c>
    </row>
    <row r="311" customFormat="false" ht="15" hidden="false" customHeight="false" outlineLevel="0" collapsed="false">
      <c r="A311" s="48" t="str">
        <f aca="false">COST!A311</f>
        <v>KVMC-0307</v>
      </c>
      <c r="B311" s="48" t="str">
        <f aca="false">COST!B311</f>
        <v>KVMC</v>
      </c>
      <c r="C311" s="48" t="str">
        <f aca="false">COST!D311</f>
        <v>Pharmacy Student Rotations</v>
      </c>
      <c r="D311" s="62" t="n">
        <f aca="false">COST!M311</f>
        <v>46053</v>
      </c>
      <c r="E311" s="48" t="str">
        <f aca="false">COST!P311</f>
        <v>Pharmacist</v>
      </c>
      <c r="F311" s="63" t="n">
        <f aca="false">COST!R311</f>
        <v>58</v>
      </c>
      <c r="G311" s="48" t="str">
        <f aca="false">STACK!M311</f>
        <v/>
      </c>
      <c r="H311" s="1" t="str">
        <f aca="false">C311&amp;"|"&amp;IF(ISNUMBER(D311),TEXT(D311,"yyyy-mm-dd"),"no date")&amp;"|"&amp;E311&amp;"|"&amp;IF(ISNUMBER(F311),TEXT(F311,"0.00"),"blank")</f>
        <v>Pharmacy Student Rotations|2026-01-31|Pharmacist|58.00</v>
      </c>
      <c r="I311" s="1" t="n">
        <f aca="false">COUNTIF($H$5:$H$1624,H311)</f>
        <v>1</v>
      </c>
      <c r="J311" s="1" t="n">
        <f aca="false">COUNTIF($H$5:H311,H311)</f>
        <v>1</v>
      </c>
      <c r="K311" s="1" t="n">
        <f aca="false">COUNTIFS($H$5:$H$1624,H311,$B$5:$B$1624,"&lt;&gt;"&amp;B311)</f>
        <v>0</v>
      </c>
      <c r="L311" s="1" t="str">
        <f aca="false">IF(I311&gt;1,IF(K311&gt;0,"Cross-hospital match","Same-hospital match"),"")</f>
        <v/>
      </c>
      <c r="M311" s="52"/>
      <c r="N311" s="52"/>
      <c r="O311" s="1" t="n">
        <f aca="false">IF(M311="Exclude (duplicate)",0,1)</f>
        <v>1</v>
      </c>
      <c r="P311" s="1" t="str">
        <f aca="false">IF(AND(L311&lt;&gt;"",M311=""),"Needs decision","")</f>
        <v/>
      </c>
    </row>
    <row r="312" customFormat="false" ht="15" hidden="false" customHeight="false" outlineLevel="0" collapsed="false">
      <c r="A312" s="48" t="str">
        <f aca="false">COST!A312</f>
        <v>KVMC-0308</v>
      </c>
      <c r="B312" s="48" t="str">
        <f aca="false">COST!B312</f>
        <v>KVMC</v>
      </c>
      <c r="C312" s="48" t="str">
        <f aca="false">COST!D312</f>
        <v>Community Hypertension Control Study</v>
      </c>
      <c r="D312" s="62" t="n">
        <f aca="false">COST!M312</f>
        <v>46053</v>
      </c>
      <c r="E312" s="48" t="str">
        <f aca="false">COST!P312</f>
        <v>Data Analyst</v>
      </c>
      <c r="F312" s="63" t="n">
        <f aca="false">COST!R312</f>
        <v>57.75</v>
      </c>
      <c r="G312" s="48" t="str">
        <f aca="false">STACK!M312</f>
        <v/>
      </c>
      <c r="H312" s="1" t="str">
        <f aca="false">C312&amp;"|"&amp;IF(ISNUMBER(D312),TEXT(D312,"yyyy-mm-dd"),"no date")&amp;"|"&amp;E312&amp;"|"&amp;IF(ISNUMBER(F312),TEXT(F312,"0.00"),"blank")</f>
        <v>Community Hypertension Control Study|2026-01-31|Data Analyst|57.75</v>
      </c>
      <c r="I312" s="1" t="n">
        <f aca="false">COUNTIF($H$5:$H$1624,H312)</f>
        <v>1</v>
      </c>
      <c r="J312" s="1" t="n">
        <f aca="false">COUNTIF($H$5:H312,H312)</f>
        <v>1</v>
      </c>
      <c r="K312" s="1" t="n">
        <f aca="false">COUNTIFS($H$5:$H$1624,H312,$B$5:$B$1624,"&lt;&gt;"&amp;B312)</f>
        <v>0</v>
      </c>
      <c r="L312" s="1" t="str">
        <f aca="false">IF(I312&gt;1,IF(K312&gt;0,"Cross-hospital match","Same-hospital match"),"")</f>
        <v/>
      </c>
      <c r="M312" s="52"/>
      <c r="N312" s="52"/>
      <c r="O312" s="1" t="n">
        <f aca="false">IF(M312="Exclude (duplicate)",0,1)</f>
        <v>1</v>
      </c>
      <c r="P312" s="1" t="str">
        <f aca="false">IF(AND(L312&lt;&gt;"",M312=""),"Needs decision","")</f>
        <v/>
      </c>
    </row>
    <row r="313" customFormat="false" ht="15" hidden="false" customHeight="false" outlineLevel="0" collapsed="false">
      <c r="A313" s="48" t="str">
        <f aca="false">COST!A313</f>
        <v>KVMC-0309</v>
      </c>
      <c r="B313" s="48" t="str">
        <f aca="false">COST!B313</f>
        <v>KVMC</v>
      </c>
      <c r="C313" s="48" t="str">
        <f aca="false">COST!D313</f>
        <v>Community Hypertension Control Study</v>
      </c>
      <c r="D313" s="62" t="n">
        <f aca="false">COST!M313</f>
        <v>46053</v>
      </c>
      <c r="E313" s="48" t="str">
        <f aca="false">COST!P313</f>
        <v>Physician</v>
      </c>
      <c r="F313" s="63" t="n">
        <f aca="false">COST!R313</f>
        <v>21</v>
      </c>
      <c r="G313" s="48" t="str">
        <f aca="false">STACK!M313</f>
        <v/>
      </c>
      <c r="H313" s="1" t="str">
        <f aca="false">C313&amp;"|"&amp;IF(ISNUMBER(D313),TEXT(D313,"yyyy-mm-dd"),"no date")&amp;"|"&amp;E313&amp;"|"&amp;IF(ISNUMBER(F313),TEXT(F313,"0.00"),"blank")</f>
        <v>Community Hypertension Control Study|2026-01-31|Physician|21.00</v>
      </c>
      <c r="I313" s="1" t="n">
        <f aca="false">COUNTIF($H$5:$H$1624,H313)</f>
        <v>1</v>
      </c>
      <c r="J313" s="1" t="n">
        <f aca="false">COUNTIF($H$5:H313,H313)</f>
        <v>1</v>
      </c>
      <c r="K313" s="1" t="n">
        <f aca="false">COUNTIFS($H$5:$H$1624,H313,$B$5:$B$1624,"&lt;&gt;"&amp;B313)</f>
        <v>0</v>
      </c>
      <c r="L313" s="1" t="str">
        <f aca="false">IF(I313&gt;1,IF(K313&gt;0,"Cross-hospital match","Same-hospital match"),"")</f>
        <v/>
      </c>
      <c r="M313" s="52"/>
      <c r="N313" s="52"/>
      <c r="O313" s="1" t="n">
        <f aca="false">IF(M313="Exclude (duplicate)",0,1)</f>
        <v>1</v>
      </c>
      <c r="P313" s="1" t="str">
        <f aca="false">IF(AND(L313&lt;&gt;"",M313=""),"Needs decision","")</f>
        <v/>
      </c>
    </row>
    <row r="314" customFormat="false" ht="15" hidden="false" customHeight="false" outlineLevel="0" collapsed="false">
      <c r="A314" s="48" t="str">
        <f aca="false">COST!A314</f>
        <v>KVMC-0310</v>
      </c>
      <c r="B314" s="48" t="str">
        <f aca="false">COST!B314</f>
        <v>KVMC</v>
      </c>
      <c r="C314" s="48" t="str">
        <f aca="false">COST!D314</f>
        <v>Community Hypertension Control Study</v>
      </c>
      <c r="D314" s="62" t="n">
        <f aca="false">COST!M314</f>
        <v>46053</v>
      </c>
      <c r="E314" s="48" t="str">
        <f aca="false">COST!P314</f>
        <v>Research Coordinator</v>
      </c>
      <c r="F314" s="63" t="n">
        <f aca="false">COST!R314</f>
        <v>184.25</v>
      </c>
      <c r="G314" s="48" t="str">
        <f aca="false">STACK!M314</f>
        <v/>
      </c>
      <c r="H314" s="1" t="str">
        <f aca="false">C314&amp;"|"&amp;IF(ISNUMBER(D314),TEXT(D314,"yyyy-mm-dd"),"no date")&amp;"|"&amp;E314&amp;"|"&amp;IF(ISNUMBER(F314),TEXT(F314,"0.00"),"blank")</f>
        <v>Community Hypertension Control Study|2026-01-31|Research Coordinator|184.25</v>
      </c>
      <c r="I314" s="1" t="n">
        <f aca="false">COUNTIF($H$5:$H$1624,H314)</f>
        <v>1</v>
      </c>
      <c r="J314" s="1" t="n">
        <f aca="false">COUNTIF($H$5:H314,H314)</f>
        <v>1</v>
      </c>
      <c r="K314" s="1" t="n">
        <f aca="false">COUNTIFS($H$5:$H$1624,H314,$B$5:$B$1624,"&lt;&gt;"&amp;B314)</f>
        <v>0</v>
      </c>
      <c r="L314" s="1" t="str">
        <f aca="false">IF(I314&gt;1,IF(K314&gt;0,"Cross-hospital match","Same-hospital match"),"")</f>
        <v/>
      </c>
      <c r="M314" s="52"/>
      <c r="N314" s="52"/>
      <c r="O314" s="1" t="n">
        <f aca="false">IF(M314="Exclude (duplicate)",0,1)</f>
        <v>1</v>
      </c>
      <c r="P314" s="1" t="str">
        <f aca="false">IF(AND(L314&lt;&gt;"",M314=""),"Needs decision","")</f>
        <v/>
      </c>
    </row>
    <row r="315" customFormat="false" ht="15" hidden="false" customHeight="false" outlineLevel="0" collapsed="false">
      <c r="A315" s="48" t="str">
        <f aca="false">COST!A315</f>
        <v>KVMC-0311</v>
      </c>
      <c r="B315" s="48" t="str">
        <f aca="false">COST!B315</f>
        <v>KVMC</v>
      </c>
      <c r="C315" s="48" t="str">
        <f aca="false">COST!D315</f>
        <v>Regional Health Coalition</v>
      </c>
      <c r="D315" s="62" t="n">
        <f aca="false">COST!M315</f>
        <v>46053</v>
      </c>
      <c r="E315" s="48" t="str">
        <f aca="false">COST!P315</f>
        <v>Community Benefit Manager</v>
      </c>
      <c r="F315" s="63" t="n">
        <f aca="false">COST!R315</f>
        <v>2.75</v>
      </c>
      <c r="G315" s="48" t="str">
        <f aca="false">STACK!M315</f>
        <v/>
      </c>
      <c r="H315" s="1" t="str">
        <f aca="false">C315&amp;"|"&amp;IF(ISNUMBER(D315),TEXT(D315,"yyyy-mm-dd"),"no date")&amp;"|"&amp;E315&amp;"|"&amp;IF(ISNUMBER(F315),TEXT(F315,"0.00"),"blank")</f>
        <v>Regional Health Coalition|2026-01-31|Community Benefit Manager|2.75</v>
      </c>
      <c r="I315" s="1" t="n">
        <f aca="false">COUNTIF($H$5:$H$1624,H315)</f>
        <v>1</v>
      </c>
      <c r="J315" s="1" t="n">
        <f aca="false">COUNTIF($H$5:H315,H315)</f>
        <v>1</v>
      </c>
      <c r="K315" s="1" t="n">
        <f aca="false">COUNTIFS($H$5:$H$1624,H315,$B$5:$B$1624,"&lt;&gt;"&amp;B315)</f>
        <v>0</v>
      </c>
      <c r="L315" s="1" t="str">
        <f aca="false">IF(I315&gt;1,IF(K315&gt;0,"Cross-hospital match","Same-hospital match"),"")</f>
        <v/>
      </c>
      <c r="M315" s="52"/>
      <c r="N315" s="52"/>
      <c r="O315" s="1" t="n">
        <f aca="false">IF(M315="Exclude (duplicate)",0,1)</f>
        <v>1</v>
      </c>
      <c r="P315" s="1" t="str">
        <f aca="false">IF(AND(L315&lt;&gt;"",M315=""),"Needs decision","")</f>
        <v/>
      </c>
    </row>
    <row r="316" customFormat="false" ht="15" hidden="false" customHeight="false" outlineLevel="0" collapsed="false">
      <c r="A316" s="48" t="str">
        <f aca="false">COST!A316</f>
        <v>KVMC-0312</v>
      </c>
      <c r="B316" s="48" t="str">
        <f aca="false">COST!B316</f>
        <v>KVMC</v>
      </c>
      <c r="C316" s="48" t="str">
        <f aca="false">COST!D316</f>
        <v>Regional Health Coalition</v>
      </c>
      <c r="D316" s="62" t="n">
        <f aca="false">COST!M316</f>
        <v>46053</v>
      </c>
      <c r="E316" s="48" t="str">
        <f aca="false">COST!P316</f>
        <v>Director</v>
      </c>
      <c r="F316" s="63" t="n">
        <f aca="false">COST!R316</f>
        <v>2</v>
      </c>
      <c r="G316" s="48" t="str">
        <f aca="false">STACK!M316</f>
        <v/>
      </c>
      <c r="H316" s="1" t="str">
        <f aca="false">C316&amp;"|"&amp;IF(ISNUMBER(D316),TEXT(D316,"yyyy-mm-dd"),"no date")&amp;"|"&amp;E316&amp;"|"&amp;IF(ISNUMBER(F316),TEXT(F316,"0.00"),"blank")</f>
        <v>Regional Health Coalition|2026-01-31|Director|2.00</v>
      </c>
      <c r="I316" s="1" t="n">
        <f aca="false">COUNTIF($H$5:$H$1624,H316)</f>
        <v>1</v>
      </c>
      <c r="J316" s="1" t="n">
        <f aca="false">COUNTIF($H$5:H316,H316)</f>
        <v>1</v>
      </c>
      <c r="K316" s="1" t="n">
        <f aca="false">COUNTIFS($H$5:$H$1624,H316,$B$5:$B$1624,"&lt;&gt;"&amp;B316)</f>
        <v>0</v>
      </c>
      <c r="L316" s="1" t="str">
        <f aca="false">IF(I316&gt;1,IF(K316&gt;0,"Cross-hospital match","Same-hospital match"),"")</f>
        <v/>
      </c>
      <c r="M316" s="52"/>
      <c r="N316" s="52"/>
      <c r="O316" s="1" t="n">
        <f aca="false">IF(M316="Exclude (duplicate)",0,1)</f>
        <v>1</v>
      </c>
      <c r="P316" s="1" t="str">
        <f aca="false">IF(AND(L316&lt;&gt;"",M316=""),"Needs decision","")</f>
        <v/>
      </c>
    </row>
    <row r="317" customFormat="false" ht="15" hidden="false" customHeight="false" outlineLevel="0" collapsed="false">
      <c r="A317" s="48" t="str">
        <f aca="false">COST!A317</f>
        <v>KVMC-0313</v>
      </c>
      <c r="B317" s="48" t="str">
        <f aca="false">COST!B317</f>
        <v>KVMC</v>
      </c>
      <c r="C317" s="48" t="str">
        <f aca="false">COST!D317</f>
        <v>Naloxone Training and Distribution</v>
      </c>
      <c r="D317" s="62" t="n">
        <f aca="false">COST!M317</f>
        <v>46058</v>
      </c>
      <c r="E317" s="48" t="str">
        <f aca="false">COST!P317</f>
        <v>Health Educator</v>
      </c>
      <c r="F317" s="63" t="n">
        <f aca="false">COST!R317</f>
        <v>2</v>
      </c>
      <c r="G317" s="48" t="str">
        <f aca="false">STACK!M317</f>
        <v/>
      </c>
      <c r="H317" s="1" t="str">
        <f aca="false">C317&amp;"|"&amp;IF(ISNUMBER(D317),TEXT(D317,"yyyy-mm-dd"),"no date")&amp;"|"&amp;E317&amp;"|"&amp;IF(ISNUMBER(F317),TEXT(F317,"0.00"),"blank")</f>
        <v>Naloxone Training and Distribution|2026-02-05|Health Educator|2.00</v>
      </c>
      <c r="I317" s="1" t="n">
        <f aca="false">COUNTIF($H$5:$H$1624,H317)</f>
        <v>1</v>
      </c>
      <c r="J317" s="1" t="n">
        <f aca="false">COUNTIF($H$5:H317,H317)</f>
        <v>1</v>
      </c>
      <c r="K317" s="1" t="n">
        <f aca="false">COUNTIFS($H$5:$H$1624,H317,$B$5:$B$1624,"&lt;&gt;"&amp;B317)</f>
        <v>0</v>
      </c>
      <c r="L317" s="1" t="str">
        <f aca="false">IF(I317&gt;1,IF(K317&gt;0,"Cross-hospital match","Same-hospital match"),"")</f>
        <v/>
      </c>
      <c r="M317" s="52"/>
      <c r="N317" s="52"/>
      <c r="O317" s="1" t="n">
        <f aca="false">IF(M317="Exclude (duplicate)",0,1)</f>
        <v>1</v>
      </c>
      <c r="P317" s="1" t="str">
        <f aca="false">IF(AND(L317&lt;&gt;"",M317=""),"Needs decision","")</f>
        <v/>
      </c>
    </row>
    <row r="318" customFormat="false" ht="15" hidden="false" customHeight="false" outlineLevel="0" collapsed="false">
      <c r="A318" s="48" t="str">
        <f aca="false">COST!A318</f>
        <v>KVMC-0314</v>
      </c>
      <c r="B318" s="48" t="str">
        <f aca="false">COST!B318</f>
        <v>KVMC</v>
      </c>
      <c r="C318" s="48" t="str">
        <f aca="false">COST!D318</f>
        <v>Naloxone Training and Distribution</v>
      </c>
      <c r="D318" s="62" t="n">
        <f aca="false">COST!M318</f>
        <v>46058</v>
      </c>
      <c r="E318" s="48" t="str">
        <f aca="false">COST!P318</f>
        <v>Pharmacist</v>
      </c>
      <c r="F318" s="63" t="n">
        <f aca="false">COST!R318</f>
        <v>2.75</v>
      </c>
      <c r="G318" s="48" t="str">
        <f aca="false">STACK!M318</f>
        <v/>
      </c>
      <c r="H318" s="1" t="str">
        <f aca="false">C318&amp;"|"&amp;IF(ISNUMBER(D318),TEXT(D318,"yyyy-mm-dd"),"no date")&amp;"|"&amp;E318&amp;"|"&amp;IF(ISNUMBER(F318),TEXT(F318,"0.00"),"blank")</f>
        <v>Naloxone Training and Distribution|2026-02-05|Pharmacist|2.75</v>
      </c>
      <c r="I318" s="1" t="n">
        <f aca="false">COUNTIF($H$5:$H$1624,H318)</f>
        <v>1</v>
      </c>
      <c r="J318" s="1" t="n">
        <f aca="false">COUNTIF($H$5:H318,H318)</f>
        <v>1</v>
      </c>
      <c r="K318" s="1" t="n">
        <f aca="false">COUNTIFS($H$5:$H$1624,H318,$B$5:$B$1624,"&lt;&gt;"&amp;B318)</f>
        <v>0</v>
      </c>
      <c r="L318" s="1" t="str">
        <f aca="false">IF(I318&gt;1,IF(K318&gt;0,"Cross-hospital match","Same-hospital match"),"")</f>
        <v/>
      </c>
      <c r="M318" s="52"/>
      <c r="N318" s="52"/>
      <c r="O318" s="1" t="n">
        <f aca="false">IF(M318="Exclude (duplicate)",0,1)</f>
        <v>1</v>
      </c>
      <c r="P318" s="1" t="str">
        <f aca="false">IF(AND(L318&lt;&gt;"",M318=""),"Needs decision","")</f>
        <v/>
      </c>
    </row>
    <row r="319" customFormat="false" ht="15" hidden="false" customHeight="false" outlineLevel="0" collapsed="false">
      <c r="A319" s="48" t="str">
        <f aca="false">COST!A319</f>
        <v>KVMC-0315</v>
      </c>
      <c r="B319" s="48" t="str">
        <f aca="false">COST!B319</f>
        <v>KVMC</v>
      </c>
      <c r="C319" s="48" t="str">
        <f aca="false">COST!D319</f>
        <v>Tobacco Cessation Classes</v>
      </c>
      <c r="D319" s="62" t="n">
        <f aca="false">COST!M319</f>
        <v>46060</v>
      </c>
      <c r="E319" s="48" t="str">
        <f aca="false">COST!P319</f>
        <v>Licensed Therapist</v>
      </c>
      <c r="F319" s="63" t="n">
        <f aca="false">COST!R319</f>
        <v>2</v>
      </c>
      <c r="G319" s="48" t="str">
        <f aca="false">STACK!M319</f>
        <v/>
      </c>
      <c r="H319" s="1" t="str">
        <f aca="false">C319&amp;"|"&amp;IF(ISNUMBER(D319),TEXT(D319,"yyyy-mm-dd"),"no date")&amp;"|"&amp;E319&amp;"|"&amp;IF(ISNUMBER(F319),TEXT(F319,"0.00"),"blank")</f>
        <v>Tobacco Cessation Classes|2026-02-07|Licensed Therapist|2.00</v>
      </c>
      <c r="I319" s="1" t="n">
        <f aca="false">COUNTIF($H$5:$H$1624,H319)</f>
        <v>1</v>
      </c>
      <c r="J319" s="1" t="n">
        <f aca="false">COUNTIF($H$5:H319,H319)</f>
        <v>1</v>
      </c>
      <c r="K319" s="1" t="n">
        <f aca="false">COUNTIFS($H$5:$H$1624,H319,$B$5:$B$1624,"&lt;&gt;"&amp;B319)</f>
        <v>0</v>
      </c>
      <c r="L319" s="1" t="str">
        <f aca="false">IF(I319&gt;1,IF(K319&gt;0,"Cross-hospital match","Same-hospital match"),"")</f>
        <v/>
      </c>
      <c r="M319" s="52"/>
      <c r="N319" s="52"/>
      <c r="O319" s="1" t="n">
        <f aca="false">IF(M319="Exclude (duplicate)",0,1)</f>
        <v>1</v>
      </c>
      <c r="P319" s="1" t="str">
        <f aca="false">IF(AND(L319&lt;&gt;"",M319=""),"Needs decision","")</f>
        <v/>
      </c>
    </row>
    <row r="320" customFormat="false" ht="15" hidden="false" customHeight="false" outlineLevel="0" collapsed="false">
      <c r="A320" s="48" t="str">
        <f aca="false">COST!A320</f>
        <v>KVMC-0316</v>
      </c>
      <c r="B320" s="48" t="str">
        <f aca="false">COST!B320</f>
        <v>KVMC</v>
      </c>
      <c r="C320" s="48" t="str">
        <f aca="false">COST!D320</f>
        <v>Small Business Health Partnership</v>
      </c>
      <c r="D320" s="62" t="n">
        <f aca="false">COST!M320</f>
        <v>46060</v>
      </c>
      <c r="E320" s="48" t="str">
        <f aca="false">COST!P320</f>
        <v>Director</v>
      </c>
      <c r="F320" s="63" t="n">
        <f aca="false">COST!R320</f>
        <v>4</v>
      </c>
      <c r="G320" s="48" t="str">
        <f aca="false">STACK!M320</f>
        <v/>
      </c>
      <c r="H320" s="1" t="str">
        <f aca="false">C320&amp;"|"&amp;IF(ISNUMBER(D320),TEXT(D320,"yyyy-mm-dd"),"no date")&amp;"|"&amp;E320&amp;"|"&amp;IF(ISNUMBER(F320),TEXT(F320,"0.00"),"blank")</f>
        <v>Small Business Health Partnership|2026-02-07|Director|4.00</v>
      </c>
      <c r="I320" s="1" t="n">
        <f aca="false">COUNTIF($H$5:$H$1624,H320)</f>
        <v>1</v>
      </c>
      <c r="J320" s="1" t="n">
        <f aca="false">COUNTIF($H$5:H320,H320)</f>
        <v>1</v>
      </c>
      <c r="K320" s="1" t="n">
        <f aca="false">COUNTIFS($H$5:$H$1624,H320,$B$5:$B$1624,"&lt;&gt;"&amp;B320)</f>
        <v>0</v>
      </c>
      <c r="L320" s="1" t="str">
        <f aca="false">IF(I320&gt;1,IF(K320&gt;0,"Cross-hospital match","Same-hospital match"),"")</f>
        <v/>
      </c>
      <c r="M320" s="52"/>
      <c r="N320" s="52"/>
      <c r="O320" s="1" t="n">
        <f aca="false">IF(M320="Exclude (duplicate)",0,1)</f>
        <v>1</v>
      </c>
      <c r="P320" s="1" t="str">
        <f aca="false">IF(AND(L320&lt;&gt;"",M320=""),"Needs decision","")</f>
        <v/>
      </c>
    </row>
    <row r="321" customFormat="false" ht="15" hidden="false" customHeight="false" outlineLevel="0" collapsed="false">
      <c r="A321" s="48" t="str">
        <f aca="false">COST!A321</f>
        <v>KVMC-0317</v>
      </c>
      <c r="B321" s="48" t="str">
        <f aca="false">COST!B321</f>
        <v>KVMC</v>
      </c>
      <c r="C321" s="48" t="str">
        <f aca="false">COST!D321</f>
        <v>Small Business Health Partnership</v>
      </c>
      <c r="D321" s="62" t="n">
        <f aca="false">COST!M321</f>
        <v>46060</v>
      </c>
      <c r="E321" s="48" t="str">
        <f aca="false">COST!P321</f>
        <v>Program Coordinator</v>
      </c>
      <c r="F321" s="63" t="n">
        <f aca="false">COST!R321</f>
        <v>6</v>
      </c>
      <c r="G321" s="48" t="str">
        <f aca="false">STACK!M321</f>
        <v/>
      </c>
      <c r="H321" s="1" t="str">
        <f aca="false">C321&amp;"|"&amp;IF(ISNUMBER(D321),TEXT(D321,"yyyy-mm-dd"),"no date")&amp;"|"&amp;E321&amp;"|"&amp;IF(ISNUMBER(F321),TEXT(F321,"0.00"),"blank")</f>
        <v>Small Business Health Partnership|2026-02-07|Program Coordinator|6.00</v>
      </c>
      <c r="I321" s="1" t="n">
        <f aca="false">COUNTIF($H$5:$H$1624,H321)</f>
        <v>1</v>
      </c>
      <c r="J321" s="1" t="n">
        <f aca="false">COUNTIF($H$5:H321,H321)</f>
        <v>1</v>
      </c>
      <c r="K321" s="1" t="n">
        <f aca="false">COUNTIFS($H$5:$H$1624,H321,$B$5:$B$1624,"&lt;&gt;"&amp;B321)</f>
        <v>0</v>
      </c>
      <c r="L321" s="1" t="str">
        <f aca="false">IF(I321&gt;1,IF(K321&gt;0,"Cross-hospital match","Same-hospital match"),"")</f>
        <v/>
      </c>
      <c r="M321" s="52"/>
      <c r="N321" s="52"/>
      <c r="O321" s="1" t="n">
        <f aca="false">IF(M321="Exclude (duplicate)",0,1)</f>
        <v>1</v>
      </c>
      <c r="P321" s="1" t="str">
        <f aca="false">IF(AND(L321&lt;&gt;"",M321=""),"Needs decision","")</f>
        <v/>
      </c>
    </row>
    <row r="322" customFormat="false" ht="15" hidden="false" customHeight="false" outlineLevel="0" collapsed="false">
      <c r="A322" s="48" t="str">
        <f aca="false">COST!A322</f>
        <v>KVMC-0318</v>
      </c>
      <c r="B322" s="48" t="str">
        <f aca="false">COST!B322</f>
        <v>KVMC</v>
      </c>
      <c r="C322" s="48" t="str">
        <f aca="false">COST!D322</f>
        <v>Naloxone Training and Distribution</v>
      </c>
      <c r="D322" s="62" t="n">
        <f aca="false">COST!M322</f>
        <v>46064</v>
      </c>
      <c r="E322" s="48" t="str">
        <f aca="false">COST!P322</f>
        <v>Health Educator</v>
      </c>
      <c r="F322" s="63" t="n">
        <f aca="false">COST!R322</f>
        <v>2.25</v>
      </c>
      <c r="G322" s="48" t="str">
        <f aca="false">STACK!M322</f>
        <v/>
      </c>
      <c r="H322" s="1" t="str">
        <f aca="false">C322&amp;"|"&amp;IF(ISNUMBER(D322),TEXT(D322,"yyyy-mm-dd"),"no date")&amp;"|"&amp;E322&amp;"|"&amp;IF(ISNUMBER(F322),TEXT(F322,"0.00"),"blank")</f>
        <v>Naloxone Training and Distribution|2026-02-11|Health Educator|2.25</v>
      </c>
      <c r="I322" s="1" t="n">
        <f aca="false">COUNTIF($H$5:$H$1624,H322)</f>
        <v>1</v>
      </c>
      <c r="J322" s="1" t="n">
        <f aca="false">COUNTIF($H$5:H322,H322)</f>
        <v>1</v>
      </c>
      <c r="K322" s="1" t="n">
        <f aca="false">COUNTIFS($H$5:$H$1624,H322,$B$5:$B$1624,"&lt;&gt;"&amp;B322)</f>
        <v>0</v>
      </c>
      <c r="L322" s="1" t="str">
        <f aca="false">IF(I322&gt;1,IF(K322&gt;0,"Cross-hospital match","Same-hospital match"),"")</f>
        <v/>
      </c>
      <c r="M322" s="52"/>
      <c r="N322" s="52"/>
      <c r="O322" s="1" t="n">
        <f aca="false">IF(M322="Exclude (duplicate)",0,1)</f>
        <v>1</v>
      </c>
      <c r="P322" s="1" t="str">
        <f aca="false">IF(AND(L322&lt;&gt;"",M322=""),"Needs decision","")</f>
        <v/>
      </c>
    </row>
    <row r="323" customFormat="false" ht="15" hidden="false" customHeight="false" outlineLevel="0" collapsed="false">
      <c r="A323" s="48" t="str">
        <f aca="false">COST!A323</f>
        <v>KVMC-0319</v>
      </c>
      <c r="B323" s="48" t="str">
        <f aca="false">COST!B323</f>
        <v>KVMC</v>
      </c>
      <c r="C323" s="48" t="str">
        <f aca="false">COST!D323</f>
        <v>Naloxone Training and Distribution</v>
      </c>
      <c r="D323" s="62" t="n">
        <f aca="false">COST!M323</f>
        <v>46064</v>
      </c>
      <c r="E323" s="48" t="str">
        <f aca="false">COST!P323</f>
        <v>Pharmacist</v>
      </c>
      <c r="F323" s="63" t="n">
        <f aca="false">COST!R323</f>
        <v>2.5</v>
      </c>
      <c r="G323" s="48" t="str">
        <f aca="false">STACK!M323</f>
        <v/>
      </c>
      <c r="H323" s="1" t="str">
        <f aca="false">C323&amp;"|"&amp;IF(ISNUMBER(D323),TEXT(D323,"yyyy-mm-dd"),"no date")&amp;"|"&amp;E323&amp;"|"&amp;IF(ISNUMBER(F323),TEXT(F323,"0.00"),"blank")</f>
        <v>Naloxone Training and Distribution|2026-02-11|Pharmacist|2.50</v>
      </c>
      <c r="I323" s="1" t="n">
        <f aca="false">COUNTIF($H$5:$H$1624,H323)</f>
        <v>1</v>
      </c>
      <c r="J323" s="1" t="n">
        <f aca="false">COUNTIF($H$5:H323,H323)</f>
        <v>1</v>
      </c>
      <c r="K323" s="1" t="n">
        <f aca="false">COUNTIFS($H$5:$H$1624,H323,$B$5:$B$1624,"&lt;&gt;"&amp;B323)</f>
        <v>0</v>
      </c>
      <c r="L323" s="1" t="str">
        <f aca="false">IF(I323&gt;1,IF(K323&gt;0,"Cross-hospital match","Same-hospital match"),"")</f>
        <v/>
      </c>
      <c r="M323" s="52"/>
      <c r="N323" s="52"/>
      <c r="O323" s="1" t="n">
        <f aca="false">IF(M323="Exclude (duplicate)",0,1)</f>
        <v>1</v>
      </c>
      <c r="P323" s="1" t="str">
        <f aca="false">IF(AND(L323&lt;&gt;"",M323=""),"Needs decision","")</f>
        <v/>
      </c>
    </row>
    <row r="324" customFormat="false" ht="15" hidden="false" customHeight="false" outlineLevel="0" collapsed="false">
      <c r="A324" s="48" t="str">
        <f aca="false">COST!A324</f>
        <v>KVMC-0320</v>
      </c>
      <c r="B324" s="48" t="str">
        <f aca="false">COST!B324</f>
        <v>KVMC</v>
      </c>
      <c r="C324" s="48" t="str">
        <f aca="false">COST!D324</f>
        <v>In-Kind Medical Supply Donations</v>
      </c>
      <c r="D324" s="62" t="n">
        <f aca="false">COST!M324</f>
        <v>46065</v>
      </c>
      <c r="E324" s="48" t="str">
        <f aca="false">COST!P324</f>
        <v>No staff time</v>
      </c>
      <c r="F324" s="63" t="n">
        <f aca="false">COST!R324</f>
        <v>0</v>
      </c>
      <c r="G324" s="48" t="str">
        <f aca="false">STACK!M324</f>
        <v/>
      </c>
      <c r="H324" s="1" t="str">
        <f aca="false">C324&amp;"|"&amp;IF(ISNUMBER(D324),TEXT(D324,"yyyy-mm-dd"),"no date")&amp;"|"&amp;E324&amp;"|"&amp;IF(ISNUMBER(F324),TEXT(F324,"0.00"),"blank")</f>
        <v>In-Kind Medical Supply Donations|2026-02-12|No staff time|0.00</v>
      </c>
      <c r="I324" s="1" t="n">
        <f aca="false">COUNTIF($H$5:$H$1624,H324)</f>
        <v>1</v>
      </c>
      <c r="J324" s="1" t="n">
        <f aca="false">COUNTIF($H$5:H324,H324)</f>
        <v>1</v>
      </c>
      <c r="K324" s="1" t="n">
        <f aca="false">COUNTIFS($H$5:$H$1624,H324,$B$5:$B$1624,"&lt;&gt;"&amp;B324)</f>
        <v>0</v>
      </c>
      <c r="L324" s="1" t="str">
        <f aca="false">IF(I324&gt;1,IF(K324&gt;0,"Cross-hospital match","Same-hospital match"),"")</f>
        <v/>
      </c>
      <c r="M324" s="52"/>
      <c r="N324" s="52"/>
      <c r="O324" s="1" t="n">
        <f aca="false">IF(M324="Exclude (duplicate)",0,1)</f>
        <v>1</v>
      </c>
      <c r="P324" s="1" t="str">
        <f aca="false">IF(AND(L324&lt;&gt;"",M324=""),"Needs decision","")</f>
        <v/>
      </c>
    </row>
    <row r="325" customFormat="false" ht="15" hidden="false" customHeight="false" outlineLevel="0" collapsed="false">
      <c r="A325" s="48" t="str">
        <f aca="false">COST!A325</f>
        <v>KVMC-0321</v>
      </c>
      <c r="B325" s="48" t="str">
        <f aca="false">COST!B325</f>
        <v>KVMC</v>
      </c>
      <c r="C325" s="48" t="str">
        <f aca="false">COST!D325</f>
        <v>Childbirth and Newborn Care Classes</v>
      </c>
      <c r="D325" s="62" t="n">
        <f aca="false">COST!M325</f>
        <v>46070</v>
      </c>
      <c r="E325" s="48" t="str">
        <f aca="false">COST!P325</f>
        <v>Clinical Nurse Educator</v>
      </c>
      <c r="F325" s="63" t="n">
        <f aca="false">COST!R325</f>
        <v>3</v>
      </c>
      <c r="G325" s="48" t="str">
        <f aca="false">STACK!M325</f>
        <v/>
      </c>
      <c r="H325" s="1" t="str">
        <f aca="false">C325&amp;"|"&amp;IF(ISNUMBER(D325),TEXT(D325,"yyyy-mm-dd"),"no date")&amp;"|"&amp;E325&amp;"|"&amp;IF(ISNUMBER(F325),TEXT(F325,"0.00"),"blank")</f>
        <v>Childbirth and Newborn Care Classes|2026-02-17|Clinical Nurse Educator|3.00</v>
      </c>
      <c r="I325" s="1" t="n">
        <f aca="false">COUNTIF($H$5:$H$1624,H325)</f>
        <v>1</v>
      </c>
      <c r="J325" s="1" t="n">
        <f aca="false">COUNTIF($H$5:H325,H325)</f>
        <v>1</v>
      </c>
      <c r="K325" s="1" t="n">
        <f aca="false">COUNTIFS($H$5:$H$1624,H325,$B$5:$B$1624,"&lt;&gt;"&amp;B325)</f>
        <v>0</v>
      </c>
      <c r="L325" s="1" t="str">
        <f aca="false">IF(I325&gt;1,IF(K325&gt;0,"Cross-hospital match","Same-hospital match"),"")</f>
        <v/>
      </c>
      <c r="M325" s="52"/>
      <c r="N325" s="52"/>
      <c r="O325" s="1" t="n">
        <f aca="false">IF(M325="Exclude (duplicate)",0,1)</f>
        <v>1</v>
      </c>
      <c r="P325" s="1" t="str">
        <f aca="false">IF(AND(L325&lt;&gt;"",M325=""),"Needs decision","")</f>
        <v/>
      </c>
    </row>
    <row r="326" customFormat="false" ht="15" hidden="false" customHeight="false" outlineLevel="0" collapsed="false">
      <c r="A326" s="48" t="str">
        <f aca="false">COST!A326</f>
        <v>KVMC-0322</v>
      </c>
      <c r="B326" s="48" t="str">
        <f aca="false">COST!B326</f>
        <v>KVMC</v>
      </c>
      <c r="C326" s="48" t="str">
        <f aca="false">COST!D326</f>
        <v>Regional Health Coalition</v>
      </c>
      <c r="D326" s="62" t="n">
        <f aca="false">COST!M326</f>
        <v>46071</v>
      </c>
      <c r="E326" s="48" t="str">
        <f aca="false">COST!P326</f>
        <v>Community Benefit Manager</v>
      </c>
      <c r="F326" s="63" t="n">
        <f aca="false">COST!R326</f>
        <v>2.5</v>
      </c>
      <c r="G326" s="48" t="str">
        <f aca="false">STACK!M326</f>
        <v/>
      </c>
      <c r="H326" s="1" t="str">
        <f aca="false">C326&amp;"|"&amp;IF(ISNUMBER(D326),TEXT(D326,"yyyy-mm-dd"),"no date")&amp;"|"&amp;E326&amp;"|"&amp;IF(ISNUMBER(F326),TEXT(F326,"0.00"),"blank")</f>
        <v>Regional Health Coalition|2026-02-18|Community Benefit Manager|2.50</v>
      </c>
      <c r="I326" s="1" t="n">
        <f aca="false">COUNTIF($H$5:$H$1624,H326)</f>
        <v>1</v>
      </c>
      <c r="J326" s="1" t="n">
        <f aca="false">COUNTIF($H$5:H326,H326)</f>
        <v>1</v>
      </c>
      <c r="K326" s="1" t="n">
        <f aca="false">COUNTIFS($H$5:$H$1624,H326,$B$5:$B$1624,"&lt;&gt;"&amp;B326)</f>
        <v>0</v>
      </c>
      <c r="L326" s="1" t="str">
        <f aca="false">IF(I326&gt;1,IF(K326&gt;0,"Cross-hospital match","Same-hospital match"),"")</f>
        <v/>
      </c>
      <c r="M326" s="52"/>
      <c r="N326" s="52"/>
      <c r="O326" s="1" t="n">
        <f aca="false">IF(M326="Exclude (duplicate)",0,1)</f>
        <v>1</v>
      </c>
      <c r="P326" s="1" t="str">
        <f aca="false">IF(AND(L326&lt;&gt;"",M326=""),"Needs decision","")</f>
        <v/>
      </c>
    </row>
    <row r="327" customFormat="false" ht="15" hidden="false" customHeight="false" outlineLevel="0" collapsed="false">
      <c r="A327" s="48" t="str">
        <f aca="false">COST!A327</f>
        <v>KVMC-0323</v>
      </c>
      <c r="B327" s="48" t="str">
        <f aca="false">COST!B327</f>
        <v>KVMC</v>
      </c>
      <c r="C327" s="48" t="str">
        <f aca="false">COST!D327</f>
        <v>Regional Health Coalition</v>
      </c>
      <c r="D327" s="62" t="n">
        <f aca="false">COST!M327</f>
        <v>46071</v>
      </c>
      <c r="E327" s="48" t="str">
        <f aca="false">COST!P327</f>
        <v>Director</v>
      </c>
      <c r="F327" s="63" t="n">
        <f aca="false">COST!R327</f>
        <v>2</v>
      </c>
      <c r="G327" s="48" t="str">
        <f aca="false">STACK!M327</f>
        <v/>
      </c>
      <c r="H327" s="1" t="str">
        <f aca="false">C327&amp;"|"&amp;IF(ISNUMBER(D327),TEXT(D327,"yyyy-mm-dd"),"no date")&amp;"|"&amp;E327&amp;"|"&amp;IF(ISNUMBER(F327),TEXT(F327,"0.00"),"blank")</f>
        <v>Regional Health Coalition|2026-02-18|Director|2.00</v>
      </c>
      <c r="I327" s="1" t="n">
        <f aca="false">COUNTIF($H$5:$H$1624,H327)</f>
        <v>1</v>
      </c>
      <c r="J327" s="1" t="n">
        <f aca="false">COUNTIF($H$5:H327,H327)</f>
        <v>1</v>
      </c>
      <c r="K327" s="1" t="n">
        <f aca="false">COUNTIFS($H$5:$H$1624,H327,$B$5:$B$1624,"&lt;&gt;"&amp;B327)</f>
        <v>0</v>
      </c>
      <c r="L327" s="1" t="str">
        <f aca="false">IF(I327&gt;1,IF(K327&gt;0,"Cross-hospital match","Same-hospital match"),"")</f>
        <v/>
      </c>
      <c r="M327" s="52"/>
      <c r="N327" s="52"/>
      <c r="O327" s="1" t="n">
        <f aca="false">IF(M327="Exclude (duplicate)",0,1)</f>
        <v>1</v>
      </c>
      <c r="P327" s="1" t="str">
        <f aca="false">IF(AND(L327&lt;&gt;"",M327=""),"Needs decision","")</f>
        <v/>
      </c>
    </row>
    <row r="328" customFormat="false" ht="15" hidden="false" customHeight="false" outlineLevel="0" collapsed="false">
      <c r="A328" s="48" t="str">
        <f aca="false">COST!A328</f>
        <v>KVMC-0324</v>
      </c>
      <c r="B328" s="48" t="str">
        <f aca="false">COST!B328</f>
        <v>KVMC</v>
      </c>
      <c r="C328" s="48" t="str">
        <f aca="false">COST!D328</f>
        <v>Diabetes Prevention Classes</v>
      </c>
      <c r="D328" s="62" t="n">
        <f aca="false">COST!M328</f>
        <v>46072</v>
      </c>
      <c r="E328" s="48" t="str">
        <f aca="false">COST!P328</f>
        <v>Health Educator</v>
      </c>
      <c r="F328" s="63" t="n">
        <f aca="false">COST!R328</f>
        <v>2.75</v>
      </c>
      <c r="G328" s="48" t="str">
        <f aca="false">STACK!M328</f>
        <v/>
      </c>
      <c r="H328" s="1" t="str">
        <f aca="false">C328&amp;"|"&amp;IF(ISNUMBER(D328),TEXT(D328,"yyyy-mm-dd"),"no date")&amp;"|"&amp;E328&amp;"|"&amp;IF(ISNUMBER(F328),TEXT(F328,"0.00"),"blank")</f>
        <v>Diabetes Prevention Classes|2026-02-19|Health Educator|2.75</v>
      </c>
      <c r="I328" s="1" t="n">
        <f aca="false">COUNTIF($H$5:$H$1624,H328)</f>
        <v>1</v>
      </c>
      <c r="J328" s="1" t="n">
        <f aca="false">COUNTIF($H$5:H328,H328)</f>
        <v>1</v>
      </c>
      <c r="K328" s="1" t="n">
        <f aca="false">COUNTIFS($H$5:$H$1624,H328,$B$5:$B$1624,"&lt;&gt;"&amp;B328)</f>
        <v>0</v>
      </c>
      <c r="L328" s="1" t="str">
        <f aca="false">IF(I328&gt;1,IF(K328&gt;0,"Cross-hospital match","Same-hospital match"),"")</f>
        <v/>
      </c>
      <c r="M328" s="52"/>
      <c r="N328" s="52"/>
      <c r="O328" s="1" t="n">
        <f aca="false">IF(M328="Exclude (duplicate)",0,1)</f>
        <v>1</v>
      </c>
      <c r="P328" s="1" t="str">
        <f aca="false">IF(AND(L328&lt;&gt;"",M328=""),"Needs decision","")</f>
        <v/>
      </c>
    </row>
    <row r="329" customFormat="false" ht="15" hidden="false" customHeight="false" outlineLevel="0" collapsed="false">
      <c r="A329" s="48" t="str">
        <f aca="false">COST!A329</f>
        <v>KVMC-0325</v>
      </c>
      <c r="B329" s="48" t="str">
        <f aca="false">COST!B329</f>
        <v>KVMC</v>
      </c>
      <c r="C329" s="48" t="str">
        <f aca="false">COST!D329</f>
        <v>Diabetes Prevention Classes</v>
      </c>
      <c r="D329" s="62" t="n">
        <f aca="false">COST!M329</f>
        <v>46072</v>
      </c>
      <c r="E329" s="48" t="str">
        <f aca="false">COST!P329</f>
        <v>Registered Dietitian</v>
      </c>
      <c r="F329" s="63" t="n">
        <f aca="false">COST!R329</f>
        <v>1.5</v>
      </c>
      <c r="G329" s="48" t="str">
        <f aca="false">STACK!M329</f>
        <v/>
      </c>
      <c r="H329" s="1" t="str">
        <f aca="false">C329&amp;"|"&amp;IF(ISNUMBER(D329),TEXT(D329,"yyyy-mm-dd"),"no date")&amp;"|"&amp;E329&amp;"|"&amp;IF(ISNUMBER(F329),TEXT(F329,"0.00"),"blank")</f>
        <v>Diabetes Prevention Classes|2026-02-19|Registered Dietitian|1.50</v>
      </c>
      <c r="I329" s="1" t="n">
        <f aca="false">COUNTIF($H$5:$H$1624,H329)</f>
        <v>1</v>
      </c>
      <c r="J329" s="1" t="n">
        <f aca="false">COUNTIF($H$5:H329,H329)</f>
        <v>1</v>
      </c>
      <c r="K329" s="1" t="n">
        <f aca="false">COUNTIFS($H$5:$H$1624,H329,$B$5:$B$1624,"&lt;&gt;"&amp;B329)</f>
        <v>0</v>
      </c>
      <c r="L329" s="1" t="str">
        <f aca="false">IF(I329&gt;1,IF(K329&gt;0,"Cross-hospital match","Same-hospital match"),"")</f>
        <v/>
      </c>
      <c r="M329" s="52"/>
      <c r="N329" s="52"/>
      <c r="O329" s="1" t="n">
        <f aca="false">IF(M329="Exclude (duplicate)",0,1)</f>
        <v>1</v>
      </c>
      <c r="P329" s="1" t="str">
        <f aca="false">IF(AND(L329&lt;&gt;"",M329=""),"Needs decision","")</f>
        <v/>
      </c>
    </row>
    <row r="330" customFormat="false" ht="15" hidden="false" customHeight="false" outlineLevel="0" collapsed="false">
      <c r="A330" s="48" t="str">
        <f aca="false">COST!A330</f>
        <v>KVMC-0326</v>
      </c>
      <c r="B330" s="48" t="str">
        <f aca="false">COST!B330</f>
        <v>KVMC</v>
      </c>
      <c r="C330" s="48" t="str">
        <f aca="false">COST!D330</f>
        <v>Childbirth and Newborn Care Classes</v>
      </c>
      <c r="D330" s="62" t="n">
        <f aca="false">COST!M330</f>
        <v>46073</v>
      </c>
      <c r="E330" s="48" t="str">
        <f aca="false">COST!P330</f>
        <v>Clinical Nurse Educator</v>
      </c>
      <c r="F330" s="63" t="n">
        <f aca="false">COST!R330</f>
        <v>3.5</v>
      </c>
      <c r="G330" s="48" t="str">
        <f aca="false">STACK!M330</f>
        <v/>
      </c>
      <c r="H330" s="1" t="str">
        <f aca="false">C330&amp;"|"&amp;IF(ISNUMBER(D330),TEXT(D330,"yyyy-mm-dd"),"no date")&amp;"|"&amp;E330&amp;"|"&amp;IF(ISNUMBER(F330),TEXT(F330,"0.00"),"blank")</f>
        <v>Childbirth and Newborn Care Classes|2026-02-20|Clinical Nurse Educator|3.50</v>
      </c>
      <c r="I330" s="1" t="n">
        <f aca="false">COUNTIF($H$5:$H$1624,H330)</f>
        <v>1</v>
      </c>
      <c r="J330" s="1" t="n">
        <f aca="false">COUNTIF($H$5:H330,H330)</f>
        <v>1</v>
      </c>
      <c r="K330" s="1" t="n">
        <f aca="false">COUNTIFS($H$5:$H$1624,H330,$B$5:$B$1624,"&lt;&gt;"&amp;B330)</f>
        <v>0</v>
      </c>
      <c r="L330" s="1" t="str">
        <f aca="false">IF(I330&gt;1,IF(K330&gt;0,"Cross-hospital match","Same-hospital match"),"")</f>
        <v/>
      </c>
      <c r="M330" s="52"/>
      <c r="N330" s="52"/>
      <c r="O330" s="1" t="n">
        <f aca="false">IF(M330="Exclude (duplicate)",0,1)</f>
        <v>1</v>
      </c>
      <c r="P330" s="1" t="str">
        <f aca="false">IF(AND(L330&lt;&gt;"",M330=""),"Needs decision","")</f>
        <v/>
      </c>
    </row>
    <row r="331" customFormat="false" ht="15" hidden="false" customHeight="false" outlineLevel="0" collapsed="false">
      <c r="A331" s="48" t="str">
        <f aca="false">COST!A331</f>
        <v>KVMC-0327</v>
      </c>
      <c r="B331" s="48" t="str">
        <f aca="false">COST!B331</f>
        <v>KVMC</v>
      </c>
      <c r="C331" s="48" t="str">
        <f aca="false">COST!D331</f>
        <v>Diabetes Prevention Classes</v>
      </c>
      <c r="D331" s="62" t="n">
        <f aca="false">COST!M331</f>
        <v>46074</v>
      </c>
      <c r="E331" s="48" t="str">
        <f aca="false">COST!P331</f>
        <v>Health Educator</v>
      </c>
      <c r="F331" s="63" t="n">
        <f aca="false">COST!R331</f>
        <v>3</v>
      </c>
      <c r="G331" s="48" t="str">
        <f aca="false">STACK!M331</f>
        <v/>
      </c>
      <c r="H331" s="1" t="str">
        <f aca="false">C331&amp;"|"&amp;IF(ISNUMBER(D331),TEXT(D331,"yyyy-mm-dd"),"no date")&amp;"|"&amp;E331&amp;"|"&amp;IF(ISNUMBER(F331),TEXT(F331,"0.00"),"blank")</f>
        <v>Diabetes Prevention Classes|2026-02-21|Health Educator|3.00</v>
      </c>
      <c r="I331" s="1" t="n">
        <f aca="false">COUNTIF($H$5:$H$1624,H331)</f>
        <v>1</v>
      </c>
      <c r="J331" s="1" t="n">
        <f aca="false">COUNTIF($H$5:H331,H331)</f>
        <v>1</v>
      </c>
      <c r="K331" s="1" t="n">
        <f aca="false">COUNTIFS($H$5:$H$1624,H331,$B$5:$B$1624,"&lt;&gt;"&amp;B331)</f>
        <v>0</v>
      </c>
      <c r="L331" s="1" t="str">
        <f aca="false">IF(I331&gt;1,IF(K331&gt;0,"Cross-hospital match","Same-hospital match"),"")</f>
        <v/>
      </c>
      <c r="M331" s="52"/>
      <c r="N331" s="52"/>
      <c r="O331" s="1" t="n">
        <f aca="false">IF(M331="Exclude (duplicate)",0,1)</f>
        <v>1</v>
      </c>
      <c r="P331" s="1" t="str">
        <f aca="false">IF(AND(L331&lt;&gt;"",M331=""),"Needs decision","")</f>
        <v/>
      </c>
    </row>
    <row r="332" customFormat="false" ht="15" hidden="false" customHeight="false" outlineLevel="0" collapsed="false">
      <c r="A332" s="48" t="str">
        <f aca="false">COST!A332</f>
        <v>KVMC-0328</v>
      </c>
      <c r="B332" s="48" t="str">
        <f aca="false">COST!B332</f>
        <v>KVMC</v>
      </c>
      <c r="C332" s="48" t="str">
        <f aca="false">COST!D332</f>
        <v>Diabetes Prevention Classes</v>
      </c>
      <c r="D332" s="62" t="n">
        <f aca="false">COST!M332</f>
        <v>46074</v>
      </c>
      <c r="E332" s="48" t="str">
        <f aca="false">COST!P332</f>
        <v>Registered Dietitian</v>
      </c>
      <c r="F332" s="63" t="n">
        <f aca="false">COST!R332</f>
        <v>1.5</v>
      </c>
      <c r="G332" s="48" t="str">
        <f aca="false">STACK!M332</f>
        <v/>
      </c>
      <c r="H332" s="1" t="str">
        <f aca="false">C332&amp;"|"&amp;IF(ISNUMBER(D332),TEXT(D332,"yyyy-mm-dd"),"no date")&amp;"|"&amp;E332&amp;"|"&amp;IF(ISNUMBER(F332),TEXT(F332,"0.00"),"blank")</f>
        <v>Diabetes Prevention Classes|2026-02-21|Registered Dietitian|1.50</v>
      </c>
      <c r="I332" s="1" t="n">
        <f aca="false">COUNTIF($H$5:$H$1624,H332)</f>
        <v>1</v>
      </c>
      <c r="J332" s="1" t="n">
        <f aca="false">COUNTIF($H$5:H332,H332)</f>
        <v>1</v>
      </c>
      <c r="K332" s="1" t="n">
        <f aca="false">COUNTIFS($H$5:$H$1624,H332,$B$5:$B$1624,"&lt;&gt;"&amp;B332)</f>
        <v>0</v>
      </c>
      <c r="L332" s="1" t="str">
        <f aca="false">IF(I332&gt;1,IF(K332&gt;0,"Cross-hospital match","Same-hospital match"),"")</f>
        <v/>
      </c>
      <c r="M332" s="52"/>
      <c r="N332" s="52"/>
      <c r="O332" s="1" t="n">
        <f aca="false">IF(M332="Exclude (duplicate)",0,1)</f>
        <v>1</v>
      </c>
      <c r="P332" s="1" t="str">
        <f aca="false">IF(AND(L332&lt;&gt;"",M332=""),"Needs decision","")</f>
        <v/>
      </c>
    </row>
    <row r="333" customFormat="false" ht="15" hidden="false" customHeight="false" outlineLevel="0" collapsed="false">
      <c r="A333" s="48" t="str">
        <f aca="false">COST!A333</f>
        <v>KVMC-0329</v>
      </c>
      <c r="B333" s="48" t="str">
        <f aca="false">COST!B333</f>
        <v>KVMC</v>
      </c>
      <c r="C333" s="48" t="str">
        <f aca="false">COST!D333</f>
        <v>Naloxone Training and Distribution</v>
      </c>
      <c r="D333" s="62" t="n">
        <f aca="false">COST!M333</f>
        <v>46077</v>
      </c>
      <c r="E333" s="48" t="str">
        <f aca="false">COST!P333</f>
        <v>Health Educator</v>
      </c>
      <c r="F333" s="63" t="n">
        <f aca="false">COST!R333</f>
        <v>2.25</v>
      </c>
      <c r="G333" s="48" t="str">
        <f aca="false">STACK!M333</f>
        <v/>
      </c>
      <c r="H333" s="1" t="str">
        <f aca="false">C333&amp;"|"&amp;IF(ISNUMBER(D333),TEXT(D333,"yyyy-mm-dd"),"no date")&amp;"|"&amp;E333&amp;"|"&amp;IF(ISNUMBER(F333),TEXT(F333,"0.00"),"blank")</f>
        <v>Naloxone Training and Distribution|2026-02-24|Health Educator|2.25</v>
      </c>
      <c r="I333" s="1" t="n">
        <f aca="false">COUNTIF($H$5:$H$1624,H333)</f>
        <v>1</v>
      </c>
      <c r="J333" s="1" t="n">
        <f aca="false">COUNTIF($H$5:H333,H333)</f>
        <v>1</v>
      </c>
      <c r="K333" s="1" t="n">
        <f aca="false">COUNTIFS($H$5:$H$1624,H333,$B$5:$B$1624,"&lt;&gt;"&amp;B333)</f>
        <v>0</v>
      </c>
      <c r="L333" s="1" t="str">
        <f aca="false">IF(I333&gt;1,IF(K333&gt;0,"Cross-hospital match","Same-hospital match"),"")</f>
        <v/>
      </c>
      <c r="M333" s="52"/>
      <c r="N333" s="52"/>
      <c r="O333" s="1" t="n">
        <f aca="false">IF(M333="Exclude (duplicate)",0,1)</f>
        <v>1</v>
      </c>
      <c r="P333" s="1" t="str">
        <f aca="false">IF(AND(L333&lt;&gt;"",M333=""),"Needs decision","")</f>
        <v/>
      </c>
    </row>
    <row r="334" customFormat="false" ht="15" hidden="false" customHeight="false" outlineLevel="0" collapsed="false">
      <c r="A334" s="48" t="str">
        <f aca="false">COST!A334</f>
        <v>KVMC-0330</v>
      </c>
      <c r="B334" s="48" t="str">
        <f aca="false">COST!B334</f>
        <v>KVMC</v>
      </c>
      <c r="C334" s="48" t="str">
        <f aca="false">COST!D334</f>
        <v>Naloxone Training and Distribution</v>
      </c>
      <c r="D334" s="62" t="n">
        <f aca="false">COST!M334</f>
        <v>46077</v>
      </c>
      <c r="E334" s="48" t="str">
        <f aca="false">COST!P334</f>
        <v>Pharmacist</v>
      </c>
      <c r="F334" s="63" t="n">
        <f aca="false">COST!R334</f>
        <v>2.25</v>
      </c>
      <c r="G334" s="48" t="str">
        <f aca="false">STACK!M334</f>
        <v/>
      </c>
      <c r="H334" s="1" t="str">
        <f aca="false">C334&amp;"|"&amp;IF(ISNUMBER(D334),TEXT(D334,"yyyy-mm-dd"),"no date")&amp;"|"&amp;E334&amp;"|"&amp;IF(ISNUMBER(F334),TEXT(F334,"0.00"),"blank")</f>
        <v>Naloxone Training and Distribution|2026-02-24|Pharmacist|2.25</v>
      </c>
      <c r="I334" s="1" t="n">
        <f aca="false">COUNTIF($H$5:$H$1624,H334)</f>
        <v>1</v>
      </c>
      <c r="J334" s="1" t="n">
        <f aca="false">COUNTIF($H$5:H334,H334)</f>
        <v>1</v>
      </c>
      <c r="K334" s="1" t="n">
        <f aca="false">COUNTIFS($H$5:$H$1624,H334,$B$5:$B$1624,"&lt;&gt;"&amp;B334)</f>
        <v>0</v>
      </c>
      <c r="L334" s="1" t="str">
        <f aca="false">IF(I334&gt;1,IF(K334&gt;0,"Cross-hospital match","Same-hospital match"),"")</f>
        <v/>
      </c>
      <c r="M334" s="52"/>
      <c r="N334" s="52"/>
      <c r="O334" s="1" t="n">
        <f aca="false">IF(M334="Exclude (duplicate)",0,1)</f>
        <v>1</v>
      </c>
      <c r="P334" s="1" t="str">
        <f aca="false">IF(AND(L334&lt;&gt;"",M334=""),"Needs decision","")</f>
        <v/>
      </c>
    </row>
    <row r="335" customFormat="false" ht="15" hidden="false" customHeight="false" outlineLevel="0" collapsed="false">
      <c r="A335" s="48" t="str">
        <f aca="false">COST!A335</f>
        <v>KVMC-0331</v>
      </c>
      <c r="B335" s="48" t="str">
        <f aca="false">COST!B335</f>
        <v>KVMC</v>
      </c>
      <c r="C335" s="48" t="str">
        <f aca="false">COST!D335</f>
        <v>Mobile Health Screening Unit</v>
      </c>
      <c r="D335" s="62" t="n">
        <f aca="false">COST!M335</f>
        <v>46081</v>
      </c>
      <c r="E335" s="48" t="str">
        <f aca="false">COST!P335</f>
        <v>Community Health Worker</v>
      </c>
      <c r="F335" s="63" t="n">
        <f aca="false">COST!R335</f>
        <v>70</v>
      </c>
      <c r="G335" s="48" t="str">
        <f aca="false">STACK!M335</f>
        <v/>
      </c>
      <c r="H335" s="1" t="str">
        <f aca="false">C335&amp;"|"&amp;IF(ISNUMBER(D335),TEXT(D335,"yyyy-mm-dd"),"no date")&amp;"|"&amp;E335&amp;"|"&amp;IF(ISNUMBER(F335),TEXT(F335,"0.00"),"blank")</f>
        <v>Mobile Health Screening Unit|2026-02-28|Community Health Worker|70.00</v>
      </c>
      <c r="I335" s="1" t="n">
        <f aca="false">COUNTIF($H$5:$H$1624,H335)</f>
        <v>1</v>
      </c>
      <c r="J335" s="1" t="n">
        <f aca="false">COUNTIF($H$5:H335,H335)</f>
        <v>1</v>
      </c>
      <c r="K335" s="1" t="n">
        <f aca="false">COUNTIFS($H$5:$H$1624,H335,$B$5:$B$1624,"&lt;&gt;"&amp;B335)</f>
        <v>0</v>
      </c>
      <c r="L335" s="1" t="str">
        <f aca="false">IF(I335&gt;1,IF(K335&gt;0,"Cross-hospital match","Same-hospital match"),"")</f>
        <v/>
      </c>
      <c r="M335" s="52"/>
      <c r="N335" s="52"/>
      <c r="O335" s="1" t="n">
        <f aca="false">IF(M335="Exclude (duplicate)",0,1)</f>
        <v>1</v>
      </c>
      <c r="P335" s="1" t="str">
        <f aca="false">IF(AND(L335&lt;&gt;"",M335=""),"Needs decision","")</f>
        <v/>
      </c>
    </row>
    <row r="336" customFormat="false" ht="15" hidden="false" customHeight="false" outlineLevel="0" collapsed="false">
      <c r="A336" s="48" t="str">
        <f aca="false">COST!A336</f>
        <v>KVMC-0332</v>
      </c>
      <c r="B336" s="48" t="str">
        <f aca="false">COST!B336</f>
        <v>KVMC</v>
      </c>
      <c r="C336" s="48" t="str">
        <f aca="false">COST!D336</f>
        <v>Mobile Health Screening Unit</v>
      </c>
      <c r="D336" s="62" t="n">
        <f aca="false">COST!M336</f>
        <v>46081</v>
      </c>
      <c r="E336" s="48" t="str">
        <f aca="false">COST!P336</f>
        <v>Medical Assistant</v>
      </c>
      <c r="F336" s="63" t="n">
        <f aca="false">COST!R336</f>
        <v>96.25</v>
      </c>
      <c r="G336" s="48" t="str">
        <f aca="false">STACK!M336</f>
        <v/>
      </c>
      <c r="H336" s="1" t="str">
        <f aca="false">C336&amp;"|"&amp;IF(ISNUMBER(D336),TEXT(D336,"yyyy-mm-dd"),"no date")&amp;"|"&amp;E336&amp;"|"&amp;IF(ISNUMBER(F336),TEXT(F336,"0.00"),"blank")</f>
        <v>Mobile Health Screening Unit|2026-02-28|Medical Assistant|96.25</v>
      </c>
      <c r="I336" s="1" t="n">
        <f aca="false">COUNTIF($H$5:$H$1624,H336)</f>
        <v>1</v>
      </c>
      <c r="J336" s="1" t="n">
        <f aca="false">COUNTIF($H$5:H336,H336)</f>
        <v>1</v>
      </c>
      <c r="K336" s="1" t="n">
        <f aca="false">COUNTIFS($H$5:$H$1624,H336,$B$5:$B$1624,"&lt;&gt;"&amp;B336)</f>
        <v>0</v>
      </c>
      <c r="L336" s="1" t="str">
        <f aca="false">IF(I336&gt;1,IF(K336&gt;0,"Cross-hospital match","Same-hospital match"),"")</f>
        <v/>
      </c>
      <c r="M336" s="52"/>
      <c r="N336" s="52"/>
      <c r="O336" s="1" t="n">
        <f aca="false">IF(M336="Exclude (duplicate)",0,1)</f>
        <v>1</v>
      </c>
      <c r="P336" s="1" t="str">
        <f aca="false">IF(AND(L336&lt;&gt;"",M336=""),"Needs decision","")</f>
        <v/>
      </c>
    </row>
    <row r="337" customFormat="false" ht="15" hidden="false" customHeight="false" outlineLevel="0" collapsed="false">
      <c r="A337" s="48" t="str">
        <f aca="false">COST!A337</f>
        <v>KVMC-0333</v>
      </c>
      <c r="B337" s="48" t="str">
        <f aca="false">COST!B337</f>
        <v>KVMC</v>
      </c>
      <c r="C337" s="48" t="str">
        <f aca="false">COST!D337</f>
        <v>Mobile Health Screening Unit</v>
      </c>
      <c r="D337" s="62" t="n">
        <f aca="false">COST!M337</f>
        <v>46081</v>
      </c>
      <c r="E337" s="48" t="str">
        <f aca="false">COST!P337</f>
        <v>Registered Nurse</v>
      </c>
      <c r="F337" s="63" t="n">
        <f aca="false">COST!R337</f>
        <v>106.25</v>
      </c>
      <c r="G337" s="48" t="str">
        <f aca="false">STACK!M337</f>
        <v/>
      </c>
      <c r="H337" s="1" t="str">
        <f aca="false">C337&amp;"|"&amp;IF(ISNUMBER(D337),TEXT(D337,"yyyy-mm-dd"),"no date")&amp;"|"&amp;E337&amp;"|"&amp;IF(ISNUMBER(F337),TEXT(F337,"0.00"),"blank")</f>
        <v>Mobile Health Screening Unit|2026-02-28|Registered Nurse|106.25</v>
      </c>
      <c r="I337" s="1" t="n">
        <f aca="false">COUNTIF($H$5:$H$1624,H337)</f>
        <v>1</v>
      </c>
      <c r="J337" s="1" t="n">
        <f aca="false">COUNTIF($H$5:H337,H337)</f>
        <v>1</v>
      </c>
      <c r="K337" s="1" t="n">
        <f aca="false">COUNTIFS($H$5:$H$1624,H337,$B$5:$B$1624,"&lt;&gt;"&amp;B337)</f>
        <v>0</v>
      </c>
      <c r="L337" s="1" t="str">
        <f aca="false">IF(I337&gt;1,IF(K337&gt;0,"Cross-hospital match","Same-hospital match"),"")</f>
        <v/>
      </c>
      <c r="M337" s="52"/>
      <c r="N337" s="52"/>
      <c r="O337" s="1" t="n">
        <f aca="false">IF(M337="Exclude (duplicate)",0,1)</f>
        <v>1</v>
      </c>
      <c r="P337" s="1" t="str">
        <f aca="false">IF(AND(L337&lt;&gt;"",M337=""),"Needs decision","")</f>
        <v/>
      </c>
    </row>
    <row r="338" customFormat="false" ht="15" hidden="false" customHeight="false" outlineLevel="0" collapsed="false">
      <c r="A338" s="48" t="str">
        <f aca="false">COST!A338</f>
        <v>KVMC-0334</v>
      </c>
      <c r="B338" s="48" t="str">
        <f aca="false">COST!B338</f>
        <v>KVMC</v>
      </c>
      <c r="C338" s="48" t="str">
        <f aca="false">COST!D338</f>
        <v>Grief Support Group</v>
      </c>
      <c r="D338" s="62" t="n">
        <f aca="false">COST!M338</f>
        <v>46081</v>
      </c>
      <c r="E338" s="48" t="str">
        <f aca="false">COST!P338</f>
        <v>Chaplain</v>
      </c>
      <c r="F338" s="63" t="n">
        <f aca="false">COST!R338</f>
        <v>2</v>
      </c>
      <c r="G338" s="48" t="str">
        <f aca="false">STACK!M338</f>
        <v/>
      </c>
      <c r="H338" s="1" t="str">
        <f aca="false">C338&amp;"|"&amp;IF(ISNUMBER(D338),TEXT(D338,"yyyy-mm-dd"),"no date")&amp;"|"&amp;E338&amp;"|"&amp;IF(ISNUMBER(F338),TEXT(F338,"0.00"),"blank")</f>
        <v>Grief Support Group|2026-02-28|Chaplain|2.00</v>
      </c>
      <c r="I338" s="1" t="n">
        <f aca="false">COUNTIF($H$5:$H$1624,H338)</f>
        <v>1</v>
      </c>
      <c r="J338" s="1" t="n">
        <f aca="false">COUNTIF($H$5:H338,H338)</f>
        <v>1</v>
      </c>
      <c r="K338" s="1" t="n">
        <f aca="false">COUNTIFS($H$5:$H$1624,H338,$B$5:$B$1624,"&lt;&gt;"&amp;B338)</f>
        <v>0</v>
      </c>
      <c r="L338" s="1" t="str">
        <f aca="false">IF(I338&gt;1,IF(K338&gt;0,"Cross-hospital match","Same-hospital match"),"")</f>
        <v/>
      </c>
      <c r="M338" s="52"/>
      <c r="N338" s="52"/>
      <c r="O338" s="1" t="n">
        <f aca="false">IF(M338="Exclude (duplicate)",0,1)</f>
        <v>1</v>
      </c>
      <c r="P338" s="1" t="str">
        <f aca="false">IF(AND(L338&lt;&gt;"",M338=""),"Needs decision","")</f>
        <v/>
      </c>
    </row>
    <row r="339" customFormat="false" ht="15" hidden="false" customHeight="false" outlineLevel="0" collapsed="false">
      <c r="A339" s="48" t="str">
        <f aca="false">COST!A339</f>
        <v>KVMC-0335</v>
      </c>
      <c r="B339" s="48" t="str">
        <f aca="false">COST!B339</f>
        <v>KVMC</v>
      </c>
      <c r="C339" s="48" t="str">
        <f aca="false">COST!D339</f>
        <v>Grief Support Group</v>
      </c>
      <c r="D339" s="62" t="n">
        <f aca="false">COST!M339</f>
        <v>46081</v>
      </c>
      <c r="E339" s="48" t="str">
        <f aca="false">COST!P339</f>
        <v>Social Worker</v>
      </c>
      <c r="F339" s="63" t="n">
        <f aca="false">COST!R339</f>
        <v>2</v>
      </c>
      <c r="G339" s="48" t="str">
        <f aca="false">STACK!M339</f>
        <v/>
      </c>
      <c r="H339" s="1" t="str">
        <f aca="false">C339&amp;"|"&amp;IF(ISNUMBER(D339),TEXT(D339,"yyyy-mm-dd"),"no date")&amp;"|"&amp;E339&amp;"|"&amp;IF(ISNUMBER(F339),TEXT(F339,"0.00"),"blank")</f>
        <v>Grief Support Group|2026-02-28|Social Worker|2.00</v>
      </c>
      <c r="I339" s="1" t="n">
        <f aca="false">COUNTIF($H$5:$H$1624,H339)</f>
        <v>1</v>
      </c>
      <c r="J339" s="1" t="n">
        <f aca="false">COUNTIF($H$5:H339,H339)</f>
        <v>1</v>
      </c>
      <c r="K339" s="1" t="n">
        <f aca="false">COUNTIFS($H$5:$H$1624,H339,$B$5:$B$1624,"&lt;&gt;"&amp;B339)</f>
        <v>0</v>
      </c>
      <c r="L339" s="1" t="str">
        <f aca="false">IF(I339&gt;1,IF(K339&gt;0,"Cross-hospital match","Same-hospital match"),"")</f>
        <v/>
      </c>
      <c r="M339" s="52"/>
      <c r="N339" s="52"/>
      <c r="O339" s="1" t="n">
        <f aca="false">IF(M339="Exclude (duplicate)",0,1)</f>
        <v>1</v>
      </c>
      <c r="P339" s="1" t="str">
        <f aca="false">IF(AND(L339&lt;&gt;"",M339=""),"Needs decision","")</f>
        <v/>
      </c>
    </row>
    <row r="340" customFormat="false" ht="15" hidden="false" customHeight="false" outlineLevel="0" collapsed="false">
      <c r="A340" s="48" t="str">
        <f aca="false">COST!A340</f>
        <v>KVMC-0336</v>
      </c>
      <c r="B340" s="48" t="str">
        <f aca="false">COST!B340</f>
        <v>KVMC</v>
      </c>
      <c r="C340" s="48" t="str">
        <f aca="false">COST!D340</f>
        <v>Free Clinic Provider Staffing</v>
      </c>
      <c r="D340" s="62" t="n">
        <f aca="false">COST!M340</f>
        <v>46081</v>
      </c>
      <c r="E340" s="48" t="str">
        <f aca="false">COST!P340</f>
        <v>Nurse Practitioner</v>
      </c>
      <c r="F340" s="63" t="n">
        <f aca="false">COST!R340</f>
        <v>38.75</v>
      </c>
      <c r="G340" s="48" t="str">
        <f aca="false">STACK!M340</f>
        <v/>
      </c>
      <c r="H340" s="1" t="str">
        <f aca="false">C340&amp;"|"&amp;IF(ISNUMBER(D340),TEXT(D340,"yyyy-mm-dd"),"no date")&amp;"|"&amp;E340&amp;"|"&amp;IF(ISNUMBER(F340),TEXT(F340,"0.00"),"blank")</f>
        <v>Free Clinic Provider Staffing|2026-02-28|Nurse Practitioner|38.75</v>
      </c>
      <c r="I340" s="1" t="n">
        <f aca="false">COUNTIF($H$5:$H$1624,H340)</f>
        <v>1</v>
      </c>
      <c r="J340" s="1" t="n">
        <f aca="false">COUNTIF($H$5:H340,H340)</f>
        <v>1</v>
      </c>
      <c r="K340" s="1" t="n">
        <f aca="false">COUNTIFS($H$5:$H$1624,H340,$B$5:$B$1624,"&lt;&gt;"&amp;B340)</f>
        <v>0</v>
      </c>
      <c r="L340" s="1" t="str">
        <f aca="false">IF(I340&gt;1,IF(K340&gt;0,"Cross-hospital match","Same-hospital match"),"")</f>
        <v/>
      </c>
      <c r="M340" s="52"/>
      <c r="N340" s="52"/>
      <c r="O340" s="1" t="n">
        <f aca="false">IF(M340="Exclude (duplicate)",0,1)</f>
        <v>1</v>
      </c>
      <c r="P340" s="1" t="str">
        <f aca="false">IF(AND(L340&lt;&gt;"",M340=""),"Needs decision","")</f>
        <v/>
      </c>
    </row>
    <row r="341" customFormat="false" ht="15" hidden="false" customHeight="false" outlineLevel="0" collapsed="false">
      <c r="A341" s="48" t="str">
        <f aca="false">COST!A341</f>
        <v>KVMC-0337</v>
      </c>
      <c r="B341" s="48" t="str">
        <f aca="false">COST!B341</f>
        <v>KVMC</v>
      </c>
      <c r="C341" s="48" t="str">
        <f aca="false">COST!D341</f>
        <v>Free Clinic Provider Staffing</v>
      </c>
      <c r="D341" s="62" t="n">
        <f aca="false">COST!M341</f>
        <v>46081</v>
      </c>
      <c r="E341" s="48" t="str">
        <f aca="false">COST!P341</f>
        <v>Pharmacist</v>
      </c>
      <c r="F341" s="63" t="n">
        <f aca="false">COST!R341</f>
        <v>21</v>
      </c>
      <c r="G341" s="48" t="str">
        <f aca="false">STACK!M341</f>
        <v/>
      </c>
      <c r="H341" s="1" t="str">
        <f aca="false">C341&amp;"|"&amp;IF(ISNUMBER(D341),TEXT(D341,"yyyy-mm-dd"),"no date")&amp;"|"&amp;E341&amp;"|"&amp;IF(ISNUMBER(F341),TEXT(F341,"0.00"),"blank")</f>
        <v>Free Clinic Provider Staffing|2026-02-28|Pharmacist|21.00</v>
      </c>
      <c r="I341" s="1" t="n">
        <f aca="false">COUNTIF($H$5:$H$1624,H341)</f>
        <v>1</v>
      </c>
      <c r="J341" s="1" t="n">
        <f aca="false">COUNTIF($H$5:H341,H341)</f>
        <v>1</v>
      </c>
      <c r="K341" s="1" t="n">
        <f aca="false">COUNTIFS($H$5:$H$1624,H341,$B$5:$B$1624,"&lt;&gt;"&amp;B341)</f>
        <v>0</v>
      </c>
      <c r="L341" s="1" t="str">
        <f aca="false">IF(I341&gt;1,IF(K341&gt;0,"Cross-hospital match","Same-hospital match"),"")</f>
        <v/>
      </c>
      <c r="M341" s="52"/>
      <c r="N341" s="52"/>
      <c r="O341" s="1" t="n">
        <f aca="false">IF(M341="Exclude (duplicate)",0,1)</f>
        <v>1</v>
      </c>
      <c r="P341" s="1" t="str">
        <f aca="false">IF(AND(L341&lt;&gt;"",M341=""),"Needs decision","")</f>
        <v/>
      </c>
    </row>
    <row r="342" customFormat="false" ht="15" hidden="false" customHeight="false" outlineLevel="0" collapsed="false">
      <c r="A342" s="48" t="str">
        <f aca="false">COST!A342</f>
        <v>KVMC-0338</v>
      </c>
      <c r="B342" s="48" t="str">
        <f aca="false">COST!B342</f>
        <v>KVMC</v>
      </c>
      <c r="C342" s="48" t="str">
        <f aca="false">COST!D342</f>
        <v>Free Clinic Provider Staffing</v>
      </c>
      <c r="D342" s="62" t="n">
        <f aca="false">COST!M342</f>
        <v>46081</v>
      </c>
      <c r="E342" s="48" t="str">
        <f aca="false">COST!P342</f>
        <v>Registered Nurse</v>
      </c>
      <c r="F342" s="63" t="n">
        <f aca="false">COST!R342</f>
        <v>56.75</v>
      </c>
      <c r="G342" s="48" t="str">
        <f aca="false">STACK!M342</f>
        <v/>
      </c>
      <c r="H342" s="1" t="str">
        <f aca="false">C342&amp;"|"&amp;IF(ISNUMBER(D342),TEXT(D342,"yyyy-mm-dd"),"no date")&amp;"|"&amp;E342&amp;"|"&amp;IF(ISNUMBER(F342),TEXT(F342,"0.00"),"blank")</f>
        <v>Free Clinic Provider Staffing|2026-02-28|Registered Nurse|56.75</v>
      </c>
      <c r="I342" s="1" t="n">
        <f aca="false">COUNTIF($H$5:$H$1624,H342)</f>
        <v>1</v>
      </c>
      <c r="J342" s="1" t="n">
        <f aca="false">COUNTIF($H$5:H342,H342)</f>
        <v>1</v>
      </c>
      <c r="K342" s="1" t="n">
        <f aca="false">COUNTIFS($H$5:$H$1624,H342,$B$5:$B$1624,"&lt;&gt;"&amp;B342)</f>
        <v>0</v>
      </c>
      <c r="L342" s="1" t="str">
        <f aca="false">IF(I342&gt;1,IF(K342&gt;0,"Cross-hospital match","Same-hospital match"),"")</f>
        <v/>
      </c>
      <c r="M342" s="52"/>
      <c r="N342" s="52"/>
      <c r="O342" s="1" t="n">
        <f aca="false">IF(M342="Exclude (duplicate)",0,1)</f>
        <v>1</v>
      </c>
      <c r="P342" s="1" t="str">
        <f aca="false">IF(AND(L342&lt;&gt;"",M342=""),"Needs decision","")</f>
        <v/>
      </c>
    </row>
    <row r="343" customFormat="false" ht="15" hidden="false" customHeight="false" outlineLevel="0" collapsed="false">
      <c r="A343" s="48" t="str">
        <f aca="false">COST!A343</f>
        <v>KVMC-0339</v>
      </c>
      <c r="B343" s="48" t="str">
        <f aca="false">COST!B343</f>
        <v>KVMC</v>
      </c>
      <c r="C343" s="48" t="str">
        <f aca="false">COST!D343</f>
        <v>Community Health Worker Outreach</v>
      </c>
      <c r="D343" s="62" t="n">
        <f aca="false">COST!M343</f>
        <v>46081</v>
      </c>
      <c r="E343" s="48" t="str">
        <f aca="false">COST!P343</f>
        <v>Community Health Worker</v>
      </c>
      <c r="F343" s="63" t="n">
        <f aca="false">COST!R343</f>
        <v>391.5</v>
      </c>
      <c r="G343" s="48" t="str">
        <f aca="false">STACK!M343</f>
        <v/>
      </c>
      <c r="H343" s="1" t="str">
        <f aca="false">C343&amp;"|"&amp;IF(ISNUMBER(D343),TEXT(D343,"yyyy-mm-dd"),"no date")&amp;"|"&amp;E343&amp;"|"&amp;IF(ISNUMBER(F343),TEXT(F343,"0.00"),"blank")</f>
        <v>Community Health Worker Outreach|2026-02-28|Community Health Worker|391.50</v>
      </c>
      <c r="I343" s="1" t="n">
        <f aca="false">COUNTIF($H$5:$H$1624,H343)</f>
        <v>1</v>
      </c>
      <c r="J343" s="1" t="n">
        <f aca="false">COUNTIF($H$5:H343,H343)</f>
        <v>1</v>
      </c>
      <c r="K343" s="1" t="n">
        <f aca="false">COUNTIFS($H$5:$H$1624,H343,$B$5:$B$1624,"&lt;&gt;"&amp;B343)</f>
        <v>0</v>
      </c>
      <c r="L343" s="1" t="str">
        <f aca="false">IF(I343&gt;1,IF(K343&gt;0,"Cross-hospital match","Same-hospital match"),"")</f>
        <v/>
      </c>
      <c r="M343" s="52"/>
      <c r="N343" s="52"/>
      <c r="O343" s="1" t="n">
        <f aca="false">IF(M343="Exclude (duplicate)",0,1)</f>
        <v>1</v>
      </c>
      <c r="P343" s="1" t="str">
        <f aca="false">IF(AND(L343&lt;&gt;"",M343=""),"Needs decision","")</f>
        <v/>
      </c>
    </row>
    <row r="344" customFormat="false" ht="15" hidden="false" customHeight="false" outlineLevel="0" collapsed="false">
      <c r="A344" s="48" t="str">
        <f aca="false">COST!A344</f>
        <v>KVMC-0340</v>
      </c>
      <c r="B344" s="48" t="str">
        <f aca="false">COST!B344</f>
        <v>KVMC</v>
      </c>
      <c r="C344" s="48" t="str">
        <f aca="false">COST!D344</f>
        <v>Community Health Worker Outreach</v>
      </c>
      <c r="D344" s="62" t="n">
        <f aca="false">COST!M344</f>
        <v>46081</v>
      </c>
      <c r="E344" s="48" t="str">
        <f aca="false">COST!P344</f>
        <v>Patient Navigator</v>
      </c>
      <c r="F344" s="63" t="n">
        <f aca="false">COST!R344</f>
        <v>187.25</v>
      </c>
      <c r="G344" s="48" t="str">
        <f aca="false">STACK!M344</f>
        <v/>
      </c>
      <c r="H344" s="1" t="str">
        <f aca="false">C344&amp;"|"&amp;IF(ISNUMBER(D344),TEXT(D344,"yyyy-mm-dd"),"no date")&amp;"|"&amp;E344&amp;"|"&amp;IF(ISNUMBER(F344),TEXT(F344,"0.00"),"blank")</f>
        <v>Community Health Worker Outreach|2026-02-28|Patient Navigator|187.25</v>
      </c>
      <c r="I344" s="1" t="n">
        <f aca="false">COUNTIF($H$5:$H$1624,H344)</f>
        <v>1</v>
      </c>
      <c r="J344" s="1" t="n">
        <f aca="false">COUNTIF($H$5:H344,H344)</f>
        <v>1</v>
      </c>
      <c r="K344" s="1" t="n">
        <f aca="false">COUNTIFS($H$5:$H$1624,H344,$B$5:$B$1624,"&lt;&gt;"&amp;B344)</f>
        <v>0</v>
      </c>
      <c r="L344" s="1" t="str">
        <f aca="false">IF(I344&gt;1,IF(K344&gt;0,"Cross-hospital match","Same-hospital match"),"")</f>
        <v/>
      </c>
      <c r="M344" s="52"/>
      <c r="N344" s="52"/>
      <c r="O344" s="1" t="n">
        <f aca="false">IF(M344="Exclude (duplicate)",0,1)</f>
        <v>1</v>
      </c>
      <c r="P344" s="1" t="str">
        <f aca="false">IF(AND(L344&lt;&gt;"",M344=""),"Needs decision","")</f>
        <v/>
      </c>
    </row>
    <row r="345" customFormat="false" ht="15" hidden="false" customHeight="false" outlineLevel="0" collapsed="false">
      <c r="A345" s="48" t="str">
        <f aca="false">COST!A345</f>
        <v>KVMC-0341</v>
      </c>
      <c r="B345" s="48" t="str">
        <f aca="false">COST!B345</f>
        <v>KVMC</v>
      </c>
      <c r="C345" s="48" t="str">
        <f aca="false">COST!D345</f>
        <v>Medication Assistance Program</v>
      </c>
      <c r="D345" s="62" t="n">
        <f aca="false">COST!M345</f>
        <v>46081</v>
      </c>
      <c r="E345" s="48" t="str">
        <f aca="false">COST!P345</f>
        <v>Patient Navigator</v>
      </c>
      <c r="F345" s="63" t="n">
        <f aca="false">COST!R345</f>
        <v>103</v>
      </c>
      <c r="G345" s="48" t="str">
        <f aca="false">STACK!M345</f>
        <v/>
      </c>
      <c r="H345" s="1" t="str">
        <f aca="false">C345&amp;"|"&amp;IF(ISNUMBER(D345),TEXT(D345,"yyyy-mm-dd"),"no date")&amp;"|"&amp;E345&amp;"|"&amp;IF(ISNUMBER(F345),TEXT(F345,"0.00"),"blank")</f>
        <v>Medication Assistance Program|2026-02-28|Patient Navigator|103.00</v>
      </c>
      <c r="I345" s="1" t="n">
        <f aca="false">COUNTIF($H$5:$H$1624,H345)</f>
        <v>1</v>
      </c>
      <c r="J345" s="1" t="n">
        <f aca="false">COUNTIF($H$5:H345,H345)</f>
        <v>1</v>
      </c>
      <c r="K345" s="1" t="n">
        <f aca="false">COUNTIFS($H$5:$H$1624,H345,$B$5:$B$1624,"&lt;&gt;"&amp;B345)</f>
        <v>0</v>
      </c>
      <c r="L345" s="1" t="str">
        <f aca="false">IF(I345&gt;1,IF(K345&gt;0,"Cross-hospital match","Same-hospital match"),"")</f>
        <v/>
      </c>
      <c r="M345" s="52"/>
      <c r="N345" s="52"/>
      <c r="O345" s="1" t="n">
        <f aca="false">IF(M345="Exclude (duplicate)",0,1)</f>
        <v>1</v>
      </c>
      <c r="P345" s="1" t="str">
        <f aca="false">IF(AND(L345&lt;&gt;"",M345=""),"Needs decision","")</f>
        <v/>
      </c>
    </row>
    <row r="346" customFormat="false" ht="15" hidden="false" customHeight="false" outlineLevel="0" collapsed="false">
      <c r="A346" s="48" t="str">
        <f aca="false">COST!A346</f>
        <v>KVMC-0342</v>
      </c>
      <c r="B346" s="48" t="str">
        <f aca="false">COST!B346</f>
        <v>KVMC</v>
      </c>
      <c r="C346" s="48" t="str">
        <f aca="false">COST!D346</f>
        <v>Medication Assistance Program</v>
      </c>
      <c r="D346" s="62" t="n">
        <f aca="false">COST!M346</f>
        <v>46081</v>
      </c>
      <c r="E346" s="48" t="str">
        <f aca="false">COST!P346</f>
        <v>Pharmacist</v>
      </c>
      <c r="F346" s="63" t="n">
        <f aca="false">COST!R346</f>
        <v>22.75</v>
      </c>
      <c r="G346" s="48" t="str">
        <f aca="false">STACK!M346</f>
        <v/>
      </c>
      <c r="H346" s="1" t="str">
        <f aca="false">C346&amp;"|"&amp;IF(ISNUMBER(D346),TEXT(D346,"yyyy-mm-dd"),"no date")&amp;"|"&amp;E346&amp;"|"&amp;IF(ISNUMBER(F346),TEXT(F346,"0.00"),"blank")</f>
        <v>Medication Assistance Program|2026-02-28|Pharmacist|22.75</v>
      </c>
      <c r="I346" s="1" t="n">
        <f aca="false">COUNTIF($H$5:$H$1624,H346)</f>
        <v>1</v>
      </c>
      <c r="J346" s="1" t="n">
        <f aca="false">COUNTIF($H$5:H346,H346)</f>
        <v>1</v>
      </c>
      <c r="K346" s="1" t="n">
        <f aca="false">COUNTIFS($H$5:$H$1624,H346,$B$5:$B$1624,"&lt;&gt;"&amp;B346)</f>
        <v>0</v>
      </c>
      <c r="L346" s="1" t="str">
        <f aca="false">IF(I346&gt;1,IF(K346&gt;0,"Cross-hospital match","Same-hospital match"),"")</f>
        <v/>
      </c>
      <c r="M346" s="52"/>
      <c r="N346" s="52"/>
      <c r="O346" s="1" t="n">
        <f aca="false">IF(M346="Exclude (duplicate)",0,1)</f>
        <v>1</v>
      </c>
      <c r="P346" s="1" t="str">
        <f aca="false">IF(AND(L346&lt;&gt;"",M346=""),"Needs decision","")</f>
        <v/>
      </c>
    </row>
    <row r="347" customFormat="false" ht="15" hidden="false" customHeight="false" outlineLevel="0" collapsed="false">
      <c r="A347" s="48" t="str">
        <f aca="false">COST!A347</f>
        <v>KVMC-0343</v>
      </c>
      <c r="B347" s="48" t="str">
        <f aca="false">COST!B347</f>
        <v>KVMC</v>
      </c>
      <c r="C347" s="48" t="str">
        <f aca="false">COST!D347</f>
        <v>Community Health Needs Assessment</v>
      </c>
      <c r="D347" s="62" t="n">
        <f aca="false">COST!M347</f>
        <v>46081</v>
      </c>
      <c r="E347" s="48" t="str">
        <f aca="false">COST!P347</f>
        <v>Community Benefit Manager</v>
      </c>
      <c r="F347" s="63" t="n">
        <f aca="false">COST!R347</f>
        <v>121.75</v>
      </c>
      <c r="G347" s="48" t="str">
        <f aca="false">STACK!M347</f>
        <v/>
      </c>
      <c r="H347" s="1" t="str">
        <f aca="false">C347&amp;"|"&amp;IF(ISNUMBER(D347),TEXT(D347,"yyyy-mm-dd"),"no date")&amp;"|"&amp;E347&amp;"|"&amp;IF(ISNUMBER(F347),TEXT(F347,"0.00"),"blank")</f>
        <v>Community Health Needs Assessment|2026-02-28|Community Benefit Manager|121.75</v>
      </c>
      <c r="I347" s="1" t="n">
        <f aca="false">COUNTIF($H$5:$H$1624,H347)</f>
        <v>2</v>
      </c>
      <c r="J347" s="1" t="n">
        <f aca="false">COUNTIF($H$5:H347,H347)</f>
        <v>1</v>
      </c>
      <c r="K347" s="1" t="n">
        <f aca="false">COUNTIFS($H$5:$H$1624,H347,$B$5:$B$1624,"&lt;&gt;"&amp;B347)</f>
        <v>1</v>
      </c>
      <c r="L347" s="1" t="str">
        <f aca="false">IF(I347&gt;1,IF(K347&gt;0,"Cross-hospital match","Same-hospital match"),"")</f>
        <v>Cross-hospital match</v>
      </c>
      <c r="M347" s="52" t="s">
        <v>2959</v>
      </c>
      <c r="N347" s="52" t="s">
        <v>2960</v>
      </c>
      <c r="O347" s="1" t="n">
        <f aca="false">IF(M347="Exclude (duplicate)",0,1)</f>
        <v>1</v>
      </c>
      <c r="P347" s="1" t="str">
        <f aca="false">IF(AND(L347&lt;&gt;"",M347=""),"Needs decision","")</f>
        <v/>
      </c>
    </row>
    <row r="348" customFormat="false" ht="15" hidden="false" customHeight="false" outlineLevel="0" collapsed="false">
      <c r="A348" s="48" t="str">
        <f aca="false">COST!A348</f>
        <v>KVMC-0344</v>
      </c>
      <c r="B348" s="48" t="str">
        <f aca="false">COST!B348</f>
        <v>KVMC</v>
      </c>
      <c r="C348" s="48" t="str">
        <f aca="false">COST!D348</f>
        <v>Community Health Needs Assessment</v>
      </c>
      <c r="D348" s="62" t="n">
        <f aca="false">COST!M348</f>
        <v>46081</v>
      </c>
      <c r="E348" s="48" t="str">
        <f aca="false">COST!P348</f>
        <v>Data Analyst</v>
      </c>
      <c r="F348" s="63" t="n">
        <f aca="false">COST!R348</f>
        <v>71</v>
      </c>
      <c r="G348" s="48" t="str">
        <f aca="false">STACK!M348</f>
        <v/>
      </c>
      <c r="H348" s="1" t="str">
        <f aca="false">C348&amp;"|"&amp;IF(ISNUMBER(D348),TEXT(D348,"yyyy-mm-dd"),"no date")&amp;"|"&amp;E348&amp;"|"&amp;IF(ISNUMBER(F348),TEXT(F348,"0.00"),"blank")</f>
        <v>Community Health Needs Assessment|2026-02-28|Data Analyst|71.00</v>
      </c>
      <c r="I348" s="1" t="n">
        <f aca="false">COUNTIF($H$5:$H$1624,H348)</f>
        <v>2</v>
      </c>
      <c r="J348" s="1" t="n">
        <f aca="false">COUNTIF($H$5:H348,H348)</f>
        <v>1</v>
      </c>
      <c r="K348" s="1" t="n">
        <f aca="false">COUNTIFS($H$5:$H$1624,H348,$B$5:$B$1624,"&lt;&gt;"&amp;B348)</f>
        <v>1</v>
      </c>
      <c r="L348" s="1" t="str">
        <f aca="false">IF(I348&gt;1,IF(K348&gt;0,"Cross-hospital match","Same-hospital match"),"")</f>
        <v>Cross-hospital match</v>
      </c>
      <c r="M348" s="52" t="s">
        <v>2959</v>
      </c>
      <c r="N348" s="52" t="s">
        <v>2960</v>
      </c>
      <c r="O348" s="1" t="n">
        <f aca="false">IF(M348="Exclude (duplicate)",0,1)</f>
        <v>1</v>
      </c>
      <c r="P348" s="1" t="str">
        <f aca="false">IF(AND(L348&lt;&gt;"",M348=""),"Needs decision","")</f>
        <v/>
      </c>
    </row>
    <row r="349" customFormat="false" ht="15" hidden="false" customHeight="false" outlineLevel="0" collapsed="false">
      <c r="A349" s="48" t="str">
        <f aca="false">COST!A349</f>
        <v>KVMC-0345</v>
      </c>
      <c r="B349" s="48" t="str">
        <f aca="false">COST!B349</f>
        <v>KVMC</v>
      </c>
      <c r="C349" s="48" t="str">
        <f aca="false">COST!D349</f>
        <v>Community Benefit Program Administration</v>
      </c>
      <c r="D349" s="62" t="n">
        <f aca="false">COST!M349</f>
        <v>46081</v>
      </c>
      <c r="E349" s="48" t="str">
        <f aca="false">COST!P349</f>
        <v>Administrative Assistant</v>
      </c>
      <c r="F349" s="63" t="n">
        <f aca="false">COST!R349</f>
        <v>59.75</v>
      </c>
      <c r="G349" s="48" t="str">
        <f aca="false">STACK!M349</f>
        <v/>
      </c>
      <c r="H349" s="1" t="str">
        <f aca="false">C349&amp;"|"&amp;IF(ISNUMBER(D349),TEXT(D349,"yyyy-mm-dd"),"no date")&amp;"|"&amp;E349&amp;"|"&amp;IF(ISNUMBER(F349),TEXT(F349,"0.00"),"blank")</f>
        <v>Community Benefit Program Administration|2026-02-28|Administrative Assistant|59.75</v>
      </c>
      <c r="I349" s="1" t="n">
        <f aca="false">COUNTIF($H$5:$H$1624,H349)</f>
        <v>1</v>
      </c>
      <c r="J349" s="1" t="n">
        <f aca="false">COUNTIF($H$5:H349,H349)</f>
        <v>1</v>
      </c>
      <c r="K349" s="1" t="n">
        <f aca="false">COUNTIFS($H$5:$H$1624,H349,$B$5:$B$1624,"&lt;&gt;"&amp;B349)</f>
        <v>0</v>
      </c>
      <c r="L349" s="1" t="str">
        <f aca="false">IF(I349&gt;1,IF(K349&gt;0,"Cross-hospital match","Same-hospital match"),"")</f>
        <v/>
      </c>
      <c r="M349" s="52"/>
      <c r="N349" s="52"/>
      <c r="O349" s="1" t="n">
        <f aca="false">IF(M349="Exclude (duplicate)",0,1)</f>
        <v>1</v>
      </c>
      <c r="P349" s="1" t="str">
        <f aca="false">IF(AND(L349&lt;&gt;"",M349=""),"Needs decision","")</f>
        <v/>
      </c>
    </row>
    <row r="350" customFormat="false" ht="15" hidden="false" customHeight="false" outlineLevel="0" collapsed="false">
      <c r="A350" s="48" t="str">
        <f aca="false">COST!A350</f>
        <v>KVMC-0346</v>
      </c>
      <c r="B350" s="48" t="str">
        <f aca="false">COST!B350</f>
        <v>KVMC</v>
      </c>
      <c r="C350" s="48" t="str">
        <f aca="false">COST!D350</f>
        <v>Community Benefit Program Administration</v>
      </c>
      <c r="D350" s="62" t="n">
        <f aca="false">COST!M350</f>
        <v>46081</v>
      </c>
      <c r="E350" s="48" t="str">
        <f aca="false">COST!P350</f>
        <v>Community Benefit Manager</v>
      </c>
      <c r="F350" s="63" t="n">
        <f aca="false">COST!R350</f>
        <v>73.75</v>
      </c>
      <c r="G350" s="48" t="str">
        <f aca="false">STACK!M350</f>
        <v/>
      </c>
      <c r="H350" s="1" t="str">
        <f aca="false">C350&amp;"|"&amp;IF(ISNUMBER(D350),TEXT(D350,"yyyy-mm-dd"),"no date")&amp;"|"&amp;E350&amp;"|"&amp;IF(ISNUMBER(F350),TEXT(F350,"0.00"),"blank")</f>
        <v>Community Benefit Program Administration|2026-02-28|Community Benefit Manager|73.75</v>
      </c>
      <c r="I350" s="1" t="n">
        <f aca="false">COUNTIF($H$5:$H$1624,H350)</f>
        <v>1</v>
      </c>
      <c r="J350" s="1" t="n">
        <f aca="false">COUNTIF($H$5:H350,H350)</f>
        <v>1</v>
      </c>
      <c r="K350" s="1" t="n">
        <f aca="false">COUNTIFS($H$5:$H$1624,H350,$B$5:$B$1624,"&lt;&gt;"&amp;B350)</f>
        <v>0</v>
      </c>
      <c r="L350" s="1" t="str">
        <f aca="false">IF(I350&gt;1,IF(K350&gt;0,"Cross-hospital match","Same-hospital match"),"")</f>
        <v/>
      </c>
      <c r="M350" s="52"/>
      <c r="N350" s="52"/>
      <c r="O350" s="1" t="n">
        <f aca="false">IF(M350="Exclude (duplicate)",0,1)</f>
        <v>1</v>
      </c>
      <c r="P350" s="1" t="str">
        <f aca="false">IF(AND(L350&lt;&gt;"",M350=""),"Needs decision","")</f>
        <v/>
      </c>
    </row>
    <row r="351" customFormat="false" ht="15" hidden="false" customHeight="false" outlineLevel="0" collapsed="false">
      <c r="A351" s="48" t="str">
        <f aca="false">COST!A351</f>
        <v>KVMC-0347</v>
      </c>
      <c r="B351" s="48" t="str">
        <f aca="false">COST!B351</f>
        <v>KVMC</v>
      </c>
      <c r="C351" s="48" t="str">
        <f aca="false">COST!D351</f>
        <v>Interpreter Services for Community Clinics</v>
      </c>
      <c r="D351" s="62" t="n">
        <f aca="false">COST!M351</f>
        <v>46081</v>
      </c>
      <c r="E351" s="48" t="str">
        <f aca="false">COST!P351</f>
        <v>Interpreter</v>
      </c>
      <c r="F351" s="63" t="n">
        <f aca="false">COST!R351</f>
        <v>70.5</v>
      </c>
      <c r="G351" s="48" t="str">
        <f aca="false">STACK!M351</f>
        <v/>
      </c>
      <c r="H351" s="1" t="str">
        <f aca="false">C351&amp;"|"&amp;IF(ISNUMBER(D351),TEXT(D351,"yyyy-mm-dd"),"no date")&amp;"|"&amp;E351&amp;"|"&amp;IF(ISNUMBER(F351),TEXT(F351,"0.00"),"blank")</f>
        <v>Interpreter Services for Community Clinics|2026-02-28|Interpreter|70.50</v>
      </c>
      <c r="I351" s="1" t="n">
        <f aca="false">COUNTIF($H$5:$H$1624,H351)</f>
        <v>1</v>
      </c>
      <c r="J351" s="1" t="n">
        <f aca="false">COUNTIF($H$5:H351,H351)</f>
        <v>1</v>
      </c>
      <c r="K351" s="1" t="n">
        <f aca="false">COUNTIFS($H$5:$H$1624,H351,$B$5:$B$1624,"&lt;&gt;"&amp;B351)</f>
        <v>0</v>
      </c>
      <c r="L351" s="1" t="str">
        <f aca="false">IF(I351&gt;1,IF(K351&gt;0,"Cross-hospital match","Same-hospital match"),"")</f>
        <v/>
      </c>
      <c r="M351" s="52"/>
      <c r="N351" s="52"/>
      <c r="O351" s="1" t="n">
        <f aca="false">IF(M351="Exclude (duplicate)",0,1)</f>
        <v>1</v>
      </c>
      <c r="P351" s="1" t="str">
        <f aca="false">IF(AND(L351&lt;&gt;"",M351=""),"Needs decision","")</f>
        <v/>
      </c>
    </row>
    <row r="352" customFormat="false" ht="15" hidden="false" customHeight="false" outlineLevel="0" collapsed="false">
      <c r="A352" s="48" t="str">
        <f aca="false">COST!A352</f>
        <v>KVMC-0348</v>
      </c>
      <c r="B352" s="48" t="str">
        <f aca="false">COST!B352</f>
        <v>KVMC</v>
      </c>
      <c r="C352" s="48" t="str">
        <f aca="false">COST!D352</f>
        <v>Nursing Student Clinical Rotations</v>
      </c>
      <c r="D352" s="62" t="n">
        <f aca="false">COST!M352</f>
        <v>46081</v>
      </c>
      <c r="E352" s="48" t="str">
        <f aca="false">COST!P352</f>
        <v>Clinical Nurse Educator</v>
      </c>
      <c r="F352" s="63" t="n">
        <f aca="false">COST!R352</f>
        <v>169.75</v>
      </c>
      <c r="G352" s="48" t="str">
        <f aca="false">STACK!M352</f>
        <v/>
      </c>
      <c r="H352" s="1" t="str">
        <f aca="false">C352&amp;"|"&amp;IF(ISNUMBER(D352),TEXT(D352,"yyyy-mm-dd"),"no date")&amp;"|"&amp;E352&amp;"|"&amp;IF(ISNUMBER(F352),TEXT(F352,"0.00"),"blank")</f>
        <v>Nursing Student Clinical Rotations|2026-02-28|Clinical Nurse Educator|169.75</v>
      </c>
      <c r="I352" s="1" t="n">
        <f aca="false">COUNTIF($H$5:$H$1624,H352)</f>
        <v>1</v>
      </c>
      <c r="J352" s="1" t="n">
        <f aca="false">COUNTIF($H$5:H352,H352)</f>
        <v>1</v>
      </c>
      <c r="K352" s="1" t="n">
        <f aca="false">COUNTIFS($H$5:$H$1624,H352,$B$5:$B$1624,"&lt;&gt;"&amp;B352)</f>
        <v>0</v>
      </c>
      <c r="L352" s="1" t="str">
        <f aca="false">IF(I352&gt;1,IF(K352&gt;0,"Cross-hospital match","Same-hospital match"),"")</f>
        <v/>
      </c>
      <c r="M352" s="52"/>
      <c r="N352" s="52"/>
      <c r="O352" s="1" t="n">
        <f aca="false">IF(M352="Exclude (duplicate)",0,1)</f>
        <v>1</v>
      </c>
      <c r="P352" s="1" t="str">
        <f aca="false">IF(AND(L352&lt;&gt;"",M352=""),"Needs decision","")</f>
        <v/>
      </c>
    </row>
    <row r="353" customFormat="false" ht="15" hidden="false" customHeight="false" outlineLevel="0" collapsed="false">
      <c r="A353" s="48" t="str">
        <f aca="false">COST!A353</f>
        <v>KVMC-0349</v>
      </c>
      <c r="B353" s="48" t="str">
        <f aca="false">COST!B353</f>
        <v>KVMC</v>
      </c>
      <c r="C353" s="48" t="str">
        <f aca="false">COST!D353</f>
        <v>Nursing Student Clinical Rotations</v>
      </c>
      <c r="D353" s="62" t="n">
        <f aca="false">COST!M353</f>
        <v>46081</v>
      </c>
      <c r="E353" s="48" t="str">
        <f aca="false">COST!P353</f>
        <v>Registered Nurse</v>
      </c>
      <c r="F353" s="63" t="n">
        <f aca="false">COST!R353</f>
        <v>229.25</v>
      </c>
      <c r="G353" s="48" t="str">
        <f aca="false">STACK!M353</f>
        <v/>
      </c>
      <c r="H353" s="1" t="str">
        <f aca="false">C353&amp;"|"&amp;IF(ISNUMBER(D353),TEXT(D353,"yyyy-mm-dd"),"no date")&amp;"|"&amp;E353&amp;"|"&amp;IF(ISNUMBER(F353),TEXT(F353,"0.00"),"blank")</f>
        <v>Nursing Student Clinical Rotations|2026-02-28|Registered Nurse|229.25</v>
      </c>
      <c r="I353" s="1" t="n">
        <f aca="false">COUNTIF($H$5:$H$1624,H353)</f>
        <v>1</v>
      </c>
      <c r="J353" s="1" t="n">
        <f aca="false">COUNTIF($H$5:H353,H353)</f>
        <v>1</v>
      </c>
      <c r="K353" s="1" t="n">
        <f aca="false">COUNTIFS($H$5:$H$1624,H353,$B$5:$B$1624,"&lt;&gt;"&amp;B353)</f>
        <v>0</v>
      </c>
      <c r="L353" s="1" t="str">
        <f aca="false">IF(I353&gt;1,IF(K353&gt;0,"Cross-hospital match","Same-hospital match"),"")</f>
        <v/>
      </c>
      <c r="M353" s="52"/>
      <c r="N353" s="52"/>
      <c r="O353" s="1" t="n">
        <f aca="false">IF(M353="Exclude (duplicate)",0,1)</f>
        <v>1</v>
      </c>
      <c r="P353" s="1" t="str">
        <f aca="false">IF(AND(L353&lt;&gt;"",M353=""),"Needs decision","")</f>
        <v/>
      </c>
    </row>
    <row r="354" customFormat="false" ht="15" hidden="false" customHeight="false" outlineLevel="0" collapsed="false">
      <c r="A354" s="48" t="str">
        <f aca="false">COST!A354</f>
        <v>KVMC-0350</v>
      </c>
      <c r="B354" s="48" t="str">
        <f aca="false">COST!B354</f>
        <v>KVMC</v>
      </c>
      <c r="C354" s="48" t="str">
        <f aca="false">COST!D354</f>
        <v>Family Medicine Residency Program</v>
      </c>
      <c r="D354" s="62" t="n">
        <f aca="false">COST!M354</f>
        <v>46081</v>
      </c>
      <c r="E354" s="48" t="str">
        <f aca="false">COST!P354</f>
        <v>Physician</v>
      </c>
      <c r="F354" s="63" t="n">
        <f aca="false">COST!R354</f>
        <v>410.75</v>
      </c>
      <c r="G354" s="48" t="str">
        <f aca="false">STACK!M354</f>
        <v/>
      </c>
      <c r="H354" s="1" t="str">
        <f aca="false">C354&amp;"|"&amp;IF(ISNUMBER(D354),TEXT(D354,"yyyy-mm-dd"),"no date")&amp;"|"&amp;E354&amp;"|"&amp;IF(ISNUMBER(F354),TEXT(F354,"0.00"),"blank")</f>
        <v>Family Medicine Residency Program|2026-02-28|Physician|410.75</v>
      </c>
      <c r="I354" s="1" t="n">
        <f aca="false">COUNTIF($H$5:$H$1624,H354)</f>
        <v>1</v>
      </c>
      <c r="J354" s="1" t="n">
        <f aca="false">COUNTIF($H$5:H354,H354)</f>
        <v>1</v>
      </c>
      <c r="K354" s="1" t="n">
        <f aca="false">COUNTIFS($H$5:$H$1624,H354,$B$5:$B$1624,"&lt;&gt;"&amp;B354)</f>
        <v>0</v>
      </c>
      <c r="L354" s="1" t="str">
        <f aca="false">IF(I354&gt;1,IF(K354&gt;0,"Cross-hospital match","Same-hospital match"),"")</f>
        <v/>
      </c>
      <c r="M354" s="52"/>
      <c r="N354" s="52"/>
      <c r="O354" s="1" t="n">
        <f aca="false">IF(M354="Exclude (duplicate)",0,1)</f>
        <v>1</v>
      </c>
      <c r="P354" s="1" t="str">
        <f aca="false">IF(AND(L354&lt;&gt;"",M354=""),"Needs decision","")</f>
        <v/>
      </c>
    </row>
    <row r="355" customFormat="false" ht="15" hidden="false" customHeight="false" outlineLevel="0" collapsed="false">
      <c r="A355" s="48" t="str">
        <f aca="false">COST!A355</f>
        <v>KVMC-0351</v>
      </c>
      <c r="B355" s="48" t="str">
        <f aca="false">COST!B355</f>
        <v>KVMC</v>
      </c>
      <c r="C355" s="48" t="str">
        <f aca="false">COST!D355</f>
        <v>Family Medicine Residency Program</v>
      </c>
      <c r="D355" s="62" t="n">
        <f aca="false">COST!M355</f>
        <v>46081</v>
      </c>
      <c r="E355" s="48" t="str">
        <f aca="false">COST!P355</f>
        <v>Program Coordinator</v>
      </c>
      <c r="F355" s="63" t="n">
        <f aca="false">COST!R355</f>
        <v>174.25</v>
      </c>
      <c r="G355" s="48" t="str">
        <f aca="false">STACK!M355</f>
        <v/>
      </c>
      <c r="H355" s="1" t="str">
        <f aca="false">C355&amp;"|"&amp;IF(ISNUMBER(D355),TEXT(D355,"yyyy-mm-dd"),"no date")&amp;"|"&amp;E355&amp;"|"&amp;IF(ISNUMBER(F355),TEXT(F355,"0.00"),"blank")</f>
        <v>Family Medicine Residency Program|2026-02-28|Program Coordinator|174.25</v>
      </c>
      <c r="I355" s="1" t="n">
        <f aca="false">COUNTIF($H$5:$H$1624,H355)</f>
        <v>1</v>
      </c>
      <c r="J355" s="1" t="n">
        <f aca="false">COUNTIF($H$5:H355,H355)</f>
        <v>1</v>
      </c>
      <c r="K355" s="1" t="n">
        <f aca="false">COUNTIFS($H$5:$H$1624,H355,$B$5:$B$1624,"&lt;&gt;"&amp;B355)</f>
        <v>0</v>
      </c>
      <c r="L355" s="1" t="str">
        <f aca="false">IF(I355&gt;1,IF(K355&gt;0,"Cross-hospital match","Same-hospital match"),"")</f>
        <v/>
      </c>
      <c r="M355" s="52"/>
      <c r="N355" s="52"/>
      <c r="O355" s="1" t="n">
        <f aca="false">IF(M355="Exclude (duplicate)",0,1)</f>
        <v>1</v>
      </c>
      <c r="P355" s="1" t="str">
        <f aca="false">IF(AND(L355&lt;&gt;"",M355=""),"Needs decision","")</f>
        <v/>
      </c>
    </row>
    <row r="356" customFormat="false" ht="15" hidden="false" customHeight="false" outlineLevel="0" collapsed="false">
      <c r="A356" s="48" t="str">
        <f aca="false">COST!A356</f>
        <v>KVMC-0352</v>
      </c>
      <c r="B356" s="48" t="str">
        <f aca="false">COST!B356</f>
        <v>KVMC</v>
      </c>
      <c r="C356" s="48" t="str">
        <f aca="false">COST!D356</f>
        <v>Family Medicine Residency Program</v>
      </c>
      <c r="D356" s="62" t="n">
        <f aca="false">COST!M356</f>
        <v>46081</v>
      </c>
      <c r="E356" s="48" t="str">
        <f aca="false">COST!P356</f>
        <v>Resident Physician</v>
      </c>
      <c r="F356" s="63" t="n">
        <f aca="false">COST!R356</f>
        <v>4104</v>
      </c>
      <c r="G356" s="48" t="str">
        <f aca="false">STACK!M356</f>
        <v/>
      </c>
      <c r="H356" s="1" t="str">
        <f aca="false">C356&amp;"|"&amp;IF(ISNUMBER(D356),TEXT(D356,"yyyy-mm-dd"),"no date")&amp;"|"&amp;E356&amp;"|"&amp;IF(ISNUMBER(F356),TEXT(F356,"0.00"),"blank")</f>
        <v>Family Medicine Residency Program|2026-02-28|Resident Physician|4104.00</v>
      </c>
      <c r="I356" s="1" t="n">
        <f aca="false">COUNTIF($H$5:$H$1624,H356)</f>
        <v>1</v>
      </c>
      <c r="J356" s="1" t="n">
        <f aca="false">COUNTIF($H$5:H356,H356)</f>
        <v>1</v>
      </c>
      <c r="K356" s="1" t="n">
        <f aca="false">COUNTIFS($H$5:$H$1624,H356,$B$5:$B$1624,"&lt;&gt;"&amp;B356)</f>
        <v>0</v>
      </c>
      <c r="L356" s="1" t="str">
        <f aca="false">IF(I356&gt;1,IF(K356&gt;0,"Cross-hospital match","Same-hospital match"),"")</f>
        <v/>
      </c>
      <c r="M356" s="52"/>
      <c r="N356" s="52"/>
      <c r="O356" s="1" t="n">
        <f aca="false">IF(M356="Exclude (duplicate)",0,1)</f>
        <v>1</v>
      </c>
      <c r="P356" s="1" t="str">
        <f aca="false">IF(AND(L356&lt;&gt;"",M356=""),"Needs decision","")</f>
        <v/>
      </c>
    </row>
    <row r="357" customFormat="false" ht="15" hidden="false" customHeight="false" outlineLevel="0" collapsed="false">
      <c r="A357" s="48" t="str">
        <f aca="false">COST!A357</f>
        <v>KVMC-0353</v>
      </c>
      <c r="B357" s="48" t="str">
        <f aca="false">COST!B357</f>
        <v>KVMC</v>
      </c>
      <c r="C357" s="48" t="str">
        <f aca="false">COST!D357</f>
        <v>Pharmacy Student Rotations</v>
      </c>
      <c r="D357" s="62" t="n">
        <f aca="false">COST!M357</f>
        <v>46081</v>
      </c>
      <c r="E357" s="48" t="str">
        <f aca="false">COST!P357</f>
        <v>Pharmacist</v>
      </c>
      <c r="F357" s="63" t="n">
        <f aca="false">COST!R357</f>
        <v>86.75</v>
      </c>
      <c r="G357" s="48" t="str">
        <f aca="false">STACK!M357</f>
        <v/>
      </c>
      <c r="H357" s="1" t="str">
        <f aca="false">C357&amp;"|"&amp;IF(ISNUMBER(D357),TEXT(D357,"yyyy-mm-dd"),"no date")&amp;"|"&amp;E357&amp;"|"&amp;IF(ISNUMBER(F357),TEXT(F357,"0.00"),"blank")</f>
        <v>Pharmacy Student Rotations|2026-02-28|Pharmacist|86.75</v>
      </c>
      <c r="I357" s="1" t="n">
        <f aca="false">COUNTIF($H$5:$H$1624,H357)</f>
        <v>1</v>
      </c>
      <c r="J357" s="1" t="n">
        <f aca="false">COUNTIF($H$5:H357,H357)</f>
        <v>1</v>
      </c>
      <c r="K357" s="1" t="n">
        <f aca="false">COUNTIFS($H$5:$H$1624,H357,$B$5:$B$1624,"&lt;&gt;"&amp;B357)</f>
        <v>0</v>
      </c>
      <c r="L357" s="1" t="str">
        <f aca="false">IF(I357&gt;1,IF(K357&gt;0,"Cross-hospital match","Same-hospital match"),"")</f>
        <v/>
      </c>
      <c r="M357" s="52"/>
      <c r="N357" s="52"/>
      <c r="O357" s="1" t="n">
        <f aca="false">IF(M357="Exclude (duplicate)",0,1)</f>
        <v>1</v>
      </c>
      <c r="P357" s="1" t="str">
        <f aca="false">IF(AND(L357&lt;&gt;"",M357=""),"Needs decision","")</f>
        <v/>
      </c>
    </row>
    <row r="358" customFormat="false" ht="15" hidden="false" customHeight="false" outlineLevel="0" collapsed="false">
      <c r="A358" s="48" t="str">
        <f aca="false">COST!A358</f>
        <v>KVMC-0354</v>
      </c>
      <c r="B358" s="48" t="str">
        <f aca="false">COST!B358</f>
        <v>KVMC</v>
      </c>
      <c r="C358" s="48" t="str">
        <f aca="false">COST!D358</f>
        <v>Community Hypertension Control Study</v>
      </c>
      <c r="D358" s="62" t="n">
        <f aca="false">COST!M358</f>
        <v>46081</v>
      </c>
      <c r="E358" s="48" t="str">
        <f aca="false">COST!P358</f>
        <v>Data Analyst</v>
      </c>
      <c r="F358" s="63" t="n">
        <f aca="false">COST!R358</f>
        <v>59.75</v>
      </c>
      <c r="G358" s="48" t="str">
        <f aca="false">STACK!M358</f>
        <v/>
      </c>
      <c r="H358" s="1" t="str">
        <f aca="false">C358&amp;"|"&amp;IF(ISNUMBER(D358),TEXT(D358,"yyyy-mm-dd"),"no date")&amp;"|"&amp;E358&amp;"|"&amp;IF(ISNUMBER(F358),TEXT(F358,"0.00"),"blank")</f>
        <v>Community Hypertension Control Study|2026-02-28|Data Analyst|59.75</v>
      </c>
      <c r="I358" s="1" t="n">
        <f aca="false">COUNTIF($H$5:$H$1624,H358)</f>
        <v>1</v>
      </c>
      <c r="J358" s="1" t="n">
        <f aca="false">COUNTIF($H$5:H358,H358)</f>
        <v>1</v>
      </c>
      <c r="K358" s="1" t="n">
        <f aca="false">COUNTIFS($H$5:$H$1624,H358,$B$5:$B$1624,"&lt;&gt;"&amp;B358)</f>
        <v>0</v>
      </c>
      <c r="L358" s="1" t="str">
        <f aca="false">IF(I358&gt;1,IF(K358&gt;0,"Cross-hospital match","Same-hospital match"),"")</f>
        <v/>
      </c>
      <c r="M358" s="52"/>
      <c r="N358" s="52"/>
      <c r="O358" s="1" t="n">
        <f aca="false">IF(M358="Exclude (duplicate)",0,1)</f>
        <v>1</v>
      </c>
      <c r="P358" s="1" t="str">
        <f aca="false">IF(AND(L358&lt;&gt;"",M358=""),"Needs decision","")</f>
        <v/>
      </c>
    </row>
    <row r="359" customFormat="false" ht="15" hidden="false" customHeight="false" outlineLevel="0" collapsed="false">
      <c r="A359" s="48" t="str">
        <f aca="false">COST!A359</f>
        <v>KVMC-0355</v>
      </c>
      <c r="B359" s="48" t="str">
        <f aca="false">COST!B359</f>
        <v>KVMC</v>
      </c>
      <c r="C359" s="48" t="str">
        <f aca="false">COST!D359</f>
        <v>Community Hypertension Control Study</v>
      </c>
      <c r="D359" s="62" t="n">
        <f aca="false">COST!M359</f>
        <v>46081</v>
      </c>
      <c r="E359" s="48" t="str">
        <f aca="false">COST!P359</f>
        <v>Physician</v>
      </c>
      <c r="F359" s="63" t="n">
        <f aca="false">COST!R359</f>
        <v>21.75</v>
      </c>
      <c r="G359" s="48" t="str">
        <f aca="false">STACK!M359</f>
        <v/>
      </c>
      <c r="H359" s="1" t="str">
        <f aca="false">C359&amp;"|"&amp;IF(ISNUMBER(D359),TEXT(D359,"yyyy-mm-dd"),"no date")&amp;"|"&amp;E359&amp;"|"&amp;IF(ISNUMBER(F359),TEXT(F359,"0.00"),"blank")</f>
        <v>Community Hypertension Control Study|2026-02-28|Physician|21.75</v>
      </c>
      <c r="I359" s="1" t="n">
        <f aca="false">COUNTIF($H$5:$H$1624,H359)</f>
        <v>1</v>
      </c>
      <c r="J359" s="1" t="n">
        <f aca="false">COUNTIF($H$5:H359,H359)</f>
        <v>1</v>
      </c>
      <c r="K359" s="1" t="n">
        <f aca="false">COUNTIFS($H$5:$H$1624,H359,$B$5:$B$1624,"&lt;&gt;"&amp;B359)</f>
        <v>0</v>
      </c>
      <c r="L359" s="1" t="str">
        <f aca="false">IF(I359&gt;1,IF(K359&gt;0,"Cross-hospital match","Same-hospital match"),"")</f>
        <v/>
      </c>
      <c r="M359" s="52"/>
      <c r="N359" s="52"/>
      <c r="O359" s="1" t="n">
        <f aca="false">IF(M359="Exclude (duplicate)",0,1)</f>
        <v>1</v>
      </c>
      <c r="P359" s="1" t="str">
        <f aca="false">IF(AND(L359&lt;&gt;"",M359=""),"Needs decision","")</f>
        <v/>
      </c>
    </row>
    <row r="360" customFormat="false" ht="15" hidden="false" customHeight="false" outlineLevel="0" collapsed="false">
      <c r="A360" s="48" t="str">
        <f aca="false">COST!A360</f>
        <v>KVMC-0356</v>
      </c>
      <c r="B360" s="48" t="str">
        <f aca="false">COST!B360</f>
        <v>KVMC</v>
      </c>
      <c r="C360" s="48" t="str">
        <f aca="false">COST!D360</f>
        <v>Community Hypertension Control Study</v>
      </c>
      <c r="D360" s="62" t="n">
        <f aca="false">COST!M360</f>
        <v>46081</v>
      </c>
      <c r="E360" s="48" t="str">
        <f aca="false">COST!P360</f>
        <v>Research Coordinator</v>
      </c>
      <c r="F360" s="63" t="n">
        <f aca="false">COST!R360</f>
        <v>189.5</v>
      </c>
      <c r="G360" s="48" t="str">
        <f aca="false">STACK!M360</f>
        <v/>
      </c>
      <c r="H360" s="1" t="str">
        <f aca="false">C360&amp;"|"&amp;IF(ISNUMBER(D360),TEXT(D360,"yyyy-mm-dd"),"no date")&amp;"|"&amp;E360&amp;"|"&amp;IF(ISNUMBER(F360),TEXT(F360,"0.00"),"blank")</f>
        <v>Community Hypertension Control Study|2026-02-28|Research Coordinator|189.50</v>
      </c>
      <c r="I360" s="1" t="n">
        <f aca="false">COUNTIF($H$5:$H$1624,H360)</f>
        <v>1</v>
      </c>
      <c r="J360" s="1" t="n">
        <f aca="false">COUNTIF($H$5:H360,H360)</f>
        <v>1</v>
      </c>
      <c r="K360" s="1" t="n">
        <f aca="false">COUNTIFS($H$5:$H$1624,H360,$B$5:$B$1624,"&lt;&gt;"&amp;B360)</f>
        <v>0</v>
      </c>
      <c r="L360" s="1" t="str">
        <f aca="false">IF(I360&gt;1,IF(K360&gt;0,"Cross-hospital match","Same-hospital match"),"")</f>
        <v/>
      </c>
      <c r="M360" s="52"/>
      <c r="N360" s="52"/>
      <c r="O360" s="1" t="n">
        <f aca="false">IF(M360="Exclude (duplicate)",0,1)</f>
        <v>1</v>
      </c>
      <c r="P360" s="1" t="str">
        <f aca="false">IF(AND(L360&lt;&gt;"",M360=""),"Needs decision","")</f>
        <v/>
      </c>
    </row>
    <row r="361" customFormat="false" ht="15" hidden="false" customHeight="false" outlineLevel="0" collapsed="false">
      <c r="A361" s="48" t="str">
        <f aca="false">COST!A361</f>
        <v>KVMC-0357</v>
      </c>
      <c r="B361" s="48" t="str">
        <f aca="false">COST!B361</f>
        <v>KVMC</v>
      </c>
      <c r="C361" s="48" t="str">
        <f aca="false">COST!D361</f>
        <v>Grief Support Group</v>
      </c>
      <c r="D361" s="62" t="n">
        <f aca="false">COST!M361</f>
        <v>46083</v>
      </c>
      <c r="E361" s="48" t="str">
        <f aca="false">COST!P361</f>
        <v>Chaplain</v>
      </c>
      <c r="F361" s="63" t="n">
        <f aca="false">COST!R361</f>
        <v>2</v>
      </c>
      <c r="G361" s="48" t="str">
        <f aca="false">STACK!M361</f>
        <v/>
      </c>
      <c r="H361" s="1" t="str">
        <f aca="false">C361&amp;"|"&amp;IF(ISNUMBER(D361),TEXT(D361,"yyyy-mm-dd"),"no date")&amp;"|"&amp;E361&amp;"|"&amp;IF(ISNUMBER(F361),TEXT(F361,"0.00"),"blank")</f>
        <v>Grief Support Group|2026-03-02|Chaplain|2.00</v>
      </c>
      <c r="I361" s="1" t="n">
        <f aca="false">COUNTIF($H$5:$H$1624,H361)</f>
        <v>1</v>
      </c>
      <c r="J361" s="1" t="n">
        <f aca="false">COUNTIF($H$5:H361,H361)</f>
        <v>1</v>
      </c>
      <c r="K361" s="1" t="n">
        <f aca="false">COUNTIFS($H$5:$H$1624,H361,$B$5:$B$1624,"&lt;&gt;"&amp;B361)</f>
        <v>0</v>
      </c>
      <c r="L361" s="1" t="str">
        <f aca="false">IF(I361&gt;1,IF(K361&gt;0,"Cross-hospital match","Same-hospital match"),"")</f>
        <v/>
      </c>
      <c r="M361" s="52"/>
      <c r="N361" s="52"/>
      <c r="O361" s="1" t="n">
        <f aca="false">IF(M361="Exclude (duplicate)",0,1)</f>
        <v>1</v>
      </c>
      <c r="P361" s="1" t="str">
        <f aca="false">IF(AND(L361&lt;&gt;"",M361=""),"Needs decision","")</f>
        <v/>
      </c>
    </row>
    <row r="362" customFormat="false" ht="15" hidden="false" customHeight="false" outlineLevel="0" collapsed="false">
      <c r="A362" s="48" t="str">
        <f aca="false">COST!A362</f>
        <v>KVMC-0358</v>
      </c>
      <c r="B362" s="48" t="str">
        <f aca="false">COST!B362</f>
        <v>KVMC</v>
      </c>
      <c r="C362" s="48" t="str">
        <f aca="false">COST!D362</f>
        <v>Grief Support Group</v>
      </c>
      <c r="D362" s="62" t="n">
        <f aca="false">COST!M362</f>
        <v>46083</v>
      </c>
      <c r="E362" s="48" t="str">
        <f aca="false">COST!P362</f>
        <v>Social Worker</v>
      </c>
      <c r="F362" s="63" t="n">
        <f aca="false">COST!R362</f>
        <v>1.75</v>
      </c>
      <c r="G362" s="48" t="str">
        <f aca="false">STACK!M362</f>
        <v/>
      </c>
      <c r="H362" s="1" t="str">
        <f aca="false">C362&amp;"|"&amp;IF(ISNUMBER(D362),TEXT(D362,"yyyy-mm-dd"),"no date")&amp;"|"&amp;E362&amp;"|"&amp;IF(ISNUMBER(F362),TEXT(F362,"0.00"),"blank")</f>
        <v>Grief Support Group|2026-03-02|Social Worker|1.75</v>
      </c>
      <c r="I362" s="1" t="n">
        <f aca="false">COUNTIF($H$5:$H$1624,H362)</f>
        <v>1</v>
      </c>
      <c r="J362" s="1" t="n">
        <f aca="false">COUNTIF($H$5:H362,H362)</f>
        <v>1</v>
      </c>
      <c r="K362" s="1" t="n">
        <f aca="false">COUNTIFS($H$5:$H$1624,H362,$B$5:$B$1624,"&lt;&gt;"&amp;B362)</f>
        <v>0</v>
      </c>
      <c r="L362" s="1" t="str">
        <f aca="false">IF(I362&gt;1,IF(K362&gt;0,"Cross-hospital match","Same-hospital match"),"")</f>
        <v/>
      </c>
      <c r="M362" s="52"/>
      <c r="N362" s="52"/>
      <c r="O362" s="1" t="n">
        <f aca="false">IF(M362="Exclude (duplicate)",0,1)</f>
        <v>1</v>
      </c>
      <c r="P362" s="1" t="str">
        <f aca="false">IF(AND(L362&lt;&gt;"",M362=""),"Needs decision","")</f>
        <v/>
      </c>
    </row>
    <row r="363" customFormat="false" ht="15" hidden="false" customHeight="false" outlineLevel="0" collapsed="false">
      <c r="A363" s="48" t="str">
        <f aca="false">COST!A363</f>
        <v>KVMC-0359</v>
      </c>
      <c r="B363" s="48" t="str">
        <f aca="false">COST!B363</f>
        <v>KVMC</v>
      </c>
      <c r="C363" s="48" t="str">
        <f aca="false">COST!D363</f>
        <v>Regional Health Coalition</v>
      </c>
      <c r="D363" s="62" t="n">
        <f aca="false">COST!M363</f>
        <v>46084</v>
      </c>
      <c r="E363" s="48" t="str">
        <f aca="false">COST!P363</f>
        <v>Community Benefit Manager</v>
      </c>
      <c r="F363" s="63" t="n">
        <f aca="false">COST!R363</f>
        <v>2.25</v>
      </c>
      <c r="G363" s="48" t="str">
        <f aca="false">STACK!M363</f>
        <v/>
      </c>
      <c r="H363" s="1" t="str">
        <f aca="false">C363&amp;"|"&amp;IF(ISNUMBER(D363),TEXT(D363,"yyyy-mm-dd"),"no date")&amp;"|"&amp;E363&amp;"|"&amp;IF(ISNUMBER(F363),TEXT(F363,"0.00"),"blank")</f>
        <v>Regional Health Coalition|2026-03-03|Community Benefit Manager|2.25</v>
      </c>
      <c r="I363" s="1" t="n">
        <f aca="false">COUNTIF($H$5:$H$1624,H363)</f>
        <v>1</v>
      </c>
      <c r="J363" s="1" t="n">
        <f aca="false">COUNTIF($H$5:H363,H363)</f>
        <v>1</v>
      </c>
      <c r="K363" s="1" t="n">
        <f aca="false">COUNTIFS($H$5:$H$1624,H363,$B$5:$B$1624,"&lt;&gt;"&amp;B363)</f>
        <v>0</v>
      </c>
      <c r="L363" s="1" t="str">
        <f aca="false">IF(I363&gt;1,IF(K363&gt;0,"Cross-hospital match","Same-hospital match"),"")</f>
        <v/>
      </c>
      <c r="M363" s="52"/>
      <c r="N363" s="52"/>
      <c r="O363" s="1" t="n">
        <f aca="false">IF(M363="Exclude (duplicate)",0,1)</f>
        <v>1</v>
      </c>
      <c r="P363" s="1" t="str">
        <f aca="false">IF(AND(L363&lt;&gt;"",M363=""),"Needs decision","")</f>
        <v/>
      </c>
    </row>
    <row r="364" customFormat="false" ht="15" hidden="false" customHeight="false" outlineLevel="0" collapsed="false">
      <c r="A364" s="48" t="str">
        <f aca="false">COST!A364</f>
        <v>KVMC-0360</v>
      </c>
      <c r="B364" s="48" t="str">
        <f aca="false">COST!B364</f>
        <v>KVMC</v>
      </c>
      <c r="C364" s="48" t="str">
        <f aca="false">COST!D364</f>
        <v>Regional Health Coalition</v>
      </c>
      <c r="D364" s="62" t="n">
        <f aca="false">COST!M364</f>
        <v>46084</v>
      </c>
      <c r="E364" s="48" t="str">
        <f aca="false">COST!P364</f>
        <v>Director</v>
      </c>
      <c r="F364" s="63" t="n">
        <f aca="false">COST!R364</f>
        <v>2.5</v>
      </c>
      <c r="G364" s="48" t="str">
        <f aca="false">STACK!M364</f>
        <v/>
      </c>
      <c r="H364" s="1" t="str">
        <f aca="false">C364&amp;"|"&amp;IF(ISNUMBER(D364),TEXT(D364,"yyyy-mm-dd"),"no date")&amp;"|"&amp;E364&amp;"|"&amp;IF(ISNUMBER(F364),TEXT(F364,"0.00"),"blank")</f>
        <v>Regional Health Coalition|2026-03-03|Director|2.50</v>
      </c>
      <c r="I364" s="1" t="n">
        <f aca="false">COUNTIF($H$5:$H$1624,H364)</f>
        <v>1</v>
      </c>
      <c r="J364" s="1" t="n">
        <f aca="false">COUNTIF($H$5:H364,H364)</f>
        <v>1</v>
      </c>
      <c r="K364" s="1" t="n">
        <f aca="false">COUNTIFS($H$5:$H$1624,H364,$B$5:$B$1624,"&lt;&gt;"&amp;B364)</f>
        <v>0</v>
      </c>
      <c r="L364" s="1" t="str">
        <f aca="false">IF(I364&gt;1,IF(K364&gt;0,"Cross-hospital match","Same-hospital match"),"")</f>
        <v/>
      </c>
      <c r="M364" s="52"/>
      <c r="N364" s="52"/>
      <c r="O364" s="1" t="n">
        <f aca="false">IF(M364="Exclude (duplicate)",0,1)</f>
        <v>1</v>
      </c>
      <c r="P364" s="1" t="str">
        <f aca="false">IF(AND(L364&lt;&gt;"",M364=""),"Needs decision","")</f>
        <v/>
      </c>
    </row>
    <row r="365" customFormat="false" ht="15" hidden="false" customHeight="false" outlineLevel="0" collapsed="false">
      <c r="A365" s="48" t="str">
        <f aca="false">COST!A365</f>
        <v>KVMC-0361</v>
      </c>
      <c r="B365" s="48" t="str">
        <f aca="false">COST!B365</f>
        <v>KVMC</v>
      </c>
      <c r="C365" s="48" t="str">
        <f aca="false">COST!D365</f>
        <v>Naloxone Training and Distribution</v>
      </c>
      <c r="D365" s="62" t="n">
        <f aca="false">COST!M365</f>
        <v>46085</v>
      </c>
      <c r="E365" s="48" t="str">
        <f aca="false">COST!P365</f>
        <v>Health Educator</v>
      </c>
      <c r="F365" s="63" t="n">
        <f aca="false">COST!R365</f>
        <v>2.5</v>
      </c>
      <c r="G365" s="48" t="str">
        <f aca="false">STACK!M365</f>
        <v/>
      </c>
      <c r="H365" s="1" t="str">
        <f aca="false">C365&amp;"|"&amp;IF(ISNUMBER(D365),TEXT(D365,"yyyy-mm-dd"),"no date")&amp;"|"&amp;E365&amp;"|"&amp;IF(ISNUMBER(F365),TEXT(F365,"0.00"),"blank")</f>
        <v>Naloxone Training and Distribution|2026-03-04|Health Educator|2.50</v>
      </c>
      <c r="I365" s="1" t="n">
        <f aca="false">COUNTIF($H$5:$H$1624,H365)</f>
        <v>1</v>
      </c>
      <c r="J365" s="1" t="n">
        <f aca="false">COUNTIF($H$5:H365,H365)</f>
        <v>1</v>
      </c>
      <c r="K365" s="1" t="n">
        <f aca="false">COUNTIFS($H$5:$H$1624,H365,$B$5:$B$1624,"&lt;&gt;"&amp;B365)</f>
        <v>0</v>
      </c>
      <c r="L365" s="1" t="str">
        <f aca="false">IF(I365&gt;1,IF(K365&gt;0,"Cross-hospital match","Same-hospital match"),"")</f>
        <v/>
      </c>
      <c r="M365" s="52"/>
      <c r="N365" s="52"/>
      <c r="O365" s="1" t="n">
        <f aca="false">IF(M365="Exclude (duplicate)",0,1)</f>
        <v>1</v>
      </c>
      <c r="P365" s="1" t="str">
        <f aca="false">IF(AND(L365&lt;&gt;"",M365=""),"Needs decision","")</f>
        <v/>
      </c>
    </row>
    <row r="366" customFormat="false" ht="15" hidden="false" customHeight="false" outlineLevel="0" collapsed="false">
      <c r="A366" s="48" t="str">
        <f aca="false">COST!A366</f>
        <v>KVMC-0362</v>
      </c>
      <c r="B366" s="48" t="str">
        <f aca="false">COST!B366</f>
        <v>KVMC</v>
      </c>
      <c r="C366" s="48" t="str">
        <f aca="false">COST!D366</f>
        <v>Naloxone Training and Distribution</v>
      </c>
      <c r="D366" s="62" t="n">
        <f aca="false">COST!M366</f>
        <v>46085</v>
      </c>
      <c r="E366" s="48" t="str">
        <f aca="false">COST!P366</f>
        <v>Pharmacist</v>
      </c>
      <c r="F366" s="63" t="n">
        <f aca="false">COST!R366</f>
        <v>3</v>
      </c>
      <c r="G366" s="48" t="str">
        <f aca="false">STACK!M366</f>
        <v/>
      </c>
      <c r="H366" s="1" t="str">
        <f aca="false">C366&amp;"|"&amp;IF(ISNUMBER(D366),TEXT(D366,"yyyy-mm-dd"),"no date")&amp;"|"&amp;E366&amp;"|"&amp;IF(ISNUMBER(F366),TEXT(F366,"0.00"),"blank")</f>
        <v>Naloxone Training and Distribution|2026-03-04|Pharmacist|3.00</v>
      </c>
      <c r="I366" s="1" t="n">
        <f aca="false">COUNTIF($H$5:$H$1624,H366)</f>
        <v>1</v>
      </c>
      <c r="J366" s="1" t="n">
        <f aca="false">COUNTIF($H$5:H366,H366)</f>
        <v>1</v>
      </c>
      <c r="K366" s="1" t="n">
        <f aca="false">COUNTIFS($H$5:$H$1624,H366,$B$5:$B$1624,"&lt;&gt;"&amp;B366)</f>
        <v>0</v>
      </c>
      <c r="L366" s="1" t="str">
        <f aca="false">IF(I366&gt;1,IF(K366&gt;0,"Cross-hospital match","Same-hospital match"),"")</f>
        <v/>
      </c>
      <c r="M366" s="52"/>
      <c r="N366" s="52"/>
      <c r="O366" s="1" t="n">
        <f aca="false">IF(M366="Exclude (duplicate)",0,1)</f>
        <v>1</v>
      </c>
      <c r="P366" s="1" t="str">
        <f aca="false">IF(AND(L366&lt;&gt;"",M366=""),"Needs decision","")</f>
        <v/>
      </c>
    </row>
    <row r="367" customFormat="false" ht="15" hidden="false" customHeight="false" outlineLevel="0" collapsed="false">
      <c r="A367" s="48" t="str">
        <f aca="false">COST!A367</f>
        <v>KVMC-0363</v>
      </c>
      <c r="B367" s="48" t="str">
        <f aca="false">COST!B367</f>
        <v>KVMC</v>
      </c>
      <c r="C367" s="48" t="str">
        <f aca="false">COST!D367</f>
        <v>Youth Health Careers Pathway</v>
      </c>
      <c r="D367" s="62" t="n">
        <f aca="false">COST!M367</f>
        <v>46085</v>
      </c>
      <c r="E367" s="48" t="str">
        <f aca="false">COST!P367</f>
        <v>Clinical Nurse Educator</v>
      </c>
      <c r="F367" s="63" t="n">
        <f aca="false">COST!R367</f>
        <v>4.75</v>
      </c>
      <c r="G367" s="48" t="str">
        <f aca="false">STACK!M367</f>
        <v/>
      </c>
      <c r="H367" s="1" t="str">
        <f aca="false">C367&amp;"|"&amp;IF(ISNUMBER(D367),TEXT(D367,"yyyy-mm-dd"),"no date")&amp;"|"&amp;E367&amp;"|"&amp;IF(ISNUMBER(F367),TEXT(F367,"0.00"),"blank")</f>
        <v>Youth Health Careers Pathway|2026-03-04|Clinical Nurse Educator|4.75</v>
      </c>
      <c r="I367" s="1" t="n">
        <f aca="false">COUNTIF($H$5:$H$1624,H367)</f>
        <v>1</v>
      </c>
      <c r="J367" s="1" t="n">
        <f aca="false">COUNTIF($H$5:H367,H367)</f>
        <v>1</v>
      </c>
      <c r="K367" s="1" t="n">
        <f aca="false">COUNTIFS($H$5:$H$1624,H367,$B$5:$B$1624,"&lt;&gt;"&amp;B367)</f>
        <v>0</v>
      </c>
      <c r="L367" s="1" t="str">
        <f aca="false">IF(I367&gt;1,IF(K367&gt;0,"Cross-hospital match","Same-hospital match"),"")</f>
        <v/>
      </c>
      <c r="M367" s="52"/>
      <c r="N367" s="52"/>
      <c r="O367" s="1" t="n">
        <f aca="false">IF(M367="Exclude (duplicate)",0,1)</f>
        <v>1</v>
      </c>
      <c r="P367" s="1" t="str">
        <f aca="false">IF(AND(L367&lt;&gt;"",M367=""),"Needs decision","")</f>
        <v/>
      </c>
    </row>
    <row r="368" customFormat="false" ht="15" hidden="false" customHeight="false" outlineLevel="0" collapsed="false">
      <c r="A368" s="48" t="str">
        <f aca="false">COST!A368</f>
        <v>KVMC-0364</v>
      </c>
      <c r="B368" s="48" t="str">
        <f aca="false">COST!B368</f>
        <v>KVMC</v>
      </c>
      <c r="C368" s="48" t="str">
        <f aca="false">COST!D368</f>
        <v>Youth Health Careers Pathway</v>
      </c>
      <c r="D368" s="62" t="n">
        <f aca="false">COST!M368</f>
        <v>46085</v>
      </c>
      <c r="E368" s="48" t="str">
        <f aca="false">COST!P368</f>
        <v>Program Coordinator</v>
      </c>
      <c r="F368" s="63" t="n">
        <f aca="false">COST!R368</f>
        <v>7.25</v>
      </c>
      <c r="G368" s="48" t="str">
        <f aca="false">STACK!M368</f>
        <v/>
      </c>
      <c r="H368" s="1" t="str">
        <f aca="false">C368&amp;"|"&amp;IF(ISNUMBER(D368),TEXT(D368,"yyyy-mm-dd"),"no date")&amp;"|"&amp;E368&amp;"|"&amp;IF(ISNUMBER(F368),TEXT(F368,"0.00"),"blank")</f>
        <v>Youth Health Careers Pathway|2026-03-04|Program Coordinator|7.25</v>
      </c>
      <c r="I368" s="1" t="n">
        <f aca="false">COUNTIF($H$5:$H$1624,H368)</f>
        <v>1</v>
      </c>
      <c r="J368" s="1" t="n">
        <f aca="false">COUNTIF($H$5:H368,H368)</f>
        <v>1</v>
      </c>
      <c r="K368" s="1" t="n">
        <f aca="false">COUNTIFS($H$5:$H$1624,H368,$B$5:$B$1624,"&lt;&gt;"&amp;B368)</f>
        <v>0</v>
      </c>
      <c r="L368" s="1" t="str">
        <f aca="false">IF(I368&gt;1,IF(K368&gt;0,"Cross-hospital match","Same-hospital match"),"")</f>
        <v/>
      </c>
      <c r="M368" s="52"/>
      <c r="N368" s="52"/>
      <c r="O368" s="1" t="n">
        <f aca="false">IF(M368="Exclude (duplicate)",0,1)</f>
        <v>1</v>
      </c>
      <c r="P368" s="1" t="str">
        <f aca="false">IF(AND(L368&lt;&gt;"",M368=""),"Needs decision","")</f>
        <v/>
      </c>
    </row>
    <row r="369" customFormat="false" ht="15" hidden="false" customHeight="false" outlineLevel="0" collapsed="false">
      <c r="A369" s="48" t="str">
        <f aca="false">COST!A369</f>
        <v>KVMC-0365</v>
      </c>
      <c r="B369" s="48" t="str">
        <f aca="false">COST!B369</f>
        <v>KVMC</v>
      </c>
      <c r="C369" s="48" t="str">
        <f aca="false">COST!D369</f>
        <v>Childbirth and Newborn Care Classes</v>
      </c>
      <c r="D369" s="62" t="n">
        <f aca="false">COST!M369</f>
        <v>46088</v>
      </c>
      <c r="E369" s="48" t="str">
        <f aca="false">COST!P369</f>
        <v>Clinical Nurse Educator</v>
      </c>
      <c r="F369" s="63" t="n">
        <f aca="false">COST!R369</f>
        <v>3</v>
      </c>
      <c r="G369" s="48" t="str">
        <f aca="false">STACK!M369</f>
        <v/>
      </c>
      <c r="H369" s="1" t="str">
        <f aca="false">C369&amp;"|"&amp;IF(ISNUMBER(D369),TEXT(D369,"yyyy-mm-dd"),"no date")&amp;"|"&amp;E369&amp;"|"&amp;IF(ISNUMBER(F369),TEXT(F369,"0.00"),"blank")</f>
        <v>Childbirth and Newborn Care Classes|2026-03-07|Clinical Nurse Educator|3.00</v>
      </c>
      <c r="I369" s="1" t="n">
        <f aca="false">COUNTIF($H$5:$H$1624,H369)</f>
        <v>1</v>
      </c>
      <c r="J369" s="1" t="n">
        <f aca="false">COUNTIF($H$5:H369,H369)</f>
        <v>1</v>
      </c>
      <c r="K369" s="1" t="n">
        <f aca="false">COUNTIFS($H$5:$H$1624,H369,$B$5:$B$1624,"&lt;&gt;"&amp;B369)</f>
        <v>0</v>
      </c>
      <c r="L369" s="1" t="str">
        <f aca="false">IF(I369&gt;1,IF(K369&gt;0,"Cross-hospital match","Same-hospital match"),"")</f>
        <v/>
      </c>
      <c r="M369" s="52"/>
      <c r="N369" s="52"/>
      <c r="O369" s="1" t="n">
        <f aca="false">IF(M369="Exclude (duplicate)",0,1)</f>
        <v>1</v>
      </c>
      <c r="P369" s="1" t="str">
        <f aca="false">IF(AND(L369&lt;&gt;"",M369=""),"Needs decision","")</f>
        <v/>
      </c>
    </row>
    <row r="370" customFormat="false" ht="15" hidden="false" customHeight="false" outlineLevel="0" collapsed="false">
      <c r="A370" s="48" t="str">
        <f aca="false">COST!A370</f>
        <v>KVMC-0366</v>
      </c>
      <c r="B370" s="48" t="str">
        <f aca="false">COST!B370</f>
        <v>KVMC</v>
      </c>
      <c r="C370" s="48" t="str">
        <f aca="false">COST!D370</f>
        <v>Tobacco Cessation Classes</v>
      </c>
      <c r="D370" s="62" t="n">
        <f aca="false">COST!M370</f>
        <v>46093</v>
      </c>
      <c r="E370" s="48" t="str">
        <f aca="false">COST!P370</f>
        <v>Licensed Therapist</v>
      </c>
      <c r="F370" s="63" t="n">
        <f aca="false">COST!R370</f>
        <v>2</v>
      </c>
      <c r="G370" s="48" t="str">
        <f aca="false">STACK!M370</f>
        <v/>
      </c>
      <c r="H370" s="1" t="str">
        <f aca="false">C370&amp;"|"&amp;IF(ISNUMBER(D370),TEXT(D370,"yyyy-mm-dd"),"no date")&amp;"|"&amp;E370&amp;"|"&amp;IF(ISNUMBER(F370),TEXT(F370,"0.00"),"blank")</f>
        <v>Tobacco Cessation Classes|2026-03-12|Licensed Therapist|2.00</v>
      </c>
      <c r="I370" s="1" t="n">
        <f aca="false">COUNTIF($H$5:$H$1624,H370)</f>
        <v>1</v>
      </c>
      <c r="J370" s="1" t="n">
        <f aca="false">COUNTIF($H$5:H370,H370)</f>
        <v>1</v>
      </c>
      <c r="K370" s="1" t="n">
        <f aca="false">COUNTIFS($H$5:$H$1624,H370,$B$5:$B$1624,"&lt;&gt;"&amp;B370)</f>
        <v>0</v>
      </c>
      <c r="L370" s="1" t="str">
        <f aca="false">IF(I370&gt;1,IF(K370&gt;0,"Cross-hospital match","Same-hospital match"),"")</f>
        <v/>
      </c>
      <c r="M370" s="52"/>
      <c r="N370" s="52"/>
      <c r="O370" s="1" t="n">
        <f aca="false">IF(M370="Exclude (duplicate)",0,1)</f>
        <v>1</v>
      </c>
      <c r="P370" s="1" t="str">
        <f aca="false">IF(AND(L370&lt;&gt;"",M370=""),"Needs decision","")</f>
        <v/>
      </c>
    </row>
    <row r="371" customFormat="false" ht="15" hidden="false" customHeight="false" outlineLevel="0" collapsed="false">
      <c r="A371" s="48" t="str">
        <f aca="false">COST!A371</f>
        <v>KVMC-0367</v>
      </c>
      <c r="B371" s="48" t="str">
        <f aca="false">COST!B371</f>
        <v>KVMC</v>
      </c>
      <c r="C371" s="48" t="str">
        <f aca="false">COST!D371</f>
        <v>Grief Support Group</v>
      </c>
      <c r="D371" s="62" t="n">
        <f aca="false">COST!M371</f>
        <v>46094</v>
      </c>
      <c r="E371" s="48" t="str">
        <f aca="false">COST!P371</f>
        <v>Chaplain</v>
      </c>
      <c r="F371" s="63" t="n">
        <f aca="false">COST!R371</f>
        <v>2</v>
      </c>
      <c r="G371" s="48" t="str">
        <f aca="false">STACK!M371</f>
        <v/>
      </c>
      <c r="H371" s="1" t="str">
        <f aca="false">C371&amp;"|"&amp;IF(ISNUMBER(D371),TEXT(D371,"yyyy-mm-dd"),"no date")&amp;"|"&amp;E371&amp;"|"&amp;IF(ISNUMBER(F371),TEXT(F371,"0.00"),"blank")</f>
        <v>Grief Support Group|2026-03-13|Chaplain|2.00</v>
      </c>
      <c r="I371" s="1" t="n">
        <f aca="false">COUNTIF($H$5:$H$1624,H371)</f>
        <v>1</v>
      </c>
      <c r="J371" s="1" t="n">
        <f aca="false">COUNTIF($H$5:H371,H371)</f>
        <v>1</v>
      </c>
      <c r="K371" s="1" t="n">
        <f aca="false">COUNTIFS($H$5:$H$1624,H371,$B$5:$B$1624,"&lt;&gt;"&amp;B371)</f>
        <v>0</v>
      </c>
      <c r="L371" s="1" t="str">
        <f aca="false">IF(I371&gt;1,IF(K371&gt;0,"Cross-hospital match","Same-hospital match"),"")</f>
        <v/>
      </c>
      <c r="M371" s="52"/>
      <c r="N371" s="52"/>
      <c r="O371" s="1" t="n">
        <f aca="false">IF(M371="Exclude (duplicate)",0,1)</f>
        <v>1</v>
      </c>
      <c r="P371" s="1" t="str">
        <f aca="false">IF(AND(L371&lt;&gt;"",M371=""),"Needs decision","")</f>
        <v/>
      </c>
    </row>
    <row r="372" customFormat="false" ht="15" hidden="false" customHeight="false" outlineLevel="0" collapsed="false">
      <c r="A372" s="48" t="str">
        <f aca="false">COST!A372</f>
        <v>KVMC-0368</v>
      </c>
      <c r="B372" s="48" t="str">
        <f aca="false">COST!B372</f>
        <v>KVMC</v>
      </c>
      <c r="C372" s="48" t="str">
        <f aca="false">COST!D372</f>
        <v>Grief Support Group</v>
      </c>
      <c r="D372" s="62" t="n">
        <f aca="false">COST!M372</f>
        <v>46094</v>
      </c>
      <c r="E372" s="48" t="str">
        <f aca="false">COST!P372</f>
        <v>Social Worker</v>
      </c>
      <c r="F372" s="63" t="n">
        <f aca="false">COST!R372</f>
        <v>2</v>
      </c>
      <c r="G372" s="48" t="str">
        <f aca="false">STACK!M372</f>
        <v/>
      </c>
      <c r="H372" s="1" t="str">
        <f aca="false">C372&amp;"|"&amp;IF(ISNUMBER(D372),TEXT(D372,"yyyy-mm-dd"),"no date")&amp;"|"&amp;E372&amp;"|"&amp;IF(ISNUMBER(F372),TEXT(F372,"0.00"),"blank")</f>
        <v>Grief Support Group|2026-03-13|Social Worker|2.00</v>
      </c>
      <c r="I372" s="1" t="n">
        <f aca="false">COUNTIF($H$5:$H$1624,H372)</f>
        <v>1</v>
      </c>
      <c r="J372" s="1" t="n">
        <f aca="false">COUNTIF($H$5:H372,H372)</f>
        <v>1</v>
      </c>
      <c r="K372" s="1" t="n">
        <f aca="false">COUNTIFS($H$5:$H$1624,H372,$B$5:$B$1624,"&lt;&gt;"&amp;B372)</f>
        <v>0</v>
      </c>
      <c r="L372" s="1" t="str">
        <f aca="false">IF(I372&gt;1,IF(K372&gt;0,"Cross-hospital match","Same-hospital match"),"")</f>
        <v/>
      </c>
      <c r="M372" s="52"/>
      <c r="N372" s="52"/>
      <c r="O372" s="1" t="n">
        <f aca="false">IF(M372="Exclude (duplicate)",0,1)</f>
        <v>1</v>
      </c>
      <c r="P372" s="1" t="str">
        <f aca="false">IF(AND(L372&lt;&gt;"",M372=""),"Needs decision","")</f>
        <v/>
      </c>
    </row>
    <row r="373" customFormat="false" ht="15" hidden="false" customHeight="false" outlineLevel="0" collapsed="false">
      <c r="A373" s="48" t="str">
        <f aca="false">COST!A373</f>
        <v>KVMC-0369</v>
      </c>
      <c r="B373" s="48" t="str">
        <f aca="false">COST!B373</f>
        <v>KVMC</v>
      </c>
      <c r="C373" s="48" t="str">
        <f aca="false">COST!D373</f>
        <v>Community Emergency Preparedness Drills</v>
      </c>
      <c r="D373" s="62" t="n">
        <f aca="false">COST!M373</f>
        <v>46101</v>
      </c>
      <c r="E373" s="48" t="str">
        <f aca="false">COST!P373</f>
        <v>Paramedic</v>
      </c>
      <c r="F373" s="63" t="n">
        <f aca="false">COST!R373</f>
        <v>6</v>
      </c>
      <c r="G373" s="48" t="str">
        <f aca="false">STACK!M373</f>
        <v/>
      </c>
      <c r="H373" s="1" t="str">
        <f aca="false">C373&amp;"|"&amp;IF(ISNUMBER(D373),TEXT(D373,"yyyy-mm-dd"),"no date")&amp;"|"&amp;E373&amp;"|"&amp;IF(ISNUMBER(F373),TEXT(F373,"0.00"),"blank")</f>
        <v>Community Emergency Preparedness Drills|2026-03-20|Paramedic|6.00</v>
      </c>
      <c r="I373" s="1" t="n">
        <f aca="false">COUNTIF($H$5:$H$1624,H373)</f>
        <v>1</v>
      </c>
      <c r="J373" s="1" t="n">
        <f aca="false">COUNTIF($H$5:H373,H373)</f>
        <v>1</v>
      </c>
      <c r="K373" s="1" t="n">
        <f aca="false">COUNTIFS($H$5:$H$1624,H373,$B$5:$B$1624,"&lt;&gt;"&amp;B373)</f>
        <v>0</v>
      </c>
      <c r="L373" s="1" t="str">
        <f aca="false">IF(I373&gt;1,IF(K373&gt;0,"Cross-hospital match","Same-hospital match"),"")</f>
        <v/>
      </c>
      <c r="M373" s="52"/>
      <c r="N373" s="52"/>
      <c r="O373" s="1" t="n">
        <f aca="false">IF(M373="Exclude (duplicate)",0,1)</f>
        <v>1</v>
      </c>
      <c r="P373" s="1" t="str">
        <f aca="false">IF(AND(L373&lt;&gt;"",M373=""),"Needs decision","")</f>
        <v/>
      </c>
    </row>
    <row r="374" customFormat="false" ht="15" hidden="false" customHeight="false" outlineLevel="0" collapsed="false">
      <c r="A374" s="48" t="str">
        <f aca="false">COST!A374</f>
        <v>KVMC-0370</v>
      </c>
      <c r="B374" s="48" t="str">
        <f aca="false">COST!B374</f>
        <v>KVMC</v>
      </c>
      <c r="C374" s="48" t="str">
        <f aca="false">COST!D374</f>
        <v>Community Emergency Preparedness Drills</v>
      </c>
      <c r="D374" s="62" t="n">
        <f aca="false">COST!M374</f>
        <v>46101</v>
      </c>
      <c r="E374" s="48" t="str">
        <f aca="false">COST!P374</f>
        <v>Program Coordinator</v>
      </c>
      <c r="F374" s="63" t="n">
        <f aca="false">COST!R374</f>
        <v>4.25</v>
      </c>
      <c r="G374" s="48" t="str">
        <f aca="false">STACK!M374</f>
        <v/>
      </c>
      <c r="H374" s="1" t="str">
        <f aca="false">C374&amp;"|"&amp;IF(ISNUMBER(D374),TEXT(D374,"yyyy-mm-dd"),"no date")&amp;"|"&amp;E374&amp;"|"&amp;IF(ISNUMBER(F374),TEXT(F374,"0.00"),"blank")</f>
        <v>Community Emergency Preparedness Drills|2026-03-20|Program Coordinator|4.25</v>
      </c>
      <c r="I374" s="1" t="n">
        <f aca="false">COUNTIF($H$5:$H$1624,H374)</f>
        <v>1</v>
      </c>
      <c r="J374" s="1" t="n">
        <f aca="false">COUNTIF($H$5:H374,H374)</f>
        <v>1</v>
      </c>
      <c r="K374" s="1" t="n">
        <f aca="false">COUNTIFS($H$5:$H$1624,H374,$B$5:$B$1624,"&lt;&gt;"&amp;B374)</f>
        <v>0</v>
      </c>
      <c r="L374" s="1" t="str">
        <f aca="false">IF(I374&gt;1,IF(K374&gt;0,"Cross-hospital match","Same-hospital match"),"")</f>
        <v/>
      </c>
      <c r="M374" s="52"/>
      <c r="N374" s="52"/>
      <c r="O374" s="1" t="n">
        <f aca="false">IF(M374="Exclude (duplicate)",0,1)</f>
        <v>1</v>
      </c>
      <c r="P374" s="1" t="str">
        <f aca="false">IF(AND(L374&lt;&gt;"",M374=""),"Needs decision","")</f>
        <v/>
      </c>
    </row>
    <row r="375" customFormat="false" ht="15" hidden="false" customHeight="false" outlineLevel="0" collapsed="false">
      <c r="A375" s="48" t="str">
        <f aca="false">COST!A375</f>
        <v>KVMC-0371</v>
      </c>
      <c r="B375" s="48" t="str">
        <f aca="false">COST!B375</f>
        <v>KVMC</v>
      </c>
      <c r="C375" s="48" t="str">
        <f aca="false">COST!D375</f>
        <v>Community Emergency Preparedness Drills</v>
      </c>
      <c r="D375" s="62" t="n">
        <f aca="false">COST!M375</f>
        <v>46101</v>
      </c>
      <c r="E375" s="48" t="str">
        <f aca="false">COST!P375</f>
        <v>Registered Nurse</v>
      </c>
      <c r="F375" s="63" t="n">
        <f aca="false">COST!R375</f>
        <v>6</v>
      </c>
      <c r="G375" s="48" t="str">
        <f aca="false">STACK!M375</f>
        <v/>
      </c>
      <c r="H375" s="1" t="str">
        <f aca="false">C375&amp;"|"&amp;IF(ISNUMBER(D375),TEXT(D375,"yyyy-mm-dd"),"no date")&amp;"|"&amp;E375&amp;"|"&amp;IF(ISNUMBER(F375),TEXT(F375,"0.00"),"blank")</f>
        <v>Community Emergency Preparedness Drills|2026-03-20|Registered Nurse|6.00</v>
      </c>
      <c r="I375" s="1" t="n">
        <f aca="false">COUNTIF($H$5:$H$1624,H375)</f>
        <v>1</v>
      </c>
      <c r="J375" s="1" t="n">
        <f aca="false">COUNTIF($H$5:H375,H375)</f>
        <v>1</v>
      </c>
      <c r="K375" s="1" t="n">
        <f aca="false">COUNTIFS($H$5:$H$1624,H375,$B$5:$B$1624,"&lt;&gt;"&amp;B375)</f>
        <v>0</v>
      </c>
      <c r="L375" s="1" t="str">
        <f aca="false">IF(I375&gt;1,IF(K375&gt;0,"Cross-hospital match","Same-hospital match"),"")</f>
        <v/>
      </c>
      <c r="M375" s="52"/>
      <c r="N375" s="52"/>
      <c r="O375" s="1" t="n">
        <f aca="false">IF(M375="Exclude (duplicate)",0,1)</f>
        <v>1</v>
      </c>
      <c r="P375" s="1" t="str">
        <f aca="false">IF(AND(L375&lt;&gt;"",M375=""),"Needs decision","")</f>
        <v/>
      </c>
    </row>
    <row r="376" customFormat="false" ht="15" hidden="false" customHeight="false" outlineLevel="0" collapsed="false">
      <c r="A376" s="48" t="str">
        <f aca="false">COST!A376</f>
        <v>KVMC-0372</v>
      </c>
      <c r="B376" s="48" t="str">
        <f aca="false">COST!B376</f>
        <v>KVMC</v>
      </c>
      <c r="C376" s="48" t="str">
        <f aca="false">COST!D376</f>
        <v>Free Clinic Operating Grant</v>
      </c>
      <c r="D376" s="62" t="n">
        <f aca="false">COST!M376</f>
        <v>46105</v>
      </c>
      <c r="E376" s="48" t="str">
        <f aca="false">COST!P376</f>
        <v>No staff time</v>
      </c>
      <c r="F376" s="63" t="n">
        <f aca="false">COST!R376</f>
        <v>0</v>
      </c>
      <c r="G376" s="48" t="str">
        <f aca="false">STACK!M376</f>
        <v/>
      </c>
      <c r="H376" s="1" t="str">
        <f aca="false">C376&amp;"|"&amp;IF(ISNUMBER(D376),TEXT(D376,"yyyy-mm-dd"),"no date")&amp;"|"&amp;E376&amp;"|"&amp;IF(ISNUMBER(F376),TEXT(F376,"0.00"),"blank")</f>
        <v>Free Clinic Operating Grant|2026-03-24|No staff time|0.00</v>
      </c>
      <c r="I376" s="1" t="n">
        <f aca="false">COUNTIF($H$5:$H$1624,H376)</f>
        <v>1</v>
      </c>
      <c r="J376" s="1" t="n">
        <f aca="false">COUNTIF($H$5:H376,H376)</f>
        <v>1</v>
      </c>
      <c r="K376" s="1" t="n">
        <f aca="false">COUNTIFS($H$5:$H$1624,H376,$B$5:$B$1624,"&lt;&gt;"&amp;B376)</f>
        <v>0</v>
      </c>
      <c r="L376" s="1" t="str">
        <f aca="false">IF(I376&gt;1,IF(K376&gt;0,"Cross-hospital match","Same-hospital match"),"")</f>
        <v/>
      </c>
      <c r="M376" s="52"/>
      <c r="N376" s="52"/>
      <c r="O376" s="1" t="n">
        <f aca="false">IF(M376="Exclude (duplicate)",0,1)</f>
        <v>1</v>
      </c>
      <c r="P376" s="1" t="str">
        <f aca="false">IF(AND(L376&lt;&gt;"",M376=""),"Needs decision","")</f>
        <v/>
      </c>
    </row>
    <row r="377" customFormat="false" ht="15" hidden="false" customHeight="false" outlineLevel="0" collapsed="false">
      <c r="A377" s="48" t="str">
        <f aca="false">COST!A377</f>
        <v>KVMC-0373</v>
      </c>
      <c r="B377" s="48" t="str">
        <f aca="false">COST!B377</f>
        <v>KVMC</v>
      </c>
      <c r="C377" s="48" t="str">
        <f aca="false">COST!D377</f>
        <v>Mobile Health Screening Unit</v>
      </c>
      <c r="D377" s="62" t="n">
        <f aca="false">COST!M377</f>
        <v>46112</v>
      </c>
      <c r="E377" s="48" t="str">
        <f aca="false">COST!P377</f>
        <v>Community Health Worker</v>
      </c>
      <c r="F377" s="63" t="n">
        <f aca="false">COST!R377</f>
        <v>87.25</v>
      </c>
      <c r="G377" s="48" t="str">
        <f aca="false">STACK!M377</f>
        <v/>
      </c>
      <c r="H377" s="1" t="str">
        <f aca="false">C377&amp;"|"&amp;IF(ISNUMBER(D377),TEXT(D377,"yyyy-mm-dd"),"no date")&amp;"|"&amp;E377&amp;"|"&amp;IF(ISNUMBER(F377),TEXT(F377,"0.00"),"blank")</f>
        <v>Mobile Health Screening Unit|2026-03-31|Community Health Worker|87.25</v>
      </c>
      <c r="I377" s="1" t="n">
        <f aca="false">COUNTIF($H$5:$H$1624,H377)</f>
        <v>1</v>
      </c>
      <c r="J377" s="1" t="n">
        <f aca="false">COUNTIF($H$5:H377,H377)</f>
        <v>1</v>
      </c>
      <c r="K377" s="1" t="n">
        <f aca="false">COUNTIFS($H$5:$H$1624,H377,$B$5:$B$1624,"&lt;&gt;"&amp;B377)</f>
        <v>0</v>
      </c>
      <c r="L377" s="1" t="str">
        <f aca="false">IF(I377&gt;1,IF(K377&gt;0,"Cross-hospital match","Same-hospital match"),"")</f>
        <v/>
      </c>
      <c r="M377" s="52"/>
      <c r="N377" s="52"/>
      <c r="O377" s="1" t="n">
        <f aca="false">IF(M377="Exclude (duplicate)",0,1)</f>
        <v>1</v>
      </c>
      <c r="P377" s="1" t="str">
        <f aca="false">IF(AND(L377&lt;&gt;"",M377=""),"Needs decision","")</f>
        <v/>
      </c>
    </row>
    <row r="378" customFormat="false" ht="15" hidden="false" customHeight="false" outlineLevel="0" collapsed="false">
      <c r="A378" s="48" t="str">
        <f aca="false">COST!A378</f>
        <v>KVMC-0374</v>
      </c>
      <c r="B378" s="48" t="str">
        <f aca="false">COST!B378</f>
        <v>KVMC</v>
      </c>
      <c r="C378" s="48" t="str">
        <f aca="false">COST!D378</f>
        <v>Mobile Health Screening Unit</v>
      </c>
      <c r="D378" s="62" t="n">
        <f aca="false">COST!M378</f>
        <v>46112</v>
      </c>
      <c r="E378" s="48" t="str">
        <f aca="false">COST!P378</f>
        <v>Medical Assistant</v>
      </c>
      <c r="F378" s="63" t="n">
        <f aca="false">COST!R378</f>
        <v>131</v>
      </c>
      <c r="G378" s="48" t="str">
        <f aca="false">STACK!M378</f>
        <v/>
      </c>
      <c r="H378" s="1" t="str">
        <f aca="false">C378&amp;"|"&amp;IF(ISNUMBER(D378),TEXT(D378,"yyyy-mm-dd"),"no date")&amp;"|"&amp;E378&amp;"|"&amp;IF(ISNUMBER(F378),TEXT(F378,"0.00"),"blank")</f>
        <v>Mobile Health Screening Unit|2026-03-31|Medical Assistant|131.00</v>
      </c>
      <c r="I378" s="1" t="n">
        <f aca="false">COUNTIF($H$5:$H$1624,H378)</f>
        <v>1</v>
      </c>
      <c r="J378" s="1" t="n">
        <f aca="false">COUNTIF($H$5:H378,H378)</f>
        <v>1</v>
      </c>
      <c r="K378" s="1" t="n">
        <f aca="false">COUNTIFS($H$5:$H$1624,H378,$B$5:$B$1624,"&lt;&gt;"&amp;B378)</f>
        <v>0</v>
      </c>
      <c r="L378" s="1" t="str">
        <f aca="false">IF(I378&gt;1,IF(K378&gt;0,"Cross-hospital match","Same-hospital match"),"")</f>
        <v/>
      </c>
      <c r="M378" s="52"/>
      <c r="N378" s="52"/>
      <c r="O378" s="1" t="n">
        <f aca="false">IF(M378="Exclude (duplicate)",0,1)</f>
        <v>1</v>
      </c>
      <c r="P378" s="1" t="str">
        <f aca="false">IF(AND(L378&lt;&gt;"",M378=""),"Needs decision","")</f>
        <v/>
      </c>
    </row>
    <row r="379" customFormat="false" ht="15" hidden="false" customHeight="false" outlineLevel="0" collapsed="false">
      <c r="A379" s="48" t="str">
        <f aca="false">COST!A379</f>
        <v>KVMC-0375</v>
      </c>
      <c r="B379" s="48" t="str">
        <f aca="false">COST!B379</f>
        <v>KVMC</v>
      </c>
      <c r="C379" s="48" t="str">
        <f aca="false">COST!D379</f>
        <v>Mobile Health Screening Unit</v>
      </c>
      <c r="D379" s="62" t="n">
        <f aca="false">COST!M379</f>
        <v>46112</v>
      </c>
      <c r="E379" s="48" t="str">
        <f aca="false">COST!P379</f>
        <v>Registered Nurse</v>
      </c>
      <c r="F379" s="63" t="n">
        <f aca="false">COST!R379</f>
        <v>131.25</v>
      </c>
      <c r="G379" s="48" t="str">
        <f aca="false">STACK!M379</f>
        <v/>
      </c>
      <c r="H379" s="1" t="str">
        <f aca="false">C379&amp;"|"&amp;IF(ISNUMBER(D379),TEXT(D379,"yyyy-mm-dd"),"no date")&amp;"|"&amp;E379&amp;"|"&amp;IF(ISNUMBER(F379),TEXT(F379,"0.00"),"blank")</f>
        <v>Mobile Health Screening Unit|2026-03-31|Registered Nurse|131.25</v>
      </c>
      <c r="I379" s="1" t="n">
        <f aca="false">COUNTIF($H$5:$H$1624,H379)</f>
        <v>1</v>
      </c>
      <c r="J379" s="1" t="n">
        <f aca="false">COUNTIF($H$5:H379,H379)</f>
        <v>1</v>
      </c>
      <c r="K379" s="1" t="n">
        <f aca="false">COUNTIFS($H$5:$H$1624,H379,$B$5:$B$1624,"&lt;&gt;"&amp;B379)</f>
        <v>0</v>
      </c>
      <c r="L379" s="1" t="str">
        <f aca="false">IF(I379&gt;1,IF(K379&gt;0,"Cross-hospital match","Same-hospital match"),"")</f>
        <v/>
      </c>
      <c r="M379" s="52"/>
      <c r="N379" s="52"/>
      <c r="O379" s="1" t="n">
        <f aca="false">IF(M379="Exclude (duplicate)",0,1)</f>
        <v>1</v>
      </c>
      <c r="P379" s="1" t="str">
        <f aca="false">IF(AND(L379&lt;&gt;"",M379=""),"Needs decision","")</f>
        <v/>
      </c>
    </row>
    <row r="380" customFormat="false" ht="15" hidden="false" customHeight="false" outlineLevel="0" collapsed="false">
      <c r="A380" s="48" t="str">
        <f aca="false">COST!A380</f>
        <v>KVMC-0376</v>
      </c>
      <c r="B380" s="48" t="str">
        <f aca="false">COST!B380</f>
        <v>KVMC</v>
      </c>
      <c r="C380" s="48" t="str">
        <f aca="false">COST!D380</f>
        <v>Free Clinic Provider Staffing</v>
      </c>
      <c r="D380" s="62" t="n">
        <f aca="false">COST!M380</f>
        <v>46112</v>
      </c>
      <c r="E380" s="48" t="str">
        <f aca="false">COST!P380</f>
        <v>Nurse Practitioner</v>
      </c>
      <c r="F380" s="63" t="n">
        <f aca="false">COST!R380</f>
        <v>40</v>
      </c>
      <c r="G380" s="48" t="str">
        <f aca="false">STACK!M380</f>
        <v/>
      </c>
      <c r="H380" s="1" t="str">
        <f aca="false">C380&amp;"|"&amp;IF(ISNUMBER(D380),TEXT(D380,"yyyy-mm-dd"),"no date")&amp;"|"&amp;E380&amp;"|"&amp;IF(ISNUMBER(F380),TEXT(F380,"0.00"),"blank")</f>
        <v>Free Clinic Provider Staffing|2026-03-31|Nurse Practitioner|40.00</v>
      </c>
      <c r="I380" s="1" t="n">
        <f aca="false">COUNTIF($H$5:$H$1624,H380)</f>
        <v>1</v>
      </c>
      <c r="J380" s="1" t="n">
        <f aca="false">COUNTIF($H$5:H380,H380)</f>
        <v>1</v>
      </c>
      <c r="K380" s="1" t="n">
        <f aca="false">COUNTIFS($H$5:$H$1624,H380,$B$5:$B$1624,"&lt;&gt;"&amp;B380)</f>
        <v>0</v>
      </c>
      <c r="L380" s="1" t="str">
        <f aca="false">IF(I380&gt;1,IF(K380&gt;0,"Cross-hospital match","Same-hospital match"),"")</f>
        <v/>
      </c>
      <c r="M380" s="52"/>
      <c r="N380" s="52"/>
      <c r="O380" s="1" t="n">
        <f aca="false">IF(M380="Exclude (duplicate)",0,1)</f>
        <v>1</v>
      </c>
      <c r="P380" s="1" t="str">
        <f aca="false">IF(AND(L380&lt;&gt;"",M380=""),"Needs decision","")</f>
        <v/>
      </c>
    </row>
    <row r="381" customFormat="false" ht="15" hidden="false" customHeight="false" outlineLevel="0" collapsed="false">
      <c r="A381" s="48" t="str">
        <f aca="false">COST!A381</f>
        <v>KVMC-0377</v>
      </c>
      <c r="B381" s="48" t="str">
        <f aca="false">COST!B381</f>
        <v>KVMC</v>
      </c>
      <c r="C381" s="48" t="str">
        <f aca="false">COST!D381</f>
        <v>Free Clinic Provider Staffing</v>
      </c>
      <c r="D381" s="62" t="n">
        <f aca="false">COST!M381</f>
        <v>46112</v>
      </c>
      <c r="E381" s="48" t="str">
        <f aca="false">COST!P381</f>
        <v>Pharmacist</v>
      </c>
      <c r="F381" s="63" t="n">
        <f aca="false">COST!R381</f>
        <v>22.25</v>
      </c>
      <c r="G381" s="48" t="str">
        <f aca="false">STACK!M381</f>
        <v/>
      </c>
      <c r="H381" s="1" t="str">
        <f aca="false">C381&amp;"|"&amp;IF(ISNUMBER(D381),TEXT(D381,"yyyy-mm-dd"),"no date")&amp;"|"&amp;E381&amp;"|"&amp;IF(ISNUMBER(F381),TEXT(F381,"0.00"),"blank")</f>
        <v>Free Clinic Provider Staffing|2026-03-31|Pharmacist|22.25</v>
      </c>
      <c r="I381" s="1" t="n">
        <f aca="false">COUNTIF($H$5:$H$1624,H381)</f>
        <v>1</v>
      </c>
      <c r="J381" s="1" t="n">
        <f aca="false">COUNTIF($H$5:H381,H381)</f>
        <v>1</v>
      </c>
      <c r="K381" s="1" t="n">
        <f aca="false">COUNTIFS($H$5:$H$1624,H381,$B$5:$B$1624,"&lt;&gt;"&amp;B381)</f>
        <v>0</v>
      </c>
      <c r="L381" s="1" t="str">
        <f aca="false">IF(I381&gt;1,IF(K381&gt;0,"Cross-hospital match","Same-hospital match"),"")</f>
        <v/>
      </c>
      <c r="M381" s="52"/>
      <c r="N381" s="52"/>
      <c r="O381" s="1" t="n">
        <f aca="false">IF(M381="Exclude (duplicate)",0,1)</f>
        <v>1</v>
      </c>
      <c r="P381" s="1" t="str">
        <f aca="false">IF(AND(L381&lt;&gt;"",M381=""),"Needs decision","")</f>
        <v/>
      </c>
    </row>
    <row r="382" customFormat="false" ht="15" hidden="false" customHeight="false" outlineLevel="0" collapsed="false">
      <c r="A382" s="48" t="str">
        <f aca="false">COST!A382</f>
        <v>KVMC-0378</v>
      </c>
      <c r="B382" s="48" t="str">
        <f aca="false">COST!B382</f>
        <v>KVMC</v>
      </c>
      <c r="C382" s="48" t="str">
        <f aca="false">COST!D382</f>
        <v>Free Clinic Provider Staffing</v>
      </c>
      <c r="D382" s="62" t="n">
        <f aca="false">COST!M382</f>
        <v>46112</v>
      </c>
      <c r="E382" s="48" t="str">
        <f aca="false">COST!P382</f>
        <v>Registered Nurse</v>
      </c>
      <c r="F382" s="63" t="n">
        <f aca="false">COST!R382</f>
        <v>56.25</v>
      </c>
      <c r="G382" s="48" t="str">
        <f aca="false">STACK!M382</f>
        <v/>
      </c>
      <c r="H382" s="1" t="str">
        <f aca="false">C382&amp;"|"&amp;IF(ISNUMBER(D382),TEXT(D382,"yyyy-mm-dd"),"no date")&amp;"|"&amp;E382&amp;"|"&amp;IF(ISNUMBER(F382),TEXT(F382,"0.00"),"blank")</f>
        <v>Free Clinic Provider Staffing|2026-03-31|Registered Nurse|56.25</v>
      </c>
      <c r="I382" s="1" t="n">
        <f aca="false">COUNTIF($H$5:$H$1624,H382)</f>
        <v>1</v>
      </c>
      <c r="J382" s="1" t="n">
        <f aca="false">COUNTIF($H$5:H382,H382)</f>
        <v>1</v>
      </c>
      <c r="K382" s="1" t="n">
        <f aca="false">COUNTIFS($H$5:$H$1624,H382,$B$5:$B$1624,"&lt;&gt;"&amp;B382)</f>
        <v>0</v>
      </c>
      <c r="L382" s="1" t="str">
        <f aca="false">IF(I382&gt;1,IF(K382&gt;0,"Cross-hospital match","Same-hospital match"),"")</f>
        <v/>
      </c>
      <c r="M382" s="52"/>
      <c r="N382" s="52"/>
      <c r="O382" s="1" t="n">
        <f aca="false">IF(M382="Exclude (duplicate)",0,1)</f>
        <v>1</v>
      </c>
      <c r="P382" s="1" t="str">
        <f aca="false">IF(AND(L382&lt;&gt;"",M382=""),"Needs decision","")</f>
        <v/>
      </c>
    </row>
    <row r="383" customFormat="false" ht="15" hidden="false" customHeight="false" outlineLevel="0" collapsed="false">
      <c r="A383" s="48" t="str">
        <f aca="false">COST!A383</f>
        <v>KVMC-0379</v>
      </c>
      <c r="B383" s="48" t="str">
        <f aca="false">COST!B383</f>
        <v>KVMC</v>
      </c>
      <c r="C383" s="48" t="str">
        <f aca="false">COST!D383</f>
        <v>Community Health Worker Outreach</v>
      </c>
      <c r="D383" s="62" t="n">
        <f aca="false">COST!M383</f>
        <v>46112</v>
      </c>
      <c r="E383" s="48" t="str">
        <f aca="false">COST!P383</f>
        <v>Community Health Worker</v>
      </c>
      <c r="F383" s="63" t="n">
        <f aca="false">COST!R383</f>
        <v>377</v>
      </c>
      <c r="G383" s="48" t="str">
        <f aca="false">STACK!M383</f>
        <v/>
      </c>
      <c r="H383" s="1" t="str">
        <f aca="false">C383&amp;"|"&amp;IF(ISNUMBER(D383),TEXT(D383,"yyyy-mm-dd"),"no date")&amp;"|"&amp;E383&amp;"|"&amp;IF(ISNUMBER(F383),TEXT(F383,"0.00"),"blank")</f>
        <v>Community Health Worker Outreach|2026-03-31|Community Health Worker|377.00</v>
      </c>
      <c r="I383" s="1" t="n">
        <f aca="false">COUNTIF($H$5:$H$1624,H383)</f>
        <v>1</v>
      </c>
      <c r="J383" s="1" t="n">
        <f aca="false">COUNTIF($H$5:H383,H383)</f>
        <v>1</v>
      </c>
      <c r="K383" s="1" t="n">
        <f aca="false">COUNTIFS($H$5:$H$1624,H383,$B$5:$B$1624,"&lt;&gt;"&amp;B383)</f>
        <v>0</v>
      </c>
      <c r="L383" s="1" t="str">
        <f aca="false">IF(I383&gt;1,IF(K383&gt;0,"Cross-hospital match","Same-hospital match"),"")</f>
        <v/>
      </c>
      <c r="M383" s="52"/>
      <c r="N383" s="52"/>
      <c r="O383" s="1" t="n">
        <f aca="false">IF(M383="Exclude (duplicate)",0,1)</f>
        <v>1</v>
      </c>
      <c r="P383" s="1" t="str">
        <f aca="false">IF(AND(L383&lt;&gt;"",M383=""),"Needs decision","")</f>
        <v/>
      </c>
    </row>
    <row r="384" customFormat="false" ht="15" hidden="false" customHeight="false" outlineLevel="0" collapsed="false">
      <c r="A384" s="48" t="str">
        <f aca="false">COST!A384</f>
        <v>KVMC-0380</v>
      </c>
      <c r="B384" s="48" t="str">
        <f aca="false">COST!B384</f>
        <v>KVMC</v>
      </c>
      <c r="C384" s="48" t="str">
        <f aca="false">COST!D384</f>
        <v>Community Health Worker Outreach</v>
      </c>
      <c r="D384" s="62" t="n">
        <f aca="false">COST!M384</f>
        <v>46112</v>
      </c>
      <c r="E384" s="48" t="str">
        <f aca="false">COST!P384</f>
        <v>Patient Navigator</v>
      </c>
      <c r="F384" s="63" t="n">
        <f aca="false">COST!R384</f>
        <v>170.5</v>
      </c>
      <c r="G384" s="48" t="str">
        <f aca="false">STACK!M384</f>
        <v/>
      </c>
      <c r="H384" s="1" t="str">
        <f aca="false">C384&amp;"|"&amp;IF(ISNUMBER(D384),TEXT(D384,"yyyy-mm-dd"),"no date")&amp;"|"&amp;E384&amp;"|"&amp;IF(ISNUMBER(F384),TEXT(F384,"0.00"),"blank")</f>
        <v>Community Health Worker Outreach|2026-03-31|Patient Navigator|170.50</v>
      </c>
      <c r="I384" s="1" t="n">
        <f aca="false">COUNTIF($H$5:$H$1624,H384)</f>
        <v>1</v>
      </c>
      <c r="J384" s="1" t="n">
        <f aca="false">COUNTIF($H$5:H384,H384)</f>
        <v>1</v>
      </c>
      <c r="K384" s="1" t="n">
        <f aca="false">COUNTIFS($H$5:$H$1624,H384,$B$5:$B$1624,"&lt;&gt;"&amp;B384)</f>
        <v>0</v>
      </c>
      <c r="L384" s="1" t="str">
        <f aca="false">IF(I384&gt;1,IF(K384&gt;0,"Cross-hospital match","Same-hospital match"),"")</f>
        <v/>
      </c>
      <c r="M384" s="52"/>
      <c r="N384" s="52"/>
      <c r="O384" s="1" t="n">
        <f aca="false">IF(M384="Exclude (duplicate)",0,1)</f>
        <v>1</v>
      </c>
      <c r="P384" s="1" t="str">
        <f aca="false">IF(AND(L384&lt;&gt;"",M384=""),"Needs decision","")</f>
        <v/>
      </c>
    </row>
    <row r="385" customFormat="false" ht="15" hidden="false" customHeight="false" outlineLevel="0" collapsed="false">
      <c r="A385" s="48" t="str">
        <f aca="false">COST!A385</f>
        <v>KVMC-0381</v>
      </c>
      <c r="B385" s="48" t="str">
        <f aca="false">COST!B385</f>
        <v>KVMC</v>
      </c>
      <c r="C385" s="48" t="str">
        <f aca="false">COST!D385</f>
        <v>Medication Assistance Program</v>
      </c>
      <c r="D385" s="62" t="n">
        <f aca="false">COST!M385</f>
        <v>46112</v>
      </c>
      <c r="E385" s="48" t="str">
        <f aca="false">COST!P385</f>
        <v>Patient Navigator</v>
      </c>
      <c r="F385" s="63" t="n">
        <f aca="false">COST!R385</f>
        <v>83</v>
      </c>
      <c r="G385" s="48" t="str">
        <f aca="false">STACK!M385</f>
        <v/>
      </c>
      <c r="H385" s="1" t="str">
        <f aca="false">C385&amp;"|"&amp;IF(ISNUMBER(D385),TEXT(D385,"yyyy-mm-dd"),"no date")&amp;"|"&amp;E385&amp;"|"&amp;IF(ISNUMBER(F385),TEXT(F385,"0.00"),"blank")</f>
        <v>Medication Assistance Program|2026-03-31|Patient Navigator|83.00</v>
      </c>
      <c r="I385" s="1" t="n">
        <f aca="false">COUNTIF($H$5:$H$1624,H385)</f>
        <v>1</v>
      </c>
      <c r="J385" s="1" t="n">
        <f aca="false">COUNTIF($H$5:H385,H385)</f>
        <v>1</v>
      </c>
      <c r="K385" s="1" t="n">
        <f aca="false">COUNTIFS($H$5:$H$1624,H385,$B$5:$B$1624,"&lt;&gt;"&amp;B385)</f>
        <v>0</v>
      </c>
      <c r="L385" s="1" t="str">
        <f aca="false">IF(I385&gt;1,IF(K385&gt;0,"Cross-hospital match","Same-hospital match"),"")</f>
        <v/>
      </c>
      <c r="M385" s="52"/>
      <c r="N385" s="52"/>
      <c r="O385" s="1" t="n">
        <f aca="false">IF(M385="Exclude (duplicate)",0,1)</f>
        <v>1</v>
      </c>
      <c r="P385" s="1" t="str">
        <f aca="false">IF(AND(L385&lt;&gt;"",M385=""),"Needs decision","")</f>
        <v/>
      </c>
    </row>
    <row r="386" customFormat="false" ht="15" hidden="false" customHeight="false" outlineLevel="0" collapsed="false">
      <c r="A386" s="48" t="str">
        <f aca="false">COST!A386</f>
        <v>KVMC-0382</v>
      </c>
      <c r="B386" s="48" t="str">
        <f aca="false">COST!B386</f>
        <v>KVMC</v>
      </c>
      <c r="C386" s="48" t="str">
        <f aca="false">COST!D386</f>
        <v>Medication Assistance Program</v>
      </c>
      <c r="D386" s="62" t="n">
        <f aca="false">COST!M386</f>
        <v>46112</v>
      </c>
      <c r="E386" s="48" t="str">
        <f aca="false">COST!P386</f>
        <v>Pharmacist</v>
      </c>
      <c r="F386" s="63" t="n">
        <f aca="false">COST!R386</f>
        <v>27.25</v>
      </c>
      <c r="G386" s="48" t="str">
        <f aca="false">STACK!M386</f>
        <v/>
      </c>
      <c r="H386" s="1" t="str">
        <f aca="false">C386&amp;"|"&amp;IF(ISNUMBER(D386),TEXT(D386,"yyyy-mm-dd"),"no date")&amp;"|"&amp;E386&amp;"|"&amp;IF(ISNUMBER(F386),TEXT(F386,"0.00"),"blank")</f>
        <v>Medication Assistance Program|2026-03-31|Pharmacist|27.25</v>
      </c>
      <c r="I386" s="1" t="n">
        <f aca="false">COUNTIF($H$5:$H$1624,H386)</f>
        <v>1</v>
      </c>
      <c r="J386" s="1" t="n">
        <f aca="false">COUNTIF($H$5:H386,H386)</f>
        <v>1</v>
      </c>
      <c r="K386" s="1" t="n">
        <f aca="false">COUNTIFS($H$5:$H$1624,H386,$B$5:$B$1624,"&lt;&gt;"&amp;B386)</f>
        <v>0</v>
      </c>
      <c r="L386" s="1" t="str">
        <f aca="false">IF(I386&gt;1,IF(K386&gt;0,"Cross-hospital match","Same-hospital match"),"")</f>
        <v/>
      </c>
      <c r="M386" s="52"/>
      <c r="N386" s="52"/>
      <c r="O386" s="1" t="n">
        <f aca="false">IF(M386="Exclude (duplicate)",0,1)</f>
        <v>1</v>
      </c>
      <c r="P386" s="1" t="str">
        <f aca="false">IF(AND(L386&lt;&gt;"",M386=""),"Needs decision","")</f>
        <v/>
      </c>
    </row>
    <row r="387" customFormat="false" ht="15" hidden="false" customHeight="false" outlineLevel="0" collapsed="false">
      <c r="A387" s="48" t="str">
        <f aca="false">COST!A387</f>
        <v>KVMC-0383</v>
      </c>
      <c r="B387" s="48" t="str">
        <f aca="false">COST!B387</f>
        <v>KVMC</v>
      </c>
      <c r="C387" s="48" t="str">
        <f aca="false">COST!D387</f>
        <v>Community Health Needs Assessment</v>
      </c>
      <c r="D387" s="62" t="n">
        <f aca="false">COST!M387</f>
        <v>46112</v>
      </c>
      <c r="E387" s="48" t="str">
        <f aca="false">COST!P387</f>
        <v>Community Benefit Manager</v>
      </c>
      <c r="F387" s="63" t="n">
        <f aca="false">COST!R387</f>
        <v>90.75</v>
      </c>
      <c r="G387" s="48" t="str">
        <f aca="false">STACK!M387</f>
        <v/>
      </c>
      <c r="H387" s="1" t="str">
        <f aca="false">C387&amp;"|"&amp;IF(ISNUMBER(D387),TEXT(D387,"yyyy-mm-dd"),"no date")&amp;"|"&amp;E387&amp;"|"&amp;IF(ISNUMBER(F387),TEXT(F387,"0.00"),"blank")</f>
        <v>Community Health Needs Assessment|2026-03-31|Community Benefit Manager|90.75</v>
      </c>
      <c r="I387" s="1" t="n">
        <f aca="false">COUNTIF($H$5:$H$1624,H387)</f>
        <v>2</v>
      </c>
      <c r="J387" s="1" t="n">
        <f aca="false">COUNTIF($H$5:H387,H387)</f>
        <v>1</v>
      </c>
      <c r="K387" s="1" t="n">
        <f aca="false">COUNTIFS($H$5:$H$1624,H387,$B$5:$B$1624,"&lt;&gt;"&amp;B387)</f>
        <v>1</v>
      </c>
      <c r="L387" s="1" t="str">
        <f aca="false">IF(I387&gt;1,IF(K387&gt;0,"Cross-hospital match","Same-hospital match"),"")</f>
        <v>Cross-hospital match</v>
      </c>
      <c r="M387" s="52" t="s">
        <v>2959</v>
      </c>
      <c r="N387" s="52" t="s">
        <v>2960</v>
      </c>
      <c r="O387" s="1" t="n">
        <f aca="false">IF(M387="Exclude (duplicate)",0,1)</f>
        <v>1</v>
      </c>
      <c r="P387" s="1" t="str">
        <f aca="false">IF(AND(L387&lt;&gt;"",M387=""),"Needs decision","")</f>
        <v/>
      </c>
    </row>
    <row r="388" customFormat="false" ht="15" hidden="false" customHeight="false" outlineLevel="0" collapsed="false">
      <c r="A388" s="48" t="str">
        <f aca="false">COST!A388</f>
        <v>KVMC-0384</v>
      </c>
      <c r="B388" s="48" t="str">
        <f aca="false">COST!B388</f>
        <v>KVMC</v>
      </c>
      <c r="C388" s="48" t="str">
        <f aca="false">COST!D388</f>
        <v>Community Health Needs Assessment</v>
      </c>
      <c r="D388" s="62" t="n">
        <f aca="false">COST!M388</f>
        <v>46112</v>
      </c>
      <c r="E388" s="48" t="str">
        <f aca="false">COST!P388</f>
        <v>Data Analyst</v>
      </c>
      <c r="F388" s="63" t="n">
        <f aca="false">COST!R388</f>
        <v>99.25</v>
      </c>
      <c r="G388" s="48" t="str">
        <f aca="false">STACK!M388</f>
        <v/>
      </c>
      <c r="H388" s="1" t="str">
        <f aca="false">C388&amp;"|"&amp;IF(ISNUMBER(D388),TEXT(D388,"yyyy-mm-dd"),"no date")&amp;"|"&amp;E388&amp;"|"&amp;IF(ISNUMBER(F388),TEXT(F388,"0.00"),"blank")</f>
        <v>Community Health Needs Assessment|2026-03-31|Data Analyst|99.25</v>
      </c>
      <c r="I388" s="1" t="n">
        <f aca="false">COUNTIF($H$5:$H$1624,H388)</f>
        <v>2</v>
      </c>
      <c r="J388" s="1" t="n">
        <f aca="false">COUNTIF($H$5:H388,H388)</f>
        <v>1</v>
      </c>
      <c r="K388" s="1" t="n">
        <f aca="false">COUNTIFS($H$5:$H$1624,H388,$B$5:$B$1624,"&lt;&gt;"&amp;B388)</f>
        <v>1</v>
      </c>
      <c r="L388" s="1" t="str">
        <f aca="false">IF(I388&gt;1,IF(K388&gt;0,"Cross-hospital match","Same-hospital match"),"")</f>
        <v>Cross-hospital match</v>
      </c>
      <c r="M388" s="52" t="s">
        <v>2959</v>
      </c>
      <c r="N388" s="52" t="s">
        <v>2960</v>
      </c>
      <c r="O388" s="1" t="n">
        <f aca="false">IF(M388="Exclude (duplicate)",0,1)</f>
        <v>1</v>
      </c>
      <c r="P388" s="1" t="str">
        <f aca="false">IF(AND(L388&lt;&gt;"",M388=""),"Needs decision","")</f>
        <v/>
      </c>
    </row>
    <row r="389" customFormat="false" ht="15" hidden="false" customHeight="false" outlineLevel="0" collapsed="false">
      <c r="A389" s="48" t="str">
        <f aca="false">COST!A389</f>
        <v>KVMC-0385</v>
      </c>
      <c r="B389" s="48" t="str">
        <f aca="false">COST!B389</f>
        <v>KVMC</v>
      </c>
      <c r="C389" s="48" t="str">
        <f aca="false">COST!D389</f>
        <v>Community Benefit Program Administration</v>
      </c>
      <c r="D389" s="62" t="n">
        <f aca="false">COST!M389</f>
        <v>46112</v>
      </c>
      <c r="E389" s="48" t="str">
        <f aca="false">COST!P389</f>
        <v>Administrative Assistant</v>
      </c>
      <c r="F389" s="63" t="n">
        <f aca="false">COST!R389</f>
        <v>68.25</v>
      </c>
      <c r="G389" s="48" t="str">
        <f aca="false">STACK!M389</f>
        <v/>
      </c>
      <c r="H389" s="1" t="str">
        <f aca="false">C389&amp;"|"&amp;IF(ISNUMBER(D389),TEXT(D389,"yyyy-mm-dd"),"no date")&amp;"|"&amp;E389&amp;"|"&amp;IF(ISNUMBER(F389),TEXT(F389,"0.00"),"blank")</f>
        <v>Community Benefit Program Administration|2026-03-31|Administrative Assistant|68.25</v>
      </c>
      <c r="I389" s="1" t="n">
        <f aca="false">COUNTIF($H$5:$H$1624,H389)</f>
        <v>1</v>
      </c>
      <c r="J389" s="1" t="n">
        <f aca="false">COUNTIF($H$5:H389,H389)</f>
        <v>1</v>
      </c>
      <c r="K389" s="1" t="n">
        <f aca="false">COUNTIFS($H$5:$H$1624,H389,$B$5:$B$1624,"&lt;&gt;"&amp;B389)</f>
        <v>0</v>
      </c>
      <c r="L389" s="1" t="str">
        <f aca="false">IF(I389&gt;1,IF(K389&gt;0,"Cross-hospital match","Same-hospital match"),"")</f>
        <v/>
      </c>
      <c r="M389" s="52"/>
      <c r="N389" s="52"/>
      <c r="O389" s="1" t="n">
        <f aca="false">IF(M389="Exclude (duplicate)",0,1)</f>
        <v>1</v>
      </c>
      <c r="P389" s="1" t="str">
        <f aca="false">IF(AND(L389&lt;&gt;"",M389=""),"Needs decision","")</f>
        <v/>
      </c>
    </row>
    <row r="390" customFormat="false" ht="15" hidden="false" customHeight="false" outlineLevel="0" collapsed="false">
      <c r="A390" s="48" t="str">
        <f aca="false">COST!A390</f>
        <v>KVMC-0386</v>
      </c>
      <c r="B390" s="48" t="str">
        <f aca="false">COST!B390</f>
        <v>KVMC</v>
      </c>
      <c r="C390" s="48" t="str">
        <f aca="false">COST!D390</f>
        <v>Community Benefit Program Administration</v>
      </c>
      <c r="D390" s="62" t="n">
        <f aca="false">COST!M390</f>
        <v>46112</v>
      </c>
      <c r="E390" s="48" t="str">
        <f aca="false">COST!P390</f>
        <v>Community Benefit Manager</v>
      </c>
      <c r="F390" s="63" t="n">
        <f aca="false">COST!R390</f>
        <v>80.25</v>
      </c>
      <c r="G390" s="48" t="str">
        <f aca="false">STACK!M390</f>
        <v/>
      </c>
      <c r="H390" s="1" t="str">
        <f aca="false">C390&amp;"|"&amp;IF(ISNUMBER(D390),TEXT(D390,"yyyy-mm-dd"),"no date")&amp;"|"&amp;E390&amp;"|"&amp;IF(ISNUMBER(F390),TEXT(F390,"0.00"),"blank")</f>
        <v>Community Benefit Program Administration|2026-03-31|Community Benefit Manager|80.25</v>
      </c>
      <c r="I390" s="1" t="n">
        <f aca="false">COUNTIF($H$5:$H$1624,H390)</f>
        <v>1</v>
      </c>
      <c r="J390" s="1" t="n">
        <f aca="false">COUNTIF($H$5:H390,H390)</f>
        <v>1</v>
      </c>
      <c r="K390" s="1" t="n">
        <f aca="false">COUNTIFS($H$5:$H$1624,H390,$B$5:$B$1624,"&lt;&gt;"&amp;B390)</f>
        <v>0</v>
      </c>
      <c r="L390" s="1" t="str">
        <f aca="false">IF(I390&gt;1,IF(K390&gt;0,"Cross-hospital match","Same-hospital match"),"")</f>
        <v/>
      </c>
      <c r="M390" s="52"/>
      <c r="N390" s="52"/>
      <c r="O390" s="1" t="n">
        <f aca="false">IF(M390="Exclude (duplicate)",0,1)</f>
        <v>1</v>
      </c>
      <c r="P390" s="1" t="str">
        <f aca="false">IF(AND(L390&lt;&gt;"",M390=""),"Needs decision","")</f>
        <v/>
      </c>
    </row>
    <row r="391" customFormat="false" ht="15" hidden="false" customHeight="false" outlineLevel="0" collapsed="false">
      <c r="A391" s="48" t="str">
        <f aca="false">COST!A391</f>
        <v>KVMC-0387</v>
      </c>
      <c r="B391" s="48" t="str">
        <f aca="false">COST!B391</f>
        <v>KVMC</v>
      </c>
      <c r="C391" s="48" t="str">
        <f aca="false">COST!D391</f>
        <v>Interpreter Services for Community Clinics</v>
      </c>
      <c r="D391" s="62" t="n">
        <f aca="false">COST!M391</f>
        <v>46112</v>
      </c>
      <c r="E391" s="48" t="str">
        <f aca="false">COST!P391</f>
        <v>Interpreter</v>
      </c>
      <c r="F391" s="63" t="n">
        <f aca="false">COST!R391</f>
        <v>55.5</v>
      </c>
      <c r="G391" s="48" t="str">
        <f aca="false">STACK!M391</f>
        <v/>
      </c>
      <c r="H391" s="1" t="str">
        <f aca="false">C391&amp;"|"&amp;IF(ISNUMBER(D391),TEXT(D391,"yyyy-mm-dd"),"no date")&amp;"|"&amp;E391&amp;"|"&amp;IF(ISNUMBER(F391),TEXT(F391,"0.00"),"blank")</f>
        <v>Interpreter Services for Community Clinics|2026-03-31|Interpreter|55.50</v>
      </c>
      <c r="I391" s="1" t="n">
        <f aca="false">COUNTIF($H$5:$H$1624,H391)</f>
        <v>1</v>
      </c>
      <c r="J391" s="1" t="n">
        <f aca="false">COUNTIF($H$5:H391,H391)</f>
        <v>1</v>
      </c>
      <c r="K391" s="1" t="n">
        <f aca="false">COUNTIFS($H$5:$H$1624,H391,$B$5:$B$1624,"&lt;&gt;"&amp;B391)</f>
        <v>0</v>
      </c>
      <c r="L391" s="1" t="str">
        <f aca="false">IF(I391&gt;1,IF(K391&gt;0,"Cross-hospital match","Same-hospital match"),"")</f>
        <v/>
      </c>
      <c r="M391" s="52"/>
      <c r="N391" s="52"/>
      <c r="O391" s="1" t="n">
        <f aca="false">IF(M391="Exclude (duplicate)",0,1)</f>
        <v>1</v>
      </c>
      <c r="P391" s="1" t="str">
        <f aca="false">IF(AND(L391&lt;&gt;"",M391=""),"Needs decision","")</f>
        <v/>
      </c>
    </row>
    <row r="392" customFormat="false" ht="15" hidden="false" customHeight="false" outlineLevel="0" collapsed="false">
      <c r="A392" s="48" t="str">
        <f aca="false">COST!A392</f>
        <v>KVMC-0388</v>
      </c>
      <c r="B392" s="48" t="str">
        <f aca="false">COST!B392</f>
        <v>KVMC</v>
      </c>
      <c r="C392" s="48" t="str">
        <f aca="false">COST!D392</f>
        <v>Nursing Student Clinical Rotations</v>
      </c>
      <c r="D392" s="62" t="n">
        <f aca="false">COST!M392</f>
        <v>46112</v>
      </c>
      <c r="E392" s="48" t="str">
        <f aca="false">COST!P392</f>
        <v>Clinical Nurse Educator</v>
      </c>
      <c r="F392" s="63" t="n">
        <f aca="false">COST!R392</f>
        <v>115.25</v>
      </c>
      <c r="G392" s="48" t="str">
        <f aca="false">STACK!M392</f>
        <v/>
      </c>
      <c r="H392" s="1" t="str">
        <f aca="false">C392&amp;"|"&amp;IF(ISNUMBER(D392),TEXT(D392,"yyyy-mm-dd"),"no date")&amp;"|"&amp;E392&amp;"|"&amp;IF(ISNUMBER(F392),TEXT(F392,"0.00"),"blank")</f>
        <v>Nursing Student Clinical Rotations|2026-03-31|Clinical Nurse Educator|115.25</v>
      </c>
      <c r="I392" s="1" t="n">
        <f aca="false">COUNTIF($H$5:$H$1624,H392)</f>
        <v>1</v>
      </c>
      <c r="J392" s="1" t="n">
        <f aca="false">COUNTIF($H$5:H392,H392)</f>
        <v>1</v>
      </c>
      <c r="K392" s="1" t="n">
        <f aca="false">COUNTIFS($H$5:$H$1624,H392,$B$5:$B$1624,"&lt;&gt;"&amp;B392)</f>
        <v>0</v>
      </c>
      <c r="L392" s="1" t="str">
        <f aca="false">IF(I392&gt;1,IF(K392&gt;0,"Cross-hospital match","Same-hospital match"),"")</f>
        <v/>
      </c>
      <c r="M392" s="52"/>
      <c r="N392" s="52"/>
      <c r="O392" s="1" t="n">
        <f aca="false">IF(M392="Exclude (duplicate)",0,1)</f>
        <v>1</v>
      </c>
      <c r="P392" s="1" t="str">
        <f aca="false">IF(AND(L392&lt;&gt;"",M392=""),"Needs decision","")</f>
        <v/>
      </c>
    </row>
    <row r="393" customFormat="false" ht="15" hidden="false" customHeight="false" outlineLevel="0" collapsed="false">
      <c r="A393" s="48" t="str">
        <f aca="false">COST!A393</f>
        <v>KVMC-0389</v>
      </c>
      <c r="B393" s="48" t="str">
        <f aca="false">COST!B393</f>
        <v>KVMC</v>
      </c>
      <c r="C393" s="48" t="str">
        <f aca="false">COST!D393</f>
        <v>Nursing Student Clinical Rotations</v>
      </c>
      <c r="D393" s="62" t="n">
        <f aca="false">COST!M393</f>
        <v>46112</v>
      </c>
      <c r="E393" s="48" t="str">
        <f aca="false">COST!P393</f>
        <v>Registered Nurse</v>
      </c>
      <c r="F393" s="63" t="n">
        <f aca="false">COST!R393</f>
        <v>311.25</v>
      </c>
      <c r="G393" s="48" t="str">
        <f aca="false">STACK!M393</f>
        <v/>
      </c>
      <c r="H393" s="1" t="str">
        <f aca="false">C393&amp;"|"&amp;IF(ISNUMBER(D393),TEXT(D393,"yyyy-mm-dd"),"no date")&amp;"|"&amp;E393&amp;"|"&amp;IF(ISNUMBER(F393),TEXT(F393,"0.00"),"blank")</f>
        <v>Nursing Student Clinical Rotations|2026-03-31|Registered Nurse|311.25</v>
      </c>
      <c r="I393" s="1" t="n">
        <f aca="false">COUNTIF($H$5:$H$1624,H393)</f>
        <v>1</v>
      </c>
      <c r="J393" s="1" t="n">
        <f aca="false">COUNTIF($H$5:H393,H393)</f>
        <v>1</v>
      </c>
      <c r="K393" s="1" t="n">
        <f aca="false">COUNTIFS($H$5:$H$1624,H393,$B$5:$B$1624,"&lt;&gt;"&amp;B393)</f>
        <v>0</v>
      </c>
      <c r="L393" s="1" t="str">
        <f aca="false">IF(I393&gt;1,IF(K393&gt;0,"Cross-hospital match","Same-hospital match"),"")</f>
        <v/>
      </c>
      <c r="M393" s="52"/>
      <c r="N393" s="52"/>
      <c r="O393" s="1" t="n">
        <f aca="false">IF(M393="Exclude (duplicate)",0,1)</f>
        <v>1</v>
      </c>
      <c r="P393" s="1" t="str">
        <f aca="false">IF(AND(L393&lt;&gt;"",M393=""),"Needs decision","")</f>
        <v/>
      </c>
    </row>
    <row r="394" customFormat="false" ht="15" hidden="false" customHeight="false" outlineLevel="0" collapsed="false">
      <c r="A394" s="48" t="str">
        <f aca="false">COST!A394</f>
        <v>KVMC-0390</v>
      </c>
      <c r="B394" s="48" t="str">
        <f aca="false">COST!B394</f>
        <v>KVMC</v>
      </c>
      <c r="C394" s="48" t="str">
        <f aca="false">COST!D394</f>
        <v>Family Medicine Residency Program</v>
      </c>
      <c r="D394" s="62" t="n">
        <f aca="false">COST!M394</f>
        <v>46112</v>
      </c>
      <c r="E394" s="48" t="str">
        <f aca="false">COST!P394</f>
        <v>Physician</v>
      </c>
      <c r="F394" s="63" t="n">
        <f aca="false">COST!R394</f>
        <v>384.75</v>
      </c>
      <c r="G394" s="48" t="str">
        <f aca="false">STACK!M394</f>
        <v/>
      </c>
      <c r="H394" s="1" t="str">
        <f aca="false">C394&amp;"|"&amp;IF(ISNUMBER(D394),TEXT(D394,"yyyy-mm-dd"),"no date")&amp;"|"&amp;E394&amp;"|"&amp;IF(ISNUMBER(F394),TEXT(F394,"0.00"),"blank")</f>
        <v>Family Medicine Residency Program|2026-03-31|Physician|384.75</v>
      </c>
      <c r="I394" s="1" t="n">
        <f aca="false">COUNTIF($H$5:$H$1624,H394)</f>
        <v>1</v>
      </c>
      <c r="J394" s="1" t="n">
        <f aca="false">COUNTIF($H$5:H394,H394)</f>
        <v>1</v>
      </c>
      <c r="K394" s="1" t="n">
        <f aca="false">COUNTIFS($H$5:$H$1624,H394,$B$5:$B$1624,"&lt;&gt;"&amp;B394)</f>
        <v>0</v>
      </c>
      <c r="L394" s="1" t="str">
        <f aca="false">IF(I394&gt;1,IF(K394&gt;0,"Cross-hospital match","Same-hospital match"),"")</f>
        <v/>
      </c>
      <c r="M394" s="52"/>
      <c r="N394" s="52"/>
      <c r="O394" s="1" t="n">
        <f aca="false">IF(M394="Exclude (duplicate)",0,1)</f>
        <v>1</v>
      </c>
      <c r="P394" s="1" t="str">
        <f aca="false">IF(AND(L394&lt;&gt;"",M394=""),"Needs decision","")</f>
        <v/>
      </c>
    </row>
    <row r="395" customFormat="false" ht="15" hidden="false" customHeight="false" outlineLevel="0" collapsed="false">
      <c r="A395" s="48" t="str">
        <f aca="false">COST!A395</f>
        <v>KVMC-0391</v>
      </c>
      <c r="B395" s="48" t="str">
        <f aca="false">COST!B395</f>
        <v>KVMC</v>
      </c>
      <c r="C395" s="48" t="str">
        <f aca="false">COST!D395</f>
        <v>Family Medicine Residency Program</v>
      </c>
      <c r="D395" s="62" t="n">
        <f aca="false">COST!M395</f>
        <v>46112</v>
      </c>
      <c r="E395" s="48" t="str">
        <f aca="false">COST!P395</f>
        <v>Program Coordinator</v>
      </c>
      <c r="F395" s="63" t="n">
        <f aca="false">COST!R395</f>
        <v>174.25</v>
      </c>
      <c r="G395" s="48" t="str">
        <f aca="false">STACK!M395</f>
        <v/>
      </c>
      <c r="H395" s="1" t="str">
        <f aca="false">C395&amp;"|"&amp;IF(ISNUMBER(D395),TEXT(D395,"yyyy-mm-dd"),"no date")&amp;"|"&amp;E395&amp;"|"&amp;IF(ISNUMBER(F395),TEXT(F395,"0.00"),"blank")</f>
        <v>Family Medicine Residency Program|2026-03-31|Program Coordinator|174.25</v>
      </c>
      <c r="I395" s="1" t="n">
        <f aca="false">COUNTIF($H$5:$H$1624,H395)</f>
        <v>1</v>
      </c>
      <c r="J395" s="1" t="n">
        <f aca="false">COUNTIF($H$5:H395,H395)</f>
        <v>1</v>
      </c>
      <c r="K395" s="1" t="n">
        <f aca="false">COUNTIFS($H$5:$H$1624,H395,$B$5:$B$1624,"&lt;&gt;"&amp;B395)</f>
        <v>0</v>
      </c>
      <c r="L395" s="1" t="str">
        <f aca="false">IF(I395&gt;1,IF(K395&gt;0,"Cross-hospital match","Same-hospital match"),"")</f>
        <v/>
      </c>
      <c r="M395" s="52"/>
      <c r="N395" s="52"/>
      <c r="O395" s="1" t="n">
        <f aca="false">IF(M395="Exclude (duplicate)",0,1)</f>
        <v>1</v>
      </c>
      <c r="P395" s="1" t="str">
        <f aca="false">IF(AND(L395&lt;&gt;"",M395=""),"Needs decision","")</f>
        <v/>
      </c>
    </row>
    <row r="396" customFormat="false" ht="15" hidden="false" customHeight="false" outlineLevel="0" collapsed="false">
      <c r="A396" s="48" t="str">
        <f aca="false">COST!A396</f>
        <v>KVMC-0392</v>
      </c>
      <c r="B396" s="48" t="str">
        <f aca="false">COST!B396</f>
        <v>KVMC</v>
      </c>
      <c r="C396" s="48" t="str">
        <f aca="false">COST!D396</f>
        <v>Family Medicine Residency Program</v>
      </c>
      <c r="D396" s="62" t="n">
        <f aca="false">COST!M396</f>
        <v>46112</v>
      </c>
      <c r="E396" s="48" t="str">
        <f aca="false">COST!P396</f>
        <v>Resident Physician</v>
      </c>
      <c r="F396" s="63" t="n">
        <f aca="false">COST!R396</f>
        <v>4146.75</v>
      </c>
      <c r="G396" s="48" t="str">
        <f aca="false">STACK!M396</f>
        <v/>
      </c>
      <c r="H396" s="1" t="str">
        <f aca="false">C396&amp;"|"&amp;IF(ISNUMBER(D396),TEXT(D396,"yyyy-mm-dd"),"no date")&amp;"|"&amp;E396&amp;"|"&amp;IF(ISNUMBER(F396),TEXT(F396,"0.00"),"blank")</f>
        <v>Family Medicine Residency Program|2026-03-31|Resident Physician|4146.75</v>
      </c>
      <c r="I396" s="1" t="n">
        <f aca="false">COUNTIF($H$5:$H$1624,H396)</f>
        <v>1</v>
      </c>
      <c r="J396" s="1" t="n">
        <f aca="false">COUNTIF($H$5:H396,H396)</f>
        <v>1</v>
      </c>
      <c r="K396" s="1" t="n">
        <f aca="false">COUNTIFS($H$5:$H$1624,H396,$B$5:$B$1624,"&lt;&gt;"&amp;B396)</f>
        <v>0</v>
      </c>
      <c r="L396" s="1" t="str">
        <f aca="false">IF(I396&gt;1,IF(K396&gt;0,"Cross-hospital match","Same-hospital match"),"")</f>
        <v/>
      </c>
      <c r="M396" s="52"/>
      <c r="N396" s="52"/>
      <c r="O396" s="1" t="n">
        <f aca="false">IF(M396="Exclude (duplicate)",0,1)</f>
        <v>1</v>
      </c>
      <c r="P396" s="1" t="str">
        <f aca="false">IF(AND(L396&lt;&gt;"",M396=""),"Needs decision","")</f>
        <v/>
      </c>
    </row>
    <row r="397" customFormat="false" ht="15" hidden="false" customHeight="false" outlineLevel="0" collapsed="false">
      <c r="A397" s="48" t="str">
        <f aca="false">COST!A397</f>
        <v>KVMC-0393</v>
      </c>
      <c r="B397" s="48" t="str">
        <f aca="false">COST!B397</f>
        <v>KVMC</v>
      </c>
      <c r="C397" s="48" t="str">
        <f aca="false">COST!D397</f>
        <v>Pharmacy Student Rotations</v>
      </c>
      <c r="D397" s="62" t="n">
        <f aca="false">COST!M397</f>
        <v>46112</v>
      </c>
      <c r="E397" s="48" t="str">
        <f aca="false">COST!P397</f>
        <v>Pharmacist</v>
      </c>
      <c r="F397" s="63" t="n">
        <f aca="false">COST!R397</f>
        <v>63.75</v>
      </c>
      <c r="G397" s="48" t="str">
        <f aca="false">STACK!M397</f>
        <v/>
      </c>
      <c r="H397" s="1" t="str">
        <f aca="false">C397&amp;"|"&amp;IF(ISNUMBER(D397),TEXT(D397,"yyyy-mm-dd"),"no date")&amp;"|"&amp;E397&amp;"|"&amp;IF(ISNUMBER(F397),TEXT(F397,"0.00"),"blank")</f>
        <v>Pharmacy Student Rotations|2026-03-31|Pharmacist|63.75</v>
      </c>
      <c r="I397" s="1" t="n">
        <f aca="false">COUNTIF($H$5:$H$1624,H397)</f>
        <v>1</v>
      </c>
      <c r="J397" s="1" t="n">
        <f aca="false">COUNTIF($H$5:H397,H397)</f>
        <v>1</v>
      </c>
      <c r="K397" s="1" t="n">
        <f aca="false">COUNTIFS($H$5:$H$1624,H397,$B$5:$B$1624,"&lt;&gt;"&amp;B397)</f>
        <v>0</v>
      </c>
      <c r="L397" s="1" t="str">
        <f aca="false">IF(I397&gt;1,IF(K397&gt;0,"Cross-hospital match","Same-hospital match"),"")</f>
        <v/>
      </c>
      <c r="M397" s="52"/>
      <c r="N397" s="52"/>
      <c r="O397" s="1" t="n">
        <f aca="false">IF(M397="Exclude (duplicate)",0,1)</f>
        <v>1</v>
      </c>
      <c r="P397" s="1" t="str">
        <f aca="false">IF(AND(L397&lt;&gt;"",M397=""),"Needs decision","")</f>
        <v/>
      </c>
    </row>
    <row r="398" customFormat="false" ht="15" hidden="false" customHeight="false" outlineLevel="0" collapsed="false">
      <c r="A398" s="48" t="str">
        <f aca="false">COST!A398</f>
        <v>KVMC-0394</v>
      </c>
      <c r="B398" s="48" t="str">
        <f aca="false">COST!B398</f>
        <v>KVMC</v>
      </c>
      <c r="C398" s="48" t="str">
        <f aca="false">COST!D398</f>
        <v>Community Hypertension Control Study</v>
      </c>
      <c r="D398" s="62" t="n">
        <f aca="false">COST!M398</f>
        <v>46112</v>
      </c>
      <c r="E398" s="48" t="str">
        <f aca="false">COST!P398</f>
        <v>Data Analyst</v>
      </c>
      <c r="F398" s="63" t="n">
        <f aca="false">COST!R398</f>
        <v>41.75</v>
      </c>
      <c r="G398" s="48" t="str">
        <f aca="false">STACK!M398</f>
        <v/>
      </c>
      <c r="H398" s="1" t="str">
        <f aca="false">C398&amp;"|"&amp;IF(ISNUMBER(D398),TEXT(D398,"yyyy-mm-dd"),"no date")&amp;"|"&amp;E398&amp;"|"&amp;IF(ISNUMBER(F398),TEXT(F398,"0.00"),"blank")</f>
        <v>Community Hypertension Control Study|2026-03-31|Data Analyst|41.75</v>
      </c>
      <c r="I398" s="1" t="n">
        <f aca="false">COUNTIF($H$5:$H$1624,H398)</f>
        <v>1</v>
      </c>
      <c r="J398" s="1" t="n">
        <f aca="false">COUNTIF($H$5:H398,H398)</f>
        <v>1</v>
      </c>
      <c r="K398" s="1" t="n">
        <f aca="false">COUNTIFS($H$5:$H$1624,H398,$B$5:$B$1624,"&lt;&gt;"&amp;B398)</f>
        <v>0</v>
      </c>
      <c r="L398" s="1" t="str">
        <f aca="false">IF(I398&gt;1,IF(K398&gt;0,"Cross-hospital match","Same-hospital match"),"")</f>
        <v/>
      </c>
      <c r="M398" s="52"/>
      <c r="N398" s="52"/>
      <c r="O398" s="1" t="n">
        <f aca="false">IF(M398="Exclude (duplicate)",0,1)</f>
        <v>1</v>
      </c>
      <c r="P398" s="1" t="str">
        <f aca="false">IF(AND(L398&lt;&gt;"",M398=""),"Needs decision","")</f>
        <v/>
      </c>
    </row>
    <row r="399" customFormat="false" ht="15" hidden="false" customHeight="false" outlineLevel="0" collapsed="false">
      <c r="A399" s="48" t="str">
        <f aca="false">COST!A399</f>
        <v>KVMC-0395</v>
      </c>
      <c r="B399" s="48" t="str">
        <f aca="false">COST!B399</f>
        <v>KVMC</v>
      </c>
      <c r="C399" s="48" t="str">
        <f aca="false">COST!D399</f>
        <v>Community Hypertension Control Study</v>
      </c>
      <c r="D399" s="62" t="n">
        <f aca="false">COST!M399</f>
        <v>46112</v>
      </c>
      <c r="E399" s="48" t="str">
        <f aca="false">COST!P399</f>
        <v>Physician</v>
      </c>
      <c r="F399" s="63" t="n">
        <f aca="false">COST!R399</f>
        <v>21</v>
      </c>
      <c r="G399" s="48" t="str">
        <f aca="false">STACK!M399</f>
        <v/>
      </c>
      <c r="H399" s="1" t="str">
        <f aca="false">C399&amp;"|"&amp;IF(ISNUMBER(D399),TEXT(D399,"yyyy-mm-dd"),"no date")&amp;"|"&amp;E399&amp;"|"&amp;IF(ISNUMBER(F399),TEXT(F399,"0.00"),"blank")</f>
        <v>Community Hypertension Control Study|2026-03-31|Physician|21.00</v>
      </c>
      <c r="I399" s="1" t="n">
        <f aca="false">COUNTIF($H$5:$H$1624,H399)</f>
        <v>1</v>
      </c>
      <c r="J399" s="1" t="n">
        <f aca="false">COUNTIF($H$5:H399,H399)</f>
        <v>1</v>
      </c>
      <c r="K399" s="1" t="n">
        <f aca="false">COUNTIFS($H$5:$H$1624,H399,$B$5:$B$1624,"&lt;&gt;"&amp;B399)</f>
        <v>0</v>
      </c>
      <c r="L399" s="1" t="str">
        <f aca="false">IF(I399&gt;1,IF(K399&gt;0,"Cross-hospital match","Same-hospital match"),"")</f>
        <v/>
      </c>
      <c r="M399" s="52"/>
      <c r="N399" s="52"/>
      <c r="O399" s="1" t="n">
        <f aca="false">IF(M399="Exclude (duplicate)",0,1)</f>
        <v>1</v>
      </c>
      <c r="P399" s="1" t="str">
        <f aca="false">IF(AND(L399&lt;&gt;"",M399=""),"Needs decision","")</f>
        <v/>
      </c>
    </row>
    <row r="400" customFormat="false" ht="15" hidden="false" customHeight="false" outlineLevel="0" collapsed="false">
      <c r="A400" s="48" t="str">
        <f aca="false">COST!A400</f>
        <v>KVMC-0396</v>
      </c>
      <c r="B400" s="48" t="str">
        <f aca="false">COST!B400</f>
        <v>KVMC</v>
      </c>
      <c r="C400" s="48" t="str">
        <f aca="false">COST!D400</f>
        <v>Community Hypertension Control Study</v>
      </c>
      <c r="D400" s="62" t="n">
        <f aca="false">COST!M400</f>
        <v>46112</v>
      </c>
      <c r="E400" s="48" t="str">
        <f aca="false">COST!P400</f>
        <v>Research Coordinator</v>
      </c>
      <c r="F400" s="63" t="n">
        <f aca="false">COST!R400</f>
        <v>159.5</v>
      </c>
      <c r="G400" s="48" t="str">
        <f aca="false">STACK!M400</f>
        <v/>
      </c>
      <c r="H400" s="1" t="str">
        <f aca="false">C400&amp;"|"&amp;IF(ISNUMBER(D400),TEXT(D400,"yyyy-mm-dd"),"no date")&amp;"|"&amp;E400&amp;"|"&amp;IF(ISNUMBER(F400),TEXT(F400,"0.00"),"blank")</f>
        <v>Community Hypertension Control Study|2026-03-31|Research Coordinator|159.50</v>
      </c>
      <c r="I400" s="1" t="n">
        <f aca="false">COUNTIF($H$5:$H$1624,H400)</f>
        <v>1</v>
      </c>
      <c r="J400" s="1" t="n">
        <f aca="false">COUNTIF($H$5:H400,H400)</f>
        <v>1</v>
      </c>
      <c r="K400" s="1" t="n">
        <f aca="false">COUNTIFS($H$5:$H$1624,H400,$B$5:$B$1624,"&lt;&gt;"&amp;B400)</f>
        <v>0</v>
      </c>
      <c r="L400" s="1" t="str">
        <f aca="false">IF(I400&gt;1,IF(K400&gt;0,"Cross-hospital match","Same-hospital match"),"")</f>
        <v/>
      </c>
      <c r="M400" s="52"/>
      <c r="N400" s="52"/>
      <c r="O400" s="1" t="n">
        <f aca="false">IF(M400="Exclude (duplicate)",0,1)</f>
        <v>1</v>
      </c>
      <c r="P400" s="1" t="str">
        <f aca="false">IF(AND(L400&lt;&gt;"",M400=""),"Needs decision","")</f>
        <v/>
      </c>
    </row>
    <row r="401" customFormat="false" ht="15" hidden="false" customHeight="false" outlineLevel="0" collapsed="false">
      <c r="A401" s="48" t="str">
        <f aca="false">COST!A401</f>
        <v>KVMC-0397</v>
      </c>
      <c r="B401" s="48" t="str">
        <f aca="false">COST!B401</f>
        <v>KVMC</v>
      </c>
      <c r="C401" s="48" t="str">
        <f aca="false">COST!D401</f>
        <v>Small Business Health Partnership</v>
      </c>
      <c r="D401" s="62" t="n">
        <f aca="false">COST!M401</f>
        <v>46113</v>
      </c>
      <c r="E401" s="48" t="str">
        <f aca="false">COST!P401</f>
        <v>Director</v>
      </c>
      <c r="F401" s="63" t="n">
        <f aca="false">COST!R401</f>
        <v>4</v>
      </c>
      <c r="G401" s="48" t="str">
        <f aca="false">STACK!M401</f>
        <v/>
      </c>
      <c r="H401" s="1" t="str">
        <f aca="false">C401&amp;"|"&amp;IF(ISNUMBER(D401),TEXT(D401,"yyyy-mm-dd"),"no date")&amp;"|"&amp;E401&amp;"|"&amp;IF(ISNUMBER(F401),TEXT(F401,"0.00"),"blank")</f>
        <v>Small Business Health Partnership|2026-04-01|Director|4.00</v>
      </c>
      <c r="I401" s="1" t="n">
        <f aca="false">COUNTIF($H$5:$H$1624,H401)</f>
        <v>1</v>
      </c>
      <c r="J401" s="1" t="n">
        <f aca="false">COUNTIF($H$5:H401,H401)</f>
        <v>1</v>
      </c>
      <c r="K401" s="1" t="n">
        <f aca="false">COUNTIFS($H$5:$H$1624,H401,$B$5:$B$1624,"&lt;&gt;"&amp;B401)</f>
        <v>0</v>
      </c>
      <c r="L401" s="1" t="str">
        <f aca="false">IF(I401&gt;1,IF(K401&gt;0,"Cross-hospital match","Same-hospital match"),"")</f>
        <v/>
      </c>
      <c r="M401" s="52"/>
      <c r="N401" s="52"/>
      <c r="O401" s="1" t="n">
        <f aca="false">IF(M401="Exclude (duplicate)",0,1)</f>
        <v>1</v>
      </c>
      <c r="P401" s="1" t="str">
        <f aca="false">IF(AND(L401&lt;&gt;"",M401=""),"Needs decision","")</f>
        <v/>
      </c>
    </row>
    <row r="402" customFormat="false" ht="15" hidden="false" customHeight="false" outlineLevel="0" collapsed="false">
      <c r="A402" s="48" t="str">
        <f aca="false">COST!A402</f>
        <v>KVMC-0398</v>
      </c>
      <c r="B402" s="48" t="str">
        <f aca="false">COST!B402</f>
        <v>KVMC</v>
      </c>
      <c r="C402" s="48" t="str">
        <f aca="false">COST!D402</f>
        <v>Small Business Health Partnership</v>
      </c>
      <c r="D402" s="62" t="n">
        <f aca="false">COST!M402</f>
        <v>46113</v>
      </c>
      <c r="E402" s="48" t="str">
        <f aca="false">COST!P402</f>
        <v>Program Coordinator</v>
      </c>
      <c r="F402" s="63" t="n">
        <f aca="false">COST!R402</f>
        <v>4.5</v>
      </c>
      <c r="G402" s="48" t="str">
        <f aca="false">STACK!M402</f>
        <v/>
      </c>
      <c r="H402" s="1" t="str">
        <f aca="false">C402&amp;"|"&amp;IF(ISNUMBER(D402),TEXT(D402,"yyyy-mm-dd"),"no date")&amp;"|"&amp;E402&amp;"|"&amp;IF(ISNUMBER(F402),TEXT(F402,"0.00"),"blank")</f>
        <v>Small Business Health Partnership|2026-04-01|Program Coordinator|4.50</v>
      </c>
      <c r="I402" s="1" t="n">
        <f aca="false">COUNTIF($H$5:$H$1624,H402)</f>
        <v>1</v>
      </c>
      <c r="J402" s="1" t="n">
        <f aca="false">COUNTIF($H$5:H402,H402)</f>
        <v>1</v>
      </c>
      <c r="K402" s="1" t="n">
        <f aca="false">COUNTIFS($H$5:$H$1624,H402,$B$5:$B$1624,"&lt;&gt;"&amp;B402)</f>
        <v>0</v>
      </c>
      <c r="L402" s="1" t="str">
        <f aca="false">IF(I402&gt;1,IF(K402&gt;0,"Cross-hospital match","Same-hospital match"),"")</f>
        <v/>
      </c>
      <c r="M402" s="52"/>
      <c r="N402" s="52"/>
      <c r="O402" s="1" t="n">
        <f aca="false">IF(M402="Exclude (duplicate)",0,1)</f>
        <v>1</v>
      </c>
      <c r="P402" s="1" t="str">
        <f aca="false">IF(AND(L402&lt;&gt;"",M402=""),"Needs decision","")</f>
        <v/>
      </c>
    </row>
    <row r="403" customFormat="false" ht="15" hidden="false" customHeight="false" outlineLevel="0" collapsed="false">
      <c r="A403" s="48" t="str">
        <f aca="false">COST!A403</f>
        <v>KVMC-0399</v>
      </c>
      <c r="B403" s="48" t="str">
        <f aca="false">COST!B403</f>
        <v>KVMC</v>
      </c>
      <c r="C403" s="48" t="str">
        <f aca="false">COST!D403</f>
        <v>Tobacco Cessation Classes</v>
      </c>
      <c r="D403" s="62" t="n">
        <f aca="false">COST!M403</f>
        <v>46114</v>
      </c>
      <c r="E403" s="48" t="str">
        <f aca="false">COST!P403</f>
        <v>Licensed Therapist</v>
      </c>
      <c r="F403" s="63" t="n">
        <f aca="false">COST!R403</f>
        <v>2</v>
      </c>
      <c r="G403" s="48" t="str">
        <f aca="false">STACK!M403</f>
        <v/>
      </c>
      <c r="H403" s="1" t="str">
        <f aca="false">C403&amp;"|"&amp;IF(ISNUMBER(D403),TEXT(D403,"yyyy-mm-dd"),"no date")&amp;"|"&amp;E403&amp;"|"&amp;IF(ISNUMBER(F403),TEXT(F403,"0.00"),"blank")</f>
        <v>Tobacco Cessation Classes|2026-04-02|Licensed Therapist|2.00</v>
      </c>
      <c r="I403" s="1" t="n">
        <f aca="false">COUNTIF($H$5:$H$1624,H403)</f>
        <v>1</v>
      </c>
      <c r="J403" s="1" t="n">
        <f aca="false">COUNTIF($H$5:H403,H403)</f>
        <v>1</v>
      </c>
      <c r="K403" s="1" t="n">
        <f aca="false">COUNTIFS($H$5:$H$1624,H403,$B$5:$B$1624,"&lt;&gt;"&amp;B403)</f>
        <v>0</v>
      </c>
      <c r="L403" s="1" t="str">
        <f aca="false">IF(I403&gt;1,IF(K403&gt;0,"Cross-hospital match","Same-hospital match"),"")</f>
        <v/>
      </c>
      <c r="M403" s="52"/>
      <c r="N403" s="52"/>
      <c r="O403" s="1" t="n">
        <f aca="false">IF(M403="Exclude (duplicate)",0,1)</f>
        <v>1</v>
      </c>
      <c r="P403" s="1" t="str">
        <f aca="false">IF(AND(L403&lt;&gt;"",M403=""),"Needs decision","")</f>
        <v/>
      </c>
    </row>
    <row r="404" customFormat="false" ht="15" hidden="false" customHeight="false" outlineLevel="0" collapsed="false">
      <c r="A404" s="48" t="str">
        <f aca="false">COST!A404</f>
        <v>KVMC-0400</v>
      </c>
      <c r="B404" s="48" t="str">
        <f aca="false">COST!B404</f>
        <v>KVMC</v>
      </c>
      <c r="C404" s="48" t="str">
        <f aca="false">COST!D404</f>
        <v>Naloxone Training and Distribution</v>
      </c>
      <c r="D404" s="62" t="n">
        <f aca="false">COST!M404</f>
        <v>46116</v>
      </c>
      <c r="E404" s="48" t="str">
        <f aca="false">COST!P404</f>
        <v>Health Educator</v>
      </c>
      <c r="F404" s="63" t="n">
        <f aca="false">COST!R404</f>
        <v>2.5</v>
      </c>
      <c r="G404" s="48" t="str">
        <f aca="false">STACK!M404</f>
        <v/>
      </c>
      <c r="H404" s="1" t="str">
        <f aca="false">C404&amp;"|"&amp;IF(ISNUMBER(D404),TEXT(D404,"yyyy-mm-dd"),"no date")&amp;"|"&amp;E404&amp;"|"&amp;IF(ISNUMBER(F404),TEXT(F404,"0.00"),"blank")</f>
        <v>Naloxone Training and Distribution|2026-04-04|Health Educator|2.50</v>
      </c>
      <c r="I404" s="1" t="n">
        <f aca="false">COUNTIF($H$5:$H$1624,H404)</f>
        <v>1</v>
      </c>
      <c r="J404" s="1" t="n">
        <f aca="false">COUNTIF($H$5:H404,H404)</f>
        <v>1</v>
      </c>
      <c r="K404" s="1" t="n">
        <f aca="false">COUNTIFS($H$5:$H$1624,H404,$B$5:$B$1624,"&lt;&gt;"&amp;B404)</f>
        <v>0</v>
      </c>
      <c r="L404" s="1" t="str">
        <f aca="false">IF(I404&gt;1,IF(K404&gt;0,"Cross-hospital match","Same-hospital match"),"")</f>
        <v/>
      </c>
      <c r="M404" s="52"/>
      <c r="N404" s="52"/>
      <c r="O404" s="1" t="n">
        <f aca="false">IF(M404="Exclude (duplicate)",0,1)</f>
        <v>1</v>
      </c>
      <c r="P404" s="1" t="str">
        <f aca="false">IF(AND(L404&lt;&gt;"",M404=""),"Needs decision","")</f>
        <v/>
      </c>
    </row>
    <row r="405" customFormat="false" ht="15" hidden="false" customHeight="false" outlineLevel="0" collapsed="false">
      <c r="A405" s="48" t="str">
        <f aca="false">COST!A405</f>
        <v>KVMC-0401</v>
      </c>
      <c r="B405" s="48" t="str">
        <f aca="false">COST!B405</f>
        <v>KVMC</v>
      </c>
      <c r="C405" s="48" t="str">
        <f aca="false">COST!D405</f>
        <v>Naloxone Training and Distribution</v>
      </c>
      <c r="D405" s="62" t="n">
        <f aca="false">COST!M405</f>
        <v>46116</v>
      </c>
      <c r="E405" s="48" t="str">
        <f aca="false">COST!P405</f>
        <v>Pharmacist</v>
      </c>
      <c r="F405" s="63" t="n">
        <f aca="false">COST!R405</f>
        <v>2.25</v>
      </c>
      <c r="G405" s="48" t="str">
        <f aca="false">STACK!M405</f>
        <v/>
      </c>
      <c r="H405" s="1" t="str">
        <f aca="false">C405&amp;"|"&amp;IF(ISNUMBER(D405),TEXT(D405,"yyyy-mm-dd"),"no date")&amp;"|"&amp;E405&amp;"|"&amp;IF(ISNUMBER(F405),TEXT(F405,"0.00"),"blank")</f>
        <v>Naloxone Training and Distribution|2026-04-04|Pharmacist|2.25</v>
      </c>
      <c r="I405" s="1" t="n">
        <f aca="false">COUNTIF($H$5:$H$1624,H405)</f>
        <v>1</v>
      </c>
      <c r="J405" s="1" t="n">
        <f aca="false">COUNTIF($H$5:H405,H405)</f>
        <v>1</v>
      </c>
      <c r="K405" s="1" t="n">
        <f aca="false">COUNTIFS($H$5:$H$1624,H405,$B$5:$B$1624,"&lt;&gt;"&amp;B405)</f>
        <v>0</v>
      </c>
      <c r="L405" s="1" t="str">
        <f aca="false">IF(I405&gt;1,IF(K405&gt;0,"Cross-hospital match","Same-hospital match"),"")</f>
        <v/>
      </c>
      <c r="M405" s="52"/>
      <c r="N405" s="52"/>
      <c r="O405" s="1" t="n">
        <f aca="false">IF(M405="Exclude (duplicate)",0,1)</f>
        <v>1</v>
      </c>
      <c r="P405" s="1" t="str">
        <f aca="false">IF(AND(L405&lt;&gt;"",M405=""),"Needs decision","")</f>
        <v/>
      </c>
    </row>
    <row r="406" customFormat="false" ht="15" hidden="false" customHeight="false" outlineLevel="0" collapsed="false">
      <c r="A406" s="48" t="str">
        <f aca="false">COST!A406</f>
        <v>KVMC-0402</v>
      </c>
      <c r="B406" s="48" t="str">
        <f aca="false">COST!B406</f>
        <v>KVMC</v>
      </c>
      <c r="C406" s="48" t="str">
        <f aca="false">COST!D406</f>
        <v>School-Based Health Center Support Grant</v>
      </c>
      <c r="D406" s="62" t="n">
        <f aca="false">COST!M406</f>
        <v>46117</v>
      </c>
      <c r="E406" s="48" t="str">
        <f aca="false">COST!P406</f>
        <v>No staff time</v>
      </c>
      <c r="F406" s="63" t="n">
        <f aca="false">COST!R406</f>
        <v>0</v>
      </c>
      <c r="G406" s="48" t="str">
        <f aca="false">STACK!M406</f>
        <v/>
      </c>
      <c r="H406" s="1" t="str">
        <f aca="false">C406&amp;"|"&amp;IF(ISNUMBER(D406),TEXT(D406,"yyyy-mm-dd"),"no date")&amp;"|"&amp;E406&amp;"|"&amp;IF(ISNUMBER(F406),TEXT(F406,"0.00"),"blank")</f>
        <v>School-Based Health Center Support Grant|2026-04-05|No staff time|0.00</v>
      </c>
      <c r="I406" s="1" t="n">
        <f aca="false">COUNTIF($H$5:$H$1624,H406)</f>
        <v>1</v>
      </c>
      <c r="J406" s="1" t="n">
        <f aca="false">COUNTIF($H$5:H406,H406)</f>
        <v>1</v>
      </c>
      <c r="K406" s="1" t="n">
        <f aca="false">COUNTIFS($H$5:$H$1624,H406,$B$5:$B$1624,"&lt;&gt;"&amp;B406)</f>
        <v>0</v>
      </c>
      <c r="L406" s="1" t="str">
        <f aca="false">IF(I406&gt;1,IF(K406&gt;0,"Cross-hospital match","Same-hospital match"),"")</f>
        <v/>
      </c>
      <c r="M406" s="52"/>
      <c r="N406" s="52"/>
      <c r="O406" s="1" t="n">
        <f aca="false">IF(M406="Exclude (duplicate)",0,1)</f>
        <v>1</v>
      </c>
      <c r="P406" s="1" t="str">
        <f aca="false">IF(AND(L406&lt;&gt;"",M406=""),"Needs decision","")</f>
        <v/>
      </c>
    </row>
    <row r="407" customFormat="false" ht="15" hidden="false" customHeight="false" outlineLevel="0" collapsed="false">
      <c r="A407" s="48" t="str">
        <f aca="false">COST!A407</f>
        <v>KVMC-0403</v>
      </c>
      <c r="B407" s="48" t="str">
        <f aca="false">COST!B407</f>
        <v>KVMC</v>
      </c>
      <c r="C407" s="48" t="str">
        <f aca="false">COST!D407</f>
        <v>Mental Health First Aid Training</v>
      </c>
      <c r="D407" s="62" t="n">
        <f aca="false">COST!M407</f>
        <v>46126</v>
      </c>
      <c r="E407" s="48" t="str">
        <f aca="false">COST!P407</f>
        <v>Health Educator</v>
      </c>
      <c r="F407" s="63" t="n">
        <f aca="false">COST!R407</f>
        <v>8</v>
      </c>
      <c r="G407" s="48" t="str">
        <f aca="false">STACK!M407</f>
        <v/>
      </c>
      <c r="H407" s="1" t="str">
        <f aca="false">C407&amp;"|"&amp;IF(ISNUMBER(D407),TEXT(D407,"yyyy-mm-dd"),"no date")&amp;"|"&amp;E407&amp;"|"&amp;IF(ISNUMBER(F407),TEXT(F407,"0.00"),"blank")</f>
        <v>Mental Health First Aid Training|2026-04-14|Health Educator|8.00</v>
      </c>
      <c r="I407" s="1" t="n">
        <f aca="false">COUNTIF($H$5:$H$1624,H407)</f>
        <v>1</v>
      </c>
      <c r="J407" s="1" t="n">
        <f aca="false">COUNTIF($H$5:H407,H407)</f>
        <v>1</v>
      </c>
      <c r="K407" s="1" t="n">
        <f aca="false">COUNTIFS($H$5:$H$1624,H407,$B$5:$B$1624,"&lt;&gt;"&amp;B407)</f>
        <v>0</v>
      </c>
      <c r="L407" s="1" t="str">
        <f aca="false">IF(I407&gt;1,IF(K407&gt;0,"Cross-hospital match","Same-hospital match"),"")</f>
        <v/>
      </c>
      <c r="M407" s="52"/>
      <c r="N407" s="52"/>
      <c r="O407" s="1" t="n">
        <f aca="false">IF(M407="Exclude (duplicate)",0,1)</f>
        <v>1</v>
      </c>
      <c r="P407" s="1" t="str">
        <f aca="false">IF(AND(L407&lt;&gt;"",M407=""),"Needs decision","")</f>
        <v/>
      </c>
    </row>
    <row r="408" customFormat="false" ht="15" hidden="false" customHeight="false" outlineLevel="0" collapsed="false">
      <c r="A408" s="48" t="str">
        <f aca="false">COST!A408</f>
        <v>KVMC-0404</v>
      </c>
      <c r="B408" s="48" t="str">
        <f aca="false">COST!B408</f>
        <v>KVMC</v>
      </c>
      <c r="C408" s="48" t="str">
        <f aca="false">COST!D408</f>
        <v>Mental Health First Aid Training</v>
      </c>
      <c r="D408" s="62" t="n">
        <f aca="false">COST!M408</f>
        <v>46126</v>
      </c>
      <c r="E408" s="48" t="str">
        <f aca="false">COST!P408</f>
        <v>Social Worker</v>
      </c>
      <c r="F408" s="63" t="n">
        <f aca="false">COST!R408</f>
        <v>8</v>
      </c>
      <c r="G408" s="48" t="str">
        <f aca="false">STACK!M408</f>
        <v/>
      </c>
      <c r="H408" s="1" t="str">
        <f aca="false">C408&amp;"|"&amp;IF(ISNUMBER(D408),TEXT(D408,"yyyy-mm-dd"),"no date")&amp;"|"&amp;E408&amp;"|"&amp;IF(ISNUMBER(F408),TEXT(F408,"0.00"),"blank")</f>
        <v>Mental Health First Aid Training|2026-04-14|Social Worker|8.00</v>
      </c>
      <c r="I408" s="1" t="n">
        <f aca="false">COUNTIF($H$5:$H$1624,H408)</f>
        <v>1</v>
      </c>
      <c r="J408" s="1" t="n">
        <f aca="false">COUNTIF($H$5:H408,H408)</f>
        <v>1</v>
      </c>
      <c r="K408" s="1" t="n">
        <f aca="false">COUNTIFS($H$5:$H$1624,H408,$B$5:$B$1624,"&lt;&gt;"&amp;B408)</f>
        <v>0</v>
      </c>
      <c r="L408" s="1" t="str">
        <f aca="false">IF(I408&gt;1,IF(K408&gt;0,"Cross-hospital match","Same-hospital match"),"")</f>
        <v/>
      </c>
      <c r="M408" s="52"/>
      <c r="N408" s="52"/>
      <c r="O408" s="1" t="n">
        <f aca="false">IF(M408="Exclude (duplicate)",0,1)</f>
        <v>1</v>
      </c>
      <c r="P408" s="1" t="str">
        <f aca="false">IF(AND(L408&lt;&gt;"",M408=""),"Needs decision","")</f>
        <v/>
      </c>
    </row>
    <row r="409" customFormat="false" ht="15" hidden="false" customHeight="false" outlineLevel="0" collapsed="false">
      <c r="A409" s="48" t="str">
        <f aca="false">COST!A409</f>
        <v>KVMC-0405</v>
      </c>
      <c r="B409" s="48" t="str">
        <f aca="false">COST!B409</f>
        <v>KVMC</v>
      </c>
      <c r="C409" s="48" t="str">
        <f aca="false">COST!D409</f>
        <v>Grief Support Group</v>
      </c>
      <c r="D409" s="62" t="n">
        <f aca="false">COST!M409</f>
        <v>46127</v>
      </c>
      <c r="E409" s="48" t="str">
        <f aca="false">COST!P409</f>
        <v>Chaplain</v>
      </c>
      <c r="F409" s="63" t="n">
        <f aca="false">COST!R409</f>
        <v>2.25</v>
      </c>
      <c r="G409" s="48" t="str">
        <f aca="false">STACK!M409</f>
        <v/>
      </c>
      <c r="H409" s="1" t="str">
        <f aca="false">C409&amp;"|"&amp;IF(ISNUMBER(D409),TEXT(D409,"yyyy-mm-dd"),"no date")&amp;"|"&amp;E409&amp;"|"&amp;IF(ISNUMBER(F409),TEXT(F409,"0.00"),"blank")</f>
        <v>Grief Support Group|2026-04-15|Chaplain|2.25</v>
      </c>
      <c r="I409" s="1" t="n">
        <f aca="false">COUNTIF($H$5:$H$1624,H409)</f>
        <v>1</v>
      </c>
      <c r="J409" s="1" t="n">
        <f aca="false">COUNTIF($H$5:H409,H409)</f>
        <v>1</v>
      </c>
      <c r="K409" s="1" t="n">
        <f aca="false">COUNTIFS($H$5:$H$1624,H409,$B$5:$B$1624,"&lt;&gt;"&amp;B409)</f>
        <v>0</v>
      </c>
      <c r="L409" s="1" t="str">
        <f aca="false">IF(I409&gt;1,IF(K409&gt;0,"Cross-hospital match","Same-hospital match"),"")</f>
        <v/>
      </c>
      <c r="M409" s="52"/>
      <c r="N409" s="52"/>
      <c r="O409" s="1" t="n">
        <f aca="false">IF(M409="Exclude (duplicate)",0,1)</f>
        <v>1</v>
      </c>
      <c r="P409" s="1" t="str">
        <f aca="false">IF(AND(L409&lt;&gt;"",M409=""),"Needs decision","")</f>
        <v/>
      </c>
    </row>
    <row r="410" customFormat="false" ht="15" hidden="false" customHeight="false" outlineLevel="0" collapsed="false">
      <c r="A410" s="48" t="str">
        <f aca="false">COST!A410</f>
        <v>KVMC-0406</v>
      </c>
      <c r="B410" s="48" t="str">
        <f aca="false">COST!B410</f>
        <v>KVMC</v>
      </c>
      <c r="C410" s="48" t="str">
        <f aca="false">COST!D410</f>
        <v>Grief Support Group</v>
      </c>
      <c r="D410" s="62" t="n">
        <f aca="false">COST!M410</f>
        <v>46127</v>
      </c>
      <c r="E410" s="48" t="str">
        <f aca="false">COST!P410</f>
        <v>Social Worker</v>
      </c>
      <c r="F410" s="63" t="n">
        <f aca="false">COST!R410</f>
        <v>1.75</v>
      </c>
      <c r="G410" s="48" t="str">
        <f aca="false">STACK!M410</f>
        <v/>
      </c>
      <c r="H410" s="1" t="str">
        <f aca="false">C410&amp;"|"&amp;IF(ISNUMBER(D410),TEXT(D410,"yyyy-mm-dd"),"no date")&amp;"|"&amp;E410&amp;"|"&amp;IF(ISNUMBER(F410),TEXT(F410,"0.00"),"blank")</f>
        <v>Grief Support Group|2026-04-15|Social Worker|1.75</v>
      </c>
      <c r="I410" s="1" t="n">
        <f aca="false">COUNTIF($H$5:$H$1624,H410)</f>
        <v>1</v>
      </c>
      <c r="J410" s="1" t="n">
        <f aca="false">COUNTIF($H$5:H410,H410)</f>
        <v>1</v>
      </c>
      <c r="K410" s="1" t="n">
        <f aca="false">COUNTIFS($H$5:$H$1624,H410,$B$5:$B$1624,"&lt;&gt;"&amp;B410)</f>
        <v>0</v>
      </c>
      <c r="L410" s="1" t="str">
        <f aca="false">IF(I410&gt;1,IF(K410&gt;0,"Cross-hospital match","Same-hospital match"),"")</f>
        <v/>
      </c>
      <c r="M410" s="52"/>
      <c r="N410" s="52"/>
      <c r="O410" s="1" t="n">
        <f aca="false">IF(M410="Exclude (duplicate)",0,1)</f>
        <v>1</v>
      </c>
      <c r="P410" s="1" t="str">
        <f aca="false">IF(AND(L410&lt;&gt;"",M410=""),"Needs decision","")</f>
        <v/>
      </c>
    </row>
    <row r="411" customFormat="false" ht="15" hidden="false" customHeight="false" outlineLevel="0" collapsed="false">
      <c r="A411" s="48" t="str">
        <f aca="false">COST!A411</f>
        <v>KVMC-0407</v>
      </c>
      <c r="B411" s="48" t="str">
        <f aca="false">COST!B411</f>
        <v>KVMC</v>
      </c>
      <c r="C411" s="48" t="str">
        <f aca="false">COST!D411</f>
        <v>Community Blood Pressure Checks</v>
      </c>
      <c r="D411" s="62" t="n">
        <f aca="false">COST!M411</f>
        <v>46130</v>
      </c>
      <c r="E411" s="48" t="str">
        <f aca="false">COST!P411</f>
        <v>Registered Nurse</v>
      </c>
      <c r="F411" s="63" t="n">
        <f aca="false">COST!R411</f>
        <v>3.75</v>
      </c>
      <c r="G411" s="48" t="str">
        <f aca="false">STACK!M411</f>
        <v/>
      </c>
      <c r="H411" s="1" t="str">
        <f aca="false">C411&amp;"|"&amp;IF(ISNUMBER(D411),TEXT(D411,"yyyy-mm-dd"),"no date")&amp;"|"&amp;E411&amp;"|"&amp;IF(ISNUMBER(F411),TEXT(F411,"0.00"),"blank")</f>
        <v>Community Blood Pressure Checks|2026-04-18|Registered Nurse|3.75</v>
      </c>
      <c r="I411" s="1" t="n">
        <f aca="false">COUNTIF($H$5:$H$1624,H411)</f>
        <v>1</v>
      </c>
      <c r="J411" s="1" t="n">
        <f aca="false">COUNTIF($H$5:H411,H411)</f>
        <v>1</v>
      </c>
      <c r="K411" s="1" t="n">
        <f aca="false">COUNTIFS($H$5:$H$1624,H411,$B$5:$B$1624,"&lt;&gt;"&amp;B411)</f>
        <v>0</v>
      </c>
      <c r="L411" s="1" t="str">
        <f aca="false">IF(I411&gt;1,IF(K411&gt;0,"Cross-hospital match","Same-hospital match"),"")</f>
        <v/>
      </c>
      <c r="M411" s="52"/>
      <c r="N411" s="52"/>
      <c r="O411" s="1" t="n">
        <f aca="false">IF(M411="Exclude (duplicate)",0,1)</f>
        <v>1</v>
      </c>
      <c r="P411" s="1" t="str">
        <f aca="false">IF(AND(L411&lt;&gt;"",M411=""),"Needs decision","")</f>
        <v/>
      </c>
    </row>
    <row r="412" customFormat="false" ht="15" hidden="false" customHeight="false" outlineLevel="0" collapsed="false">
      <c r="A412" s="48" t="str">
        <f aca="false">COST!A412</f>
        <v>KVMC-0408</v>
      </c>
      <c r="B412" s="48" t="str">
        <f aca="false">COST!B412</f>
        <v>KVMC</v>
      </c>
      <c r="C412" s="48" t="str">
        <f aca="false">COST!D412</f>
        <v>Regional Health Coalition</v>
      </c>
      <c r="D412" s="62" t="n">
        <f aca="false">COST!M412</f>
        <v>46130</v>
      </c>
      <c r="E412" s="48" t="str">
        <f aca="false">COST!P412</f>
        <v>Community Benefit Manager</v>
      </c>
      <c r="F412" s="63" t="n">
        <f aca="false">COST!R412</f>
        <v>2.5</v>
      </c>
      <c r="G412" s="48" t="str">
        <f aca="false">STACK!M412</f>
        <v/>
      </c>
      <c r="H412" s="1" t="str">
        <f aca="false">C412&amp;"|"&amp;IF(ISNUMBER(D412),TEXT(D412,"yyyy-mm-dd"),"no date")&amp;"|"&amp;E412&amp;"|"&amp;IF(ISNUMBER(F412),TEXT(F412,"0.00"),"blank")</f>
        <v>Regional Health Coalition|2026-04-18|Community Benefit Manager|2.50</v>
      </c>
      <c r="I412" s="1" t="n">
        <f aca="false">COUNTIF($H$5:$H$1624,H412)</f>
        <v>1</v>
      </c>
      <c r="J412" s="1" t="n">
        <f aca="false">COUNTIF($H$5:H412,H412)</f>
        <v>1</v>
      </c>
      <c r="K412" s="1" t="n">
        <f aca="false">COUNTIFS($H$5:$H$1624,H412,$B$5:$B$1624,"&lt;&gt;"&amp;B412)</f>
        <v>0</v>
      </c>
      <c r="L412" s="1" t="str">
        <f aca="false">IF(I412&gt;1,IF(K412&gt;0,"Cross-hospital match","Same-hospital match"),"")</f>
        <v/>
      </c>
      <c r="M412" s="52"/>
      <c r="N412" s="52"/>
      <c r="O412" s="1" t="n">
        <f aca="false">IF(M412="Exclude (duplicate)",0,1)</f>
        <v>1</v>
      </c>
      <c r="P412" s="1" t="str">
        <f aca="false">IF(AND(L412&lt;&gt;"",M412=""),"Needs decision","")</f>
        <v/>
      </c>
    </row>
    <row r="413" customFormat="false" ht="15" hidden="false" customHeight="false" outlineLevel="0" collapsed="false">
      <c r="A413" s="48" t="str">
        <f aca="false">COST!A413</f>
        <v>KVMC-0409</v>
      </c>
      <c r="B413" s="48" t="str">
        <f aca="false">COST!B413</f>
        <v>KVMC</v>
      </c>
      <c r="C413" s="48" t="str">
        <f aca="false">COST!D413</f>
        <v>Regional Health Coalition</v>
      </c>
      <c r="D413" s="62" t="n">
        <f aca="false">COST!M413</f>
        <v>46130</v>
      </c>
      <c r="E413" s="48" t="str">
        <f aca="false">COST!P413</f>
        <v>Director</v>
      </c>
      <c r="F413" s="63" t="n">
        <f aca="false">COST!R413</f>
        <v>2.75</v>
      </c>
      <c r="G413" s="48" t="str">
        <f aca="false">STACK!M413</f>
        <v/>
      </c>
      <c r="H413" s="1" t="str">
        <f aca="false">C413&amp;"|"&amp;IF(ISNUMBER(D413),TEXT(D413,"yyyy-mm-dd"),"no date")&amp;"|"&amp;E413&amp;"|"&amp;IF(ISNUMBER(F413),TEXT(F413,"0.00"),"blank")</f>
        <v>Regional Health Coalition|2026-04-18|Director|2.75</v>
      </c>
      <c r="I413" s="1" t="n">
        <f aca="false">COUNTIF($H$5:$H$1624,H413)</f>
        <v>1</v>
      </c>
      <c r="J413" s="1" t="n">
        <f aca="false">COUNTIF($H$5:H413,H413)</f>
        <v>1</v>
      </c>
      <c r="K413" s="1" t="n">
        <f aca="false">COUNTIFS($H$5:$H$1624,H413,$B$5:$B$1624,"&lt;&gt;"&amp;B413)</f>
        <v>0</v>
      </c>
      <c r="L413" s="1" t="str">
        <f aca="false">IF(I413&gt;1,IF(K413&gt;0,"Cross-hospital match","Same-hospital match"),"")</f>
        <v/>
      </c>
      <c r="M413" s="52"/>
      <c r="N413" s="52"/>
      <c r="O413" s="1" t="n">
        <f aca="false">IF(M413="Exclude (duplicate)",0,1)</f>
        <v>1</v>
      </c>
      <c r="P413" s="1" t="str">
        <f aca="false">IF(AND(L413&lt;&gt;"",M413=""),"Needs decision","")</f>
        <v/>
      </c>
    </row>
    <row r="414" customFormat="false" ht="15" hidden="false" customHeight="false" outlineLevel="0" collapsed="false">
      <c r="A414" s="48" t="str">
        <f aca="false">COST!A414</f>
        <v>KVMC-0410</v>
      </c>
      <c r="B414" s="48" t="str">
        <f aca="false">COST!B414</f>
        <v>KVMC</v>
      </c>
      <c r="C414" s="48" t="str">
        <f aca="false">COST!D414</f>
        <v>Childbirth and Newborn Care Classes</v>
      </c>
      <c r="D414" s="62" t="n">
        <f aca="false">COST!M414</f>
        <v>46132</v>
      </c>
      <c r="E414" s="48" t="str">
        <f aca="false">COST!P414</f>
        <v>Clinical Nurse Educator</v>
      </c>
      <c r="F414" s="63" t="n">
        <f aca="false">COST!R414</f>
        <v>3</v>
      </c>
      <c r="G414" s="48" t="str">
        <f aca="false">STACK!M414</f>
        <v/>
      </c>
      <c r="H414" s="1" t="str">
        <f aca="false">C414&amp;"|"&amp;IF(ISNUMBER(D414),TEXT(D414,"yyyy-mm-dd"),"no date")&amp;"|"&amp;E414&amp;"|"&amp;IF(ISNUMBER(F414),TEXT(F414,"0.00"),"blank")</f>
        <v>Childbirth and Newborn Care Classes|2026-04-20|Clinical Nurse Educator|3.00</v>
      </c>
      <c r="I414" s="1" t="n">
        <f aca="false">COUNTIF($H$5:$H$1624,H414)</f>
        <v>1</v>
      </c>
      <c r="J414" s="1" t="n">
        <f aca="false">COUNTIF($H$5:H414,H414)</f>
        <v>1</v>
      </c>
      <c r="K414" s="1" t="n">
        <f aca="false">COUNTIFS($H$5:$H$1624,H414,$B$5:$B$1624,"&lt;&gt;"&amp;B414)</f>
        <v>0</v>
      </c>
      <c r="L414" s="1" t="str">
        <f aca="false">IF(I414&gt;1,IF(K414&gt;0,"Cross-hospital match","Same-hospital match"),"")</f>
        <v/>
      </c>
      <c r="M414" s="52"/>
      <c r="N414" s="52"/>
      <c r="O414" s="1" t="n">
        <f aca="false">IF(M414="Exclude (duplicate)",0,1)</f>
        <v>1</v>
      </c>
      <c r="P414" s="1" t="str">
        <f aca="false">IF(AND(L414&lt;&gt;"",M414=""),"Needs decision","")</f>
        <v/>
      </c>
    </row>
    <row r="415" customFormat="false" ht="15" hidden="false" customHeight="false" outlineLevel="0" collapsed="false">
      <c r="A415" s="48" t="str">
        <f aca="false">COST!A415</f>
        <v>KVMC-0411</v>
      </c>
      <c r="B415" s="48" t="str">
        <f aca="false">COST!B415</f>
        <v>KVMC</v>
      </c>
      <c r="C415" s="48" t="str">
        <f aca="false">COST!D415</f>
        <v>Mental Health First Aid Training</v>
      </c>
      <c r="D415" s="62" t="n">
        <f aca="false">COST!M415</f>
        <v>46136</v>
      </c>
      <c r="E415" s="48" t="str">
        <f aca="false">COST!P415</f>
        <v>Health Educator</v>
      </c>
      <c r="F415" s="63" t="n">
        <f aca="false">COST!R415</f>
        <v>8</v>
      </c>
      <c r="G415" s="48" t="str">
        <f aca="false">STACK!M415</f>
        <v/>
      </c>
      <c r="H415" s="1" t="str">
        <f aca="false">C415&amp;"|"&amp;IF(ISNUMBER(D415),TEXT(D415,"yyyy-mm-dd"),"no date")&amp;"|"&amp;E415&amp;"|"&amp;IF(ISNUMBER(F415),TEXT(F415,"0.00"),"blank")</f>
        <v>Mental Health First Aid Training|2026-04-24|Health Educator|8.00</v>
      </c>
      <c r="I415" s="1" t="n">
        <f aca="false">COUNTIF($H$5:$H$1624,H415)</f>
        <v>1</v>
      </c>
      <c r="J415" s="1" t="n">
        <f aca="false">COUNTIF($H$5:H415,H415)</f>
        <v>1</v>
      </c>
      <c r="K415" s="1" t="n">
        <f aca="false">COUNTIFS($H$5:$H$1624,H415,$B$5:$B$1624,"&lt;&gt;"&amp;B415)</f>
        <v>0</v>
      </c>
      <c r="L415" s="1" t="str">
        <f aca="false">IF(I415&gt;1,IF(K415&gt;0,"Cross-hospital match","Same-hospital match"),"")</f>
        <v/>
      </c>
      <c r="M415" s="52"/>
      <c r="N415" s="52"/>
      <c r="O415" s="1" t="n">
        <f aca="false">IF(M415="Exclude (duplicate)",0,1)</f>
        <v>1</v>
      </c>
      <c r="P415" s="1" t="str">
        <f aca="false">IF(AND(L415&lt;&gt;"",M415=""),"Needs decision","")</f>
        <v/>
      </c>
    </row>
    <row r="416" customFormat="false" ht="15" hidden="false" customHeight="false" outlineLevel="0" collapsed="false">
      <c r="A416" s="48" t="str">
        <f aca="false">COST!A416</f>
        <v>KVMC-0412</v>
      </c>
      <c r="B416" s="48" t="str">
        <f aca="false">COST!B416</f>
        <v>KVMC</v>
      </c>
      <c r="C416" s="48" t="str">
        <f aca="false">COST!D416</f>
        <v>Mental Health First Aid Training</v>
      </c>
      <c r="D416" s="62" t="n">
        <f aca="false">COST!M416</f>
        <v>46136</v>
      </c>
      <c r="E416" s="48" t="str">
        <f aca="false">COST!P416</f>
        <v>Social Worker</v>
      </c>
      <c r="F416" s="63" t="n">
        <f aca="false">COST!R416</f>
        <v>8</v>
      </c>
      <c r="G416" s="48" t="str">
        <f aca="false">STACK!M416</f>
        <v/>
      </c>
      <c r="H416" s="1" t="str">
        <f aca="false">C416&amp;"|"&amp;IF(ISNUMBER(D416),TEXT(D416,"yyyy-mm-dd"),"no date")&amp;"|"&amp;E416&amp;"|"&amp;IF(ISNUMBER(F416),TEXT(F416,"0.00"),"blank")</f>
        <v>Mental Health First Aid Training|2026-04-24|Social Worker|8.00</v>
      </c>
      <c r="I416" s="1" t="n">
        <f aca="false">COUNTIF($H$5:$H$1624,H416)</f>
        <v>1</v>
      </c>
      <c r="J416" s="1" t="n">
        <f aca="false">COUNTIF($H$5:H416,H416)</f>
        <v>1</v>
      </c>
      <c r="K416" s="1" t="n">
        <f aca="false">COUNTIFS($H$5:$H$1624,H416,$B$5:$B$1624,"&lt;&gt;"&amp;B416)</f>
        <v>0</v>
      </c>
      <c r="L416" s="1" t="str">
        <f aca="false">IF(I416&gt;1,IF(K416&gt;0,"Cross-hospital match","Same-hospital match"),"")</f>
        <v/>
      </c>
      <c r="M416" s="52"/>
      <c r="N416" s="52"/>
      <c r="O416" s="1" t="n">
        <f aca="false">IF(M416="Exclude (duplicate)",0,1)</f>
        <v>1</v>
      </c>
      <c r="P416" s="1" t="str">
        <f aca="false">IF(AND(L416&lt;&gt;"",M416=""),"Needs decision","")</f>
        <v/>
      </c>
    </row>
    <row r="417" customFormat="false" ht="15" hidden="false" customHeight="false" outlineLevel="0" collapsed="false">
      <c r="A417" s="48" t="str">
        <f aca="false">COST!A417</f>
        <v>KVMC-0413</v>
      </c>
      <c r="B417" s="48" t="str">
        <f aca="false">COST!B417</f>
        <v>KVMC</v>
      </c>
      <c r="C417" s="48" t="str">
        <f aca="false">COST!D417</f>
        <v>Mobile Health Screening Unit</v>
      </c>
      <c r="D417" s="62" t="n">
        <f aca="false">COST!M417</f>
        <v>46142</v>
      </c>
      <c r="E417" s="48" t="str">
        <f aca="false">COST!P417</f>
        <v>Community Health Worker</v>
      </c>
      <c r="F417" s="63" t="n">
        <f aca="false">COST!R417</f>
        <v>65.75</v>
      </c>
      <c r="G417" s="48" t="str">
        <f aca="false">STACK!M417</f>
        <v/>
      </c>
      <c r="H417" s="1" t="str">
        <f aca="false">C417&amp;"|"&amp;IF(ISNUMBER(D417),TEXT(D417,"yyyy-mm-dd"),"no date")&amp;"|"&amp;E417&amp;"|"&amp;IF(ISNUMBER(F417),TEXT(F417,"0.00"),"blank")</f>
        <v>Mobile Health Screening Unit|2026-04-30|Community Health Worker|65.75</v>
      </c>
      <c r="I417" s="1" t="n">
        <f aca="false">COUNTIF($H$5:$H$1624,H417)</f>
        <v>1</v>
      </c>
      <c r="J417" s="1" t="n">
        <f aca="false">COUNTIF($H$5:H417,H417)</f>
        <v>1</v>
      </c>
      <c r="K417" s="1" t="n">
        <f aca="false">COUNTIFS($H$5:$H$1624,H417,$B$5:$B$1624,"&lt;&gt;"&amp;B417)</f>
        <v>0</v>
      </c>
      <c r="L417" s="1" t="str">
        <f aca="false">IF(I417&gt;1,IF(K417&gt;0,"Cross-hospital match","Same-hospital match"),"")</f>
        <v/>
      </c>
      <c r="M417" s="52"/>
      <c r="N417" s="52"/>
      <c r="O417" s="1" t="n">
        <f aca="false">IF(M417="Exclude (duplicate)",0,1)</f>
        <v>1</v>
      </c>
      <c r="P417" s="1" t="str">
        <f aca="false">IF(AND(L417&lt;&gt;"",M417=""),"Needs decision","")</f>
        <v/>
      </c>
    </row>
    <row r="418" customFormat="false" ht="15" hidden="false" customHeight="false" outlineLevel="0" collapsed="false">
      <c r="A418" s="48" t="str">
        <f aca="false">COST!A418</f>
        <v>KVMC-0414</v>
      </c>
      <c r="B418" s="48" t="str">
        <f aca="false">COST!B418</f>
        <v>KVMC</v>
      </c>
      <c r="C418" s="48" t="str">
        <f aca="false">COST!D418</f>
        <v>Mobile Health Screening Unit</v>
      </c>
      <c r="D418" s="62" t="n">
        <f aca="false">COST!M418</f>
        <v>46142</v>
      </c>
      <c r="E418" s="48" t="str">
        <f aca="false">COST!P418</f>
        <v>Medical Assistant</v>
      </c>
      <c r="F418" s="63" t="n">
        <f aca="false">COST!R418</f>
        <v>127.75</v>
      </c>
      <c r="G418" s="48" t="str">
        <f aca="false">STACK!M418</f>
        <v/>
      </c>
      <c r="H418" s="1" t="str">
        <f aca="false">C418&amp;"|"&amp;IF(ISNUMBER(D418),TEXT(D418,"yyyy-mm-dd"),"no date")&amp;"|"&amp;E418&amp;"|"&amp;IF(ISNUMBER(F418),TEXT(F418,"0.00"),"blank")</f>
        <v>Mobile Health Screening Unit|2026-04-30|Medical Assistant|127.75</v>
      </c>
      <c r="I418" s="1" t="n">
        <f aca="false">COUNTIF($H$5:$H$1624,H418)</f>
        <v>1</v>
      </c>
      <c r="J418" s="1" t="n">
        <f aca="false">COUNTIF($H$5:H418,H418)</f>
        <v>1</v>
      </c>
      <c r="K418" s="1" t="n">
        <f aca="false">COUNTIFS($H$5:$H$1624,H418,$B$5:$B$1624,"&lt;&gt;"&amp;B418)</f>
        <v>0</v>
      </c>
      <c r="L418" s="1" t="str">
        <f aca="false">IF(I418&gt;1,IF(K418&gt;0,"Cross-hospital match","Same-hospital match"),"")</f>
        <v/>
      </c>
      <c r="M418" s="52"/>
      <c r="N418" s="52"/>
      <c r="O418" s="1" t="n">
        <f aca="false">IF(M418="Exclude (duplicate)",0,1)</f>
        <v>1</v>
      </c>
      <c r="P418" s="1" t="str">
        <f aca="false">IF(AND(L418&lt;&gt;"",M418=""),"Needs decision","")</f>
        <v/>
      </c>
    </row>
    <row r="419" customFormat="false" ht="15" hidden="false" customHeight="false" outlineLevel="0" collapsed="false">
      <c r="A419" s="48" t="str">
        <f aca="false">COST!A419</f>
        <v>KVMC-0415</v>
      </c>
      <c r="B419" s="48" t="str">
        <f aca="false">COST!B419</f>
        <v>KVMC</v>
      </c>
      <c r="C419" s="48" t="str">
        <f aca="false">COST!D419</f>
        <v>Mobile Health Screening Unit</v>
      </c>
      <c r="D419" s="62" t="n">
        <f aca="false">COST!M419</f>
        <v>46142</v>
      </c>
      <c r="E419" s="48" t="str">
        <f aca="false">COST!P419</f>
        <v>Registered Nurse</v>
      </c>
      <c r="F419" s="63" t="n">
        <f aca="false">COST!R419</f>
        <v>111.5</v>
      </c>
      <c r="G419" s="48" t="str">
        <f aca="false">STACK!M419</f>
        <v/>
      </c>
      <c r="H419" s="1" t="str">
        <f aca="false">C419&amp;"|"&amp;IF(ISNUMBER(D419),TEXT(D419,"yyyy-mm-dd"),"no date")&amp;"|"&amp;E419&amp;"|"&amp;IF(ISNUMBER(F419),TEXT(F419,"0.00"),"blank")</f>
        <v>Mobile Health Screening Unit|2026-04-30|Registered Nurse|111.50</v>
      </c>
      <c r="I419" s="1" t="n">
        <f aca="false">COUNTIF($H$5:$H$1624,H419)</f>
        <v>1</v>
      </c>
      <c r="J419" s="1" t="n">
        <f aca="false">COUNTIF($H$5:H419,H419)</f>
        <v>1</v>
      </c>
      <c r="K419" s="1" t="n">
        <f aca="false">COUNTIFS($H$5:$H$1624,H419,$B$5:$B$1624,"&lt;&gt;"&amp;B419)</f>
        <v>0</v>
      </c>
      <c r="L419" s="1" t="str">
        <f aca="false">IF(I419&gt;1,IF(K419&gt;0,"Cross-hospital match","Same-hospital match"),"")</f>
        <v/>
      </c>
      <c r="M419" s="52"/>
      <c r="N419" s="52"/>
      <c r="O419" s="1" t="n">
        <f aca="false">IF(M419="Exclude (duplicate)",0,1)</f>
        <v>1</v>
      </c>
      <c r="P419" s="1" t="str">
        <f aca="false">IF(AND(L419&lt;&gt;"",M419=""),"Needs decision","")</f>
        <v/>
      </c>
    </row>
    <row r="420" customFormat="false" ht="15" hidden="false" customHeight="false" outlineLevel="0" collapsed="false">
      <c r="A420" s="48" t="str">
        <f aca="false">COST!A420</f>
        <v>KVMC-0416</v>
      </c>
      <c r="B420" s="48" t="str">
        <f aca="false">COST!B420</f>
        <v>KVMC</v>
      </c>
      <c r="C420" s="48" t="str">
        <f aca="false">COST!D420</f>
        <v>Tobacco Cessation Classes</v>
      </c>
      <c r="D420" s="62" t="n">
        <f aca="false">COST!M420</f>
        <v>46142</v>
      </c>
      <c r="E420" s="48" t="str">
        <f aca="false">COST!P420</f>
        <v>Licensed Therapist</v>
      </c>
      <c r="F420" s="63" t="n">
        <f aca="false">COST!R420</f>
        <v>2</v>
      </c>
      <c r="G420" s="48" t="str">
        <f aca="false">STACK!M420</f>
        <v/>
      </c>
      <c r="H420" s="1" t="str">
        <f aca="false">C420&amp;"|"&amp;IF(ISNUMBER(D420),TEXT(D420,"yyyy-mm-dd"),"no date")&amp;"|"&amp;E420&amp;"|"&amp;IF(ISNUMBER(F420),TEXT(F420,"0.00"),"blank")</f>
        <v>Tobacco Cessation Classes|2026-04-30|Licensed Therapist|2.00</v>
      </c>
      <c r="I420" s="1" t="n">
        <f aca="false">COUNTIF($H$5:$H$1624,H420)</f>
        <v>1</v>
      </c>
      <c r="J420" s="1" t="n">
        <f aca="false">COUNTIF($H$5:H420,H420)</f>
        <v>1</v>
      </c>
      <c r="K420" s="1" t="n">
        <f aca="false">COUNTIFS($H$5:$H$1624,H420,$B$5:$B$1624,"&lt;&gt;"&amp;B420)</f>
        <v>0</v>
      </c>
      <c r="L420" s="1" t="str">
        <f aca="false">IF(I420&gt;1,IF(K420&gt;0,"Cross-hospital match","Same-hospital match"),"")</f>
        <v/>
      </c>
      <c r="M420" s="52"/>
      <c r="N420" s="52"/>
      <c r="O420" s="1" t="n">
        <f aca="false">IF(M420="Exclude (duplicate)",0,1)</f>
        <v>1</v>
      </c>
      <c r="P420" s="1" t="str">
        <f aca="false">IF(AND(L420&lt;&gt;"",M420=""),"Needs decision","")</f>
        <v/>
      </c>
    </row>
    <row r="421" customFormat="false" ht="15" hidden="false" customHeight="false" outlineLevel="0" collapsed="false">
      <c r="A421" s="48" t="str">
        <f aca="false">COST!A421</f>
        <v>KVMC-0417</v>
      </c>
      <c r="B421" s="48" t="str">
        <f aca="false">COST!B421</f>
        <v>KVMC</v>
      </c>
      <c r="C421" s="48" t="str">
        <f aca="false">COST!D421</f>
        <v>Free Clinic Provider Staffing</v>
      </c>
      <c r="D421" s="62" t="n">
        <f aca="false">COST!M421</f>
        <v>46142</v>
      </c>
      <c r="E421" s="48" t="str">
        <f aca="false">COST!P421</f>
        <v>Nurse Practitioner</v>
      </c>
      <c r="F421" s="63" t="n">
        <f aca="false">COST!R421</f>
        <v>46.5</v>
      </c>
      <c r="G421" s="48" t="str">
        <f aca="false">STACK!M421</f>
        <v/>
      </c>
      <c r="H421" s="1" t="str">
        <f aca="false">C421&amp;"|"&amp;IF(ISNUMBER(D421),TEXT(D421,"yyyy-mm-dd"),"no date")&amp;"|"&amp;E421&amp;"|"&amp;IF(ISNUMBER(F421),TEXT(F421,"0.00"),"blank")</f>
        <v>Free Clinic Provider Staffing|2026-04-30|Nurse Practitioner|46.50</v>
      </c>
      <c r="I421" s="1" t="n">
        <f aca="false">COUNTIF($H$5:$H$1624,H421)</f>
        <v>1</v>
      </c>
      <c r="J421" s="1" t="n">
        <f aca="false">COUNTIF($H$5:H421,H421)</f>
        <v>1</v>
      </c>
      <c r="K421" s="1" t="n">
        <f aca="false">COUNTIFS($H$5:$H$1624,H421,$B$5:$B$1624,"&lt;&gt;"&amp;B421)</f>
        <v>0</v>
      </c>
      <c r="L421" s="1" t="str">
        <f aca="false">IF(I421&gt;1,IF(K421&gt;0,"Cross-hospital match","Same-hospital match"),"")</f>
        <v/>
      </c>
      <c r="M421" s="52"/>
      <c r="N421" s="52"/>
      <c r="O421" s="1" t="n">
        <f aca="false">IF(M421="Exclude (duplicate)",0,1)</f>
        <v>1</v>
      </c>
      <c r="P421" s="1" t="str">
        <f aca="false">IF(AND(L421&lt;&gt;"",M421=""),"Needs decision","")</f>
        <v/>
      </c>
    </row>
    <row r="422" customFormat="false" ht="15" hidden="false" customHeight="false" outlineLevel="0" collapsed="false">
      <c r="A422" s="48" t="str">
        <f aca="false">COST!A422</f>
        <v>KVMC-0418</v>
      </c>
      <c r="B422" s="48" t="str">
        <f aca="false">COST!B422</f>
        <v>KVMC</v>
      </c>
      <c r="C422" s="48" t="str">
        <f aca="false">COST!D422</f>
        <v>Free Clinic Provider Staffing</v>
      </c>
      <c r="D422" s="62" t="n">
        <f aca="false">COST!M422</f>
        <v>46142</v>
      </c>
      <c r="E422" s="48" t="str">
        <f aca="false">COST!P422</f>
        <v>Pharmacist</v>
      </c>
      <c r="F422" s="63" t="n">
        <f aca="false">COST!R422</f>
        <v>20</v>
      </c>
      <c r="G422" s="48" t="str">
        <f aca="false">STACK!M422</f>
        <v/>
      </c>
      <c r="H422" s="1" t="str">
        <f aca="false">C422&amp;"|"&amp;IF(ISNUMBER(D422),TEXT(D422,"yyyy-mm-dd"),"no date")&amp;"|"&amp;E422&amp;"|"&amp;IF(ISNUMBER(F422),TEXT(F422,"0.00"),"blank")</f>
        <v>Free Clinic Provider Staffing|2026-04-30|Pharmacist|20.00</v>
      </c>
      <c r="I422" s="1" t="n">
        <f aca="false">COUNTIF($H$5:$H$1624,H422)</f>
        <v>1</v>
      </c>
      <c r="J422" s="1" t="n">
        <f aca="false">COUNTIF($H$5:H422,H422)</f>
        <v>1</v>
      </c>
      <c r="K422" s="1" t="n">
        <f aca="false">COUNTIFS($H$5:$H$1624,H422,$B$5:$B$1624,"&lt;&gt;"&amp;B422)</f>
        <v>0</v>
      </c>
      <c r="L422" s="1" t="str">
        <f aca="false">IF(I422&gt;1,IF(K422&gt;0,"Cross-hospital match","Same-hospital match"),"")</f>
        <v/>
      </c>
      <c r="M422" s="52"/>
      <c r="N422" s="52"/>
      <c r="O422" s="1" t="n">
        <f aca="false">IF(M422="Exclude (duplicate)",0,1)</f>
        <v>1</v>
      </c>
      <c r="P422" s="1" t="str">
        <f aca="false">IF(AND(L422&lt;&gt;"",M422=""),"Needs decision","")</f>
        <v/>
      </c>
    </row>
    <row r="423" customFormat="false" ht="15" hidden="false" customHeight="false" outlineLevel="0" collapsed="false">
      <c r="A423" s="48" t="str">
        <f aca="false">COST!A423</f>
        <v>KVMC-0419</v>
      </c>
      <c r="B423" s="48" t="str">
        <f aca="false">COST!B423</f>
        <v>KVMC</v>
      </c>
      <c r="C423" s="48" t="str">
        <f aca="false">COST!D423</f>
        <v>Free Clinic Provider Staffing</v>
      </c>
      <c r="D423" s="62" t="n">
        <f aca="false">COST!M423</f>
        <v>46142</v>
      </c>
      <c r="E423" s="48" t="str">
        <f aca="false">COST!P423</f>
        <v>Registered Nurse</v>
      </c>
      <c r="F423" s="63" t="n">
        <f aca="false">COST!R423</f>
        <v>48</v>
      </c>
      <c r="G423" s="48" t="str">
        <f aca="false">STACK!M423</f>
        <v/>
      </c>
      <c r="H423" s="1" t="str">
        <f aca="false">C423&amp;"|"&amp;IF(ISNUMBER(D423),TEXT(D423,"yyyy-mm-dd"),"no date")&amp;"|"&amp;E423&amp;"|"&amp;IF(ISNUMBER(F423),TEXT(F423,"0.00"),"blank")</f>
        <v>Free Clinic Provider Staffing|2026-04-30|Registered Nurse|48.00</v>
      </c>
      <c r="I423" s="1" t="n">
        <f aca="false">COUNTIF($H$5:$H$1624,H423)</f>
        <v>1</v>
      </c>
      <c r="J423" s="1" t="n">
        <f aca="false">COUNTIF($H$5:H423,H423)</f>
        <v>1</v>
      </c>
      <c r="K423" s="1" t="n">
        <f aca="false">COUNTIFS($H$5:$H$1624,H423,$B$5:$B$1624,"&lt;&gt;"&amp;B423)</f>
        <v>0</v>
      </c>
      <c r="L423" s="1" t="str">
        <f aca="false">IF(I423&gt;1,IF(K423&gt;0,"Cross-hospital match","Same-hospital match"),"")</f>
        <v/>
      </c>
      <c r="M423" s="52"/>
      <c r="N423" s="52"/>
      <c r="O423" s="1" t="n">
        <f aca="false">IF(M423="Exclude (duplicate)",0,1)</f>
        <v>1</v>
      </c>
      <c r="P423" s="1" t="str">
        <f aca="false">IF(AND(L423&lt;&gt;"",M423=""),"Needs decision","")</f>
        <v/>
      </c>
    </row>
    <row r="424" customFormat="false" ht="15" hidden="false" customHeight="false" outlineLevel="0" collapsed="false">
      <c r="A424" s="48" t="str">
        <f aca="false">COST!A424</f>
        <v>KVMC-0420</v>
      </c>
      <c r="B424" s="48" t="str">
        <f aca="false">COST!B424</f>
        <v>KVMC</v>
      </c>
      <c r="C424" s="48" t="str">
        <f aca="false">COST!D424</f>
        <v>Community Health Worker Outreach</v>
      </c>
      <c r="D424" s="62" t="n">
        <f aca="false">COST!M424</f>
        <v>46142</v>
      </c>
      <c r="E424" s="48" t="str">
        <f aca="false">COST!P424</f>
        <v>Community Health Worker</v>
      </c>
      <c r="F424" s="63" t="n">
        <f aca="false">COST!R424</f>
        <v>419.25</v>
      </c>
      <c r="G424" s="48" t="str">
        <f aca="false">STACK!M424</f>
        <v/>
      </c>
      <c r="H424" s="1" t="str">
        <f aca="false">C424&amp;"|"&amp;IF(ISNUMBER(D424),TEXT(D424,"yyyy-mm-dd"),"no date")&amp;"|"&amp;E424&amp;"|"&amp;IF(ISNUMBER(F424),TEXT(F424,"0.00"),"blank")</f>
        <v>Community Health Worker Outreach|2026-04-30|Community Health Worker|419.25</v>
      </c>
      <c r="I424" s="1" t="n">
        <f aca="false">COUNTIF($H$5:$H$1624,H424)</f>
        <v>1</v>
      </c>
      <c r="J424" s="1" t="n">
        <f aca="false">COUNTIF($H$5:H424,H424)</f>
        <v>1</v>
      </c>
      <c r="K424" s="1" t="n">
        <f aca="false">COUNTIFS($H$5:$H$1624,H424,$B$5:$B$1624,"&lt;&gt;"&amp;B424)</f>
        <v>0</v>
      </c>
      <c r="L424" s="1" t="str">
        <f aca="false">IF(I424&gt;1,IF(K424&gt;0,"Cross-hospital match","Same-hospital match"),"")</f>
        <v/>
      </c>
      <c r="M424" s="52"/>
      <c r="N424" s="52"/>
      <c r="O424" s="1" t="n">
        <f aca="false">IF(M424="Exclude (duplicate)",0,1)</f>
        <v>1</v>
      </c>
      <c r="P424" s="1" t="str">
        <f aca="false">IF(AND(L424&lt;&gt;"",M424=""),"Needs decision","")</f>
        <v/>
      </c>
    </row>
    <row r="425" customFormat="false" ht="15" hidden="false" customHeight="false" outlineLevel="0" collapsed="false">
      <c r="A425" s="48" t="str">
        <f aca="false">COST!A425</f>
        <v>KVMC-0421</v>
      </c>
      <c r="B425" s="48" t="str">
        <f aca="false">COST!B425</f>
        <v>KVMC</v>
      </c>
      <c r="C425" s="48" t="str">
        <f aca="false">COST!D425</f>
        <v>Community Health Worker Outreach</v>
      </c>
      <c r="D425" s="62" t="n">
        <f aca="false">COST!M425</f>
        <v>46142</v>
      </c>
      <c r="E425" s="48" t="str">
        <f aca="false">COST!P425</f>
        <v>Patient Navigator</v>
      </c>
      <c r="F425" s="63" t="n">
        <f aca="false">COST!R425</f>
        <v>203.25</v>
      </c>
      <c r="G425" s="48" t="str">
        <f aca="false">STACK!M425</f>
        <v/>
      </c>
      <c r="H425" s="1" t="str">
        <f aca="false">C425&amp;"|"&amp;IF(ISNUMBER(D425),TEXT(D425,"yyyy-mm-dd"),"no date")&amp;"|"&amp;E425&amp;"|"&amp;IF(ISNUMBER(F425),TEXT(F425,"0.00"),"blank")</f>
        <v>Community Health Worker Outreach|2026-04-30|Patient Navigator|203.25</v>
      </c>
      <c r="I425" s="1" t="n">
        <f aca="false">COUNTIF($H$5:$H$1624,H425)</f>
        <v>1</v>
      </c>
      <c r="J425" s="1" t="n">
        <f aca="false">COUNTIF($H$5:H425,H425)</f>
        <v>1</v>
      </c>
      <c r="K425" s="1" t="n">
        <f aca="false">COUNTIFS($H$5:$H$1624,H425,$B$5:$B$1624,"&lt;&gt;"&amp;B425)</f>
        <v>0</v>
      </c>
      <c r="L425" s="1" t="str">
        <f aca="false">IF(I425&gt;1,IF(K425&gt;0,"Cross-hospital match","Same-hospital match"),"")</f>
        <v/>
      </c>
      <c r="M425" s="52"/>
      <c r="N425" s="52"/>
      <c r="O425" s="1" t="n">
        <f aca="false">IF(M425="Exclude (duplicate)",0,1)</f>
        <v>1</v>
      </c>
      <c r="P425" s="1" t="str">
        <f aca="false">IF(AND(L425&lt;&gt;"",M425=""),"Needs decision","")</f>
        <v/>
      </c>
    </row>
    <row r="426" customFormat="false" ht="15" hidden="false" customHeight="false" outlineLevel="0" collapsed="false">
      <c r="A426" s="48" t="str">
        <f aca="false">COST!A426</f>
        <v>KVMC-0422</v>
      </c>
      <c r="B426" s="48" t="str">
        <f aca="false">COST!B426</f>
        <v>KVMC</v>
      </c>
      <c r="C426" s="48" t="str">
        <f aca="false">COST!D426</f>
        <v>Medication Assistance Program</v>
      </c>
      <c r="D426" s="62" t="n">
        <f aca="false">COST!M426</f>
        <v>46142</v>
      </c>
      <c r="E426" s="48" t="str">
        <f aca="false">COST!P426</f>
        <v>Patient Navigator</v>
      </c>
      <c r="F426" s="63" t="n">
        <f aca="false">COST!R426</f>
        <v>111.5</v>
      </c>
      <c r="G426" s="48" t="str">
        <f aca="false">STACK!M426</f>
        <v/>
      </c>
      <c r="H426" s="1" t="str">
        <f aca="false">C426&amp;"|"&amp;IF(ISNUMBER(D426),TEXT(D426,"yyyy-mm-dd"),"no date")&amp;"|"&amp;E426&amp;"|"&amp;IF(ISNUMBER(F426),TEXT(F426,"0.00"),"blank")</f>
        <v>Medication Assistance Program|2026-04-30|Patient Navigator|111.50</v>
      </c>
      <c r="I426" s="1" t="n">
        <f aca="false">COUNTIF($H$5:$H$1624,H426)</f>
        <v>1</v>
      </c>
      <c r="J426" s="1" t="n">
        <f aca="false">COUNTIF($H$5:H426,H426)</f>
        <v>1</v>
      </c>
      <c r="K426" s="1" t="n">
        <f aca="false">COUNTIFS($H$5:$H$1624,H426,$B$5:$B$1624,"&lt;&gt;"&amp;B426)</f>
        <v>0</v>
      </c>
      <c r="L426" s="1" t="str">
        <f aca="false">IF(I426&gt;1,IF(K426&gt;0,"Cross-hospital match","Same-hospital match"),"")</f>
        <v/>
      </c>
      <c r="M426" s="52"/>
      <c r="N426" s="52"/>
      <c r="O426" s="1" t="n">
        <f aca="false">IF(M426="Exclude (duplicate)",0,1)</f>
        <v>1</v>
      </c>
      <c r="P426" s="1" t="str">
        <f aca="false">IF(AND(L426&lt;&gt;"",M426=""),"Needs decision","")</f>
        <v/>
      </c>
    </row>
    <row r="427" customFormat="false" ht="15" hidden="false" customHeight="false" outlineLevel="0" collapsed="false">
      <c r="A427" s="48" t="str">
        <f aca="false">COST!A427</f>
        <v>KVMC-0423</v>
      </c>
      <c r="B427" s="48" t="str">
        <f aca="false">COST!B427</f>
        <v>KVMC</v>
      </c>
      <c r="C427" s="48" t="str">
        <f aca="false">COST!D427</f>
        <v>Medication Assistance Program</v>
      </c>
      <c r="D427" s="62" t="n">
        <f aca="false">COST!M427</f>
        <v>46142</v>
      </c>
      <c r="E427" s="48" t="str">
        <f aca="false">COST!P427</f>
        <v>Pharmacist</v>
      </c>
      <c r="F427" s="63" t="n">
        <f aca="false">COST!R427</f>
        <v>28.25</v>
      </c>
      <c r="G427" s="48" t="str">
        <f aca="false">STACK!M427</f>
        <v/>
      </c>
      <c r="H427" s="1" t="str">
        <f aca="false">C427&amp;"|"&amp;IF(ISNUMBER(D427),TEXT(D427,"yyyy-mm-dd"),"no date")&amp;"|"&amp;E427&amp;"|"&amp;IF(ISNUMBER(F427),TEXT(F427,"0.00"),"blank")</f>
        <v>Medication Assistance Program|2026-04-30|Pharmacist|28.25</v>
      </c>
      <c r="I427" s="1" t="n">
        <f aca="false">COUNTIF($H$5:$H$1624,H427)</f>
        <v>1</v>
      </c>
      <c r="J427" s="1" t="n">
        <f aca="false">COUNTIF($H$5:H427,H427)</f>
        <v>1</v>
      </c>
      <c r="K427" s="1" t="n">
        <f aca="false">COUNTIFS($H$5:$H$1624,H427,$B$5:$B$1624,"&lt;&gt;"&amp;B427)</f>
        <v>0</v>
      </c>
      <c r="L427" s="1" t="str">
        <f aca="false">IF(I427&gt;1,IF(K427&gt;0,"Cross-hospital match","Same-hospital match"),"")</f>
        <v/>
      </c>
      <c r="M427" s="52"/>
      <c r="N427" s="52"/>
      <c r="O427" s="1" t="n">
        <f aca="false">IF(M427="Exclude (duplicate)",0,1)</f>
        <v>1</v>
      </c>
      <c r="P427" s="1" t="str">
        <f aca="false">IF(AND(L427&lt;&gt;"",M427=""),"Needs decision","")</f>
        <v/>
      </c>
    </row>
    <row r="428" customFormat="false" ht="15" hidden="false" customHeight="false" outlineLevel="0" collapsed="false">
      <c r="A428" s="48" t="str">
        <f aca="false">COST!A428</f>
        <v>KVMC-0424</v>
      </c>
      <c r="B428" s="48" t="str">
        <f aca="false">COST!B428</f>
        <v>KVMC</v>
      </c>
      <c r="C428" s="48" t="str">
        <f aca="false">COST!D428</f>
        <v>Community Health Needs Assessment</v>
      </c>
      <c r="D428" s="62" t="n">
        <f aca="false">COST!M428</f>
        <v>46142</v>
      </c>
      <c r="E428" s="48" t="str">
        <f aca="false">COST!P428</f>
        <v>Community Benefit Manager</v>
      </c>
      <c r="F428" s="63" t="n">
        <f aca="false">COST!R428</f>
        <v>91.25</v>
      </c>
      <c r="G428" s="48" t="str">
        <f aca="false">STACK!M428</f>
        <v/>
      </c>
      <c r="H428" s="1" t="str">
        <f aca="false">C428&amp;"|"&amp;IF(ISNUMBER(D428),TEXT(D428,"yyyy-mm-dd"),"no date")&amp;"|"&amp;E428&amp;"|"&amp;IF(ISNUMBER(F428),TEXT(F428,"0.00"),"blank")</f>
        <v>Community Health Needs Assessment|2026-04-30|Community Benefit Manager|91.25</v>
      </c>
      <c r="I428" s="1" t="n">
        <f aca="false">COUNTIF($H$5:$H$1624,H428)</f>
        <v>1</v>
      </c>
      <c r="J428" s="1" t="n">
        <f aca="false">COUNTIF($H$5:H428,H428)</f>
        <v>1</v>
      </c>
      <c r="K428" s="1" t="n">
        <f aca="false">COUNTIFS($H$5:$H$1624,H428,$B$5:$B$1624,"&lt;&gt;"&amp;B428)</f>
        <v>0</v>
      </c>
      <c r="L428" s="1" t="str">
        <f aca="false">IF(I428&gt;1,IF(K428&gt;0,"Cross-hospital match","Same-hospital match"),"")</f>
        <v/>
      </c>
      <c r="M428" s="52"/>
      <c r="N428" s="52"/>
      <c r="O428" s="1" t="n">
        <f aca="false">IF(M428="Exclude (duplicate)",0,1)</f>
        <v>1</v>
      </c>
      <c r="P428" s="1" t="str">
        <f aca="false">IF(AND(L428&lt;&gt;"",M428=""),"Needs decision","")</f>
        <v/>
      </c>
    </row>
    <row r="429" customFormat="false" ht="15" hidden="false" customHeight="false" outlineLevel="0" collapsed="false">
      <c r="A429" s="48" t="str">
        <f aca="false">COST!A429</f>
        <v>KVMC-0425</v>
      </c>
      <c r="B429" s="48" t="str">
        <f aca="false">COST!B429</f>
        <v>KVMC</v>
      </c>
      <c r="C429" s="48" t="str">
        <f aca="false">COST!D429</f>
        <v>Community Health Needs Assessment</v>
      </c>
      <c r="D429" s="62" t="n">
        <f aca="false">COST!M429</f>
        <v>46142</v>
      </c>
      <c r="E429" s="48" t="str">
        <f aca="false">COST!P429</f>
        <v>Data Analyst</v>
      </c>
      <c r="F429" s="63" t="n">
        <f aca="false">COST!R429</f>
        <v>87.5</v>
      </c>
      <c r="G429" s="48" t="str">
        <f aca="false">STACK!M429</f>
        <v/>
      </c>
      <c r="H429" s="1" t="str">
        <f aca="false">C429&amp;"|"&amp;IF(ISNUMBER(D429),TEXT(D429,"yyyy-mm-dd"),"no date")&amp;"|"&amp;E429&amp;"|"&amp;IF(ISNUMBER(F429),TEXT(F429,"0.00"),"blank")</f>
        <v>Community Health Needs Assessment|2026-04-30|Data Analyst|87.50</v>
      </c>
      <c r="I429" s="1" t="n">
        <f aca="false">COUNTIF($H$5:$H$1624,H429)</f>
        <v>1</v>
      </c>
      <c r="J429" s="1" t="n">
        <f aca="false">COUNTIF($H$5:H429,H429)</f>
        <v>1</v>
      </c>
      <c r="K429" s="1" t="n">
        <f aca="false">COUNTIFS($H$5:$H$1624,H429,$B$5:$B$1624,"&lt;&gt;"&amp;B429)</f>
        <v>0</v>
      </c>
      <c r="L429" s="1" t="str">
        <f aca="false">IF(I429&gt;1,IF(K429&gt;0,"Cross-hospital match","Same-hospital match"),"")</f>
        <v/>
      </c>
      <c r="M429" s="52"/>
      <c r="N429" s="52"/>
      <c r="O429" s="1" t="n">
        <f aca="false">IF(M429="Exclude (duplicate)",0,1)</f>
        <v>1</v>
      </c>
      <c r="P429" s="1" t="str">
        <f aca="false">IF(AND(L429&lt;&gt;"",M429=""),"Needs decision","")</f>
        <v/>
      </c>
    </row>
    <row r="430" customFormat="false" ht="15" hidden="false" customHeight="false" outlineLevel="0" collapsed="false">
      <c r="A430" s="48" t="str">
        <f aca="false">COST!A430</f>
        <v>KVMC-0426</v>
      </c>
      <c r="B430" s="48" t="str">
        <f aca="false">COST!B430</f>
        <v>KVMC</v>
      </c>
      <c r="C430" s="48" t="str">
        <f aca="false">COST!D430</f>
        <v>Community Benefit Program Administration</v>
      </c>
      <c r="D430" s="62" t="n">
        <f aca="false">COST!M430</f>
        <v>46142</v>
      </c>
      <c r="E430" s="48" t="str">
        <f aca="false">COST!P430</f>
        <v>Administrative Assistant</v>
      </c>
      <c r="F430" s="63" t="n">
        <f aca="false">COST!R430</f>
        <v>72.75</v>
      </c>
      <c r="G430" s="48" t="str">
        <f aca="false">STACK!M430</f>
        <v/>
      </c>
      <c r="H430" s="1" t="str">
        <f aca="false">C430&amp;"|"&amp;IF(ISNUMBER(D430),TEXT(D430,"yyyy-mm-dd"),"no date")&amp;"|"&amp;E430&amp;"|"&amp;IF(ISNUMBER(F430),TEXT(F430,"0.00"),"blank")</f>
        <v>Community Benefit Program Administration|2026-04-30|Administrative Assistant|72.75</v>
      </c>
      <c r="I430" s="1" t="n">
        <f aca="false">COUNTIF($H$5:$H$1624,H430)</f>
        <v>1</v>
      </c>
      <c r="J430" s="1" t="n">
        <f aca="false">COUNTIF($H$5:H430,H430)</f>
        <v>1</v>
      </c>
      <c r="K430" s="1" t="n">
        <f aca="false">COUNTIFS($H$5:$H$1624,H430,$B$5:$B$1624,"&lt;&gt;"&amp;B430)</f>
        <v>0</v>
      </c>
      <c r="L430" s="1" t="str">
        <f aca="false">IF(I430&gt;1,IF(K430&gt;0,"Cross-hospital match","Same-hospital match"),"")</f>
        <v/>
      </c>
      <c r="M430" s="52"/>
      <c r="N430" s="52"/>
      <c r="O430" s="1" t="n">
        <f aca="false">IF(M430="Exclude (duplicate)",0,1)</f>
        <v>1</v>
      </c>
      <c r="P430" s="1" t="str">
        <f aca="false">IF(AND(L430&lt;&gt;"",M430=""),"Needs decision","")</f>
        <v/>
      </c>
    </row>
    <row r="431" customFormat="false" ht="15" hidden="false" customHeight="false" outlineLevel="0" collapsed="false">
      <c r="A431" s="48" t="str">
        <f aca="false">COST!A431</f>
        <v>KVMC-0427</v>
      </c>
      <c r="B431" s="48" t="str">
        <f aca="false">COST!B431</f>
        <v>KVMC</v>
      </c>
      <c r="C431" s="48" t="str">
        <f aca="false">COST!D431</f>
        <v>Community Benefit Program Administration</v>
      </c>
      <c r="D431" s="62" t="n">
        <f aca="false">COST!M431</f>
        <v>46142</v>
      </c>
      <c r="E431" s="48" t="str">
        <f aca="false">COST!P431</f>
        <v>Community Benefit Manager</v>
      </c>
      <c r="F431" s="63" t="n">
        <f aca="false">COST!R431</f>
        <v>68</v>
      </c>
      <c r="G431" s="48" t="str">
        <f aca="false">STACK!M431</f>
        <v/>
      </c>
      <c r="H431" s="1" t="str">
        <f aca="false">C431&amp;"|"&amp;IF(ISNUMBER(D431),TEXT(D431,"yyyy-mm-dd"),"no date")&amp;"|"&amp;E431&amp;"|"&amp;IF(ISNUMBER(F431),TEXT(F431,"0.00"),"blank")</f>
        <v>Community Benefit Program Administration|2026-04-30|Community Benefit Manager|68.00</v>
      </c>
      <c r="I431" s="1" t="n">
        <f aca="false">COUNTIF($H$5:$H$1624,H431)</f>
        <v>1</v>
      </c>
      <c r="J431" s="1" t="n">
        <f aca="false">COUNTIF($H$5:H431,H431)</f>
        <v>1</v>
      </c>
      <c r="K431" s="1" t="n">
        <f aca="false">COUNTIFS($H$5:$H$1624,H431,$B$5:$B$1624,"&lt;&gt;"&amp;B431)</f>
        <v>0</v>
      </c>
      <c r="L431" s="1" t="str">
        <f aca="false">IF(I431&gt;1,IF(K431&gt;0,"Cross-hospital match","Same-hospital match"),"")</f>
        <v/>
      </c>
      <c r="M431" s="52"/>
      <c r="N431" s="52"/>
      <c r="O431" s="1" t="n">
        <f aca="false">IF(M431="Exclude (duplicate)",0,1)</f>
        <v>1</v>
      </c>
      <c r="P431" s="1" t="str">
        <f aca="false">IF(AND(L431&lt;&gt;"",M431=""),"Needs decision","")</f>
        <v/>
      </c>
    </row>
    <row r="432" customFormat="false" ht="15" hidden="false" customHeight="false" outlineLevel="0" collapsed="false">
      <c r="A432" s="48" t="str">
        <f aca="false">COST!A432</f>
        <v>KVMC-0428</v>
      </c>
      <c r="B432" s="48" t="str">
        <f aca="false">COST!B432</f>
        <v>KVMC</v>
      </c>
      <c r="C432" s="48" t="str">
        <f aca="false">COST!D432</f>
        <v>Interpreter Services for Community Clinics</v>
      </c>
      <c r="D432" s="62" t="n">
        <f aca="false">COST!M432</f>
        <v>46142</v>
      </c>
      <c r="E432" s="48" t="str">
        <f aca="false">COST!P432</f>
        <v>Interpreter</v>
      </c>
      <c r="F432" s="63" t="n">
        <f aca="false">COST!R432</f>
        <v>55.25</v>
      </c>
      <c r="G432" s="48" t="str">
        <f aca="false">STACK!M432</f>
        <v/>
      </c>
      <c r="H432" s="1" t="str">
        <f aca="false">C432&amp;"|"&amp;IF(ISNUMBER(D432),TEXT(D432,"yyyy-mm-dd"),"no date")&amp;"|"&amp;E432&amp;"|"&amp;IF(ISNUMBER(F432),TEXT(F432,"0.00"),"blank")</f>
        <v>Interpreter Services for Community Clinics|2026-04-30|Interpreter|55.25</v>
      </c>
      <c r="I432" s="1" t="n">
        <f aca="false">COUNTIF($H$5:$H$1624,H432)</f>
        <v>1</v>
      </c>
      <c r="J432" s="1" t="n">
        <f aca="false">COUNTIF($H$5:H432,H432)</f>
        <v>1</v>
      </c>
      <c r="K432" s="1" t="n">
        <f aca="false">COUNTIFS($H$5:$H$1624,H432,$B$5:$B$1624,"&lt;&gt;"&amp;B432)</f>
        <v>0</v>
      </c>
      <c r="L432" s="1" t="str">
        <f aca="false">IF(I432&gt;1,IF(K432&gt;0,"Cross-hospital match","Same-hospital match"),"")</f>
        <v/>
      </c>
      <c r="M432" s="52"/>
      <c r="N432" s="52"/>
      <c r="O432" s="1" t="n">
        <f aca="false">IF(M432="Exclude (duplicate)",0,1)</f>
        <v>1</v>
      </c>
      <c r="P432" s="1" t="str">
        <f aca="false">IF(AND(L432&lt;&gt;"",M432=""),"Needs decision","")</f>
        <v/>
      </c>
    </row>
    <row r="433" customFormat="false" ht="15" hidden="false" customHeight="false" outlineLevel="0" collapsed="false">
      <c r="A433" s="48" t="str">
        <f aca="false">COST!A433</f>
        <v>KVMC-0429</v>
      </c>
      <c r="B433" s="48" t="str">
        <f aca="false">COST!B433</f>
        <v>KVMC</v>
      </c>
      <c r="C433" s="48" t="str">
        <f aca="false">COST!D433</f>
        <v>Nursing Student Clinical Rotations</v>
      </c>
      <c r="D433" s="62" t="n">
        <f aca="false">COST!M433</f>
        <v>46142</v>
      </c>
      <c r="E433" s="48" t="str">
        <f aca="false">COST!P433</f>
        <v>Clinical Nurse Educator</v>
      </c>
      <c r="F433" s="63" t="n">
        <f aca="false">COST!R433</f>
        <v>152.5</v>
      </c>
      <c r="G433" s="48" t="str">
        <f aca="false">STACK!M433</f>
        <v/>
      </c>
      <c r="H433" s="1" t="str">
        <f aca="false">C433&amp;"|"&amp;IF(ISNUMBER(D433),TEXT(D433,"yyyy-mm-dd"),"no date")&amp;"|"&amp;E433&amp;"|"&amp;IF(ISNUMBER(F433),TEXT(F433,"0.00"),"blank")</f>
        <v>Nursing Student Clinical Rotations|2026-04-30|Clinical Nurse Educator|152.50</v>
      </c>
      <c r="I433" s="1" t="n">
        <f aca="false">COUNTIF($H$5:$H$1624,H433)</f>
        <v>1</v>
      </c>
      <c r="J433" s="1" t="n">
        <f aca="false">COUNTIF($H$5:H433,H433)</f>
        <v>1</v>
      </c>
      <c r="K433" s="1" t="n">
        <f aca="false">COUNTIFS($H$5:$H$1624,H433,$B$5:$B$1624,"&lt;&gt;"&amp;B433)</f>
        <v>0</v>
      </c>
      <c r="L433" s="1" t="str">
        <f aca="false">IF(I433&gt;1,IF(K433&gt;0,"Cross-hospital match","Same-hospital match"),"")</f>
        <v/>
      </c>
      <c r="M433" s="52"/>
      <c r="N433" s="52"/>
      <c r="O433" s="1" t="n">
        <f aca="false">IF(M433="Exclude (duplicate)",0,1)</f>
        <v>1</v>
      </c>
      <c r="P433" s="1" t="str">
        <f aca="false">IF(AND(L433&lt;&gt;"",M433=""),"Needs decision","")</f>
        <v/>
      </c>
    </row>
    <row r="434" customFormat="false" ht="15" hidden="false" customHeight="false" outlineLevel="0" collapsed="false">
      <c r="A434" s="48" t="str">
        <f aca="false">COST!A434</f>
        <v>KVMC-0430</v>
      </c>
      <c r="B434" s="48" t="str">
        <f aca="false">COST!B434</f>
        <v>KVMC</v>
      </c>
      <c r="C434" s="48" t="str">
        <f aca="false">COST!D434</f>
        <v>Nursing Student Clinical Rotations</v>
      </c>
      <c r="D434" s="62" t="n">
        <f aca="false">COST!M434</f>
        <v>46142</v>
      </c>
      <c r="E434" s="48" t="str">
        <f aca="false">COST!P434</f>
        <v>Registered Nurse</v>
      </c>
      <c r="F434" s="63" t="n">
        <f aca="false">COST!R434</f>
        <v>241.5</v>
      </c>
      <c r="G434" s="48" t="str">
        <f aca="false">STACK!M434</f>
        <v/>
      </c>
      <c r="H434" s="1" t="str">
        <f aca="false">C434&amp;"|"&amp;IF(ISNUMBER(D434),TEXT(D434,"yyyy-mm-dd"),"no date")&amp;"|"&amp;E434&amp;"|"&amp;IF(ISNUMBER(F434),TEXT(F434,"0.00"),"blank")</f>
        <v>Nursing Student Clinical Rotations|2026-04-30|Registered Nurse|241.50</v>
      </c>
      <c r="I434" s="1" t="n">
        <f aca="false">COUNTIF($H$5:$H$1624,H434)</f>
        <v>1</v>
      </c>
      <c r="J434" s="1" t="n">
        <f aca="false">COUNTIF($H$5:H434,H434)</f>
        <v>1</v>
      </c>
      <c r="K434" s="1" t="n">
        <f aca="false">COUNTIFS($H$5:$H$1624,H434,$B$5:$B$1624,"&lt;&gt;"&amp;B434)</f>
        <v>0</v>
      </c>
      <c r="L434" s="1" t="str">
        <f aca="false">IF(I434&gt;1,IF(K434&gt;0,"Cross-hospital match","Same-hospital match"),"")</f>
        <v/>
      </c>
      <c r="M434" s="52"/>
      <c r="N434" s="52"/>
      <c r="O434" s="1" t="n">
        <f aca="false">IF(M434="Exclude (duplicate)",0,1)</f>
        <v>1</v>
      </c>
      <c r="P434" s="1" t="str">
        <f aca="false">IF(AND(L434&lt;&gt;"",M434=""),"Needs decision","")</f>
        <v/>
      </c>
    </row>
    <row r="435" customFormat="false" ht="15" hidden="false" customHeight="false" outlineLevel="0" collapsed="false">
      <c r="A435" s="48" t="str">
        <f aca="false">COST!A435</f>
        <v>KVMC-0431</v>
      </c>
      <c r="B435" s="48" t="str">
        <f aca="false">COST!B435</f>
        <v>KVMC</v>
      </c>
      <c r="C435" s="48" t="str">
        <f aca="false">COST!D435</f>
        <v>Family Medicine Residency Program</v>
      </c>
      <c r="D435" s="62" t="n">
        <f aca="false">COST!M435</f>
        <v>46142</v>
      </c>
      <c r="E435" s="48" t="str">
        <f aca="false">COST!P435</f>
        <v>Physician</v>
      </c>
      <c r="F435" s="63" t="n">
        <f aca="false">COST!R435</f>
        <v>416</v>
      </c>
      <c r="G435" s="48" t="str">
        <f aca="false">STACK!M435</f>
        <v/>
      </c>
      <c r="H435" s="1" t="str">
        <f aca="false">C435&amp;"|"&amp;IF(ISNUMBER(D435),TEXT(D435,"yyyy-mm-dd"),"no date")&amp;"|"&amp;E435&amp;"|"&amp;IF(ISNUMBER(F435),TEXT(F435,"0.00"),"blank")</f>
        <v>Family Medicine Residency Program|2026-04-30|Physician|416.00</v>
      </c>
      <c r="I435" s="1" t="n">
        <f aca="false">COUNTIF($H$5:$H$1624,H435)</f>
        <v>1</v>
      </c>
      <c r="J435" s="1" t="n">
        <f aca="false">COUNTIF($H$5:H435,H435)</f>
        <v>1</v>
      </c>
      <c r="K435" s="1" t="n">
        <f aca="false">COUNTIFS($H$5:$H$1624,H435,$B$5:$B$1624,"&lt;&gt;"&amp;B435)</f>
        <v>0</v>
      </c>
      <c r="L435" s="1" t="str">
        <f aca="false">IF(I435&gt;1,IF(K435&gt;0,"Cross-hospital match","Same-hospital match"),"")</f>
        <v/>
      </c>
      <c r="M435" s="52"/>
      <c r="N435" s="52"/>
      <c r="O435" s="1" t="n">
        <f aca="false">IF(M435="Exclude (duplicate)",0,1)</f>
        <v>1</v>
      </c>
      <c r="P435" s="1" t="str">
        <f aca="false">IF(AND(L435&lt;&gt;"",M435=""),"Needs decision","")</f>
        <v/>
      </c>
    </row>
    <row r="436" customFormat="false" ht="15" hidden="false" customHeight="false" outlineLevel="0" collapsed="false">
      <c r="A436" s="48" t="str">
        <f aca="false">COST!A436</f>
        <v>KVMC-0432</v>
      </c>
      <c r="B436" s="48" t="str">
        <f aca="false">COST!B436</f>
        <v>KVMC</v>
      </c>
      <c r="C436" s="48" t="str">
        <f aca="false">COST!D436</f>
        <v>Family Medicine Residency Program</v>
      </c>
      <c r="D436" s="62" t="n">
        <f aca="false">COST!M436</f>
        <v>46142</v>
      </c>
      <c r="E436" s="48" t="str">
        <f aca="false">COST!P436</f>
        <v>Program Coordinator</v>
      </c>
      <c r="F436" s="63" t="n">
        <f aca="false">COST!R436</f>
        <v>174</v>
      </c>
      <c r="G436" s="48" t="str">
        <f aca="false">STACK!M436</f>
        <v/>
      </c>
      <c r="H436" s="1" t="str">
        <f aca="false">C436&amp;"|"&amp;IF(ISNUMBER(D436),TEXT(D436,"yyyy-mm-dd"),"no date")&amp;"|"&amp;E436&amp;"|"&amp;IF(ISNUMBER(F436),TEXT(F436,"0.00"),"blank")</f>
        <v>Family Medicine Residency Program|2026-04-30|Program Coordinator|174.00</v>
      </c>
      <c r="I436" s="1" t="n">
        <f aca="false">COUNTIF($H$5:$H$1624,H436)</f>
        <v>1</v>
      </c>
      <c r="J436" s="1" t="n">
        <f aca="false">COUNTIF($H$5:H436,H436)</f>
        <v>1</v>
      </c>
      <c r="K436" s="1" t="n">
        <f aca="false">COUNTIFS($H$5:$H$1624,H436,$B$5:$B$1624,"&lt;&gt;"&amp;B436)</f>
        <v>0</v>
      </c>
      <c r="L436" s="1" t="str">
        <f aca="false">IF(I436&gt;1,IF(K436&gt;0,"Cross-hospital match","Same-hospital match"),"")</f>
        <v/>
      </c>
      <c r="M436" s="52"/>
      <c r="N436" s="52"/>
      <c r="O436" s="1" t="n">
        <f aca="false">IF(M436="Exclude (duplicate)",0,1)</f>
        <v>1</v>
      </c>
      <c r="P436" s="1" t="str">
        <f aca="false">IF(AND(L436&lt;&gt;"",M436=""),"Needs decision","")</f>
        <v/>
      </c>
    </row>
    <row r="437" customFormat="false" ht="15" hidden="false" customHeight="false" outlineLevel="0" collapsed="false">
      <c r="A437" s="48" t="str">
        <f aca="false">COST!A437</f>
        <v>KVMC-0433</v>
      </c>
      <c r="B437" s="48" t="str">
        <f aca="false">COST!B437</f>
        <v>KVMC</v>
      </c>
      <c r="C437" s="48" t="str">
        <f aca="false">COST!D437</f>
        <v>Family Medicine Residency Program</v>
      </c>
      <c r="D437" s="62" t="n">
        <f aca="false">COST!M437</f>
        <v>46142</v>
      </c>
      <c r="E437" s="48" t="str">
        <f aca="false">COST!P437</f>
        <v>Resident Physician</v>
      </c>
      <c r="F437" s="63" t="n">
        <f aca="false">COST!R437</f>
        <v>4069</v>
      </c>
      <c r="G437" s="48" t="str">
        <f aca="false">STACK!M437</f>
        <v/>
      </c>
      <c r="H437" s="1" t="str">
        <f aca="false">C437&amp;"|"&amp;IF(ISNUMBER(D437),TEXT(D437,"yyyy-mm-dd"),"no date")&amp;"|"&amp;E437&amp;"|"&amp;IF(ISNUMBER(F437),TEXT(F437,"0.00"),"blank")</f>
        <v>Family Medicine Residency Program|2026-04-30|Resident Physician|4069.00</v>
      </c>
      <c r="I437" s="1" t="n">
        <f aca="false">COUNTIF($H$5:$H$1624,H437)</f>
        <v>1</v>
      </c>
      <c r="J437" s="1" t="n">
        <f aca="false">COUNTIF($H$5:H437,H437)</f>
        <v>1</v>
      </c>
      <c r="K437" s="1" t="n">
        <f aca="false">COUNTIFS($H$5:$H$1624,H437,$B$5:$B$1624,"&lt;&gt;"&amp;B437)</f>
        <v>0</v>
      </c>
      <c r="L437" s="1" t="str">
        <f aca="false">IF(I437&gt;1,IF(K437&gt;0,"Cross-hospital match","Same-hospital match"),"")</f>
        <v/>
      </c>
      <c r="M437" s="52"/>
      <c r="N437" s="52"/>
      <c r="O437" s="1" t="n">
        <f aca="false">IF(M437="Exclude (duplicate)",0,1)</f>
        <v>1</v>
      </c>
      <c r="P437" s="1" t="str">
        <f aca="false">IF(AND(L437&lt;&gt;"",M437=""),"Needs decision","")</f>
        <v/>
      </c>
    </row>
    <row r="438" customFormat="false" ht="15" hidden="false" customHeight="false" outlineLevel="0" collapsed="false">
      <c r="A438" s="48" t="str">
        <f aca="false">COST!A438</f>
        <v>KVMC-0434</v>
      </c>
      <c r="B438" s="48" t="str">
        <f aca="false">COST!B438</f>
        <v>KVMC</v>
      </c>
      <c r="C438" s="48" t="str">
        <f aca="false">COST!D438</f>
        <v>Pharmacy Student Rotations</v>
      </c>
      <c r="D438" s="62" t="n">
        <f aca="false">COST!M438</f>
        <v>46142</v>
      </c>
      <c r="E438" s="48" t="str">
        <f aca="false">COST!P438</f>
        <v>Pharmacist</v>
      </c>
      <c r="F438" s="63" t="n">
        <f aca="false">COST!R438</f>
        <v>73</v>
      </c>
      <c r="G438" s="48" t="str">
        <f aca="false">STACK!M438</f>
        <v/>
      </c>
      <c r="H438" s="1" t="str">
        <f aca="false">C438&amp;"|"&amp;IF(ISNUMBER(D438),TEXT(D438,"yyyy-mm-dd"),"no date")&amp;"|"&amp;E438&amp;"|"&amp;IF(ISNUMBER(F438),TEXT(F438,"0.00"),"blank")</f>
        <v>Pharmacy Student Rotations|2026-04-30|Pharmacist|73.00</v>
      </c>
      <c r="I438" s="1" t="n">
        <f aca="false">COUNTIF($H$5:$H$1624,H438)</f>
        <v>1</v>
      </c>
      <c r="J438" s="1" t="n">
        <f aca="false">COUNTIF($H$5:H438,H438)</f>
        <v>1</v>
      </c>
      <c r="K438" s="1" t="n">
        <f aca="false">COUNTIFS($H$5:$H$1624,H438,$B$5:$B$1624,"&lt;&gt;"&amp;B438)</f>
        <v>0</v>
      </c>
      <c r="L438" s="1" t="str">
        <f aca="false">IF(I438&gt;1,IF(K438&gt;0,"Cross-hospital match","Same-hospital match"),"")</f>
        <v/>
      </c>
      <c r="M438" s="52"/>
      <c r="N438" s="52"/>
      <c r="O438" s="1" t="n">
        <f aca="false">IF(M438="Exclude (duplicate)",0,1)</f>
        <v>1</v>
      </c>
      <c r="P438" s="1" t="str">
        <f aca="false">IF(AND(L438&lt;&gt;"",M438=""),"Needs decision","")</f>
        <v/>
      </c>
    </row>
    <row r="439" customFormat="false" ht="15" hidden="false" customHeight="false" outlineLevel="0" collapsed="false">
      <c r="A439" s="48" t="str">
        <f aca="false">COST!A439</f>
        <v>KVMC-0435</v>
      </c>
      <c r="B439" s="48" t="str">
        <f aca="false">COST!B439</f>
        <v>KVMC</v>
      </c>
      <c r="C439" s="48" t="str">
        <f aca="false">COST!D439</f>
        <v>Community Hypertension Control Study</v>
      </c>
      <c r="D439" s="62" t="n">
        <f aca="false">COST!M439</f>
        <v>46142</v>
      </c>
      <c r="E439" s="48" t="str">
        <f aca="false">COST!P439</f>
        <v>Data Analyst</v>
      </c>
      <c r="F439" s="63" t="n">
        <f aca="false">COST!R439</f>
        <v>58.75</v>
      </c>
      <c r="G439" s="48" t="str">
        <f aca="false">STACK!M439</f>
        <v/>
      </c>
      <c r="H439" s="1" t="str">
        <f aca="false">C439&amp;"|"&amp;IF(ISNUMBER(D439),TEXT(D439,"yyyy-mm-dd"),"no date")&amp;"|"&amp;E439&amp;"|"&amp;IF(ISNUMBER(F439),TEXT(F439,"0.00"),"blank")</f>
        <v>Community Hypertension Control Study|2026-04-30|Data Analyst|58.75</v>
      </c>
      <c r="I439" s="1" t="n">
        <f aca="false">COUNTIF($H$5:$H$1624,H439)</f>
        <v>1</v>
      </c>
      <c r="J439" s="1" t="n">
        <f aca="false">COUNTIF($H$5:H439,H439)</f>
        <v>1</v>
      </c>
      <c r="K439" s="1" t="n">
        <f aca="false">COUNTIFS($H$5:$H$1624,H439,$B$5:$B$1624,"&lt;&gt;"&amp;B439)</f>
        <v>0</v>
      </c>
      <c r="L439" s="1" t="str">
        <f aca="false">IF(I439&gt;1,IF(K439&gt;0,"Cross-hospital match","Same-hospital match"),"")</f>
        <v/>
      </c>
      <c r="M439" s="52"/>
      <c r="N439" s="52"/>
      <c r="O439" s="1" t="n">
        <f aca="false">IF(M439="Exclude (duplicate)",0,1)</f>
        <v>1</v>
      </c>
      <c r="P439" s="1" t="str">
        <f aca="false">IF(AND(L439&lt;&gt;"",M439=""),"Needs decision","")</f>
        <v/>
      </c>
    </row>
    <row r="440" customFormat="false" ht="15" hidden="false" customHeight="false" outlineLevel="0" collapsed="false">
      <c r="A440" s="48" t="str">
        <f aca="false">COST!A440</f>
        <v>KVMC-0436</v>
      </c>
      <c r="B440" s="48" t="str">
        <f aca="false">COST!B440</f>
        <v>KVMC</v>
      </c>
      <c r="C440" s="48" t="str">
        <f aca="false">COST!D440</f>
        <v>Community Hypertension Control Study</v>
      </c>
      <c r="D440" s="62" t="n">
        <f aca="false">COST!M440</f>
        <v>46142</v>
      </c>
      <c r="E440" s="48" t="str">
        <f aca="false">COST!P440</f>
        <v>Physician</v>
      </c>
      <c r="F440" s="63" t="n">
        <f aca="false">COST!R440</f>
        <v>24.25</v>
      </c>
      <c r="G440" s="48" t="str">
        <f aca="false">STACK!M440</f>
        <v/>
      </c>
      <c r="H440" s="1" t="str">
        <f aca="false">C440&amp;"|"&amp;IF(ISNUMBER(D440),TEXT(D440,"yyyy-mm-dd"),"no date")&amp;"|"&amp;E440&amp;"|"&amp;IF(ISNUMBER(F440),TEXT(F440,"0.00"),"blank")</f>
        <v>Community Hypertension Control Study|2026-04-30|Physician|24.25</v>
      </c>
      <c r="I440" s="1" t="n">
        <f aca="false">COUNTIF($H$5:$H$1624,H440)</f>
        <v>1</v>
      </c>
      <c r="J440" s="1" t="n">
        <f aca="false">COUNTIF($H$5:H440,H440)</f>
        <v>1</v>
      </c>
      <c r="K440" s="1" t="n">
        <f aca="false">COUNTIFS($H$5:$H$1624,H440,$B$5:$B$1624,"&lt;&gt;"&amp;B440)</f>
        <v>0</v>
      </c>
      <c r="L440" s="1" t="str">
        <f aca="false">IF(I440&gt;1,IF(K440&gt;0,"Cross-hospital match","Same-hospital match"),"")</f>
        <v/>
      </c>
      <c r="M440" s="52"/>
      <c r="N440" s="52"/>
      <c r="O440" s="1" t="n">
        <f aca="false">IF(M440="Exclude (duplicate)",0,1)</f>
        <v>1</v>
      </c>
      <c r="P440" s="1" t="str">
        <f aca="false">IF(AND(L440&lt;&gt;"",M440=""),"Needs decision","")</f>
        <v/>
      </c>
    </row>
    <row r="441" customFormat="false" ht="15" hidden="false" customHeight="false" outlineLevel="0" collapsed="false">
      <c r="A441" s="48" t="str">
        <f aca="false">COST!A441</f>
        <v>KVMC-0437</v>
      </c>
      <c r="B441" s="48" t="str">
        <f aca="false">COST!B441</f>
        <v>KVMC</v>
      </c>
      <c r="C441" s="48" t="str">
        <f aca="false">COST!D441</f>
        <v>Community Hypertension Control Study</v>
      </c>
      <c r="D441" s="62" t="n">
        <f aca="false">COST!M441</f>
        <v>46142</v>
      </c>
      <c r="E441" s="48" t="str">
        <f aca="false">COST!P441</f>
        <v>Research Coordinator</v>
      </c>
      <c r="F441" s="63" t="n">
        <f aca="false">COST!R441</f>
        <v>167.25</v>
      </c>
      <c r="G441" s="48" t="str">
        <f aca="false">STACK!M441</f>
        <v/>
      </c>
      <c r="H441" s="1" t="str">
        <f aca="false">C441&amp;"|"&amp;IF(ISNUMBER(D441),TEXT(D441,"yyyy-mm-dd"),"no date")&amp;"|"&amp;E441&amp;"|"&amp;IF(ISNUMBER(F441),TEXT(F441,"0.00"),"blank")</f>
        <v>Community Hypertension Control Study|2026-04-30|Research Coordinator|167.25</v>
      </c>
      <c r="I441" s="1" t="n">
        <f aca="false">COUNTIF($H$5:$H$1624,H441)</f>
        <v>1</v>
      </c>
      <c r="J441" s="1" t="n">
        <f aca="false">COUNTIF($H$5:H441,H441)</f>
        <v>1</v>
      </c>
      <c r="K441" s="1" t="n">
        <f aca="false">COUNTIFS($H$5:$H$1624,H441,$B$5:$B$1624,"&lt;&gt;"&amp;B441)</f>
        <v>0</v>
      </c>
      <c r="L441" s="1" t="str">
        <f aca="false">IF(I441&gt;1,IF(K441&gt;0,"Cross-hospital match","Same-hospital match"),"")</f>
        <v/>
      </c>
      <c r="M441" s="52"/>
      <c r="N441" s="52"/>
      <c r="O441" s="1" t="n">
        <f aca="false">IF(M441="Exclude (duplicate)",0,1)</f>
        <v>1</v>
      </c>
      <c r="P441" s="1" t="str">
        <f aca="false">IF(AND(L441&lt;&gt;"",M441=""),"Needs decision","")</f>
        <v/>
      </c>
    </row>
    <row r="442" customFormat="false" ht="15" hidden="false" customHeight="false" outlineLevel="0" collapsed="false">
      <c r="A442" s="48" t="str">
        <f aca="false">COST!A442</f>
        <v>KVMC-0438</v>
      </c>
      <c r="B442" s="48" t="str">
        <f aca="false">COST!B442</f>
        <v>KVMC</v>
      </c>
      <c r="C442" s="48" t="str">
        <f aca="false">COST!D442</f>
        <v>Childbirth and Newborn Care Classes</v>
      </c>
      <c r="D442" s="62" t="n">
        <f aca="false">COST!M442</f>
        <v>46144</v>
      </c>
      <c r="E442" s="48" t="str">
        <f aca="false">COST!P442</f>
        <v>Clinical Nurse Educator</v>
      </c>
      <c r="F442" s="63" t="n">
        <f aca="false">COST!R442</f>
        <v>3.25</v>
      </c>
      <c r="G442" s="48" t="str">
        <f aca="false">STACK!M442</f>
        <v/>
      </c>
      <c r="H442" s="1" t="str">
        <f aca="false">C442&amp;"|"&amp;IF(ISNUMBER(D442),TEXT(D442,"yyyy-mm-dd"),"no date")&amp;"|"&amp;E442&amp;"|"&amp;IF(ISNUMBER(F442),TEXT(F442,"0.00"),"blank")</f>
        <v>Childbirth and Newborn Care Classes|2026-05-02|Clinical Nurse Educator|3.25</v>
      </c>
      <c r="I442" s="1" t="n">
        <f aca="false">COUNTIF($H$5:$H$1624,H442)</f>
        <v>1</v>
      </c>
      <c r="J442" s="1" t="n">
        <f aca="false">COUNTIF($H$5:H442,H442)</f>
        <v>1</v>
      </c>
      <c r="K442" s="1" t="n">
        <f aca="false">COUNTIFS($H$5:$H$1624,H442,$B$5:$B$1624,"&lt;&gt;"&amp;B442)</f>
        <v>0</v>
      </c>
      <c r="L442" s="1" t="str">
        <f aca="false">IF(I442&gt;1,IF(K442&gt;0,"Cross-hospital match","Same-hospital match"),"")</f>
        <v/>
      </c>
      <c r="M442" s="52"/>
      <c r="N442" s="52"/>
      <c r="O442" s="1" t="n">
        <f aca="false">IF(M442="Exclude (duplicate)",0,1)</f>
        <v>1</v>
      </c>
      <c r="P442" s="1" t="str">
        <f aca="false">IF(AND(L442&lt;&gt;"",M442=""),"Needs decision","")</f>
        <v/>
      </c>
    </row>
    <row r="443" customFormat="false" ht="15" hidden="false" customHeight="false" outlineLevel="0" collapsed="false">
      <c r="A443" s="48" t="str">
        <f aca="false">COST!A443</f>
        <v>KVMC-0439</v>
      </c>
      <c r="B443" s="48" t="str">
        <f aca="false">COST!B443</f>
        <v>KVMC</v>
      </c>
      <c r="C443" s="48" t="str">
        <f aca="false">COST!D443</f>
        <v>Community Blood Pressure Checks</v>
      </c>
      <c r="D443" s="62" t="n">
        <f aca="false">COST!M443</f>
        <v>46146</v>
      </c>
      <c r="E443" s="48" t="str">
        <f aca="false">COST!P443</f>
        <v>Registered Nurse</v>
      </c>
      <c r="F443" s="63" t="n">
        <f aca="false">COST!R443</f>
        <v>3.75</v>
      </c>
      <c r="G443" s="48" t="str">
        <f aca="false">STACK!M443</f>
        <v/>
      </c>
      <c r="H443" s="1" t="str">
        <f aca="false">C443&amp;"|"&amp;IF(ISNUMBER(D443),TEXT(D443,"yyyy-mm-dd"),"no date")&amp;"|"&amp;E443&amp;"|"&amp;IF(ISNUMBER(F443),TEXT(F443,"0.00"),"blank")</f>
        <v>Community Blood Pressure Checks|2026-05-04|Registered Nurse|3.75</v>
      </c>
      <c r="I443" s="1" t="n">
        <f aca="false">COUNTIF($H$5:$H$1624,H443)</f>
        <v>1</v>
      </c>
      <c r="J443" s="1" t="n">
        <f aca="false">COUNTIF($H$5:H443,H443)</f>
        <v>1</v>
      </c>
      <c r="K443" s="1" t="n">
        <f aca="false">COUNTIFS($H$5:$H$1624,H443,$B$5:$B$1624,"&lt;&gt;"&amp;B443)</f>
        <v>0</v>
      </c>
      <c r="L443" s="1" t="str">
        <f aca="false">IF(I443&gt;1,IF(K443&gt;0,"Cross-hospital match","Same-hospital match"),"")</f>
        <v/>
      </c>
      <c r="M443" s="52"/>
      <c r="N443" s="52"/>
      <c r="O443" s="1" t="n">
        <f aca="false">IF(M443="Exclude (duplicate)",0,1)</f>
        <v>1</v>
      </c>
      <c r="P443" s="1" t="str">
        <f aca="false">IF(AND(L443&lt;&gt;"",M443=""),"Needs decision","")</f>
        <v/>
      </c>
    </row>
    <row r="444" customFormat="false" ht="15" hidden="false" customHeight="false" outlineLevel="0" collapsed="false">
      <c r="A444" s="48" t="str">
        <f aca="false">COST!A444</f>
        <v>KVMC-0440</v>
      </c>
      <c r="B444" s="48" t="str">
        <f aca="false">COST!B444</f>
        <v>KVMC</v>
      </c>
      <c r="C444" s="48" t="str">
        <f aca="false">COST!D444</f>
        <v>Grief Support Group</v>
      </c>
      <c r="D444" s="62" t="n">
        <f aca="false">COST!M444</f>
        <v>46149</v>
      </c>
      <c r="E444" s="48" t="str">
        <f aca="false">COST!P444</f>
        <v>Chaplain</v>
      </c>
      <c r="F444" s="63" t="n">
        <f aca="false">COST!R444</f>
        <v>2.25</v>
      </c>
      <c r="G444" s="48" t="str">
        <f aca="false">STACK!M444</f>
        <v/>
      </c>
      <c r="H444" s="1" t="str">
        <f aca="false">C444&amp;"|"&amp;IF(ISNUMBER(D444),TEXT(D444,"yyyy-mm-dd"),"no date")&amp;"|"&amp;E444&amp;"|"&amp;IF(ISNUMBER(F444),TEXT(F444,"0.00"),"blank")</f>
        <v>Grief Support Group|2026-05-07|Chaplain|2.25</v>
      </c>
      <c r="I444" s="1" t="n">
        <f aca="false">COUNTIF($H$5:$H$1624,H444)</f>
        <v>1</v>
      </c>
      <c r="J444" s="1" t="n">
        <f aca="false">COUNTIF($H$5:H444,H444)</f>
        <v>1</v>
      </c>
      <c r="K444" s="1" t="n">
        <f aca="false">COUNTIFS($H$5:$H$1624,H444,$B$5:$B$1624,"&lt;&gt;"&amp;B444)</f>
        <v>0</v>
      </c>
      <c r="L444" s="1" t="str">
        <f aca="false">IF(I444&gt;1,IF(K444&gt;0,"Cross-hospital match","Same-hospital match"),"")</f>
        <v/>
      </c>
      <c r="M444" s="52"/>
      <c r="N444" s="52"/>
      <c r="O444" s="1" t="n">
        <f aca="false">IF(M444="Exclude (duplicate)",0,1)</f>
        <v>1</v>
      </c>
      <c r="P444" s="1" t="str">
        <f aca="false">IF(AND(L444&lt;&gt;"",M444=""),"Needs decision","")</f>
        <v/>
      </c>
    </row>
    <row r="445" customFormat="false" ht="15" hidden="false" customHeight="false" outlineLevel="0" collapsed="false">
      <c r="A445" s="48" t="str">
        <f aca="false">COST!A445</f>
        <v>KVMC-0441</v>
      </c>
      <c r="B445" s="48" t="str">
        <f aca="false">COST!B445</f>
        <v>KVMC</v>
      </c>
      <c r="C445" s="48" t="str">
        <f aca="false">COST!D445</f>
        <v>Grief Support Group</v>
      </c>
      <c r="D445" s="62" t="n">
        <f aca="false">COST!M445</f>
        <v>46149</v>
      </c>
      <c r="E445" s="48" t="str">
        <f aca="false">COST!P445</f>
        <v>Social Worker</v>
      </c>
      <c r="F445" s="63" t="n">
        <f aca="false">COST!R445</f>
        <v>1.75</v>
      </c>
      <c r="G445" s="48" t="str">
        <f aca="false">STACK!M445</f>
        <v/>
      </c>
      <c r="H445" s="1" t="str">
        <f aca="false">C445&amp;"|"&amp;IF(ISNUMBER(D445),TEXT(D445,"yyyy-mm-dd"),"no date")&amp;"|"&amp;E445&amp;"|"&amp;IF(ISNUMBER(F445),TEXT(F445,"0.00"),"blank")</f>
        <v>Grief Support Group|2026-05-07|Social Worker|1.75</v>
      </c>
      <c r="I445" s="1" t="n">
        <f aca="false">COUNTIF($H$5:$H$1624,H445)</f>
        <v>1</v>
      </c>
      <c r="J445" s="1" t="n">
        <f aca="false">COUNTIF($H$5:H445,H445)</f>
        <v>1</v>
      </c>
      <c r="K445" s="1" t="n">
        <f aca="false">COUNTIFS($H$5:$H$1624,H445,$B$5:$B$1624,"&lt;&gt;"&amp;B445)</f>
        <v>0</v>
      </c>
      <c r="L445" s="1" t="str">
        <f aca="false">IF(I445&gt;1,IF(K445&gt;0,"Cross-hospital match","Same-hospital match"),"")</f>
        <v/>
      </c>
      <c r="M445" s="52"/>
      <c r="N445" s="52"/>
      <c r="O445" s="1" t="n">
        <f aca="false">IF(M445="Exclude (duplicate)",0,1)</f>
        <v>1</v>
      </c>
      <c r="P445" s="1" t="str">
        <f aca="false">IF(AND(L445&lt;&gt;"",M445=""),"Needs decision","")</f>
        <v/>
      </c>
    </row>
    <row r="446" customFormat="false" ht="15" hidden="false" customHeight="false" outlineLevel="0" collapsed="false">
      <c r="A446" s="48" t="str">
        <f aca="false">COST!A446</f>
        <v>KVMC-0442</v>
      </c>
      <c r="B446" s="48" t="str">
        <f aca="false">COST!B446</f>
        <v>KVMC</v>
      </c>
      <c r="C446" s="48" t="str">
        <f aca="false">COST!D446</f>
        <v>Diabetes Prevention Classes</v>
      </c>
      <c r="D446" s="62" t="n">
        <f aca="false">COST!M446</f>
        <v>46150</v>
      </c>
      <c r="E446" s="48" t="str">
        <f aca="false">COST!P446</f>
        <v>Health Educator</v>
      </c>
      <c r="F446" s="63" t="n">
        <f aca="false">COST!R446</f>
        <v>2.25</v>
      </c>
      <c r="G446" s="48" t="str">
        <f aca="false">STACK!M446</f>
        <v/>
      </c>
      <c r="H446" s="1" t="str">
        <f aca="false">C446&amp;"|"&amp;IF(ISNUMBER(D446),TEXT(D446,"yyyy-mm-dd"),"no date")&amp;"|"&amp;E446&amp;"|"&amp;IF(ISNUMBER(F446),TEXT(F446,"0.00"),"blank")</f>
        <v>Diabetes Prevention Classes|2026-05-08|Health Educator|2.25</v>
      </c>
      <c r="I446" s="1" t="n">
        <f aca="false">COUNTIF($H$5:$H$1624,H446)</f>
        <v>1</v>
      </c>
      <c r="J446" s="1" t="n">
        <f aca="false">COUNTIF($H$5:H446,H446)</f>
        <v>1</v>
      </c>
      <c r="K446" s="1" t="n">
        <f aca="false">COUNTIFS($H$5:$H$1624,H446,$B$5:$B$1624,"&lt;&gt;"&amp;B446)</f>
        <v>0</v>
      </c>
      <c r="L446" s="1" t="str">
        <f aca="false">IF(I446&gt;1,IF(K446&gt;0,"Cross-hospital match","Same-hospital match"),"")</f>
        <v/>
      </c>
      <c r="M446" s="52"/>
      <c r="N446" s="52"/>
      <c r="O446" s="1" t="n">
        <f aca="false">IF(M446="Exclude (duplicate)",0,1)</f>
        <v>1</v>
      </c>
      <c r="P446" s="1" t="str">
        <f aca="false">IF(AND(L446&lt;&gt;"",M446=""),"Needs decision","")</f>
        <v/>
      </c>
    </row>
    <row r="447" customFormat="false" ht="15" hidden="false" customHeight="false" outlineLevel="0" collapsed="false">
      <c r="A447" s="48" t="str">
        <f aca="false">COST!A447</f>
        <v>KVMC-0443</v>
      </c>
      <c r="B447" s="48" t="str">
        <f aca="false">COST!B447</f>
        <v>KVMC</v>
      </c>
      <c r="C447" s="48" t="str">
        <f aca="false">COST!D447</f>
        <v>Diabetes Prevention Classes</v>
      </c>
      <c r="D447" s="62" t="n">
        <f aca="false">COST!M447</f>
        <v>46150</v>
      </c>
      <c r="E447" s="48" t="str">
        <f aca="false">COST!P447</f>
        <v>Registered Dietitian</v>
      </c>
      <c r="F447" s="63" t="n">
        <f aca="false">COST!R447</f>
        <v>1.75</v>
      </c>
      <c r="G447" s="48" t="str">
        <f aca="false">STACK!M447</f>
        <v/>
      </c>
      <c r="H447" s="1" t="str">
        <f aca="false">C447&amp;"|"&amp;IF(ISNUMBER(D447),TEXT(D447,"yyyy-mm-dd"),"no date")&amp;"|"&amp;E447&amp;"|"&amp;IF(ISNUMBER(F447),TEXT(F447,"0.00"),"blank")</f>
        <v>Diabetes Prevention Classes|2026-05-08|Registered Dietitian|1.75</v>
      </c>
      <c r="I447" s="1" t="n">
        <f aca="false">COUNTIF($H$5:$H$1624,H447)</f>
        <v>1</v>
      </c>
      <c r="J447" s="1" t="n">
        <f aca="false">COUNTIF($H$5:H447,H447)</f>
        <v>1</v>
      </c>
      <c r="K447" s="1" t="n">
        <f aca="false">COUNTIFS($H$5:$H$1624,H447,$B$5:$B$1624,"&lt;&gt;"&amp;B447)</f>
        <v>0</v>
      </c>
      <c r="L447" s="1" t="str">
        <f aca="false">IF(I447&gt;1,IF(K447&gt;0,"Cross-hospital match","Same-hospital match"),"")</f>
        <v/>
      </c>
      <c r="M447" s="52"/>
      <c r="N447" s="52"/>
      <c r="O447" s="1" t="n">
        <f aca="false">IF(M447="Exclude (duplicate)",0,1)</f>
        <v>1</v>
      </c>
      <c r="P447" s="1" t="str">
        <f aca="false">IF(AND(L447&lt;&gt;"",M447=""),"Needs decision","")</f>
        <v/>
      </c>
    </row>
    <row r="448" customFormat="false" ht="15" hidden="false" customHeight="false" outlineLevel="0" collapsed="false">
      <c r="A448" s="48" t="str">
        <f aca="false">COST!A448</f>
        <v>KVMC-0444</v>
      </c>
      <c r="B448" s="48" t="str">
        <f aca="false">COST!B448</f>
        <v>KVMC</v>
      </c>
      <c r="C448" s="48" t="str">
        <f aca="false">COST!D448</f>
        <v>In-Kind Medical Supply Donations</v>
      </c>
      <c r="D448" s="62" t="n">
        <f aca="false">COST!M448</f>
        <v>46150</v>
      </c>
      <c r="E448" s="48" t="str">
        <f aca="false">COST!P448</f>
        <v>No staff time</v>
      </c>
      <c r="F448" s="63" t="n">
        <f aca="false">COST!R448</f>
        <v>0</v>
      </c>
      <c r="G448" s="48" t="str">
        <f aca="false">STACK!M448</f>
        <v/>
      </c>
      <c r="H448" s="1" t="str">
        <f aca="false">C448&amp;"|"&amp;IF(ISNUMBER(D448),TEXT(D448,"yyyy-mm-dd"),"no date")&amp;"|"&amp;E448&amp;"|"&amp;IF(ISNUMBER(F448),TEXT(F448,"0.00"),"blank")</f>
        <v>In-Kind Medical Supply Donations|2026-05-08|No staff time|0.00</v>
      </c>
      <c r="I448" s="1" t="n">
        <f aca="false">COUNTIF($H$5:$H$1624,H448)</f>
        <v>1</v>
      </c>
      <c r="J448" s="1" t="n">
        <f aca="false">COUNTIF($H$5:H448,H448)</f>
        <v>1</v>
      </c>
      <c r="K448" s="1" t="n">
        <f aca="false">COUNTIFS($H$5:$H$1624,H448,$B$5:$B$1624,"&lt;&gt;"&amp;B448)</f>
        <v>0</v>
      </c>
      <c r="L448" s="1" t="str">
        <f aca="false">IF(I448&gt;1,IF(K448&gt;0,"Cross-hospital match","Same-hospital match"),"")</f>
        <v/>
      </c>
      <c r="M448" s="52"/>
      <c r="N448" s="52"/>
      <c r="O448" s="1" t="n">
        <f aca="false">IF(M448="Exclude (duplicate)",0,1)</f>
        <v>1</v>
      </c>
      <c r="P448" s="1" t="str">
        <f aca="false">IF(AND(L448&lt;&gt;"",M448=""),"Needs decision","")</f>
        <v/>
      </c>
    </row>
    <row r="449" customFormat="false" ht="15" hidden="false" customHeight="false" outlineLevel="0" collapsed="false">
      <c r="A449" s="48" t="str">
        <f aca="false">COST!A449</f>
        <v>KVMC-0445</v>
      </c>
      <c r="B449" s="48" t="str">
        <f aca="false">COST!B449</f>
        <v>KVMC</v>
      </c>
      <c r="C449" s="48" t="str">
        <f aca="false">COST!D449</f>
        <v>Tobacco Cessation Classes</v>
      </c>
      <c r="D449" s="62" t="n">
        <f aca="false">COST!M449</f>
        <v>46154</v>
      </c>
      <c r="E449" s="48" t="str">
        <f aca="false">COST!P449</f>
        <v>Licensed Therapist</v>
      </c>
      <c r="F449" s="63" t="n">
        <f aca="false">COST!R449</f>
        <v>2</v>
      </c>
      <c r="G449" s="48" t="str">
        <f aca="false">STACK!M449</f>
        <v/>
      </c>
      <c r="H449" s="1" t="str">
        <f aca="false">C449&amp;"|"&amp;IF(ISNUMBER(D449),TEXT(D449,"yyyy-mm-dd"),"no date")&amp;"|"&amp;E449&amp;"|"&amp;IF(ISNUMBER(F449),TEXT(F449,"0.00"),"blank")</f>
        <v>Tobacco Cessation Classes|2026-05-12|Licensed Therapist|2.00</v>
      </c>
      <c r="I449" s="1" t="n">
        <f aca="false">COUNTIF($H$5:$H$1624,H449)</f>
        <v>1</v>
      </c>
      <c r="J449" s="1" t="n">
        <f aca="false">COUNTIF($H$5:H449,H449)</f>
        <v>1</v>
      </c>
      <c r="K449" s="1" t="n">
        <f aca="false">COUNTIFS($H$5:$H$1624,H449,$B$5:$B$1624,"&lt;&gt;"&amp;B449)</f>
        <v>0</v>
      </c>
      <c r="L449" s="1" t="str">
        <f aca="false">IF(I449&gt;1,IF(K449&gt;0,"Cross-hospital match","Same-hospital match"),"")</f>
        <v/>
      </c>
      <c r="M449" s="52"/>
      <c r="N449" s="52"/>
      <c r="O449" s="1" t="n">
        <f aca="false">IF(M449="Exclude (duplicate)",0,1)</f>
        <v>1</v>
      </c>
      <c r="P449" s="1" t="str">
        <f aca="false">IF(AND(L449&lt;&gt;"",M449=""),"Needs decision","")</f>
        <v/>
      </c>
    </row>
    <row r="450" customFormat="false" ht="15" hidden="false" customHeight="false" outlineLevel="0" collapsed="false">
      <c r="A450" s="48" t="str">
        <f aca="false">COST!A450</f>
        <v>KVMC-0446</v>
      </c>
      <c r="B450" s="48" t="str">
        <f aca="false">COST!B450</f>
        <v>KVMC</v>
      </c>
      <c r="C450" s="48" t="str">
        <f aca="false">COST!D450</f>
        <v>Grief Support Group</v>
      </c>
      <c r="D450" s="62" t="n">
        <f aca="false">COST!M450</f>
        <v>46160</v>
      </c>
      <c r="E450" s="48" t="str">
        <f aca="false">COST!P450</f>
        <v>Chaplain</v>
      </c>
      <c r="F450" s="63" t="n">
        <f aca="false">COST!R450</f>
        <v>2</v>
      </c>
      <c r="G450" s="48" t="str">
        <f aca="false">STACK!M450</f>
        <v/>
      </c>
      <c r="H450" s="1" t="str">
        <f aca="false">C450&amp;"|"&amp;IF(ISNUMBER(D450),TEXT(D450,"yyyy-mm-dd"),"no date")&amp;"|"&amp;E450&amp;"|"&amp;IF(ISNUMBER(F450),TEXT(F450,"0.00"),"blank")</f>
        <v>Grief Support Group|2026-05-18|Chaplain|2.00</v>
      </c>
      <c r="I450" s="1" t="n">
        <f aca="false">COUNTIF($H$5:$H$1624,H450)</f>
        <v>1</v>
      </c>
      <c r="J450" s="1" t="n">
        <f aca="false">COUNTIF($H$5:H450,H450)</f>
        <v>1</v>
      </c>
      <c r="K450" s="1" t="n">
        <f aca="false">COUNTIFS($H$5:$H$1624,H450,$B$5:$B$1624,"&lt;&gt;"&amp;B450)</f>
        <v>0</v>
      </c>
      <c r="L450" s="1" t="str">
        <f aca="false">IF(I450&gt;1,IF(K450&gt;0,"Cross-hospital match","Same-hospital match"),"")</f>
        <v/>
      </c>
      <c r="M450" s="52"/>
      <c r="N450" s="52"/>
      <c r="O450" s="1" t="n">
        <f aca="false">IF(M450="Exclude (duplicate)",0,1)</f>
        <v>1</v>
      </c>
      <c r="P450" s="1" t="str">
        <f aca="false">IF(AND(L450&lt;&gt;"",M450=""),"Needs decision","")</f>
        <v/>
      </c>
    </row>
    <row r="451" customFormat="false" ht="15" hidden="false" customHeight="false" outlineLevel="0" collapsed="false">
      <c r="A451" s="48" t="str">
        <f aca="false">COST!A451</f>
        <v>KVMC-0447</v>
      </c>
      <c r="B451" s="48" t="str">
        <f aca="false">COST!B451</f>
        <v>KVMC</v>
      </c>
      <c r="C451" s="48" t="str">
        <f aca="false">COST!D451</f>
        <v>Grief Support Group</v>
      </c>
      <c r="D451" s="62" t="n">
        <f aca="false">COST!M451</f>
        <v>46160</v>
      </c>
      <c r="E451" s="48" t="str">
        <f aca="false">COST!P451</f>
        <v>Social Worker</v>
      </c>
      <c r="F451" s="63" t="n">
        <f aca="false">COST!R451</f>
        <v>1.75</v>
      </c>
      <c r="G451" s="48" t="str">
        <f aca="false">STACK!M451</f>
        <v/>
      </c>
      <c r="H451" s="1" t="str">
        <f aca="false">C451&amp;"|"&amp;IF(ISNUMBER(D451),TEXT(D451,"yyyy-mm-dd"),"no date")&amp;"|"&amp;E451&amp;"|"&amp;IF(ISNUMBER(F451),TEXT(F451,"0.00"),"blank")</f>
        <v>Grief Support Group|2026-05-18|Social Worker|1.75</v>
      </c>
      <c r="I451" s="1" t="n">
        <f aca="false">COUNTIF($H$5:$H$1624,H451)</f>
        <v>1</v>
      </c>
      <c r="J451" s="1" t="n">
        <f aca="false">COUNTIF($H$5:H451,H451)</f>
        <v>1</v>
      </c>
      <c r="K451" s="1" t="n">
        <f aca="false">COUNTIFS($H$5:$H$1624,H451,$B$5:$B$1624,"&lt;&gt;"&amp;B451)</f>
        <v>0</v>
      </c>
      <c r="L451" s="1" t="str">
        <f aca="false">IF(I451&gt;1,IF(K451&gt;0,"Cross-hospital match","Same-hospital match"),"")</f>
        <v/>
      </c>
      <c r="M451" s="52"/>
      <c r="N451" s="52"/>
      <c r="O451" s="1" t="n">
        <f aca="false">IF(M451="Exclude (duplicate)",0,1)</f>
        <v>1</v>
      </c>
      <c r="P451" s="1" t="str">
        <f aca="false">IF(AND(L451&lt;&gt;"",M451=""),"Needs decision","")</f>
        <v/>
      </c>
    </row>
    <row r="452" customFormat="false" ht="15" hidden="false" customHeight="false" outlineLevel="0" collapsed="false">
      <c r="A452" s="48" t="str">
        <f aca="false">COST!A452</f>
        <v>KVMC-0448</v>
      </c>
      <c r="B452" s="48" t="str">
        <f aca="false">COST!B452</f>
        <v>KVMC</v>
      </c>
      <c r="C452" s="48" t="str">
        <f aca="false">COST!D452</f>
        <v>Youth Health Careers Pathway</v>
      </c>
      <c r="D452" s="62" t="n">
        <f aca="false">COST!M452</f>
        <v>46160</v>
      </c>
      <c r="E452" s="48" t="str">
        <f aca="false">COST!P452</f>
        <v>Clinical Nurse Educator</v>
      </c>
      <c r="F452" s="63" t="n">
        <f aca="false">COST!R452</f>
        <v>3.25</v>
      </c>
      <c r="G452" s="48" t="str">
        <f aca="false">STACK!M452</f>
        <v/>
      </c>
      <c r="H452" s="1" t="str">
        <f aca="false">C452&amp;"|"&amp;IF(ISNUMBER(D452),TEXT(D452,"yyyy-mm-dd"),"no date")&amp;"|"&amp;E452&amp;"|"&amp;IF(ISNUMBER(F452),TEXT(F452,"0.00"),"blank")</f>
        <v>Youth Health Careers Pathway|2026-05-18|Clinical Nurse Educator|3.25</v>
      </c>
      <c r="I452" s="1" t="n">
        <f aca="false">COUNTIF($H$5:$H$1624,H452)</f>
        <v>1</v>
      </c>
      <c r="J452" s="1" t="n">
        <f aca="false">COUNTIF($H$5:H452,H452)</f>
        <v>1</v>
      </c>
      <c r="K452" s="1" t="n">
        <f aca="false">COUNTIFS($H$5:$H$1624,H452,$B$5:$B$1624,"&lt;&gt;"&amp;B452)</f>
        <v>0</v>
      </c>
      <c r="L452" s="1" t="str">
        <f aca="false">IF(I452&gt;1,IF(K452&gt;0,"Cross-hospital match","Same-hospital match"),"")</f>
        <v/>
      </c>
      <c r="M452" s="52"/>
      <c r="N452" s="52"/>
      <c r="O452" s="1" t="n">
        <f aca="false">IF(M452="Exclude (duplicate)",0,1)</f>
        <v>1</v>
      </c>
      <c r="P452" s="1" t="str">
        <f aca="false">IF(AND(L452&lt;&gt;"",M452=""),"Needs decision","")</f>
        <v/>
      </c>
    </row>
    <row r="453" customFormat="false" ht="15" hidden="false" customHeight="false" outlineLevel="0" collapsed="false">
      <c r="A453" s="48" t="str">
        <f aca="false">COST!A453</f>
        <v>KVMC-0449</v>
      </c>
      <c r="B453" s="48" t="str">
        <f aca="false">COST!B453</f>
        <v>KVMC</v>
      </c>
      <c r="C453" s="48" t="str">
        <f aca="false">COST!D453</f>
        <v>Youth Health Careers Pathway</v>
      </c>
      <c r="D453" s="62" t="n">
        <f aca="false">COST!M453</f>
        <v>46160</v>
      </c>
      <c r="E453" s="48" t="str">
        <f aca="false">COST!P453</f>
        <v>Program Coordinator</v>
      </c>
      <c r="F453" s="63" t="n">
        <f aca="false">COST!R453</f>
        <v>7.25</v>
      </c>
      <c r="G453" s="48" t="str">
        <f aca="false">STACK!M453</f>
        <v/>
      </c>
      <c r="H453" s="1" t="str">
        <f aca="false">C453&amp;"|"&amp;IF(ISNUMBER(D453),TEXT(D453,"yyyy-mm-dd"),"no date")&amp;"|"&amp;E453&amp;"|"&amp;IF(ISNUMBER(F453),TEXT(F453,"0.00"),"blank")</f>
        <v>Youth Health Careers Pathway|2026-05-18|Program Coordinator|7.25</v>
      </c>
      <c r="I453" s="1" t="n">
        <f aca="false">COUNTIF($H$5:$H$1624,H453)</f>
        <v>1</v>
      </c>
      <c r="J453" s="1" t="n">
        <f aca="false">COUNTIF($H$5:H453,H453)</f>
        <v>1</v>
      </c>
      <c r="K453" s="1" t="n">
        <f aca="false">COUNTIFS($H$5:$H$1624,H453,$B$5:$B$1624,"&lt;&gt;"&amp;B453)</f>
        <v>0</v>
      </c>
      <c r="L453" s="1" t="str">
        <f aca="false">IF(I453&gt;1,IF(K453&gt;0,"Cross-hospital match","Same-hospital match"),"")</f>
        <v/>
      </c>
      <c r="M453" s="52"/>
      <c r="N453" s="52"/>
      <c r="O453" s="1" t="n">
        <f aca="false">IF(M453="Exclude (duplicate)",0,1)</f>
        <v>1</v>
      </c>
      <c r="P453" s="1" t="str">
        <f aca="false">IF(AND(L453&lt;&gt;"",M453=""),"Needs decision","")</f>
        <v/>
      </c>
    </row>
    <row r="454" customFormat="false" ht="15" hidden="false" customHeight="false" outlineLevel="0" collapsed="false">
      <c r="A454" s="48" t="str">
        <f aca="false">COST!A454</f>
        <v>KVMC-0450</v>
      </c>
      <c r="B454" s="48" t="str">
        <f aca="false">COST!B454</f>
        <v>KVMC</v>
      </c>
      <c r="C454" s="48" t="str">
        <f aca="false">COST!D454</f>
        <v>Diabetes Prevention Classes</v>
      </c>
      <c r="D454" s="62" t="n">
        <f aca="false">COST!M454</f>
        <v>46163</v>
      </c>
      <c r="E454" s="48" t="str">
        <f aca="false">COST!P454</f>
        <v>Health Educator</v>
      </c>
      <c r="F454" s="63" t="n">
        <f aca="false">COST!R454</f>
        <v>2.25</v>
      </c>
      <c r="G454" s="48" t="str">
        <f aca="false">STACK!M454</f>
        <v/>
      </c>
      <c r="H454" s="1" t="str">
        <f aca="false">C454&amp;"|"&amp;IF(ISNUMBER(D454),TEXT(D454,"yyyy-mm-dd"),"no date")&amp;"|"&amp;E454&amp;"|"&amp;IF(ISNUMBER(F454),TEXT(F454,"0.00"),"blank")</f>
        <v>Diabetes Prevention Classes|2026-05-21|Health Educator|2.25</v>
      </c>
      <c r="I454" s="1" t="n">
        <f aca="false">COUNTIF($H$5:$H$1624,H454)</f>
        <v>1</v>
      </c>
      <c r="J454" s="1" t="n">
        <f aca="false">COUNTIF($H$5:H454,H454)</f>
        <v>1</v>
      </c>
      <c r="K454" s="1" t="n">
        <f aca="false">COUNTIFS($H$5:$H$1624,H454,$B$5:$B$1624,"&lt;&gt;"&amp;B454)</f>
        <v>0</v>
      </c>
      <c r="L454" s="1" t="str">
        <f aca="false">IF(I454&gt;1,IF(K454&gt;0,"Cross-hospital match","Same-hospital match"),"")</f>
        <v/>
      </c>
      <c r="M454" s="52"/>
      <c r="N454" s="52"/>
      <c r="O454" s="1" t="n">
        <f aca="false">IF(M454="Exclude (duplicate)",0,1)</f>
        <v>1</v>
      </c>
      <c r="P454" s="1" t="str">
        <f aca="false">IF(AND(L454&lt;&gt;"",M454=""),"Needs decision","")</f>
        <v/>
      </c>
    </row>
    <row r="455" customFormat="false" ht="15" hidden="false" customHeight="false" outlineLevel="0" collapsed="false">
      <c r="A455" s="48" t="str">
        <f aca="false">COST!A455</f>
        <v>KVMC-0451</v>
      </c>
      <c r="B455" s="48" t="str">
        <f aca="false">COST!B455</f>
        <v>KVMC</v>
      </c>
      <c r="C455" s="48" t="str">
        <f aca="false">COST!D455</f>
        <v>Diabetes Prevention Classes</v>
      </c>
      <c r="D455" s="62" t="n">
        <f aca="false">COST!M455</f>
        <v>46163</v>
      </c>
      <c r="E455" s="48" t="str">
        <f aca="false">COST!P455</f>
        <v>Registered Dietitian</v>
      </c>
      <c r="F455" s="63" t="n">
        <f aca="false">COST!R455</f>
        <v>2</v>
      </c>
      <c r="G455" s="48" t="str">
        <f aca="false">STACK!M455</f>
        <v/>
      </c>
      <c r="H455" s="1" t="str">
        <f aca="false">C455&amp;"|"&amp;IF(ISNUMBER(D455),TEXT(D455,"yyyy-mm-dd"),"no date")&amp;"|"&amp;E455&amp;"|"&amp;IF(ISNUMBER(F455),TEXT(F455,"0.00"),"blank")</f>
        <v>Diabetes Prevention Classes|2026-05-21|Registered Dietitian|2.00</v>
      </c>
      <c r="I455" s="1" t="n">
        <f aca="false">COUNTIF($H$5:$H$1624,H455)</f>
        <v>1</v>
      </c>
      <c r="J455" s="1" t="n">
        <f aca="false">COUNTIF($H$5:H455,H455)</f>
        <v>1</v>
      </c>
      <c r="K455" s="1" t="n">
        <f aca="false">COUNTIFS($H$5:$H$1624,H455,$B$5:$B$1624,"&lt;&gt;"&amp;B455)</f>
        <v>0</v>
      </c>
      <c r="L455" s="1" t="str">
        <f aca="false">IF(I455&gt;1,IF(K455&gt;0,"Cross-hospital match","Same-hospital match"),"")</f>
        <v/>
      </c>
      <c r="M455" s="52"/>
      <c r="N455" s="52"/>
      <c r="O455" s="1" t="n">
        <f aca="false">IF(M455="Exclude (duplicate)",0,1)</f>
        <v>1</v>
      </c>
      <c r="P455" s="1" t="str">
        <f aca="false">IF(AND(L455&lt;&gt;"",M455=""),"Needs decision","")</f>
        <v/>
      </c>
    </row>
    <row r="456" customFormat="false" ht="15" hidden="false" customHeight="false" outlineLevel="0" collapsed="false">
      <c r="A456" s="48" t="str">
        <f aca="false">COST!A456</f>
        <v>KVMC-0452</v>
      </c>
      <c r="B456" s="48" t="str">
        <f aca="false">COST!B456</f>
        <v>KVMC</v>
      </c>
      <c r="C456" s="48" t="str">
        <f aca="false">COST!D456</f>
        <v>Tobacco Cessation Classes</v>
      </c>
      <c r="D456" s="62" t="n">
        <f aca="false">COST!M456</f>
        <v>46164</v>
      </c>
      <c r="E456" s="48" t="str">
        <f aca="false">COST!P456</f>
        <v>Licensed Therapist</v>
      </c>
      <c r="F456" s="63" t="n">
        <f aca="false">COST!R456</f>
        <v>2</v>
      </c>
      <c r="G456" s="48" t="str">
        <f aca="false">STACK!M456</f>
        <v/>
      </c>
      <c r="H456" s="1" t="str">
        <f aca="false">C456&amp;"|"&amp;IF(ISNUMBER(D456),TEXT(D456,"yyyy-mm-dd"),"no date")&amp;"|"&amp;E456&amp;"|"&amp;IF(ISNUMBER(F456),TEXT(F456,"0.00"),"blank")</f>
        <v>Tobacco Cessation Classes|2026-05-22|Licensed Therapist|2.00</v>
      </c>
      <c r="I456" s="1" t="n">
        <f aca="false">COUNTIF($H$5:$H$1624,H456)</f>
        <v>1</v>
      </c>
      <c r="J456" s="1" t="n">
        <f aca="false">COUNTIF($H$5:H456,H456)</f>
        <v>1</v>
      </c>
      <c r="K456" s="1" t="n">
        <f aca="false">COUNTIFS($H$5:$H$1624,H456,$B$5:$B$1624,"&lt;&gt;"&amp;B456)</f>
        <v>0</v>
      </c>
      <c r="L456" s="1" t="str">
        <f aca="false">IF(I456&gt;1,IF(K456&gt;0,"Cross-hospital match","Same-hospital match"),"")</f>
        <v/>
      </c>
      <c r="M456" s="52"/>
      <c r="N456" s="52"/>
      <c r="O456" s="1" t="n">
        <f aca="false">IF(M456="Exclude (duplicate)",0,1)</f>
        <v>1</v>
      </c>
      <c r="P456" s="1" t="str">
        <f aca="false">IF(AND(L456&lt;&gt;"",M456=""),"Needs decision","")</f>
        <v/>
      </c>
    </row>
    <row r="457" customFormat="false" ht="15" hidden="false" customHeight="false" outlineLevel="0" collapsed="false">
      <c r="A457" s="48" t="str">
        <f aca="false">COST!A457</f>
        <v>KVMC-0453</v>
      </c>
      <c r="B457" s="48" t="str">
        <f aca="false">COST!B457</f>
        <v>KVMC</v>
      </c>
      <c r="C457" s="48" t="str">
        <f aca="false">COST!D457</f>
        <v>Childbirth and Newborn Care Classes</v>
      </c>
      <c r="D457" s="62" t="n">
        <f aca="false">COST!M457</f>
        <v>46168</v>
      </c>
      <c r="E457" s="48" t="str">
        <f aca="false">COST!P457</f>
        <v>Clinical Nurse Educator</v>
      </c>
      <c r="F457" s="63" t="n">
        <f aca="false">COST!R457</f>
        <v>3.25</v>
      </c>
      <c r="G457" s="48" t="str">
        <f aca="false">STACK!M457</f>
        <v/>
      </c>
      <c r="H457" s="1" t="str">
        <f aca="false">C457&amp;"|"&amp;IF(ISNUMBER(D457),TEXT(D457,"yyyy-mm-dd"),"no date")&amp;"|"&amp;E457&amp;"|"&amp;IF(ISNUMBER(F457),TEXT(F457,"0.00"),"blank")</f>
        <v>Childbirth and Newborn Care Classes|2026-05-26|Clinical Nurse Educator|3.25</v>
      </c>
      <c r="I457" s="1" t="n">
        <f aca="false">COUNTIF($H$5:$H$1624,H457)</f>
        <v>1</v>
      </c>
      <c r="J457" s="1" t="n">
        <f aca="false">COUNTIF($H$5:H457,H457)</f>
        <v>1</v>
      </c>
      <c r="K457" s="1" t="n">
        <f aca="false">COUNTIFS($H$5:$H$1624,H457,$B$5:$B$1624,"&lt;&gt;"&amp;B457)</f>
        <v>0</v>
      </c>
      <c r="L457" s="1" t="str">
        <f aca="false">IF(I457&gt;1,IF(K457&gt;0,"Cross-hospital match","Same-hospital match"),"")</f>
        <v/>
      </c>
      <c r="M457" s="52"/>
      <c r="N457" s="52"/>
      <c r="O457" s="1" t="n">
        <f aca="false">IF(M457="Exclude (duplicate)",0,1)</f>
        <v>1</v>
      </c>
      <c r="P457" s="1" t="str">
        <f aca="false">IF(AND(L457&lt;&gt;"",M457=""),"Needs decision","")</f>
        <v/>
      </c>
    </row>
    <row r="458" customFormat="false" ht="15" hidden="false" customHeight="false" outlineLevel="0" collapsed="false">
      <c r="A458" s="48" t="str">
        <f aca="false">COST!A458</f>
        <v>KVMC-0454</v>
      </c>
      <c r="B458" s="48" t="str">
        <f aca="false">COST!B458</f>
        <v>KVMC</v>
      </c>
      <c r="C458" s="48" t="str">
        <f aca="false">COST!D458</f>
        <v>Mental Health First Aid Training</v>
      </c>
      <c r="D458" s="62" t="n">
        <f aca="false">COST!M458</f>
        <v>46168</v>
      </c>
      <c r="E458" s="48" t="str">
        <f aca="false">COST!P458</f>
        <v>Health Educator</v>
      </c>
      <c r="F458" s="63" t="n">
        <f aca="false">COST!R458</f>
        <v>8</v>
      </c>
      <c r="G458" s="48" t="str">
        <f aca="false">STACK!M458</f>
        <v/>
      </c>
      <c r="H458" s="1" t="str">
        <f aca="false">C458&amp;"|"&amp;IF(ISNUMBER(D458),TEXT(D458,"yyyy-mm-dd"),"no date")&amp;"|"&amp;E458&amp;"|"&amp;IF(ISNUMBER(F458),TEXT(F458,"0.00"),"blank")</f>
        <v>Mental Health First Aid Training|2026-05-26|Health Educator|8.00</v>
      </c>
      <c r="I458" s="1" t="n">
        <f aca="false">COUNTIF($H$5:$H$1624,H458)</f>
        <v>1</v>
      </c>
      <c r="J458" s="1" t="n">
        <f aca="false">COUNTIF($H$5:H458,H458)</f>
        <v>1</v>
      </c>
      <c r="K458" s="1" t="n">
        <f aca="false">COUNTIFS($H$5:$H$1624,H458,$B$5:$B$1624,"&lt;&gt;"&amp;B458)</f>
        <v>0</v>
      </c>
      <c r="L458" s="1" t="str">
        <f aca="false">IF(I458&gt;1,IF(K458&gt;0,"Cross-hospital match","Same-hospital match"),"")</f>
        <v/>
      </c>
      <c r="M458" s="52"/>
      <c r="N458" s="52"/>
      <c r="O458" s="1" t="n">
        <f aca="false">IF(M458="Exclude (duplicate)",0,1)</f>
        <v>1</v>
      </c>
      <c r="P458" s="1" t="str">
        <f aca="false">IF(AND(L458&lt;&gt;"",M458=""),"Needs decision","")</f>
        <v/>
      </c>
    </row>
    <row r="459" customFormat="false" ht="15" hidden="false" customHeight="false" outlineLevel="0" collapsed="false">
      <c r="A459" s="48" t="str">
        <f aca="false">COST!A459</f>
        <v>KVMC-0455</v>
      </c>
      <c r="B459" s="48" t="str">
        <f aca="false">COST!B459</f>
        <v>KVMC</v>
      </c>
      <c r="C459" s="48" t="str">
        <f aca="false">COST!D459</f>
        <v>Mental Health First Aid Training</v>
      </c>
      <c r="D459" s="62" t="n">
        <f aca="false">COST!M459</f>
        <v>46168</v>
      </c>
      <c r="E459" s="48" t="str">
        <f aca="false">COST!P459</f>
        <v>Social Worker</v>
      </c>
      <c r="F459" s="63" t="n">
        <f aca="false">COST!R459</f>
        <v>8</v>
      </c>
      <c r="G459" s="48" t="str">
        <f aca="false">STACK!M459</f>
        <v/>
      </c>
      <c r="H459" s="1" t="str">
        <f aca="false">C459&amp;"|"&amp;IF(ISNUMBER(D459),TEXT(D459,"yyyy-mm-dd"),"no date")&amp;"|"&amp;E459&amp;"|"&amp;IF(ISNUMBER(F459),TEXT(F459,"0.00"),"blank")</f>
        <v>Mental Health First Aid Training|2026-05-26|Social Worker|8.00</v>
      </c>
      <c r="I459" s="1" t="n">
        <f aca="false">COUNTIF($H$5:$H$1624,H459)</f>
        <v>1</v>
      </c>
      <c r="J459" s="1" t="n">
        <f aca="false">COUNTIF($H$5:H459,H459)</f>
        <v>1</v>
      </c>
      <c r="K459" s="1" t="n">
        <f aca="false">COUNTIFS($H$5:$H$1624,H459,$B$5:$B$1624,"&lt;&gt;"&amp;B459)</f>
        <v>0</v>
      </c>
      <c r="L459" s="1" t="str">
        <f aca="false">IF(I459&gt;1,IF(K459&gt;0,"Cross-hospital match","Same-hospital match"),"")</f>
        <v/>
      </c>
      <c r="M459" s="52"/>
      <c r="N459" s="52"/>
      <c r="O459" s="1" t="n">
        <f aca="false">IF(M459="Exclude (duplicate)",0,1)</f>
        <v>1</v>
      </c>
      <c r="P459" s="1" t="str">
        <f aca="false">IF(AND(L459&lt;&gt;"",M459=""),"Needs decision","")</f>
        <v/>
      </c>
    </row>
    <row r="460" customFormat="false" ht="15" hidden="false" customHeight="false" outlineLevel="0" collapsed="false">
      <c r="A460" s="48" t="str">
        <f aca="false">COST!A460</f>
        <v>KVMC-0456</v>
      </c>
      <c r="B460" s="48" t="str">
        <f aca="false">COST!B460</f>
        <v>KVMC</v>
      </c>
      <c r="C460" s="48" t="str">
        <f aca="false">COST!D460</f>
        <v>Grief Support Group</v>
      </c>
      <c r="D460" s="62" t="n">
        <f aca="false">COST!M460</f>
        <v>46168</v>
      </c>
      <c r="E460" s="48" t="str">
        <f aca="false">COST!P460</f>
        <v>Chaplain</v>
      </c>
      <c r="F460" s="63" t="n">
        <f aca="false">COST!R460</f>
        <v>2</v>
      </c>
      <c r="G460" s="48" t="str">
        <f aca="false">STACK!M460</f>
        <v/>
      </c>
      <c r="H460" s="1" t="str">
        <f aca="false">C460&amp;"|"&amp;IF(ISNUMBER(D460),TEXT(D460,"yyyy-mm-dd"),"no date")&amp;"|"&amp;E460&amp;"|"&amp;IF(ISNUMBER(F460),TEXT(F460,"0.00"),"blank")</f>
        <v>Grief Support Group|2026-05-26|Chaplain|2.00</v>
      </c>
      <c r="I460" s="1" t="n">
        <f aca="false">COUNTIF($H$5:$H$1624,H460)</f>
        <v>1</v>
      </c>
      <c r="J460" s="1" t="n">
        <f aca="false">COUNTIF($H$5:H460,H460)</f>
        <v>1</v>
      </c>
      <c r="K460" s="1" t="n">
        <f aca="false">COUNTIFS($H$5:$H$1624,H460,$B$5:$B$1624,"&lt;&gt;"&amp;B460)</f>
        <v>0</v>
      </c>
      <c r="L460" s="1" t="str">
        <f aca="false">IF(I460&gt;1,IF(K460&gt;0,"Cross-hospital match","Same-hospital match"),"")</f>
        <v/>
      </c>
      <c r="M460" s="52"/>
      <c r="N460" s="52"/>
      <c r="O460" s="1" t="n">
        <f aca="false">IF(M460="Exclude (duplicate)",0,1)</f>
        <v>1</v>
      </c>
      <c r="P460" s="1" t="str">
        <f aca="false">IF(AND(L460&lt;&gt;"",M460=""),"Needs decision","")</f>
        <v/>
      </c>
    </row>
    <row r="461" customFormat="false" ht="15" hidden="false" customHeight="false" outlineLevel="0" collapsed="false">
      <c r="A461" s="48" t="str">
        <f aca="false">COST!A461</f>
        <v>KVMC-0457</v>
      </c>
      <c r="B461" s="48" t="str">
        <f aca="false">COST!B461</f>
        <v>KVMC</v>
      </c>
      <c r="C461" s="48" t="str">
        <f aca="false">COST!D461</f>
        <v>Grief Support Group</v>
      </c>
      <c r="D461" s="62" t="n">
        <f aca="false">COST!M461</f>
        <v>46168</v>
      </c>
      <c r="E461" s="48" t="str">
        <f aca="false">COST!P461</f>
        <v>Social Worker</v>
      </c>
      <c r="F461" s="63" t="n">
        <f aca="false">COST!R461</f>
        <v>1.5</v>
      </c>
      <c r="G461" s="48" t="str">
        <f aca="false">STACK!M461</f>
        <v/>
      </c>
      <c r="H461" s="1" t="str">
        <f aca="false">C461&amp;"|"&amp;IF(ISNUMBER(D461),TEXT(D461,"yyyy-mm-dd"),"no date")&amp;"|"&amp;E461&amp;"|"&amp;IF(ISNUMBER(F461),TEXT(F461,"0.00"),"blank")</f>
        <v>Grief Support Group|2026-05-26|Social Worker|1.50</v>
      </c>
      <c r="I461" s="1" t="n">
        <f aca="false">COUNTIF($H$5:$H$1624,H461)</f>
        <v>1</v>
      </c>
      <c r="J461" s="1" t="n">
        <f aca="false">COUNTIF($H$5:H461,H461)</f>
        <v>1</v>
      </c>
      <c r="K461" s="1" t="n">
        <f aca="false">COUNTIFS($H$5:$H$1624,H461,$B$5:$B$1624,"&lt;&gt;"&amp;B461)</f>
        <v>0</v>
      </c>
      <c r="L461" s="1" t="str">
        <f aca="false">IF(I461&gt;1,IF(K461&gt;0,"Cross-hospital match","Same-hospital match"),"")</f>
        <v/>
      </c>
      <c r="M461" s="52"/>
      <c r="N461" s="52"/>
      <c r="O461" s="1" t="n">
        <f aca="false">IF(M461="Exclude (duplicate)",0,1)</f>
        <v>1</v>
      </c>
      <c r="P461" s="1" t="str">
        <f aca="false">IF(AND(L461&lt;&gt;"",M461=""),"Needs decision","")</f>
        <v/>
      </c>
    </row>
    <row r="462" customFormat="false" ht="15" hidden="false" customHeight="false" outlineLevel="0" collapsed="false">
      <c r="A462" s="48" t="str">
        <f aca="false">COST!A462</f>
        <v>KVMC-0458</v>
      </c>
      <c r="B462" s="48" t="str">
        <f aca="false">COST!B462</f>
        <v>KVMC</v>
      </c>
      <c r="C462" s="48" t="str">
        <f aca="false">COST!D462</f>
        <v>Tobacco Cessation Classes</v>
      </c>
      <c r="D462" s="62" t="n">
        <f aca="false">COST!M462</f>
        <v>46169</v>
      </c>
      <c r="E462" s="48" t="str">
        <f aca="false">COST!P462</f>
        <v>Licensed Therapist</v>
      </c>
      <c r="F462" s="63" t="n">
        <f aca="false">COST!R462</f>
        <v>2</v>
      </c>
      <c r="G462" s="48" t="str">
        <f aca="false">STACK!M462</f>
        <v/>
      </c>
      <c r="H462" s="1" t="str">
        <f aca="false">C462&amp;"|"&amp;IF(ISNUMBER(D462),TEXT(D462,"yyyy-mm-dd"),"no date")&amp;"|"&amp;E462&amp;"|"&amp;IF(ISNUMBER(F462),TEXT(F462,"0.00"),"blank")</f>
        <v>Tobacco Cessation Classes|2026-05-27|Licensed Therapist|2.00</v>
      </c>
      <c r="I462" s="1" t="n">
        <f aca="false">COUNTIF($H$5:$H$1624,H462)</f>
        <v>1</v>
      </c>
      <c r="J462" s="1" t="n">
        <f aca="false">COUNTIF($H$5:H462,H462)</f>
        <v>1</v>
      </c>
      <c r="K462" s="1" t="n">
        <f aca="false">COUNTIFS($H$5:$H$1624,H462,$B$5:$B$1624,"&lt;&gt;"&amp;B462)</f>
        <v>0</v>
      </c>
      <c r="L462" s="1" t="str">
        <f aca="false">IF(I462&gt;1,IF(K462&gt;0,"Cross-hospital match","Same-hospital match"),"")</f>
        <v/>
      </c>
      <c r="M462" s="52"/>
      <c r="N462" s="52"/>
      <c r="O462" s="1" t="n">
        <f aca="false">IF(M462="Exclude (duplicate)",0,1)</f>
        <v>1</v>
      </c>
      <c r="P462" s="1" t="str">
        <f aca="false">IF(AND(L462&lt;&gt;"",M462=""),"Needs decision","")</f>
        <v/>
      </c>
    </row>
    <row r="463" customFormat="false" ht="15" hidden="false" customHeight="false" outlineLevel="0" collapsed="false">
      <c r="A463" s="48" t="str">
        <f aca="false">COST!A463</f>
        <v>KVMC-0459</v>
      </c>
      <c r="B463" s="48" t="str">
        <f aca="false">COST!B463</f>
        <v>KVMC</v>
      </c>
      <c r="C463" s="48" t="str">
        <f aca="false">COST!D463</f>
        <v>Grief Support Group</v>
      </c>
      <c r="D463" s="62" t="n">
        <f aca="false">COST!M463</f>
        <v>46172</v>
      </c>
      <c r="E463" s="48" t="str">
        <f aca="false">COST!P463</f>
        <v>Chaplain</v>
      </c>
      <c r="F463" s="63" t="n">
        <f aca="false">COST!R463</f>
        <v>2</v>
      </c>
      <c r="G463" s="48" t="str">
        <f aca="false">STACK!M463</f>
        <v/>
      </c>
      <c r="H463" s="1" t="str">
        <f aca="false">C463&amp;"|"&amp;IF(ISNUMBER(D463),TEXT(D463,"yyyy-mm-dd"),"no date")&amp;"|"&amp;E463&amp;"|"&amp;IF(ISNUMBER(F463),TEXT(F463,"0.00"),"blank")</f>
        <v>Grief Support Group|2026-05-30|Chaplain|2.00</v>
      </c>
      <c r="I463" s="1" t="n">
        <f aca="false">COUNTIF($H$5:$H$1624,H463)</f>
        <v>1</v>
      </c>
      <c r="J463" s="1" t="n">
        <f aca="false">COUNTIF($H$5:H463,H463)</f>
        <v>1</v>
      </c>
      <c r="K463" s="1" t="n">
        <f aca="false">COUNTIFS($H$5:$H$1624,H463,$B$5:$B$1624,"&lt;&gt;"&amp;B463)</f>
        <v>0</v>
      </c>
      <c r="L463" s="1" t="str">
        <f aca="false">IF(I463&gt;1,IF(K463&gt;0,"Cross-hospital match","Same-hospital match"),"")</f>
        <v/>
      </c>
      <c r="M463" s="52"/>
      <c r="N463" s="52"/>
      <c r="O463" s="1" t="n">
        <f aca="false">IF(M463="Exclude (duplicate)",0,1)</f>
        <v>1</v>
      </c>
      <c r="P463" s="1" t="str">
        <f aca="false">IF(AND(L463&lt;&gt;"",M463=""),"Needs decision","")</f>
        <v/>
      </c>
    </row>
    <row r="464" customFormat="false" ht="15" hidden="false" customHeight="false" outlineLevel="0" collapsed="false">
      <c r="A464" s="48" t="str">
        <f aca="false">COST!A464</f>
        <v>KVMC-0460</v>
      </c>
      <c r="B464" s="48" t="str">
        <f aca="false">COST!B464</f>
        <v>KVMC</v>
      </c>
      <c r="C464" s="48" t="str">
        <f aca="false">COST!D464</f>
        <v>Grief Support Group</v>
      </c>
      <c r="D464" s="62" t="n">
        <f aca="false">COST!M464</f>
        <v>46172</v>
      </c>
      <c r="E464" s="48" t="str">
        <f aca="false">COST!P464</f>
        <v>Social Worker</v>
      </c>
      <c r="F464" s="63" t="n">
        <f aca="false">COST!R464</f>
        <v>1.75</v>
      </c>
      <c r="G464" s="48" t="str">
        <f aca="false">STACK!M464</f>
        <v/>
      </c>
      <c r="H464" s="1" t="str">
        <f aca="false">C464&amp;"|"&amp;IF(ISNUMBER(D464),TEXT(D464,"yyyy-mm-dd"),"no date")&amp;"|"&amp;E464&amp;"|"&amp;IF(ISNUMBER(F464),TEXT(F464,"0.00"),"blank")</f>
        <v>Grief Support Group|2026-05-30|Social Worker|1.75</v>
      </c>
      <c r="I464" s="1" t="n">
        <f aca="false">COUNTIF($H$5:$H$1624,H464)</f>
        <v>1</v>
      </c>
      <c r="J464" s="1" t="n">
        <f aca="false">COUNTIF($H$5:H464,H464)</f>
        <v>1</v>
      </c>
      <c r="K464" s="1" t="n">
        <f aca="false">COUNTIFS($H$5:$H$1624,H464,$B$5:$B$1624,"&lt;&gt;"&amp;B464)</f>
        <v>0</v>
      </c>
      <c r="L464" s="1" t="str">
        <f aca="false">IF(I464&gt;1,IF(K464&gt;0,"Cross-hospital match","Same-hospital match"),"")</f>
        <v/>
      </c>
      <c r="M464" s="52"/>
      <c r="N464" s="52"/>
      <c r="O464" s="1" t="n">
        <f aca="false">IF(M464="Exclude (duplicate)",0,1)</f>
        <v>1</v>
      </c>
      <c r="P464" s="1" t="str">
        <f aca="false">IF(AND(L464&lt;&gt;"",M464=""),"Needs decision","")</f>
        <v/>
      </c>
    </row>
    <row r="465" customFormat="false" ht="15" hidden="false" customHeight="false" outlineLevel="0" collapsed="false">
      <c r="A465" s="48" t="str">
        <f aca="false">COST!A465</f>
        <v>KVMC-0461</v>
      </c>
      <c r="B465" s="48" t="str">
        <f aca="false">COST!B465</f>
        <v>KVMC</v>
      </c>
      <c r="C465" s="48" t="str">
        <f aca="false">COST!D465</f>
        <v>Small Business Health Partnership</v>
      </c>
      <c r="D465" s="62" t="n">
        <f aca="false">COST!M465</f>
        <v>46172</v>
      </c>
      <c r="E465" s="48" t="str">
        <f aca="false">COST!P465</f>
        <v>Director</v>
      </c>
      <c r="F465" s="63" t="n">
        <f aca="false">COST!R465</f>
        <v>3.75</v>
      </c>
      <c r="G465" s="48" t="str">
        <f aca="false">STACK!M465</f>
        <v/>
      </c>
      <c r="H465" s="1" t="str">
        <f aca="false">C465&amp;"|"&amp;IF(ISNUMBER(D465),TEXT(D465,"yyyy-mm-dd"),"no date")&amp;"|"&amp;E465&amp;"|"&amp;IF(ISNUMBER(F465),TEXT(F465,"0.00"),"blank")</f>
        <v>Small Business Health Partnership|2026-05-30|Director|3.75</v>
      </c>
      <c r="I465" s="1" t="n">
        <f aca="false">COUNTIF($H$5:$H$1624,H465)</f>
        <v>1</v>
      </c>
      <c r="J465" s="1" t="n">
        <f aca="false">COUNTIF($H$5:H465,H465)</f>
        <v>1</v>
      </c>
      <c r="K465" s="1" t="n">
        <f aca="false">COUNTIFS($H$5:$H$1624,H465,$B$5:$B$1624,"&lt;&gt;"&amp;B465)</f>
        <v>0</v>
      </c>
      <c r="L465" s="1" t="str">
        <f aca="false">IF(I465&gt;1,IF(K465&gt;0,"Cross-hospital match","Same-hospital match"),"")</f>
        <v/>
      </c>
      <c r="M465" s="52"/>
      <c r="N465" s="52"/>
      <c r="O465" s="1" t="n">
        <f aca="false">IF(M465="Exclude (duplicate)",0,1)</f>
        <v>1</v>
      </c>
      <c r="P465" s="1" t="str">
        <f aca="false">IF(AND(L465&lt;&gt;"",M465=""),"Needs decision","")</f>
        <v/>
      </c>
    </row>
    <row r="466" customFormat="false" ht="15" hidden="false" customHeight="false" outlineLevel="0" collapsed="false">
      <c r="A466" s="48" t="str">
        <f aca="false">COST!A466</f>
        <v>KVMC-0462</v>
      </c>
      <c r="B466" s="48" t="str">
        <f aca="false">COST!B466</f>
        <v>KVMC</v>
      </c>
      <c r="C466" s="48" t="str">
        <f aca="false">COST!D466</f>
        <v>Small Business Health Partnership</v>
      </c>
      <c r="D466" s="62" t="n">
        <f aca="false">COST!M466</f>
        <v>46172</v>
      </c>
      <c r="E466" s="48" t="str">
        <f aca="false">COST!P466</f>
        <v>Program Coordinator</v>
      </c>
      <c r="F466" s="63" t="n">
        <f aca="false">COST!R466</f>
        <v>4.75</v>
      </c>
      <c r="G466" s="48" t="str">
        <f aca="false">STACK!M466</f>
        <v/>
      </c>
      <c r="H466" s="1" t="str">
        <f aca="false">C466&amp;"|"&amp;IF(ISNUMBER(D466),TEXT(D466,"yyyy-mm-dd"),"no date")&amp;"|"&amp;E466&amp;"|"&amp;IF(ISNUMBER(F466),TEXT(F466,"0.00"),"blank")</f>
        <v>Small Business Health Partnership|2026-05-30|Program Coordinator|4.75</v>
      </c>
      <c r="I466" s="1" t="n">
        <f aca="false">COUNTIF($H$5:$H$1624,H466)</f>
        <v>1</v>
      </c>
      <c r="J466" s="1" t="n">
        <f aca="false">COUNTIF($H$5:H466,H466)</f>
        <v>1</v>
      </c>
      <c r="K466" s="1" t="n">
        <f aca="false">COUNTIFS($H$5:$H$1624,H466,$B$5:$B$1624,"&lt;&gt;"&amp;B466)</f>
        <v>0</v>
      </c>
      <c r="L466" s="1" t="str">
        <f aca="false">IF(I466&gt;1,IF(K466&gt;0,"Cross-hospital match","Same-hospital match"),"")</f>
        <v/>
      </c>
      <c r="M466" s="52"/>
      <c r="N466" s="52"/>
      <c r="O466" s="1" t="n">
        <f aca="false">IF(M466="Exclude (duplicate)",0,1)</f>
        <v>1</v>
      </c>
      <c r="P466" s="1" t="str">
        <f aca="false">IF(AND(L466&lt;&gt;"",M466=""),"Needs decision","")</f>
        <v/>
      </c>
    </row>
    <row r="467" customFormat="false" ht="15" hidden="false" customHeight="false" outlineLevel="0" collapsed="false">
      <c r="A467" s="48" t="str">
        <f aca="false">COST!A467</f>
        <v>KVMC-0463</v>
      </c>
      <c r="B467" s="48" t="str">
        <f aca="false">COST!B467</f>
        <v>KVMC</v>
      </c>
      <c r="C467" s="48" t="str">
        <f aca="false">COST!D467</f>
        <v>Mobile Health Screening Unit</v>
      </c>
      <c r="D467" s="62" t="n">
        <f aca="false">COST!M467</f>
        <v>46173</v>
      </c>
      <c r="E467" s="48" t="str">
        <f aca="false">COST!P467</f>
        <v>Community Health Worker</v>
      </c>
      <c r="F467" s="63" t="n">
        <f aca="false">COST!R467</f>
        <v>82.25</v>
      </c>
      <c r="G467" s="48" t="str">
        <f aca="false">STACK!M467</f>
        <v/>
      </c>
      <c r="H467" s="1" t="str">
        <f aca="false">C467&amp;"|"&amp;IF(ISNUMBER(D467),TEXT(D467,"yyyy-mm-dd"),"no date")&amp;"|"&amp;E467&amp;"|"&amp;IF(ISNUMBER(F467),TEXT(F467,"0.00"),"blank")</f>
        <v>Mobile Health Screening Unit|2026-05-31|Community Health Worker|82.25</v>
      </c>
      <c r="I467" s="1" t="n">
        <f aca="false">COUNTIF($H$5:$H$1624,H467)</f>
        <v>1</v>
      </c>
      <c r="J467" s="1" t="n">
        <f aca="false">COUNTIF($H$5:H467,H467)</f>
        <v>1</v>
      </c>
      <c r="K467" s="1" t="n">
        <f aca="false">COUNTIFS($H$5:$H$1624,H467,$B$5:$B$1624,"&lt;&gt;"&amp;B467)</f>
        <v>0</v>
      </c>
      <c r="L467" s="1" t="str">
        <f aca="false">IF(I467&gt;1,IF(K467&gt;0,"Cross-hospital match","Same-hospital match"),"")</f>
        <v/>
      </c>
      <c r="M467" s="52"/>
      <c r="N467" s="52"/>
      <c r="O467" s="1" t="n">
        <f aca="false">IF(M467="Exclude (duplicate)",0,1)</f>
        <v>1</v>
      </c>
      <c r="P467" s="1" t="str">
        <f aca="false">IF(AND(L467&lt;&gt;"",M467=""),"Needs decision","")</f>
        <v/>
      </c>
    </row>
    <row r="468" customFormat="false" ht="15" hidden="false" customHeight="false" outlineLevel="0" collapsed="false">
      <c r="A468" s="48" t="str">
        <f aca="false">COST!A468</f>
        <v>KVMC-0464</v>
      </c>
      <c r="B468" s="48" t="str">
        <f aca="false">COST!B468</f>
        <v>KVMC</v>
      </c>
      <c r="C468" s="48" t="str">
        <f aca="false">COST!D468</f>
        <v>Mobile Health Screening Unit</v>
      </c>
      <c r="D468" s="62" t="n">
        <f aca="false">COST!M468</f>
        <v>46173</v>
      </c>
      <c r="E468" s="48" t="str">
        <f aca="false">COST!P468</f>
        <v>Medical Assistant</v>
      </c>
      <c r="F468" s="63" t="n">
        <f aca="false">COST!R468</f>
        <v>99.5</v>
      </c>
      <c r="G468" s="48" t="str">
        <f aca="false">STACK!M468</f>
        <v/>
      </c>
      <c r="H468" s="1" t="str">
        <f aca="false">C468&amp;"|"&amp;IF(ISNUMBER(D468),TEXT(D468,"yyyy-mm-dd"),"no date")&amp;"|"&amp;E468&amp;"|"&amp;IF(ISNUMBER(F468),TEXT(F468,"0.00"),"blank")</f>
        <v>Mobile Health Screening Unit|2026-05-31|Medical Assistant|99.50</v>
      </c>
      <c r="I468" s="1" t="n">
        <f aca="false">COUNTIF($H$5:$H$1624,H468)</f>
        <v>1</v>
      </c>
      <c r="J468" s="1" t="n">
        <f aca="false">COUNTIF($H$5:H468,H468)</f>
        <v>1</v>
      </c>
      <c r="K468" s="1" t="n">
        <f aca="false">COUNTIFS($H$5:$H$1624,H468,$B$5:$B$1624,"&lt;&gt;"&amp;B468)</f>
        <v>0</v>
      </c>
      <c r="L468" s="1" t="str">
        <f aca="false">IF(I468&gt;1,IF(K468&gt;0,"Cross-hospital match","Same-hospital match"),"")</f>
        <v/>
      </c>
      <c r="M468" s="52"/>
      <c r="N468" s="52"/>
      <c r="O468" s="1" t="n">
        <f aca="false">IF(M468="Exclude (duplicate)",0,1)</f>
        <v>1</v>
      </c>
      <c r="P468" s="1" t="str">
        <f aca="false">IF(AND(L468&lt;&gt;"",M468=""),"Needs decision","")</f>
        <v/>
      </c>
    </row>
    <row r="469" customFormat="false" ht="15" hidden="false" customHeight="false" outlineLevel="0" collapsed="false">
      <c r="A469" s="48" t="str">
        <f aca="false">COST!A469</f>
        <v>KVMC-0465</v>
      </c>
      <c r="B469" s="48" t="str">
        <f aca="false">COST!B469</f>
        <v>KVMC</v>
      </c>
      <c r="C469" s="48" t="str">
        <f aca="false">COST!D469</f>
        <v>Mobile Health Screening Unit</v>
      </c>
      <c r="D469" s="62" t="n">
        <f aca="false">COST!M469</f>
        <v>46173</v>
      </c>
      <c r="E469" s="48" t="str">
        <f aca="false">COST!P469</f>
        <v>Registered Nurse</v>
      </c>
      <c r="F469" s="63" t="n">
        <f aca="false">COST!R469</f>
        <v>120</v>
      </c>
      <c r="G469" s="48" t="str">
        <f aca="false">STACK!M469</f>
        <v/>
      </c>
      <c r="H469" s="1" t="str">
        <f aca="false">C469&amp;"|"&amp;IF(ISNUMBER(D469),TEXT(D469,"yyyy-mm-dd"),"no date")&amp;"|"&amp;E469&amp;"|"&amp;IF(ISNUMBER(F469),TEXT(F469,"0.00"),"blank")</f>
        <v>Mobile Health Screening Unit|2026-05-31|Registered Nurse|120.00</v>
      </c>
      <c r="I469" s="1" t="n">
        <f aca="false">COUNTIF($H$5:$H$1624,H469)</f>
        <v>1</v>
      </c>
      <c r="J469" s="1" t="n">
        <f aca="false">COUNTIF($H$5:H469,H469)</f>
        <v>1</v>
      </c>
      <c r="K469" s="1" t="n">
        <f aca="false">COUNTIFS($H$5:$H$1624,H469,$B$5:$B$1624,"&lt;&gt;"&amp;B469)</f>
        <v>0</v>
      </c>
      <c r="L469" s="1" t="str">
        <f aca="false">IF(I469&gt;1,IF(K469&gt;0,"Cross-hospital match","Same-hospital match"),"")</f>
        <v/>
      </c>
      <c r="M469" s="52"/>
      <c r="N469" s="52"/>
      <c r="O469" s="1" t="n">
        <f aca="false">IF(M469="Exclude (duplicate)",0,1)</f>
        <v>1</v>
      </c>
      <c r="P469" s="1" t="str">
        <f aca="false">IF(AND(L469&lt;&gt;"",M469=""),"Needs decision","")</f>
        <v/>
      </c>
    </row>
    <row r="470" customFormat="false" ht="15" hidden="false" customHeight="false" outlineLevel="0" collapsed="false">
      <c r="A470" s="48" t="str">
        <f aca="false">COST!A470</f>
        <v>KVMC-0466</v>
      </c>
      <c r="B470" s="48" t="str">
        <f aca="false">COST!B470</f>
        <v>KVMC</v>
      </c>
      <c r="C470" s="48" t="str">
        <f aca="false">COST!D470</f>
        <v>Free Clinic Provider Staffing</v>
      </c>
      <c r="D470" s="62" t="n">
        <f aca="false">COST!M470</f>
        <v>46173</v>
      </c>
      <c r="E470" s="48" t="str">
        <f aca="false">COST!P470</f>
        <v>Nurse Practitioner</v>
      </c>
      <c r="F470" s="63" t="n">
        <f aca="false">COST!R470</f>
        <v>51.5</v>
      </c>
      <c r="G470" s="48" t="str">
        <f aca="false">STACK!M470</f>
        <v/>
      </c>
      <c r="H470" s="1" t="str">
        <f aca="false">C470&amp;"|"&amp;IF(ISNUMBER(D470),TEXT(D470,"yyyy-mm-dd"),"no date")&amp;"|"&amp;E470&amp;"|"&amp;IF(ISNUMBER(F470),TEXT(F470,"0.00"),"blank")</f>
        <v>Free Clinic Provider Staffing|2026-05-31|Nurse Practitioner|51.50</v>
      </c>
      <c r="I470" s="1" t="n">
        <f aca="false">COUNTIF($H$5:$H$1624,H470)</f>
        <v>1</v>
      </c>
      <c r="J470" s="1" t="n">
        <f aca="false">COUNTIF($H$5:H470,H470)</f>
        <v>1</v>
      </c>
      <c r="K470" s="1" t="n">
        <f aca="false">COUNTIFS($H$5:$H$1624,H470,$B$5:$B$1624,"&lt;&gt;"&amp;B470)</f>
        <v>0</v>
      </c>
      <c r="L470" s="1" t="str">
        <f aca="false">IF(I470&gt;1,IF(K470&gt;0,"Cross-hospital match","Same-hospital match"),"")</f>
        <v/>
      </c>
      <c r="M470" s="52"/>
      <c r="N470" s="52"/>
      <c r="O470" s="1" t="n">
        <f aca="false">IF(M470="Exclude (duplicate)",0,1)</f>
        <v>1</v>
      </c>
      <c r="P470" s="1" t="str">
        <f aca="false">IF(AND(L470&lt;&gt;"",M470=""),"Needs decision","")</f>
        <v/>
      </c>
    </row>
    <row r="471" customFormat="false" ht="15" hidden="false" customHeight="false" outlineLevel="0" collapsed="false">
      <c r="A471" s="48" t="str">
        <f aca="false">COST!A471</f>
        <v>KVMC-0467</v>
      </c>
      <c r="B471" s="48" t="str">
        <f aca="false">COST!B471</f>
        <v>KVMC</v>
      </c>
      <c r="C471" s="48" t="str">
        <f aca="false">COST!D471</f>
        <v>Free Clinic Provider Staffing</v>
      </c>
      <c r="D471" s="62" t="n">
        <f aca="false">COST!M471</f>
        <v>46173</v>
      </c>
      <c r="E471" s="48" t="str">
        <f aca="false">COST!P471</f>
        <v>Pharmacist</v>
      </c>
      <c r="F471" s="63" t="n">
        <f aca="false">COST!R471</f>
        <v>18.25</v>
      </c>
      <c r="G471" s="48" t="str">
        <f aca="false">STACK!M471</f>
        <v/>
      </c>
      <c r="H471" s="1" t="str">
        <f aca="false">C471&amp;"|"&amp;IF(ISNUMBER(D471),TEXT(D471,"yyyy-mm-dd"),"no date")&amp;"|"&amp;E471&amp;"|"&amp;IF(ISNUMBER(F471),TEXT(F471,"0.00"),"blank")</f>
        <v>Free Clinic Provider Staffing|2026-05-31|Pharmacist|18.25</v>
      </c>
      <c r="I471" s="1" t="n">
        <f aca="false">COUNTIF($H$5:$H$1624,H471)</f>
        <v>1</v>
      </c>
      <c r="J471" s="1" t="n">
        <f aca="false">COUNTIF($H$5:H471,H471)</f>
        <v>1</v>
      </c>
      <c r="K471" s="1" t="n">
        <f aca="false">COUNTIFS($H$5:$H$1624,H471,$B$5:$B$1624,"&lt;&gt;"&amp;B471)</f>
        <v>0</v>
      </c>
      <c r="L471" s="1" t="str">
        <f aca="false">IF(I471&gt;1,IF(K471&gt;0,"Cross-hospital match","Same-hospital match"),"")</f>
        <v/>
      </c>
      <c r="M471" s="52"/>
      <c r="N471" s="52"/>
      <c r="O471" s="1" t="n">
        <f aca="false">IF(M471="Exclude (duplicate)",0,1)</f>
        <v>1</v>
      </c>
      <c r="P471" s="1" t="str">
        <f aca="false">IF(AND(L471&lt;&gt;"",M471=""),"Needs decision","")</f>
        <v/>
      </c>
    </row>
    <row r="472" customFormat="false" ht="15" hidden="false" customHeight="false" outlineLevel="0" collapsed="false">
      <c r="A472" s="48" t="str">
        <f aca="false">COST!A472</f>
        <v>KVMC-0468</v>
      </c>
      <c r="B472" s="48" t="str">
        <f aca="false">COST!B472</f>
        <v>KVMC</v>
      </c>
      <c r="C472" s="48" t="str">
        <f aca="false">COST!D472</f>
        <v>Free Clinic Provider Staffing</v>
      </c>
      <c r="D472" s="62" t="n">
        <f aca="false">COST!M472</f>
        <v>46173</v>
      </c>
      <c r="E472" s="48" t="str">
        <f aca="false">COST!P472</f>
        <v>Registered Nurse</v>
      </c>
      <c r="F472" s="63" t="n">
        <f aca="false">COST!R472</f>
        <v>58.5</v>
      </c>
      <c r="G472" s="48" t="str">
        <f aca="false">STACK!M472</f>
        <v/>
      </c>
      <c r="H472" s="1" t="str">
        <f aca="false">C472&amp;"|"&amp;IF(ISNUMBER(D472),TEXT(D472,"yyyy-mm-dd"),"no date")&amp;"|"&amp;E472&amp;"|"&amp;IF(ISNUMBER(F472),TEXT(F472,"0.00"),"blank")</f>
        <v>Free Clinic Provider Staffing|2026-05-31|Registered Nurse|58.50</v>
      </c>
      <c r="I472" s="1" t="n">
        <f aca="false">COUNTIF($H$5:$H$1624,H472)</f>
        <v>1</v>
      </c>
      <c r="J472" s="1" t="n">
        <f aca="false">COUNTIF($H$5:H472,H472)</f>
        <v>1</v>
      </c>
      <c r="K472" s="1" t="n">
        <f aca="false">COUNTIFS($H$5:$H$1624,H472,$B$5:$B$1624,"&lt;&gt;"&amp;B472)</f>
        <v>0</v>
      </c>
      <c r="L472" s="1" t="str">
        <f aca="false">IF(I472&gt;1,IF(K472&gt;0,"Cross-hospital match","Same-hospital match"),"")</f>
        <v/>
      </c>
      <c r="M472" s="52"/>
      <c r="N472" s="52"/>
      <c r="O472" s="1" t="n">
        <f aca="false">IF(M472="Exclude (duplicate)",0,1)</f>
        <v>1</v>
      </c>
      <c r="P472" s="1" t="str">
        <f aca="false">IF(AND(L472&lt;&gt;"",M472=""),"Needs decision","")</f>
        <v/>
      </c>
    </row>
    <row r="473" customFormat="false" ht="15" hidden="false" customHeight="false" outlineLevel="0" collapsed="false">
      <c r="A473" s="48" t="str">
        <f aca="false">COST!A473</f>
        <v>KVMC-0469</v>
      </c>
      <c r="B473" s="48" t="str">
        <f aca="false">COST!B473</f>
        <v>KVMC</v>
      </c>
      <c r="C473" s="48" t="str">
        <f aca="false">COST!D473</f>
        <v>Community Health Worker Outreach</v>
      </c>
      <c r="D473" s="62" t="n">
        <f aca="false">COST!M473</f>
        <v>46173</v>
      </c>
      <c r="E473" s="48" t="str">
        <f aca="false">COST!P473</f>
        <v>Community Health Worker</v>
      </c>
      <c r="F473" s="63" t="n">
        <f aca="false">COST!R473</f>
        <v>428.25</v>
      </c>
      <c r="G473" s="48" t="str">
        <f aca="false">STACK!M473</f>
        <v/>
      </c>
      <c r="H473" s="1" t="str">
        <f aca="false">C473&amp;"|"&amp;IF(ISNUMBER(D473),TEXT(D473,"yyyy-mm-dd"),"no date")&amp;"|"&amp;E473&amp;"|"&amp;IF(ISNUMBER(F473),TEXT(F473,"0.00"),"blank")</f>
        <v>Community Health Worker Outreach|2026-05-31|Community Health Worker|428.25</v>
      </c>
      <c r="I473" s="1" t="n">
        <f aca="false">COUNTIF($H$5:$H$1624,H473)</f>
        <v>1</v>
      </c>
      <c r="J473" s="1" t="n">
        <f aca="false">COUNTIF($H$5:H473,H473)</f>
        <v>1</v>
      </c>
      <c r="K473" s="1" t="n">
        <f aca="false">COUNTIFS($H$5:$H$1624,H473,$B$5:$B$1624,"&lt;&gt;"&amp;B473)</f>
        <v>0</v>
      </c>
      <c r="L473" s="1" t="str">
        <f aca="false">IF(I473&gt;1,IF(K473&gt;0,"Cross-hospital match","Same-hospital match"),"")</f>
        <v/>
      </c>
      <c r="M473" s="52"/>
      <c r="N473" s="52"/>
      <c r="O473" s="1" t="n">
        <f aca="false">IF(M473="Exclude (duplicate)",0,1)</f>
        <v>1</v>
      </c>
      <c r="P473" s="1" t="str">
        <f aca="false">IF(AND(L473&lt;&gt;"",M473=""),"Needs decision","")</f>
        <v/>
      </c>
    </row>
    <row r="474" customFormat="false" ht="15" hidden="false" customHeight="false" outlineLevel="0" collapsed="false">
      <c r="A474" s="48" t="str">
        <f aca="false">COST!A474</f>
        <v>KVMC-0470</v>
      </c>
      <c r="B474" s="48" t="str">
        <f aca="false">COST!B474</f>
        <v>KVMC</v>
      </c>
      <c r="C474" s="48" t="str">
        <f aca="false">COST!D474</f>
        <v>Community Health Worker Outreach</v>
      </c>
      <c r="D474" s="62" t="n">
        <f aca="false">COST!M474</f>
        <v>46173</v>
      </c>
      <c r="E474" s="48" t="str">
        <f aca="false">COST!P474</f>
        <v>Patient Navigator</v>
      </c>
      <c r="F474" s="63" t="n">
        <f aca="false">COST!R474</f>
        <v>181.25</v>
      </c>
      <c r="G474" s="48" t="str">
        <f aca="false">STACK!M474</f>
        <v/>
      </c>
      <c r="H474" s="1" t="str">
        <f aca="false">C474&amp;"|"&amp;IF(ISNUMBER(D474),TEXT(D474,"yyyy-mm-dd"),"no date")&amp;"|"&amp;E474&amp;"|"&amp;IF(ISNUMBER(F474),TEXT(F474,"0.00"),"blank")</f>
        <v>Community Health Worker Outreach|2026-05-31|Patient Navigator|181.25</v>
      </c>
      <c r="I474" s="1" t="n">
        <f aca="false">COUNTIF($H$5:$H$1624,H474)</f>
        <v>1</v>
      </c>
      <c r="J474" s="1" t="n">
        <f aca="false">COUNTIF($H$5:H474,H474)</f>
        <v>1</v>
      </c>
      <c r="K474" s="1" t="n">
        <f aca="false">COUNTIFS($H$5:$H$1624,H474,$B$5:$B$1624,"&lt;&gt;"&amp;B474)</f>
        <v>0</v>
      </c>
      <c r="L474" s="1" t="str">
        <f aca="false">IF(I474&gt;1,IF(K474&gt;0,"Cross-hospital match","Same-hospital match"),"")</f>
        <v/>
      </c>
      <c r="M474" s="52"/>
      <c r="N474" s="52"/>
      <c r="O474" s="1" t="n">
        <f aca="false">IF(M474="Exclude (duplicate)",0,1)</f>
        <v>1</v>
      </c>
      <c r="P474" s="1" t="str">
        <f aca="false">IF(AND(L474&lt;&gt;"",M474=""),"Needs decision","")</f>
        <v/>
      </c>
    </row>
    <row r="475" customFormat="false" ht="15" hidden="false" customHeight="false" outlineLevel="0" collapsed="false">
      <c r="A475" s="48" t="str">
        <f aca="false">COST!A475</f>
        <v>KVMC-0471</v>
      </c>
      <c r="B475" s="48" t="str">
        <f aca="false">COST!B475</f>
        <v>KVMC</v>
      </c>
      <c r="C475" s="48" t="str">
        <f aca="false">COST!D475</f>
        <v>Medication Assistance Program</v>
      </c>
      <c r="D475" s="62" t="n">
        <f aca="false">COST!M475</f>
        <v>46173</v>
      </c>
      <c r="E475" s="48" t="str">
        <f aca="false">COST!P475</f>
        <v>Patient Navigator</v>
      </c>
      <c r="F475" s="63" t="n">
        <f aca="false">COST!R475</f>
        <v>78.75</v>
      </c>
      <c r="G475" s="48" t="str">
        <f aca="false">STACK!M475</f>
        <v/>
      </c>
      <c r="H475" s="1" t="str">
        <f aca="false">C475&amp;"|"&amp;IF(ISNUMBER(D475),TEXT(D475,"yyyy-mm-dd"),"no date")&amp;"|"&amp;E475&amp;"|"&amp;IF(ISNUMBER(F475),TEXT(F475,"0.00"),"blank")</f>
        <v>Medication Assistance Program|2026-05-31|Patient Navigator|78.75</v>
      </c>
      <c r="I475" s="1" t="n">
        <f aca="false">COUNTIF($H$5:$H$1624,H475)</f>
        <v>1</v>
      </c>
      <c r="J475" s="1" t="n">
        <f aca="false">COUNTIF($H$5:H475,H475)</f>
        <v>1</v>
      </c>
      <c r="K475" s="1" t="n">
        <f aca="false">COUNTIFS($H$5:$H$1624,H475,$B$5:$B$1624,"&lt;&gt;"&amp;B475)</f>
        <v>0</v>
      </c>
      <c r="L475" s="1" t="str">
        <f aca="false">IF(I475&gt;1,IF(K475&gt;0,"Cross-hospital match","Same-hospital match"),"")</f>
        <v/>
      </c>
      <c r="M475" s="52"/>
      <c r="N475" s="52"/>
      <c r="O475" s="1" t="n">
        <f aca="false">IF(M475="Exclude (duplicate)",0,1)</f>
        <v>1</v>
      </c>
      <c r="P475" s="1" t="str">
        <f aca="false">IF(AND(L475&lt;&gt;"",M475=""),"Needs decision","")</f>
        <v/>
      </c>
    </row>
    <row r="476" customFormat="false" ht="15" hidden="false" customHeight="false" outlineLevel="0" collapsed="false">
      <c r="A476" s="48" t="str">
        <f aca="false">COST!A476</f>
        <v>KVMC-0472</v>
      </c>
      <c r="B476" s="48" t="str">
        <f aca="false">COST!B476</f>
        <v>KVMC</v>
      </c>
      <c r="C476" s="48" t="str">
        <f aca="false">COST!D476</f>
        <v>Medication Assistance Program</v>
      </c>
      <c r="D476" s="62" t="n">
        <f aca="false">COST!M476</f>
        <v>46173</v>
      </c>
      <c r="E476" s="48" t="str">
        <f aca="false">COST!P476</f>
        <v>Pharmacist</v>
      </c>
      <c r="F476" s="63" t="n">
        <f aca="false">COST!R476</f>
        <v>22.25</v>
      </c>
      <c r="G476" s="48" t="str">
        <f aca="false">STACK!M476</f>
        <v/>
      </c>
      <c r="H476" s="1" t="str">
        <f aca="false">C476&amp;"|"&amp;IF(ISNUMBER(D476),TEXT(D476,"yyyy-mm-dd"),"no date")&amp;"|"&amp;E476&amp;"|"&amp;IF(ISNUMBER(F476),TEXT(F476,"0.00"),"blank")</f>
        <v>Medication Assistance Program|2026-05-31|Pharmacist|22.25</v>
      </c>
      <c r="I476" s="1" t="n">
        <f aca="false">COUNTIF($H$5:$H$1624,H476)</f>
        <v>1</v>
      </c>
      <c r="J476" s="1" t="n">
        <f aca="false">COUNTIF($H$5:H476,H476)</f>
        <v>1</v>
      </c>
      <c r="K476" s="1" t="n">
        <f aca="false">COUNTIFS($H$5:$H$1624,H476,$B$5:$B$1624,"&lt;&gt;"&amp;B476)</f>
        <v>0</v>
      </c>
      <c r="L476" s="1" t="str">
        <f aca="false">IF(I476&gt;1,IF(K476&gt;0,"Cross-hospital match","Same-hospital match"),"")</f>
        <v/>
      </c>
      <c r="M476" s="52"/>
      <c r="N476" s="52"/>
      <c r="O476" s="1" t="n">
        <f aca="false">IF(M476="Exclude (duplicate)",0,1)</f>
        <v>1</v>
      </c>
      <c r="P476" s="1" t="str">
        <f aca="false">IF(AND(L476&lt;&gt;"",M476=""),"Needs decision","")</f>
        <v/>
      </c>
    </row>
    <row r="477" customFormat="false" ht="15" hidden="false" customHeight="false" outlineLevel="0" collapsed="false">
      <c r="A477" s="48" t="str">
        <f aca="false">COST!A477</f>
        <v>KVMC-0473</v>
      </c>
      <c r="B477" s="48" t="str">
        <f aca="false">COST!B477</f>
        <v>KVMC</v>
      </c>
      <c r="C477" s="48" t="str">
        <f aca="false">COST!D477</f>
        <v>Community Health Needs Assessment</v>
      </c>
      <c r="D477" s="62" t="n">
        <f aca="false">COST!M477</f>
        <v>46173</v>
      </c>
      <c r="E477" s="48" t="str">
        <f aca="false">COST!P477</f>
        <v>Community Benefit Manager</v>
      </c>
      <c r="F477" s="63" t="n">
        <f aca="false">COST!R477</f>
        <v>25.75</v>
      </c>
      <c r="G477" s="48" t="str">
        <f aca="false">STACK!M477</f>
        <v/>
      </c>
      <c r="H477" s="1" t="str">
        <f aca="false">C477&amp;"|"&amp;IF(ISNUMBER(D477),TEXT(D477,"yyyy-mm-dd"),"no date")&amp;"|"&amp;E477&amp;"|"&amp;IF(ISNUMBER(F477),TEXT(F477,"0.00"),"blank")</f>
        <v>Community Health Needs Assessment|2026-05-31|Community Benefit Manager|25.75</v>
      </c>
      <c r="I477" s="1" t="n">
        <f aca="false">COUNTIF($H$5:$H$1624,H477)</f>
        <v>1</v>
      </c>
      <c r="J477" s="1" t="n">
        <f aca="false">COUNTIF($H$5:H477,H477)</f>
        <v>1</v>
      </c>
      <c r="K477" s="1" t="n">
        <f aca="false">COUNTIFS($H$5:$H$1624,H477,$B$5:$B$1624,"&lt;&gt;"&amp;B477)</f>
        <v>0</v>
      </c>
      <c r="L477" s="1" t="str">
        <f aca="false">IF(I477&gt;1,IF(K477&gt;0,"Cross-hospital match","Same-hospital match"),"")</f>
        <v/>
      </c>
      <c r="M477" s="52"/>
      <c r="N477" s="52"/>
      <c r="O477" s="1" t="n">
        <f aca="false">IF(M477="Exclude (duplicate)",0,1)</f>
        <v>1</v>
      </c>
      <c r="P477" s="1" t="str">
        <f aca="false">IF(AND(L477&lt;&gt;"",M477=""),"Needs decision","")</f>
        <v/>
      </c>
    </row>
    <row r="478" customFormat="false" ht="15" hidden="false" customHeight="false" outlineLevel="0" collapsed="false">
      <c r="A478" s="48" t="str">
        <f aca="false">COST!A478</f>
        <v>KVMC-0474</v>
      </c>
      <c r="B478" s="48" t="str">
        <f aca="false">COST!B478</f>
        <v>KVMC</v>
      </c>
      <c r="C478" s="48" t="str">
        <f aca="false">COST!D478</f>
        <v>Community Health Needs Assessment</v>
      </c>
      <c r="D478" s="62" t="n">
        <f aca="false">COST!M478</f>
        <v>46173</v>
      </c>
      <c r="E478" s="48" t="str">
        <f aca="false">COST!P478</f>
        <v>Data Analyst</v>
      </c>
      <c r="F478" s="63" t="n">
        <f aca="false">COST!R478</f>
        <v>23</v>
      </c>
      <c r="G478" s="48" t="str">
        <f aca="false">STACK!M478</f>
        <v/>
      </c>
      <c r="H478" s="1" t="str">
        <f aca="false">C478&amp;"|"&amp;IF(ISNUMBER(D478),TEXT(D478,"yyyy-mm-dd"),"no date")&amp;"|"&amp;E478&amp;"|"&amp;IF(ISNUMBER(F478),TEXT(F478,"0.00"),"blank")</f>
        <v>Community Health Needs Assessment|2026-05-31|Data Analyst|23.00</v>
      </c>
      <c r="I478" s="1" t="n">
        <f aca="false">COUNTIF($H$5:$H$1624,H478)</f>
        <v>1</v>
      </c>
      <c r="J478" s="1" t="n">
        <f aca="false">COUNTIF($H$5:H478,H478)</f>
        <v>1</v>
      </c>
      <c r="K478" s="1" t="n">
        <f aca="false">COUNTIFS($H$5:$H$1624,H478,$B$5:$B$1624,"&lt;&gt;"&amp;B478)</f>
        <v>0</v>
      </c>
      <c r="L478" s="1" t="str">
        <f aca="false">IF(I478&gt;1,IF(K478&gt;0,"Cross-hospital match","Same-hospital match"),"")</f>
        <v/>
      </c>
      <c r="M478" s="52"/>
      <c r="N478" s="52"/>
      <c r="O478" s="1" t="n">
        <f aca="false">IF(M478="Exclude (duplicate)",0,1)</f>
        <v>1</v>
      </c>
      <c r="P478" s="1" t="str">
        <f aca="false">IF(AND(L478&lt;&gt;"",M478=""),"Needs decision","")</f>
        <v/>
      </c>
    </row>
    <row r="479" customFormat="false" ht="15" hidden="false" customHeight="false" outlineLevel="0" collapsed="false">
      <c r="A479" s="48" t="str">
        <f aca="false">COST!A479</f>
        <v>KVMC-0475</v>
      </c>
      <c r="B479" s="48" t="str">
        <f aca="false">COST!B479</f>
        <v>KVMC</v>
      </c>
      <c r="C479" s="48" t="str">
        <f aca="false">COST!D479</f>
        <v>Community Benefit Program Administration</v>
      </c>
      <c r="D479" s="62" t="n">
        <f aca="false">COST!M479</f>
        <v>46173</v>
      </c>
      <c r="E479" s="48" t="str">
        <f aca="false">COST!P479</f>
        <v>Administrative Assistant</v>
      </c>
      <c r="F479" s="63" t="n">
        <f aca="false">COST!R479</f>
        <v>71.75</v>
      </c>
      <c r="G479" s="48" t="str">
        <f aca="false">STACK!M479</f>
        <v/>
      </c>
      <c r="H479" s="1" t="str">
        <f aca="false">C479&amp;"|"&amp;IF(ISNUMBER(D479),TEXT(D479,"yyyy-mm-dd"),"no date")&amp;"|"&amp;E479&amp;"|"&amp;IF(ISNUMBER(F479),TEXT(F479,"0.00"),"blank")</f>
        <v>Community Benefit Program Administration|2026-05-31|Administrative Assistant|71.75</v>
      </c>
      <c r="I479" s="1" t="n">
        <f aca="false">COUNTIF($H$5:$H$1624,H479)</f>
        <v>1</v>
      </c>
      <c r="J479" s="1" t="n">
        <f aca="false">COUNTIF($H$5:H479,H479)</f>
        <v>1</v>
      </c>
      <c r="K479" s="1" t="n">
        <f aca="false">COUNTIFS($H$5:$H$1624,H479,$B$5:$B$1624,"&lt;&gt;"&amp;B479)</f>
        <v>0</v>
      </c>
      <c r="L479" s="1" t="str">
        <f aca="false">IF(I479&gt;1,IF(K479&gt;0,"Cross-hospital match","Same-hospital match"),"")</f>
        <v/>
      </c>
      <c r="M479" s="52"/>
      <c r="N479" s="52"/>
      <c r="O479" s="1" t="n">
        <f aca="false">IF(M479="Exclude (duplicate)",0,1)</f>
        <v>1</v>
      </c>
      <c r="P479" s="1" t="str">
        <f aca="false">IF(AND(L479&lt;&gt;"",M479=""),"Needs decision","")</f>
        <v/>
      </c>
    </row>
    <row r="480" customFormat="false" ht="15" hidden="false" customHeight="false" outlineLevel="0" collapsed="false">
      <c r="A480" s="48" t="str">
        <f aca="false">COST!A480</f>
        <v>KVMC-0476</v>
      </c>
      <c r="B480" s="48" t="str">
        <f aca="false">COST!B480</f>
        <v>KVMC</v>
      </c>
      <c r="C480" s="48" t="str">
        <f aca="false">COST!D480</f>
        <v>Community Benefit Program Administration</v>
      </c>
      <c r="D480" s="62" t="n">
        <f aca="false">COST!M480</f>
        <v>46173</v>
      </c>
      <c r="E480" s="48" t="str">
        <f aca="false">COST!P480</f>
        <v>Community Benefit Manager</v>
      </c>
      <c r="F480" s="63" t="n">
        <f aca="false">COST!R480</f>
        <v>95</v>
      </c>
      <c r="G480" s="48" t="str">
        <f aca="false">STACK!M480</f>
        <v/>
      </c>
      <c r="H480" s="1" t="str">
        <f aca="false">C480&amp;"|"&amp;IF(ISNUMBER(D480),TEXT(D480,"yyyy-mm-dd"),"no date")&amp;"|"&amp;E480&amp;"|"&amp;IF(ISNUMBER(F480),TEXT(F480,"0.00"),"blank")</f>
        <v>Community Benefit Program Administration|2026-05-31|Community Benefit Manager|95.00</v>
      </c>
      <c r="I480" s="1" t="n">
        <f aca="false">COUNTIF($H$5:$H$1624,H480)</f>
        <v>1</v>
      </c>
      <c r="J480" s="1" t="n">
        <f aca="false">COUNTIF($H$5:H480,H480)</f>
        <v>1</v>
      </c>
      <c r="K480" s="1" t="n">
        <f aca="false">COUNTIFS($H$5:$H$1624,H480,$B$5:$B$1624,"&lt;&gt;"&amp;B480)</f>
        <v>0</v>
      </c>
      <c r="L480" s="1" t="str">
        <f aca="false">IF(I480&gt;1,IF(K480&gt;0,"Cross-hospital match","Same-hospital match"),"")</f>
        <v/>
      </c>
      <c r="M480" s="52"/>
      <c r="N480" s="52"/>
      <c r="O480" s="1" t="n">
        <f aca="false">IF(M480="Exclude (duplicate)",0,1)</f>
        <v>1</v>
      </c>
      <c r="P480" s="1" t="str">
        <f aca="false">IF(AND(L480&lt;&gt;"",M480=""),"Needs decision","")</f>
        <v/>
      </c>
    </row>
    <row r="481" customFormat="false" ht="15" hidden="false" customHeight="false" outlineLevel="0" collapsed="false">
      <c r="A481" s="48" t="str">
        <f aca="false">COST!A481</f>
        <v>KVMC-0477</v>
      </c>
      <c r="B481" s="48" t="str">
        <f aca="false">COST!B481</f>
        <v>KVMC</v>
      </c>
      <c r="C481" s="48" t="str">
        <f aca="false">COST!D481</f>
        <v>Interpreter Services for Community Clinics</v>
      </c>
      <c r="D481" s="62" t="n">
        <f aca="false">COST!M481</f>
        <v>46173</v>
      </c>
      <c r="E481" s="48" t="str">
        <f aca="false">COST!P481</f>
        <v>Interpreter</v>
      </c>
      <c r="F481" s="63" t="n">
        <f aca="false">COST!R481</f>
        <v>59.75</v>
      </c>
      <c r="G481" s="48" t="str">
        <f aca="false">STACK!M481</f>
        <v/>
      </c>
      <c r="H481" s="1" t="str">
        <f aca="false">C481&amp;"|"&amp;IF(ISNUMBER(D481),TEXT(D481,"yyyy-mm-dd"),"no date")&amp;"|"&amp;E481&amp;"|"&amp;IF(ISNUMBER(F481),TEXT(F481,"0.00"),"blank")</f>
        <v>Interpreter Services for Community Clinics|2026-05-31|Interpreter|59.75</v>
      </c>
      <c r="I481" s="1" t="n">
        <f aca="false">COUNTIF($H$5:$H$1624,H481)</f>
        <v>1</v>
      </c>
      <c r="J481" s="1" t="n">
        <f aca="false">COUNTIF($H$5:H481,H481)</f>
        <v>1</v>
      </c>
      <c r="K481" s="1" t="n">
        <f aca="false">COUNTIFS($H$5:$H$1624,H481,$B$5:$B$1624,"&lt;&gt;"&amp;B481)</f>
        <v>0</v>
      </c>
      <c r="L481" s="1" t="str">
        <f aca="false">IF(I481&gt;1,IF(K481&gt;0,"Cross-hospital match","Same-hospital match"),"")</f>
        <v/>
      </c>
      <c r="M481" s="52"/>
      <c r="N481" s="52"/>
      <c r="O481" s="1" t="n">
        <f aca="false">IF(M481="Exclude (duplicate)",0,1)</f>
        <v>1</v>
      </c>
      <c r="P481" s="1" t="str">
        <f aca="false">IF(AND(L481&lt;&gt;"",M481=""),"Needs decision","")</f>
        <v/>
      </c>
    </row>
    <row r="482" customFormat="false" ht="15" hidden="false" customHeight="false" outlineLevel="0" collapsed="false">
      <c r="A482" s="48" t="str">
        <f aca="false">COST!A482</f>
        <v>KVMC-0478</v>
      </c>
      <c r="B482" s="48" t="str">
        <f aca="false">COST!B482</f>
        <v>KVMC</v>
      </c>
      <c r="C482" s="48" t="str">
        <f aca="false">COST!D482</f>
        <v>Nursing Student Clinical Rotations</v>
      </c>
      <c r="D482" s="62" t="n">
        <f aca="false">COST!M482</f>
        <v>46173</v>
      </c>
      <c r="E482" s="48" t="str">
        <f aca="false">COST!P482</f>
        <v>Clinical Nurse Educator</v>
      </c>
      <c r="F482" s="63" t="n">
        <f aca="false">COST!R482</f>
        <v>166.5</v>
      </c>
      <c r="G482" s="48" t="str">
        <f aca="false">STACK!M482</f>
        <v/>
      </c>
      <c r="H482" s="1" t="str">
        <f aca="false">C482&amp;"|"&amp;IF(ISNUMBER(D482),TEXT(D482,"yyyy-mm-dd"),"no date")&amp;"|"&amp;E482&amp;"|"&amp;IF(ISNUMBER(F482),TEXT(F482,"0.00"),"blank")</f>
        <v>Nursing Student Clinical Rotations|2026-05-31|Clinical Nurse Educator|166.50</v>
      </c>
      <c r="I482" s="1" t="n">
        <f aca="false">COUNTIF($H$5:$H$1624,H482)</f>
        <v>1</v>
      </c>
      <c r="J482" s="1" t="n">
        <f aca="false">COUNTIF($H$5:H482,H482)</f>
        <v>1</v>
      </c>
      <c r="K482" s="1" t="n">
        <f aca="false">COUNTIFS($H$5:$H$1624,H482,$B$5:$B$1624,"&lt;&gt;"&amp;B482)</f>
        <v>0</v>
      </c>
      <c r="L482" s="1" t="str">
        <f aca="false">IF(I482&gt;1,IF(K482&gt;0,"Cross-hospital match","Same-hospital match"),"")</f>
        <v/>
      </c>
      <c r="M482" s="52"/>
      <c r="N482" s="52"/>
      <c r="O482" s="1" t="n">
        <f aca="false">IF(M482="Exclude (duplicate)",0,1)</f>
        <v>1</v>
      </c>
      <c r="P482" s="1" t="str">
        <f aca="false">IF(AND(L482&lt;&gt;"",M482=""),"Needs decision","")</f>
        <v/>
      </c>
    </row>
    <row r="483" customFormat="false" ht="15" hidden="false" customHeight="false" outlineLevel="0" collapsed="false">
      <c r="A483" s="48" t="str">
        <f aca="false">COST!A483</f>
        <v>KVMC-0479</v>
      </c>
      <c r="B483" s="48" t="str">
        <f aca="false">COST!B483</f>
        <v>KVMC</v>
      </c>
      <c r="C483" s="48" t="str">
        <f aca="false">COST!D483</f>
        <v>Nursing Student Clinical Rotations</v>
      </c>
      <c r="D483" s="62" t="n">
        <f aca="false">COST!M483</f>
        <v>46173</v>
      </c>
      <c r="E483" s="48" t="str">
        <f aca="false">COST!P483</f>
        <v>Registered Nurse</v>
      </c>
      <c r="F483" s="63" t="n">
        <f aca="false">COST!R483</f>
        <v>256.25</v>
      </c>
      <c r="G483" s="48" t="str">
        <f aca="false">STACK!M483</f>
        <v/>
      </c>
      <c r="H483" s="1" t="str">
        <f aca="false">C483&amp;"|"&amp;IF(ISNUMBER(D483),TEXT(D483,"yyyy-mm-dd"),"no date")&amp;"|"&amp;E483&amp;"|"&amp;IF(ISNUMBER(F483),TEXT(F483,"0.00"),"blank")</f>
        <v>Nursing Student Clinical Rotations|2026-05-31|Registered Nurse|256.25</v>
      </c>
      <c r="I483" s="1" t="n">
        <f aca="false">COUNTIF($H$5:$H$1624,H483)</f>
        <v>1</v>
      </c>
      <c r="J483" s="1" t="n">
        <f aca="false">COUNTIF($H$5:H483,H483)</f>
        <v>1</v>
      </c>
      <c r="K483" s="1" t="n">
        <f aca="false">COUNTIFS($H$5:$H$1624,H483,$B$5:$B$1624,"&lt;&gt;"&amp;B483)</f>
        <v>0</v>
      </c>
      <c r="L483" s="1" t="str">
        <f aca="false">IF(I483&gt;1,IF(K483&gt;0,"Cross-hospital match","Same-hospital match"),"")</f>
        <v/>
      </c>
      <c r="M483" s="52"/>
      <c r="N483" s="52"/>
      <c r="O483" s="1" t="n">
        <f aca="false">IF(M483="Exclude (duplicate)",0,1)</f>
        <v>1</v>
      </c>
      <c r="P483" s="1" t="str">
        <f aca="false">IF(AND(L483&lt;&gt;"",M483=""),"Needs decision","")</f>
        <v/>
      </c>
    </row>
    <row r="484" customFormat="false" ht="15" hidden="false" customHeight="false" outlineLevel="0" collapsed="false">
      <c r="A484" s="48" t="str">
        <f aca="false">COST!A484</f>
        <v>KVMC-0480</v>
      </c>
      <c r="B484" s="48" t="str">
        <f aca="false">COST!B484</f>
        <v>KVMC</v>
      </c>
      <c r="C484" s="48" t="str">
        <f aca="false">COST!D484</f>
        <v>Family Medicine Residency Program</v>
      </c>
      <c r="D484" s="62" t="n">
        <f aca="false">COST!M484</f>
        <v>46173</v>
      </c>
      <c r="E484" s="48" t="str">
        <f aca="false">COST!P484</f>
        <v>Physician</v>
      </c>
      <c r="F484" s="63" t="n">
        <f aca="false">COST!R484</f>
        <v>392.25</v>
      </c>
      <c r="G484" s="48" t="str">
        <f aca="false">STACK!M484</f>
        <v/>
      </c>
      <c r="H484" s="1" t="str">
        <f aca="false">C484&amp;"|"&amp;IF(ISNUMBER(D484),TEXT(D484,"yyyy-mm-dd"),"no date")&amp;"|"&amp;E484&amp;"|"&amp;IF(ISNUMBER(F484),TEXT(F484,"0.00"),"blank")</f>
        <v>Family Medicine Residency Program|2026-05-31|Physician|392.25</v>
      </c>
      <c r="I484" s="1" t="n">
        <f aca="false">COUNTIF($H$5:$H$1624,H484)</f>
        <v>1</v>
      </c>
      <c r="J484" s="1" t="n">
        <f aca="false">COUNTIF($H$5:H484,H484)</f>
        <v>1</v>
      </c>
      <c r="K484" s="1" t="n">
        <f aca="false">COUNTIFS($H$5:$H$1624,H484,$B$5:$B$1624,"&lt;&gt;"&amp;B484)</f>
        <v>0</v>
      </c>
      <c r="L484" s="1" t="str">
        <f aca="false">IF(I484&gt;1,IF(K484&gt;0,"Cross-hospital match","Same-hospital match"),"")</f>
        <v/>
      </c>
      <c r="M484" s="52"/>
      <c r="N484" s="52"/>
      <c r="O484" s="1" t="n">
        <f aca="false">IF(M484="Exclude (duplicate)",0,1)</f>
        <v>1</v>
      </c>
      <c r="P484" s="1" t="str">
        <f aca="false">IF(AND(L484&lt;&gt;"",M484=""),"Needs decision","")</f>
        <v/>
      </c>
    </row>
    <row r="485" customFormat="false" ht="15" hidden="false" customHeight="false" outlineLevel="0" collapsed="false">
      <c r="A485" s="48" t="str">
        <f aca="false">COST!A485</f>
        <v>KVMC-0481</v>
      </c>
      <c r="B485" s="48" t="str">
        <f aca="false">COST!B485</f>
        <v>KVMC</v>
      </c>
      <c r="C485" s="48" t="str">
        <f aca="false">COST!D485</f>
        <v>Family Medicine Residency Program</v>
      </c>
      <c r="D485" s="62" t="n">
        <f aca="false">COST!M485</f>
        <v>46173</v>
      </c>
      <c r="E485" s="48" t="str">
        <f aca="false">COST!P485</f>
        <v>Program Coordinator</v>
      </c>
      <c r="F485" s="63" t="n">
        <f aca="false">COST!R485</f>
        <v>165</v>
      </c>
      <c r="G485" s="48" t="str">
        <f aca="false">STACK!M485</f>
        <v/>
      </c>
      <c r="H485" s="1" t="str">
        <f aca="false">C485&amp;"|"&amp;IF(ISNUMBER(D485),TEXT(D485,"yyyy-mm-dd"),"no date")&amp;"|"&amp;E485&amp;"|"&amp;IF(ISNUMBER(F485),TEXT(F485,"0.00"),"blank")</f>
        <v>Family Medicine Residency Program|2026-05-31|Program Coordinator|165.00</v>
      </c>
      <c r="I485" s="1" t="n">
        <f aca="false">COUNTIF($H$5:$H$1624,H485)</f>
        <v>1</v>
      </c>
      <c r="J485" s="1" t="n">
        <f aca="false">COUNTIF($H$5:H485,H485)</f>
        <v>1</v>
      </c>
      <c r="K485" s="1" t="n">
        <f aca="false">COUNTIFS($H$5:$H$1624,H485,$B$5:$B$1624,"&lt;&gt;"&amp;B485)</f>
        <v>0</v>
      </c>
      <c r="L485" s="1" t="str">
        <f aca="false">IF(I485&gt;1,IF(K485&gt;0,"Cross-hospital match","Same-hospital match"),"")</f>
        <v/>
      </c>
      <c r="M485" s="52"/>
      <c r="N485" s="52"/>
      <c r="O485" s="1" t="n">
        <f aca="false">IF(M485="Exclude (duplicate)",0,1)</f>
        <v>1</v>
      </c>
      <c r="P485" s="1" t="str">
        <f aca="false">IF(AND(L485&lt;&gt;"",M485=""),"Needs decision","")</f>
        <v/>
      </c>
    </row>
    <row r="486" customFormat="false" ht="15" hidden="false" customHeight="false" outlineLevel="0" collapsed="false">
      <c r="A486" s="48" t="str">
        <f aca="false">COST!A486</f>
        <v>KVMC-0482</v>
      </c>
      <c r="B486" s="48" t="str">
        <f aca="false">COST!B486</f>
        <v>KVMC</v>
      </c>
      <c r="C486" s="48" t="str">
        <f aca="false">COST!D486</f>
        <v>Family Medicine Residency Program</v>
      </c>
      <c r="D486" s="62" t="n">
        <f aca="false">COST!M486</f>
        <v>46173</v>
      </c>
      <c r="E486" s="48" t="str">
        <f aca="false">COST!P486</f>
        <v>Resident Physician</v>
      </c>
      <c r="F486" s="63" t="n">
        <f aca="false">COST!R486</f>
        <v>4135.75</v>
      </c>
      <c r="G486" s="48" t="str">
        <f aca="false">STACK!M486</f>
        <v/>
      </c>
      <c r="H486" s="1" t="str">
        <f aca="false">C486&amp;"|"&amp;IF(ISNUMBER(D486),TEXT(D486,"yyyy-mm-dd"),"no date")&amp;"|"&amp;E486&amp;"|"&amp;IF(ISNUMBER(F486),TEXT(F486,"0.00"),"blank")</f>
        <v>Family Medicine Residency Program|2026-05-31|Resident Physician|4135.75</v>
      </c>
      <c r="I486" s="1" t="n">
        <f aca="false">COUNTIF($H$5:$H$1624,H486)</f>
        <v>1</v>
      </c>
      <c r="J486" s="1" t="n">
        <f aca="false">COUNTIF($H$5:H486,H486)</f>
        <v>1</v>
      </c>
      <c r="K486" s="1" t="n">
        <f aca="false">COUNTIFS($H$5:$H$1624,H486,$B$5:$B$1624,"&lt;&gt;"&amp;B486)</f>
        <v>0</v>
      </c>
      <c r="L486" s="1" t="str">
        <f aca="false">IF(I486&gt;1,IF(K486&gt;0,"Cross-hospital match","Same-hospital match"),"")</f>
        <v/>
      </c>
      <c r="M486" s="52"/>
      <c r="N486" s="52"/>
      <c r="O486" s="1" t="n">
        <f aca="false">IF(M486="Exclude (duplicate)",0,1)</f>
        <v>1</v>
      </c>
      <c r="P486" s="1" t="str">
        <f aca="false">IF(AND(L486&lt;&gt;"",M486=""),"Needs decision","")</f>
        <v/>
      </c>
    </row>
    <row r="487" customFormat="false" ht="15" hidden="false" customHeight="false" outlineLevel="0" collapsed="false">
      <c r="A487" s="48" t="str">
        <f aca="false">COST!A487</f>
        <v>KVMC-0483</v>
      </c>
      <c r="B487" s="48" t="str">
        <f aca="false">COST!B487</f>
        <v>KVMC</v>
      </c>
      <c r="C487" s="48" t="str">
        <f aca="false">COST!D487</f>
        <v>Pharmacy Student Rotations</v>
      </c>
      <c r="D487" s="62" t="n">
        <f aca="false">COST!M487</f>
        <v>46173</v>
      </c>
      <c r="E487" s="48" t="str">
        <f aca="false">COST!P487</f>
        <v>Pharmacist</v>
      </c>
      <c r="F487" s="63" t="n">
        <f aca="false">COST!R487</f>
        <v>56.5</v>
      </c>
      <c r="G487" s="48" t="str">
        <f aca="false">STACK!M487</f>
        <v/>
      </c>
      <c r="H487" s="1" t="str">
        <f aca="false">C487&amp;"|"&amp;IF(ISNUMBER(D487),TEXT(D487,"yyyy-mm-dd"),"no date")&amp;"|"&amp;E487&amp;"|"&amp;IF(ISNUMBER(F487),TEXT(F487,"0.00"),"blank")</f>
        <v>Pharmacy Student Rotations|2026-05-31|Pharmacist|56.50</v>
      </c>
      <c r="I487" s="1" t="n">
        <f aca="false">COUNTIF($H$5:$H$1624,H487)</f>
        <v>1</v>
      </c>
      <c r="J487" s="1" t="n">
        <f aca="false">COUNTIF($H$5:H487,H487)</f>
        <v>1</v>
      </c>
      <c r="K487" s="1" t="n">
        <f aca="false">COUNTIFS($H$5:$H$1624,H487,$B$5:$B$1624,"&lt;&gt;"&amp;B487)</f>
        <v>0</v>
      </c>
      <c r="L487" s="1" t="str">
        <f aca="false">IF(I487&gt;1,IF(K487&gt;0,"Cross-hospital match","Same-hospital match"),"")</f>
        <v/>
      </c>
      <c r="M487" s="52"/>
      <c r="N487" s="52"/>
      <c r="O487" s="1" t="n">
        <f aca="false">IF(M487="Exclude (duplicate)",0,1)</f>
        <v>1</v>
      </c>
      <c r="P487" s="1" t="str">
        <f aca="false">IF(AND(L487&lt;&gt;"",M487=""),"Needs decision","")</f>
        <v/>
      </c>
    </row>
    <row r="488" customFormat="false" ht="15" hidden="false" customHeight="false" outlineLevel="0" collapsed="false">
      <c r="A488" s="48" t="str">
        <f aca="false">COST!A488</f>
        <v>KVMC-0484</v>
      </c>
      <c r="B488" s="48" t="str">
        <f aca="false">COST!B488</f>
        <v>KVMC</v>
      </c>
      <c r="C488" s="48" t="str">
        <f aca="false">COST!D488</f>
        <v>Community Hypertension Control Study</v>
      </c>
      <c r="D488" s="62" t="n">
        <f aca="false">COST!M488</f>
        <v>46173</v>
      </c>
      <c r="E488" s="48" t="str">
        <f aca="false">COST!P488</f>
        <v>Data Analyst</v>
      </c>
      <c r="F488" s="63" t="n">
        <f aca="false">COST!R488</f>
        <v>53.75</v>
      </c>
      <c r="G488" s="48" t="str">
        <f aca="false">STACK!M488</f>
        <v/>
      </c>
      <c r="H488" s="1" t="str">
        <f aca="false">C488&amp;"|"&amp;IF(ISNUMBER(D488),TEXT(D488,"yyyy-mm-dd"),"no date")&amp;"|"&amp;E488&amp;"|"&amp;IF(ISNUMBER(F488),TEXT(F488,"0.00"),"blank")</f>
        <v>Community Hypertension Control Study|2026-05-31|Data Analyst|53.75</v>
      </c>
      <c r="I488" s="1" t="n">
        <f aca="false">COUNTIF($H$5:$H$1624,H488)</f>
        <v>1</v>
      </c>
      <c r="J488" s="1" t="n">
        <f aca="false">COUNTIF($H$5:H488,H488)</f>
        <v>1</v>
      </c>
      <c r="K488" s="1" t="n">
        <f aca="false">COUNTIFS($H$5:$H$1624,H488,$B$5:$B$1624,"&lt;&gt;"&amp;B488)</f>
        <v>0</v>
      </c>
      <c r="L488" s="1" t="str">
        <f aca="false">IF(I488&gt;1,IF(K488&gt;0,"Cross-hospital match","Same-hospital match"),"")</f>
        <v/>
      </c>
      <c r="M488" s="52"/>
      <c r="N488" s="52"/>
      <c r="O488" s="1" t="n">
        <f aca="false">IF(M488="Exclude (duplicate)",0,1)</f>
        <v>1</v>
      </c>
      <c r="P488" s="1" t="str">
        <f aca="false">IF(AND(L488&lt;&gt;"",M488=""),"Needs decision","")</f>
        <v/>
      </c>
    </row>
    <row r="489" customFormat="false" ht="15" hidden="false" customHeight="false" outlineLevel="0" collapsed="false">
      <c r="A489" s="48" t="str">
        <f aca="false">COST!A489</f>
        <v>KVMC-0485</v>
      </c>
      <c r="B489" s="48" t="str">
        <f aca="false">COST!B489</f>
        <v>KVMC</v>
      </c>
      <c r="C489" s="48" t="str">
        <f aca="false">COST!D489</f>
        <v>Community Hypertension Control Study</v>
      </c>
      <c r="D489" s="62" t="n">
        <f aca="false">COST!M489</f>
        <v>46173</v>
      </c>
      <c r="E489" s="48" t="str">
        <f aca="false">COST!P489</f>
        <v>Physician</v>
      </c>
      <c r="F489" s="63" t="n">
        <f aca="false">COST!R489</f>
        <v>24.5</v>
      </c>
      <c r="G489" s="48" t="str">
        <f aca="false">STACK!M489</f>
        <v/>
      </c>
      <c r="H489" s="1" t="str">
        <f aca="false">C489&amp;"|"&amp;IF(ISNUMBER(D489),TEXT(D489,"yyyy-mm-dd"),"no date")&amp;"|"&amp;E489&amp;"|"&amp;IF(ISNUMBER(F489),TEXT(F489,"0.00"),"blank")</f>
        <v>Community Hypertension Control Study|2026-05-31|Physician|24.50</v>
      </c>
      <c r="I489" s="1" t="n">
        <f aca="false">COUNTIF($H$5:$H$1624,H489)</f>
        <v>1</v>
      </c>
      <c r="J489" s="1" t="n">
        <f aca="false">COUNTIF($H$5:H489,H489)</f>
        <v>1</v>
      </c>
      <c r="K489" s="1" t="n">
        <f aca="false">COUNTIFS($H$5:$H$1624,H489,$B$5:$B$1624,"&lt;&gt;"&amp;B489)</f>
        <v>0</v>
      </c>
      <c r="L489" s="1" t="str">
        <f aca="false">IF(I489&gt;1,IF(K489&gt;0,"Cross-hospital match","Same-hospital match"),"")</f>
        <v/>
      </c>
      <c r="M489" s="52"/>
      <c r="N489" s="52"/>
      <c r="O489" s="1" t="n">
        <f aca="false">IF(M489="Exclude (duplicate)",0,1)</f>
        <v>1</v>
      </c>
      <c r="P489" s="1" t="str">
        <f aca="false">IF(AND(L489&lt;&gt;"",M489=""),"Needs decision","")</f>
        <v/>
      </c>
    </row>
    <row r="490" customFormat="false" ht="15" hidden="false" customHeight="false" outlineLevel="0" collapsed="false">
      <c r="A490" s="48" t="str">
        <f aca="false">COST!A490</f>
        <v>KVMC-0486</v>
      </c>
      <c r="B490" s="48" t="str">
        <f aca="false">COST!B490</f>
        <v>KVMC</v>
      </c>
      <c r="C490" s="48" t="str">
        <f aca="false">COST!D490</f>
        <v>Community Hypertension Control Study</v>
      </c>
      <c r="D490" s="62" t="n">
        <f aca="false">COST!M490</f>
        <v>46173</v>
      </c>
      <c r="E490" s="48" t="str">
        <f aca="false">COST!P490</f>
        <v>Research Coordinator</v>
      </c>
      <c r="F490" s="63" t="n">
        <f aca="false">COST!R490</f>
        <v>153.5</v>
      </c>
      <c r="G490" s="48" t="str">
        <f aca="false">STACK!M490</f>
        <v/>
      </c>
      <c r="H490" s="1" t="str">
        <f aca="false">C490&amp;"|"&amp;IF(ISNUMBER(D490),TEXT(D490,"yyyy-mm-dd"),"no date")&amp;"|"&amp;E490&amp;"|"&amp;IF(ISNUMBER(F490),TEXT(F490,"0.00"),"blank")</f>
        <v>Community Hypertension Control Study|2026-05-31|Research Coordinator|153.50</v>
      </c>
      <c r="I490" s="1" t="n">
        <f aca="false">COUNTIF($H$5:$H$1624,H490)</f>
        <v>1</v>
      </c>
      <c r="J490" s="1" t="n">
        <f aca="false">COUNTIF($H$5:H490,H490)</f>
        <v>1</v>
      </c>
      <c r="K490" s="1" t="n">
        <f aca="false">COUNTIFS($H$5:$H$1624,H490,$B$5:$B$1624,"&lt;&gt;"&amp;B490)</f>
        <v>0</v>
      </c>
      <c r="L490" s="1" t="str">
        <f aca="false">IF(I490&gt;1,IF(K490&gt;0,"Cross-hospital match","Same-hospital match"),"")</f>
        <v/>
      </c>
      <c r="M490" s="52"/>
      <c r="N490" s="52"/>
      <c r="O490" s="1" t="n">
        <f aca="false">IF(M490="Exclude (duplicate)",0,1)</f>
        <v>1</v>
      </c>
      <c r="P490" s="1" t="str">
        <f aca="false">IF(AND(L490&lt;&gt;"",M490=""),"Needs decision","")</f>
        <v/>
      </c>
    </row>
    <row r="491" customFormat="false" ht="15" hidden="false" customHeight="false" outlineLevel="0" collapsed="false">
      <c r="A491" s="48" t="str">
        <f aca="false">COST!A491</f>
        <v>KVMC-0487</v>
      </c>
      <c r="B491" s="48" t="str">
        <f aca="false">COST!B491</f>
        <v>KVMC</v>
      </c>
      <c r="C491" s="48" t="str">
        <f aca="false">COST!D491</f>
        <v>Diabetes Prevention Classes</v>
      </c>
      <c r="D491" s="62" t="n">
        <f aca="false">COST!M491</f>
        <v>46176</v>
      </c>
      <c r="E491" s="48" t="str">
        <f aca="false">COST!P491</f>
        <v>Health Educator</v>
      </c>
      <c r="F491" s="63" t="n">
        <f aca="false">COST!R491</f>
        <v>2.5</v>
      </c>
      <c r="G491" s="48" t="str">
        <f aca="false">STACK!M491</f>
        <v/>
      </c>
      <c r="H491" s="1" t="str">
        <f aca="false">C491&amp;"|"&amp;IF(ISNUMBER(D491),TEXT(D491,"yyyy-mm-dd"),"no date")&amp;"|"&amp;E491&amp;"|"&amp;IF(ISNUMBER(F491),TEXT(F491,"0.00"),"blank")</f>
        <v>Diabetes Prevention Classes|2026-06-03|Health Educator|2.50</v>
      </c>
      <c r="I491" s="1" t="n">
        <f aca="false">COUNTIF($H$5:$H$1624,H491)</f>
        <v>1</v>
      </c>
      <c r="J491" s="1" t="n">
        <f aca="false">COUNTIF($H$5:H491,H491)</f>
        <v>1</v>
      </c>
      <c r="K491" s="1" t="n">
        <f aca="false">COUNTIFS($H$5:$H$1624,H491,$B$5:$B$1624,"&lt;&gt;"&amp;B491)</f>
        <v>0</v>
      </c>
      <c r="L491" s="1" t="str">
        <f aca="false">IF(I491&gt;1,IF(K491&gt;0,"Cross-hospital match","Same-hospital match"),"")</f>
        <v/>
      </c>
      <c r="M491" s="52"/>
      <c r="N491" s="52"/>
      <c r="O491" s="1" t="n">
        <f aca="false">IF(M491="Exclude (duplicate)",0,1)</f>
        <v>1</v>
      </c>
      <c r="P491" s="1" t="str">
        <f aca="false">IF(AND(L491&lt;&gt;"",M491=""),"Needs decision","")</f>
        <v/>
      </c>
    </row>
    <row r="492" customFormat="false" ht="15" hidden="false" customHeight="false" outlineLevel="0" collapsed="false">
      <c r="A492" s="48" t="str">
        <f aca="false">COST!A492</f>
        <v>KVMC-0488</v>
      </c>
      <c r="B492" s="48" t="str">
        <f aca="false">COST!B492</f>
        <v>KVMC</v>
      </c>
      <c r="C492" s="48" t="str">
        <f aca="false">COST!D492</f>
        <v>Diabetes Prevention Classes</v>
      </c>
      <c r="D492" s="62" t="n">
        <f aca="false">COST!M492</f>
        <v>46176</v>
      </c>
      <c r="E492" s="48" t="str">
        <f aca="false">COST!P492</f>
        <v>Registered Dietitian</v>
      </c>
      <c r="F492" s="63" t="n">
        <f aca="false">COST!R492</f>
        <v>1.5</v>
      </c>
      <c r="G492" s="48" t="str">
        <f aca="false">STACK!M492</f>
        <v/>
      </c>
      <c r="H492" s="1" t="str">
        <f aca="false">C492&amp;"|"&amp;IF(ISNUMBER(D492),TEXT(D492,"yyyy-mm-dd"),"no date")&amp;"|"&amp;E492&amp;"|"&amp;IF(ISNUMBER(F492),TEXT(F492,"0.00"),"blank")</f>
        <v>Diabetes Prevention Classes|2026-06-03|Registered Dietitian|1.50</v>
      </c>
      <c r="I492" s="1" t="n">
        <f aca="false">COUNTIF($H$5:$H$1624,H492)</f>
        <v>1</v>
      </c>
      <c r="J492" s="1" t="n">
        <f aca="false">COUNTIF($H$5:H492,H492)</f>
        <v>1</v>
      </c>
      <c r="K492" s="1" t="n">
        <f aca="false">COUNTIFS($H$5:$H$1624,H492,$B$5:$B$1624,"&lt;&gt;"&amp;B492)</f>
        <v>0</v>
      </c>
      <c r="L492" s="1" t="str">
        <f aca="false">IF(I492&gt;1,IF(K492&gt;0,"Cross-hospital match","Same-hospital match"),"")</f>
        <v/>
      </c>
      <c r="M492" s="52"/>
      <c r="N492" s="52"/>
      <c r="O492" s="1" t="n">
        <f aca="false">IF(M492="Exclude (duplicate)",0,1)</f>
        <v>1</v>
      </c>
      <c r="P492" s="1" t="str">
        <f aca="false">IF(AND(L492&lt;&gt;"",M492=""),"Needs decision","")</f>
        <v/>
      </c>
    </row>
    <row r="493" customFormat="false" ht="15" hidden="false" customHeight="false" outlineLevel="0" collapsed="false">
      <c r="A493" s="48" t="str">
        <f aca="false">COST!A493</f>
        <v>KVMC-0489</v>
      </c>
      <c r="B493" s="48" t="str">
        <f aca="false">COST!B493</f>
        <v>KVMC</v>
      </c>
      <c r="C493" s="48" t="str">
        <f aca="false">COST!D493</f>
        <v>Community Blood Pressure Checks</v>
      </c>
      <c r="D493" s="62" t="n">
        <f aca="false">COST!M493</f>
        <v>46176</v>
      </c>
      <c r="E493" s="48" t="str">
        <f aca="false">COST!P493</f>
        <v>Registered Nurse</v>
      </c>
      <c r="F493" s="63" t="n">
        <f aca="false">COST!R493</f>
        <v>3.5</v>
      </c>
      <c r="G493" s="48" t="str">
        <f aca="false">STACK!M493</f>
        <v/>
      </c>
      <c r="H493" s="1" t="str">
        <f aca="false">C493&amp;"|"&amp;IF(ISNUMBER(D493),TEXT(D493,"yyyy-mm-dd"),"no date")&amp;"|"&amp;E493&amp;"|"&amp;IF(ISNUMBER(F493),TEXT(F493,"0.00"),"blank")</f>
        <v>Community Blood Pressure Checks|2026-06-03|Registered Nurse|3.50</v>
      </c>
      <c r="I493" s="1" t="n">
        <f aca="false">COUNTIF($H$5:$H$1624,H493)</f>
        <v>1</v>
      </c>
      <c r="J493" s="1" t="n">
        <f aca="false">COUNTIF($H$5:H493,H493)</f>
        <v>1</v>
      </c>
      <c r="K493" s="1" t="n">
        <f aca="false">COUNTIFS($H$5:$H$1624,H493,$B$5:$B$1624,"&lt;&gt;"&amp;B493)</f>
        <v>0</v>
      </c>
      <c r="L493" s="1" t="str">
        <f aca="false">IF(I493&gt;1,IF(K493&gt;0,"Cross-hospital match","Same-hospital match"),"")</f>
        <v/>
      </c>
      <c r="M493" s="52"/>
      <c r="N493" s="52"/>
      <c r="O493" s="1" t="n">
        <f aca="false">IF(M493="Exclude (duplicate)",0,1)</f>
        <v>1</v>
      </c>
      <c r="P493" s="1" t="str">
        <f aca="false">IF(AND(L493&lt;&gt;"",M493=""),"Needs decision","")</f>
        <v/>
      </c>
    </row>
    <row r="494" customFormat="false" ht="15" hidden="false" customHeight="false" outlineLevel="0" collapsed="false">
      <c r="A494" s="48" t="str">
        <f aca="false">COST!A494</f>
        <v>KVMC-0490</v>
      </c>
      <c r="B494" s="48" t="str">
        <f aca="false">COST!B494</f>
        <v>KVMC</v>
      </c>
      <c r="C494" s="48" t="str">
        <f aca="false">COST!D494</f>
        <v>Tobacco Cessation Classes</v>
      </c>
      <c r="D494" s="62" t="n">
        <f aca="false">COST!M494</f>
        <v>46177</v>
      </c>
      <c r="E494" s="48" t="str">
        <f aca="false">COST!P494</f>
        <v>Licensed Therapist</v>
      </c>
      <c r="F494" s="63" t="n">
        <f aca="false">COST!R494</f>
        <v>2</v>
      </c>
      <c r="G494" s="48" t="str">
        <f aca="false">STACK!M494</f>
        <v/>
      </c>
      <c r="H494" s="1" t="str">
        <f aca="false">C494&amp;"|"&amp;IF(ISNUMBER(D494),TEXT(D494,"yyyy-mm-dd"),"no date")&amp;"|"&amp;E494&amp;"|"&amp;IF(ISNUMBER(F494),TEXT(F494,"0.00"),"blank")</f>
        <v>Tobacco Cessation Classes|2026-06-04|Licensed Therapist|2.00</v>
      </c>
      <c r="I494" s="1" t="n">
        <f aca="false">COUNTIF($H$5:$H$1624,H494)</f>
        <v>1</v>
      </c>
      <c r="J494" s="1" t="n">
        <f aca="false">COUNTIF($H$5:H494,H494)</f>
        <v>1</v>
      </c>
      <c r="K494" s="1" t="n">
        <f aca="false">COUNTIFS($H$5:$H$1624,H494,$B$5:$B$1624,"&lt;&gt;"&amp;B494)</f>
        <v>0</v>
      </c>
      <c r="L494" s="1" t="str">
        <f aca="false">IF(I494&gt;1,IF(K494&gt;0,"Cross-hospital match","Same-hospital match"),"")</f>
        <v/>
      </c>
      <c r="M494" s="52"/>
      <c r="N494" s="52"/>
      <c r="O494" s="1" t="n">
        <f aca="false">IF(M494="Exclude (duplicate)",0,1)</f>
        <v>1</v>
      </c>
      <c r="P494" s="1" t="str">
        <f aca="false">IF(AND(L494&lt;&gt;"",M494=""),"Needs decision","")</f>
        <v/>
      </c>
    </row>
    <row r="495" customFormat="false" ht="15" hidden="false" customHeight="false" outlineLevel="0" collapsed="false">
      <c r="A495" s="48" t="str">
        <f aca="false">COST!A495</f>
        <v>KVMC-0491</v>
      </c>
      <c r="B495" s="48" t="str">
        <f aca="false">COST!B495</f>
        <v>KVMC</v>
      </c>
      <c r="C495" s="48" t="str">
        <f aca="false">COST!D495</f>
        <v>Diabetes Prevention Classes</v>
      </c>
      <c r="D495" s="62" t="n">
        <f aca="false">COST!M495</f>
        <v>46179</v>
      </c>
      <c r="E495" s="48" t="str">
        <f aca="false">COST!P495</f>
        <v>Health Educator</v>
      </c>
      <c r="F495" s="63" t="n">
        <f aca="false">COST!R495</f>
        <v>3</v>
      </c>
      <c r="G495" s="48" t="str">
        <f aca="false">STACK!M495</f>
        <v/>
      </c>
      <c r="H495" s="1" t="str">
        <f aca="false">C495&amp;"|"&amp;IF(ISNUMBER(D495),TEXT(D495,"yyyy-mm-dd"),"no date")&amp;"|"&amp;E495&amp;"|"&amp;IF(ISNUMBER(F495),TEXT(F495,"0.00"),"blank")</f>
        <v>Diabetes Prevention Classes|2026-06-06|Health Educator|3.00</v>
      </c>
      <c r="I495" s="1" t="n">
        <f aca="false">COUNTIF($H$5:$H$1624,H495)</f>
        <v>1</v>
      </c>
      <c r="J495" s="1" t="n">
        <f aca="false">COUNTIF($H$5:H495,H495)</f>
        <v>1</v>
      </c>
      <c r="K495" s="1" t="n">
        <f aca="false">COUNTIFS($H$5:$H$1624,H495,$B$5:$B$1624,"&lt;&gt;"&amp;B495)</f>
        <v>0</v>
      </c>
      <c r="L495" s="1" t="str">
        <f aca="false">IF(I495&gt;1,IF(K495&gt;0,"Cross-hospital match","Same-hospital match"),"")</f>
        <v/>
      </c>
      <c r="M495" s="52"/>
      <c r="N495" s="52"/>
      <c r="O495" s="1" t="n">
        <f aca="false">IF(M495="Exclude (duplicate)",0,1)</f>
        <v>1</v>
      </c>
      <c r="P495" s="1" t="str">
        <f aca="false">IF(AND(L495&lt;&gt;"",M495=""),"Needs decision","")</f>
        <v/>
      </c>
    </row>
    <row r="496" customFormat="false" ht="15" hidden="false" customHeight="false" outlineLevel="0" collapsed="false">
      <c r="A496" s="48" t="str">
        <f aca="false">COST!A496</f>
        <v>KVMC-0492</v>
      </c>
      <c r="B496" s="48" t="str">
        <f aca="false">COST!B496</f>
        <v>KVMC</v>
      </c>
      <c r="C496" s="48" t="str">
        <f aca="false">COST!D496</f>
        <v>Diabetes Prevention Classes</v>
      </c>
      <c r="D496" s="62" t="n">
        <f aca="false">COST!M496</f>
        <v>46179</v>
      </c>
      <c r="E496" s="48" t="str">
        <f aca="false">COST!P496</f>
        <v>Registered Dietitian</v>
      </c>
      <c r="F496" s="63" t="n">
        <f aca="false">COST!R496</f>
        <v>2</v>
      </c>
      <c r="G496" s="48" t="str">
        <f aca="false">STACK!M496</f>
        <v/>
      </c>
      <c r="H496" s="1" t="str">
        <f aca="false">C496&amp;"|"&amp;IF(ISNUMBER(D496),TEXT(D496,"yyyy-mm-dd"),"no date")&amp;"|"&amp;E496&amp;"|"&amp;IF(ISNUMBER(F496),TEXT(F496,"0.00"),"blank")</f>
        <v>Diabetes Prevention Classes|2026-06-06|Registered Dietitian|2.00</v>
      </c>
      <c r="I496" s="1" t="n">
        <f aca="false">COUNTIF($H$5:$H$1624,H496)</f>
        <v>1</v>
      </c>
      <c r="J496" s="1" t="n">
        <f aca="false">COUNTIF($H$5:H496,H496)</f>
        <v>1</v>
      </c>
      <c r="K496" s="1" t="n">
        <f aca="false">COUNTIFS($H$5:$H$1624,H496,$B$5:$B$1624,"&lt;&gt;"&amp;B496)</f>
        <v>0</v>
      </c>
      <c r="L496" s="1" t="str">
        <f aca="false">IF(I496&gt;1,IF(K496&gt;0,"Cross-hospital match","Same-hospital match"),"")</f>
        <v/>
      </c>
      <c r="M496" s="52"/>
      <c r="N496" s="52"/>
      <c r="O496" s="1" t="n">
        <f aca="false">IF(M496="Exclude (duplicate)",0,1)</f>
        <v>1</v>
      </c>
      <c r="P496" s="1" t="str">
        <f aca="false">IF(AND(L496&lt;&gt;"",M496=""),"Needs decision","")</f>
        <v/>
      </c>
    </row>
    <row r="497" customFormat="false" ht="15" hidden="false" customHeight="false" outlineLevel="0" collapsed="false">
      <c r="A497" s="48" t="str">
        <f aca="false">COST!A497</f>
        <v>KVMC-0493</v>
      </c>
      <c r="B497" s="48" t="str">
        <f aca="false">COST!B497</f>
        <v>KVMC</v>
      </c>
      <c r="C497" s="48" t="str">
        <f aca="false">COST!D497</f>
        <v>Childbirth and Newborn Care Classes</v>
      </c>
      <c r="D497" s="62" t="n">
        <f aca="false">COST!M497</f>
        <v>46179</v>
      </c>
      <c r="E497" s="48" t="str">
        <f aca="false">COST!P497</f>
        <v>Clinical Nurse Educator</v>
      </c>
      <c r="F497" s="63" t="n">
        <f aca="false">COST!R497</f>
        <v>3.25</v>
      </c>
      <c r="G497" s="48" t="str">
        <f aca="false">STACK!M497</f>
        <v/>
      </c>
      <c r="H497" s="1" t="str">
        <f aca="false">C497&amp;"|"&amp;IF(ISNUMBER(D497),TEXT(D497,"yyyy-mm-dd"),"no date")&amp;"|"&amp;E497&amp;"|"&amp;IF(ISNUMBER(F497),TEXT(F497,"0.00"),"blank")</f>
        <v>Childbirth and Newborn Care Classes|2026-06-06|Clinical Nurse Educator|3.25</v>
      </c>
      <c r="I497" s="1" t="n">
        <f aca="false">COUNTIF($H$5:$H$1624,H497)</f>
        <v>1</v>
      </c>
      <c r="J497" s="1" t="n">
        <f aca="false">COUNTIF($H$5:H497,H497)</f>
        <v>1</v>
      </c>
      <c r="K497" s="1" t="n">
        <f aca="false">COUNTIFS($H$5:$H$1624,H497,$B$5:$B$1624,"&lt;&gt;"&amp;B497)</f>
        <v>0</v>
      </c>
      <c r="L497" s="1" t="str">
        <f aca="false">IF(I497&gt;1,IF(K497&gt;0,"Cross-hospital match","Same-hospital match"),"")</f>
        <v/>
      </c>
      <c r="M497" s="52"/>
      <c r="N497" s="52"/>
      <c r="O497" s="1" t="n">
        <f aca="false">IF(M497="Exclude (duplicate)",0,1)</f>
        <v>1</v>
      </c>
      <c r="P497" s="1" t="str">
        <f aca="false">IF(AND(L497&lt;&gt;"",M497=""),"Needs decision","")</f>
        <v/>
      </c>
    </row>
    <row r="498" customFormat="false" ht="15" hidden="false" customHeight="false" outlineLevel="0" collapsed="false">
      <c r="A498" s="48" t="str">
        <f aca="false">COST!A498</f>
        <v>KVMC-0494</v>
      </c>
      <c r="B498" s="48" t="str">
        <f aca="false">COST!B498</f>
        <v>KVMC</v>
      </c>
      <c r="C498" s="48" t="str">
        <f aca="false">COST!D498</f>
        <v>Regional Health Coalition</v>
      </c>
      <c r="D498" s="62" t="n">
        <f aca="false">COST!M498</f>
        <v>46190</v>
      </c>
      <c r="E498" s="48" t="str">
        <f aca="false">COST!P498</f>
        <v>Community Benefit Manager</v>
      </c>
      <c r="F498" s="63" t="n">
        <f aca="false">COST!R498</f>
        <v>2.25</v>
      </c>
      <c r="G498" s="48" t="str">
        <f aca="false">STACK!M498</f>
        <v/>
      </c>
      <c r="H498" s="1" t="str">
        <f aca="false">C498&amp;"|"&amp;IF(ISNUMBER(D498),TEXT(D498,"yyyy-mm-dd"),"no date")&amp;"|"&amp;E498&amp;"|"&amp;IF(ISNUMBER(F498),TEXT(F498,"0.00"),"blank")</f>
        <v>Regional Health Coalition|2026-06-17|Community Benefit Manager|2.25</v>
      </c>
      <c r="I498" s="1" t="n">
        <f aca="false">COUNTIF($H$5:$H$1624,H498)</f>
        <v>1</v>
      </c>
      <c r="J498" s="1" t="n">
        <f aca="false">COUNTIF($H$5:H498,H498)</f>
        <v>1</v>
      </c>
      <c r="K498" s="1" t="n">
        <f aca="false">COUNTIFS($H$5:$H$1624,H498,$B$5:$B$1624,"&lt;&gt;"&amp;B498)</f>
        <v>0</v>
      </c>
      <c r="L498" s="1" t="str">
        <f aca="false">IF(I498&gt;1,IF(K498&gt;0,"Cross-hospital match","Same-hospital match"),"")</f>
        <v/>
      </c>
      <c r="M498" s="52"/>
      <c r="N498" s="52"/>
      <c r="O498" s="1" t="n">
        <f aca="false">IF(M498="Exclude (duplicate)",0,1)</f>
        <v>1</v>
      </c>
      <c r="P498" s="1" t="str">
        <f aca="false">IF(AND(L498&lt;&gt;"",M498=""),"Needs decision","")</f>
        <v/>
      </c>
    </row>
    <row r="499" customFormat="false" ht="15" hidden="false" customHeight="false" outlineLevel="0" collapsed="false">
      <c r="A499" s="48" t="str">
        <f aca="false">COST!A499</f>
        <v>KVMC-0495</v>
      </c>
      <c r="B499" s="48" t="str">
        <f aca="false">COST!B499</f>
        <v>KVMC</v>
      </c>
      <c r="C499" s="48" t="str">
        <f aca="false">COST!D499</f>
        <v>Regional Health Coalition</v>
      </c>
      <c r="D499" s="62" t="n">
        <f aca="false">COST!M499</f>
        <v>46190</v>
      </c>
      <c r="E499" s="48" t="str">
        <f aca="false">COST!P499</f>
        <v>Director</v>
      </c>
      <c r="F499" s="63" t="n">
        <f aca="false">COST!R499</f>
        <v>3</v>
      </c>
      <c r="G499" s="48" t="str">
        <f aca="false">STACK!M499</f>
        <v/>
      </c>
      <c r="H499" s="1" t="str">
        <f aca="false">C499&amp;"|"&amp;IF(ISNUMBER(D499),TEXT(D499,"yyyy-mm-dd"),"no date")&amp;"|"&amp;E499&amp;"|"&amp;IF(ISNUMBER(F499),TEXT(F499,"0.00"),"blank")</f>
        <v>Regional Health Coalition|2026-06-17|Director|3.00</v>
      </c>
      <c r="I499" s="1" t="n">
        <f aca="false">COUNTIF($H$5:$H$1624,H499)</f>
        <v>1</v>
      </c>
      <c r="J499" s="1" t="n">
        <f aca="false">COUNTIF($H$5:H499,H499)</f>
        <v>1</v>
      </c>
      <c r="K499" s="1" t="n">
        <f aca="false">COUNTIFS($H$5:$H$1624,H499,$B$5:$B$1624,"&lt;&gt;"&amp;B499)</f>
        <v>0</v>
      </c>
      <c r="L499" s="1" t="str">
        <f aca="false">IF(I499&gt;1,IF(K499&gt;0,"Cross-hospital match","Same-hospital match"),"")</f>
        <v/>
      </c>
      <c r="M499" s="52"/>
      <c r="N499" s="52"/>
      <c r="O499" s="1" t="n">
        <f aca="false">IF(M499="Exclude (duplicate)",0,1)</f>
        <v>1</v>
      </c>
      <c r="P499" s="1" t="str">
        <f aca="false">IF(AND(L499&lt;&gt;"",M499=""),"Needs decision","")</f>
        <v/>
      </c>
    </row>
    <row r="500" customFormat="false" ht="15" hidden="false" customHeight="false" outlineLevel="0" collapsed="false">
      <c r="A500" s="48" t="str">
        <f aca="false">COST!A500</f>
        <v>KVMC-0496</v>
      </c>
      <c r="B500" s="48" t="str">
        <f aca="false">COST!B500</f>
        <v>KVMC</v>
      </c>
      <c r="C500" s="48" t="str">
        <f aca="false">COST!D500</f>
        <v>Regional Health Coalition</v>
      </c>
      <c r="D500" s="62" t="n">
        <f aca="false">COST!M500</f>
        <v>46193</v>
      </c>
      <c r="E500" s="48" t="str">
        <f aca="false">COST!P500</f>
        <v>Community Benefit Manager</v>
      </c>
      <c r="F500" s="63" t="n">
        <f aca="false">COST!R500</f>
        <v>2.75</v>
      </c>
      <c r="G500" s="48" t="str">
        <f aca="false">STACK!M500</f>
        <v/>
      </c>
      <c r="H500" s="1" t="str">
        <f aca="false">C500&amp;"|"&amp;IF(ISNUMBER(D500),TEXT(D500,"yyyy-mm-dd"),"no date")&amp;"|"&amp;E500&amp;"|"&amp;IF(ISNUMBER(F500),TEXT(F500,"0.00"),"blank")</f>
        <v>Regional Health Coalition|2026-06-20|Community Benefit Manager|2.75</v>
      </c>
      <c r="I500" s="1" t="n">
        <f aca="false">COUNTIF($H$5:$H$1624,H500)</f>
        <v>1</v>
      </c>
      <c r="J500" s="1" t="n">
        <f aca="false">COUNTIF($H$5:H500,H500)</f>
        <v>1</v>
      </c>
      <c r="K500" s="1" t="n">
        <f aca="false">COUNTIFS($H$5:$H$1624,H500,$B$5:$B$1624,"&lt;&gt;"&amp;B500)</f>
        <v>0</v>
      </c>
      <c r="L500" s="1" t="str">
        <f aca="false">IF(I500&gt;1,IF(K500&gt;0,"Cross-hospital match","Same-hospital match"),"")</f>
        <v/>
      </c>
      <c r="M500" s="52"/>
      <c r="N500" s="52"/>
      <c r="O500" s="1" t="n">
        <f aca="false">IF(M500="Exclude (duplicate)",0,1)</f>
        <v>1</v>
      </c>
      <c r="P500" s="1" t="str">
        <f aca="false">IF(AND(L500&lt;&gt;"",M500=""),"Needs decision","")</f>
        <v/>
      </c>
    </row>
    <row r="501" customFormat="false" ht="15" hidden="false" customHeight="false" outlineLevel="0" collapsed="false">
      <c r="A501" s="48" t="str">
        <f aca="false">COST!A501</f>
        <v>KVMC-0497</v>
      </c>
      <c r="B501" s="48" t="str">
        <f aca="false">COST!B501</f>
        <v>KVMC</v>
      </c>
      <c r="C501" s="48" t="str">
        <f aca="false">COST!D501</f>
        <v>Regional Health Coalition</v>
      </c>
      <c r="D501" s="62" t="n">
        <f aca="false">COST!M501</f>
        <v>46193</v>
      </c>
      <c r="E501" s="48" t="str">
        <f aca="false">COST!P501</f>
        <v>Director</v>
      </c>
      <c r="F501" s="63" t="n">
        <f aca="false">COST!R501</f>
        <v>2</v>
      </c>
      <c r="G501" s="48" t="str">
        <f aca="false">STACK!M501</f>
        <v/>
      </c>
      <c r="H501" s="1" t="str">
        <f aca="false">C501&amp;"|"&amp;IF(ISNUMBER(D501),TEXT(D501,"yyyy-mm-dd"),"no date")&amp;"|"&amp;E501&amp;"|"&amp;IF(ISNUMBER(F501),TEXT(F501,"0.00"),"blank")</f>
        <v>Regional Health Coalition|2026-06-20|Director|2.00</v>
      </c>
      <c r="I501" s="1" t="n">
        <f aca="false">COUNTIF($H$5:$H$1624,H501)</f>
        <v>1</v>
      </c>
      <c r="J501" s="1" t="n">
        <f aca="false">COUNTIF($H$5:H501,H501)</f>
        <v>1</v>
      </c>
      <c r="K501" s="1" t="n">
        <f aca="false">COUNTIFS($H$5:$H$1624,H501,$B$5:$B$1624,"&lt;&gt;"&amp;B501)</f>
        <v>0</v>
      </c>
      <c r="L501" s="1" t="str">
        <f aca="false">IF(I501&gt;1,IF(K501&gt;0,"Cross-hospital match","Same-hospital match"),"")</f>
        <v/>
      </c>
      <c r="M501" s="52"/>
      <c r="N501" s="52"/>
      <c r="O501" s="1" t="n">
        <f aca="false">IF(M501="Exclude (duplicate)",0,1)</f>
        <v>1</v>
      </c>
      <c r="P501" s="1" t="str">
        <f aca="false">IF(AND(L501&lt;&gt;"",M501=""),"Needs decision","")</f>
        <v/>
      </c>
    </row>
    <row r="502" customFormat="false" ht="15" hidden="false" customHeight="false" outlineLevel="0" collapsed="false">
      <c r="A502" s="48" t="str">
        <f aca="false">COST!A502</f>
        <v>KVMC-0498</v>
      </c>
      <c r="B502" s="48" t="str">
        <f aca="false">COST!B502</f>
        <v>KVMC</v>
      </c>
      <c r="C502" s="48" t="str">
        <f aca="false">COST!D502</f>
        <v>Grief Support Group</v>
      </c>
      <c r="D502" s="62" t="n">
        <f aca="false">COST!M502</f>
        <v>46195</v>
      </c>
      <c r="E502" s="48" t="str">
        <f aca="false">COST!P502</f>
        <v>Chaplain</v>
      </c>
      <c r="F502" s="63" t="n">
        <f aca="false">COST!R502</f>
        <v>2.25</v>
      </c>
      <c r="G502" s="48" t="str">
        <f aca="false">STACK!M502</f>
        <v/>
      </c>
      <c r="H502" s="1" t="str">
        <f aca="false">C502&amp;"|"&amp;IF(ISNUMBER(D502),TEXT(D502,"yyyy-mm-dd"),"no date")&amp;"|"&amp;E502&amp;"|"&amp;IF(ISNUMBER(F502),TEXT(F502,"0.00"),"blank")</f>
        <v>Grief Support Group|2026-06-22|Chaplain|2.25</v>
      </c>
      <c r="I502" s="1" t="n">
        <f aca="false">COUNTIF($H$5:$H$1624,H502)</f>
        <v>1</v>
      </c>
      <c r="J502" s="1" t="n">
        <f aca="false">COUNTIF($H$5:H502,H502)</f>
        <v>1</v>
      </c>
      <c r="K502" s="1" t="n">
        <f aca="false">COUNTIFS($H$5:$H$1624,H502,$B$5:$B$1624,"&lt;&gt;"&amp;B502)</f>
        <v>0</v>
      </c>
      <c r="L502" s="1" t="str">
        <f aca="false">IF(I502&gt;1,IF(K502&gt;0,"Cross-hospital match","Same-hospital match"),"")</f>
        <v/>
      </c>
      <c r="M502" s="52"/>
      <c r="N502" s="52"/>
      <c r="O502" s="1" t="n">
        <f aca="false">IF(M502="Exclude (duplicate)",0,1)</f>
        <v>1</v>
      </c>
      <c r="P502" s="1" t="str">
        <f aca="false">IF(AND(L502&lt;&gt;"",M502=""),"Needs decision","")</f>
        <v/>
      </c>
    </row>
    <row r="503" customFormat="false" ht="15" hidden="false" customHeight="false" outlineLevel="0" collapsed="false">
      <c r="A503" s="48" t="str">
        <f aca="false">COST!A503</f>
        <v>KVMC-0499</v>
      </c>
      <c r="B503" s="48" t="str">
        <f aca="false">COST!B503</f>
        <v>KVMC</v>
      </c>
      <c r="C503" s="48" t="str">
        <f aca="false">COST!D503</f>
        <v>Grief Support Group</v>
      </c>
      <c r="D503" s="62" t="n">
        <f aca="false">COST!M503</f>
        <v>46195</v>
      </c>
      <c r="E503" s="48" t="str">
        <f aca="false">COST!P503</f>
        <v>Social Worker</v>
      </c>
      <c r="F503" s="63" t="n">
        <f aca="false">COST!R503</f>
        <v>1.75</v>
      </c>
      <c r="G503" s="48" t="str">
        <f aca="false">STACK!M503</f>
        <v/>
      </c>
      <c r="H503" s="1" t="str">
        <f aca="false">C503&amp;"|"&amp;IF(ISNUMBER(D503),TEXT(D503,"yyyy-mm-dd"),"no date")&amp;"|"&amp;E503&amp;"|"&amp;IF(ISNUMBER(F503),TEXT(F503,"0.00"),"blank")</f>
        <v>Grief Support Group|2026-06-22|Social Worker|1.75</v>
      </c>
      <c r="I503" s="1" t="n">
        <f aca="false">COUNTIF($H$5:$H$1624,H503)</f>
        <v>1</v>
      </c>
      <c r="J503" s="1" t="n">
        <f aca="false">COUNTIF($H$5:H503,H503)</f>
        <v>1</v>
      </c>
      <c r="K503" s="1" t="n">
        <f aca="false">COUNTIFS($H$5:$H$1624,H503,$B$5:$B$1624,"&lt;&gt;"&amp;B503)</f>
        <v>0</v>
      </c>
      <c r="L503" s="1" t="str">
        <f aca="false">IF(I503&gt;1,IF(K503&gt;0,"Cross-hospital match","Same-hospital match"),"")</f>
        <v/>
      </c>
      <c r="M503" s="52"/>
      <c r="N503" s="52"/>
      <c r="O503" s="1" t="n">
        <f aca="false">IF(M503="Exclude (duplicate)",0,1)</f>
        <v>1</v>
      </c>
      <c r="P503" s="1" t="str">
        <f aca="false">IF(AND(L503&lt;&gt;"",M503=""),"Needs decision","")</f>
        <v/>
      </c>
    </row>
    <row r="504" customFormat="false" ht="15" hidden="false" customHeight="false" outlineLevel="0" collapsed="false">
      <c r="A504" s="48" t="str">
        <f aca="false">COST!A504</f>
        <v>KVMC-0500</v>
      </c>
      <c r="B504" s="48" t="str">
        <f aca="false">COST!B504</f>
        <v>KVMC</v>
      </c>
      <c r="C504" s="48" t="str">
        <f aca="false">COST!D504</f>
        <v>Childbirth and Newborn Care Classes</v>
      </c>
      <c r="D504" s="62" t="n">
        <f aca="false">COST!M504</f>
        <v>46197</v>
      </c>
      <c r="E504" s="48" t="str">
        <f aca="false">COST!P504</f>
        <v>Clinical Nurse Educator</v>
      </c>
      <c r="F504" s="63" t="n">
        <f aca="false">COST!R504</f>
        <v>3.25</v>
      </c>
      <c r="G504" s="48" t="str">
        <f aca="false">STACK!M504</f>
        <v/>
      </c>
      <c r="H504" s="1" t="str">
        <f aca="false">C504&amp;"|"&amp;IF(ISNUMBER(D504),TEXT(D504,"yyyy-mm-dd"),"no date")&amp;"|"&amp;E504&amp;"|"&amp;IF(ISNUMBER(F504),TEXT(F504,"0.00"),"blank")</f>
        <v>Childbirth and Newborn Care Classes|2026-06-24|Clinical Nurse Educator|3.25</v>
      </c>
      <c r="I504" s="1" t="n">
        <f aca="false">COUNTIF($H$5:$H$1624,H504)</f>
        <v>1</v>
      </c>
      <c r="J504" s="1" t="n">
        <f aca="false">COUNTIF($H$5:H504,H504)</f>
        <v>1</v>
      </c>
      <c r="K504" s="1" t="n">
        <f aca="false">COUNTIFS($H$5:$H$1624,H504,$B$5:$B$1624,"&lt;&gt;"&amp;B504)</f>
        <v>0</v>
      </c>
      <c r="L504" s="1" t="str">
        <f aca="false">IF(I504&gt;1,IF(K504&gt;0,"Cross-hospital match","Same-hospital match"),"")</f>
        <v/>
      </c>
      <c r="M504" s="52"/>
      <c r="N504" s="52"/>
      <c r="O504" s="1" t="n">
        <f aca="false">IF(M504="Exclude (duplicate)",0,1)</f>
        <v>1</v>
      </c>
      <c r="P504" s="1" t="str">
        <f aca="false">IF(AND(L504&lt;&gt;"",M504=""),"Needs decision","")</f>
        <v/>
      </c>
    </row>
    <row r="505" customFormat="false" ht="15" hidden="false" customHeight="false" outlineLevel="0" collapsed="false">
      <c r="A505" s="48" t="str">
        <f aca="false">COST!A505</f>
        <v>KVMC-0501</v>
      </c>
      <c r="B505" s="48" t="str">
        <f aca="false">COST!B505</f>
        <v>KVMC</v>
      </c>
      <c r="C505" s="48" t="str">
        <f aca="false">COST!D505</f>
        <v>Tobacco Cessation Classes</v>
      </c>
      <c r="D505" s="62" t="n">
        <f aca="false">COST!M505</f>
        <v>46200</v>
      </c>
      <c r="E505" s="48" t="str">
        <f aca="false">COST!P505</f>
        <v>Licensed Therapist</v>
      </c>
      <c r="F505" s="63" t="n">
        <f aca="false">COST!R505</f>
        <v>2</v>
      </c>
      <c r="G505" s="48" t="str">
        <f aca="false">STACK!M505</f>
        <v/>
      </c>
      <c r="H505" s="1" t="str">
        <f aca="false">C505&amp;"|"&amp;IF(ISNUMBER(D505),TEXT(D505,"yyyy-mm-dd"),"no date")&amp;"|"&amp;E505&amp;"|"&amp;IF(ISNUMBER(F505),TEXT(F505,"0.00"),"blank")</f>
        <v>Tobacco Cessation Classes|2026-06-27|Licensed Therapist|2.00</v>
      </c>
      <c r="I505" s="1" t="n">
        <f aca="false">COUNTIF($H$5:$H$1624,H505)</f>
        <v>1</v>
      </c>
      <c r="J505" s="1" t="n">
        <f aca="false">COUNTIF($H$5:H505,H505)</f>
        <v>1</v>
      </c>
      <c r="K505" s="1" t="n">
        <f aca="false">COUNTIFS($H$5:$H$1624,H505,$B$5:$B$1624,"&lt;&gt;"&amp;B505)</f>
        <v>0</v>
      </c>
      <c r="L505" s="1" t="str">
        <f aca="false">IF(I505&gt;1,IF(K505&gt;0,"Cross-hospital match","Same-hospital match"),"")</f>
        <v/>
      </c>
      <c r="M505" s="52"/>
      <c r="N505" s="52"/>
      <c r="O505" s="1" t="n">
        <f aca="false">IF(M505="Exclude (duplicate)",0,1)</f>
        <v>1</v>
      </c>
      <c r="P505" s="1" t="str">
        <f aca="false">IF(AND(L505&lt;&gt;"",M505=""),"Needs decision","")</f>
        <v/>
      </c>
    </row>
    <row r="506" customFormat="false" ht="15" hidden="false" customHeight="false" outlineLevel="0" collapsed="false">
      <c r="A506" s="48" t="str">
        <f aca="false">COST!A506</f>
        <v>KVMC-0502</v>
      </c>
      <c r="B506" s="48" t="str">
        <f aca="false">COST!B506</f>
        <v>KVMC</v>
      </c>
      <c r="C506" s="48" t="str">
        <f aca="false">COST!D506</f>
        <v>Naloxone Training and Distribution</v>
      </c>
      <c r="D506" s="62" t="n">
        <f aca="false">COST!M506</f>
        <v>46200</v>
      </c>
      <c r="E506" s="48" t="str">
        <f aca="false">COST!P506</f>
        <v>Health Educator</v>
      </c>
      <c r="F506" s="63" t="n">
        <f aca="false">COST!R506</f>
        <v>2.25</v>
      </c>
      <c r="G506" s="48" t="str">
        <f aca="false">STACK!M506</f>
        <v/>
      </c>
      <c r="H506" s="1" t="str">
        <f aca="false">C506&amp;"|"&amp;IF(ISNUMBER(D506),TEXT(D506,"yyyy-mm-dd"),"no date")&amp;"|"&amp;E506&amp;"|"&amp;IF(ISNUMBER(F506),TEXT(F506,"0.00"),"blank")</f>
        <v>Naloxone Training and Distribution|2026-06-27|Health Educator|2.25</v>
      </c>
      <c r="I506" s="1" t="n">
        <f aca="false">COUNTIF($H$5:$H$1624,H506)</f>
        <v>1</v>
      </c>
      <c r="J506" s="1" t="n">
        <f aca="false">COUNTIF($H$5:H506,H506)</f>
        <v>1</v>
      </c>
      <c r="K506" s="1" t="n">
        <f aca="false">COUNTIFS($H$5:$H$1624,H506,$B$5:$B$1624,"&lt;&gt;"&amp;B506)</f>
        <v>0</v>
      </c>
      <c r="L506" s="1" t="str">
        <f aca="false">IF(I506&gt;1,IF(K506&gt;0,"Cross-hospital match","Same-hospital match"),"")</f>
        <v/>
      </c>
      <c r="M506" s="52"/>
      <c r="N506" s="52"/>
      <c r="O506" s="1" t="n">
        <f aca="false">IF(M506="Exclude (duplicate)",0,1)</f>
        <v>1</v>
      </c>
      <c r="P506" s="1" t="str">
        <f aca="false">IF(AND(L506&lt;&gt;"",M506=""),"Needs decision","")</f>
        <v/>
      </c>
    </row>
    <row r="507" customFormat="false" ht="15" hidden="false" customHeight="false" outlineLevel="0" collapsed="false">
      <c r="A507" s="48" t="str">
        <f aca="false">COST!A507</f>
        <v>KVMC-0503</v>
      </c>
      <c r="B507" s="48" t="str">
        <f aca="false">COST!B507</f>
        <v>KVMC</v>
      </c>
      <c r="C507" s="48" t="str">
        <f aca="false">COST!D507</f>
        <v>Naloxone Training and Distribution</v>
      </c>
      <c r="D507" s="62" t="n">
        <f aca="false">COST!M507</f>
        <v>46200</v>
      </c>
      <c r="E507" s="48" t="str">
        <f aca="false">COST!P507</f>
        <v>Pharmacist</v>
      </c>
      <c r="F507" s="63" t="n">
        <f aca="false">COST!R507</f>
        <v>2.5</v>
      </c>
      <c r="G507" s="48" t="str">
        <f aca="false">STACK!M507</f>
        <v/>
      </c>
      <c r="H507" s="1" t="str">
        <f aca="false">C507&amp;"|"&amp;IF(ISNUMBER(D507),TEXT(D507,"yyyy-mm-dd"),"no date")&amp;"|"&amp;E507&amp;"|"&amp;IF(ISNUMBER(F507),TEXT(F507,"0.00"),"blank")</f>
        <v>Naloxone Training and Distribution|2026-06-27|Pharmacist|2.50</v>
      </c>
      <c r="I507" s="1" t="n">
        <f aca="false">COUNTIF($H$5:$H$1624,H507)</f>
        <v>1</v>
      </c>
      <c r="J507" s="1" t="n">
        <f aca="false">COUNTIF($H$5:H507,H507)</f>
        <v>1</v>
      </c>
      <c r="K507" s="1" t="n">
        <f aca="false">COUNTIFS($H$5:$H$1624,H507,$B$5:$B$1624,"&lt;&gt;"&amp;B507)</f>
        <v>0</v>
      </c>
      <c r="L507" s="1" t="str">
        <f aca="false">IF(I507&gt;1,IF(K507&gt;0,"Cross-hospital match","Same-hospital match"),"")</f>
        <v/>
      </c>
      <c r="M507" s="52"/>
      <c r="N507" s="52"/>
      <c r="O507" s="1" t="n">
        <f aca="false">IF(M507="Exclude (duplicate)",0,1)</f>
        <v>1</v>
      </c>
      <c r="P507" s="1" t="str">
        <f aca="false">IF(AND(L507&lt;&gt;"",M507=""),"Needs decision","")</f>
        <v/>
      </c>
    </row>
    <row r="508" customFormat="false" ht="15" hidden="false" customHeight="false" outlineLevel="0" collapsed="false">
      <c r="A508" s="48" t="str">
        <f aca="false">COST!A508</f>
        <v>KVMC-0504</v>
      </c>
      <c r="B508" s="48" t="str">
        <f aca="false">COST!B508</f>
        <v>KVMC</v>
      </c>
      <c r="C508" s="48" t="str">
        <f aca="false">COST!D508</f>
        <v>Naloxone Training and Distribution</v>
      </c>
      <c r="D508" s="62" t="n">
        <f aca="false">COST!M508</f>
        <v>46202</v>
      </c>
      <c r="E508" s="48" t="str">
        <f aca="false">COST!P508</f>
        <v>Health Educator</v>
      </c>
      <c r="F508" s="63" t="n">
        <f aca="false">COST!R508</f>
        <v>3</v>
      </c>
      <c r="G508" s="48" t="str">
        <f aca="false">STACK!M508</f>
        <v/>
      </c>
      <c r="H508" s="1" t="str">
        <f aca="false">C508&amp;"|"&amp;IF(ISNUMBER(D508),TEXT(D508,"yyyy-mm-dd"),"no date")&amp;"|"&amp;E508&amp;"|"&amp;IF(ISNUMBER(F508),TEXT(F508,"0.00"),"blank")</f>
        <v>Naloxone Training and Distribution|2026-06-29|Health Educator|3.00</v>
      </c>
      <c r="I508" s="1" t="n">
        <f aca="false">COUNTIF($H$5:$H$1624,H508)</f>
        <v>1</v>
      </c>
      <c r="J508" s="1" t="n">
        <f aca="false">COUNTIF($H$5:H508,H508)</f>
        <v>1</v>
      </c>
      <c r="K508" s="1" t="n">
        <f aca="false">COUNTIFS($H$5:$H$1624,H508,$B$5:$B$1624,"&lt;&gt;"&amp;B508)</f>
        <v>0</v>
      </c>
      <c r="L508" s="1" t="str">
        <f aca="false">IF(I508&gt;1,IF(K508&gt;0,"Cross-hospital match","Same-hospital match"),"")</f>
        <v/>
      </c>
      <c r="M508" s="52"/>
      <c r="N508" s="52"/>
      <c r="O508" s="1" t="n">
        <f aca="false">IF(M508="Exclude (duplicate)",0,1)</f>
        <v>1</v>
      </c>
      <c r="P508" s="1" t="str">
        <f aca="false">IF(AND(L508&lt;&gt;"",M508=""),"Needs decision","")</f>
        <v/>
      </c>
    </row>
    <row r="509" customFormat="false" ht="15" hidden="false" customHeight="false" outlineLevel="0" collapsed="false">
      <c r="A509" s="48" t="str">
        <f aca="false">COST!A509</f>
        <v>KVMC-0505</v>
      </c>
      <c r="B509" s="48" t="str">
        <f aca="false">COST!B509</f>
        <v>KVMC</v>
      </c>
      <c r="C509" s="48" t="str">
        <f aca="false">COST!D509</f>
        <v>Naloxone Training and Distribution</v>
      </c>
      <c r="D509" s="62" t="n">
        <f aca="false">COST!M509</f>
        <v>46202</v>
      </c>
      <c r="E509" s="48" t="str">
        <f aca="false">COST!P509</f>
        <v>Pharmacist</v>
      </c>
      <c r="F509" s="63" t="n">
        <f aca="false">COST!R509</f>
        <v>2.5</v>
      </c>
      <c r="G509" s="48" t="str">
        <f aca="false">STACK!M509</f>
        <v/>
      </c>
      <c r="H509" s="1" t="str">
        <f aca="false">C509&amp;"|"&amp;IF(ISNUMBER(D509),TEXT(D509,"yyyy-mm-dd"),"no date")&amp;"|"&amp;E509&amp;"|"&amp;IF(ISNUMBER(F509),TEXT(F509,"0.00"),"blank")</f>
        <v>Naloxone Training and Distribution|2026-06-29|Pharmacist|2.50</v>
      </c>
      <c r="I509" s="1" t="n">
        <f aca="false">COUNTIF($H$5:$H$1624,H509)</f>
        <v>1</v>
      </c>
      <c r="J509" s="1" t="n">
        <f aca="false">COUNTIF($H$5:H509,H509)</f>
        <v>1</v>
      </c>
      <c r="K509" s="1" t="n">
        <f aca="false">COUNTIFS($H$5:$H$1624,H509,$B$5:$B$1624,"&lt;&gt;"&amp;B509)</f>
        <v>0</v>
      </c>
      <c r="L509" s="1" t="str">
        <f aca="false">IF(I509&gt;1,IF(K509&gt;0,"Cross-hospital match","Same-hospital match"),"")</f>
        <v/>
      </c>
      <c r="M509" s="52"/>
      <c r="N509" s="52"/>
      <c r="O509" s="1" t="n">
        <f aca="false">IF(M509="Exclude (duplicate)",0,1)</f>
        <v>1</v>
      </c>
      <c r="P509" s="1" t="str">
        <f aca="false">IF(AND(L509&lt;&gt;"",M509=""),"Needs decision","")</f>
        <v/>
      </c>
    </row>
    <row r="510" customFormat="false" ht="15" hidden="false" customHeight="false" outlineLevel="0" collapsed="false">
      <c r="A510" s="48" t="str">
        <f aca="false">COST!A510</f>
        <v>KVMC-0506</v>
      </c>
      <c r="B510" s="48" t="str">
        <f aca="false">COST!B510</f>
        <v>KVMC</v>
      </c>
      <c r="C510" s="48" t="str">
        <f aca="false">COST!D510</f>
        <v>Mobile Health Screening Unit</v>
      </c>
      <c r="D510" s="62" t="n">
        <f aca="false">COST!M510</f>
        <v>46203</v>
      </c>
      <c r="E510" s="48" t="str">
        <f aca="false">COST!P510</f>
        <v>Community Health Worker</v>
      </c>
      <c r="F510" s="63" t="n">
        <f aca="false">COST!R510</f>
        <v>103.75</v>
      </c>
      <c r="G510" s="48" t="str">
        <f aca="false">STACK!M510</f>
        <v/>
      </c>
      <c r="H510" s="1" t="str">
        <f aca="false">C510&amp;"|"&amp;IF(ISNUMBER(D510),TEXT(D510,"yyyy-mm-dd"),"no date")&amp;"|"&amp;E510&amp;"|"&amp;IF(ISNUMBER(F510),TEXT(F510,"0.00"),"blank")</f>
        <v>Mobile Health Screening Unit|2026-06-30|Community Health Worker|103.75</v>
      </c>
      <c r="I510" s="1" t="n">
        <f aca="false">COUNTIF($H$5:$H$1624,H510)</f>
        <v>1</v>
      </c>
      <c r="J510" s="1" t="n">
        <f aca="false">COUNTIF($H$5:H510,H510)</f>
        <v>1</v>
      </c>
      <c r="K510" s="1" t="n">
        <f aca="false">COUNTIFS($H$5:$H$1624,H510,$B$5:$B$1624,"&lt;&gt;"&amp;B510)</f>
        <v>0</v>
      </c>
      <c r="L510" s="1" t="str">
        <f aca="false">IF(I510&gt;1,IF(K510&gt;0,"Cross-hospital match","Same-hospital match"),"")</f>
        <v/>
      </c>
      <c r="M510" s="52"/>
      <c r="N510" s="52"/>
      <c r="O510" s="1" t="n">
        <f aca="false">IF(M510="Exclude (duplicate)",0,1)</f>
        <v>1</v>
      </c>
      <c r="P510" s="1" t="str">
        <f aca="false">IF(AND(L510&lt;&gt;"",M510=""),"Needs decision","")</f>
        <v/>
      </c>
    </row>
    <row r="511" customFormat="false" ht="15" hidden="false" customHeight="false" outlineLevel="0" collapsed="false">
      <c r="A511" s="48" t="str">
        <f aca="false">COST!A511</f>
        <v>KVMC-0507</v>
      </c>
      <c r="B511" s="48" t="str">
        <f aca="false">COST!B511</f>
        <v>KVMC</v>
      </c>
      <c r="C511" s="48" t="str">
        <f aca="false">COST!D511</f>
        <v>Mobile Health Screening Unit</v>
      </c>
      <c r="D511" s="62" t="n">
        <f aca="false">COST!M511</f>
        <v>46203</v>
      </c>
      <c r="E511" s="48" t="str">
        <f aca="false">COST!P511</f>
        <v>Medical Assistant</v>
      </c>
      <c r="F511" s="63" t="n">
        <f aca="false">COST!R511</f>
        <v>113.25</v>
      </c>
      <c r="G511" s="48" t="str">
        <f aca="false">STACK!M511</f>
        <v/>
      </c>
      <c r="H511" s="1" t="str">
        <f aca="false">C511&amp;"|"&amp;IF(ISNUMBER(D511),TEXT(D511,"yyyy-mm-dd"),"no date")&amp;"|"&amp;E511&amp;"|"&amp;IF(ISNUMBER(F511),TEXT(F511,"0.00"),"blank")</f>
        <v>Mobile Health Screening Unit|2026-06-30|Medical Assistant|113.25</v>
      </c>
      <c r="I511" s="1" t="n">
        <f aca="false">COUNTIF($H$5:$H$1624,H511)</f>
        <v>1</v>
      </c>
      <c r="J511" s="1" t="n">
        <f aca="false">COUNTIF($H$5:H511,H511)</f>
        <v>1</v>
      </c>
      <c r="K511" s="1" t="n">
        <f aca="false">COUNTIFS($H$5:$H$1624,H511,$B$5:$B$1624,"&lt;&gt;"&amp;B511)</f>
        <v>0</v>
      </c>
      <c r="L511" s="1" t="str">
        <f aca="false">IF(I511&gt;1,IF(K511&gt;0,"Cross-hospital match","Same-hospital match"),"")</f>
        <v/>
      </c>
      <c r="M511" s="52"/>
      <c r="N511" s="52"/>
      <c r="O511" s="1" t="n">
        <f aca="false">IF(M511="Exclude (duplicate)",0,1)</f>
        <v>1</v>
      </c>
      <c r="P511" s="1" t="str">
        <f aca="false">IF(AND(L511&lt;&gt;"",M511=""),"Needs decision","")</f>
        <v/>
      </c>
    </row>
    <row r="512" customFormat="false" ht="15" hidden="false" customHeight="false" outlineLevel="0" collapsed="false">
      <c r="A512" s="48" t="str">
        <f aca="false">COST!A512</f>
        <v>KVMC-0508</v>
      </c>
      <c r="B512" s="48" t="str">
        <f aca="false">COST!B512</f>
        <v>KVMC</v>
      </c>
      <c r="C512" s="48" t="str">
        <f aca="false">COST!D512</f>
        <v>Mobile Health Screening Unit</v>
      </c>
      <c r="D512" s="62" t="n">
        <f aca="false">COST!M512</f>
        <v>46203</v>
      </c>
      <c r="E512" s="48" t="str">
        <f aca="false">COST!P512</f>
        <v>Registered Nurse</v>
      </c>
      <c r="F512" s="63" t="n">
        <f aca="false">COST!R512</f>
        <v>109</v>
      </c>
      <c r="G512" s="48" t="str">
        <f aca="false">STACK!M512</f>
        <v/>
      </c>
      <c r="H512" s="1" t="str">
        <f aca="false">C512&amp;"|"&amp;IF(ISNUMBER(D512),TEXT(D512,"yyyy-mm-dd"),"no date")&amp;"|"&amp;E512&amp;"|"&amp;IF(ISNUMBER(F512),TEXT(F512,"0.00"),"blank")</f>
        <v>Mobile Health Screening Unit|2026-06-30|Registered Nurse|109.00</v>
      </c>
      <c r="I512" s="1" t="n">
        <f aca="false">COUNTIF($H$5:$H$1624,H512)</f>
        <v>1</v>
      </c>
      <c r="J512" s="1" t="n">
        <f aca="false">COUNTIF($H$5:H512,H512)</f>
        <v>1</v>
      </c>
      <c r="K512" s="1" t="n">
        <f aca="false">COUNTIFS($H$5:$H$1624,H512,$B$5:$B$1624,"&lt;&gt;"&amp;B512)</f>
        <v>0</v>
      </c>
      <c r="L512" s="1" t="str">
        <f aca="false">IF(I512&gt;1,IF(K512&gt;0,"Cross-hospital match","Same-hospital match"),"")</f>
        <v/>
      </c>
      <c r="M512" s="52"/>
      <c r="N512" s="52"/>
      <c r="O512" s="1" t="n">
        <f aca="false">IF(M512="Exclude (duplicate)",0,1)</f>
        <v>1</v>
      </c>
      <c r="P512" s="1" t="str">
        <f aca="false">IF(AND(L512&lt;&gt;"",M512=""),"Needs decision","")</f>
        <v/>
      </c>
    </row>
    <row r="513" customFormat="false" ht="15" hidden="false" customHeight="false" outlineLevel="0" collapsed="false">
      <c r="A513" s="48" t="str">
        <f aca="false">COST!A513</f>
        <v>KVMC-0509</v>
      </c>
      <c r="B513" s="48" t="str">
        <f aca="false">COST!B513</f>
        <v>KVMC</v>
      </c>
      <c r="C513" s="48" t="str">
        <f aca="false">COST!D513</f>
        <v>Free Clinic Provider Staffing</v>
      </c>
      <c r="D513" s="62" t="n">
        <f aca="false">COST!M513</f>
        <v>46203</v>
      </c>
      <c r="E513" s="48" t="str">
        <f aca="false">COST!P513</f>
        <v>Nurse Practitioner</v>
      </c>
      <c r="F513" s="63" t="n">
        <f aca="false">COST!R513</f>
        <v>40</v>
      </c>
      <c r="G513" s="48" t="str">
        <f aca="false">STACK!M513</f>
        <v/>
      </c>
      <c r="H513" s="1" t="str">
        <f aca="false">C513&amp;"|"&amp;IF(ISNUMBER(D513),TEXT(D513,"yyyy-mm-dd"),"no date")&amp;"|"&amp;E513&amp;"|"&amp;IF(ISNUMBER(F513),TEXT(F513,"0.00"),"blank")</f>
        <v>Free Clinic Provider Staffing|2026-06-30|Nurse Practitioner|40.00</v>
      </c>
      <c r="I513" s="1" t="n">
        <f aca="false">COUNTIF($H$5:$H$1624,H513)</f>
        <v>1</v>
      </c>
      <c r="J513" s="1" t="n">
        <f aca="false">COUNTIF($H$5:H513,H513)</f>
        <v>1</v>
      </c>
      <c r="K513" s="1" t="n">
        <f aca="false">COUNTIFS($H$5:$H$1624,H513,$B$5:$B$1624,"&lt;&gt;"&amp;B513)</f>
        <v>0</v>
      </c>
      <c r="L513" s="1" t="str">
        <f aca="false">IF(I513&gt;1,IF(K513&gt;0,"Cross-hospital match","Same-hospital match"),"")</f>
        <v/>
      </c>
      <c r="M513" s="52"/>
      <c r="N513" s="52"/>
      <c r="O513" s="1" t="n">
        <f aca="false">IF(M513="Exclude (duplicate)",0,1)</f>
        <v>1</v>
      </c>
      <c r="P513" s="1" t="str">
        <f aca="false">IF(AND(L513&lt;&gt;"",M513=""),"Needs decision","")</f>
        <v/>
      </c>
    </row>
    <row r="514" customFormat="false" ht="15" hidden="false" customHeight="false" outlineLevel="0" collapsed="false">
      <c r="A514" s="48" t="str">
        <f aca="false">COST!A514</f>
        <v>KVMC-0510</v>
      </c>
      <c r="B514" s="48" t="str">
        <f aca="false">COST!B514</f>
        <v>KVMC</v>
      </c>
      <c r="C514" s="48" t="str">
        <f aca="false">COST!D514</f>
        <v>Free Clinic Provider Staffing</v>
      </c>
      <c r="D514" s="62" t="n">
        <f aca="false">COST!M514</f>
        <v>46203</v>
      </c>
      <c r="E514" s="48" t="str">
        <f aca="false">COST!P514</f>
        <v>Pharmacist</v>
      </c>
      <c r="F514" s="63" t="n">
        <f aca="false">COST!R514</f>
        <v>16</v>
      </c>
      <c r="G514" s="48" t="str">
        <f aca="false">STACK!M514</f>
        <v/>
      </c>
      <c r="H514" s="1" t="str">
        <f aca="false">C514&amp;"|"&amp;IF(ISNUMBER(D514),TEXT(D514,"yyyy-mm-dd"),"no date")&amp;"|"&amp;E514&amp;"|"&amp;IF(ISNUMBER(F514),TEXT(F514,"0.00"),"blank")</f>
        <v>Free Clinic Provider Staffing|2026-06-30|Pharmacist|16.00</v>
      </c>
      <c r="I514" s="1" t="n">
        <f aca="false">COUNTIF($H$5:$H$1624,H514)</f>
        <v>1</v>
      </c>
      <c r="J514" s="1" t="n">
        <f aca="false">COUNTIF($H$5:H514,H514)</f>
        <v>1</v>
      </c>
      <c r="K514" s="1" t="n">
        <f aca="false">COUNTIFS($H$5:$H$1624,H514,$B$5:$B$1624,"&lt;&gt;"&amp;B514)</f>
        <v>0</v>
      </c>
      <c r="L514" s="1" t="str">
        <f aca="false">IF(I514&gt;1,IF(K514&gt;0,"Cross-hospital match","Same-hospital match"),"")</f>
        <v/>
      </c>
      <c r="M514" s="52"/>
      <c r="N514" s="52"/>
      <c r="O514" s="1" t="n">
        <f aca="false">IF(M514="Exclude (duplicate)",0,1)</f>
        <v>1</v>
      </c>
      <c r="P514" s="1" t="str">
        <f aca="false">IF(AND(L514&lt;&gt;"",M514=""),"Needs decision","")</f>
        <v/>
      </c>
    </row>
    <row r="515" customFormat="false" ht="15" hidden="false" customHeight="false" outlineLevel="0" collapsed="false">
      <c r="A515" s="48" t="str">
        <f aca="false">COST!A515</f>
        <v>KVMC-0511</v>
      </c>
      <c r="B515" s="48" t="str">
        <f aca="false">COST!B515</f>
        <v>KVMC</v>
      </c>
      <c r="C515" s="48" t="str">
        <f aca="false">COST!D515</f>
        <v>Free Clinic Provider Staffing</v>
      </c>
      <c r="D515" s="62" t="n">
        <f aca="false">COST!M515</f>
        <v>46203</v>
      </c>
      <c r="E515" s="48" t="str">
        <f aca="false">COST!P515</f>
        <v>Registered Nurse</v>
      </c>
      <c r="F515" s="63" t="n">
        <f aca="false">COST!R515</f>
        <v>40</v>
      </c>
      <c r="G515" s="48" t="str">
        <f aca="false">STACK!M515</f>
        <v/>
      </c>
      <c r="H515" s="1" t="str">
        <f aca="false">C515&amp;"|"&amp;IF(ISNUMBER(D515),TEXT(D515,"yyyy-mm-dd"),"no date")&amp;"|"&amp;E515&amp;"|"&amp;IF(ISNUMBER(F515),TEXT(F515,"0.00"),"blank")</f>
        <v>Free Clinic Provider Staffing|2026-06-30|Registered Nurse|40.00</v>
      </c>
      <c r="I515" s="1" t="n">
        <f aca="false">COUNTIF($H$5:$H$1624,H515)</f>
        <v>1</v>
      </c>
      <c r="J515" s="1" t="n">
        <f aca="false">COUNTIF($H$5:H515,H515)</f>
        <v>1</v>
      </c>
      <c r="K515" s="1" t="n">
        <f aca="false">COUNTIFS($H$5:$H$1624,H515,$B$5:$B$1624,"&lt;&gt;"&amp;B515)</f>
        <v>0</v>
      </c>
      <c r="L515" s="1" t="str">
        <f aca="false">IF(I515&gt;1,IF(K515&gt;0,"Cross-hospital match","Same-hospital match"),"")</f>
        <v/>
      </c>
      <c r="M515" s="52"/>
      <c r="N515" s="52"/>
      <c r="O515" s="1" t="n">
        <f aca="false">IF(M515="Exclude (duplicate)",0,1)</f>
        <v>1</v>
      </c>
      <c r="P515" s="1" t="str">
        <f aca="false">IF(AND(L515&lt;&gt;"",M515=""),"Needs decision","")</f>
        <v/>
      </c>
    </row>
    <row r="516" customFormat="false" ht="15" hidden="false" customHeight="false" outlineLevel="0" collapsed="false">
      <c r="A516" s="48" t="str">
        <f aca="false">COST!A516</f>
        <v>KVMC-0512</v>
      </c>
      <c r="B516" s="48" t="str">
        <f aca="false">COST!B516</f>
        <v>KVMC</v>
      </c>
      <c r="C516" s="48" t="str">
        <f aca="false">COST!D516</f>
        <v>Community Health Worker Outreach</v>
      </c>
      <c r="D516" s="62" t="n">
        <f aca="false">COST!M516</f>
        <v>46203</v>
      </c>
      <c r="E516" s="48" t="str">
        <f aca="false">COST!P516</f>
        <v>Community Health Worker</v>
      </c>
      <c r="F516" s="63" t="n">
        <f aca="false">COST!R516</f>
        <v>435</v>
      </c>
      <c r="G516" s="48" t="str">
        <f aca="false">STACK!M516</f>
        <v/>
      </c>
      <c r="H516" s="1" t="str">
        <f aca="false">C516&amp;"|"&amp;IF(ISNUMBER(D516),TEXT(D516,"yyyy-mm-dd"),"no date")&amp;"|"&amp;E516&amp;"|"&amp;IF(ISNUMBER(F516),TEXT(F516,"0.00"),"blank")</f>
        <v>Community Health Worker Outreach|2026-06-30|Community Health Worker|435.00</v>
      </c>
      <c r="I516" s="1" t="n">
        <f aca="false">COUNTIF($H$5:$H$1624,H516)</f>
        <v>1</v>
      </c>
      <c r="J516" s="1" t="n">
        <f aca="false">COUNTIF($H$5:H516,H516)</f>
        <v>1</v>
      </c>
      <c r="K516" s="1" t="n">
        <f aca="false">COUNTIFS($H$5:$H$1624,H516,$B$5:$B$1624,"&lt;&gt;"&amp;B516)</f>
        <v>0</v>
      </c>
      <c r="L516" s="1" t="str">
        <f aca="false">IF(I516&gt;1,IF(K516&gt;0,"Cross-hospital match","Same-hospital match"),"")</f>
        <v/>
      </c>
      <c r="M516" s="52"/>
      <c r="N516" s="52"/>
      <c r="O516" s="1" t="n">
        <f aca="false">IF(M516="Exclude (duplicate)",0,1)</f>
        <v>1</v>
      </c>
      <c r="P516" s="1" t="str">
        <f aca="false">IF(AND(L516&lt;&gt;"",M516=""),"Needs decision","")</f>
        <v/>
      </c>
    </row>
    <row r="517" customFormat="false" ht="15" hidden="false" customHeight="false" outlineLevel="0" collapsed="false">
      <c r="A517" s="48" t="str">
        <f aca="false">COST!A517</f>
        <v>KVMC-0513</v>
      </c>
      <c r="B517" s="48" t="str">
        <f aca="false">COST!B517</f>
        <v>KVMC</v>
      </c>
      <c r="C517" s="48" t="str">
        <f aca="false">COST!D517</f>
        <v>Community Health Worker Outreach</v>
      </c>
      <c r="D517" s="62" t="n">
        <f aca="false">COST!M517</f>
        <v>46203</v>
      </c>
      <c r="E517" s="48" t="str">
        <f aca="false">COST!P517</f>
        <v>Patient Navigator</v>
      </c>
      <c r="F517" s="63" t="n">
        <f aca="false">COST!R517</f>
        <v>175.25</v>
      </c>
      <c r="G517" s="48" t="str">
        <f aca="false">STACK!M517</f>
        <v/>
      </c>
      <c r="H517" s="1" t="str">
        <f aca="false">C517&amp;"|"&amp;IF(ISNUMBER(D517),TEXT(D517,"yyyy-mm-dd"),"no date")&amp;"|"&amp;E517&amp;"|"&amp;IF(ISNUMBER(F517),TEXT(F517,"0.00"),"blank")</f>
        <v>Community Health Worker Outreach|2026-06-30|Patient Navigator|175.25</v>
      </c>
      <c r="I517" s="1" t="n">
        <f aca="false">COUNTIF($H$5:$H$1624,H517)</f>
        <v>1</v>
      </c>
      <c r="J517" s="1" t="n">
        <f aca="false">COUNTIF($H$5:H517,H517)</f>
        <v>1</v>
      </c>
      <c r="K517" s="1" t="n">
        <f aca="false">COUNTIFS($H$5:$H$1624,H517,$B$5:$B$1624,"&lt;&gt;"&amp;B517)</f>
        <v>0</v>
      </c>
      <c r="L517" s="1" t="str">
        <f aca="false">IF(I517&gt;1,IF(K517&gt;0,"Cross-hospital match","Same-hospital match"),"")</f>
        <v/>
      </c>
      <c r="M517" s="52"/>
      <c r="N517" s="52"/>
      <c r="O517" s="1" t="n">
        <f aca="false">IF(M517="Exclude (duplicate)",0,1)</f>
        <v>1</v>
      </c>
      <c r="P517" s="1" t="str">
        <f aca="false">IF(AND(L517&lt;&gt;"",M517=""),"Needs decision","")</f>
        <v/>
      </c>
    </row>
    <row r="518" customFormat="false" ht="15" hidden="false" customHeight="false" outlineLevel="0" collapsed="false">
      <c r="A518" s="48" t="str">
        <f aca="false">COST!A518</f>
        <v>KVMC-0514</v>
      </c>
      <c r="B518" s="48" t="str">
        <f aca="false">COST!B518</f>
        <v>KVMC</v>
      </c>
      <c r="C518" s="48" t="str">
        <f aca="false">COST!D518</f>
        <v>Medication Assistance Program</v>
      </c>
      <c r="D518" s="62" t="n">
        <f aca="false">COST!M518</f>
        <v>46203</v>
      </c>
      <c r="E518" s="48" t="str">
        <f aca="false">COST!P518</f>
        <v>Patient Navigator</v>
      </c>
      <c r="F518" s="63" t="n">
        <f aca="false">COST!R518</f>
        <v>79</v>
      </c>
      <c r="G518" s="48" t="str">
        <f aca="false">STACK!M518</f>
        <v/>
      </c>
      <c r="H518" s="1" t="str">
        <f aca="false">C518&amp;"|"&amp;IF(ISNUMBER(D518),TEXT(D518,"yyyy-mm-dd"),"no date")&amp;"|"&amp;E518&amp;"|"&amp;IF(ISNUMBER(F518),TEXT(F518,"0.00"),"blank")</f>
        <v>Medication Assistance Program|2026-06-30|Patient Navigator|79.00</v>
      </c>
      <c r="I518" s="1" t="n">
        <f aca="false">COUNTIF($H$5:$H$1624,H518)</f>
        <v>1</v>
      </c>
      <c r="J518" s="1" t="n">
        <f aca="false">COUNTIF($H$5:H518,H518)</f>
        <v>1</v>
      </c>
      <c r="K518" s="1" t="n">
        <f aca="false">COUNTIFS($H$5:$H$1624,H518,$B$5:$B$1624,"&lt;&gt;"&amp;B518)</f>
        <v>0</v>
      </c>
      <c r="L518" s="1" t="str">
        <f aca="false">IF(I518&gt;1,IF(K518&gt;0,"Cross-hospital match","Same-hospital match"),"")</f>
        <v/>
      </c>
      <c r="M518" s="52"/>
      <c r="N518" s="52"/>
      <c r="O518" s="1" t="n">
        <f aca="false">IF(M518="Exclude (duplicate)",0,1)</f>
        <v>1</v>
      </c>
      <c r="P518" s="1" t="str">
        <f aca="false">IF(AND(L518&lt;&gt;"",M518=""),"Needs decision","")</f>
        <v/>
      </c>
    </row>
    <row r="519" customFormat="false" ht="15" hidden="false" customHeight="false" outlineLevel="0" collapsed="false">
      <c r="A519" s="48" t="str">
        <f aca="false">COST!A519</f>
        <v>KVMC-0515</v>
      </c>
      <c r="B519" s="48" t="str">
        <f aca="false">COST!B519</f>
        <v>KVMC</v>
      </c>
      <c r="C519" s="48" t="str">
        <f aca="false">COST!D519</f>
        <v>Medication Assistance Program</v>
      </c>
      <c r="D519" s="62" t="n">
        <f aca="false">COST!M519</f>
        <v>46203</v>
      </c>
      <c r="E519" s="48" t="str">
        <f aca="false">COST!P519</f>
        <v>Pharmacist</v>
      </c>
      <c r="F519" s="63" t="n">
        <f aca="false">COST!R519</f>
        <v>27.25</v>
      </c>
      <c r="G519" s="48" t="str">
        <f aca="false">STACK!M519</f>
        <v/>
      </c>
      <c r="H519" s="1" t="str">
        <f aca="false">C519&amp;"|"&amp;IF(ISNUMBER(D519),TEXT(D519,"yyyy-mm-dd"),"no date")&amp;"|"&amp;E519&amp;"|"&amp;IF(ISNUMBER(F519),TEXT(F519,"0.00"),"blank")</f>
        <v>Medication Assistance Program|2026-06-30|Pharmacist|27.25</v>
      </c>
      <c r="I519" s="1" t="n">
        <f aca="false">COUNTIF($H$5:$H$1624,H519)</f>
        <v>1</v>
      </c>
      <c r="J519" s="1" t="n">
        <f aca="false">COUNTIF($H$5:H519,H519)</f>
        <v>1</v>
      </c>
      <c r="K519" s="1" t="n">
        <f aca="false">COUNTIFS($H$5:$H$1624,H519,$B$5:$B$1624,"&lt;&gt;"&amp;B519)</f>
        <v>0</v>
      </c>
      <c r="L519" s="1" t="str">
        <f aca="false">IF(I519&gt;1,IF(K519&gt;0,"Cross-hospital match","Same-hospital match"),"")</f>
        <v/>
      </c>
      <c r="M519" s="52"/>
      <c r="N519" s="52"/>
      <c r="O519" s="1" t="n">
        <f aca="false">IF(M519="Exclude (duplicate)",0,1)</f>
        <v>1</v>
      </c>
      <c r="P519" s="1" t="str">
        <f aca="false">IF(AND(L519&lt;&gt;"",M519=""),"Needs decision","")</f>
        <v/>
      </c>
    </row>
    <row r="520" customFormat="false" ht="15" hidden="false" customHeight="false" outlineLevel="0" collapsed="false">
      <c r="A520" s="48" t="str">
        <f aca="false">COST!A520</f>
        <v>KVMC-0516</v>
      </c>
      <c r="B520" s="48" t="str">
        <f aca="false">COST!B520</f>
        <v>KVMC</v>
      </c>
      <c r="C520" s="48" t="str">
        <f aca="false">COST!D520</f>
        <v>Community Health Needs Assessment</v>
      </c>
      <c r="D520" s="62" t="n">
        <f aca="false">COST!M520</f>
        <v>46203</v>
      </c>
      <c r="E520" s="48" t="str">
        <f aca="false">COST!P520</f>
        <v>Community Benefit Manager</v>
      </c>
      <c r="F520" s="63" t="n">
        <f aca="false">COST!R520</f>
        <v>30.5</v>
      </c>
      <c r="G520" s="48" t="str">
        <f aca="false">STACK!M520</f>
        <v/>
      </c>
      <c r="H520" s="1" t="str">
        <f aca="false">C520&amp;"|"&amp;IF(ISNUMBER(D520),TEXT(D520,"yyyy-mm-dd"),"no date")&amp;"|"&amp;E520&amp;"|"&amp;IF(ISNUMBER(F520),TEXT(F520,"0.00"),"blank")</f>
        <v>Community Health Needs Assessment|2026-06-30|Community Benefit Manager|30.50</v>
      </c>
      <c r="I520" s="1" t="n">
        <f aca="false">COUNTIF($H$5:$H$1624,H520)</f>
        <v>1</v>
      </c>
      <c r="J520" s="1" t="n">
        <f aca="false">COUNTIF($H$5:H520,H520)</f>
        <v>1</v>
      </c>
      <c r="K520" s="1" t="n">
        <f aca="false">COUNTIFS($H$5:$H$1624,H520,$B$5:$B$1624,"&lt;&gt;"&amp;B520)</f>
        <v>0</v>
      </c>
      <c r="L520" s="1" t="str">
        <f aca="false">IF(I520&gt;1,IF(K520&gt;0,"Cross-hospital match","Same-hospital match"),"")</f>
        <v/>
      </c>
      <c r="M520" s="52"/>
      <c r="N520" s="52"/>
      <c r="O520" s="1" t="n">
        <f aca="false">IF(M520="Exclude (duplicate)",0,1)</f>
        <v>1</v>
      </c>
      <c r="P520" s="1" t="str">
        <f aca="false">IF(AND(L520&lt;&gt;"",M520=""),"Needs decision","")</f>
        <v/>
      </c>
    </row>
    <row r="521" customFormat="false" ht="15" hidden="false" customHeight="false" outlineLevel="0" collapsed="false">
      <c r="A521" s="48" t="str">
        <f aca="false">COST!A521</f>
        <v>KVMC-0517</v>
      </c>
      <c r="B521" s="48" t="str">
        <f aca="false">COST!B521</f>
        <v>KVMC</v>
      </c>
      <c r="C521" s="48" t="str">
        <f aca="false">COST!D521</f>
        <v>Community Health Needs Assessment</v>
      </c>
      <c r="D521" s="62" t="n">
        <f aca="false">COST!M521</f>
        <v>46203</v>
      </c>
      <c r="E521" s="48" t="str">
        <f aca="false">COST!P521</f>
        <v>Data Analyst</v>
      </c>
      <c r="F521" s="63" t="n">
        <f aca="false">COST!R521</f>
        <v>21.5</v>
      </c>
      <c r="G521" s="48" t="str">
        <f aca="false">STACK!M521</f>
        <v/>
      </c>
      <c r="H521" s="1" t="str">
        <f aca="false">C521&amp;"|"&amp;IF(ISNUMBER(D521),TEXT(D521,"yyyy-mm-dd"),"no date")&amp;"|"&amp;E521&amp;"|"&amp;IF(ISNUMBER(F521),TEXT(F521,"0.00"),"blank")</f>
        <v>Community Health Needs Assessment|2026-06-30|Data Analyst|21.50</v>
      </c>
      <c r="I521" s="1" t="n">
        <f aca="false">COUNTIF($H$5:$H$1624,H521)</f>
        <v>1</v>
      </c>
      <c r="J521" s="1" t="n">
        <f aca="false">COUNTIF($H$5:H521,H521)</f>
        <v>1</v>
      </c>
      <c r="K521" s="1" t="n">
        <f aca="false">COUNTIFS($H$5:$H$1624,H521,$B$5:$B$1624,"&lt;&gt;"&amp;B521)</f>
        <v>0</v>
      </c>
      <c r="L521" s="1" t="str">
        <f aca="false">IF(I521&gt;1,IF(K521&gt;0,"Cross-hospital match","Same-hospital match"),"")</f>
        <v/>
      </c>
      <c r="M521" s="52"/>
      <c r="N521" s="52"/>
      <c r="O521" s="1" t="n">
        <f aca="false">IF(M521="Exclude (duplicate)",0,1)</f>
        <v>1</v>
      </c>
      <c r="P521" s="1" t="str">
        <f aca="false">IF(AND(L521&lt;&gt;"",M521=""),"Needs decision","")</f>
        <v/>
      </c>
    </row>
    <row r="522" customFormat="false" ht="15" hidden="false" customHeight="false" outlineLevel="0" collapsed="false">
      <c r="A522" s="48" t="str">
        <f aca="false">COST!A522</f>
        <v>KVMC-0518</v>
      </c>
      <c r="B522" s="48" t="str">
        <f aca="false">COST!B522</f>
        <v>KVMC</v>
      </c>
      <c r="C522" s="48" t="str">
        <f aca="false">COST!D522</f>
        <v>Community Benefit Program Administration</v>
      </c>
      <c r="D522" s="62" t="n">
        <f aca="false">COST!M522</f>
        <v>46203</v>
      </c>
      <c r="E522" s="48" t="str">
        <f aca="false">COST!P522</f>
        <v>Administrative Assistant</v>
      </c>
      <c r="F522" s="63" t="n">
        <f aca="false">COST!R522</f>
        <v>55.25</v>
      </c>
      <c r="G522" s="48" t="str">
        <f aca="false">STACK!M522</f>
        <v/>
      </c>
      <c r="H522" s="1" t="str">
        <f aca="false">C522&amp;"|"&amp;IF(ISNUMBER(D522),TEXT(D522,"yyyy-mm-dd"),"no date")&amp;"|"&amp;E522&amp;"|"&amp;IF(ISNUMBER(F522),TEXT(F522,"0.00"),"blank")</f>
        <v>Community Benefit Program Administration|2026-06-30|Administrative Assistant|55.25</v>
      </c>
      <c r="I522" s="1" t="n">
        <f aca="false">COUNTIF($H$5:$H$1624,H522)</f>
        <v>1</v>
      </c>
      <c r="J522" s="1" t="n">
        <f aca="false">COUNTIF($H$5:H522,H522)</f>
        <v>1</v>
      </c>
      <c r="K522" s="1" t="n">
        <f aca="false">COUNTIFS($H$5:$H$1624,H522,$B$5:$B$1624,"&lt;&gt;"&amp;B522)</f>
        <v>0</v>
      </c>
      <c r="L522" s="1" t="str">
        <f aca="false">IF(I522&gt;1,IF(K522&gt;0,"Cross-hospital match","Same-hospital match"),"")</f>
        <v/>
      </c>
      <c r="M522" s="52"/>
      <c r="N522" s="52"/>
      <c r="O522" s="1" t="n">
        <f aca="false">IF(M522="Exclude (duplicate)",0,1)</f>
        <v>1</v>
      </c>
      <c r="P522" s="1" t="str">
        <f aca="false">IF(AND(L522&lt;&gt;"",M522=""),"Needs decision","")</f>
        <v/>
      </c>
    </row>
    <row r="523" customFormat="false" ht="15" hidden="false" customHeight="false" outlineLevel="0" collapsed="false">
      <c r="A523" s="48" t="str">
        <f aca="false">COST!A523</f>
        <v>KVMC-0519</v>
      </c>
      <c r="B523" s="48" t="str">
        <f aca="false">COST!B523</f>
        <v>KVMC</v>
      </c>
      <c r="C523" s="48" t="str">
        <f aca="false">COST!D523</f>
        <v>Community Benefit Program Administration</v>
      </c>
      <c r="D523" s="62" t="n">
        <f aca="false">COST!M523</f>
        <v>46203</v>
      </c>
      <c r="E523" s="48" t="str">
        <f aca="false">COST!P523</f>
        <v>Community Benefit Manager</v>
      </c>
      <c r="F523" s="63" t="n">
        <f aca="false">COST!R523</f>
        <v>81.75</v>
      </c>
      <c r="G523" s="48" t="str">
        <f aca="false">STACK!M523</f>
        <v/>
      </c>
      <c r="H523" s="1" t="str">
        <f aca="false">C523&amp;"|"&amp;IF(ISNUMBER(D523),TEXT(D523,"yyyy-mm-dd"),"no date")&amp;"|"&amp;E523&amp;"|"&amp;IF(ISNUMBER(F523),TEXT(F523,"0.00"),"blank")</f>
        <v>Community Benefit Program Administration|2026-06-30|Community Benefit Manager|81.75</v>
      </c>
      <c r="I523" s="1" t="n">
        <f aca="false">COUNTIF($H$5:$H$1624,H523)</f>
        <v>1</v>
      </c>
      <c r="J523" s="1" t="n">
        <f aca="false">COUNTIF($H$5:H523,H523)</f>
        <v>1</v>
      </c>
      <c r="K523" s="1" t="n">
        <f aca="false">COUNTIFS($H$5:$H$1624,H523,$B$5:$B$1624,"&lt;&gt;"&amp;B523)</f>
        <v>0</v>
      </c>
      <c r="L523" s="1" t="str">
        <f aca="false">IF(I523&gt;1,IF(K523&gt;0,"Cross-hospital match","Same-hospital match"),"")</f>
        <v/>
      </c>
      <c r="M523" s="52"/>
      <c r="N523" s="52"/>
      <c r="O523" s="1" t="n">
        <f aca="false">IF(M523="Exclude (duplicate)",0,1)</f>
        <v>1</v>
      </c>
      <c r="P523" s="1" t="str">
        <f aca="false">IF(AND(L523&lt;&gt;"",M523=""),"Needs decision","")</f>
        <v/>
      </c>
    </row>
    <row r="524" customFormat="false" ht="15" hidden="false" customHeight="false" outlineLevel="0" collapsed="false">
      <c r="A524" s="48" t="str">
        <f aca="false">COST!A524</f>
        <v>KVMC-0520</v>
      </c>
      <c r="B524" s="48" t="str">
        <f aca="false">COST!B524</f>
        <v>KVMC</v>
      </c>
      <c r="C524" s="48" t="str">
        <f aca="false">COST!D524</f>
        <v>Interpreter Services for Community Clinics</v>
      </c>
      <c r="D524" s="62" t="n">
        <f aca="false">COST!M524</f>
        <v>46203</v>
      </c>
      <c r="E524" s="48" t="str">
        <f aca="false">COST!P524</f>
        <v>Interpreter</v>
      </c>
      <c r="F524" s="63" t="n">
        <f aca="false">COST!R524</f>
        <v>72</v>
      </c>
      <c r="G524" s="48" t="str">
        <f aca="false">STACK!M524</f>
        <v/>
      </c>
      <c r="H524" s="1" t="str">
        <f aca="false">C524&amp;"|"&amp;IF(ISNUMBER(D524),TEXT(D524,"yyyy-mm-dd"),"no date")&amp;"|"&amp;E524&amp;"|"&amp;IF(ISNUMBER(F524),TEXT(F524,"0.00"),"blank")</f>
        <v>Interpreter Services for Community Clinics|2026-06-30|Interpreter|72.00</v>
      </c>
      <c r="I524" s="1" t="n">
        <f aca="false">COUNTIF($H$5:$H$1624,H524)</f>
        <v>1</v>
      </c>
      <c r="J524" s="1" t="n">
        <f aca="false">COUNTIF($H$5:H524,H524)</f>
        <v>1</v>
      </c>
      <c r="K524" s="1" t="n">
        <f aca="false">COUNTIFS($H$5:$H$1624,H524,$B$5:$B$1624,"&lt;&gt;"&amp;B524)</f>
        <v>0</v>
      </c>
      <c r="L524" s="1" t="str">
        <f aca="false">IF(I524&gt;1,IF(K524&gt;0,"Cross-hospital match","Same-hospital match"),"")</f>
        <v/>
      </c>
      <c r="M524" s="52"/>
      <c r="N524" s="52"/>
      <c r="O524" s="1" t="n">
        <f aca="false">IF(M524="Exclude (duplicate)",0,1)</f>
        <v>1</v>
      </c>
      <c r="P524" s="1" t="str">
        <f aca="false">IF(AND(L524&lt;&gt;"",M524=""),"Needs decision","")</f>
        <v/>
      </c>
    </row>
    <row r="525" customFormat="false" ht="15" hidden="false" customHeight="false" outlineLevel="0" collapsed="false">
      <c r="A525" s="48" t="str">
        <f aca="false">COST!A525</f>
        <v>KVMC-0521</v>
      </c>
      <c r="B525" s="48" t="str">
        <f aca="false">COST!B525</f>
        <v>KVMC</v>
      </c>
      <c r="C525" s="48" t="str">
        <f aca="false">COST!D525</f>
        <v>Nursing Student Clinical Rotations</v>
      </c>
      <c r="D525" s="62" t="n">
        <f aca="false">COST!M525</f>
        <v>46203</v>
      </c>
      <c r="E525" s="48" t="str">
        <f aca="false">COST!P525</f>
        <v>Clinical Nurse Educator</v>
      </c>
      <c r="F525" s="63" t="n">
        <f aca="false">COST!R525</f>
        <v>47.5</v>
      </c>
      <c r="G525" s="48" t="str">
        <f aca="false">STACK!M525</f>
        <v/>
      </c>
      <c r="H525" s="1" t="str">
        <f aca="false">C525&amp;"|"&amp;IF(ISNUMBER(D525),TEXT(D525,"yyyy-mm-dd"),"no date")&amp;"|"&amp;E525&amp;"|"&amp;IF(ISNUMBER(F525),TEXT(F525,"0.00"),"blank")</f>
        <v>Nursing Student Clinical Rotations|2026-06-30|Clinical Nurse Educator|47.50</v>
      </c>
      <c r="I525" s="1" t="n">
        <f aca="false">COUNTIF($H$5:$H$1624,H525)</f>
        <v>1</v>
      </c>
      <c r="J525" s="1" t="n">
        <f aca="false">COUNTIF($H$5:H525,H525)</f>
        <v>1</v>
      </c>
      <c r="K525" s="1" t="n">
        <f aca="false">COUNTIFS($H$5:$H$1624,H525,$B$5:$B$1624,"&lt;&gt;"&amp;B525)</f>
        <v>0</v>
      </c>
      <c r="L525" s="1" t="str">
        <f aca="false">IF(I525&gt;1,IF(K525&gt;0,"Cross-hospital match","Same-hospital match"),"")</f>
        <v/>
      </c>
      <c r="M525" s="52"/>
      <c r="N525" s="52"/>
      <c r="O525" s="1" t="n">
        <f aca="false">IF(M525="Exclude (duplicate)",0,1)</f>
        <v>1</v>
      </c>
      <c r="P525" s="1" t="str">
        <f aca="false">IF(AND(L525&lt;&gt;"",M525=""),"Needs decision","")</f>
        <v/>
      </c>
    </row>
    <row r="526" customFormat="false" ht="15" hidden="false" customHeight="false" outlineLevel="0" collapsed="false">
      <c r="A526" s="48" t="str">
        <f aca="false">COST!A526</f>
        <v>KVMC-0522</v>
      </c>
      <c r="B526" s="48" t="str">
        <f aca="false">COST!B526</f>
        <v>KVMC</v>
      </c>
      <c r="C526" s="48" t="str">
        <f aca="false">COST!D526</f>
        <v>Nursing Student Clinical Rotations</v>
      </c>
      <c r="D526" s="62" t="n">
        <f aca="false">COST!M526</f>
        <v>46203</v>
      </c>
      <c r="E526" s="48" t="str">
        <f aca="false">COST!P526</f>
        <v>Registered Nurse</v>
      </c>
      <c r="F526" s="63" t="n">
        <f aca="false">COST!R526</f>
        <v>121</v>
      </c>
      <c r="G526" s="48" t="str">
        <f aca="false">STACK!M526</f>
        <v/>
      </c>
      <c r="H526" s="1" t="str">
        <f aca="false">C526&amp;"|"&amp;IF(ISNUMBER(D526),TEXT(D526,"yyyy-mm-dd"),"no date")&amp;"|"&amp;E526&amp;"|"&amp;IF(ISNUMBER(F526),TEXT(F526,"0.00"),"blank")</f>
        <v>Nursing Student Clinical Rotations|2026-06-30|Registered Nurse|121.00</v>
      </c>
      <c r="I526" s="1" t="n">
        <f aca="false">COUNTIF($H$5:$H$1624,H526)</f>
        <v>1</v>
      </c>
      <c r="J526" s="1" t="n">
        <f aca="false">COUNTIF($H$5:H526,H526)</f>
        <v>1</v>
      </c>
      <c r="K526" s="1" t="n">
        <f aca="false">COUNTIFS($H$5:$H$1624,H526,$B$5:$B$1624,"&lt;&gt;"&amp;B526)</f>
        <v>0</v>
      </c>
      <c r="L526" s="1" t="str">
        <f aca="false">IF(I526&gt;1,IF(K526&gt;0,"Cross-hospital match","Same-hospital match"),"")</f>
        <v/>
      </c>
      <c r="M526" s="52"/>
      <c r="N526" s="52"/>
      <c r="O526" s="1" t="n">
        <f aca="false">IF(M526="Exclude (duplicate)",0,1)</f>
        <v>1</v>
      </c>
      <c r="P526" s="1" t="str">
        <f aca="false">IF(AND(L526&lt;&gt;"",M526=""),"Needs decision","")</f>
        <v/>
      </c>
    </row>
    <row r="527" customFormat="false" ht="15" hidden="false" customHeight="false" outlineLevel="0" collapsed="false">
      <c r="A527" s="48" t="str">
        <f aca="false">COST!A527</f>
        <v>KVMC-0523</v>
      </c>
      <c r="B527" s="48" t="str">
        <f aca="false">COST!B527</f>
        <v>KVMC</v>
      </c>
      <c r="C527" s="48" t="str">
        <f aca="false">COST!D527</f>
        <v>Family Medicine Residency Program</v>
      </c>
      <c r="D527" s="62" t="n">
        <f aca="false">COST!M527</f>
        <v>46203</v>
      </c>
      <c r="E527" s="48" t="str">
        <f aca="false">COST!P527</f>
        <v>Physician</v>
      </c>
      <c r="F527" s="63" t="n">
        <f aca="false">COST!R527</f>
        <v>394.25</v>
      </c>
      <c r="G527" s="48" t="str">
        <f aca="false">STACK!M527</f>
        <v/>
      </c>
      <c r="H527" s="1" t="str">
        <f aca="false">C527&amp;"|"&amp;IF(ISNUMBER(D527),TEXT(D527,"yyyy-mm-dd"),"no date")&amp;"|"&amp;E527&amp;"|"&amp;IF(ISNUMBER(F527),TEXT(F527,"0.00"),"blank")</f>
        <v>Family Medicine Residency Program|2026-06-30|Physician|394.25</v>
      </c>
      <c r="I527" s="1" t="n">
        <f aca="false">COUNTIF($H$5:$H$1624,H527)</f>
        <v>1</v>
      </c>
      <c r="J527" s="1" t="n">
        <f aca="false">COUNTIF($H$5:H527,H527)</f>
        <v>1</v>
      </c>
      <c r="K527" s="1" t="n">
        <f aca="false">COUNTIFS($H$5:$H$1624,H527,$B$5:$B$1624,"&lt;&gt;"&amp;B527)</f>
        <v>0</v>
      </c>
      <c r="L527" s="1" t="str">
        <f aca="false">IF(I527&gt;1,IF(K527&gt;0,"Cross-hospital match","Same-hospital match"),"")</f>
        <v/>
      </c>
      <c r="M527" s="52"/>
      <c r="N527" s="52"/>
      <c r="O527" s="1" t="n">
        <f aca="false">IF(M527="Exclude (duplicate)",0,1)</f>
        <v>1</v>
      </c>
      <c r="P527" s="1" t="str">
        <f aca="false">IF(AND(L527&lt;&gt;"",M527=""),"Needs decision","")</f>
        <v/>
      </c>
    </row>
    <row r="528" customFormat="false" ht="15" hidden="false" customHeight="false" outlineLevel="0" collapsed="false">
      <c r="A528" s="48" t="str">
        <f aca="false">COST!A528</f>
        <v>KVMC-0524</v>
      </c>
      <c r="B528" s="48" t="str">
        <f aca="false">COST!B528</f>
        <v>KVMC</v>
      </c>
      <c r="C528" s="48" t="str">
        <f aca="false">COST!D528</f>
        <v>Family Medicine Residency Program</v>
      </c>
      <c r="D528" s="62" t="n">
        <f aca="false">COST!M528</f>
        <v>46203</v>
      </c>
      <c r="E528" s="48" t="str">
        <f aca="false">COST!P528</f>
        <v>Program Coordinator</v>
      </c>
      <c r="F528" s="63" t="n">
        <f aca="false">COST!R528</f>
        <v>171.75</v>
      </c>
      <c r="G528" s="48" t="str">
        <f aca="false">STACK!M528</f>
        <v/>
      </c>
      <c r="H528" s="1" t="str">
        <f aca="false">C528&amp;"|"&amp;IF(ISNUMBER(D528),TEXT(D528,"yyyy-mm-dd"),"no date")&amp;"|"&amp;E528&amp;"|"&amp;IF(ISNUMBER(F528),TEXT(F528,"0.00"),"blank")</f>
        <v>Family Medicine Residency Program|2026-06-30|Program Coordinator|171.75</v>
      </c>
      <c r="I528" s="1" t="n">
        <f aca="false">COUNTIF($H$5:$H$1624,H528)</f>
        <v>1</v>
      </c>
      <c r="J528" s="1" t="n">
        <f aca="false">COUNTIF($H$5:H528,H528)</f>
        <v>1</v>
      </c>
      <c r="K528" s="1" t="n">
        <f aca="false">COUNTIFS($H$5:$H$1624,H528,$B$5:$B$1624,"&lt;&gt;"&amp;B528)</f>
        <v>0</v>
      </c>
      <c r="L528" s="1" t="str">
        <f aca="false">IF(I528&gt;1,IF(K528&gt;0,"Cross-hospital match","Same-hospital match"),"")</f>
        <v/>
      </c>
      <c r="M528" s="52"/>
      <c r="N528" s="52"/>
      <c r="O528" s="1" t="n">
        <f aca="false">IF(M528="Exclude (duplicate)",0,1)</f>
        <v>1</v>
      </c>
      <c r="P528" s="1" t="str">
        <f aca="false">IF(AND(L528&lt;&gt;"",M528=""),"Needs decision","")</f>
        <v/>
      </c>
    </row>
    <row r="529" customFormat="false" ht="15" hidden="false" customHeight="false" outlineLevel="0" collapsed="false">
      <c r="A529" s="48" t="str">
        <f aca="false">COST!A529</f>
        <v>KVMC-0525</v>
      </c>
      <c r="B529" s="48" t="str">
        <f aca="false">COST!B529</f>
        <v>KVMC</v>
      </c>
      <c r="C529" s="48" t="str">
        <f aca="false">COST!D529</f>
        <v>Family Medicine Residency Program</v>
      </c>
      <c r="D529" s="62" t="n">
        <f aca="false">COST!M529</f>
        <v>46203</v>
      </c>
      <c r="E529" s="48" t="str">
        <f aca="false">COST!P529</f>
        <v>Resident Physician</v>
      </c>
      <c r="F529" s="63" t="n">
        <f aca="false">COST!R529</f>
        <v>3947.25</v>
      </c>
      <c r="G529" s="48" t="str">
        <f aca="false">STACK!M529</f>
        <v/>
      </c>
      <c r="H529" s="1" t="str">
        <f aca="false">C529&amp;"|"&amp;IF(ISNUMBER(D529),TEXT(D529,"yyyy-mm-dd"),"no date")&amp;"|"&amp;E529&amp;"|"&amp;IF(ISNUMBER(F529),TEXT(F529,"0.00"),"blank")</f>
        <v>Family Medicine Residency Program|2026-06-30|Resident Physician|3947.25</v>
      </c>
      <c r="I529" s="1" t="n">
        <f aca="false">COUNTIF($H$5:$H$1624,H529)</f>
        <v>1</v>
      </c>
      <c r="J529" s="1" t="n">
        <f aca="false">COUNTIF($H$5:H529,H529)</f>
        <v>1</v>
      </c>
      <c r="K529" s="1" t="n">
        <f aca="false">COUNTIFS($H$5:$H$1624,H529,$B$5:$B$1624,"&lt;&gt;"&amp;B529)</f>
        <v>0</v>
      </c>
      <c r="L529" s="1" t="str">
        <f aca="false">IF(I529&gt;1,IF(K529&gt;0,"Cross-hospital match","Same-hospital match"),"")</f>
        <v/>
      </c>
      <c r="M529" s="52"/>
      <c r="N529" s="52"/>
      <c r="O529" s="1" t="n">
        <f aca="false">IF(M529="Exclude (duplicate)",0,1)</f>
        <v>1</v>
      </c>
      <c r="P529" s="1" t="str">
        <f aca="false">IF(AND(L529&lt;&gt;"",M529=""),"Needs decision","")</f>
        <v/>
      </c>
    </row>
    <row r="530" customFormat="false" ht="15" hidden="false" customHeight="false" outlineLevel="0" collapsed="false">
      <c r="A530" s="48" t="str">
        <f aca="false">COST!A530</f>
        <v>KVMC-0526</v>
      </c>
      <c r="B530" s="48" t="str">
        <f aca="false">COST!B530</f>
        <v>KVMC</v>
      </c>
      <c r="C530" s="48" t="str">
        <f aca="false">COST!D530</f>
        <v>Pharmacy Student Rotations</v>
      </c>
      <c r="D530" s="62" t="n">
        <f aca="false">COST!M530</f>
        <v>46203</v>
      </c>
      <c r="E530" s="48" t="str">
        <f aca="false">COST!P530</f>
        <v>Pharmacist</v>
      </c>
      <c r="F530" s="63" t="n">
        <f aca="false">COST!R530</f>
        <v>52.5</v>
      </c>
      <c r="G530" s="48" t="str">
        <f aca="false">STACK!M530</f>
        <v/>
      </c>
      <c r="H530" s="1" t="str">
        <f aca="false">C530&amp;"|"&amp;IF(ISNUMBER(D530),TEXT(D530,"yyyy-mm-dd"),"no date")&amp;"|"&amp;E530&amp;"|"&amp;IF(ISNUMBER(F530),TEXT(F530,"0.00"),"blank")</f>
        <v>Pharmacy Student Rotations|2026-06-30|Pharmacist|52.50</v>
      </c>
      <c r="I530" s="1" t="n">
        <f aca="false">COUNTIF($H$5:$H$1624,H530)</f>
        <v>1</v>
      </c>
      <c r="J530" s="1" t="n">
        <f aca="false">COUNTIF($H$5:H530,H530)</f>
        <v>1</v>
      </c>
      <c r="K530" s="1" t="n">
        <f aca="false">COUNTIFS($H$5:$H$1624,H530,$B$5:$B$1624,"&lt;&gt;"&amp;B530)</f>
        <v>0</v>
      </c>
      <c r="L530" s="1" t="str">
        <f aca="false">IF(I530&gt;1,IF(K530&gt;0,"Cross-hospital match","Same-hospital match"),"")</f>
        <v/>
      </c>
      <c r="M530" s="52"/>
      <c r="N530" s="52"/>
      <c r="O530" s="1" t="n">
        <f aca="false">IF(M530="Exclude (duplicate)",0,1)</f>
        <v>1</v>
      </c>
      <c r="P530" s="1" t="str">
        <f aca="false">IF(AND(L530&lt;&gt;"",M530=""),"Needs decision","")</f>
        <v/>
      </c>
    </row>
    <row r="531" customFormat="false" ht="15" hidden="false" customHeight="false" outlineLevel="0" collapsed="false">
      <c r="A531" s="48" t="str">
        <f aca="false">COST!A531</f>
        <v>KVMC-0527</v>
      </c>
      <c r="B531" s="48" t="str">
        <f aca="false">COST!B531</f>
        <v>KVMC</v>
      </c>
      <c r="C531" s="48" t="str">
        <f aca="false">COST!D531</f>
        <v>Community Hypertension Control Study</v>
      </c>
      <c r="D531" s="62" t="n">
        <f aca="false">COST!M531</f>
        <v>46203</v>
      </c>
      <c r="E531" s="48" t="str">
        <f aca="false">COST!P531</f>
        <v>Data Analyst</v>
      </c>
      <c r="F531" s="63" t="n">
        <f aca="false">COST!R531</f>
        <v>58</v>
      </c>
      <c r="G531" s="48" t="str">
        <f aca="false">STACK!M531</f>
        <v/>
      </c>
      <c r="H531" s="1" t="str">
        <f aca="false">C531&amp;"|"&amp;IF(ISNUMBER(D531),TEXT(D531,"yyyy-mm-dd"),"no date")&amp;"|"&amp;E531&amp;"|"&amp;IF(ISNUMBER(F531),TEXT(F531,"0.00"),"blank")</f>
        <v>Community Hypertension Control Study|2026-06-30|Data Analyst|58.00</v>
      </c>
      <c r="I531" s="1" t="n">
        <f aca="false">COUNTIF($H$5:$H$1624,H531)</f>
        <v>1</v>
      </c>
      <c r="J531" s="1" t="n">
        <f aca="false">COUNTIF($H$5:H531,H531)</f>
        <v>1</v>
      </c>
      <c r="K531" s="1" t="n">
        <f aca="false">COUNTIFS($H$5:$H$1624,H531,$B$5:$B$1624,"&lt;&gt;"&amp;B531)</f>
        <v>0</v>
      </c>
      <c r="L531" s="1" t="str">
        <f aca="false">IF(I531&gt;1,IF(K531&gt;0,"Cross-hospital match","Same-hospital match"),"")</f>
        <v/>
      </c>
      <c r="M531" s="52"/>
      <c r="N531" s="52"/>
      <c r="O531" s="1" t="n">
        <f aca="false">IF(M531="Exclude (duplicate)",0,1)</f>
        <v>1</v>
      </c>
      <c r="P531" s="1" t="str">
        <f aca="false">IF(AND(L531&lt;&gt;"",M531=""),"Needs decision","")</f>
        <v/>
      </c>
    </row>
    <row r="532" customFormat="false" ht="15" hidden="false" customHeight="false" outlineLevel="0" collapsed="false">
      <c r="A532" s="48" t="str">
        <f aca="false">COST!A532</f>
        <v>KVMC-0528</v>
      </c>
      <c r="B532" s="48" t="str">
        <f aca="false">COST!B532</f>
        <v>KVMC</v>
      </c>
      <c r="C532" s="48" t="str">
        <f aca="false">COST!D532</f>
        <v>Community Hypertension Control Study</v>
      </c>
      <c r="D532" s="62" t="n">
        <f aca="false">COST!M532</f>
        <v>46203</v>
      </c>
      <c r="E532" s="48" t="str">
        <f aca="false">COST!P532</f>
        <v>Physician</v>
      </c>
      <c r="F532" s="63" t="n">
        <f aca="false">COST!R532</f>
        <v>20.75</v>
      </c>
      <c r="G532" s="48" t="str">
        <f aca="false">STACK!M532</f>
        <v/>
      </c>
      <c r="H532" s="1" t="str">
        <f aca="false">C532&amp;"|"&amp;IF(ISNUMBER(D532),TEXT(D532,"yyyy-mm-dd"),"no date")&amp;"|"&amp;E532&amp;"|"&amp;IF(ISNUMBER(F532),TEXT(F532,"0.00"),"blank")</f>
        <v>Community Hypertension Control Study|2026-06-30|Physician|20.75</v>
      </c>
      <c r="I532" s="1" t="n">
        <f aca="false">COUNTIF($H$5:$H$1624,H532)</f>
        <v>1</v>
      </c>
      <c r="J532" s="1" t="n">
        <f aca="false">COUNTIF($H$5:H532,H532)</f>
        <v>1</v>
      </c>
      <c r="K532" s="1" t="n">
        <f aca="false">COUNTIFS($H$5:$H$1624,H532,$B$5:$B$1624,"&lt;&gt;"&amp;B532)</f>
        <v>0</v>
      </c>
      <c r="L532" s="1" t="str">
        <f aca="false">IF(I532&gt;1,IF(K532&gt;0,"Cross-hospital match","Same-hospital match"),"")</f>
        <v/>
      </c>
      <c r="M532" s="52"/>
      <c r="N532" s="52"/>
      <c r="O532" s="1" t="n">
        <f aca="false">IF(M532="Exclude (duplicate)",0,1)</f>
        <v>1</v>
      </c>
      <c r="P532" s="1" t="str">
        <f aca="false">IF(AND(L532&lt;&gt;"",M532=""),"Needs decision","")</f>
        <v/>
      </c>
    </row>
    <row r="533" customFormat="false" ht="15" hidden="false" customHeight="false" outlineLevel="0" collapsed="false">
      <c r="A533" s="48" t="str">
        <f aca="false">COST!A533</f>
        <v>KVMC-0529</v>
      </c>
      <c r="B533" s="48" t="str">
        <f aca="false">COST!B533</f>
        <v>KVMC</v>
      </c>
      <c r="C533" s="48" t="str">
        <f aca="false">COST!D533</f>
        <v>Community Hypertension Control Study</v>
      </c>
      <c r="D533" s="62" t="n">
        <f aca="false">COST!M533</f>
        <v>46203</v>
      </c>
      <c r="E533" s="48" t="str">
        <f aca="false">COST!P533</f>
        <v>Research Coordinator</v>
      </c>
      <c r="F533" s="63" t="n">
        <f aca="false">COST!R533</f>
        <v>199</v>
      </c>
      <c r="G533" s="48" t="str">
        <f aca="false">STACK!M533</f>
        <v/>
      </c>
      <c r="H533" s="1" t="str">
        <f aca="false">C533&amp;"|"&amp;IF(ISNUMBER(D533),TEXT(D533,"yyyy-mm-dd"),"no date")&amp;"|"&amp;E533&amp;"|"&amp;IF(ISNUMBER(F533),TEXT(F533,"0.00"),"blank")</f>
        <v>Community Hypertension Control Study|2026-06-30|Research Coordinator|199.00</v>
      </c>
      <c r="I533" s="1" t="n">
        <f aca="false">COUNTIF($H$5:$H$1624,H533)</f>
        <v>1</v>
      </c>
      <c r="J533" s="1" t="n">
        <f aca="false">COUNTIF($H$5:H533,H533)</f>
        <v>1</v>
      </c>
      <c r="K533" s="1" t="n">
        <f aca="false">COUNTIFS($H$5:$H$1624,H533,$B$5:$B$1624,"&lt;&gt;"&amp;B533)</f>
        <v>0</v>
      </c>
      <c r="L533" s="1" t="str">
        <f aca="false">IF(I533&gt;1,IF(K533&gt;0,"Cross-hospital match","Same-hospital match"),"")</f>
        <v/>
      </c>
      <c r="M533" s="52"/>
      <c r="N533" s="52"/>
      <c r="O533" s="1" t="n">
        <f aca="false">IF(M533="Exclude (duplicate)",0,1)</f>
        <v>1</v>
      </c>
      <c r="P533" s="1" t="str">
        <f aca="false">IF(AND(L533&lt;&gt;"",M533=""),"Needs decision","")</f>
        <v/>
      </c>
    </row>
    <row r="534" customFormat="false" ht="15" hidden="false" customHeight="false" outlineLevel="0" collapsed="false">
      <c r="A534" s="48" t="str">
        <f aca="false">COST!A534</f>
        <v>ASH-0001</v>
      </c>
      <c r="B534" s="48" t="str">
        <f aca="false">COST!B534</f>
        <v>ASH</v>
      </c>
      <c r="C534" s="48" t="str">
        <f aca="false">COST!D534</f>
        <v>Diabetes Prevention Classes</v>
      </c>
      <c r="D534" s="62" t="n">
        <f aca="false">COST!M534</f>
        <v>45843</v>
      </c>
      <c r="E534" s="48" t="str">
        <f aca="false">COST!P534</f>
        <v>Health Educator</v>
      </c>
      <c r="F534" s="63" t="n">
        <f aca="false">COST!R534</f>
        <v>2</v>
      </c>
      <c r="G534" s="48" t="str">
        <f aca="false">STACK!M534</f>
        <v/>
      </c>
      <c r="H534" s="1" t="str">
        <f aca="false">C534&amp;"|"&amp;IF(ISNUMBER(D534),TEXT(D534,"yyyy-mm-dd"),"no date")&amp;"|"&amp;E534&amp;"|"&amp;IF(ISNUMBER(F534),TEXT(F534,"0.00"),"blank")</f>
        <v>Diabetes Prevention Classes|2025-07-05|Health Educator|2.00</v>
      </c>
      <c r="I534" s="1" t="n">
        <f aca="false">COUNTIF($H$5:$H$1624,H534)</f>
        <v>1</v>
      </c>
      <c r="J534" s="1" t="n">
        <f aca="false">COUNTIF($H$5:H534,H534)</f>
        <v>1</v>
      </c>
      <c r="K534" s="1" t="n">
        <f aca="false">COUNTIFS($H$5:$H$1624,H534,$B$5:$B$1624,"&lt;&gt;"&amp;B534)</f>
        <v>0</v>
      </c>
      <c r="L534" s="1" t="str">
        <f aca="false">IF(I534&gt;1,IF(K534&gt;0,"Cross-hospital match","Same-hospital match"),"")</f>
        <v/>
      </c>
      <c r="M534" s="52"/>
      <c r="N534" s="52"/>
      <c r="O534" s="1" t="n">
        <f aca="false">IF(M534="Exclude (duplicate)",0,1)</f>
        <v>1</v>
      </c>
      <c r="P534" s="1" t="str">
        <f aca="false">IF(AND(L534&lt;&gt;"",M534=""),"Needs decision","")</f>
        <v/>
      </c>
    </row>
    <row r="535" customFormat="false" ht="15" hidden="false" customHeight="false" outlineLevel="0" collapsed="false">
      <c r="A535" s="48" t="str">
        <f aca="false">COST!A535</f>
        <v>ASH-0002</v>
      </c>
      <c r="B535" s="48" t="str">
        <f aca="false">COST!B535</f>
        <v>ASH</v>
      </c>
      <c r="C535" s="48" t="str">
        <f aca="false">COST!D535</f>
        <v>Diabetes Prevention Classes</v>
      </c>
      <c r="D535" s="62" t="n">
        <f aca="false">COST!M535</f>
        <v>45843</v>
      </c>
      <c r="E535" s="48" t="str">
        <f aca="false">COST!P535</f>
        <v>Registered Dietitian</v>
      </c>
      <c r="F535" s="63" t="n">
        <f aca="false">COST!R535</f>
        <v>1.75</v>
      </c>
      <c r="G535" s="48" t="str">
        <f aca="false">STACK!M535</f>
        <v/>
      </c>
      <c r="H535" s="1" t="str">
        <f aca="false">C535&amp;"|"&amp;IF(ISNUMBER(D535),TEXT(D535,"yyyy-mm-dd"),"no date")&amp;"|"&amp;E535&amp;"|"&amp;IF(ISNUMBER(F535),TEXT(F535,"0.00"),"blank")</f>
        <v>Diabetes Prevention Classes|2025-07-05|Registered Dietitian|1.75</v>
      </c>
      <c r="I535" s="1" t="n">
        <f aca="false">COUNTIF($H$5:$H$1624,H535)</f>
        <v>1</v>
      </c>
      <c r="J535" s="1" t="n">
        <f aca="false">COUNTIF($H$5:H535,H535)</f>
        <v>1</v>
      </c>
      <c r="K535" s="1" t="n">
        <f aca="false">COUNTIFS($H$5:$H$1624,H535,$B$5:$B$1624,"&lt;&gt;"&amp;B535)</f>
        <v>0</v>
      </c>
      <c r="L535" s="1" t="str">
        <f aca="false">IF(I535&gt;1,IF(K535&gt;0,"Cross-hospital match","Same-hospital match"),"")</f>
        <v/>
      </c>
      <c r="M535" s="52"/>
      <c r="N535" s="52"/>
      <c r="O535" s="1" t="n">
        <f aca="false">IF(M535="Exclude (duplicate)",0,1)</f>
        <v>1</v>
      </c>
      <c r="P535" s="1" t="str">
        <f aca="false">IF(AND(L535&lt;&gt;"",M535=""),"Needs decision","")</f>
        <v/>
      </c>
    </row>
    <row r="536" customFormat="false" ht="15" hidden="false" customHeight="false" outlineLevel="0" collapsed="false">
      <c r="A536" s="48" t="str">
        <f aca="false">COST!A536</f>
        <v>ASH-0003</v>
      </c>
      <c r="B536" s="48" t="str">
        <f aca="false">COST!B536</f>
        <v>ASH</v>
      </c>
      <c r="C536" s="48" t="str">
        <f aca="false">COST!D536</f>
        <v>Diabetes Prevention Classes</v>
      </c>
      <c r="D536" s="62" t="n">
        <f aca="false">COST!M536</f>
        <v>45846</v>
      </c>
      <c r="E536" s="48" t="str">
        <f aca="false">COST!P536</f>
        <v>Health Educator</v>
      </c>
      <c r="F536" s="63" t="n">
        <f aca="false">COST!R536</f>
        <v>2</v>
      </c>
      <c r="G536" s="48" t="str">
        <f aca="false">STACK!M536</f>
        <v/>
      </c>
      <c r="H536" s="1" t="str">
        <f aca="false">C536&amp;"|"&amp;IF(ISNUMBER(D536),TEXT(D536,"yyyy-mm-dd"),"no date")&amp;"|"&amp;E536&amp;"|"&amp;IF(ISNUMBER(F536),TEXT(F536,"0.00"),"blank")</f>
        <v>Diabetes Prevention Classes|2025-07-08|Health Educator|2.00</v>
      </c>
      <c r="I536" s="1" t="n">
        <f aca="false">COUNTIF($H$5:$H$1624,H536)</f>
        <v>1</v>
      </c>
      <c r="J536" s="1" t="n">
        <f aca="false">COUNTIF($H$5:H536,H536)</f>
        <v>1</v>
      </c>
      <c r="K536" s="1" t="n">
        <f aca="false">COUNTIFS($H$5:$H$1624,H536,$B$5:$B$1624,"&lt;&gt;"&amp;B536)</f>
        <v>0</v>
      </c>
      <c r="L536" s="1" t="str">
        <f aca="false">IF(I536&gt;1,IF(K536&gt;0,"Cross-hospital match","Same-hospital match"),"")</f>
        <v/>
      </c>
      <c r="M536" s="52"/>
      <c r="N536" s="52"/>
      <c r="O536" s="1" t="n">
        <f aca="false">IF(M536="Exclude (duplicate)",0,1)</f>
        <v>1</v>
      </c>
      <c r="P536" s="1" t="str">
        <f aca="false">IF(AND(L536&lt;&gt;"",M536=""),"Needs decision","")</f>
        <v/>
      </c>
    </row>
    <row r="537" customFormat="false" ht="15" hidden="false" customHeight="false" outlineLevel="0" collapsed="false">
      <c r="A537" s="48" t="str">
        <f aca="false">COST!A537</f>
        <v>ASH-0004</v>
      </c>
      <c r="B537" s="48" t="str">
        <f aca="false">COST!B537</f>
        <v>ASH</v>
      </c>
      <c r="C537" s="48" t="str">
        <f aca="false">COST!D537</f>
        <v>Diabetes Prevention Classes</v>
      </c>
      <c r="D537" s="62" t="n">
        <f aca="false">COST!M537</f>
        <v>45846</v>
      </c>
      <c r="E537" s="48" t="str">
        <f aca="false">COST!P537</f>
        <v>Registered Dietitian</v>
      </c>
      <c r="F537" s="63" t="n">
        <f aca="false">COST!R537</f>
        <v>1.75</v>
      </c>
      <c r="G537" s="48" t="str">
        <f aca="false">STACK!M537</f>
        <v/>
      </c>
      <c r="H537" s="1" t="str">
        <f aca="false">C537&amp;"|"&amp;IF(ISNUMBER(D537),TEXT(D537,"yyyy-mm-dd"),"no date")&amp;"|"&amp;E537&amp;"|"&amp;IF(ISNUMBER(F537),TEXT(F537,"0.00"),"blank")</f>
        <v>Diabetes Prevention Classes|2025-07-08|Registered Dietitian|1.75</v>
      </c>
      <c r="I537" s="1" t="n">
        <f aca="false">COUNTIF($H$5:$H$1624,H537)</f>
        <v>1</v>
      </c>
      <c r="J537" s="1" t="n">
        <f aca="false">COUNTIF($H$5:H537,H537)</f>
        <v>1</v>
      </c>
      <c r="K537" s="1" t="n">
        <f aca="false">COUNTIFS($H$5:$H$1624,H537,$B$5:$B$1624,"&lt;&gt;"&amp;B537)</f>
        <v>0</v>
      </c>
      <c r="L537" s="1" t="str">
        <f aca="false">IF(I537&gt;1,IF(K537&gt;0,"Cross-hospital match","Same-hospital match"),"")</f>
        <v/>
      </c>
      <c r="M537" s="52"/>
      <c r="N537" s="52"/>
      <c r="O537" s="1" t="n">
        <f aca="false">IF(M537="Exclude (duplicate)",0,1)</f>
        <v>1</v>
      </c>
      <c r="P537" s="1" t="str">
        <f aca="false">IF(AND(L537&lt;&gt;"",M537=""),"Needs decision","")</f>
        <v/>
      </c>
    </row>
    <row r="538" customFormat="false" ht="15" hidden="false" customHeight="false" outlineLevel="0" collapsed="false">
      <c r="A538" s="48" t="str">
        <f aca="false">COST!A538</f>
        <v>ASH-0005</v>
      </c>
      <c r="B538" s="48" t="str">
        <f aca="false">COST!B538</f>
        <v>ASH</v>
      </c>
      <c r="C538" s="48" t="str">
        <f aca="false">COST!D538</f>
        <v>Diabetes Prevention Classes</v>
      </c>
      <c r="D538" s="62" t="n">
        <f aca="false">COST!M538</f>
        <v>45848</v>
      </c>
      <c r="E538" s="48" t="str">
        <f aca="false">COST!P538</f>
        <v>Health Educator</v>
      </c>
      <c r="F538" s="63" t="n">
        <f aca="false">COST!R538</f>
        <v>2</v>
      </c>
      <c r="G538" s="48" t="str">
        <f aca="false">STACK!M538</f>
        <v/>
      </c>
      <c r="H538" s="1" t="str">
        <f aca="false">C538&amp;"|"&amp;IF(ISNUMBER(D538),TEXT(D538,"yyyy-mm-dd"),"no date")&amp;"|"&amp;E538&amp;"|"&amp;IF(ISNUMBER(F538),TEXT(F538,"0.00"),"blank")</f>
        <v>Diabetes Prevention Classes|2025-07-10|Health Educator|2.00</v>
      </c>
      <c r="I538" s="1" t="n">
        <f aca="false">COUNTIF($H$5:$H$1624,H538)</f>
        <v>1</v>
      </c>
      <c r="J538" s="1" t="n">
        <f aca="false">COUNTIF($H$5:H538,H538)</f>
        <v>1</v>
      </c>
      <c r="K538" s="1" t="n">
        <f aca="false">COUNTIFS($H$5:$H$1624,H538,$B$5:$B$1624,"&lt;&gt;"&amp;B538)</f>
        <v>0</v>
      </c>
      <c r="L538" s="1" t="str">
        <f aca="false">IF(I538&gt;1,IF(K538&gt;0,"Cross-hospital match","Same-hospital match"),"")</f>
        <v/>
      </c>
      <c r="M538" s="52"/>
      <c r="N538" s="52"/>
      <c r="O538" s="1" t="n">
        <f aca="false">IF(M538="Exclude (duplicate)",0,1)</f>
        <v>1</v>
      </c>
      <c r="P538" s="1" t="str">
        <f aca="false">IF(AND(L538&lt;&gt;"",M538=""),"Needs decision","")</f>
        <v/>
      </c>
    </row>
    <row r="539" customFormat="false" ht="15" hidden="false" customHeight="false" outlineLevel="0" collapsed="false">
      <c r="A539" s="48" t="str">
        <f aca="false">COST!A539</f>
        <v>ASH-0006</v>
      </c>
      <c r="B539" s="48" t="str">
        <f aca="false">COST!B539</f>
        <v>ASH</v>
      </c>
      <c r="C539" s="48" t="str">
        <f aca="false">COST!D539</f>
        <v>Diabetes Prevention Classes</v>
      </c>
      <c r="D539" s="62" t="n">
        <f aca="false">COST!M539</f>
        <v>45848</v>
      </c>
      <c r="E539" s="48" t="str">
        <f aca="false">COST!P539</f>
        <v>Registered Dietitian</v>
      </c>
      <c r="F539" s="63" t="n">
        <f aca="false">COST!R539</f>
        <v>1.5</v>
      </c>
      <c r="G539" s="48" t="str">
        <f aca="false">STACK!M539</f>
        <v/>
      </c>
      <c r="H539" s="1" t="str">
        <f aca="false">C539&amp;"|"&amp;IF(ISNUMBER(D539),TEXT(D539,"yyyy-mm-dd"),"no date")&amp;"|"&amp;E539&amp;"|"&amp;IF(ISNUMBER(F539),TEXT(F539,"0.00"),"blank")</f>
        <v>Diabetes Prevention Classes|2025-07-10|Registered Dietitian|1.50</v>
      </c>
      <c r="I539" s="1" t="n">
        <f aca="false">COUNTIF($H$5:$H$1624,H539)</f>
        <v>1</v>
      </c>
      <c r="J539" s="1" t="n">
        <f aca="false">COUNTIF($H$5:H539,H539)</f>
        <v>1</v>
      </c>
      <c r="K539" s="1" t="n">
        <f aca="false">COUNTIFS($H$5:$H$1624,H539,$B$5:$B$1624,"&lt;&gt;"&amp;B539)</f>
        <v>0</v>
      </c>
      <c r="L539" s="1" t="str">
        <f aca="false">IF(I539&gt;1,IF(K539&gt;0,"Cross-hospital match","Same-hospital match"),"")</f>
        <v/>
      </c>
      <c r="M539" s="52"/>
      <c r="N539" s="52"/>
      <c r="O539" s="1" t="n">
        <f aca="false">IF(M539="Exclude (duplicate)",0,1)</f>
        <v>1</v>
      </c>
      <c r="P539" s="1" t="str">
        <f aca="false">IF(AND(L539&lt;&gt;"",M539=""),"Needs decision","")</f>
        <v/>
      </c>
    </row>
    <row r="540" customFormat="false" ht="15" hidden="false" customHeight="false" outlineLevel="0" collapsed="false">
      <c r="A540" s="48" t="str">
        <f aca="false">COST!A540</f>
        <v>ASH-0007</v>
      </c>
      <c r="B540" s="48" t="str">
        <f aca="false">COST!B540</f>
        <v>ASH</v>
      </c>
      <c r="C540" s="48" t="str">
        <f aca="false">COST!D540</f>
        <v>Community Blood Pressure Checks</v>
      </c>
      <c r="D540" s="62" t="n">
        <f aca="false">COST!M540</f>
        <v>45850</v>
      </c>
      <c r="E540" s="48" t="str">
        <f aca="false">COST!P540</f>
        <v>Registered Nurse</v>
      </c>
      <c r="F540" s="63" t="n">
        <f aca="false">COST!R540</f>
        <v>3.75</v>
      </c>
      <c r="G540" s="48" t="str">
        <f aca="false">STACK!M540</f>
        <v/>
      </c>
      <c r="H540" s="1" t="str">
        <f aca="false">C540&amp;"|"&amp;IF(ISNUMBER(D540),TEXT(D540,"yyyy-mm-dd"),"no date")&amp;"|"&amp;E540&amp;"|"&amp;IF(ISNUMBER(F540),TEXT(F540,"0.00"),"blank")</f>
        <v>Community Blood Pressure Checks|2025-07-12|Registered Nurse|3.75</v>
      </c>
      <c r="I540" s="1" t="n">
        <f aca="false">COUNTIF($H$5:$H$1624,H540)</f>
        <v>1</v>
      </c>
      <c r="J540" s="1" t="n">
        <f aca="false">COUNTIF($H$5:H540,H540)</f>
        <v>1</v>
      </c>
      <c r="K540" s="1" t="n">
        <f aca="false">COUNTIFS($H$5:$H$1624,H540,$B$5:$B$1624,"&lt;&gt;"&amp;B540)</f>
        <v>0</v>
      </c>
      <c r="L540" s="1" t="str">
        <f aca="false">IF(I540&gt;1,IF(K540&gt;0,"Cross-hospital match","Same-hospital match"),"")</f>
        <v/>
      </c>
      <c r="M540" s="52"/>
      <c r="N540" s="52"/>
      <c r="O540" s="1" t="n">
        <f aca="false">IF(M540="Exclude (duplicate)",0,1)</f>
        <v>1</v>
      </c>
      <c r="P540" s="1" t="str">
        <f aca="false">IF(AND(L540&lt;&gt;"",M540=""),"Needs decision","")</f>
        <v/>
      </c>
    </row>
    <row r="541" customFormat="false" ht="15" hidden="false" customHeight="false" outlineLevel="0" collapsed="false">
      <c r="A541" s="48" t="str">
        <f aca="false">COST!A541</f>
        <v>ASH-0008</v>
      </c>
      <c r="B541" s="48" t="str">
        <f aca="false">COST!B541</f>
        <v>ASH</v>
      </c>
      <c r="C541" s="48" t="str">
        <f aca="false">COST!D541</f>
        <v>Fall Prevention Classes for Older Adults</v>
      </c>
      <c r="D541" s="62" t="n">
        <f aca="false">COST!M541</f>
        <v>45857</v>
      </c>
      <c r="E541" s="48" t="str">
        <f aca="false">COST!P541</f>
        <v>Licensed Therapist</v>
      </c>
      <c r="F541" s="63" t="n">
        <f aca="false">COST!R541</f>
        <v>2</v>
      </c>
      <c r="G541" s="48" t="str">
        <f aca="false">STACK!M541</f>
        <v/>
      </c>
      <c r="H541" s="1" t="str">
        <f aca="false">C541&amp;"|"&amp;IF(ISNUMBER(D541),TEXT(D541,"yyyy-mm-dd"),"no date")&amp;"|"&amp;E541&amp;"|"&amp;IF(ISNUMBER(F541),TEXT(F541,"0.00"),"blank")</f>
        <v>Fall Prevention Classes for Older Adults|2025-07-19|Licensed Therapist|2.00</v>
      </c>
      <c r="I541" s="1" t="n">
        <f aca="false">COUNTIF($H$5:$H$1624,H541)</f>
        <v>1</v>
      </c>
      <c r="J541" s="1" t="n">
        <f aca="false">COUNTIF($H$5:H541,H541)</f>
        <v>1</v>
      </c>
      <c r="K541" s="1" t="n">
        <f aca="false">COUNTIFS($H$5:$H$1624,H541,$B$5:$B$1624,"&lt;&gt;"&amp;B541)</f>
        <v>0</v>
      </c>
      <c r="L541" s="1" t="str">
        <f aca="false">IF(I541&gt;1,IF(K541&gt;0,"Cross-hospital match","Same-hospital match"),"")</f>
        <v/>
      </c>
      <c r="M541" s="52"/>
      <c r="N541" s="52"/>
      <c r="O541" s="1" t="n">
        <f aca="false">IF(M541="Exclude (duplicate)",0,1)</f>
        <v>1</v>
      </c>
      <c r="P541" s="1" t="str">
        <f aca="false">IF(AND(L541&lt;&gt;"",M541=""),"Needs decision","")</f>
        <v/>
      </c>
    </row>
    <row r="542" customFormat="false" ht="15" hidden="false" customHeight="false" outlineLevel="0" collapsed="false">
      <c r="A542" s="48" t="str">
        <f aca="false">COST!A542</f>
        <v>ASH-0009</v>
      </c>
      <c r="B542" s="48" t="str">
        <f aca="false">COST!B542</f>
        <v>ASH</v>
      </c>
      <c r="C542" s="48" t="str">
        <f aca="false">COST!D542</f>
        <v>Mobile Health Screening Unit</v>
      </c>
      <c r="D542" s="62" t="n">
        <f aca="false">COST!M542</f>
        <v>45869</v>
      </c>
      <c r="E542" s="48" t="str">
        <f aca="false">COST!P542</f>
        <v>Community Health Worker</v>
      </c>
      <c r="F542" s="63" t="n">
        <f aca="false">COST!R542</f>
        <v>87.75</v>
      </c>
      <c r="G542" s="48" t="str">
        <f aca="false">STACK!M542</f>
        <v/>
      </c>
      <c r="H542" s="1" t="str">
        <f aca="false">C542&amp;"|"&amp;IF(ISNUMBER(D542),TEXT(D542,"yyyy-mm-dd"),"no date")&amp;"|"&amp;E542&amp;"|"&amp;IF(ISNUMBER(F542),TEXT(F542,"0.00"),"blank")</f>
        <v>Mobile Health Screening Unit|2025-07-31|Community Health Worker|87.75</v>
      </c>
      <c r="I542" s="1" t="n">
        <f aca="false">COUNTIF($H$5:$H$1624,H542)</f>
        <v>2</v>
      </c>
      <c r="J542" s="1" t="n">
        <f aca="false">COUNTIF($H$5:H542,H542)</f>
        <v>1</v>
      </c>
      <c r="K542" s="1" t="n">
        <f aca="false">COUNTIFS($H$5:$H$1624,H542,$B$5:$B$1624,"&lt;&gt;"&amp;B542)</f>
        <v>0</v>
      </c>
      <c r="L542" s="1" t="str">
        <f aca="false">IF(I542&gt;1,IF(K542&gt;0,"Cross-hospital match","Same-hospital match"),"")</f>
        <v>Same-hospital match</v>
      </c>
      <c r="M542" s="52" t="s">
        <v>2959</v>
      </c>
      <c r="N542" s="52" t="s">
        <v>2961</v>
      </c>
      <c r="O542" s="1" t="n">
        <f aca="false">IF(M542="Exclude (duplicate)",0,1)</f>
        <v>1</v>
      </c>
      <c r="P542" s="1" t="str">
        <f aca="false">IF(AND(L542&lt;&gt;"",M542=""),"Needs decision","")</f>
        <v/>
      </c>
    </row>
    <row r="543" customFormat="false" ht="15" hidden="false" customHeight="false" outlineLevel="0" collapsed="false">
      <c r="A543" s="48" t="str">
        <f aca="false">COST!A543</f>
        <v>ASH-0010</v>
      </c>
      <c r="B543" s="48" t="str">
        <f aca="false">COST!B543</f>
        <v>ASH</v>
      </c>
      <c r="C543" s="48" t="str">
        <f aca="false">COST!D543</f>
        <v>Mobile Health Screening Unit</v>
      </c>
      <c r="D543" s="62" t="n">
        <f aca="false">COST!M543</f>
        <v>45869</v>
      </c>
      <c r="E543" s="48" t="str">
        <f aca="false">COST!P543</f>
        <v>Community Health Worker</v>
      </c>
      <c r="F543" s="63" t="n">
        <f aca="false">COST!R543</f>
        <v>87.75</v>
      </c>
      <c r="G543" s="48" t="str">
        <f aca="false">STACK!M543</f>
        <v/>
      </c>
      <c r="H543" s="1" t="str">
        <f aca="false">C543&amp;"|"&amp;IF(ISNUMBER(D543),TEXT(D543,"yyyy-mm-dd"),"no date")&amp;"|"&amp;E543&amp;"|"&amp;IF(ISNUMBER(F543),TEXT(F543,"0.00"),"blank")</f>
        <v>Mobile Health Screening Unit|2025-07-31|Community Health Worker|87.75</v>
      </c>
      <c r="I543" s="1" t="n">
        <f aca="false">COUNTIF($H$5:$H$1624,H543)</f>
        <v>2</v>
      </c>
      <c r="J543" s="1" t="n">
        <f aca="false">COUNTIF($H$5:H543,H543)</f>
        <v>2</v>
      </c>
      <c r="K543" s="1" t="n">
        <f aca="false">COUNTIFS($H$5:$H$1624,H543,$B$5:$B$1624,"&lt;&gt;"&amp;B543)</f>
        <v>0</v>
      </c>
      <c r="L543" s="1" t="str">
        <f aca="false">IF(I543&gt;1,IF(K543&gt;0,"Cross-hospital match","Same-hospital match"),"")</f>
        <v>Same-hospital match</v>
      </c>
      <c r="M543" s="52" t="s">
        <v>2962</v>
      </c>
      <c r="N543" s="52" t="s">
        <v>2963</v>
      </c>
      <c r="O543" s="1" t="n">
        <f aca="false">IF(M543="Exclude (duplicate)",0,1)</f>
        <v>0</v>
      </c>
      <c r="P543" s="1" t="str">
        <f aca="false">IF(AND(L543&lt;&gt;"",M543=""),"Needs decision","")</f>
        <v/>
      </c>
    </row>
    <row r="544" customFormat="false" ht="15" hidden="false" customHeight="false" outlineLevel="0" collapsed="false">
      <c r="A544" s="48" t="str">
        <f aca="false">COST!A544</f>
        <v>ASH-0011</v>
      </c>
      <c r="B544" s="48" t="str">
        <f aca="false">COST!B544</f>
        <v>ASH</v>
      </c>
      <c r="C544" s="48" t="str">
        <f aca="false">COST!D544</f>
        <v>Mobile Health Screening Unit</v>
      </c>
      <c r="D544" s="62" t="n">
        <f aca="false">COST!M544</f>
        <v>45869</v>
      </c>
      <c r="E544" s="48" t="str">
        <f aca="false">COST!P544</f>
        <v>Medical Assistant</v>
      </c>
      <c r="F544" s="63" t="n">
        <f aca="false">COST!R544</f>
        <v>105.5</v>
      </c>
      <c r="G544" s="48" t="str">
        <f aca="false">STACK!M544</f>
        <v/>
      </c>
      <c r="H544" s="1" t="str">
        <f aca="false">C544&amp;"|"&amp;IF(ISNUMBER(D544),TEXT(D544,"yyyy-mm-dd"),"no date")&amp;"|"&amp;E544&amp;"|"&amp;IF(ISNUMBER(F544),TEXT(F544,"0.00"),"blank")</f>
        <v>Mobile Health Screening Unit|2025-07-31|Medical Assistant|105.50</v>
      </c>
      <c r="I544" s="1" t="n">
        <f aca="false">COUNTIF($H$5:$H$1624,H544)</f>
        <v>2</v>
      </c>
      <c r="J544" s="1" t="n">
        <f aca="false">COUNTIF($H$5:H544,H544)</f>
        <v>1</v>
      </c>
      <c r="K544" s="1" t="n">
        <f aca="false">COUNTIFS($H$5:$H$1624,H544,$B$5:$B$1624,"&lt;&gt;"&amp;B544)</f>
        <v>0</v>
      </c>
      <c r="L544" s="1" t="str">
        <f aca="false">IF(I544&gt;1,IF(K544&gt;0,"Cross-hospital match","Same-hospital match"),"")</f>
        <v>Same-hospital match</v>
      </c>
      <c r="M544" s="52" t="s">
        <v>2959</v>
      </c>
      <c r="N544" s="52" t="s">
        <v>2961</v>
      </c>
      <c r="O544" s="1" t="n">
        <f aca="false">IF(M544="Exclude (duplicate)",0,1)</f>
        <v>1</v>
      </c>
      <c r="P544" s="1" t="str">
        <f aca="false">IF(AND(L544&lt;&gt;"",M544=""),"Needs decision","")</f>
        <v/>
      </c>
    </row>
    <row r="545" customFormat="false" ht="15" hidden="false" customHeight="false" outlineLevel="0" collapsed="false">
      <c r="A545" s="48" t="str">
        <f aca="false">COST!A545</f>
        <v>ASH-0012</v>
      </c>
      <c r="B545" s="48" t="str">
        <f aca="false">COST!B545</f>
        <v>ASH</v>
      </c>
      <c r="C545" s="48" t="str">
        <f aca="false">COST!D545</f>
        <v>Mobile Health Screening Unit</v>
      </c>
      <c r="D545" s="62" t="n">
        <f aca="false">COST!M545</f>
        <v>45869</v>
      </c>
      <c r="E545" s="48" t="str">
        <f aca="false">COST!P545</f>
        <v>Medical Assistant</v>
      </c>
      <c r="F545" s="63" t="n">
        <f aca="false">COST!R545</f>
        <v>105.5</v>
      </c>
      <c r="G545" s="48" t="str">
        <f aca="false">STACK!M545</f>
        <v/>
      </c>
      <c r="H545" s="1" t="str">
        <f aca="false">C545&amp;"|"&amp;IF(ISNUMBER(D545),TEXT(D545,"yyyy-mm-dd"),"no date")&amp;"|"&amp;E545&amp;"|"&amp;IF(ISNUMBER(F545),TEXT(F545,"0.00"),"blank")</f>
        <v>Mobile Health Screening Unit|2025-07-31|Medical Assistant|105.50</v>
      </c>
      <c r="I545" s="1" t="n">
        <f aca="false">COUNTIF($H$5:$H$1624,H545)</f>
        <v>2</v>
      </c>
      <c r="J545" s="1" t="n">
        <f aca="false">COUNTIF($H$5:H545,H545)</f>
        <v>2</v>
      </c>
      <c r="K545" s="1" t="n">
        <f aca="false">COUNTIFS($H$5:$H$1624,H545,$B$5:$B$1624,"&lt;&gt;"&amp;B545)</f>
        <v>0</v>
      </c>
      <c r="L545" s="1" t="str">
        <f aca="false">IF(I545&gt;1,IF(K545&gt;0,"Cross-hospital match","Same-hospital match"),"")</f>
        <v>Same-hospital match</v>
      </c>
      <c r="M545" s="52" t="s">
        <v>2962</v>
      </c>
      <c r="N545" s="52" t="s">
        <v>2963</v>
      </c>
      <c r="O545" s="1" t="n">
        <f aca="false">IF(M545="Exclude (duplicate)",0,1)</f>
        <v>0</v>
      </c>
      <c r="P545" s="1" t="str">
        <f aca="false">IF(AND(L545&lt;&gt;"",M545=""),"Needs decision","")</f>
        <v/>
      </c>
    </row>
    <row r="546" customFormat="false" ht="15" hidden="false" customHeight="false" outlineLevel="0" collapsed="false">
      <c r="A546" s="48" t="str">
        <f aca="false">COST!A546</f>
        <v>ASH-0013</v>
      </c>
      <c r="B546" s="48" t="str">
        <f aca="false">COST!B546</f>
        <v>ASH</v>
      </c>
      <c r="C546" s="48" t="str">
        <f aca="false">COST!D546</f>
        <v>Mobile Health Screening Unit</v>
      </c>
      <c r="D546" s="62" t="n">
        <f aca="false">COST!M546</f>
        <v>45869</v>
      </c>
      <c r="E546" s="48" t="str">
        <f aca="false">COST!P546</f>
        <v>Registered Nurse</v>
      </c>
      <c r="F546" s="63" t="n">
        <f aca="false">COST!R546</f>
        <v>109.25</v>
      </c>
      <c r="G546" s="48" t="str">
        <f aca="false">STACK!M546</f>
        <v/>
      </c>
      <c r="H546" s="1" t="str">
        <f aca="false">C546&amp;"|"&amp;IF(ISNUMBER(D546),TEXT(D546,"yyyy-mm-dd"),"no date")&amp;"|"&amp;E546&amp;"|"&amp;IF(ISNUMBER(F546),TEXT(F546,"0.00"),"blank")</f>
        <v>Mobile Health Screening Unit|2025-07-31|Registered Nurse|109.25</v>
      </c>
      <c r="I546" s="1" t="n">
        <f aca="false">COUNTIF($H$5:$H$1624,H546)</f>
        <v>2</v>
      </c>
      <c r="J546" s="1" t="n">
        <f aca="false">COUNTIF($H$5:H546,H546)</f>
        <v>1</v>
      </c>
      <c r="K546" s="1" t="n">
        <f aca="false">COUNTIFS($H$5:$H$1624,H546,$B$5:$B$1624,"&lt;&gt;"&amp;B546)</f>
        <v>0</v>
      </c>
      <c r="L546" s="1" t="str">
        <f aca="false">IF(I546&gt;1,IF(K546&gt;0,"Cross-hospital match","Same-hospital match"),"")</f>
        <v>Same-hospital match</v>
      </c>
      <c r="M546" s="52" t="s">
        <v>2959</v>
      </c>
      <c r="N546" s="52" t="s">
        <v>2961</v>
      </c>
      <c r="O546" s="1" t="n">
        <f aca="false">IF(M546="Exclude (duplicate)",0,1)</f>
        <v>1</v>
      </c>
      <c r="P546" s="1" t="str">
        <f aca="false">IF(AND(L546&lt;&gt;"",M546=""),"Needs decision","")</f>
        <v/>
      </c>
    </row>
    <row r="547" customFormat="false" ht="15" hidden="false" customHeight="false" outlineLevel="0" collapsed="false">
      <c r="A547" s="48" t="str">
        <f aca="false">COST!A547</f>
        <v>ASH-0014</v>
      </c>
      <c r="B547" s="48" t="str">
        <f aca="false">COST!B547</f>
        <v>ASH</v>
      </c>
      <c r="C547" s="48" t="str">
        <f aca="false">COST!D547</f>
        <v>Mobile Health Screening Unit</v>
      </c>
      <c r="D547" s="62" t="n">
        <f aca="false">COST!M547</f>
        <v>45869</v>
      </c>
      <c r="E547" s="48" t="str">
        <f aca="false">COST!P547</f>
        <v>Registered Nurse</v>
      </c>
      <c r="F547" s="63" t="n">
        <f aca="false">COST!R547</f>
        <v>109.25</v>
      </c>
      <c r="G547" s="48" t="str">
        <f aca="false">STACK!M547</f>
        <v/>
      </c>
      <c r="H547" s="1" t="str">
        <f aca="false">C547&amp;"|"&amp;IF(ISNUMBER(D547),TEXT(D547,"yyyy-mm-dd"),"no date")&amp;"|"&amp;E547&amp;"|"&amp;IF(ISNUMBER(F547),TEXT(F547,"0.00"),"blank")</f>
        <v>Mobile Health Screening Unit|2025-07-31|Registered Nurse|109.25</v>
      </c>
      <c r="I547" s="1" t="n">
        <f aca="false">COUNTIF($H$5:$H$1624,H547)</f>
        <v>2</v>
      </c>
      <c r="J547" s="1" t="n">
        <f aca="false">COUNTIF($H$5:H547,H547)</f>
        <v>2</v>
      </c>
      <c r="K547" s="1" t="n">
        <f aca="false">COUNTIFS($H$5:$H$1624,H547,$B$5:$B$1624,"&lt;&gt;"&amp;B547)</f>
        <v>0</v>
      </c>
      <c r="L547" s="1" t="str">
        <f aca="false">IF(I547&gt;1,IF(K547&gt;0,"Cross-hospital match","Same-hospital match"),"")</f>
        <v>Same-hospital match</v>
      </c>
      <c r="M547" s="52" t="s">
        <v>2962</v>
      </c>
      <c r="N547" s="52" t="s">
        <v>2963</v>
      </c>
      <c r="O547" s="1" t="n">
        <f aca="false">IF(M547="Exclude (duplicate)",0,1)</f>
        <v>0</v>
      </c>
      <c r="P547" s="1" t="str">
        <f aca="false">IF(AND(L547&lt;&gt;"",M547=""),"Needs decision","")</f>
        <v/>
      </c>
    </row>
    <row r="548" customFormat="false" ht="15" hidden="false" customHeight="false" outlineLevel="0" collapsed="false">
      <c r="A548" s="48" t="str">
        <f aca="false">COST!A548</f>
        <v>ASH-0015</v>
      </c>
      <c r="B548" s="48" t="str">
        <f aca="false">COST!B548</f>
        <v>ASH</v>
      </c>
      <c r="C548" s="48" t="str">
        <f aca="false">COST!D548</f>
        <v>Grief Support Group</v>
      </c>
      <c r="D548" s="62" t="n">
        <f aca="false">COST!M548</f>
        <v>45869</v>
      </c>
      <c r="E548" s="48" t="str">
        <f aca="false">COST!P548</f>
        <v>Chaplain</v>
      </c>
      <c r="F548" s="63" t="n">
        <f aca="false">COST!R548</f>
        <v>2.25</v>
      </c>
      <c r="G548" s="48" t="str">
        <f aca="false">STACK!M548</f>
        <v/>
      </c>
      <c r="H548" s="1" t="str">
        <f aca="false">C548&amp;"|"&amp;IF(ISNUMBER(D548),TEXT(D548,"yyyy-mm-dd"),"no date")&amp;"|"&amp;E548&amp;"|"&amp;IF(ISNUMBER(F548),TEXT(F548,"0.00"),"blank")</f>
        <v>Grief Support Group|2025-07-31|Chaplain|2.25</v>
      </c>
      <c r="I548" s="1" t="n">
        <f aca="false">COUNTIF($H$5:$H$1624,H548)</f>
        <v>1</v>
      </c>
      <c r="J548" s="1" t="n">
        <f aca="false">COUNTIF($H$5:H548,H548)</f>
        <v>1</v>
      </c>
      <c r="K548" s="1" t="n">
        <f aca="false">COUNTIFS($H$5:$H$1624,H548,$B$5:$B$1624,"&lt;&gt;"&amp;B548)</f>
        <v>0</v>
      </c>
      <c r="L548" s="1" t="str">
        <f aca="false">IF(I548&gt;1,IF(K548&gt;0,"Cross-hospital match","Same-hospital match"),"")</f>
        <v/>
      </c>
      <c r="M548" s="52"/>
      <c r="N548" s="52"/>
      <c r="O548" s="1" t="n">
        <f aca="false">IF(M548="Exclude (duplicate)",0,1)</f>
        <v>1</v>
      </c>
      <c r="P548" s="1" t="str">
        <f aca="false">IF(AND(L548&lt;&gt;"",M548=""),"Needs decision","")</f>
        <v/>
      </c>
    </row>
    <row r="549" customFormat="false" ht="15" hidden="false" customHeight="false" outlineLevel="0" collapsed="false">
      <c r="A549" s="48" t="str">
        <f aca="false">COST!A549</f>
        <v>ASH-0016</v>
      </c>
      <c r="B549" s="48" t="str">
        <f aca="false">COST!B549</f>
        <v>ASH</v>
      </c>
      <c r="C549" s="48" t="str">
        <f aca="false">COST!D549</f>
        <v>Grief Support Group</v>
      </c>
      <c r="D549" s="62" t="n">
        <f aca="false">COST!M549</f>
        <v>45869</v>
      </c>
      <c r="E549" s="48" t="str">
        <f aca="false">COST!P549</f>
        <v>Social Worker</v>
      </c>
      <c r="F549" s="63" t="n">
        <f aca="false">COST!R549</f>
        <v>1.75</v>
      </c>
      <c r="G549" s="48" t="str">
        <f aca="false">STACK!M549</f>
        <v/>
      </c>
      <c r="H549" s="1" t="str">
        <f aca="false">C549&amp;"|"&amp;IF(ISNUMBER(D549),TEXT(D549,"yyyy-mm-dd"),"no date")&amp;"|"&amp;E549&amp;"|"&amp;IF(ISNUMBER(F549),TEXT(F549,"0.00"),"blank")</f>
        <v>Grief Support Group|2025-07-31|Social Worker|1.75</v>
      </c>
      <c r="I549" s="1" t="n">
        <f aca="false">COUNTIF($H$5:$H$1624,H549)</f>
        <v>1</v>
      </c>
      <c r="J549" s="1" t="n">
        <f aca="false">COUNTIF($H$5:H549,H549)</f>
        <v>1</v>
      </c>
      <c r="K549" s="1" t="n">
        <f aca="false">COUNTIFS($H$5:$H$1624,H549,$B$5:$B$1624,"&lt;&gt;"&amp;B549)</f>
        <v>0</v>
      </c>
      <c r="L549" s="1" t="str">
        <f aca="false">IF(I549&gt;1,IF(K549&gt;0,"Cross-hospital match","Same-hospital match"),"")</f>
        <v/>
      </c>
      <c r="M549" s="52"/>
      <c r="N549" s="52"/>
      <c r="O549" s="1" t="n">
        <f aca="false">IF(M549="Exclude (duplicate)",0,1)</f>
        <v>1</v>
      </c>
      <c r="P549" s="1" t="str">
        <f aca="false">IF(AND(L549&lt;&gt;"",M549=""),"Needs decision","")</f>
        <v/>
      </c>
    </row>
    <row r="550" customFormat="false" ht="15" hidden="false" customHeight="false" outlineLevel="0" collapsed="false">
      <c r="A550" s="48" t="str">
        <f aca="false">COST!A550</f>
        <v>ASH-0017</v>
      </c>
      <c r="B550" s="48" t="str">
        <f aca="false">COST!B550</f>
        <v>ASH</v>
      </c>
      <c r="C550" s="48" t="str">
        <f aca="false">COST!D550</f>
        <v>Community Health Worker Outreach</v>
      </c>
      <c r="D550" s="62" t="n">
        <f aca="false">COST!M550</f>
        <v>45869</v>
      </c>
      <c r="E550" s="48" t="str">
        <f aca="false">COST!P550</f>
        <v>Community Health Worker</v>
      </c>
      <c r="F550" s="63" t="n">
        <f aca="false">COST!R550</f>
        <v>338.5</v>
      </c>
      <c r="G550" s="48" t="str">
        <f aca="false">STACK!M550</f>
        <v/>
      </c>
      <c r="H550" s="1" t="str">
        <f aca="false">C550&amp;"|"&amp;IF(ISNUMBER(D550),TEXT(D550,"yyyy-mm-dd"),"no date")&amp;"|"&amp;E550&amp;"|"&amp;IF(ISNUMBER(F550),TEXT(F550,"0.00"),"blank")</f>
        <v>Community Health Worker Outreach|2025-07-31|Community Health Worker|338.50</v>
      </c>
      <c r="I550" s="1" t="n">
        <f aca="false">COUNTIF($H$5:$H$1624,H550)</f>
        <v>1</v>
      </c>
      <c r="J550" s="1" t="n">
        <f aca="false">COUNTIF($H$5:H550,H550)</f>
        <v>1</v>
      </c>
      <c r="K550" s="1" t="n">
        <f aca="false">COUNTIFS($H$5:$H$1624,H550,$B$5:$B$1624,"&lt;&gt;"&amp;B550)</f>
        <v>0</v>
      </c>
      <c r="L550" s="1" t="str">
        <f aca="false">IF(I550&gt;1,IF(K550&gt;0,"Cross-hospital match","Same-hospital match"),"")</f>
        <v/>
      </c>
      <c r="M550" s="52"/>
      <c r="N550" s="52"/>
      <c r="O550" s="1" t="n">
        <f aca="false">IF(M550="Exclude (duplicate)",0,1)</f>
        <v>1</v>
      </c>
      <c r="P550" s="1" t="str">
        <f aca="false">IF(AND(L550&lt;&gt;"",M550=""),"Needs decision","")</f>
        <v/>
      </c>
    </row>
    <row r="551" customFormat="false" ht="15" hidden="false" customHeight="false" outlineLevel="0" collapsed="false">
      <c r="A551" s="48" t="str">
        <f aca="false">COST!A551</f>
        <v>ASH-0018</v>
      </c>
      <c r="B551" s="48" t="str">
        <f aca="false">COST!B551</f>
        <v>ASH</v>
      </c>
      <c r="C551" s="48" t="str">
        <f aca="false">COST!D551</f>
        <v>Community Health Worker Outreach</v>
      </c>
      <c r="D551" s="62" t="n">
        <f aca="false">COST!M551</f>
        <v>45869</v>
      </c>
      <c r="E551" s="48" t="str">
        <f aca="false">COST!P551</f>
        <v>Patient Navigator</v>
      </c>
      <c r="F551" s="63" t="n">
        <f aca="false">COST!R551</f>
        <v>150</v>
      </c>
      <c r="G551" s="48" t="str">
        <f aca="false">STACK!M551</f>
        <v/>
      </c>
      <c r="H551" s="1" t="str">
        <f aca="false">C551&amp;"|"&amp;IF(ISNUMBER(D551),TEXT(D551,"yyyy-mm-dd"),"no date")&amp;"|"&amp;E551&amp;"|"&amp;IF(ISNUMBER(F551),TEXT(F551,"0.00"),"blank")</f>
        <v>Community Health Worker Outreach|2025-07-31|Patient Navigator|150.00</v>
      </c>
      <c r="I551" s="1" t="n">
        <f aca="false">COUNTIF($H$5:$H$1624,H551)</f>
        <v>1</v>
      </c>
      <c r="J551" s="1" t="n">
        <f aca="false">COUNTIF($H$5:H551,H551)</f>
        <v>1</v>
      </c>
      <c r="K551" s="1" t="n">
        <f aca="false">COUNTIFS($H$5:$H$1624,H551,$B$5:$B$1624,"&lt;&gt;"&amp;B551)</f>
        <v>0</v>
      </c>
      <c r="L551" s="1" t="str">
        <f aca="false">IF(I551&gt;1,IF(K551&gt;0,"Cross-hospital match","Same-hospital match"),"")</f>
        <v/>
      </c>
      <c r="M551" s="52"/>
      <c r="N551" s="52"/>
      <c r="O551" s="1" t="n">
        <f aca="false">IF(M551="Exclude (duplicate)",0,1)</f>
        <v>1</v>
      </c>
      <c r="P551" s="1" t="str">
        <f aca="false">IF(AND(L551&lt;&gt;"",M551=""),"Needs decision","")</f>
        <v/>
      </c>
    </row>
    <row r="552" customFormat="false" ht="15" hidden="false" customHeight="false" outlineLevel="0" collapsed="false">
      <c r="A552" s="48" t="str">
        <f aca="false">COST!A552</f>
        <v>ASH-0019</v>
      </c>
      <c r="B552" s="48" t="str">
        <f aca="false">COST!B552</f>
        <v>ASH</v>
      </c>
      <c r="C552" s="48" t="str">
        <f aca="false">COST!D552</f>
        <v>Produce Prescription Program</v>
      </c>
      <c r="D552" s="62" t="n">
        <f aca="false">COST!M552</f>
        <v>45869</v>
      </c>
      <c r="E552" s="48" t="str">
        <f aca="false">COST!P552</f>
        <v>Community Health Worker</v>
      </c>
      <c r="F552" s="63" t="n">
        <f aca="false">COST!R552</f>
        <v>43.75</v>
      </c>
      <c r="G552" s="48" t="str">
        <f aca="false">STACK!M552</f>
        <v/>
      </c>
      <c r="H552" s="1" t="str">
        <f aca="false">C552&amp;"|"&amp;IF(ISNUMBER(D552),TEXT(D552,"yyyy-mm-dd"),"no date")&amp;"|"&amp;E552&amp;"|"&amp;IF(ISNUMBER(F552),TEXT(F552,"0.00"),"blank")</f>
        <v>Produce Prescription Program|2025-07-31|Community Health Worker|43.75</v>
      </c>
      <c r="I552" s="1" t="n">
        <f aca="false">COUNTIF($H$5:$H$1624,H552)</f>
        <v>1</v>
      </c>
      <c r="J552" s="1" t="n">
        <f aca="false">COUNTIF($H$5:H552,H552)</f>
        <v>1</v>
      </c>
      <c r="K552" s="1" t="n">
        <f aca="false">COUNTIFS($H$5:$H$1624,H552,$B$5:$B$1624,"&lt;&gt;"&amp;B552)</f>
        <v>0</v>
      </c>
      <c r="L552" s="1" t="str">
        <f aca="false">IF(I552&gt;1,IF(K552&gt;0,"Cross-hospital match","Same-hospital match"),"")</f>
        <v/>
      </c>
      <c r="M552" s="52"/>
      <c r="N552" s="52"/>
      <c r="O552" s="1" t="n">
        <f aca="false">IF(M552="Exclude (duplicate)",0,1)</f>
        <v>1</v>
      </c>
      <c r="P552" s="1" t="str">
        <f aca="false">IF(AND(L552&lt;&gt;"",M552=""),"Needs decision","")</f>
        <v/>
      </c>
    </row>
    <row r="553" customFormat="false" ht="15" hidden="false" customHeight="false" outlineLevel="0" collapsed="false">
      <c r="A553" s="48" t="str">
        <f aca="false">COST!A553</f>
        <v>ASH-0020</v>
      </c>
      <c r="B553" s="48" t="str">
        <f aca="false">COST!B553</f>
        <v>ASH</v>
      </c>
      <c r="C553" s="48" t="str">
        <f aca="false">COST!D553</f>
        <v>Produce Prescription Program</v>
      </c>
      <c r="D553" s="62" t="n">
        <f aca="false">COST!M553</f>
        <v>45869</v>
      </c>
      <c r="E553" s="48" t="str">
        <f aca="false">COST!P553</f>
        <v>Registered Dietitian</v>
      </c>
      <c r="F553" s="63" t="n">
        <f aca="false">COST!R553</f>
        <v>25</v>
      </c>
      <c r="G553" s="48" t="str">
        <f aca="false">STACK!M553</f>
        <v/>
      </c>
      <c r="H553" s="1" t="str">
        <f aca="false">C553&amp;"|"&amp;IF(ISNUMBER(D553),TEXT(D553,"yyyy-mm-dd"),"no date")&amp;"|"&amp;E553&amp;"|"&amp;IF(ISNUMBER(F553),TEXT(F553,"0.00"),"blank")</f>
        <v>Produce Prescription Program|2025-07-31|Registered Dietitian|25.00</v>
      </c>
      <c r="I553" s="1" t="n">
        <f aca="false">COUNTIF($H$5:$H$1624,H553)</f>
        <v>1</v>
      </c>
      <c r="J553" s="1" t="n">
        <f aca="false">COUNTIF($H$5:H553,H553)</f>
        <v>1</v>
      </c>
      <c r="K553" s="1" t="n">
        <f aca="false">COUNTIFS($H$5:$H$1624,H553,$B$5:$B$1624,"&lt;&gt;"&amp;B553)</f>
        <v>0</v>
      </c>
      <c r="L553" s="1" t="str">
        <f aca="false">IF(I553&gt;1,IF(K553&gt;0,"Cross-hospital match","Same-hospital match"),"")</f>
        <v/>
      </c>
      <c r="M553" s="52"/>
      <c r="N553" s="52"/>
      <c r="O553" s="1" t="n">
        <f aca="false">IF(M553="Exclude (duplicate)",0,1)</f>
        <v>1</v>
      </c>
      <c r="P553" s="1" t="str">
        <f aca="false">IF(AND(L553&lt;&gt;"",M553=""),"Needs decision","")</f>
        <v/>
      </c>
    </row>
    <row r="554" customFormat="false" ht="15" hidden="false" customHeight="false" outlineLevel="0" collapsed="false">
      <c r="A554" s="48" t="str">
        <f aca="false">COST!A554</f>
        <v>ASH-0021</v>
      </c>
      <c r="B554" s="48" t="str">
        <f aca="false">COST!B554</f>
        <v>ASH</v>
      </c>
      <c r="C554" s="48" t="str">
        <f aca="false">COST!D554</f>
        <v>Community Benefit Program Administration</v>
      </c>
      <c r="D554" s="62" t="n">
        <f aca="false">COST!M554</f>
        <v>45869</v>
      </c>
      <c r="E554" s="48" t="str">
        <f aca="false">COST!P554</f>
        <v>Administrative Assistant</v>
      </c>
      <c r="F554" s="63" t="n">
        <f aca="false">COST!R554</f>
        <v>57.25</v>
      </c>
      <c r="G554" s="48" t="str">
        <f aca="false">STACK!M554</f>
        <v/>
      </c>
      <c r="H554" s="1" t="str">
        <f aca="false">C554&amp;"|"&amp;IF(ISNUMBER(D554),TEXT(D554,"yyyy-mm-dd"),"no date")&amp;"|"&amp;E554&amp;"|"&amp;IF(ISNUMBER(F554),TEXT(F554,"0.00"),"blank")</f>
        <v>Community Benefit Program Administration|2025-07-31|Administrative Assistant|57.25</v>
      </c>
      <c r="I554" s="1" t="n">
        <f aca="false">COUNTIF($H$5:$H$1624,H554)</f>
        <v>1</v>
      </c>
      <c r="J554" s="1" t="n">
        <f aca="false">COUNTIF($H$5:H554,H554)</f>
        <v>1</v>
      </c>
      <c r="K554" s="1" t="n">
        <f aca="false">COUNTIFS($H$5:$H$1624,H554,$B$5:$B$1624,"&lt;&gt;"&amp;B554)</f>
        <v>0</v>
      </c>
      <c r="L554" s="1" t="str">
        <f aca="false">IF(I554&gt;1,IF(K554&gt;0,"Cross-hospital match","Same-hospital match"),"")</f>
        <v/>
      </c>
      <c r="M554" s="52"/>
      <c r="N554" s="52"/>
      <c r="O554" s="1" t="n">
        <f aca="false">IF(M554="Exclude (duplicate)",0,1)</f>
        <v>1</v>
      </c>
      <c r="P554" s="1" t="str">
        <f aca="false">IF(AND(L554&lt;&gt;"",M554=""),"Needs decision","")</f>
        <v/>
      </c>
    </row>
    <row r="555" customFormat="false" ht="15" hidden="false" customHeight="false" outlineLevel="0" collapsed="false">
      <c r="A555" s="48" t="str">
        <f aca="false">COST!A555</f>
        <v>ASH-0022</v>
      </c>
      <c r="B555" s="48" t="str">
        <f aca="false">COST!B555</f>
        <v>ASH</v>
      </c>
      <c r="C555" s="48" t="str">
        <f aca="false">COST!D555</f>
        <v>Community Benefit Program Administration</v>
      </c>
      <c r="D555" s="62" t="n">
        <f aca="false">COST!M555</f>
        <v>45869</v>
      </c>
      <c r="E555" s="48" t="str">
        <f aca="false">COST!P555</f>
        <v>Community Benefit Manager</v>
      </c>
      <c r="F555" s="63" t="n">
        <f aca="false">COST!R555</f>
        <v>64</v>
      </c>
      <c r="G555" s="48" t="str">
        <f aca="false">STACK!M555</f>
        <v/>
      </c>
      <c r="H555" s="1" t="str">
        <f aca="false">C555&amp;"|"&amp;IF(ISNUMBER(D555),TEXT(D555,"yyyy-mm-dd"),"no date")&amp;"|"&amp;E555&amp;"|"&amp;IF(ISNUMBER(F555),TEXT(F555,"0.00"),"blank")</f>
        <v>Community Benefit Program Administration|2025-07-31|Community Benefit Manager|64.00</v>
      </c>
      <c r="I555" s="1" t="n">
        <f aca="false">COUNTIF($H$5:$H$1624,H555)</f>
        <v>1</v>
      </c>
      <c r="J555" s="1" t="n">
        <f aca="false">COUNTIF($H$5:H555,H555)</f>
        <v>1</v>
      </c>
      <c r="K555" s="1" t="n">
        <f aca="false">COUNTIFS($H$5:$H$1624,H555,$B$5:$B$1624,"&lt;&gt;"&amp;B555)</f>
        <v>0</v>
      </c>
      <c r="L555" s="1" t="str">
        <f aca="false">IF(I555&gt;1,IF(K555&gt;0,"Cross-hospital match","Same-hospital match"),"")</f>
        <v/>
      </c>
      <c r="M555" s="52"/>
      <c r="N555" s="52"/>
      <c r="O555" s="1" t="n">
        <f aca="false">IF(M555="Exclude (duplicate)",0,1)</f>
        <v>1</v>
      </c>
      <c r="P555" s="1" t="str">
        <f aca="false">IF(AND(L555&lt;&gt;"",M555=""),"Needs decision","")</f>
        <v/>
      </c>
    </row>
    <row r="556" customFormat="false" ht="15" hidden="false" customHeight="false" outlineLevel="0" collapsed="false">
      <c r="A556" s="48" t="str">
        <f aca="false">COST!A556</f>
        <v>ASH-0023</v>
      </c>
      <c r="B556" s="48" t="str">
        <f aca="false">COST!B556</f>
        <v>ASH</v>
      </c>
      <c r="C556" s="48" t="str">
        <f aca="false">COST!D556</f>
        <v>Nursing Student Clinical Rotations</v>
      </c>
      <c r="D556" s="62" t="n">
        <f aca="false">COST!M556</f>
        <v>45869</v>
      </c>
      <c r="E556" s="48" t="str">
        <f aca="false">COST!P556</f>
        <v>Clinical Nurse Educator</v>
      </c>
      <c r="F556" s="63" t="n">
        <f aca="false">COST!R556</f>
        <v>55</v>
      </c>
      <c r="G556" s="48" t="str">
        <f aca="false">STACK!M556</f>
        <v/>
      </c>
      <c r="H556" s="1" t="str">
        <f aca="false">C556&amp;"|"&amp;IF(ISNUMBER(D556),TEXT(D556,"yyyy-mm-dd"),"no date")&amp;"|"&amp;E556&amp;"|"&amp;IF(ISNUMBER(F556),TEXT(F556,"0.00"),"blank")</f>
        <v>Nursing Student Clinical Rotations|2025-07-31|Clinical Nurse Educator|55.00</v>
      </c>
      <c r="I556" s="1" t="n">
        <f aca="false">COUNTIF($H$5:$H$1624,H556)</f>
        <v>1</v>
      </c>
      <c r="J556" s="1" t="n">
        <f aca="false">COUNTIF($H$5:H556,H556)</f>
        <v>1</v>
      </c>
      <c r="K556" s="1" t="n">
        <f aca="false">COUNTIFS($H$5:$H$1624,H556,$B$5:$B$1624,"&lt;&gt;"&amp;B556)</f>
        <v>0</v>
      </c>
      <c r="L556" s="1" t="str">
        <f aca="false">IF(I556&gt;1,IF(K556&gt;0,"Cross-hospital match","Same-hospital match"),"")</f>
        <v/>
      </c>
      <c r="M556" s="52"/>
      <c r="N556" s="52"/>
      <c r="O556" s="1" t="n">
        <f aca="false">IF(M556="Exclude (duplicate)",0,1)</f>
        <v>1</v>
      </c>
      <c r="P556" s="1" t="str">
        <f aca="false">IF(AND(L556&lt;&gt;"",M556=""),"Needs decision","")</f>
        <v/>
      </c>
    </row>
    <row r="557" customFormat="false" ht="15" hidden="false" customHeight="false" outlineLevel="0" collapsed="false">
      <c r="A557" s="48" t="str">
        <f aca="false">COST!A557</f>
        <v>ASH-0024</v>
      </c>
      <c r="B557" s="48" t="str">
        <f aca="false">COST!B557</f>
        <v>ASH</v>
      </c>
      <c r="C557" s="48" t="str">
        <f aca="false">COST!D557</f>
        <v>Nursing Student Clinical Rotations</v>
      </c>
      <c r="D557" s="62" t="n">
        <f aca="false">COST!M557</f>
        <v>45869</v>
      </c>
      <c r="E557" s="48" t="str">
        <f aca="false">COST!P557</f>
        <v>Registered Nurse</v>
      </c>
      <c r="F557" s="63" t="n">
        <f aca="false">COST!R557</f>
        <v>81.25</v>
      </c>
      <c r="G557" s="48" t="str">
        <f aca="false">STACK!M557</f>
        <v/>
      </c>
      <c r="H557" s="1" t="str">
        <f aca="false">C557&amp;"|"&amp;IF(ISNUMBER(D557),TEXT(D557,"yyyy-mm-dd"),"no date")&amp;"|"&amp;E557&amp;"|"&amp;IF(ISNUMBER(F557),TEXT(F557,"0.00"),"blank")</f>
        <v>Nursing Student Clinical Rotations|2025-07-31|Registered Nurse|81.25</v>
      </c>
      <c r="I557" s="1" t="n">
        <f aca="false">COUNTIF($H$5:$H$1624,H557)</f>
        <v>1</v>
      </c>
      <c r="J557" s="1" t="n">
        <f aca="false">COUNTIF($H$5:H557,H557)</f>
        <v>1</v>
      </c>
      <c r="K557" s="1" t="n">
        <f aca="false">COUNTIFS($H$5:$H$1624,H557,$B$5:$B$1624,"&lt;&gt;"&amp;B557)</f>
        <v>0</v>
      </c>
      <c r="L557" s="1" t="str">
        <f aca="false">IF(I557&gt;1,IF(K557&gt;0,"Cross-hospital match","Same-hospital match"),"")</f>
        <v/>
      </c>
      <c r="M557" s="52"/>
      <c r="N557" s="52"/>
      <c r="O557" s="1" t="n">
        <f aca="false">IF(M557="Exclude (duplicate)",0,1)</f>
        <v>1</v>
      </c>
      <c r="P557" s="1" t="str">
        <f aca="false">IF(AND(L557&lt;&gt;"",M557=""),"Needs decision","")</f>
        <v/>
      </c>
    </row>
    <row r="558" customFormat="false" ht="15" hidden="false" customHeight="false" outlineLevel="0" collapsed="false">
      <c r="A558" s="48" t="str">
        <f aca="false">COST!A558</f>
        <v>ASH-0025</v>
      </c>
      <c r="B558" s="48" t="str">
        <f aca="false">COST!B558</f>
        <v>ASH</v>
      </c>
      <c r="C558" s="48" t="str">
        <f aca="false">COST!D558</f>
        <v>Paramedic Student Field Training</v>
      </c>
      <c r="D558" s="62" t="n">
        <f aca="false">COST!M558</f>
        <v>45869</v>
      </c>
      <c r="E558" s="48" t="str">
        <f aca="false">COST!P558</f>
        <v>Paramedic</v>
      </c>
      <c r="F558" s="63" t="n">
        <f aca="false">COST!R558</f>
        <v>63</v>
      </c>
      <c r="G558" s="48" t="str">
        <f aca="false">STACK!M558</f>
        <v/>
      </c>
      <c r="H558" s="1" t="str">
        <f aca="false">C558&amp;"|"&amp;IF(ISNUMBER(D558),TEXT(D558,"yyyy-mm-dd"),"no date")&amp;"|"&amp;E558&amp;"|"&amp;IF(ISNUMBER(F558),TEXT(F558,"0.00"),"blank")</f>
        <v>Paramedic Student Field Training|2025-07-31|Paramedic|63.00</v>
      </c>
      <c r="I558" s="1" t="n">
        <f aca="false">COUNTIF($H$5:$H$1624,H558)</f>
        <v>1</v>
      </c>
      <c r="J558" s="1" t="n">
        <f aca="false">COUNTIF($H$5:H558,H558)</f>
        <v>1</v>
      </c>
      <c r="K558" s="1" t="n">
        <f aca="false">COUNTIFS($H$5:$H$1624,H558,$B$5:$B$1624,"&lt;&gt;"&amp;B558)</f>
        <v>0</v>
      </c>
      <c r="L558" s="1" t="str">
        <f aca="false">IF(I558&gt;1,IF(K558&gt;0,"Cross-hospital match","Same-hospital match"),"")</f>
        <v/>
      </c>
      <c r="M558" s="52"/>
      <c r="N558" s="52"/>
      <c r="O558" s="1" t="n">
        <f aca="false">IF(M558="Exclude (duplicate)",0,1)</f>
        <v>1</v>
      </c>
      <c r="P558" s="1" t="str">
        <f aca="false">IF(AND(L558&lt;&gt;"",M558=""),"Needs decision","")</f>
        <v/>
      </c>
    </row>
    <row r="559" customFormat="false" ht="15" hidden="false" customHeight="false" outlineLevel="0" collapsed="false">
      <c r="A559" s="48" t="str">
        <f aca="false">COST!A559</f>
        <v>ASH-0026</v>
      </c>
      <c r="B559" s="48" t="str">
        <f aca="false">COST!B559</f>
        <v>ASH</v>
      </c>
      <c r="C559" s="48" t="str">
        <f aca="false">COST!D559</f>
        <v>Diabetes Prevention Classes</v>
      </c>
      <c r="D559" s="62" t="n">
        <f aca="false">COST!M559</f>
        <v>45875</v>
      </c>
      <c r="E559" s="48" t="str">
        <f aca="false">COST!P559</f>
        <v>Health Educator</v>
      </c>
      <c r="F559" s="63" t="n">
        <f aca="false">COST!R559</f>
        <v>2.5</v>
      </c>
      <c r="G559" s="48" t="str">
        <f aca="false">STACK!M559</f>
        <v/>
      </c>
      <c r="H559" s="1" t="str">
        <f aca="false">C559&amp;"|"&amp;IF(ISNUMBER(D559),TEXT(D559,"yyyy-mm-dd"),"no date")&amp;"|"&amp;E559&amp;"|"&amp;IF(ISNUMBER(F559),TEXT(F559,"0.00"),"blank")</f>
        <v>Diabetes Prevention Classes|2025-08-06|Health Educator|2.50</v>
      </c>
      <c r="I559" s="1" t="n">
        <f aca="false">COUNTIF($H$5:$H$1624,H559)</f>
        <v>1</v>
      </c>
      <c r="J559" s="1" t="n">
        <f aca="false">COUNTIF($H$5:H559,H559)</f>
        <v>1</v>
      </c>
      <c r="K559" s="1" t="n">
        <f aca="false">COUNTIFS($H$5:$H$1624,H559,$B$5:$B$1624,"&lt;&gt;"&amp;B559)</f>
        <v>0</v>
      </c>
      <c r="L559" s="1" t="str">
        <f aca="false">IF(I559&gt;1,IF(K559&gt;0,"Cross-hospital match","Same-hospital match"),"")</f>
        <v/>
      </c>
      <c r="M559" s="52"/>
      <c r="N559" s="52"/>
      <c r="O559" s="1" t="n">
        <f aca="false">IF(M559="Exclude (duplicate)",0,1)</f>
        <v>1</v>
      </c>
      <c r="P559" s="1" t="str">
        <f aca="false">IF(AND(L559&lt;&gt;"",M559=""),"Needs decision","")</f>
        <v/>
      </c>
    </row>
    <row r="560" customFormat="false" ht="15" hidden="false" customHeight="false" outlineLevel="0" collapsed="false">
      <c r="A560" s="48" t="str">
        <f aca="false">COST!A560</f>
        <v>ASH-0027</v>
      </c>
      <c r="B560" s="48" t="str">
        <f aca="false">COST!B560</f>
        <v>ASH</v>
      </c>
      <c r="C560" s="48" t="str">
        <f aca="false">COST!D560</f>
        <v>Diabetes Prevention Classes</v>
      </c>
      <c r="D560" s="62" t="n">
        <f aca="false">COST!M560</f>
        <v>45875</v>
      </c>
      <c r="E560" s="48" t="str">
        <f aca="false">COST!P560</f>
        <v>Registered Dietitian</v>
      </c>
      <c r="F560" s="63" t="n">
        <f aca="false">COST!R560</f>
        <v>2</v>
      </c>
      <c r="G560" s="48" t="str">
        <f aca="false">STACK!M560</f>
        <v/>
      </c>
      <c r="H560" s="1" t="str">
        <f aca="false">C560&amp;"|"&amp;IF(ISNUMBER(D560),TEXT(D560,"yyyy-mm-dd"),"no date")&amp;"|"&amp;E560&amp;"|"&amp;IF(ISNUMBER(F560),TEXT(F560,"0.00"),"blank")</f>
        <v>Diabetes Prevention Classes|2025-08-06|Registered Dietitian|2.00</v>
      </c>
      <c r="I560" s="1" t="n">
        <f aca="false">COUNTIF($H$5:$H$1624,H560)</f>
        <v>1</v>
      </c>
      <c r="J560" s="1" t="n">
        <f aca="false">COUNTIF($H$5:H560,H560)</f>
        <v>1</v>
      </c>
      <c r="K560" s="1" t="n">
        <f aca="false">COUNTIFS($H$5:$H$1624,H560,$B$5:$B$1624,"&lt;&gt;"&amp;B560)</f>
        <v>0</v>
      </c>
      <c r="L560" s="1" t="str">
        <f aca="false">IF(I560&gt;1,IF(K560&gt;0,"Cross-hospital match","Same-hospital match"),"")</f>
        <v/>
      </c>
      <c r="M560" s="52"/>
      <c r="N560" s="52"/>
      <c r="O560" s="1" t="n">
        <f aca="false">IF(M560="Exclude (duplicate)",0,1)</f>
        <v>1</v>
      </c>
      <c r="P560" s="1" t="str">
        <f aca="false">IF(AND(L560&lt;&gt;"",M560=""),"Needs decision","")</f>
        <v/>
      </c>
    </row>
    <row r="561" customFormat="false" ht="15" hidden="false" customHeight="false" outlineLevel="0" collapsed="false">
      <c r="A561" s="48" t="str">
        <f aca="false">COST!A561</f>
        <v>ASH-0028</v>
      </c>
      <c r="B561" s="48" t="str">
        <f aca="false">COST!B561</f>
        <v>ASH</v>
      </c>
      <c r="C561" s="48" t="str">
        <f aca="false">COST!D561</f>
        <v>Neighborhood Leadership Academy</v>
      </c>
      <c r="D561" s="62" t="n">
        <f aca="false">COST!M561</f>
        <v>45881</v>
      </c>
      <c r="E561" s="48" t="str">
        <f aca="false">COST!P561</f>
        <v>Health Educator</v>
      </c>
      <c r="F561" s="63" t="n">
        <f aca="false">COST!R561</f>
        <v>3.75</v>
      </c>
      <c r="G561" s="48" t="str">
        <f aca="false">STACK!M561</f>
        <v/>
      </c>
      <c r="H561" s="1" t="str">
        <f aca="false">C561&amp;"|"&amp;IF(ISNUMBER(D561),TEXT(D561,"yyyy-mm-dd"),"no date")&amp;"|"&amp;E561&amp;"|"&amp;IF(ISNUMBER(F561),TEXT(F561,"0.00"),"blank")</f>
        <v>Neighborhood Leadership Academy|2025-08-12|Health Educator|3.75</v>
      </c>
      <c r="I561" s="1" t="n">
        <f aca="false">COUNTIF($H$5:$H$1624,H561)</f>
        <v>1</v>
      </c>
      <c r="J561" s="1" t="n">
        <f aca="false">COUNTIF($H$5:H561,H561)</f>
        <v>1</v>
      </c>
      <c r="K561" s="1" t="n">
        <f aca="false">COUNTIFS($H$5:$H$1624,H561,$B$5:$B$1624,"&lt;&gt;"&amp;B561)</f>
        <v>0</v>
      </c>
      <c r="L561" s="1" t="str">
        <f aca="false">IF(I561&gt;1,IF(K561&gt;0,"Cross-hospital match","Same-hospital match"),"")</f>
        <v/>
      </c>
      <c r="M561" s="52"/>
      <c r="N561" s="52"/>
      <c r="O561" s="1" t="n">
        <f aca="false">IF(M561="Exclude (duplicate)",0,1)</f>
        <v>1</v>
      </c>
      <c r="P561" s="1" t="str">
        <f aca="false">IF(AND(L561&lt;&gt;"",M561=""),"Needs decision","")</f>
        <v/>
      </c>
    </row>
    <row r="562" customFormat="false" ht="15" hidden="false" customHeight="false" outlineLevel="0" collapsed="false">
      <c r="A562" s="48" t="str">
        <f aca="false">COST!A562</f>
        <v>ASH-0029</v>
      </c>
      <c r="B562" s="48" t="str">
        <f aca="false">COST!B562</f>
        <v>ASH</v>
      </c>
      <c r="C562" s="48" t="str">
        <f aca="false">COST!D562</f>
        <v>Neighborhood Leadership Academy</v>
      </c>
      <c r="D562" s="62" t="n">
        <f aca="false">COST!M562</f>
        <v>45881</v>
      </c>
      <c r="E562" s="48" t="str">
        <f aca="false">COST!P562</f>
        <v>Program Coordinator</v>
      </c>
      <c r="F562" s="63" t="n">
        <f aca="false">COST!R562</f>
        <v>5</v>
      </c>
      <c r="G562" s="48" t="str">
        <f aca="false">STACK!M562</f>
        <v/>
      </c>
      <c r="H562" s="1" t="str">
        <f aca="false">C562&amp;"|"&amp;IF(ISNUMBER(D562),TEXT(D562,"yyyy-mm-dd"),"no date")&amp;"|"&amp;E562&amp;"|"&amp;IF(ISNUMBER(F562),TEXT(F562,"0.00"),"blank")</f>
        <v>Neighborhood Leadership Academy|2025-08-12|Program Coordinator|5.00</v>
      </c>
      <c r="I562" s="1" t="n">
        <f aca="false">COUNTIF($H$5:$H$1624,H562)</f>
        <v>1</v>
      </c>
      <c r="J562" s="1" t="n">
        <f aca="false">COUNTIF($H$5:H562,H562)</f>
        <v>1</v>
      </c>
      <c r="K562" s="1" t="n">
        <f aca="false">COUNTIFS($H$5:$H$1624,H562,$B$5:$B$1624,"&lt;&gt;"&amp;B562)</f>
        <v>0</v>
      </c>
      <c r="L562" s="1" t="str">
        <f aca="false">IF(I562&gt;1,IF(K562&gt;0,"Cross-hospital match","Same-hospital match"),"")</f>
        <v/>
      </c>
      <c r="M562" s="52"/>
      <c r="N562" s="52"/>
      <c r="O562" s="1" t="n">
        <f aca="false">IF(M562="Exclude (duplicate)",0,1)</f>
        <v>1</v>
      </c>
      <c r="P562" s="1" t="str">
        <f aca="false">IF(AND(L562&lt;&gt;"",M562=""),"Needs decision","")</f>
        <v/>
      </c>
    </row>
    <row r="563" customFormat="false" ht="15" hidden="false" customHeight="false" outlineLevel="0" collapsed="false">
      <c r="A563" s="48" t="str">
        <f aca="false">COST!A563</f>
        <v>ASH-0030</v>
      </c>
      <c r="B563" s="48" t="str">
        <f aca="false">COST!B563</f>
        <v>ASH</v>
      </c>
      <c r="C563" s="48" t="str">
        <f aca="false">COST!D563</f>
        <v>Community Blood Pressure Checks</v>
      </c>
      <c r="D563" s="62" t="n">
        <f aca="false">COST!M563</f>
        <v>45892</v>
      </c>
      <c r="E563" s="48" t="str">
        <f aca="false">COST!P563</f>
        <v>Registered Nurse</v>
      </c>
      <c r="F563" s="63" t="n">
        <f aca="false">COST!R563</f>
        <v>4</v>
      </c>
      <c r="G563" s="48" t="str">
        <f aca="false">STACK!M563</f>
        <v/>
      </c>
      <c r="H563" s="1" t="str">
        <f aca="false">C563&amp;"|"&amp;IF(ISNUMBER(D563),TEXT(D563,"yyyy-mm-dd"),"no date")&amp;"|"&amp;E563&amp;"|"&amp;IF(ISNUMBER(F563),TEXT(F563,"0.00"),"blank")</f>
        <v>Community Blood Pressure Checks|2025-08-23|Registered Nurse|4.00</v>
      </c>
      <c r="I563" s="1" t="n">
        <f aca="false">COUNTIF($H$5:$H$1624,H563)</f>
        <v>1</v>
      </c>
      <c r="J563" s="1" t="n">
        <f aca="false">COUNTIF($H$5:H563,H563)</f>
        <v>1</v>
      </c>
      <c r="K563" s="1" t="n">
        <f aca="false">COUNTIFS($H$5:$H$1624,H563,$B$5:$B$1624,"&lt;&gt;"&amp;B563)</f>
        <v>0</v>
      </c>
      <c r="L563" s="1" t="str">
        <f aca="false">IF(I563&gt;1,IF(K563&gt;0,"Cross-hospital match","Same-hospital match"),"")</f>
        <v/>
      </c>
      <c r="M563" s="52"/>
      <c r="N563" s="52"/>
      <c r="O563" s="1" t="n">
        <f aca="false">IF(M563="Exclude (duplicate)",0,1)</f>
        <v>1</v>
      </c>
      <c r="P563" s="1" t="str">
        <f aca="false">IF(AND(L563&lt;&gt;"",M563=""),"Needs decision","")</f>
        <v/>
      </c>
    </row>
    <row r="564" customFormat="false" ht="15" hidden="false" customHeight="false" outlineLevel="0" collapsed="false">
      <c r="A564" s="48" t="str">
        <f aca="false">COST!A564</f>
        <v>ASH-0031</v>
      </c>
      <c r="B564" s="48" t="str">
        <f aca="false">COST!B564</f>
        <v>ASH</v>
      </c>
      <c r="C564" s="48" t="str">
        <f aca="false">COST!D564</f>
        <v>Mental Health First Aid Training</v>
      </c>
      <c r="D564" s="62" t="n">
        <f aca="false">COST!M564</f>
        <v>45892</v>
      </c>
      <c r="E564" s="48" t="str">
        <f aca="false">COST!P564</f>
        <v>Health Educator</v>
      </c>
      <c r="F564" s="63" t="n">
        <f aca="false">COST!R564</f>
        <v>8</v>
      </c>
      <c r="G564" s="48" t="str">
        <f aca="false">STACK!M564</f>
        <v/>
      </c>
      <c r="H564" s="1" t="str">
        <f aca="false">C564&amp;"|"&amp;IF(ISNUMBER(D564),TEXT(D564,"yyyy-mm-dd"),"no date")&amp;"|"&amp;E564&amp;"|"&amp;IF(ISNUMBER(F564),TEXT(F564,"0.00"),"blank")</f>
        <v>Mental Health First Aid Training|2025-08-23|Health Educator|8.00</v>
      </c>
      <c r="I564" s="1" t="n">
        <f aca="false">COUNTIF($H$5:$H$1624,H564)</f>
        <v>1</v>
      </c>
      <c r="J564" s="1" t="n">
        <f aca="false">COUNTIF($H$5:H564,H564)</f>
        <v>1</v>
      </c>
      <c r="K564" s="1" t="n">
        <f aca="false">COUNTIFS($H$5:$H$1624,H564,$B$5:$B$1624,"&lt;&gt;"&amp;B564)</f>
        <v>0</v>
      </c>
      <c r="L564" s="1" t="str">
        <f aca="false">IF(I564&gt;1,IF(K564&gt;0,"Cross-hospital match","Same-hospital match"),"")</f>
        <v/>
      </c>
      <c r="M564" s="52"/>
      <c r="N564" s="52"/>
      <c r="O564" s="1" t="n">
        <f aca="false">IF(M564="Exclude (duplicate)",0,1)</f>
        <v>1</v>
      </c>
      <c r="P564" s="1" t="str">
        <f aca="false">IF(AND(L564&lt;&gt;"",M564=""),"Needs decision","")</f>
        <v/>
      </c>
    </row>
    <row r="565" customFormat="false" ht="15" hidden="false" customHeight="false" outlineLevel="0" collapsed="false">
      <c r="A565" s="48" t="str">
        <f aca="false">COST!A565</f>
        <v>ASH-0032</v>
      </c>
      <c r="B565" s="48" t="str">
        <f aca="false">COST!B565</f>
        <v>ASH</v>
      </c>
      <c r="C565" s="48" t="str">
        <f aca="false">COST!D565</f>
        <v>Mental Health First Aid Training</v>
      </c>
      <c r="D565" s="62" t="n">
        <f aca="false">COST!M565</f>
        <v>45892</v>
      </c>
      <c r="E565" s="48" t="str">
        <f aca="false">COST!P565</f>
        <v>Social Worker</v>
      </c>
      <c r="F565" s="63" t="n">
        <f aca="false">COST!R565</f>
        <v>8</v>
      </c>
      <c r="G565" s="48" t="str">
        <f aca="false">STACK!M565</f>
        <v/>
      </c>
      <c r="H565" s="1" t="str">
        <f aca="false">C565&amp;"|"&amp;IF(ISNUMBER(D565),TEXT(D565,"yyyy-mm-dd"),"no date")&amp;"|"&amp;E565&amp;"|"&amp;IF(ISNUMBER(F565),TEXT(F565,"0.00"),"blank")</f>
        <v>Mental Health First Aid Training|2025-08-23|Social Worker|8.00</v>
      </c>
      <c r="I565" s="1" t="n">
        <f aca="false">COUNTIF($H$5:$H$1624,H565)</f>
        <v>1</v>
      </c>
      <c r="J565" s="1" t="n">
        <f aca="false">COUNTIF($H$5:H565,H565)</f>
        <v>1</v>
      </c>
      <c r="K565" s="1" t="n">
        <f aca="false">COUNTIFS($H$5:$H$1624,H565,$B$5:$B$1624,"&lt;&gt;"&amp;B565)</f>
        <v>0</v>
      </c>
      <c r="L565" s="1" t="str">
        <f aca="false">IF(I565&gt;1,IF(K565&gt;0,"Cross-hospital match","Same-hospital match"),"")</f>
        <v/>
      </c>
      <c r="M565" s="52"/>
      <c r="N565" s="52"/>
      <c r="O565" s="1" t="n">
        <f aca="false">IF(M565="Exclude (duplicate)",0,1)</f>
        <v>1</v>
      </c>
      <c r="P565" s="1" t="str">
        <f aca="false">IF(AND(L565&lt;&gt;"",M565=""),"Needs decision","")</f>
        <v/>
      </c>
    </row>
    <row r="566" customFormat="false" ht="15" hidden="false" customHeight="false" outlineLevel="0" collapsed="false">
      <c r="A566" s="48" t="str">
        <f aca="false">COST!A566</f>
        <v>ASH-0033</v>
      </c>
      <c r="B566" s="48" t="str">
        <f aca="false">COST!B566</f>
        <v>ASH</v>
      </c>
      <c r="C566" s="48" t="str">
        <f aca="false">COST!D566</f>
        <v>In-Kind Medical Supply Donations</v>
      </c>
      <c r="D566" s="62" t="n">
        <f aca="false">COST!M566</f>
        <v>45899</v>
      </c>
      <c r="E566" s="48" t="str">
        <f aca="false">COST!P566</f>
        <v>No staff time</v>
      </c>
      <c r="F566" s="63" t="str">
        <f aca="false">COST!R566</f>
        <v/>
      </c>
      <c r="G566" s="48" t="str">
        <f aca="false">STACK!M566</f>
        <v/>
      </c>
      <c r="H566" s="1" t="str">
        <f aca="false">C566&amp;"|"&amp;IF(ISNUMBER(D566),TEXT(D566,"yyyy-mm-dd"),"no date")&amp;"|"&amp;E566&amp;"|"&amp;IF(ISNUMBER(F566),TEXT(F566,"0.00"),"blank")</f>
        <v>In-Kind Medical Supply Donations|2025-08-30|No staff time|blank</v>
      </c>
      <c r="I566" s="1" t="n">
        <f aca="false">COUNTIF($H$5:$H$1624,H566)</f>
        <v>1</v>
      </c>
      <c r="J566" s="1" t="n">
        <f aca="false">COUNTIF($H$5:H566,H566)</f>
        <v>1</v>
      </c>
      <c r="K566" s="1" t="n">
        <f aca="false">COUNTIFS($H$5:$H$1624,H566,$B$5:$B$1624,"&lt;&gt;"&amp;B566)</f>
        <v>0</v>
      </c>
      <c r="L566" s="1" t="str">
        <f aca="false">IF(I566&gt;1,IF(K566&gt;0,"Cross-hospital match","Same-hospital match"),"")</f>
        <v/>
      </c>
      <c r="M566" s="52"/>
      <c r="N566" s="52"/>
      <c r="O566" s="1" t="n">
        <f aca="false">IF(M566="Exclude (duplicate)",0,1)</f>
        <v>1</v>
      </c>
      <c r="P566" s="1" t="str">
        <f aca="false">IF(AND(L566&lt;&gt;"",M566=""),"Needs decision","")</f>
        <v/>
      </c>
    </row>
    <row r="567" customFormat="false" ht="15" hidden="false" customHeight="false" outlineLevel="0" collapsed="false">
      <c r="A567" s="48" t="str">
        <f aca="false">COST!A567</f>
        <v>ASH-0034</v>
      </c>
      <c r="B567" s="48" t="str">
        <f aca="false">COST!B567</f>
        <v>ASH</v>
      </c>
      <c r="C567" s="48" t="str">
        <f aca="false">COST!D567</f>
        <v>Mobile Health Screening Unit</v>
      </c>
      <c r="D567" s="62" t="n">
        <f aca="false">COST!M567</f>
        <v>45900</v>
      </c>
      <c r="E567" s="48" t="str">
        <f aca="false">COST!P567</f>
        <v>Community Health Worker</v>
      </c>
      <c r="F567" s="63" t="n">
        <f aca="false">COST!R567</f>
        <v>66.75</v>
      </c>
      <c r="G567" s="48" t="str">
        <f aca="false">STACK!M567</f>
        <v/>
      </c>
      <c r="H567" s="1" t="str">
        <f aca="false">C567&amp;"|"&amp;IF(ISNUMBER(D567),TEXT(D567,"yyyy-mm-dd"),"no date")&amp;"|"&amp;E567&amp;"|"&amp;IF(ISNUMBER(F567),TEXT(F567,"0.00"),"blank")</f>
        <v>Mobile Health Screening Unit|2025-08-31|Community Health Worker|66.75</v>
      </c>
      <c r="I567" s="1" t="n">
        <f aca="false">COUNTIF($H$5:$H$1624,H567)</f>
        <v>1</v>
      </c>
      <c r="J567" s="1" t="n">
        <f aca="false">COUNTIF($H$5:H567,H567)</f>
        <v>1</v>
      </c>
      <c r="K567" s="1" t="n">
        <f aca="false">COUNTIFS($H$5:$H$1624,H567,$B$5:$B$1624,"&lt;&gt;"&amp;B567)</f>
        <v>0</v>
      </c>
      <c r="L567" s="1" t="str">
        <f aca="false">IF(I567&gt;1,IF(K567&gt;0,"Cross-hospital match","Same-hospital match"),"")</f>
        <v/>
      </c>
      <c r="M567" s="52"/>
      <c r="N567" s="52"/>
      <c r="O567" s="1" t="n">
        <f aca="false">IF(M567="Exclude (duplicate)",0,1)</f>
        <v>1</v>
      </c>
      <c r="P567" s="1" t="str">
        <f aca="false">IF(AND(L567&lt;&gt;"",M567=""),"Needs decision","")</f>
        <v/>
      </c>
    </row>
    <row r="568" customFormat="false" ht="15" hidden="false" customHeight="false" outlineLevel="0" collapsed="false">
      <c r="A568" s="48" t="str">
        <f aca="false">COST!A568</f>
        <v>ASH-0035</v>
      </c>
      <c r="B568" s="48" t="str">
        <f aca="false">COST!B568</f>
        <v>ASH</v>
      </c>
      <c r="C568" s="48" t="str">
        <f aca="false">COST!D568</f>
        <v>Mobile Health Screening Unit</v>
      </c>
      <c r="D568" s="62" t="n">
        <f aca="false">COST!M568</f>
        <v>45900</v>
      </c>
      <c r="E568" s="48" t="str">
        <f aca="false">COST!P568</f>
        <v>Medical Assistant</v>
      </c>
      <c r="F568" s="63" t="n">
        <f aca="false">COST!R568</f>
        <v>100.5</v>
      </c>
      <c r="G568" s="48" t="str">
        <f aca="false">STACK!M568</f>
        <v/>
      </c>
      <c r="H568" s="1" t="str">
        <f aca="false">C568&amp;"|"&amp;IF(ISNUMBER(D568),TEXT(D568,"yyyy-mm-dd"),"no date")&amp;"|"&amp;E568&amp;"|"&amp;IF(ISNUMBER(F568),TEXT(F568,"0.00"),"blank")</f>
        <v>Mobile Health Screening Unit|2025-08-31|Medical Assistant|100.50</v>
      </c>
      <c r="I568" s="1" t="n">
        <f aca="false">COUNTIF($H$5:$H$1624,H568)</f>
        <v>1</v>
      </c>
      <c r="J568" s="1" t="n">
        <f aca="false">COUNTIF($H$5:H568,H568)</f>
        <v>1</v>
      </c>
      <c r="K568" s="1" t="n">
        <f aca="false">COUNTIFS($H$5:$H$1624,H568,$B$5:$B$1624,"&lt;&gt;"&amp;B568)</f>
        <v>0</v>
      </c>
      <c r="L568" s="1" t="str">
        <f aca="false">IF(I568&gt;1,IF(K568&gt;0,"Cross-hospital match","Same-hospital match"),"")</f>
        <v/>
      </c>
      <c r="M568" s="52"/>
      <c r="N568" s="52"/>
      <c r="O568" s="1" t="n">
        <f aca="false">IF(M568="Exclude (duplicate)",0,1)</f>
        <v>1</v>
      </c>
      <c r="P568" s="1" t="str">
        <f aca="false">IF(AND(L568&lt;&gt;"",M568=""),"Needs decision","")</f>
        <v/>
      </c>
    </row>
    <row r="569" customFormat="false" ht="15" hidden="false" customHeight="false" outlineLevel="0" collapsed="false">
      <c r="A569" s="48" t="str">
        <f aca="false">COST!A569</f>
        <v>ASH-0036</v>
      </c>
      <c r="B569" s="48" t="str">
        <f aca="false">COST!B569</f>
        <v>ASH</v>
      </c>
      <c r="C569" s="48" t="str">
        <f aca="false">COST!D569</f>
        <v>Mobile Health Screening Unit</v>
      </c>
      <c r="D569" s="62" t="n">
        <f aca="false">COST!M569</f>
        <v>45900</v>
      </c>
      <c r="E569" s="48" t="str">
        <f aca="false">COST!P569</f>
        <v>Registered Nurse</v>
      </c>
      <c r="F569" s="63" t="n">
        <f aca="false">COST!R569</f>
        <v>104.25</v>
      </c>
      <c r="G569" s="48" t="str">
        <f aca="false">STACK!M569</f>
        <v/>
      </c>
      <c r="H569" s="1" t="str">
        <f aca="false">C569&amp;"|"&amp;IF(ISNUMBER(D569),TEXT(D569,"yyyy-mm-dd"),"no date")&amp;"|"&amp;E569&amp;"|"&amp;IF(ISNUMBER(F569),TEXT(F569,"0.00"),"blank")</f>
        <v>Mobile Health Screening Unit|2025-08-31|Registered Nurse|104.25</v>
      </c>
      <c r="I569" s="1" t="n">
        <f aca="false">COUNTIF($H$5:$H$1624,H569)</f>
        <v>1</v>
      </c>
      <c r="J569" s="1" t="n">
        <f aca="false">COUNTIF($H$5:H569,H569)</f>
        <v>1</v>
      </c>
      <c r="K569" s="1" t="n">
        <f aca="false">COUNTIFS($H$5:$H$1624,H569,$B$5:$B$1624,"&lt;&gt;"&amp;B569)</f>
        <v>0</v>
      </c>
      <c r="L569" s="1" t="str">
        <f aca="false">IF(I569&gt;1,IF(K569&gt;0,"Cross-hospital match","Same-hospital match"),"")</f>
        <v/>
      </c>
      <c r="M569" s="52"/>
      <c r="N569" s="52"/>
      <c r="O569" s="1" t="n">
        <f aca="false">IF(M569="Exclude (duplicate)",0,1)</f>
        <v>1</v>
      </c>
      <c r="P569" s="1" t="str">
        <f aca="false">IF(AND(L569&lt;&gt;"",M569=""),"Needs decision","")</f>
        <v/>
      </c>
    </row>
    <row r="570" customFormat="false" ht="15" hidden="false" customHeight="false" outlineLevel="0" collapsed="false">
      <c r="A570" s="48" t="str">
        <f aca="false">COST!A570</f>
        <v>ASH-0037</v>
      </c>
      <c r="B570" s="48" t="str">
        <f aca="false">COST!B570</f>
        <v>ASH</v>
      </c>
      <c r="C570" s="48" t="str">
        <f aca="false">COST!D570</f>
        <v>Community Health Worker Outreach</v>
      </c>
      <c r="D570" s="62" t="n">
        <f aca="false">COST!M570</f>
        <v>45900</v>
      </c>
      <c r="E570" s="48" t="str">
        <f aca="false">COST!P570</f>
        <v>Community Health Worker</v>
      </c>
      <c r="F570" s="63" t="n">
        <f aca="false">COST!R570</f>
        <v>376.5</v>
      </c>
      <c r="G570" s="48" t="str">
        <f aca="false">STACK!M570</f>
        <v/>
      </c>
      <c r="H570" s="1" t="str">
        <f aca="false">C570&amp;"|"&amp;IF(ISNUMBER(D570),TEXT(D570,"yyyy-mm-dd"),"no date")&amp;"|"&amp;E570&amp;"|"&amp;IF(ISNUMBER(F570),TEXT(F570,"0.00"),"blank")</f>
        <v>Community Health Worker Outreach|2025-08-31|Community Health Worker|376.50</v>
      </c>
      <c r="I570" s="1" t="n">
        <f aca="false">COUNTIF($H$5:$H$1624,H570)</f>
        <v>1</v>
      </c>
      <c r="J570" s="1" t="n">
        <f aca="false">COUNTIF($H$5:H570,H570)</f>
        <v>1</v>
      </c>
      <c r="K570" s="1" t="n">
        <f aca="false">COUNTIFS($H$5:$H$1624,H570,$B$5:$B$1624,"&lt;&gt;"&amp;B570)</f>
        <v>0</v>
      </c>
      <c r="L570" s="1" t="str">
        <f aca="false">IF(I570&gt;1,IF(K570&gt;0,"Cross-hospital match","Same-hospital match"),"")</f>
        <v/>
      </c>
      <c r="M570" s="52"/>
      <c r="N570" s="52"/>
      <c r="O570" s="1" t="n">
        <f aca="false">IF(M570="Exclude (duplicate)",0,1)</f>
        <v>1</v>
      </c>
      <c r="P570" s="1" t="str">
        <f aca="false">IF(AND(L570&lt;&gt;"",M570=""),"Needs decision","")</f>
        <v/>
      </c>
    </row>
    <row r="571" customFormat="false" ht="15" hidden="false" customHeight="false" outlineLevel="0" collapsed="false">
      <c r="A571" s="48" t="str">
        <f aca="false">COST!A571</f>
        <v>ASH-0038</v>
      </c>
      <c r="B571" s="48" t="str">
        <f aca="false">COST!B571</f>
        <v>ASH</v>
      </c>
      <c r="C571" s="48" t="str">
        <f aca="false">COST!D571</f>
        <v>Community Health Worker Outreach</v>
      </c>
      <c r="D571" s="62" t="n">
        <f aca="false">COST!M571</f>
        <v>45900</v>
      </c>
      <c r="E571" s="48" t="str">
        <f aca="false">COST!P571</f>
        <v>Patient Navigator</v>
      </c>
      <c r="F571" s="63" t="n">
        <f aca="false">COST!R571</f>
        <v>170</v>
      </c>
      <c r="G571" s="48" t="str">
        <f aca="false">STACK!M571</f>
        <v/>
      </c>
      <c r="H571" s="1" t="str">
        <f aca="false">C571&amp;"|"&amp;IF(ISNUMBER(D571),TEXT(D571,"yyyy-mm-dd"),"no date")&amp;"|"&amp;E571&amp;"|"&amp;IF(ISNUMBER(F571),TEXT(F571,"0.00"),"blank")</f>
        <v>Community Health Worker Outreach|2025-08-31|Patient Navigator|170.00</v>
      </c>
      <c r="I571" s="1" t="n">
        <f aca="false">COUNTIF($H$5:$H$1624,H571)</f>
        <v>1</v>
      </c>
      <c r="J571" s="1" t="n">
        <f aca="false">COUNTIF($H$5:H571,H571)</f>
        <v>1</v>
      </c>
      <c r="K571" s="1" t="n">
        <f aca="false">COUNTIFS($H$5:$H$1624,H571,$B$5:$B$1624,"&lt;&gt;"&amp;B571)</f>
        <v>0</v>
      </c>
      <c r="L571" s="1" t="str">
        <f aca="false">IF(I571&gt;1,IF(K571&gt;0,"Cross-hospital match","Same-hospital match"),"")</f>
        <v/>
      </c>
      <c r="M571" s="52"/>
      <c r="N571" s="52"/>
      <c r="O571" s="1" t="n">
        <f aca="false">IF(M571="Exclude (duplicate)",0,1)</f>
        <v>1</v>
      </c>
      <c r="P571" s="1" t="str">
        <f aca="false">IF(AND(L571&lt;&gt;"",M571=""),"Needs decision","")</f>
        <v/>
      </c>
    </row>
    <row r="572" customFormat="false" ht="15" hidden="false" customHeight="false" outlineLevel="0" collapsed="false">
      <c r="A572" s="48" t="str">
        <f aca="false">COST!A572</f>
        <v>ASH-0039</v>
      </c>
      <c r="B572" s="48" t="str">
        <f aca="false">COST!B572</f>
        <v>ASH</v>
      </c>
      <c r="C572" s="48" t="str">
        <f aca="false">COST!D572</f>
        <v>Produce Prescription Program</v>
      </c>
      <c r="D572" s="62" t="n">
        <f aca="false">COST!M572</f>
        <v>45900</v>
      </c>
      <c r="E572" s="48" t="str">
        <f aca="false">COST!P572</f>
        <v>Community Health Worker</v>
      </c>
      <c r="F572" s="63" t="n">
        <f aca="false">COST!R572</f>
        <v>40.25</v>
      </c>
      <c r="G572" s="48" t="str">
        <f aca="false">STACK!M572</f>
        <v/>
      </c>
      <c r="H572" s="1" t="str">
        <f aca="false">C572&amp;"|"&amp;IF(ISNUMBER(D572),TEXT(D572,"yyyy-mm-dd"),"no date")&amp;"|"&amp;E572&amp;"|"&amp;IF(ISNUMBER(F572),TEXT(F572,"0.00"),"blank")</f>
        <v>Produce Prescription Program|2025-08-31|Community Health Worker|40.25</v>
      </c>
      <c r="I572" s="1" t="n">
        <f aca="false">COUNTIF($H$5:$H$1624,H572)</f>
        <v>1</v>
      </c>
      <c r="J572" s="1" t="n">
        <f aca="false">COUNTIF($H$5:H572,H572)</f>
        <v>1</v>
      </c>
      <c r="K572" s="1" t="n">
        <f aca="false">COUNTIFS($H$5:$H$1624,H572,$B$5:$B$1624,"&lt;&gt;"&amp;B572)</f>
        <v>0</v>
      </c>
      <c r="L572" s="1" t="str">
        <f aca="false">IF(I572&gt;1,IF(K572&gt;0,"Cross-hospital match","Same-hospital match"),"")</f>
        <v/>
      </c>
      <c r="M572" s="52"/>
      <c r="N572" s="52"/>
      <c r="O572" s="1" t="n">
        <f aca="false">IF(M572="Exclude (duplicate)",0,1)</f>
        <v>1</v>
      </c>
      <c r="P572" s="1" t="str">
        <f aca="false">IF(AND(L572&lt;&gt;"",M572=""),"Needs decision","")</f>
        <v/>
      </c>
    </row>
    <row r="573" customFormat="false" ht="15" hidden="false" customHeight="false" outlineLevel="0" collapsed="false">
      <c r="A573" s="48" t="str">
        <f aca="false">COST!A573</f>
        <v>ASH-0040</v>
      </c>
      <c r="B573" s="48" t="str">
        <f aca="false">COST!B573</f>
        <v>ASH</v>
      </c>
      <c r="C573" s="48" t="str">
        <f aca="false">COST!D573</f>
        <v>Produce Prescription Program</v>
      </c>
      <c r="D573" s="62" t="n">
        <f aca="false">COST!M573</f>
        <v>45900</v>
      </c>
      <c r="E573" s="48" t="str">
        <f aca="false">COST!P573</f>
        <v>Registered Dietitian</v>
      </c>
      <c r="F573" s="63" t="n">
        <f aca="false">COST!R573</f>
        <v>24.75</v>
      </c>
      <c r="G573" s="48" t="str">
        <f aca="false">STACK!M573</f>
        <v/>
      </c>
      <c r="H573" s="1" t="str">
        <f aca="false">C573&amp;"|"&amp;IF(ISNUMBER(D573),TEXT(D573,"yyyy-mm-dd"),"no date")&amp;"|"&amp;E573&amp;"|"&amp;IF(ISNUMBER(F573),TEXT(F573,"0.00"),"blank")</f>
        <v>Produce Prescription Program|2025-08-31|Registered Dietitian|24.75</v>
      </c>
      <c r="I573" s="1" t="n">
        <f aca="false">COUNTIF($H$5:$H$1624,H573)</f>
        <v>1</v>
      </c>
      <c r="J573" s="1" t="n">
        <f aca="false">COUNTIF($H$5:H573,H573)</f>
        <v>1</v>
      </c>
      <c r="K573" s="1" t="n">
        <f aca="false">COUNTIFS($H$5:$H$1624,H573,$B$5:$B$1624,"&lt;&gt;"&amp;B573)</f>
        <v>0</v>
      </c>
      <c r="L573" s="1" t="str">
        <f aca="false">IF(I573&gt;1,IF(K573&gt;0,"Cross-hospital match","Same-hospital match"),"")</f>
        <v/>
      </c>
      <c r="M573" s="52"/>
      <c r="N573" s="52"/>
      <c r="O573" s="1" t="n">
        <f aca="false">IF(M573="Exclude (duplicate)",0,1)</f>
        <v>1</v>
      </c>
      <c r="P573" s="1" t="str">
        <f aca="false">IF(AND(L573&lt;&gt;"",M573=""),"Needs decision","")</f>
        <v/>
      </c>
    </row>
    <row r="574" customFormat="false" ht="15" hidden="false" customHeight="false" outlineLevel="0" collapsed="false">
      <c r="A574" s="48" t="str">
        <f aca="false">COST!A574</f>
        <v>ASH-0041</v>
      </c>
      <c r="B574" s="48" t="str">
        <f aca="false">COST!B574</f>
        <v>ASH</v>
      </c>
      <c r="C574" s="48" t="str">
        <f aca="false">COST!D574</f>
        <v>Community Benefit Program Administration</v>
      </c>
      <c r="D574" s="62" t="n">
        <f aca="false">COST!M574</f>
        <v>45900</v>
      </c>
      <c r="E574" s="48" t="str">
        <f aca="false">COST!P574</f>
        <v>Administrative Assistant</v>
      </c>
      <c r="F574" s="63" t="n">
        <f aca="false">COST!R574</f>
        <v>41.25</v>
      </c>
      <c r="G574" s="48" t="str">
        <f aca="false">STACK!M574</f>
        <v/>
      </c>
      <c r="H574" s="1" t="str">
        <f aca="false">C574&amp;"|"&amp;IF(ISNUMBER(D574),TEXT(D574,"yyyy-mm-dd"),"no date")&amp;"|"&amp;E574&amp;"|"&amp;IF(ISNUMBER(F574),TEXT(F574,"0.00"),"blank")</f>
        <v>Community Benefit Program Administration|2025-08-31|Administrative Assistant|41.25</v>
      </c>
      <c r="I574" s="1" t="n">
        <f aca="false">COUNTIF($H$5:$H$1624,H574)</f>
        <v>1</v>
      </c>
      <c r="J574" s="1" t="n">
        <f aca="false">COUNTIF($H$5:H574,H574)</f>
        <v>1</v>
      </c>
      <c r="K574" s="1" t="n">
        <f aca="false">COUNTIFS($H$5:$H$1624,H574,$B$5:$B$1624,"&lt;&gt;"&amp;B574)</f>
        <v>0</v>
      </c>
      <c r="L574" s="1" t="str">
        <f aca="false">IF(I574&gt;1,IF(K574&gt;0,"Cross-hospital match","Same-hospital match"),"")</f>
        <v/>
      </c>
      <c r="M574" s="52"/>
      <c r="N574" s="52"/>
      <c r="O574" s="1" t="n">
        <f aca="false">IF(M574="Exclude (duplicate)",0,1)</f>
        <v>1</v>
      </c>
      <c r="P574" s="1" t="str">
        <f aca="false">IF(AND(L574&lt;&gt;"",M574=""),"Needs decision","")</f>
        <v/>
      </c>
    </row>
    <row r="575" customFormat="false" ht="15" hidden="false" customHeight="false" outlineLevel="0" collapsed="false">
      <c r="A575" s="48" t="str">
        <f aca="false">COST!A575</f>
        <v>ASH-0042</v>
      </c>
      <c r="B575" s="48" t="str">
        <f aca="false">COST!B575</f>
        <v>ASH</v>
      </c>
      <c r="C575" s="48" t="str">
        <f aca="false">COST!D575</f>
        <v>Community Benefit Program Administration</v>
      </c>
      <c r="D575" s="62" t="n">
        <f aca="false">COST!M575</f>
        <v>45900</v>
      </c>
      <c r="E575" s="48" t="str">
        <f aca="false">COST!P575</f>
        <v>Community Benefit Manager</v>
      </c>
      <c r="F575" s="63" t="n">
        <f aca="false">COST!R575</f>
        <v>54.5</v>
      </c>
      <c r="G575" s="48" t="str">
        <f aca="false">STACK!M575</f>
        <v/>
      </c>
      <c r="H575" s="1" t="str">
        <f aca="false">C575&amp;"|"&amp;IF(ISNUMBER(D575),TEXT(D575,"yyyy-mm-dd"),"no date")&amp;"|"&amp;E575&amp;"|"&amp;IF(ISNUMBER(F575),TEXT(F575,"0.00"),"blank")</f>
        <v>Community Benefit Program Administration|2025-08-31|Community Benefit Manager|54.50</v>
      </c>
      <c r="I575" s="1" t="n">
        <f aca="false">COUNTIF($H$5:$H$1624,H575)</f>
        <v>1</v>
      </c>
      <c r="J575" s="1" t="n">
        <f aca="false">COUNTIF($H$5:H575,H575)</f>
        <v>1</v>
      </c>
      <c r="K575" s="1" t="n">
        <f aca="false">COUNTIFS($H$5:$H$1624,H575,$B$5:$B$1624,"&lt;&gt;"&amp;B575)</f>
        <v>0</v>
      </c>
      <c r="L575" s="1" t="str">
        <f aca="false">IF(I575&gt;1,IF(K575&gt;0,"Cross-hospital match","Same-hospital match"),"")</f>
        <v/>
      </c>
      <c r="M575" s="52"/>
      <c r="N575" s="52"/>
      <c r="O575" s="1" t="n">
        <f aca="false">IF(M575="Exclude (duplicate)",0,1)</f>
        <v>1</v>
      </c>
      <c r="P575" s="1" t="str">
        <f aca="false">IF(AND(L575&lt;&gt;"",M575=""),"Needs decision","")</f>
        <v/>
      </c>
    </row>
    <row r="576" customFormat="false" ht="15" hidden="false" customHeight="false" outlineLevel="0" collapsed="false">
      <c r="A576" s="48" t="str">
        <f aca="false">COST!A576</f>
        <v>ASH-0043</v>
      </c>
      <c r="B576" s="48" t="str">
        <f aca="false">COST!B576</f>
        <v>ASH</v>
      </c>
      <c r="C576" s="48" t="str">
        <f aca="false">COST!D576</f>
        <v>Nursing Student Clinical Rotations</v>
      </c>
      <c r="D576" s="62" t="n">
        <f aca="false">COST!M576</f>
        <v>45900</v>
      </c>
      <c r="E576" s="48" t="str">
        <f aca="false">COST!P576</f>
        <v>Clinical Nurse Educator</v>
      </c>
      <c r="F576" s="63" t="n">
        <f aca="false">COST!R576</f>
        <v>147.75</v>
      </c>
      <c r="G576" s="48" t="str">
        <f aca="false">STACK!M576</f>
        <v/>
      </c>
      <c r="H576" s="1" t="str">
        <f aca="false">C576&amp;"|"&amp;IF(ISNUMBER(D576),TEXT(D576,"yyyy-mm-dd"),"no date")&amp;"|"&amp;E576&amp;"|"&amp;IF(ISNUMBER(F576),TEXT(F576,"0.00"),"blank")</f>
        <v>Nursing Student Clinical Rotations|2025-08-31|Clinical Nurse Educator|147.75</v>
      </c>
      <c r="I576" s="1" t="n">
        <f aca="false">COUNTIF($H$5:$H$1624,H576)</f>
        <v>1</v>
      </c>
      <c r="J576" s="1" t="n">
        <f aca="false">COUNTIF($H$5:H576,H576)</f>
        <v>1</v>
      </c>
      <c r="K576" s="1" t="n">
        <f aca="false">COUNTIFS($H$5:$H$1624,H576,$B$5:$B$1624,"&lt;&gt;"&amp;B576)</f>
        <v>0</v>
      </c>
      <c r="L576" s="1" t="str">
        <f aca="false">IF(I576&gt;1,IF(K576&gt;0,"Cross-hospital match","Same-hospital match"),"")</f>
        <v/>
      </c>
      <c r="M576" s="52"/>
      <c r="N576" s="52"/>
      <c r="O576" s="1" t="n">
        <f aca="false">IF(M576="Exclude (duplicate)",0,1)</f>
        <v>1</v>
      </c>
      <c r="P576" s="1" t="str">
        <f aca="false">IF(AND(L576&lt;&gt;"",M576=""),"Needs decision","")</f>
        <v/>
      </c>
    </row>
    <row r="577" customFormat="false" ht="15" hidden="false" customHeight="false" outlineLevel="0" collapsed="false">
      <c r="A577" s="48" t="str">
        <f aca="false">COST!A577</f>
        <v>ASH-0044</v>
      </c>
      <c r="B577" s="48" t="str">
        <f aca="false">COST!B577</f>
        <v>ASH</v>
      </c>
      <c r="C577" s="48" t="str">
        <f aca="false">COST!D577</f>
        <v>Nursing Student Clinical Rotations</v>
      </c>
      <c r="D577" s="62" t="n">
        <f aca="false">COST!M577</f>
        <v>45900</v>
      </c>
      <c r="E577" s="48" t="str">
        <f aca="false">COST!P577</f>
        <v>Registered Nurse</v>
      </c>
      <c r="F577" s="63" t="n">
        <f aca="false">COST!R577</f>
        <v>195.75</v>
      </c>
      <c r="G577" s="48" t="str">
        <f aca="false">STACK!M577</f>
        <v/>
      </c>
      <c r="H577" s="1" t="str">
        <f aca="false">C577&amp;"|"&amp;IF(ISNUMBER(D577),TEXT(D577,"yyyy-mm-dd"),"no date")&amp;"|"&amp;E577&amp;"|"&amp;IF(ISNUMBER(F577),TEXT(F577,"0.00"),"blank")</f>
        <v>Nursing Student Clinical Rotations|2025-08-31|Registered Nurse|195.75</v>
      </c>
      <c r="I577" s="1" t="n">
        <f aca="false">COUNTIF($H$5:$H$1624,H577)</f>
        <v>1</v>
      </c>
      <c r="J577" s="1" t="n">
        <f aca="false">COUNTIF($H$5:H577,H577)</f>
        <v>1</v>
      </c>
      <c r="K577" s="1" t="n">
        <f aca="false">COUNTIFS($H$5:$H$1624,H577,$B$5:$B$1624,"&lt;&gt;"&amp;B577)</f>
        <v>0</v>
      </c>
      <c r="L577" s="1" t="str">
        <f aca="false">IF(I577&gt;1,IF(K577&gt;0,"Cross-hospital match","Same-hospital match"),"")</f>
        <v/>
      </c>
      <c r="M577" s="52"/>
      <c r="N577" s="52"/>
      <c r="O577" s="1" t="n">
        <f aca="false">IF(M577="Exclude (duplicate)",0,1)</f>
        <v>1</v>
      </c>
      <c r="P577" s="1" t="str">
        <f aca="false">IF(AND(L577&lt;&gt;"",M577=""),"Needs decision","")</f>
        <v/>
      </c>
    </row>
    <row r="578" customFormat="false" ht="15" hidden="false" customHeight="false" outlineLevel="0" collapsed="false">
      <c r="A578" s="48" t="str">
        <f aca="false">COST!A578</f>
        <v>ASH-0045</v>
      </c>
      <c r="B578" s="48" t="str">
        <f aca="false">COST!B578</f>
        <v>ASH</v>
      </c>
      <c r="C578" s="48" t="str">
        <f aca="false">COST!D578</f>
        <v>Paramedic Student Field Training</v>
      </c>
      <c r="D578" s="62" t="n">
        <f aca="false">COST!M578</f>
        <v>45900</v>
      </c>
      <c r="E578" s="48" t="str">
        <f aca="false">COST!P578</f>
        <v>Paramedic</v>
      </c>
      <c r="F578" s="63" t="n">
        <f aca="false">COST!R578</f>
        <v>56</v>
      </c>
      <c r="G578" s="48" t="str">
        <f aca="false">STACK!M578</f>
        <v/>
      </c>
      <c r="H578" s="1" t="str">
        <f aca="false">C578&amp;"|"&amp;IF(ISNUMBER(D578),TEXT(D578,"yyyy-mm-dd"),"no date")&amp;"|"&amp;E578&amp;"|"&amp;IF(ISNUMBER(F578),TEXT(F578,"0.00"),"blank")</f>
        <v>Paramedic Student Field Training|2025-08-31|Paramedic|56.00</v>
      </c>
      <c r="I578" s="1" t="n">
        <f aca="false">COUNTIF($H$5:$H$1624,H578)</f>
        <v>1</v>
      </c>
      <c r="J578" s="1" t="n">
        <f aca="false">COUNTIF($H$5:H578,H578)</f>
        <v>1</v>
      </c>
      <c r="K578" s="1" t="n">
        <f aca="false">COUNTIFS($H$5:$H$1624,H578,$B$5:$B$1624,"&lt;&gt;"&amp;B578)</f>
        <v>0</v>
      </c>
      <c r="L578" s="1" t="str">
        <f aca="false">IF(I578&gt;1,IF(K578&gt;0,"Cross-hospital match","Same-hospital match"),"")</f>
        <v/>
      </c>
      <c r="M578" s="52"/>
      <c r="N578" s="52"/>
      <c r="O578" s="1" t="n">
        <f aca="false">IF(M578="Exclude (duplicate)",0,1)</f>
        <v>1</v>
      </c>
      <c r="P578" s="1" t="str">
        <f aca="false">IF(AND(L578&lt;&gt;"",M578=""),"Needs decision","")</f>
        <v/>
      </c>
    </row>
    <row r="579" customFormat="false" ht="15" hidden="false" customHeight="false" outlineLevel="0" collapsed="false">
      <c r="A579" s="48" t="str">
        <f aca="false">COST!A579</f>
        <v>ASH-0046</v>
      </c>
      <c r="B579" s="48" t="str">
        <f aca="false">COST!B579</f>
        <v>ASH</v>
      </c>
      <c r="C579" s="48" t="str">
        <f aca="false">COST!D579</f>
        <v>Affordable Housing Partnership</v>
      </c>
      <c r="D579" s="62" t="n">
        <f aca="false">COST!M579</f>
        <v>45903</v>
      </c>
      <c r="E579" s="48" t="str">
        <f aca="false">COST!P579</f>
        <v>Director</v>
      </c>
      <c r="F579" s="63" t="n">
        <f aca="false">COST!R579</f>
        <v>5</v>
      </c>
      <c r="G579" s="48" t="str">
        <f aca="false">STACK!M579</f>
        <v/>
      </c>
      <c r="H579" s="1" t="str">
        <f aca="false">C579&amp;"|"&amp;IF(ISNUMBER(D579),TEXT(D579,"yyyy-mm-dd"),"no date")&amp;"|"&amp;E579&amp;"|"&amp;IF(ISNUMBER(F579),TEXT(F579,"0.00"),"blank")</f>
        <v>Affordable Housing Partnership|2025-09-03|Director|5.00</v>
      </c>
      <c r="I579" s="1" t="n">
        <f aca="false">COUNTIF($H$5:$H$1624,H579)</f>
        <v>1</v>
      </c>
      <c r="J579" s="1" t="n">
        <f aca="false">COUNTIF($H$5:H579,H579)</f>
        <v>1</v>
      </c>
      <c r="K579" s="1" t="n">
        <f aca="false">COUNTIFS($H$5:$H$1624,H579,$B$5:$B$1624,"&lt;&gt;"&amp;B579)</f>
        <v>0</v>
      </c>
      <c r="L579" s="1" t="str">
        <f aca="false">IF(I579&gt;1,IF(K579&gt;0,"Cross-hospital match","Same-hospital match"),"")</f>
        <v/>
      </c>
      <c r="M579" s="52"/>
      <c r="N579" s="52"/>
      <c r="O579" s="1" t="n">
        <f aca="false">IF(M579="Exclude (duplicate)",0,1)</f>
        <v>1</v>
      </c>
      <c r="P579" s="1" t="str">
        <f aca="false">IF(AND(L579&lt;&gt;"",M579=""),"Needs decision","")</f>
        <v/>
      </c>
    </row>
    <row r="580" customFormat="false" ht="15" hidden="false" customHeight="false" outlineLevel="0" collapsed="false">
      <c r="A580" s="48" t="str">
        <f aca="false">COST!A580</f>
        <v>ASH-0047</v>
      </c>
      <c r="B580" s="48" t="str">
        <f aca="false">COST!B580</f>
        <v>ASH</v>
      </c>
      <c r="C580" s="48" t="str">
        <f aca="false">COST!D580</f>
        <v>Affordable Housing Partnership</v>
      </c>
      <c r="D580" s="62" t="n">
        <f aca="false">COST!M580</f>
        <v>45903</v>
      </c>
      <c r="E580" s="48" t="str">
        <f aca="false">COST!P580</f>
        <v>Program Coordinator</v>
      </c>
      <c r="F580" s="63" t="n">
        <f aca="false">COST!R580</f>
        <v>9.25</v>
      </c>
      <c r="G580" s="48" t="str">
        <f aca="false">STACK!M580</f>
        <v/>
      </c>
      <c r="H580" s="1" t="str">
        <f aca="false">C580&amp;"|"&amp;IF(ISNUMBER(D580),TEXT(D580,"yyyy-mm-dd"),"no date")&amp;"|"&amp;E580&amp;"|"&amp;IF(ISNUMBER(F580),TEXT(F580,"0.00"),"blank")</f>
        <v>Affordable Housing Partnership|2025-09-03|Program Coordinator|9.25</v>
      </c>
      <c r="I580" s="1" t="n">
        <f aca="false">COUNTIF($H$5:$H$1624,H580)</f>
        <v>1</v>
      </c>
      <c r="J580" s="1" t="n">
        <f aca="false">COUNTIF($H$5:H580,H580)</f>
        <v>1</v>
      </c>
      <c r="K580" s="1" t="n">
        <f aca="false">COUNTIFS($H$5:$H$1624,H580,$B$5:$B$1624,"&lt;&gt;"&amp;B580)</f>
        <v>0</v>
      </c>
      <c r="L580" s="1" t="str">
        <f aca="false">IF(I580&gt;1,IF(K580&gt;0,"Cross-hospital match","Same-hospital match"),"")</f>
        <v/>
      </c>
      <c r="M580" s="52"/>
      <c r="N580" s="52"/>
      <c r="O580" s="1" t="n">
        <f aca="false">IF(M580="Exclude (duplicate)",0,1)</f>
        <v>1</v>
      </c>
      <c r="P580" s="1" t="str">
        <f aca="false">IF(AND(L580&lt;&gt;"",M580=""),"Needs decision","")</f>
        <v/>
      </c>
    </row>
    <row r="581" customFormat="false" ht="15" hidden="false" customHeight="false" outlineLevel="0" collapsed="false">
      <c r="A581" s="48" t="str">
        <f aca="false">COST!A581</f>
        <v>ASH-0048</v>
      </c>
      <c r="B581" s="48" t="str">
        <f aca="false">COST!B581</f>
        <v>ASH</v>
      </c>
      <c r="C581" s="48" t="str">
        <f aca="false">COST!D581</f>
        <v>Grief Support Group</v>
      </c>
      <c r="D581" s="62" t="n">
        <f aca="false">COST!M581</f>
        <v>45906</v>
      </c>
      <c r="E581" s="48" t="str">
        <f aca="false">COST!P581</f>
        <v>Chaplain</v>
      </c>
      <c r="F581" s="63" t="n">
        <f aca="false">COST!R581</f>
        <v>2.25</v>
      </c>
      <c r="G581" s="48" t="str">
        <f aca="false">STACK!M581</f>
        <v/>
      </c>
      <c r="H581" s="1" t="str">
        <f aca="false">C581&amp;"|"&amp;IF(ISNUMBER(D581),TEXT(D581,"yyyy-mm-dd"),"no date")&amp;"|"&amp;E581&amp;"|"&amp;IF(ISNUMBER(F581),TEXT(F581,"0.00"),"blank")</f>
        <v>Grief Support Group|2025-09-06|Chaplain|2.25</v>
      </c>
      <c r="I581" s="1" t="n">
        <f aca="false">COUNTIF($H$5:$H$1624,H581)</f>
        <v>1</v>
      </c>
      <c r="J581" s="1" t="n">
        <f aca="false">COUNTIF($H$5:H581,H581)</f>
        <v>1</v>
      </c>
      <c r="K581" s="1" t="n">
        <f aca="false">COUNTIFS($H$5:$H$1624,H581,$B$5:$B$1624,"&lt;&gt;"&amp;B581)</f>
        <v>0</v>
      </c>
      <c r="L581" s="1" t="str">
        <f aca="false">IF(I581&gt;1,IF(K581&gt;0,"Cross-hospital match","Same-hospital match"),"")</f>
        <v/>
      </c>
      <c r="M581" s="52"/>
      <c r="N581" s="52"/>
      <c r="O581" s="1" t="n">
        <f aca="false">IF(M581="Exclude (duplicate)",0,1)</f>
        <v>1</v>
      </c>
      <c r="P581" s="1" t="str">
        <f aca="false">IF(AND(L581&lt;&gt;"",M581=""),"Needs decision","")</f>
        <v/>
      </c>
    </row>
    <row r="582" customFormat="false" ht="15" hidden="false" customHeight="false" outlineLevel="0" collapsed="false">
      <c r="A582" s="48" t="str">
        <f aca="false">COST!A582</f>
        <v>ASH-0049</v>
      </c>
      <c r="B582" s="48" t="str">
        <f aca="false">COST!B582</f>
        <v>ASH</v>
      </c>
      <c r="C582" s="48" t="str">
        <f aca="false">COST!D582</f>
        <v>Grief Support Group</v>
      </c>
      <c r="D582" s="62" t="n">
        <f aca="false">COST!M582</f>
        <v>45906</v>
      </c>
      <c r="E582" s="48" t="str">
        <f aca="false">COST!P582</f>
        <v>Social Worker</v>
      </c>
      <c r="F582" s="63" t="n">
        <f aca="false">COST!R582</f>
        <v>1.5</v>
      </c>
      <c r="G582" s="48" t="str">
        <f aca="false">STACK!M582</f>
        <v/>
      </c>
      <c r="H582" s="1" t="str">
        <f aca="false">C582&amp;"|"&amp;IF(ISNUMBER(D582),TEXT(D582,"yyyy-mm-dd"),"no date")&amp;"|"&amp;E582&amp;"|"&amp;IF(ISNUMBER(F582),TEXT(F582,"0.00"),"blank")</f>
        <v>Grief Support Group|2025-09-06|Social Worker|1.50</v>
      </c>
      <c r="I582" s="1" t="n">
        <f aca="false">COUNTIF($H$5:$H$1624,H582)</f>
        <v>1</v>
      </c>
      <c r="J582" s="1" t="n">
        <f aca="false">COUNTIF($H$5:H582,H582)</f>
        <v>1</v>
      </c>
      <c r="K582" s="1" t="n">
        <f aca="false">COUNTIFS($H$5:$H$1624,H582,$B$5:$B$1624,"&lt;&gt;"&amp;B582)</f>
        <v>0</v>
      </c>
      <c r="L582" s="1" t="str">
        <f aca="false">IF(I582&gt;1,IF(K582&gt;0,"Cross-hospital match","Same-hospital match"),"")</f>
        <v/>
      </c>
      <c r="M582" s="52"/>
      <c r="N582" s="52"/>
      <c r="O582" s="1" t="n">
        <f aca="false">IF(M582="Exclude (duplicate)",0,1)</f>
        <v>1</v>
      </c>
      <c r="P582" s="1" t="str">
        <f aca="false">IF(AND(L582&lt;&gt;"",M582=""),"Needs decision","")</f>
        <v/>
      </c>
    </row>
    <row r="583" customFormat="false" ht="15" hidden="false" customHeight="false" outlineLevel="0" collapsed="false">
      <c r="A583" s="48" t="str">
        <f aca="false">COST!A583</f>
        <v>ASH-0050</v>
      </c>
      <c r="B583" s="48" t="str">
        <f aca="false">COST!B583</f>
        <v>ASH</v>
      </c>
      <c r="C583" s="48" t="str">
        <f aca="false">COST!D583</f>
        <v>Regional Health Coalition</v>
      </c>
      <c r="D583" s="62" t="n">
        <f aca="false">COST!M583</f>
        <v>45906</v>
      </c>
      <c r="E583" s="48" t="str">
        <f aca="false">COST!P583</f>
        <v>Community Benefit Manager</v>
      </c>
      <c r="F583" s="63" t="n">
        <f aca="false">COST!R583</f>
        <v>2</v>
      </c>
      <c r="G583" s="48" t="str">
        <f aca="false">STACK!M583</f>
        <v/>
      </c>
      <c r="H583" s="1" t="str">
        <f aca="false">C583&amp;"|"&amp;IF(ISNUMBER(D583),TEXT(D583,"yyyy-mm-dd"),"no date")&amp;"|"&amp;E583&amp;"|"&amp;IF(ISNUMBER(F583),TEXT(F583,"0.00"),"blank")</f>
        <v>Regional Health Coalition|2025-09-06|Community Benefit Manager|2.00</v>
      </c>
      <c r="I583" s="1" t="n">
        <f aca="false">COUNTIF($H$5:$H$1624,H583)</f>
        <v>1</v>
      </c>
      <c r="J583" s="1" t="n">
        <f aca="false">COUNTIF($H$5:H583,H583)</f>
        <v>1</v>
      </c>
      <c r="K583" s="1" t="n">
        <f aca="false">COUNTIFS($H$5:$H$1624,H583,$B$5:$B$1624,"&lt;&gt;"&amp;B583)</f>
        <v>0</v>
      </c>
      <c r="L583" s="1" t="str">
        <f aca="false">IF(I583&gt;1,IF(K583&gt;0,"Cross-hospital match","Same-hospital match"),"")</f>
        <v/>
      </c>
      <c r="M583" s="52"/>
      <c r="N583" s="52"/>
      <c r="O583" s="1" t="n">
        <f aca="false">IF(M583="Exclude (duplicate)",0,1)</f>
        <v>1</v>
      </c>
      <c r="P583" s="1" t="str">
        <f aca="false">IF(AND(L583&lt;&gt;"",M583=""),"Needs decision","")</f>
        <v/>
      </c>
    </row>
    <row r="584" customFormat="false" ht="15" hidden="false" customHeight="false" outlineLevel="0" collapsed="false">
      <c r="A584" s="48" t="str">
        <f aca="false">COST!A584</f>
        <v>ASH-0051</v>
      </c>
      <c r="B584" s="48" t="str">
        <f aca="false">COST!B584</f>
        <v>ASH</v>
      </c>
      <c r="C584" s="48" t="str">
        <f aca="false">COST!D584</f>
        <v>Regional Health Coalition</v>
      </c>
      <c r="D584" s="62" t="n">
        <f aca="false">COST!M584</f>
        <v>45906</v>
      </c>
      <c r="E584" s="48" t="str">
        <f aca="false">COST!P584</f>
        <v>Director</v>
      </c>
      <c r="F584" s="63" t="n">
        <f aca="false">COST!R584</f>
        <v>2.5</v>
      </c>
      <c r="G584" s="48" t="str">
        <f aca="false">STACK!M584</f>
        <v/>
      </c>
      <c r="H584" s="1" t="str">
        <f aca="false">C584&amp;"|"&amp;IF(ISNUMBER(D584),TEXT(D584,"yyyy-mm-dd"),"no date")&amp;"|"&amp;E584&amp;"|"&amp;IF(ISNUMBER(F584),TEXT(F584,"0.00"),"blank")</f>
        <v>Regional Health Coalition|2025-09-06|Director|2.50</v>
      </c>
      <c r="I584" s="1" t="n">
        <f aca="false">COUNTIF($H$5:$H$1624,H584)</f>
        <v>1</v>
      </c>
      <c r="J584" s="1" t="n">
        <f aca="false">COUNTIF($H$5:H584,H584)</f>
        <v>1</v>
      </c>
      <c r="K584" s="1" t="n">
        <f aca="false">COUNTIFS($H$5:$H$1624,H584,$B$5:$B$1624,"&lt;&gt;"&amp;B584)</f>
        <v>0</v>
      </c>
      <c r="L584" s="1" t="str">
        <f aca="false">IF(I584&gt;1,IF(K584&gt;0,"Cross-hospital match","Same-hospital match"),"")</f>
        <v/>
      </c>
      <c r="M584" s="52"/>
      <c r="N584" s="52"/>
      <c r="O584" s="1" t="n">
        <f aca="false">IF(M584="Exclude (duplicate)",0,1)</f>
        <v>1</v>
      </c>
      <c r="P584" s="1" t="str">
        <f aca="false">IF(AND(L584&lt;&gt;"",M584=""),"Needs decision","")</f>
        <v/>
      </c>
    </row>
    <row r="585" customFormat="false" ht="15" hidden="false" customHeight="false" outlineLevel="0" collapsed="false">
      <c r="A585" s="48" t="str">
        <f aca="false">COST!A585</f>
        <v>ASH-0052</v>
      </c>
      <c r="B585" s="48" t="str">
        <f aca="false">COST!B585</f>
        <v>ASH</v>
      </c>
      <c r="C585" s="48" t="str">
        <f aca="false">COST!D585</f>
        <v>Grief Support Group</v>
      </c>
      <c r="D585" s="62" t="n">
        <f aca="false">COST!M585</f>
        <v>45913</v>
      </c>
      <c r="E585" s="48" t="str">
        <f aca="false">COST!P585</f>
        <v>Chaplain</v>
      </c>
      <c r="F585" s="63" t="n">
        <f aca="false">COST!R585</f>
        <v>2.25</v>
      </c>
      <c r="G585" s="48" t="str">
        <f aca="false">STACK!M585</f>
        <v/>
      </c>
      <c r="H585" s="1" t="str">
        <f aca="false">C585&amp;"|"&amp;IF(ISNUMBER(D585),TEXT(D585,"yyyy-mm-dd"),"no date")&amp;"|"&amp;E585&amp;"|"&amp;IF(ISNUMBER(F585),TEXT(F585,"0.00"),"blank")</f>
        <v>Grief Support Group|2025-09-13|Chaplain|2.25</v>
      </c>
      <c r="I585" s="1" t="n">
        <f aca="false">COUNTIF($H$5:$H$1624,H585)</f>
        <v>1</v>
      </c>
      <c r="J585" s="1" t="n">
        <f aca="false">COUNTIF($H$5:H585,H585)</f>
        <v>1</v>
      </c>
      <c r="K585" s="1" t="n">
        <f aca="false">COUNTIFS($H$5:$H$1624,H585,$B$5:$B$1624,"&lt;&gt;"&amp;B585)</f>
        <v>0</v>
      </c>
      <c r="L585" s="1" t="str">
        <f aca="false">IF(I585&gt;1,IF(K585&gt;0,"Cross-hospital match","Same-hospital match"),"")</f>
        <v/>
      </c>
      <c r="M585" s="52"/>
      <c r="N585" s="52"/>
      <c r="O585" s="1" t="n">
        <f aca="false">IF(M585="Exclude (duplicate)",0,1)</f>
        <v>1</v>
      </c>
      <c r="P585" s="1" t="str">
        <f aca="false">IF(AND(L585&lt;&gt;"",M585=""),"Needs decision","")</f>
        <v/>
      </c>
    </row>
    <row r="586" customFormat="false" ht="15" hidden="false" customHeight="false" outlineLevel="0" collapsed="false">
      <c r="A586" s="48" t="str">
        <f aca="false">COST!A586</f>
        <v>ASH-0053</v>
      </c>
      <c r="B586" s="48" t="str">
        <f aca="false">COST!B586</f>
        <v>ASH</v>
      </c>
      <c r="C586" s="48" t="str">
        <f aca="false">COST!D586</f>
        <v>Grief Support Group</v>
      </c>
      <c r="D586" s="62" t="n">
        <f aca="false">COST!M586</f>
        <v>45913</v>
      </c>
      <c r="E586" s="48" t="str">
        <f aca="false">COST!P586</f>
        <v>Social Worker</v>
      </c>
      <c r="F586" s="63" t="n">
        <f aca="false">COST!R586</f>
        <v>1.75</v>
      </c>
      <c r="G586" s="48" t="str">
        <f aca="false">STACK!M586</f>
        <v/>
      </c>
      <c r="H586" s="1" t="str">
        <f aca="false">C586&amp;"|"&amp;IF(ISNUMBER(D586),TEXT(D586,"yyyy-mm-dd"),"no date")&amp;"|"&amp;E586&amp;"|"&amp;IF(ISNUMBER(F586),TEXT(F586,"0.00"),"blank")</f>
        <v>Grief Support Group|2025-09-13|Social Worker|1.75</v>
      </c>
      <c r="I586" s="1" t="n">
        <f aca="false">COUNTIF($H$5:$H$1624,H586)</f>
        <v>1</v>
      </c>
      <c r="J586" s="1" t="n">
        <f aca="false">COUNTIF($H$5:H586,H586)</f>
        <v>1</v>
      </c>
      <c r="K586" s="1" t="n">
        <f aca="false">COUNTIFS($H$5:$H$1624,H586,$B$5:$B$1624,"&lt;&gt;"&amp;B586)</f>
        <v>0</v>
      </c>
      <c r="L586" s="1" t="str">
        <f aca="false">IF(I586&gt;1,IF(K586&gt;0,"Cross-hospital match","Same-hospital match"),"")</f>
        <v/>
      </c>
      <c r="M586" s="52"/>
      <c r="N586" s="52"/>
      <c r="O586" s="1" t="n">
        <f aca="false">IF(M586="Exclude (duplicate)",0,1)</f>
        <v>1</v>
      </c>
      <c r="P586" s="1" t="str">
        <f aca="false">IF(AND(L586&lt;&gt;"",M586=""),"Needs decision","")</f>
        <v/>
      </c>
    </row>
    <row r="587" customFormat="false" ht="15" hidden="false" customHeight="false" outlineLevel="0" collapsed="false">
      <c r="A587" s="48" t="str">
        <f aca="false">COST!A587</f>
        <v>ASH-0054</v>
      </c>
      <c r="B587" s="48" t="str">
        <f aca="false">COST!B587</f>
        <v>ASH</v>
      </c>
      <c r="C587" s="48" t="str">
        <f aca="false">COST!D587</f>
        <v>Grief Support Group</v>
      </c>
      <c r="D587" s="62" t="n">
        <f aca="false">COST!M587</f>
        <v>45918</v>
      </c>
      <c r="E587" s="48" t="str">
        <f aca="false">COST!P587</f>
        <v>Chaplain</v>
      </c>
      <c r="F587" s="63" t="n">
        <f aca="false">COST!R587</f>
        <v>2.5</v>
      </c>
      <c r="G587" s="48" t="str">
        <f aca="false">STACK!M587</f>
        <v/>
      </c>
      <c r="H587" s="1" t="str">
        <f aca="false">C587&amp;"|"&amp;IF(ISNUMBER(D587),TEXT(D587,"yyyy-mm-dd"),"no date")&amp;"|"&amp;E587&amp;"|"&amp;IF(ISNUMBER(F587),TEXT(F587,"0.00"),"blank")</f>
        <v>Grief Support Group|2025-09-18|Chaplain|2.50</v>
      </c>
      <c r="I587" s="1" t="n">
        <f aca="false">COUNTIF($H$5:$H$1624,H587)</f>
        <v>1</v>
      </c>
      <c r="J587" s="1" t="n">
        <f aca="false">COUNTIF($H$5:H587,H587)</f>
        <v>1</v>
      </c>
      <c r="K587" s="1" t="n">
        <f aca="false">COUNTIFS($H$5:$H$1624,H587,$B$5:$B$1624,"&lt;&gt;"&amp;B587)</f>
        <v>0</v>
      </c>
      <c r="L587" s="1" t="str">
        <f aca="false">IF(I587&gt;1,IF(K587&gt;0,"Cross-hospital match","Same-hospital match"),"")</f>
        <v/>
      </c>
      <c r="M587" s="52"/>
      <c r="N587" s="52"/>
      <c r="O587" s="1" t="n">
        <f aca="false">IF(M587="Exclude (duplicate)",0,1)</f>
        <v>1</v>
      </c>
      <c r="P587" s="1" t="str">
        <f aca="false">IF(AND(L587&lt;&gt;"",M587=""),"Needs decision","")</f>
        <v/>
      </c>
    </row>
    <row r="588" customFormat="false" ht="15" hidden="false" customHeight="false" outlineLevel="0" collapsed="false">
      <c r="A588" s="48" t="str">
        <f aca="false">COST!A588</f>
        <v>ASH-0055</v>
      </c>
      <c r="B588" s="48" t="str">
        <f aca="false">COST!B588</f>
        <v>ASH</v>
      </c>
      <c r="C588" s="48" t="str">
        <f aca="false">COST!D588</f>
        <v>Grief Support Group</v>
      </c>
      <c r="D588" s="62" t="n">
        <f aca="false">COST!M588</f>
        <v>45918</v>
      </c>
      <c r="E588" s="48" t="str">
        <f aca="false">COST!P588</f>
        <v>Social Worker</v>
      </c>
      <c r="F588" s="63" t="n">
        <f aca="false">COST!R588</f>
        <v>1.75</v>
      </c>
      <c r="G588" s="48" t="str">
        <f aca="false">STACK!M588</f>
        <v/>
      </c>
      <c r="H588" s="1" t="str">
        <f aca="false">C588&amp;"|"&amp;IF(ISNUMBER(D588),TEXT(D588,"yyyy-mm-dd"),"no date")&amp;"|"&amp;E588&amp;"|"&amp;IF(ISNUMBER(F588),TEXT(F588,"0.00"),"blank")</f>
        <v>Grief Support Group|2025-09-18|Social Worker|1.75</v>
      </c>
      <c r="I588" s="1" t="n">
        <f aca="false">COUNTIF($H$5:$H$1624,H588)</f>
        <v>1</v>
      </c>
      <c r="J588" s="1" t="n">
        <f aca="false">COUNTIF($H$5:H588,H588)</f>
        <v>1</v>
      </c>
      <c r="K588" s="1" t="n">
        <f aca="false">COUNTIFS($H$5:$H$1624,H588,$B$5:$B$1624,"&lt;&gt;"&amp;B588)</f>
        <v>0</v>
      </c>
      <c r="L588" s="1" t="str">
        <f aca="false">IF(I588&gt;1,IF(K588&gt;0,"Cross-hospital match","Same-hospital match"),"")</f>
        <v/>
      </c>
      <c r="M588" s="52"/>
      <c r="N588" s="52"/>
      <c r="O588" s="1" t="n">
        <f aca="false">IF(M588="Exclude (duplicate)",0,1)</f>
        <v>1</v>
      </c>
      <c r="P588" s="1" t="str">
        <f aca="false">IF(AND(L588&lt;&gt;"",M588=""),"Needs decision","")</f>
        <v/>
      </c>
    </row>
    <row r="589" customFormat="false" ht="15" hidden="false" customHeight="false" outlineLevel="0" collapsed="false">
      <c r="A589" s="48" t="str">
        <f aca="false">COST!A589</f>
        <v>ASH-0056</v>
      </c>
      <c r="B589" s="48" t="str">
        <f aca="false">COST!B589</f>
        <v>ASH</v>
      </c>
      <c r="C589" s="48" t="str">
        <f aca="false">COST!D589</f>
        <v>Fall Prevention Classes for Older Adults</v>
      </c>
      <c r="D589" s="62" t="n">
        <f aca="false">COST!M589</f>
        <v>45925</v>
      </c>
      <c r="E589" s="48" t="str">
        <f aca="false">COST!P589</f>
        <v>Licensed Therapist</v>
      </c>
      <c r="F589" s="63" t="n">
        <f aca="false">COST!R589</f>
        <v>2</v>
      </c>
      <c r="G589" s="48" t="str">
        <f aca="false">STACK!M589</f>
        <v/>
      </c>
      <c r="H589" s="1" t="str">
        <f aca="false">C589&amp;"|"&amp;IF(ISNUMBER(D589),TEXT(D589,"yyyy-mm-dd"),"no date")&amp;"|"&amp;E589&amp;"|"&amp;IF(ISNUMBER(F589),TEXT(F589,"0.00"),"blank")</f>
        <v>Fall Prevention Classes for Older Adults|2025-09-25|Licensed Therapist|2.00</v>
      </c>
      <c r="I589" s="1" t="n">
        <f aca="false">COUNTIF($H$5:$H$1624,H589)</f>
        <v>1</v>
      </c>
      <c r="J589" s="1" t="n">
        <f aca="false">COUNTIF($H$5:H589,H589)</f>
        <v>1</v>
      </c>
      <c r="K589" s="1" t="n">
        <f aca="false">COUNTIFS($H$5:$H$1624,H589,$B$5:$B$1624,"&lt;&gt;"&amp;B589)</f>
        <v>0</v>
      </c>
      <c r="L589" s="1" t="str">
        <f aca="false">IF(I589&gt;1,IF(K589&gt;0,"Cross-hospital match","Same-hospital match"),"")</f>
        <v/>
      </c>
      <c r="M589" s="52"/>
      <c r="N589" s="52"/>
      <c r="O589" s="1" t="n">
        <f aca="false">IF(M589="Exclude (duplicate)",0,1)</f>
        <v>1</v>
      </c>
      <c r="P589" s="1" t="str">
        <f aca="false">IF(AND(L589&lt;&gt;"",M589=""),"Needs decision","")</f>
        <v/>
      </c>
    </row>
    <row r="590" customFormat="false" ht="15" hidden="false" customHeight="false" outlineLevel="0" collapsed="false">
      <c r="A590" s="48" t="str">
        <f aca="false">COST!A590</f>
        <v>ASH-0057</v>
      </c>
      <c r="B590" s="48" t="str">
        <f aca="false">COST!B590</f>
        <v>ASH</v>
      </c>
      <c r="C590" s="48" t="str">
        <f aca="false">COST!D590</f>
        <v>Regional Health Coalition</v>
      </c>
      <c r="D590" s="62" t="n">
        <f aca="false">COST!M590</f>
        <v>45929</v>
      </c>
      <c r="E590" s="48" t="str">
        <f aca="false">COST!P590</f>
        <v>Community Benefit Manager</v>
      </c>
      <c r="F590" s="63" t="n">
        <f aca="false">COST!R590</f>
        <v>2</v>
      </c>
      <c r="G590" s="48" t="str">
        <f aca="false">STACK!M590</f>
        <v/>
      </c>
      <c r="H590" s="1" t="str">
        <f aca="false">C590&amp;"|"&amp;IF(ISNUMBER(D590),TEXT(D590,"yyyy-mm-dd"),"no date")&amp;"|"&amp;E590&amp;"|"&amp;IF(ISNUMBER(F590),TEXT(F590,"0.00"),"blank")</f>
        <v>Regional Health Coalition|2025-09-29|Community Benefit Manager|2.00</v>
      </c>
      <c r="I590" s="1" t="n">
        <f aca="false">COUNTIF($H$5:$H$1624,H590)</f>
        <v>1</v>
      </c>
      <c r="J590" s="1" t="n">
        <f aca="false">COUNTIF($H$5:H590,H590)</f>
        <v>1</v>
      </c>
      <c r="K590" s="1" t="n">
        <f aca="false">COUNTIFS($H$5:$H$1624,H590,$B$5:$B$1624,"&lt;&gt;"&amp;B590)</f>
        <v>0</v>
      </c>
      <c r="L590" s="1" t="str">
        <f aca="false">IF(I590&gt;1,IF(K590&gt;0,"Cross-hospital match","Same-hospital match"),"")</f>
        <v/>
      </c>
      <c r="M590" s="52"/>
      <c r="N590" s="52"/>
      <c r="O590" s="1" t="n">
        <f aca="false">IF(M590="Exclude (duplicate)",0,1)</f>
        <v>1</v>
      </c>
      <c r="P590" s="1" t="str">
        <f aca="false">IF(AND(L590&lt;&gt;"",M590=""),"Needs decision","")</f>
        <v/>
      </c>
    </row>
    <row r="591" customFormat="false" ht="15" hidden="false" customHeight="false" outlineLevel="0" collapsed="false">
      <c r="A591" s="48" t="str">
        <f aca="false">COST!A591</f>
        <v>ASH-0058</v>
      </c>
      <c r="B591" s="48" t="str">
        <f aca="false">COST!B591</f>
        <v>ASH</v>
      </c>
      <c r="C591" s="48" t="str">
        <f aca="false">COST!D591</f>
        <v>Regional Health Coalition</v>
      </c>
      <c r="D591" s="62" t="n">
        <f aca="false">COST!M591</f>
        <v>45929</v>
      </c>
      <c r="E591" s="48" t="str">
        <f aca="false">COST!P591</f>
        <v>Director</v>
      </c>
      <c r="F591" s="63" t="n">
        <f aca="false">COST!R591</f>
        <v>2.5</v>
      </c>
      <c r="G591" s="48" t="str">
        <f aca="false">STACK!M591</f>
        <v/>
      </c>
      <c r="H591" s="1" t="str">
        <f aca="false">C591&amp;"|"&amp;IF(ISNUMBER(D591),TEXT(D591,"yyyy-mm-dd"),"no date")&amp;"|"&amp;E591&amp;"|"&amp;IF(ISNUMBER(F591),TEXT(F591,"0.00"),"blank")</f>
        <v>Regional Health Coalition|2025-09-29|Director|2.50</v>
      </c>
      <c r="I591" s="1" t="n">
        <f aca="false">COUNTIF($H$5:$H$1624,H591)</f>
        <v>1</v>
      </c>
      <c r="J591" s="1" t="n">
        <f aca="false">COUNTIF($H$5:H591,H591)</f>
        <v>1</v>
      </c>
      <c r="K591" s="1" t="n">
        <f aca="false">COUNTIFS($H$5:$H$1624,H591,$B$5:$B$1624,"&lt;&gt;"&amp;B591)</f>
        <v>0</v>
      </c>
      <c r="L591" s="1" t="str">
        <f aca="false">IF(I591&gt;1,IF(K591&gt;0,"Cross-hospital match","Same-hospital match"),"")</f>
        <v/>
      </c>
      <c r="M591" s="52"/>
      <c r="N591" s="52"/>
      <c r="O591" s="1" t="n">
        <f aca="false">IF(M591="Exclude (duplicate)",0,1)</f>
        <v>1</v>
      </c>
      <c r="P591" s="1" t="str">
        <f aca="false">IF(AND(L591&lt;&gt;"",M591=""),"Needs decision","")</f>
        <v/>
      </c>
    </row>
    <row r="592" customFormat="false" ht="15" hidden="false" customHeight="false" outlineLevel="0" collapsed="false">
      <c r="A592" s="48" t="str">
        <f aca="false">COST!A592</f>
        <v>ASH-0059</v>
      </c>
      <c r="B592" s="48" t="str">
        <f aca="false">COST!B592</f>
        <v>ASH</v>
      </c>
      <c r="C592" s="48" t="str">
        <f aca="false">COST!D592</f>
        <v>Mobile Health Screening Unit</v>
      </c>
      <c r="D592" s="62" t="n">
        <f aca="false">COST!M592</f>
        <v>45930</v>
      </c>
      <c r="E592" s="48" t="str">
        <f aca="false">COST!P592</f>
        <v>Community Health Worker</v>
      </c>
      <c r="F592" s="63" t="n">
        <f aca="false">COST!R592</f>
        <v>90.5</v>
      </c>
      <c r="G592" s="48" t="str">
        <f aca="false">STACK!M592</f>
        <v/>
      </c>
      <c r="H592" s="1" t="str">
        <f aca="false">C592&amp;"|"&amp;IF(ISNUMBER(D592),TEXT(D592,"yyyy-mm-dd"),"no date")&amp;"|"&amp;E592&amp;"|"&amp;IF(ISNUMBER(F592),TEXT(F592,"0.00"),"blank")</f>
        <v>Mobile Health Screening Unit|2025-09-30|Community Health Worker|90.50</v>
      </c>
      <c r="I592" s="1" t="n">
        <f aca="false">COUNTIF($H$5:$H$1624,H592)</f>
        <v>1</v>
      </c>
      <c r="J592" s="1" t="n">
        <f aca="false">COUNTIF($H$5:H592,H592)</f>
        <v>1</v>
      </c>
      <c r="K592" s="1" t="n">
        <f aca="false">COUNTIFS($H$5:$H$1624,H592,$B$5:$B$1624,"&lt;&gt;"&amp;B592)</f>
        <v>0</v>
      </c>
      <c r="L592" s="1" t="str">
        <f aca="false">IF(I592&gt;1,IF(K592&gt;0,"Cross-hospital match","Same-hospital match"),"")</f>
        <v/>
      </c>
      <c r="M592" s="52"/>
      <c r="N592" s="52"/>
      <c r="O592" s="1" t="n">
        <f aca="false">IF(M592="Exclude (duplicate)",0,1)</f>
        <v>1</v>
      </c>
      <c r="P592" s="1" t="str">
        <f aca="false">IF(AND(L592&lt;&gt;"",M592=""),"Needs decision","")</f>
        <v/>
      </c>
    </row>
    <row r="593" customFormat="false" ht="15" hidden="false" customHeight="false" outlineLevel="0" collapsed="false">
      <c r="A593" s="48" t="str">
        <f aca="false">COST!A593</f>
        <v>ASH-0060</v>
      </c>
      <c r="B593" s="48" t="str">
        <f aca="false">COST!B593</f>
        <v>ASH</v>
      </c>
      <c r="C593" s="48" t="str">
        <f aca="false">COST!D593</f>
        <v>Mobile Health Screening Unit</v>
      </c>
      <c r="D593" s="62" t="n">
        <f aca="false">COST!M593</f>
        <v>45930</v>
      </c>
      <c r="E593" s="48" t="str">
        <f aca="false">COST!P593</f>
        <v>Medical Assistant</v>
      </c>
      <c r="F593" s="63" t="n">
        <f aca="false">COST!R593</f>
        <v>116.5</v>
      </c>
      <c r="G593" s="48" t="str">
        <f aca="false">STACK!M593</f>
        <v/>
      </c>
      <c r="H593" s="1" t="str">
        <f aca="false">C593&amp;"|"&amp;IF(ISNUMBER(D593),TEXT(D593,"yyyy-mm-dd"),"no date")&amp;"|"&amp;E593&amp;"|"&amp;IF(ISNUMBER(F593),TEXT(F593,"0.00"),"blank")</f>
        <v>Mobile Health Screening Unit|2025-09-30|Medical Assistant|116.50</v>
      </c>
      <c r="I593" s="1" t="n">
        <f aca="false">COUNTIF($H$5:$H$1624,H593)</f>
        <v>1</v>
      </c>
      <c r="J593" s="1" t="n">
        <f aca="false">COUNTIF($H$5:H593,H593)</f>
        <v>1</v>
      </c>
      <c r="K593" s="1" t="n">
        <f aca="false">COUNTIFS($H$5:$H$1624,H593,$B$5:$B$1624,"&lt;&gt;"&amp;B593)</f>
        <v>0</v>
      </c>
      <c r="L593" s="1" t="str">
        <f aca="false">IF(I593&gt;1,IF(K593&gt;0,"Cross-hospital match","Same-hospital match"),"")</f>
        <v/>
      </c>
      <c r="M593" s="52"/>
      <c r="N593" s="52"/>
      <c r="O593" s="1" t="n">
        <f aca="false">IF(M593="Exclude (duplicate)",0,1)</f>
        <v>1</v>
      </c>
      <c r="P593" s="1" t="str">
        <f aca="false">IF(AND(L593&lt;&gt;"",M593=""),"Needs decision","")</f>
        <v/>
      </c>
    </row>
    <row r="594" customFormat="false" ht="15" hidden="false" customHeight="false" outlineLevel="0" collapsed="false">
      <c r="A594" s="48" t="str">
        <f aca="false">COST!A594</f>
        <v>ASH-0061</v>
      </c>
      <c r="B594" s="48" t="str">
        <f aca="false">COST!B594</f>
        <v>ASH</v>
      </c>
      <c r="C594" s="48" t="str">
        <f aca="false">COST!D594</f>
        <v>Mobile Health Screening Unit</v>
      </c>
      <c r="D594" s="62" t="n">
        <f aca="false">COST!M594</f>
        <v>45930</v>
      </c>
      <c r="E594" s="48" t="str">
        <f aca="false">COST!P594</f>
        <v>Registered Nurse</v>
      </c>
      <c r="F594" s="63" t="n">
        <f aca="false">COST!R594</f>
        <v>100</v>
      </c>
      <c r="G594" s="48" t="str">
        <f aca="false">STACK!M594</f>
        <v/>
      </c>
      <c r="H594" s="1" t="str">
        <f aca="false">C594&amp;"|"&amp;IF(ISNUMBER(D594),TEXT(D594,"yyyy-mm-dd"),"no date")&amp;"|"&amp;E594&amp;"|"&amp;IF(ISNUMBER(F594),TEXT(F594,"0.00"),"blank")</f>
        <v>Mobile Health Screening Unit|2025-09-30|Registered Nurse|100.00</v>
      </c>
      <c r="I594" s="1" t="n">
        <f aca="false">COUNTIF($H$5:$H$1624,H594)</f>
        <v>1</v>
      </c>
      <c r="J594" s="1" t="n">
        <f aca="false">COUNTIF($H$5:H594,H594)</f>
        <v>1</v>
      </c>
      <c r="K594" s="1" t="n">
        <f aca="false">COUNTIFS($H$5:$H$1624,H594,$B$5:$B$1624,"&lt;&gt;"&amp;B594)</f>
        <v>0</v>
      </c>
      <c r="L594" s="1" t="str">
        <f aca="false">IF(I594&gt;1,IF(K594&gt;0,"Cross-hospital match","Same-hospital match"),"")</f>
        <v/>
      </c>
      <c r="M594" s="52"/>
      <c r="N594" s="52"/>
      <c r="O594" s="1" t="n">
        <f aca="false">IF(M594="Exclude (duplicate)",0,1)</f>
        <v>1</v>
      </c>
      <c r="P594" s="1" t="str">
        <f aca="false">IF(AND(L594&lt;&gt;"",M594=""),"Needs decision","")</f>
        <v/>
      </c>
    </row>
    <row r="595" customFormat="false" ht="15" hidden="false" customHeight="false" outlineLevel="0" collapsed="false">
      <c r="A595" s="48" t="str">
        <f aca="false">COST!A595</f>
        <v>ASH-0062</v>
      </c>
      <c r="B595" s="48" t="str">
        <f aca="false">COST!B595</f>
        <v>ASH</v>
      </c>
      <c r="C595" s="48" t="str">
        <f aca="false">COST!D595</f>
        <v>Community Health Worker Outreach</v>
      </c>
      <c r="D595" s="62" t="n">
        <f aca="false">COST!M595</f>
        <v>45930</v>
      </c>
      <c r="E595" s="48" t="str">
        <f aca="false">COST!P595</f>
        <v>Community Health Worker</v>
      </c>
      <c r="F595" s="63" t="n">
        <f aca="false">COST!R595</f>
        <v>396.5</v>
      </c>
      <c r="G595" s="48" t="str">
        <f aca="false">STACK!M595</f>
        <v/>
      </c>
      <c r="H595" s="1" t="str">
        <f aca="false">C595&amp;"|"&amp;IF(ISNUMBER(D595),TEXT(D595,"yyyy-mm-dd"),"no date")&amp;"|"&amp;E595&amp;"|"&amp;IF(ISNUMBER(F595),TEXT(F595,"0.00"),"blank")</f>
        <v>Community Health Worker Outreach|2025-09-30|Community Health Worker|396.50</v>
      </c>
      <c r="I595" s="1" t="n">
        <f aca="false">COUNTIF($H$5:$H$1624,H595)</f>
        <v>1</v>
      </c>
      <c r="J595" s="1" t="n">
        <f aca="false">COUNTIF($H$5:H595,H595)</f>
        <v>1</v>
      </c>
      <c r="K595" s="1" t="n">
        <f aca="false">COUNTIFS($H$5:$H$1624,H595,$B$5:$B$1624,"&lt;&gt;"&amp;B595)</f>
        <v>0</v>
      </c>
      <c r="L595" s="1" t="str">
        <f aca="false">IF(I595&gt;1,IF(K595&gt;0,"Cross-hospital match","Same-hospital match"),"")</f>
        <v/>
      </c>
      <c r="M595" s="52"/>
      <c r="N595" s="52"/>
      <c r="O595" s="1" t="n">
        <f aca="false">IF(M595="Exclude (duplicate)",0,1)</f>
        <v>1</v>
      </c>
      <c r="P595" s="1" t="str">
        <f aca="false">IF(AND(L595&lt;&gt;"",M595=""),"Needs decision","")</f>
        <v/>
      </c>
    </row>
    <row r="596" customFormat="false" ht="15" hidden="false" customHeight="false" outlineLevel="0" collapsed="false">
      <c r="A596" s="48" t="str">
        <f aca="false">COST!A596</f>
        <v>ASH-0063</v>
      </c>
      <c r="B596" s="48" t="str">
        <f aca="false">COST!B596</f>
        <v>ASH</v>
      </c>
      <c r="C596" s="48" t="str">
        <f aca="false">COST!D596</f>
        <v>Community Health Worker Outreach</v>
      </c>
      <c r="D596" s="62" t="n">
        <f aca="false">COST!M596</f>
        <v>45930</v>
      </c>
      <c r="E596" s="48" t="str">
        <f aca="false">COST!P596</f>
        <v>Patient Navigator</v>
      </c>
      <c r="F596" s="63" t="n">
        <f aca="false">COST!R596</f>
        <v>136</v>
      </c>
      <c r="G596" s="48" t="str">
        <f aca="false">STACK!M596</f>
        <v/>
      </c>
      <c r="H596" s="1" t="str">
        <f aca="false">C596&amp;"|"&amp;IF(ISNUMBER(D596),TEXT(D596,"yyyy-mm-dd"),"no date")&amp;"|"&amp;E596&amp;"|"&amp;IF(ISNUMBER(F596),TEXT(F596,"0.00"),"blank")</f>
        <v>Community Health Worker Outreach|2025-09-30|Patient Navigator|136.00</v>
      </c>
      <c r="I596" s="1" t="n">
        <f aca="false">COUNTIF($H$5:$H$1624,H596)</f>
        <v>1</v>
      </c>
      <c r="J596" s="1" t="n">
        <f aca="false">COUNTIF($H$5:H596,H596)</f>
        <v>1</v>
      </c>
      <c r="K596" s="1" t="n">
        <f aca="false">COUNTIFS($H$5:$H$1624,H596,$B$5:$B$1624,"&lt;&gt;"&amp;B596)</f>
        <v>0</v>
      </c>
      <c r="L596" s="1" t="str">
        <f aca="false">IF(I596&gt;1,IF(K596&gt;0,"Cross-hospital match","Same-hospital match"),"")</f>
        <v/>
      </c>
      <c r="M596" s="52"/>
      <c r="N596" s="52"/>
      <c r="O596" s="1" t="n">
        <f aca="false">IF(M596="Exclude (duplicate)",0,1)</f>
        <v>1</v>
      </c>
      <c r="P596" s="1" t="str">
        <f aca="false">IF(AND(L596&lt;&gt;"",M596=""),"Needs decision","")</f>
        <v/>
      </c>
    </row>
    <row r="597" customFormat="false" ht="15" hidden="false" customHeight="false" outlineLevel="0" collapsed="false">
      <c r="A597" s="48" t="str">
        <f aca="false">COST!A597</f>
        <v>ASH-0064</v>
      </c>
      <c r="B597" s="48" t="str">
        <f aca="false">COST!B597</f>
        <v>ASH</v>
      </c>
      <c r="C597" s="48" t="str">
        <f aca="false">COST!D597</f>
        <v>Produce Prescription Program</v>
      </c>
      <c r="D597" s="62" t="n">
        <f aca="false">COST!M597</f>
        <v>45930</v>
      </c>
      <c r="E597" s="48" t="str">
        <f aca="false">COST!P597</f>
        <v>Community Health Worker</v>
      </c>
      <c r="F597" s="63" t="n">
        <f aca="false">COST!R597</f>
        <v>59.5</v>
      </c>
      <c r="G597" s="48" t="str">
        <f aca="false">STACK!M597</f>
        <v/>
      </c>
      <c r="H597" s="1" t="str">
        <f aca="false">C597&amp;"|"&amp;IF(ISNUMBER(D597),TEXT(D597,"yyyy-mm-dd"),"no date")&amp;"|"&amp;E597&amp;"|"&amp;IF(ISNUMBER(F597),TEXT(F597,"0.00"),"blank")</f>
        <v>Produce Prescription Program|2025-09-30|Community Health Worker|59.50</v>
      </c>
      <c r="I597" s="1" t="n">
        <f aca="false">COUNTIF($H$5:$H$1624,H597)</f>
        <v>1</v>
      </c>
      <c r="J597" s="1" t="n">
        <f aca="false">COUNTIF($H$5:H597,H597)</f>
        <v>1</v>
      </c>
      <c r="K597" s="1" t="n">
        <f aca="false">COUNTIFS($H$5:$H$1624,H597,$B$5:$B$1624,"&lt;&gt;"&amp;B597)</f>
        <v>0</v>
      </c>
      <c r="L597" s="1" t="str">
        <f aca="false">IF(I597&gt;1,IF(K597&gt;0,"Cross-hospital match","Same-hospital match"),"")</f>
        <v/>
      </c>
      <c r="M597" s="52"/>
      <c r="N597" s="52"/>
      <c r="O597" s="1" t="n">
        <f aca="false">IF(M597="Exclude (duplicate)",0,1)</f>
        <v>1</v>
      </c>
      <c r="P597" s="1" t="str">
        <f aca="false">IF(AND(L597&lt;&gt;"",M597=""),"Needs decision","")</f>
        <v/>
      </c>
    </row>
    <row r="598" customFormat="false" ht="15" hidden="false" customHeight="false" outlineLevel="0" collapsed="false">
      <c r="A598" s="48" t="str">
        <f aca="false">COST!A598</f>
        <v>ASH-0065</v>
      </c>
      <c r="B598" s="48" t="str">
        <f aca="false">COST!B598</f>
        <v>ASH</v>
      </c>
      <c r="C598" s="48" t="str">
        <f aca="false">COST!D598</f>
        <v>Produce Prescription Program</v>
      </c>
      <c r="D598" s="62" t="n">
        <f aca="false">COST!M598</f>
        <v>45930</v>
      </c>
      <c r="E598" s="48" t="str">
        <f aca="false">COST!P598</f>
        <v>Registered Dietitian</v>
      </c>
      <c r="F598" s="63" t="n">
        <f aca="false">COST!R598</f>
        <v>26.75</v>
      </c>
      <c r="G598" s="48" t="str">
        <f aca="false">STACK!M598</f>
        <v/>
      </c>
      <c r="H598" s="1" t="str">
        <f aca="false">C598&amp;"|"&amp;IF(ISNUMBER(D598),TEXT(D598,"yyyy-mm-dd"),"no date")&amp;"|"&amp;E598&amp;"|"&amp;IF(ISNUMBER(F598),TEXT(F598,"0.00"),"blank")</f>
        <v>Produce Prescription Program|2025-09-30|Registered Dietitian|26.75</v>
      </c>
      <c r="I598" s="1" t="n">
        <f aca="false">COUNTIF($H$5:$H$1624,H598)</f>
        <v>1</v>
      </c>
      <c r="J598" s="1" t="n">
        <f aca="false">COUNTIF($H$5:H598,H598)</f>
        <v>1</v>
      </c>
      <c r="K598" s="1" t="n">
        <f aca="false">COUNTIFS($H$5:$H$1624,H598,$B$5:$B$1624,"&lt;&gt;"&amp;B598)</f>
        <v>0</v>
      </c>
      <c r="L598" s="1" t="str">
        <f aca="false">IF(I598&gt;1,IF(K598&gt;0,"Cross-hospital match","Same-hospital match"),"")</f>
        <v/>
      </c>
      <c r="M598" s="52"/>
      <c r="N598" s="52"/>
      <c r="O598" s="1" t="n">
        <f aca="false">IF(M598="Exclude (duplicate)",0,1)</f>
        <v>1</v>
      </c>
      <c r="P598" s="1" t="str">
        <f aca="false">IF(AND(L598&lt;&gt;"",M598=""),"Needs decision","")</f>
        <v/>
      </c>
    </row>
    <row r="599" customFormat="false" ht="15" hidden="false" customHeight="false" outlineLevel="0" collapsed="false">
      <c r="A599" s="48" t="str">
        <f aca="false">COST!A599</f>
        <v>ASH-0066</v>
      </c>
      <c r="B599" s="48" t="str">
        <f aca="false">COST!B599</f>
        <v>ASH</v>
      </c>
      <c r="C599" s="48" t="str">
        <f aca="false">COST!D599</f>
        <v>Community Benefit Program Administration</v>
      </c>
      <c r="D599" s="62" t="n">
        <f aca="false">COST!M599</f>
        <v>45930</v>
      </c>
      <c r="E599" s="48" t="str">
        <f aca="false">COST!P599</f>
        <v>Administrative Assistant</v>
      </c>
      <c r="F599" s="63" t="n">
        <f aca="false">COST!R599</f>
        <v>44</v>
      </c>
      <c r="G599" s="48" t="str">
        <f aca="false">STACK!M599</f>
        <v/>
      </c>
      <c r="H599" s="1" t="str">
        <f aca="false">C599&amp;"|"&amp;IF(ISNUMBER(D599),TEXT(D599,"yyyy-mm-dd"),"no date")&amp;"|"&amp;E599&amp;"|"&amp;IF(ISNUMBER(F599),TEXT(F599,"0.00"),"blank")</f>
        <v>Community Benefit Program Administration|2025-09-30|Administrative Assistant|44.00</v>
      </c>
      <c r="I599" s="1" t="n">
        <f aca="false">COUNTIF($H$5:$H$1624,H599)</f>
        <v>1</v>
      </c>
      <c r="J599" s="1" t="n">
        <f aca="false">COUNTIF($H$5:H599,H599)</f>
        <v>1</v>
      </c>
      <c r="K599" s="1" t="n">
        <f aca="false">COUNTIFS($H$5:$H$1624,H599,$B$5:$B$1624,"&lt;&gt;"&amp;B599)</f>
        <v>0</v>
      </c>
      <c r="L599" s="1" t="str">
        <f aca="false">IF(I599&gt;1,IF(K599&gt;0,"Cross-hospital match","Same-hospital match"),"")</f>
        <v/>
      </c>
      <c r="M599" s="52"/>
      <c r="N599" s="52"/>
      <c r="O599" s="1" t="n">
        <f aca="false">IF(M599="Exclude (duplicate)",0,1)</f>
        <v>1</v>
      </c>
      <c r="P599" s="1" t="str">
        <f aca="false">IF(AND(L599&lt;&gt;"",M599=""),"Needs decision","")</f>
        <v/>
      </c>
    </row>
    <row r="600" customFormat="false" ht="15" hidden="false" customHeight="false" outlineLevel="0" collapsed="false">
      <c r="A600" s="48" t="str">
        <f aca="false">COST!A600</f>
        <v>ASH-0067</v>
      </c>
      <c r="B600" s="48" t="str">
        <f aca="false">COST!B600</f>
        <v>ASH</v>
      </c>
      <c r="C600" s="48" t="str">
        <f aca="false">COST!D600</f>
        <v>Community Benefit Program Administration</v>
      </c>
      <c r="D600" s="62" t="n">
        <f aca="false">COST!M600</f>
        <v>45930</v>
      </c>
      <c r="E600" s="48" t="str">
        <f aca="false">COST!P600</f>
        <v>Community Benefit Manager</v>
      </c>
      <c r="F600" s="63" t="n">
        <f aca="false">COST!R600</f>
        <v>68</v>
      </c>
      <c r="G600" s="48" t="str">
        <f aca="false">STACK!M600</f>
        <v/>
      </c>
      <c r="H600" s="1" t="str">
        <f aca="false">C600&amp;"|"&amp;IF(ISNUMBER(D600),TEXT(D600,"yyyy-mm-dd"),"no date")&amp;"|"&amp;E600&amp;"|"&amp;IF(ISNUMBER(F600),TEXT(F600,"0.00"),"blank")</f>
        <v>Community Benefit Program Administration|2025-09-30|Community Benefit Manager|68.00</v>
      </c>
      <c r="I600" s="1" t="n">
        <f aca="false">COUNTIF($H$5:$H$1624,H600)</f>
        <v>1</v>
      </c>
      <c r="J600" s="1" t="n">
        <f aca="false">COUNTIF($H$5:H600,H600)</f>
        <v>1</v>
      </c>
      <c r="K600" s="1" t="n">
        <f aca="false">COUNTIFS($H$5:$H$1624,H600,$B$5:$B$1624,"&lt;&gt;"&amp;B600)</f>
        <v>0</v>
      </c>
      <c r="L600" s="1" t="str">
        <f aca="false">IF(I600&gt;1,IF(K600&gt;0,"Cross-hospital match","Same-hospital match"),"")</f>
        <v/>
      </c>
      <c r="M600" s="52"/>
      <c r="N600" s="52"/>
      <c r="O600" s="1" t="n">
        <f aca="false">IF(M600="Exclude (duplicate)",0,1)</f>
        <v>1</v>
      </c>
      <c r="P600" s="1" t="str">
        <f aca="false">IF(AND(L600&lt;&gt;"",M600=""),"Needs decision","")</f>
        <v/>
      </c>
    </row>
    <row r="601" customFormat="false" ht="15" hidden="false" customHeight="false" outlineLevel="0" collapsed="false">
      <c r="A601" s="48" t="str">
        <f aca="false">COST!A601</f>
        <v>ASH-0068</v>
      </c>
      <c r="B601" s="48" t="str">
        <f aca="false">COST!B601</f>
        <v>ASH</v>
      </c>
      <c r="C601" s="48" t="str">
        <f aca="false">COST!D601</f>
        <v>Nursing Student Clinical Rotations</v>
      </c>
      <c r="D601" s="62" t="n">
        <f aca="false">COST!M601</f>
        <v>45930</v>
      </c>
      <c r="E601" s="48" t="str">
        <f aca="false">COST!P601</f>
        <v>Clinical Nurse Educator</v>
      </c>
      <c r="F601" s="63" t="n">
        <f aca="false">COST!R601</f>
        <v>120</v>
      </c>
      <c r="G601" s="48" t="str">
        <f aca="false">STACK!M601</f>
        <v/>
      </c>
      <c r="H601" s="1" t="str">
        <f aca="false">C601&amp;"|"&amp;IF(ISNUMBER(D601),TEXT(D601,"yyyy-mm-dd"),"no date")&amp;"|"&amp;E601&amp;"|"&amp;IF(ISNUMBER(F601),TEXT(F601,"0.00"),"blank")</f>
        <v>Nursing Student Clinical Rotations|2025-09-30|Clinical Nurse Educator|120.00</v>
      </c>
      <c r="I601" s="1" t="n">
        <f aca="false">COUNTIF($H$5:$H$1624,H601)</f>
        <v>1</v>
      </c>
      <c r="J601" s="1" t="n">
        <f aca="false">COUNTIF($H$5:H601,H601)</f>
        <v>1</v>
      </c>
      <c r="K601" s="1" t="n">
        <f aca="false">COUNTIFS($H$5:$H$1624,H601,$B$5:$B$1624,"&lt;&gt;"&amp;B601)</f>
        <v>0</v>
      </c>
      <c r="L601" s="1" t="str">
        <f aca="false">IF(I601&gt;1,IF(K601&gt;0,"Cross-hospital match","Same-hospital match"),"")</f>
        <v/>
      </c>
      <c r="M601" s="52"/>
      <c r="N601" s="52"/>
      <c r="O601" s="1" t="n">
        <f aca="false">IF(M601="Exclude (duplicate)",0,1)</f>
        <v>1</v>
      </c>
      <c r="P601" s="1" t="str">
        <f aca="false">IF(AND(L601&lt;&gt;"",M601=""),"Needs decision","")</f>
        <v/>
      </c>
    </row>
    <row r="602" customFormat="false" ht="15" hidden="false" customHeight="false" outlineLevel="0" collapsed="false">
      <c r="A602" s="48" t="str">
        <f aca="false">COST!A602</f>
        <v>ASH-0069</v>
      </c>
      <c r="B602" s="48" t="str">
        <f aca="false">COST!B602</f>
        <v>ASH</v>
      </c>
      <c r="C602" s="48" t="str">
        <f aca="false">COST!D602</f>
        <v>Nursing Student Clinical Rotations</v>
      </c>
      <c r="D602" s="62" t="n">
        <f aca="false">COST!M602</f>
        <v>45930</v>
      </c>
      <c r="E602" s="48" t="str">
        <f aca="false">COST!P602</f>
        <v>Registered Nurse</v>
      </c>
      <c r="F602" s="63" t="n">
        <f aca="false">COST!R602</f>
        <v>245.5</v>
      </c>
      <c r="G602" s="48" t="str">
        <f aca="false">STACK!M602</f>
        <v/>
      </c>
      <c r="H602" s="1" t="str">
        <f aca="false">C602&amp;"|"&amp;IF(ISNUMBER(D602),TEXT(D602,"yyyy-mm-dd"),"no date")&amp;"|"&amp;E602&amp;"|"&amp;IF(ISNUMBER(F602),TEXT(F602,"0.00"),"blank")</f>
        <v>Nursing Student Clinical Rotations|2025-09-30|Registered Nurse|245.50</v>
      </c>
      <c r="I602" s="1" t="n">
        <f aca="false">COUNTIF($H$5:$H$1624,H602)</f>
        <v>1</v>
      </c>
      <c r="J602" s="1" t="n">
        <f aca="false">COUNTIF($H$5:H602,H602)</f>
        <v>1</v>
      </c>
      <c r="K602" s="1" t="n">
        <f aca="false">COUNTIFS($H$5:$H$1624,H602,$B$5:$B$1624,"&lt;&gt;"&amp;B602)</f>
        <v>0</v>
      </c>
      <c r="L602" s="1" t="str">
        <f aca="false">IF(I602&gt;1,IF(K602&gt;0,"Cross-hospital match","Same-hospital match"),"")</f>
        <v/>
      </c>
      <c r="M602" s="52"/>
      <c r="N602" s="52"/>
      <c r="O602" s="1" t="n">
        <f aca="false">IF(M602="Exclude (duplicate)",0,1)</f>
        <v>1</v>
      </c>
      <c r="P602" s="1" t="str">
        <f aca="false">IF(AND(L602&lt;&gt;"",M602=""),"Needs decision","")</f>
        <v/>
      </c>
    </row>
    <row r="603" customFormat="false" ht="15" hidden="false" customHeight="false" outlineLevel="0" collapsed="false">
      <c r="A603" s="48" t="str">
        <f aca="false">COST!A603</f>
        <v>ASH-0070</v>
      </c>
      <c r="B603" s="48" t="str">
        <f aca="false">COST!B603</f>
        <v>ASH</v>
      </c>
      <c r="C603" s="48" t="str">
        <f aca="false">COST!D603</f>
        <v>Paramedic Student Field Training</v>
      </c>
      <c r="D603" s="62" t="n">
        <f aca="false">COST!M603</f>
        <v>45930</v>
      </c>
      <c r="E603" s="48" t="str">
        <f aca="false">COST!P603</f>
        <v>Paramedic</v>
      </c>
      <c r="F603" s="63" t="n">
        <f aca="false">COST!R603</f>
        <v>64</v>
      </c>
      <c r="G603" s="48" t="str">
        <f aca="false">STACK!M603</f>
        <v/>
      </c>
      <c r="H603" s="1" t="str">
        <f aca="false">C603&amp;"|"&amp;IF(ISNUMBER(D603),TEXT(D603,"yyyy-mm-dd"),"no date")&amp;"|"&amp;E603&amp;"|"&amp;IF(ISNUMBER(F603),TEXT(F603,"0.00"),"blank")</f>
        <v>Paramedic Student Field Training|2025-09-30|Paramedic|64.00</v>
      </c>
      <c r="I603" s="1" t="n">
        <f aca="false">COUNTIF($H$5:$H$1624,H603)</f>
        <v>1</v>
      </c>
      <c r="J603" s="1" t="n">
        <f aca="false">COUNTIF($H$5:H603,H603)</f>
        <v>1</v>
      </c>
      <c r="K603" s="1" t="n">
        <f aca="false">COUNTIFS($H$5:$H$1624,H603,$B$5:$B$1624,"&lt;&gt;"&amp;B603)</f>
        <v>0</v>
      </c>
      <c r="L603" s="1" t="str">
        <f aca="false">IF(I603&gt;1,IF(K603&gt;0,"Cross-hospital match","Same-hospital match"),"")</f>
        <v/>
      </c>
      <c r="M603" s="52"/>
      <c r="N603" s="52"/>
      <c r="O603" s="1" t="n">
        <f aca="false">IF(M603="Exclude (duplicate)",0,1)</f>
        <v>1</v>
      </c>
      <c r="P603" s="1" t="str">
        <f aca="false">IF(AND(L603&lt;&gt;"",M603=""),"Needs decision","")</f>
        <v/>
      </c>
    </row>
    <row r="604" customFormat="false" ht="15" hidden="false" customHeight="false" outlineLevel="0" collapsed="false">
      <c r="A604" s="48" t="str">
        <f aca="false">COST!A604</f>
        <v>ASH-0071</v>
      </c>
      <c r="B604" s="48" t="str">
        <f aca="false">COST!B604</f>
        <v>ASH</v>
      </c>
      <c r="C604" s="48" t="str">
        <f aca="false">COST!D604</f>
        <v>Community Blood Pressure Checks</v>
      </c>
      <c r="D604" s="62" t="n">
        <f aca="false">COST!M604</f>
        <v>45938</v>
      </c>
      <c r="E604" s="48" t="str">
        <f aca="false">COST!P604</f>
        <v>Registered Nurse</v>
      </c>
      <c r="F604" s="63" t="n">
        <f aca="false">COST!R604</f>
        <v>4.25</v>
      </c>
      <c r="G604" s="48" t="str">
        <f aca="false">STACK!M604</f>
        <v/>
      </c>
      <c r="H604" s="1" t="str">
        <f aca="false">C604&amp;"|"&amp;IF(ISNUMBER(D604),TEXT(D604,"yyyy-mm-dd"),"no date")&amp;"|"&amp;E604&amp;"|"&amp;IF(ISNUMBER(F604),TEXT(F604,"0.00"),"blank")</f>
        <v>Community Blood Pressure Checks|2025-10-08|Registered Nurse|4.25</v>
      </c>
      <c r="I604" s="1" t="n">
        <f aca="false">COUNTIF($H$5:$H$1624,H604)</f>
        <v>1</v>
      </c>
      <c r="J604" s="1" t="n">
        <f aca="false">COUNTIF($H$5:H604,H604)</f>
        <v>1</v>
      </c>
      <c r="K604" s="1" t="n">
        <f aca="false">COUNTIFS($H$5:$H$1624,H604,$B$5:$B$1624,"&lt;&gt;"&amp;B604)</f>
        <v>0</v>
      </c>
      <c r="L604" s="1" t="str">
        <f aca="false">IF(I604&gt;1,IF(K604&gt;0,"Cross-hospital match","Same-hospital match"),"")</f>
        <v/>
      </c>
      <c r="M604" s="52"/>
      <c r="N604" s="52"/>
      <c r="O604" s="1" t="n">
        <f aca="false">IF(M604="Exclude (duplicate)",0,1)</f>
        <v>1</v>
      </c>
      <c r="P604" s="1" t="str">
        <f aca="false">IF(AND(L604&lt;&gt;"",M604=""),"Needs decision","")</f>
        <v/>
      </c>
    </row>
    <row r="605" customFormat="false" ht="15" hidden="false" customHeight="false" outlineLevel="0" collapsed="false">
      <c r="A605" s="48" t="str">
        <f aca="false">COST!A605</f>
        <v>ASH-0072</v>
      </c>
      <c r="B605" s="48" t="str">
        <f aca="false">COST!B605</f>
        <v>ASH</v>
      </c>
      <c r="C605" s="48" t="str">
        <f aca="false">COST!D605</f>
        <v>Mental Health First Aid Training</v>
      </c>
      <c r="D605" s="62" t="n">
        <f aca="false">COST!M605</f>
        <v>45940</v>
      </c>
      <c r="E605" s="48" t="str">
        <f aca="false">COST!P605</f>
        <v>Health Educator</v>
      </c>
      <c r="F605" s="63" t="n">
        <f aca="false">COST!R605</f>
        <v>8</v>
      </c>
      <c r="G605" s="48" t="str">
        <f aca="false">STACK!M605</f>
        <v/>
      </c>
      <c r="H605" s="1" t="str">
        <f aca="false">C605&amp;"|"&amp;IF(ISNUMBER(D605),TEXT(D605,"yyyy-mm-dd"),"no date")&amp;"|"&amp;E605&amp;"|"&amp;IF(ISNUMBER(F605),TEXT(F605,"0.00"),"blank")</f>
        <v>Mental Health First Aid Training|2025-10-10|Health Educator|8.00</v>
      </c>
      <c r="I605" s="1" t="n">
        <f aca="false">COUNTIF($H$5:$H$1624,H605)</f>
        <v>1</v>
      </c>
      <c r="J605" s="1" t="n">
        <f aca="false">COUNTIF($H$5:H605,H605)</f>
        <v>1</v>
      </c>
      <c r="K605" s="1" t="n">
        <f aca="false">COUNTIFS($H$5:$H$1624,H605,$B$5:$B$1624,"&lt;&gt;"&amp;B605)</f>
        <v>0</v>
      </c>
      <c r="L605" s="1" t="str">
        <f aca="false">IF(I605&gt;1,IF(K605&gt;0,"Cross-hospital match","Same-hospital match"),"")</f>
        <v/>
      </c>
      <c r="M605" s="52"/>
      <c r="N605" s="52"/>
      <c r="O605" s="1" t="n">
        <f aca="false">IF(M605="Exclude (duplicate)",0,1)</f>
        <v>1</v>
      </c>
      <c r="P605" s="1" t="str">
        <f aca="false">IF(AND(L605&lt;&gt;"",M605=""),"Needs decision","")</f>
        <v/>
      </c>
    </row>
    <row r="606" customFormat="false" ht="15" hidden="false" customHeight="false" outlineLevel="0" collapsed="false">
      <c r="A606" s="48" t="str">
        <f aca="false">COST!A606</f>
        <v>ASH-0073</v>
      </c>
      <c r="B606" s="48" t="str">
        <f aca="false">COST!B606</f>
        <v>ASH</v>
      </c>
      <c r="C606" s="48" t="str">
        <f aca="false">COST!D606</f>
        <v>Mental Health First Aid Training</v>
      </c>
      <c r="D606" s="62" t="n">
        <f aca="false">COST!M606</f>
        <v>45940</v>
      </c>
      <c r="E606" s="48" t="str">
        <f aca="false">COST!P606</f>
        <v>Social Worker</v>
      </c>
      <c r="F606" s="63" t="n">
        <f aca="false">COST!R606</f>
        <v>8</v>
      </c>
      <c r="G606" s="48" t="str">
        <f aca="false">STACK!M606</f>
        <v/>
      </c>
      <c r="H606" s="1" t="str">
        <f aca="false">C606&amp;"|"&amp;IF(ISNUMBER(D606),TEXT(D606,"yyyy-mm-dd"),"no date")&amp;"|"&amp;E606&amp;"|"&amp;IF(ISNUMBER(F606),TEXT(F606,"0.00"),"blank")</f>
        <v>Mental Health First Aid Training|2025-10-10|Social Worker|8.00</v>
      </c>
      <c r="I606" s="1" t="n">
        <f aca="false">COUNTIF($H$5:$H$1624,H606)</f>
        <v>1</v>
      </c>
      <c r="J606" s="1" t="n">
        <f aca="false">COUNTIF($H$5:H606,H606)</f>
        <v>1</v>
      </c>
      <c r="K606" s="1" t="n">
        <f aca="false">COUNTIFS($H$5:$H$1624,H606,$B$5:$B$1624,"&lt;&gt;"&amp;B606)</f>
        <v>0</v>
      </c>
      <c r="L606" s="1" t="str">
        <f aca="false">IF(I606&gt;1,IF(K606&gt;0,"Cross-hospital match","Same-hospital match"),"")</f>
        <v/>
      </c>
      <c r="M606" s="52"/>
      <c r="N606" s="52"/>
      <c r="O606" s="1" t="n">
        <f aca="false">IF(M606="Exclude (duplicate)",0,1)</f>
        <v>1</v>
      </c>
      <c r="P606" s="1" t="str">
        <f aca="false">IF(AND(L606&lt;&gt;"",M606=""),"Needs decision","")</f>
        <v/>
      </c>
    </row>
    <row r="607" customFormat="false" ht="15" hidden="false" customHeight="false" outlineLevel="0" collapsed="false">
      <c r="A607" s="48" t="str">
        <f aca="false">COST!A607</f>
        <v>ASH-0074</v>
      </c>
      <c r="B607" s="48" t="str">
        <f aca="false">COST!B607</f>
        <v>ASH</v>
      </c>
      <c r="C607" s="48" t="str">
        <f aca="false">COST!D607</f>
        <v>Fall Prevention Classes for Older Adults</v>
      </c>
      <c r="D607" s="62" t="n">
        <f aca="false">COST!M607</f>
        <v>45943</v>
      </c>
      <c r="E607" s="48" t="str">
        <f aca="false">COST!P607</f>
        <v>Licensed Therapist</v>
      </c>
      <c r="F607" s="63" t="n">
        <f aca="false">COST!R607</f>
        <v>2</v>
      </c>
      <c r="G607" s="48" t="str">
        <f aca="false">STACK!M607</f>
        <v/>
      </c>
      <c r="H607" s="1" t="str">
        <f aca="false">C607&amp;"|"&amp;IF(ISNUMBER(D607),TEXT(D607,"yyyy-mm-dd"),"no date")&amp;"|"&amp;E607&amp;"|"&amp;IF(ISNUMBER(F607),TEXT(F607,"0.00"),"blank")</f>
        <v>Fall Prevention Classes for Older Adults|2025-10-13|Licensed Therapist|2.00</v>
      </c>
      <c r="I607" s="1" t="n">
        <f aca="false">COUNTIF($H$5:$H$1624,H607)</f>
        <v>1</v>
      </c>
      <c r="J607" s="1" t="n">
        <f aca="false">COUNTIF($H$5:H607,H607)</f>
        <v>1</v>
      </c>
      <c r="K607" s="1" t="n">
        <f aca="false">COUNTIFS($H$5:$H$1624,H607,$B$5:$B$1624,"&lt;&gt;"&amp;B607)</f>
        <v>0</v>
      </c>
      <c r="L607" s="1" t="str">
        <f aca="false">IF(I607&gt;1,IF(K607&gt;0,"Cross-hospital match","Same-hospital match"),"")</f>
        <v/>
      </c>
      <c r="M607" s="52"/>
      <c r="N607" s="52"/>
      <c r="O607" s="1" t="n">
        <f aca="false">IF(M607="Exclude (duplicate)",0,1)</f>
        <v>1</v>
      </c>
      <c r="P607" s="1" t="str">
        <f aca="false">IF(AND(L607&lt;&gt;"",M607=""),"Needs decision","")</f>
        <v/>
      </c>
    </row>
    <row r="608" customFormat="false" ht="15" hidden="false" customHeight="false" outlineLevel="0" collapsed="false">
      <c r="A608" s="48" t="str">
        <f aca="false">COST!A608</f>
        <v>ASH-0075</v>
      </c>
      <c r="B608" s="48" t="str">
        <f aca="false">COST!B608</f>
        <v>ASH</v>
      </c>
      <c r="C608" s="48" t="str">
        <f aca="false">COST!D608</f>
        <v>Neighborhood Leadership Academy</v>
      </c>
      <c r="D608" s="62" t="n">
        <f aca="false">COST!M608</f>
        <v>45950</v>
      </c>
      <c r="E608" s="48" t="str">
        <f aca="false">COST!P608</f>
        <v>Health Educator</v>
      </c>
      <c r="F608" s="63" t="n">
        <f aca="false">COST!R608</f>
        <v>3.75</v>
      </c>
      <c r="G608" s="48" t="str">
        <f aca="false">STACK!M608</f>
        <v/>
      </c>
      <c r="H608" s="1" t="str">
        <f aca="false">C608&amp;"|"&amp;IF(ISNUMBER(D608),TEXT(D608,"yyyy-mm-dd"),"no date")&amp;"|"&amp;E608&amp;"|"&amp;IF(ISNUMBER(F608),TEXT(F608,"0.00"),"blank")</f>
        <v>Neighborhood Leadership Academy|2025-10-20|Health Educator|3.75</v>
      </c>
      <c r="I608" s="1" t="n">
        <f aca="false">COUNTIF($H$5:$H$1624,H608)</f>
        <v>1</v>
      </c>
      <c r="J608" s="1" t="n">
        <f aca="false">COUNTIF($H$5:H608,H608)</f>
        <v>1</v>
      </c>
      <c r="K608" s="1" t="n">
        <f aca="false">COUNTIFS($H$5:$H$1624,H608,$B$5:$B$1624,"&lt;&gt;"&amp;B608)</f>
        <v>0</v>
      </c>
      <c r="L608" s="1" t="str">
        <f aca="false">IF(I608&gt;1,IF(K608&gt;0,"Cross-hospital match","Same-hospital match"),"")</f>
        <v/>
      </c>
      <c r="M608" s="52"/>
      <c r="N608" s="52"/>
      <c r="O608" s="1" t="n">
        <f aca="false">IF(M608="Exclude (duplicate)",0,1)</f>
        <v>1</v>
      </c>
      <c r="P608" s="1" t="str">
        <f aca="false">IF(AND(L608&lt;&gt;"",M608=""),"Needs decision","")</f>
        <v/>
      </c>
    </row>
    <row r="609" customFormat="false" ht="15" hidden="false" customHeight="false" outlineLevel="0" collapsed="false">
      <c r="A609" s="48" t="str">
        <f aca="false">COST!A609</f>
        <v>ASH-0076</v>
      </c>
      <c r="B609" s="48" t="str">
        <f aca="false">COST!B609</f>
        <v>ASH</v>
      </c>
      <c r="C609" s="48" t="str">
        <f aca="false">COST!D609</f>
        <v>Neighborhood Leadership Academy</v>
      </c>
      <c r="D609" s="62" t="n">
        <f aca="false">COST!M609</f>
        <v>45950</v>
      </c>
      <c r="E609" s="48" t="str">
        <f aca="false">COST!P609</f>
        <v>Program Coordinator</v>
      </c>
      <c r="F609" s="63" t="n">
        <f aca="false">COST!R609</f>
        <v>5</v>
      </c>
      <c r="G609" s="48" t="str">
        <f aca="false">STACK!M609</f>
        <v/>
      </c>
      <c r="H609" s="1" t="str">
        <f aca="false">C609&amp;"|"&amp;IF(ISNUMBER(D609),TEXT(D609,"yyyy-mm-dd"),"no date")&amp;"|"&amp;E609&amp;"|"&amp;IF(ISNUMBER(F609),TEXT(F609,"0.00"),"blank")</f>
        <v>Neighborhood Leadership Academy|2025-10-20|Program Coordinator|5.00</v>
      </c>
      <c r="I609" s="1" t="n">
        <f aca="false">COUNTIF($H$5:$H$1624,H609)</f>
        <v>1</v>
      </c>
      <c r="J609" s="1" t="n">
        <f aca="false">COUNTIF($H$5:H609,H609)</f>
        <v>1</v>
      </c>
      <c r="K609" s="1" t="n">
        <f aca="false">COUNTIFS($H$5:$H$1624,H609,$B$5:$B$1624,"&lt;&gt;"&amp;B609)</f>
        <v>0</v>
      </c>
      <c r="L609" s="1" t="str">
        <f aca="false">IF(I609&gt;1,IF(K609&gt;0,"Cross-hospital match","Same-hospital match"),"")</f>
        <v/>
      </c>
      <c r="M609" s="52"/>
      <c r="N609" s="52"/>
      <c r="O609" s="1" t="n">
        <f aca="false">IF(M609="Exclude (duplicate)",0,1)</f>
        <v>1</v>
      </c>
      <c r="P609" s="1" t="str">
        <f aca="false">IF(AND(L609&lt;&gt;"",M609=""),"Needs decision","")</f>
        <v/>
      </c>
    </row>
    <row r="610" customFormat="false" ht="15" hidden="false" customHeight="false" outlineLevel="0" collapsed="false">
      <c r="A610" s="48" t="str">
        <f aca="false">COST!A610</f>
        <v>ASH-0077</v>
      </c>
      <c r="B610" s="48" t="str">
        <f aca="false">COST!B610</f>
        <v>ASH</v>
      </c>
      <c r="C610" s="48" t="str">
        <f aca="false">COST!D610</f>
        <v>Grief Support Group</v>
      </c>
      <c r="D610" s="62" t="n">
        <f aca="false">COST!M610</f>
        <v>45957</v>
      </c>
      <c r="E610" s="48" t="str">
        <f aca="false">COST!P610</f>
        <v>Chaplain</v>
      </c>
      <c r="F610" s="63" t="n">
        <f aca="false">COST!R610</f>
        <v>2.5</v>
      </c>
      <c r="G610" s="48" t="str">
        <f aca="false">STACK!M610</f>
        <v/>
      </c>
      <c r="H610" s="1" t="str">
        <f aca="false">C610&amp;"|"&amp;IF(ISNUMBER(D610),TEXT(D610,"yyyy-mm-dd"),"no date")&amp;"|"&amp;E610&amp;"|"&amp;IF(ISNUMBER(F610),TEXT(F610,"0.00"),"blank")</f>
        <v>Grief Support Group|2025-10-27|Chaplain|2.50</v>
      </c>
      <c r="I610" s="1" t="n">
        <f aca="false">COUNTIF($H$5:$H$1624,H610)</f>
        <v>1</v>
      </c>
      <c r="J610" s="1" t="n">
        <f aca="false">COUNTIF($H$5:H610,H610)</f>
        <v>1</v>
      </c>
      <c r="K610" s="1" t="n">
        <f aca="false">COUNTIFS($H$5:$H$1624,H610,$B$5:$B$1624,"&lt;&gt;"&amp;B610)</f>
        <v>0</v>
      </c>
      <c r="L610" s="1" t="str">
        <f aca="false">IF(I610&gt;1,IF(K610&gt;0,"Cross-hospital match","Same-hospital match"),"")</f>
        <v/>
      </c>
      <c r="M610" s="52"/>
      <c r="N610" s="52"/>
      <c r="O610" s="1" t="n">
        <f aca="false">IF(M610="Exclude (duplicate)",0,1)</f>
        <v>1</v>
      </c>
      <c r="P610" s="1" t="str">
        <f aca="false">IF(AND(L610&lt;&gt;"",M610=""),"Needs decision","")</f>
        <v/>
      </c>
    </row>
    <row r="611" customFormat="false" ht="15" hidden="false" customHeight="false" outlineLevel="0" collapsed="false">
      <c r="A611" s="48" t="str">
        <f aca="false">COST!A611</f>
        <v>ASH-0078</v>
      </c>
      <c r="B611" s="48" t="str">
        <f aca="false">COST!B611</f>
        <v>ASH</v>
      </c>
      <c r="C611" s="48" t="str">
        <f aca="false">COST!D611</f>
        <v>Grief Support Group</v>
      </c>
      <c r="D611" s="62" t="n">
        <f aca="false">COST!M611</f>
        <v>45957</v>
      </c>
      <c r="E611" s="48" t="str">
        <f aca="false">COST!P611</f>
        <v>Social Worker</v>
      </c>
      <c r="F611" s="63" t="n">
        <f aca="false">COST!R611</f>
        <v>1.5</v>
      </c>
      <c r="G611" s="48" t="str">
        <f aca="false">STACK!M611</f>
        <v/>
      </c>
      <c r="H611" s="1" t="str">
        <f aca="false">C611&amp;"|"&amp;IF(ISNUMBER(D611),TEXT(D611,"yyyy-mm-dd"),"no date")&amp;"|"&amp;E611&amp;"|"&amp;IF(ISNUMBER(F611),TEXT(F611,"0.00"),"blank")</f>
        <v>Grief Support Group|2025-10-27|Social Worker|1.50</v>
      </c>
      <c r="I611" s="1" t="n">
        <f aca="false">COUNTIF($H$5:$H$1624,H611)</f>
        <v>1</v>
      </c>
      <c r="J611" s="1" t="n">
        <f aca="false">COUNTIF($H$5:H611,H611)</f>
        <v>1</v>
      </c>
      <c r="K611" s="1" t="n">
        <f aca="false">COUNTIFS($H$5:$H$1624,H611,$B$5:$B$1624,"&lt;&gt;"&amp;B611)</f>
        <v>0</v>
      </c>
      <c r="L611" s="1" t="str">
        <f aca="false">IF(I611&gt;1,IF(K611&gt;0,"Cross-hospital match","Same-hospital match"),"")</f>
        <v/>
      </c>
      <c r="M611" s="52"/>
      <c r="N611" s="52"/>
      <c r="O611" s="1" t="n">
        <f aca="false">IF(M611="Exclude (duplicate)",0,1)</f>
        <v>1</v>
      </c>
      <c r="P611" s="1" t="str">
        <f aca="false">IF(AND(L611&lt;&gt;"",M611=""),"Needs decision","")</f>
        <v/>
      </c>
    </row>
    <row r="612" customFormat="false" ht="15" hidden="false" customHeight="false" outlineLevel="0" collapsed="false">
      <c r="A612" s="48" t="str">
        <f aca="false">COST!A612</f>
        <v>ASH-0079</v>
      </c>
      <c r="B612" s="48" t="str">
        <f aca="false">COST!B612</f>
        <v>ASH</v>
      </c>
      <c r="C612" s="48" t="str">
        <f aca="false">COST!D612</f>
        <v>Mobile Health Screening Unit</v>
      </c>
      <c r="D612" s="62" t="n">
        <f aca="false">COST!M612</f>
        <v>45961</v>
      </c>
      <c r="E612" s="48" t="str">
        <f aca="false">COST!P612</f>
        <v>Community Health Worker</v>
      </c>
      <c r="F612" s="63" t="n">
        <f aca="false">COST!R612</f>
        <v>60.25</v>
      </c>
      <c r="G612" s="48" t="str">
        <f aca="false">STACK!M612</f>
        <v/>
      </c>
      <c r="H612" s="1" t="str">
        <f aca="false">C612&amp;"|"&amp;IF(ISNUMBER(D612),TEXT(D612,"yyyy-mm-dd"),"no date")&amp;"|"&amp;E612&amp;"|"&amp;IF(ISNUMBER(F612),TEXT(F612,"0.00"),"blank")</f>
        <v>Mobile Health Screening Unit|2025-10-31|Community Health Worker|60.25</v>
      </c>
      <c r="I612" s="1" t="n">
        <f aca="false">COUNTIF($H$5:$H$1624,H612)</f>
        <v>1</v>
      </c>
      <c r="J612" s="1" t="n">
        <f aca="false">COUNTIF($H$5:H612,H612)</f>
        <v>1</v>
      </c>
      <c r="K612" s="1" t="n">
        <f aca="false">COUNTIFS($H$5:$H$1624,H612,$B$5:$B$1624,"&lt;&gt;"&amp;B612)</f>
        <v>0</v>
      </c>
      <c r="L612" s="1" t="str">
        <f aca="false">IF(I612&gt;1,IF(K612&gt;0,"Cross-hospital match","Same-hospital match"),"")</f>
        <v/>
      </c>
      <c r="M612" s="52"/>
      <c r="N612" s="52"/>
      <c r="O612" s="1" t="n">
        <f aca="false">IF(M612="Exclude (duplicate)",0,1)</f>
        <v>1</v>
      </c>
      <c r="P612" s="1" t="str">
        <f aca="false">IF(AND(L612&lt;&gt;"",M612=""),"Needs decision","")</f>
        <v/>
      </c>
    </row>
    <row r="613" customFormat="false" ht="15" hidden="false" customHeight="false" outlineLevel="0" collapsed="false">
      <c r="A613" s="48" t="str">
        <f aca="false">COST!A613</f>
        <v>ASH-0080</v>
      </c>
      <c r="B613" s="48" t="str">
        <f aca="false">COST!B613</f>
        <v>ASH</v>
      </c>
      <c r="C613" s="48" t="str">
        <f aca="false">COST!D613</f>
        <v>Mobile Health Screening Unit</v>
      </c>
      <c r="D613" s="62" t="n">
        <f aca="false">COST!M613</f>
        <v>45961</v>
      </c>
      <c r="E613" s="48" t="str">
        <f aca="false">COST!P613</f>
        <v>Medical Assistant</v>
      </c>
      <c r="F613" s="63" t="n">
        <f aca="false">COST!R613</f>
        <v>106</v>
      </c>
      <c r="G613" s="48" t="str">
        <f aca="false">STACK!M613</f>
        <v/>
      </c>
      <c r="H613" s="1" t="str">
        <f aca="false">C613&amp;"|"&amp;IF(ISNUMBER(D613),TEXT(D613,"yyyy-mm-dd"),"no date")&amp;"|"&amp;E613&amp;"|"&amp;IF(ISNUMBER(F613),TEXT(F613,"0.00"),"blank")</f>
        <v>Mobile Health Screening Unit|2025-10-31|Medical Assistant|106.00</v>
      </c>
      <c r="I613" s="1" t="n">
        <f aca="false">COUNTIF($H$5:$H$1624,H613)</f>
        <v>1</v>
      </c>
      <c r="J613" s="1" t="n">
        <f aca="false">COUNTIF($H$5:H613,H613)</f>
        <v>1</v>
      </c>
      <c r="K613" s="1" t="n">
        <f aca="false">COUNTIFS($H$5:$H$1624,H613,$B$5:$B$1624,"&lt;&gt;"&amp;B613)</f>
        <v>0</v>
      </c>
      <c r="L613" s="1" t="str">
        <f aca="false">IF(I613&gt;1,IF(K613&gt;0,"Cross-hospital match","Same-hospital match"),"")</f>
        <v/>
      </c>
      <c r="M613" s="52"/>
      <c r="N613" s="52"/>
      <c r="O613" s="1" t="n">
        <f aca="false">IF(M613="Exclude (duplicate)",0,1)</f>
        <v>1</v>
      </c>
      <c r="P613" s="1" t="str">
        <f aca="false">IF(AND(L613&lt;&gt;"",M613=""),"Needs decision","")</f>
        <v/>
      </c>
    </row>
    <row r="614" customFormat="false" ht="15" hidden="false" customHeight="false" outlineLevel="0" collapsed="false">
      <c r="A614" s="48" t="str">
        <f aca="false">COST!A614</f>
        <v>ASH-0081</v>
      </c>
      <c r="B614" s="48" t="str">
        <f aca="false">COST!B614</f>
        <v>ASH</v>
      </c>
      <c r="C614" s="48" t="str">
        <f aca="false">COST!D614</f>
        <v>Mobile Health Screening Unit</v>
      </c>
      <c r="D614" s="62" t="n">
        <f aca="false">COST!M614</f>
        <v>45961</v>
      </c>
      <c r="E614" s="48" t="str">
        <f aca="false">COST!P614</f>
        <v>Registered Nurse</v>
      </c>
      <c r="F614" s="63" t="n">
        <f aca="false">COST!R614</f>
        <v>83</v>
      </c>
      <c r="G614" s="48" t="str">
        <f aca="false">STACK!M614</f>
        <v/>
      </c>
      <c r="H614" s="1" t="str">
        <f aca="false">C614&amp;"|"&amp;IF(ISNUMBER(D614),TEXT(D614,"yyyy-mm-dd"),"no date")&amp;"|"&amp;E614&amp;"|"&amp;IF(ISNUMBER(F614),TEXT(F614,"0.00"),"blank")</f>
        <v>Mobile Health Screening Unit|2025-10-31|Registered Nurse|83.00</v>
      </c>
      <c r="I614" s="1" t="n">
        <f aca="false">COUNTIF($H$5:$H$1624,H614)</f>
        <v>1</v>
      </c>
      <c r="J614" s="1" t="n">
        <f aca="false">COUNTIF($H$5:H614,H614)</f>
        <v>1</v>
      </c>
      <c r="K614" s="1" t="n">
        <f aca="false">COUNTIFS($H$5:$H$1624,H614,$B$5:$B$1624,"&lt;&gt;"&amp;B614)</f>
        <v>0</v>
      </c>
      <c r="L614" s="1" t="str">
        <f aca="false">IF(I614&gt;1,IF(K614&gt;0,"Cross-hospital match","Same-hospital match"),"")</f>
        <v/>
      </c>
      <c r="M614" s="52"/>
      <c r="N614" s="52"/>
      <c r="O614" s="1" t="n">
        <f aca="false">IF(M614="Exclude (duplicate)",0,1)</f>
        <v>1</v>
      </c>
      <c r="P614" s="1" t="str">
        <f aca="false">IF(AND(L614&lt;&gt;"",M614=""),"Needs decision","")</f>
        <v/>
      </c>
    </row>
    <row r="615" customFormat="false" ht="15" hidden="false" customHeight="false" outlineLevel="0" collapsed="false">
      <c r="A615" s="48" t="str">
        <f aca="false">COST!A615</f>
        <v>ASH-0082</v>
      </c>
      <c r="B615" s="48" t="str">
        <f aca="false">COST!B615</f>
        <v>ASH</v>
      </c>
      <c r="C615" s="48" t="str">
        <f aca="false">COST!D615</f>
        <v>Community Health Worker Outreach</v>
      </c>
      <c r="D615" s="62" t="n">
        <f aca="false">COST!M615</f>
        <v>45961</v>
      </c>
      <c r="E615" s="48" t="str">
        <f aca="false">COST!P615</f>
        <v>Community Health Worker</v>
      </c>
      <c r="F615" s="63" t="n">
        <f aca="false">COST!R615</f>
        <v>339.75</v>
      </c>
      <c r="G615" s="48" t="str">
        <f aca="false">STACK!M615</f>
        <v/>
      </c>
      <c r="H615" s="1" t="str">
        <f aca="false">C615&amp;"|"&amp;IF(ISNUMBER(D615),TEXT(D615,"yyyy-mm-dd"),"no date")&amp;"|"&amp;E615&amp;"|"&amp;IF(ISNUMBER(F615),TEXT(F615,"0.00"),"blank")</f>
        <v>Community Health Worker Outreach|2025-10-31|Community Health Worker|339.75</v>
      </c>
      <c r="I615" s="1" t="n">
        <f aca="false">COUNTIF($H$5:$H$1624,H615)</f>
        <v>1</v>
      </c>
      <c r="J615" s="1" t="n">
        <f aca="false">COUNTIF($H$5:H615,H615)</f>
        <v>1</v>
      </c>
      <c r="K615" s="1" t="n">
        <f aca="false">COUNTIFS($H$5:$H$1624,H615,$B$5:$B$1624,"&lt;&gt;"&amp;B615)</f>
        <v>0</v>
      </c>
      <c r="L615" s="1" t="str">
        <f aca="false">IF(I615&gt;1,IF(K615&gt;0,"Cross-hospital match","Same-hospital match"),"")</f>
        <v/>
      </c>
      <c r="M615" s="52"/>
      <c r="N615" s="52"/>
      <c r="O615" s="1" t="n">
        <f aca="false">IF(M615="Exclude (duplicate)",0,1)</f>
        <v>1</v>
      </c>
      <c r="P615" s="1" t="str">
        <f aca="false">IF(AND(L615&lt;&gt;"",M615=""),"Needs decision","")</f>
        <v/>
      </c>
    </row>
    <row r="616" customFormat="false" ht="15" hidden="false" customHeight="false" outlineLevel="0" collapsed="false">
      <c r="A616" s="48" t="str">
        <f aca="false">COST!A616</f>
        <v>ASH-0083</v>
      </c>
      <c r="B616" s="48" t="str">
        <f aca="false">COST!B616</f>
        <v>ASH</v>
      </c>
      <c r="C616" s="48" t="str">
        <f aca="false">COST!D616</f>
        <v>Community Health Worker Outreach</v>
      </c>
      <c r="D616" s="62" t="n">
        <f aca="false">COST!M616</f>
        <v>45961</v>
      </c>
      <c r="E616" s="48" t="str">
        <f aca="false">COST!P616</f>
        <v>Patient Navigator</v>
      </c>
      <c r="F616" s="63" t="n">
        <f aca="false">COST!R616</f>
        <v>180.25</v>
      </c>
      <c r="G616" s="48" t="str">
        <f aca="false">STACK!M616</f>
        <v/>
      </c>
      <c r="H616" s="1" t="str">
        <f aca="false">C616&amp;"|"&amp;IF(ISNUMBER(D616),TEXT(D616,"yyyy-mm-dd"),"no date")&amp;"|"&amp;E616&amp;"|"&amp;IF(ISNUMBER(F616),TEXT(F616,"0.00"),"blank")</f>
        <v>Community Health Worker Outreach|2025-10-31|Patient Navigator|180.25</v>
      </c>
      <c r="I616" s="1" t="n">
        <f aca="false">COUNTIF($H$5:$H$1624,H616)</f>
        <v>1</v>
      </c>
      <c r="J616" s="1" t="n">
        <f aca="false">COUNTIF($H$5:H616,H616)</f>
        <v>1</v>
      </c>
      <c r="K616" s="1" t="n">
        <f aca="false">COUNTIFS($H$5:$H$1624,H616,$B$5:$B$1624,"&lt;&gt;"&amp;B616)</f>
        <v>0</v>
      </c>
      <c r="L616" s="1" t="str">
        <f aca="false">IF(I616&gt;1,IF(K616&gt;0,"Cross-hospital match","Same-hospital match"),"")</f>
        <v/>
      </c>
      <c r="M616" s="52"/>
      <c r="N616" s="52"/>
      <c r="O616" s="1" t="n">
        <f aca="false">IF(M616="Exclude (duplicate)",0,1)</f>
        <v>1</v>
      </c>
      <c r="P616" s="1" t="str">
        <f aca="false">IF(AND(L616&lt;&gt;"",M616=""),"Needs decision","")</f>
        <v/>
      </c>
    </row>
    <row r="617" customFormat="false" ht="15" hidden="false" customHeight="false" outlineLevel="0" collapsed="false">
      <c r="A617" s="48" t="str">
        <f aca="false">COST!A617</f>
        <v>ASH-0084</v>
      </c>
      <c r="B617" s="48" t="str">
        <f aca="false">COST!B617</f>
        <v>ASH</v>
      </c>
      <c r="C617" s="48" t="str">
        <f aca="false">COST!D617</f>
        <v>Produce Prescription Program</v>
      </c>
      <c r="D617" s="62" t="n">
        <f aca="false">COST!M617</f>
        <v>45961</v>
      </c>
      <c r="E617" s="48" t="str">
        <f aca="false">COST!P617</f>
        <v>Community Health Worker</v>
      </c>
      <c r="F617" s="63" t="n">
        <f aca="false">COST!R617</f>
        <v>66.5</v>
      </c>
      <c r="G617" s="48" t="str">
        <f aca="false">STACK!M617</f>
        <v/>
      </c>
      <c r="H617" s="1" t="str">
        <f aca="false">C617&amp;"|"&amp;IF(ISNUMBER(D617),TEXT(D617,"yyyy-mm-dd"),"no date")&amp;"|"&amp;E617&amp;"|"&amp;IF(ISNUMBER(F617),TEXT(F617,"0.00"),"blank")</f>
        <v>Produce Prescription Program|2025-10-31|Community Health Worker|66.50</v>
      </c>
      <c r="I617" s="1" t="n">
        <f aca="false">COUNTIF($H$5:$H$1624,H617)</f>
        <v>1</v>
      </c>
      <c r="J617" s="1" t="n">
        <f aca="false">COUNTIF($H$5:H617,H617)</f>
        <v>1</v>
      </c>
      <c r="K617" s="1" t="n">
        <f aca="false">COUNTIFS($H$5:$H$1624,H617,$B$5:$B$1624,"&lt;&gt;"&amp;B617)</f>
        <v>0</v>
      </c>
      <c r="L617" s="1" t="str">
        <f aca="false">IF(I617&gt;1,IF(K617&gt;0,"Cross-hospital match","Same-hospital match"),"")</f>
        <v/>
      </c>
      <c r="M617" s="52"/>
      <c r="N617" s="52"/>
      <c r="O617" s="1" t="n">
        <f aca="false">IF(M617="Exclude (duplicate)",0,1)</f>
        <v>1</v>
      </c>
      <c r="P617" s="1" t="str">
        <f aca="false">IF(AND(L617&lt;&gt;"",M617=""),"Needs decision","")</f>
        <v/>
      </c>
    </row>
    <row r="618" customFormat="false" ht="15" hidden="false" customHeight="false" outlineLevel="0" collapsed="false">
      <c r="A618" s="48" t="str">
        <f aca="false">COST!A618</f>
        <v>ASH-0085</v>
      </c>
      <c r="B618" s="48" t="str">
        <f aca="false">COST!B618</f>
        <v>ASH</v>
      </c>
      <c r="C618" s="48" t="str">
        <f aca="false">COST!D618</f>
        <v>Produce Prescription Program</v>
      </c>
      <c r="D618" s="62" t="n">
        <f aca="false">COST!M618</f>
        <v>45961</v>
      </c>
      <c r="E618" s="48" t="str">
        <f aca="false">COST!P618</f>
        <v>Registered Dietitian</v>
      </c>
      <c r="F618" s="63" t="n">
        <f aca="false">COST!R618</f>
        <v>32.25</v>
      </c>
      <c r="G618" s="48" t="str">
        <f aca="false">STACK!M618</f>
        <v/>
      </c>
      <c r="H618" s="1" t="str">
        <f aca="false">C618&amp;"|"&amp;IF(ISNUMBER(D618),TEXT(D618,"yyyy-mm-dd"),"no date")&amp;"|"&amp;E618&amp;"|"&amp;IF(ISNUMBER(F618),TEXT(F618,"0.00"),"blank")</f>
        <v>Produce Prescription Program|2025-10-31|Registered Dietitian|32.25</v>
      </c>
      <c r="I618" s="1" t="n">
        <f aca="false">COUNTIF($H$5:$H$1624,H618)</f>
        <v>1</v>
      </c>
      <c r="J618" s="1" t="n">
        <f aca="false">COUNTIF($H$5:H618,H618)</f>
        <v>1</v>
      </c>
      <c r="K618" s="1" t="n">
        <f aca="false">COUNTIFS($H$5:$H$1624,H618,$B$5:$B$1624,"&lt;&gt;"&amp;B618)</f>
        <v>0</v>
      </c>
      <c r="L618" s="1" t="str">
        <f aca="false">IF(I618&gt;1,IF(K618&gt;0,"Cross-hospital match","Same-hospital match"),"")</f>
        <v/>
      </c>
      <c r="M618" s="52"/>
      <c r="N618" s="52"/>
      <c r="O618" s="1" t="n">
        <f aca="false">IF(M618="Exclude (duplicate)",0,1)</f>
        <v>1</v>
      </c>
      <c r="P618" s="1" t="str">
        <f aca="false">IF(AND(L618&lt;&gt;"",M618=""),"Needs decision","")</f>
        <v/>
      </c>
    </row>
    <row r="619" customFormat="false" ht="15" hidden="false" customHeight="false" outlineLevel="0" collapsed="false">
      <c r="A619" s="48" t="str">
        <f aca="false">COST!A619</f>
        <v>ASH-0086</v>
      </c>
      <c r="B619" s="48" t="str">
        <f aca="false">COST!B619</f>
        <v>ASH</v>
      </c>
      <c r="C619" s="48" t="str">
        <f aca="false">COST!D619</f>
        <v>Community Benefit Program Administration</v>
      </c>
      <c r="D619" s="62" t="n">
        <f aca="false">COST!M619</f>
        <v>45961</v>
      </c>
      <c r="E619" s="48" t="str">
        <f aca="false">COST!P619</f>
        <v>Administrative Assistant</v>
      </c>
      <c r="F619" s="63" t="n">
        <f aca="false">COST!R619</f>
        <v>51.5</v>
      </c>
      <c r="G619" s="48" t="str">
        <f aca="false">STACK!M619</f>
        <v/>
      </c>
      <c r="H619" s="1" t="str">
        <f aca="false">C619&amp;"|"&amp;IF(ISNUMBER(D619),TEXT(D619,"yyyy-mm-dd"),"no date")&amp;"|"&amp;E619&amp;"|"&amp;IF(ISNUMBER(F619),TEXT(F619,"0.00"),"blank")</f>
        <v>Community Benefit Program Administration|2025-10-31|Administrative Assistant|51.50</v>
      </c>
      <c r="I619" s="1" t="n">
        <f aca="false">COUNTIF($H$5:$H$1624,H619)</f>
        <v>1</v>
      </c>
      <c r="J619" s="1" t="n">
        <f aca="false">COUNTIF($H$5:H619,H619)</f>
        <v>1</v>
      </c>
      <c r="K619" s="1" t="n">
        <f aca="false">COUNTIFS($H$5:$H$1624,H619,$B$5:$B$1624,"&lt;&gt;"&amp;B619)</f>
        <v>0</v>
      </c>
      <c r="L619" s="1" t="str">
        <f aca="false">IF(I619&gt;1,IF(K619&gt;0,"Cross-hospital match","Same-hospital match"),"")</f>
        <v/>
      </c>
      <c r="M619" s="52"/>
      <c r="N619" s="52"/>
      <c r="O619" s="1" t="n">
        <f aca="false">IF(M619="Exclude (duplicate)",0,1)</f>
        <v>1</v>
      </c>
      <c r="P619" s="1" t="str">
        <f aca="false">IF(AND(L619&lt;&gt;"",M619=""),"Needs decision","")</f>
        <v/>
      </c>
    </row>
    <row r="620" customFormat="false" ht="15" hidden="false" customHeight="false" outlineLevel="0" collapsed="false">
      <c r="A620" s="48" t="str">
        <f aca="false">COST!A620</f>
        <v>ASH-0087</v>
      </c>
      <c r="B620" s="48" t="str">
        <f aca="false">COST!B620</f>
        <v>ASH</v>
      </c>
      <c r="C620" s="48" t="str">
        <f aca="false">COST!D620</f>
        <v>Community Benefit Program Administration</v>
      </c>
      <c r="D620" s="62" t="n">
        <f aca="false">COST!M620</f>
        <v>45961</v>
      </c>
      <c r="E620" s="48" t="str">
        <f aca="false">COST!P620</f>
        <v>Community Benefit Manager</v>
      </c>
      <c r="F620" s="63" t="n">
        <f aca="false">COST!R620</f>
        <v>60.75</v>
      </c>
      <c r="G620" s="48" t="str">
        <f aca="false">STACK!M620</f>
        <v/>
      </c>
      <c r="H620" s="1" t="str">
        <f aca="false">C620&amp;"|"&amp;IF(ISNUMBER(D620),TEXT(D620,"yyyy-mm-dd"),"no date")&amp;"|"&amp;E620&amp;"|"&amp;IF(ISNUMBER(F620),TEXT(F620,"0.00"),"blank")</f>
        <v>Community Benefit Program Administration|2025-10-31|Community Benefit Manager|60.75</v>
      </c>
      <c r="I620" s="1" t="n">
        <f aca="false">COUNTIF($H$5:$H$1624,H620)</f>
        <v>1</v>
      </c>
      <c r="J620" s="1" t="n">
        <f aca="false">COUNTIF($H$5:H620,H620)</f>
        <v>1</v>
      </c>
      <c r="K620" s="1" t="n">
        <f aca="false">COUNTIFS($H$5:$H$1624,H620,$B$5:$B$1624,"&lt;&gt;"&amp;B620)</f>
        <v>0</v>
      </c>
      <c r="L620" s="1" t="str">
        <f aca="false">IF(I620&gt;1,IF(K620&gt;0,"Cross-hospital match","Same-hospital match"),"")</f>
        <v/>
      </c>
      <c r="M620" s="52"/>
      <c r="N620" s="52"/>
      <c r="O620" s="1" t="n">
        <f aca="false">IF(M620="Exclude (duplicate)",0,1)</f>
        <v>1</v>
      </c>
      <c r="P620" s="1" t="str">
        <f aca="false">IF(AND(L620&lt;&gt;"",M620=""),"Needs decision","")</f>
        <v/>
      </c>
    </row>
    <row r="621" customFormat="false" ht="15" hidden="false" customHeight="false" outlineLevel="0" collapsed="false">
      <c r="A621" s="48" t="str">
        <f aca="false">COST!A621</f>
        <v>ASH-0088</v>
      </c>
      <c r="B621" s="48" t="str">
        <f aca="false">COST!B621</f>
        <v>ASH</v>
      </c>
      <c r="C621" s="48" t="str">
        <f aca="false">COST!D621</f>
        <v>Nursing Student Clinical Rotations</v>
      </c>
      <c r="D621" s="62" t="n">
        <f aca="false">COST!M621</f>
        <v>45961</v>
      </c>
      <c r="E621" s="48" t="str">
        <f aca="false">COST!P621</f>
        <v>Clinical Nurse Educator</v>
      </c>
      <c r="F621" s="63" t="n">
        <f aca="false">COST!R621</f>
        <v>111.25</v>
      </c>
      <c r="G621" s="48" t="str">
        <f aca="false">STACK!M621</f>
        <v/>
      </c>
      <c r="H621" s="1" t="str">
        <f aca="false">C621&amp;"|"&amp;IF(ISNUMBER(D621),TEXT(D621,"yyyy-mm-dd"),"no date")&amp;"|"&amp;E621&amp;"|"&amp;IF(ISNUMBER(F621),TEXT(F621,"0.00"),"blank")</f>
        <v>Nursing Student Clinical Rotations|2025-10-31|Clinical Nurse Educator|111.25</v>
      </c>
      <c r="I621" s="1" t="n">
        <f aca="false">COUNTIF($H$5:$H$1624,H621)</f>
        <v>1</v>
      </c>
      <c r="J621" s="1" t="n">
        <f aca="false">COUNTIF($H$5:H621,H621)</f>
        <v>1</v>
      </c>
      <c r="K621" s="1" t="n">
        <f aca="false">COUNTIFS($H$5:$H$1624,H621,$B$5:$B$1624,"&lt;&gt;"&amp;B621)</f>
        <v>0</v>
      </c>
      <c r="L621" s="1" t="str">
        <f aca="false">IF(I621&gt;1,IF(K621&gt;0,"Cross-hospital match","Same-hospital match"),"")</f>
        <v/>
      </c>
      <c r="M621" s="52"/>
      <c r="N621" s="52"/>
      <c r="O621" s="1" t="n">
        <f aca="false">IF(M621="Exclude (duplicate)",0,1)</f>
        <v>1</v>
      </c>
      <c r="P621" s="1" t="str">
        <f aca="false">IF(AND(L621&lt;&gt;"",M621=""),"Needs decision","")</f>
        <v/>
      </c>
    </row>
    <row r="622" customFormat="false" ht="15" hidden="false" customHeight="false" outlineLevel="0" collapsed="false">
      <c r="A622" s="48" t="str">
        <f aca="false">COST!A622</f>
        <v>ASH-0089</v>
      </c>
      <c r="B622" s="48" t="str">
        <f aca="false">COST!B622</f>
        <v>ASH</v>
      </c>
      <c r="C622" s="48" t="str">
        <f aca="false">COST!D622</f>
        <v>Nursing Student Clinical Rotations</v>
      </c>
      <c r="D622" s="62" t="n">
        <f aca="false">COST!M622</f>
        <v>45961</v>
      </c>
      <c r="E622" s="48" t="str">
        <f aca="false">COST!P622</f>
        <v>Registered Nurse</v>
      </c>
      <c r="F622" s="63" t="n">
        <f aca="false">COST!R622</f>
        <v>203.75</v>
      </c>
      <c r="G622" s="48" t="str">
        <f aca="false">STACK!M622</f>
        <v/>
      </c>
      <c r="H622" s="1" t="str">
        <f aca="false">C622&amp;"|"&amp;IF(ISNUMBER(D622),TEXT(D622,"yyyy-mm-dd"),"no date")&amp;"|"&amp;E622&amp;"|"&amp;IF(ISNUMBER(F622),TEXT(F622,"0.00"),"blank")</f>
        <v>Nursing Student Clinical Rotations|2025-10-31|Registered Nurse|203.75</v>
      </c>
      <c r="I622" s="1" t="n">
        <f aca="false">COUNTIF($H$5:$H$1624,H622)</f>
        <v>1</v>
      </c>
      <c r="J622" s="1" t="n">
        <f aca="false">COUNTIF($H$5:H622,H622)</f>
        <v>1</v>
      </c>
      <c r="K622" s="1" t="n">
        <f aca="false">COUNTIFS($H$5:$H$1624,H622,$B$5:$B$1624,"&lt;&gt;"&amp;B622)</f>
        <v>0</v>
      </c>
      <c r="L622" s="1" t="str">
        <f aca="false">IF(I622&gt;1,IF(K622&gt;0,"Cross-hospital match","Same-hospital match"),"")</f>
        <v/>
      </c>
      <c r="M622" s="52"/>
      <c r="N622" s="52"/>
      <c r="O622" s="1" t="n">
        <f aca="false">IF(M622="Exclude (duplicate)",0,1)</f>
        <v>1</v>
      </c>
      <c r="P622" s="1" t="str">
        <f aca="false">IF(AND(L622&lt;&gt;"",M622=""),"Needs decision","")</f>
        <v/>
      </c>
    </row>
    <row r="623" customFormat="false" ht="15" hidden="false" customHeight="false" outlineLevel="0" collapsed="false">
      <c r="A623" s="48" t="str">
        <f aca="false">COST!A623</f>
        <v>ASH-0090</v>
      </c>
      <c r="B623" s="48" t="str">
        <f aca="false">COST!B623</f>
        <v>ASH</v>
      </c>
      <c r="C623" s="48" t="str">
        <f aca="false">COST!D623</f>
        <v>Paramedic Student Field Training</v>
      </c>
      <c r="D623" s="62" t="n">
        <f aca="false">COST!M623</f>
        <v>45961</v>
      </c>
      <c r="E623" s="48" t="str">
        <f aca="false">COST!P623</f>
        <v>Paramedic</v>
      </c>
      <c r="F623" s="63" t="n">
        <f aca="false">COST!R623</f>
        <v>70.25</v>
      </c>
      <c r="G623" s="48" t="str">
        <f aca="false">STACK!M623</f>
        <v/>
      </c>
      <c r="H623" s="1" t="str">
        <f aca="false">C623&amp;"|"&amp;IF(ISNUMBER(D623),TEXT(D623,"yyyy-mm-dd"),"no date")&amp;"|"&amp;E623&amp;"|"&amp;IF(ISNUMBER(F623),TEXT(F623,"0.00"),"blank")</f>
        <v>Paramedic Student Field Training|2025-10-31|Paramedic|70.25</v>
      </c>
      <c r="I623" s="1" t="n">
        <f aca="false">COUNTIF($H$5:$H$1624,H623)</f>
        <v>1</v>
      </c>
      <c r="J623" s="1" t="n">
        <f aca="false">COUNTIF($H$5:H623,H623)</f>
        <v>1</v>
      </c>
      <c r="K623" s="1" t="n">
        <f aca="false">COUNTIFS($H$5:$H$1624,H623,$B$5:$B$1624,"&lt;&gt;"&amp;B623)</f>
        <v>0</v>
      </c>
      <c r="L623" s="1" t="str">
        <f aca="false">IF(I623&gt;1,IF(K623&gt;0,"Cross-hospital match","Same-hospital match"),"")</f>
        <v/>
      </c>
      <c r="M623" s="52"/>
      <c r="N623" s="52"/>
      <c r="O623" s="1" t="n">
        <f aca="false">IF(M623="Exclude (duplicate)",0,1)</f>
        <v>1</v>
      </c>
      <c r="P623" s="1" t="str">
        <f aca="false">IF(AND(L623&lt;&gt;"",M623=""),"Needs decision","")</f>
        <v/>
      </c>
    </row>
    <row r="624" customFormat="false" ht="15" hidden="false" customHeight="false" outlineLevel="0" collapsed="false">
      <c r="A624" s="48" t="str">
        <f aca="false">COST!A624</f>
        <v>ASH-0091</v>
      </c>
      <c r="B624" s="48" t="str">
        <f aca="false">COST!B624</f>
        <v>ASH</v>
      </c>
      <c r="C624" s="48" t="str">
        <f aca="false">COST!D624</f>
        <v>Diabetes Prevention Classes</v>
      </c>
      <c r="D624" s="62" t="n">
        <f aca="false">COST!M624</f>
        <v>45978</v>
      </c>
      <c r="E624" s="48" t="str">
        <f aca="false">COST!P624</f>
        <v>Health Educator</v>
      </c>
      <c r="F624" s="63" t="n">
        <f aca="false">COST!R624</f>
        <v>3</v>
      </c>
      <c r="G624" s="48" t="str">
        <f aca="false">STACK!M624</f>
        <v/>
      </c>
      <c r="H624" s="1" t="str">
        <f aca="false">C624&amp;"|"&amp;IF(ISNUMBER(D624),TEXT(D624,"yyyy-mm-dd"),"no date")&amp;"|"&amp;E624&amp;"|"&amp;IF(ISNUMBER(F624),TEXT(F624,"0.00"),"blank")</f>
        <v>Diabetes Prevention Classes|2025-11-17|Health Educator|3.00</v>
      </c>
      <c r="I624" s="1" t="n">
        <f aca="false">COUNTIF($H$5:$H$1624,H624)</f>
        <v>1</v>
      </c>
      <c r="J624" s="1" t="n">
        <f aca="false">COUNTIF($H$5:H624,H624)</f>
        <v>1</v>
      </c>
      <c r="K624" s="1" t="n">
        <f aca="false">COUNTIFS($H$5:$H$1624,H624,$B$5:$B$1624,"&lt;&gt;"&amp;B624)</f>
        <v>0</v>
      </c>
      <c r="L624" s="1" t="str">
        <f aca="false">IF(I624&gt;1,IF(K624&gt;0,"Cross-hospital match","Same-hospital match"),"")</f>
        <v/>
      </c>
      <c r="M624" s="52"/>
      <c r="N624" s="52"/>
      <c r="O624" s="1" t="n">
        <f aca="false">IF(M624="Exclude (duplicate)",0,1)</f>
        <v>1</v>
      </c>
      <c r="P624" s="1" t="str">
        <f aca="false">IF(AND(L624&lt;&gt;"",M624=""),"Needs decision","")</f>
        <v/>
      </c>
    </row>
    <row r="625" customFormat="false" ht="15" hidden="false" customHeight="false" outlineLevel="0" collapsed="false">
      <c r="A625" s="48" t="str">
        <f aca="false">COST!A625</f>
        <v>ASH-0092</v>
      </c>
      <c r="B625" s="48" t="str">
        <f aca="false">COST!B625</f>
        <v>ASH</v>
      </c>
      <c r="C625" s="48" t="str">
        <f aca="false">COST!D625</f>
        <v>Diabetes Prevention Classes</v>
      </c>
      <c r="D625" s="62" t="n">
        <f aca="false">COST!M625</f>
        <v>45978</v>
      </c>
      <c r="E625" s="48" t="str">
        <f aca="false">COST!P625</f>
        <v>Registered Dietitian</v>
      </c>
      <c r="F625" s="63" t="n">
        <f aca="false">COST!R625</f>
        <v>1.75</v>
      </c>
      <c r="G625" s="48" t="str">
        <f aca="false">STACK!M625</f>
        <v/>
      </c>
      <c r="H625" s="1" t="str">
        <f aca="false">C625&amp;"|"&amp;IF(ISNUMBER(D625),TEXT(D625,"yyyy-mm-dd"),"no date")&amp;"|"&amp;E625&amp;"|"&amp;IF(ISNUMBER(F625),TEXT(F625,"0.00"),"blank")</f>
        <v>Diabetes Prevention Classes|2025-11-17|Registered Dietitian|1.75</v>
      </c>
      <c r="I625" s="1" t="n">
        <f aca="false">COUNTIF($H$5:$H$1624,H625)</f>
        <v>1</v>
      </c>
      <c r="J625" s="1" t="n">
        <f aca="false">COUNTIF($H$5:H625,H625)</f>
        <v>1</v>
      </c>
      <c r="K625" s="1" t="n">
        <f aca="false">COUNTIFS($H$5:$H$1624,H625,$B$5:$B$1624,"&lt;&gt;"&amp;B625)</f>
        <v>0</v>
      </c>
      <c r="L625" s="1" t="str">
        <f aca="false">IF(I625&gt;1,IF(K625&gt;0,"Cross-hospital match","Same-hospital match"),"")</f>
        <v/>
      </c>
      <c r="M625" s="52"/>
      <c r="N625" s="52"/>
      <c r="O625" s="1" t="n">
        <f aca="false">IF(M625="Exclude (duplicate)",0,1)</f>
        <v>1</v>
      </c>
      <c r="P625" s="1" t="str">
        <f aca="false">IF(AND(L625&lt;&gt;"",M625=""),"Needs decision","")</f>
        <v/>
      </c>
    </row>
    <row r="626" customFormat="false" ht="15" hidden="false" customHeight="false" outlineLevel="0" collapsed="false">
      <c r="A626" s="48" t="str">
        <f aca="false">COST!A626</f>
        <v>ASH-0093</v>
      </c>
      <c r="B626" s="48" t="str">
        <f aca="false">COST!B626</f>
        <v>ASH</v>
      </c>
      <c r="C626" s="48" t="str">
        <f aca="false">COST!D626</f>
        <v>Diabetes Prevention Classes</v>
      </c>
      <c r="D626" s="62" t="n">
        <f aca="false">COST!M626</f>
        <v>45987</v>
      </c>
      <c r="E626" s="48" t="str">
        <f aca="false">COST!P626</f>
        <v>Health Educator</v>
      </c>
      <c r="F626" s="63" t="n">
        <f aca="false">COST!R626</f>
        <v>3</v>
      </c>
      <c r="G626" s="48" t="str">
        <f aca="false">STACK!M626</f>
        <v/>
      </c>
      <c r="H626" s="1" t="str">
        <f aca="false">C626&amp;"|"&amp;IF(ISNUMBER(D626),TEXT(D626,"yyyy-mm-dd"),"no date")&amp;"|"&amp;E626&amp;"|"&amp;IF(ISNUMBER(F626),TEXT(F626,"0.00"),"blank")</f>
        <v>Diabetes Prevention Classes|2025-11-26|Health Educator|3.00</v>
      </c>
      <c r="I626" s="1" t="n">
        <f aca="false">COUNTIF($H$5:$H$1624,H626)</f>
        <v>1</v>
      </c>
      <c r="J626" s="1" t="n">
        <f aca="false">COUNTIF($H$5:H626,H626)</f>
        <v>1</v>
      </c>
      <c r="K626" s="1" t="n">
        <f aca="false">COUNTIFS($H$5:$H$1624,H626,$B$5:$B$1624,"&lt;&gt;"&amp;B626)</f>
        <v>0</v>
      </c>
      <c r="L626" s="1" t="str">
        <f aca="false">IF(I626&gt;1,IF(K626&gt;0,"Cross-hospital match","Same-hospital match"),"")</f>
        <v/>
      </c>
      <c r="M626" s="52"/>
      <c r="N626" s="52"/>
      <c r="O626" s="1" t="n">
        <f aca="false">IF(M626="Exclude (duplicate)",0,1)</f>
        <v>1</v>
      </c>
      <c r="P626" s="1" t="str">
        <f aca="false">IF(AND(L626&lt;&gt;"",M626=""),"Needs decision","")</f>
        <v/>
      </c>
    </row>
    <row r="627" customFormat="false" ht="15" hidden="false" customHeight="false" outlineLevel="0" collapsed="false">
      <c r="A627" s="48" t="str">
        <f aca="false">COST!A627</f>
        <v>ASH-0094</v>
      </c>
      <c r="B627" s="48" t="str">
        <f aca="false">COST!B627</f>
        <v>ASH</v>
      </c>
      <c r="C627" s="48" t="str">
        <f aca="false">COST!D627</f>
        <v>Diabetes Prevention Classes</v>
      </c>
      <c r="D627" s="62" t="n">
        <f aca="false">COST!M627</f>
        <v>45987</v>
      </c>
      <c r="E627" s="48" t="str">
        <f aca="false">COST!P627</f>
        <v>Registered Dietitian</v>
      </c>
      <c r="F627" s="63" t="n">
        <f aca="false">COST!R627</f>
        <v>2</v>
      </c>
      <c r="G627" s="48" t="str">
        <f aca="false">STACK!M627</f>
        <v/>
      </c>
      <c r="H627" s="1" t="str">
        <f aca="false">C627&amp;"|"&amp;IF(ISNUMBER(D627),TEXT(D627,"yyyy-mm-dd"),"no date")&amp;"|"&amp;E627&amp;"|"&amp;IF(ISNUMBER(F627),TEXT(F627,"0.00"),"blank")</f>
        <v>Diabetes Prevention Classes|2025-11-26|Registered Dietitian|2.00</v>
      </c>
      <c r="I627" s="1" t="n">
        <f aca="false">COUNTIF($H$5:$H$1624,H627)</f>
        <v>1</v>
      </c>
      <c r="J627" s="1" t="n">
        <f aca="false">COUNTIF($H$5:H627,H627)</f>
        <v>1</v>
      </c>
      <c r="K627" s="1" t="n">
        <f aca="false">COUNTIFS($H$5:$H$1624,H627,$B$5:$B$1624,"&lt;&gt;"&amp;B627)</f>
        <v>0</v>
      </c>
      <c r="L627" s="1" t="str">
        <f aca="false">IF(I627&gt;1,IF(K627&gt;0,"Cross-hospital match","Same-hospital match"),"")</f>
        <v/>
      </c>
      <c r="M627" s="52"/>
      <c r="N627" s="52"/>
      <c r="O627" s="1" t="n">
        <f aca="false">IF(M627="Exclude (duplicate)",0,1)</f>
        <v>1</v>
      </c>
      <c r="P627" s="1" t="str">
        <f aca="false">IF(AND(L627&lt;&gt;"",M627=""),"Needs decision","")</f>
        <v/>
      </c>
    </row>
    <row r="628" customFormat="false" ht="15" hidden="false" customHeight="false" outlineLevel="0" collapsed="false">
      <c r="A628" s="48" t="str">
        <f aca="false">COST!A628</f>
        <v>ASH-0095</v>
      </c>
      <c r="B628" s="48" t="str">
        <f aca="false">COST!B628</f>
        <v>ASH</v>
      </c>
      <c r="C628" s="48" t="str">
        <f aca="false">COST!D628</f>
        <v>Car Seat Safety Checks</v>
      </c>
      <c r="D628" s="62" t="n">
        <f aca="false">COST!M628</f>
        <v>45988</v>
      </c>
      <c r="E628" s="48" t="str">
        <f aca="false">COST!P628</f>
        <v>Paramedic</v>
      </c>
      <c r="F628" s="63" t="n">
        <f aca="false">COST!R628</f>
        <v>3.75</v>
      </c>
      <c r="G628" s="48" t="str">
        <f aca="false">STACK!M628</f>
        <v/>
      </c>
      <c r="H628" s="1" t="str">
        <f aca="false">C628&amp;"|"&amp;IF(ISNUMBER(D628),TEXT(D628,"yyyy-mm-dd"),"no date")&amp;"|"&amp;E628&amp;"|"&amp;IF(ISNUMBER(F628),TEXT(F628,"0.00"),"blank")</f>
        <v>Car Seat Safety Checks|2025-11-27|Paramedic|3.75</v>
      </c>
      <c r="I628" s="1" t="n">
        <f aca="false">COUNTIF($H$5:$H$1624,H628)</f>
        <v>1</v>
      </c>
      <c r="J628" s="1" t="n">
        <f aca="false">COUNTIF($H$5:H628,H628)</f>
        <v>1</v>
      </c>
      <c r="K628" s="1" t="n">
        <f aca="false">COUNTIFS($H$5:$H$1624,H628,$B$5:$B$1624,"&lt;&gt;"&amp;B628)</f>
        <v>0</v>
      </c>
      <c r="L628" s="1" t="str">
        <f aca="false">IF(I628&gt;1,IF(K628&gt;0,"Cross-hospital match","Same-hospital match"),"")</f>
        <v/>
      </c>
      <c r="M628" s="52"/>
      <c r="N628" s="52"/>
      <c r="O628" s="1" t="n">
        <f aca="false">IF(M628="Exclude (duplicate)",0,1)</f>
        <v>1</v>
      </c>
      <c r="P628" s="1" t="str">
        <f aca="false">IF(AND(L628&lt;&gt;"",M628=""),"Needs decision","")</f>
        <v/>
      </c>
    </row>
    <row r="629" customFormat="false" ht="15" hidden="false" customHeight="false" outlineLevel="0" collapsed="false">
      <c r="A629" s="48" t="str">
        <f aca="false">COST!A629</f>
        <v>ASH-0096</v>
      </c>
      <c r="B629" s="48" t="str">
        <f aca="false">COST!B629</f>
        <v>ASH</v>
      </c>
      <c r="C629" s="48" t="str">
        <f aca="false">COST!D629</f>
        <v>Car Seat Safety Checks</v>
      </c>
      <c r="D629" s="62" t="n">
        <f aca="false">COST!M629</f>
        <v>45988</v>
      </c>
      <c r="E629" s="48" t="str">
        <f aca="false">COST!P629</f>
        <v>Registered Nurse</v>
      </c>
      <c r="F629" s="63" t="n">
        <f aca="false">COST!R629</f>
        <v>4</v>
      </c>
      <c r="G629" s="48" t="str">
        <f aca="false">STACK!M629</f>
        <v/>
      </c>
      <c r="H629" s="1" t="str">
        <f aca="false">C629&amp;"|"&amp;IF(ISNUMBER(D629),TEXT(D629,"yyyy-mm-dd"),"no date")&amp;"|"&amp;E629&amp;"|"&amp;IF(ISNUMBER(F629),TEXT(F629,"0.00"),"blank")</f>
        <v>Car Seat Safety Checks|2025-11-27|Registered Nurse|4.00</v>
      </c>
      <c r="I629" s="1" t="n">
        <f aca="false">COUNTIF($H$5:$H$1624,H629)</f>
        <v>1</v>
      </c>
      <c r="J629" s="1" t="n">
        <f aca="false">COUNTIF($H$5:H629,H629)</f>
        <v>1</v>
      </c>
      <c r="K629" s="1" t="n">
        <f aca="false">COUNTIFS($H$5:$H$1624,H629,$B$5:$B$1624,"&lt;&gt;"&amp;B629)</f>
        <v>0</v>
      </c>
      <c r="L629" s="1" t="str">
        <f aca="false">IF(I629&gt;1,IF(K629&gt;0,"Cross-hospital match","Same-hospital match"),"")</f>
        <v/>
      </c>
      <c r="M629" s="52"/>
      <c r="N629" s="52"/>
      <c r="O629" s="1" t="n">
        <f aca="false">IF(M629="Exclude (duplicate)",0,1)</f>
        <v>1</v>
      </c>
      <c r="P629" s="1" t="str">
        <f aca="false">IF(AND(L629&lt;&gt;"",M629=""),"Needs decision","")</f>
        <v/>
      </c>
    </row>
    <row r="630" customFormat="false" ht="15" hidden="false" customHeight="false" outlineLevel="0" collapsed="false">
      <c r="A630" s="48" t="str">
        <f aca="false">COST!A630</f>
        <v>ASH-0097</v>
      </c>
      <c r="B630" s="48" t="str">
        <f aca="false">COST!B630</f>
        <v>ASH</v>
      </c>
      <c r="C630" s="48" t="str">
        <f aca="false">COST!D630</f>
        <v>Mobile Health Screening Unit</v>
      </c>
      <c r="D630" s="62" t="n">
        <f aca="false">COST!M630</f>
        <v>45991</v>
      </c>
      <c r="E630" s="48" t="str">
        <f aca="false">COST!P630</f>
        <v>Community Health Worker</v>
      </c>
      <c r="F630" s="63" t="n">
        <f aca="false">COST!R630</f>
        <v>85.5</v>
      </c>
      <c r="G630" s="48" t="str">
        <f aca="false">STACK!M630</f>
        <v/>
      </c>
      <c r="H630" s="1" t="str">
        <f aca="false">C630&amp;"|"&amp;IF(ISNUMBER(D630),TEXT(D630,"yyyy-mm-dd"),"no date")&amp;"|"&amp;E630&amp;"|"&amp;IF(ISNUMBER(F630),TEXT(F630,"0.00"),"blank")</f>
        <v>Mobile Health Screening Unit|2025-11-30|Community Health Worker|85.50</v>
      </c>
      <c r="I630" s="1" t="n">
        <f aca="false">COUNTIF($H$5:$H$1624,H630)</f>
        <v>1</v>
      </c>
      <c r="J630" s="1" t="n">
        <f aca="false">COUNTIF($H$5:H630,H630)</f>
        <v>1</v>
      </c>
      <c r="K630" s="1" t="n">
        <f aca="false">COUNTIFS($H$5:$H$1624,H630,$B$5:$B$1624,"&lt;&gt;"&amp;B630)</f>
        <v>0</v>
      </c>
      <c r="L630" s="1" t="str">
        <f aca="false">IF(I630&gt;1,IF(K630&gt;0,"Cross-hospital match","Same-hospital match"),"")</f>
        <v/>
      </c>
      <c r="M630" s="52"/>
      <c r="N630" s="52"/>
      <c r="O630" s="1" t="n">
        <f aca="false">IF(M630="Exclude (duplicate)",0,1)</f>
        <v>1</v>
      </c>
      <c r="P630" s="1" t="str">
        <f aca="false">IF(AND(L630&lt;&gt;"",M630=""),"Needs decision","")</f>
        <v/>
      </c>
    </row>
    <row r="631" customFormat="false" ht="15" hidden="false" customHeight="false" outlineLevel="0" collapsed="false">
      <c r="A631" s="48" t="str">
        <f aca="false">COST!A631</f>
        <v>ASH-0098</v>
      </c>
      <c r="B631" s="48" t="str">
        <f aca="false">COST!B631</f>
        <v>ASH</v>
      </c>
      <c r="C631" s="48" t="str">
        <f aca="false">COST!D631</f>
        <v>Mobile Health Screening Unit</v>
      </c>
      <c r="D631" s="62" t="n">
        <f aca="false">COST!M631</f>
        <v>45991</v>
      </c>
      <c r="E631" s="48" t="str">
        <f aca="false">COST!P631</f>
        <v>Medical Assistant</v>
      </c>
      <c r="F631" s="63" t="n">
        <f aca="false">COST!R631</f>
        <v>95.25</v>
      </c>
      <c r="G631" s="48" t="str">
        <f aca="false">STACK!M631</f>
        <v/>
      </c>
      <c r="H631" s="1" t="str">
        <f aca="false">C631&amp;"|"&amp;IF(ISNUMBER(D631),TEXT(D631,"yyyy-mm-dd"),"no date")&amp;"|"&amp;E631&amp;"|"&amp;IF(ISNUMBER(F631),TEXT(F631,"0.00"),"blank")</f>
        <v>Mobile Health Screening Unit|2025-11-30|Medical Assistant|95.25</v>
      </c>
      <c r="I631" s="1" t="n">
        <f aca="false">COUNTIF($H$5:$H$1624,H631)</f>
        <v>1</v>
      </c>
      <c r="J631" s="1" t="n">
        <f aca="false">COUNTIF($H$5:H631,H631)</f>
        <v>1</v>
      </c>
      <c r="K631" s="1" t="n">
        <f aca="false">COUNTIFS($H$5:$H$1624,H631,$B$5:$B$1624,"&lt;&gt;"&amp;B631)</f>
        <v>0</v>
      </c>
      <c r="L631" s="1" t="str">
        <f aca="false">IF(I631&gt;1,IF(K631&gt;0,"Cross-hospital match","Same-hospital match"),"")</f>
        <v/>
      </c>
      <c r="M631" s="52"/>
      <c r="N631" s="52"/>
      <c r="O631" s="1" t="n">
        <f aca="false">IF(M631="Exclude (duplicate)",0,1)</f>
        <v>1</v>
      </c>
      <c r="P631" s="1" t="str">
        <f aca="false">IF(AND(L631&lt;&gt;"",M631=""),"Needs decision","")</f>
        <v/>
      </c>
    </row>
    <row r="632" customFormat="false" ht="15" hidden="false" customHeight="false" outlineLevel="0" collapsed="false">
      <c r="A632" s="48" t="str">
        <f aca="false">COST!A632</f>
        <v>ASH-0099</v>
      </c>
      <c r="B632" s="48" t="str">
        <f aca="false">COST!B632</f>
        <v>ASH</v>
      </c>
      <c r="C632" s="48" t="str">
        <f aca="false">COST!D632</f>
        <v>Mobile Health Screening Unit</v>
      </c>
      <c r="D632" s="62" t="n">
        <f aca="false">COST!M632</f>
        <v>45991</v>
      </c>
      <c r="E632" s="48" t="str">
        <f aca="false">COST!P632</f>
        <v>Registered Nurse</v>
      </c>
      <c r="F632" s="63" t="n">
        <f aca="false">COST!R632</f>
        <v>108.75</v>
      </c>
      <c r="G632" s="48" t="str">
        <f aca="false">STACK!M632</f>
        <v/>
      </c>
      <c r="H632" s="1" t="str">
        <f aca="false">C632&amp;"|"&amp;IF(ISNUMBER(D632),TEXT(D632,"yyyy-mm-dd"),"no date")&amp;"|"&amp;E632&amp;"|"&amp;IF(ISNUMBER(F632),TEXT(F632,"0.00"),"blank")</f>
        <v>Mobile Health Screening Unit|2025-11-30|Registered Nurse|108.75</v>
      </c>
      <c r="I632" s="1" t="n">
        <f aca="false">COUNTIF($H$5:$H$1624,H632)</f>
        <v>1</v>
      </c>
      <c r="J632" s="1" t="n">
        <f aca="false">COUNTIF($H$5:H632,H632)</f>
        <v>1</v>
      </c>
      <c r="K632" s="1" t="n">
        <f aca="false">COUNTIFS($H$5:$H$1624,H632,$B$5:$B$1624,"&lt;&gt;"&amp;B632)</f>
        <v>0</v>
      </c>
      <c r="L632" s="1" t="str">
        <f aca="false">IF(I632&gt;1,IF(K632&gt;0,"Cross-hospital match","Same-hospital match"),"")</f>
        <v/>
      </c>
      <c r="M632" s="52"/>
      <c r="N632" s="52"/>
      <c r="O632" s="1" t="n">
        <f aca="false">IF(M632="Exclude (duplicate)",0,1)</f>
        <v>1</v>
      </c>
      <c r="P632" s="1" t="str">
        <f aca="false">IF(AND(L632&lt;&gt;"",M632=""),"Needs decision","")</f>
        <v/>
      </c>
    </row>
    <row r="633" customFormat="false" ht="15" hidden="false" customHeight="false" outlineLevel="0" collapsed="false">
      <c r="A633" s="48" t="str">
        <f aca="false">COST!A633</f>
        <v>ASH-0100</v>
      </c>
      <c r="B633" s="48" t="str">
        <f aca="false">COST!B633</f>
        <v>ASH</v>
      </c>
      <c r="C633" s="48" t="str">
        <f aca="false">COST!D633</f>
        <v>Community Health Worker Outreach</v>
      </c>
      <c r="D633" s="62" t="n">
        <f aca="false">COST!M633</f>
        <v>45991</v>
      </c>
      <c r="E633" s="48" t="str">
        <f aca="false">COST!P633</f>
        <v>Community Health Worker</v>
      </c>
      <c r="F633" s="63" t="n">
        <f aca="false">COST!R633</f>
        <v>347.5</v>
      </c>
      <c r="G633" s="48" t="str">
        <f aca="false">STACK!M633</f>
        <v/>
      </c>
      <c r="H633" s="1" t="str">
        <f aca="false">C633&amp;"|"&amp;IF(ISNUMBER(D633),TEXT(D633,"yyyy-mm-dd"),"no date")&amp;"|"&amp;E633&amp;"|"&amp;IF(ISNUMBER(F633),TEXT(F633,"0.00"),"blank")</f>
        <v>Community Health Worker Outreach|2025-11-30|Community Health Worker|347.50</v>
      </c>
      <c r="I633" s="1" t="n">
        <f aca="false">COUNTIF($H$5:$H$1624,H633)</f>
        <v>1</v>
      </c>
      <c r="J633" s="1" t="n">
        <f aca="false">COUNTIF($H$5:H633,H633)</f>
        <v>1</v>
      </c>
      <c r="K633" s="1" t="n">
        <f aca="false">COUNTIFS($H$5:$H$1624,H633,$B$5:$B$1624,"&lt;&gt;"&amp;B633)</f>
        <v>0</v>
      </c>
      <c r="L633" s="1" t="str">
        <f aca="false">IF(I633&gt;1,IF(K633&gt;0,"Cross-hospital match","Same-hospital match"),"")</f>
        <v/>
      </c>
      <c r="M633" s="52"/>
      <c r="N633" s="52"/>
      <c r="O633" s="1" t="n">
        <f aca="false">IF(M633="Exclude (duplicate)",0,1)</f>
        <v>1</v>
      </c>
      <c r="P633" s="1" t="str">
        <f aca="false">IF(AND(L633&lt;&gt;"",M633=""),"Needs decision","")</f>
        <v/>
      </c>
    </row>
    <row r="634" customFormat="false" ht="15" hidden="false" customHeight="false" outlineLevel="0" collapsed="false">
      <c r="A634" s="48" t="str">
        <f aca="false">COST!A634</f>
        <v>ASH-0101</v>
      </c>
      <c r="B634" s="48" t="str">
        <f aca="false">COST!B634</f>
        <v>ASH</v>
      </c>
      <c r="C634" s="48" t="str">
        <f aca="false">COST!D634</f>
        <v>Community Health Worker Outreach</v>
      </c>
      <c r="D634" s="62" t="n">
        <f aca="false">COST!M634</f>
        <v>45991</v>
      </c>
      <c r="E634" s="48" t="str">
        <f aca="false">COST!P634</f>
        <v>Patient Navigator</v>
      </c>
      <c r="F634" s="63" t="n">
        <f aca="false">COST!R634</f>
        <v>152</v>
      </c>
      <c r="G634" s="48" t="str">
        <f aca="false">STACK!M634</f>
        <v/>
      </c>
      <c r="H634" s="1" t="str">
        <f aca="false">C634&amp;"|"&amp;IF(ISNUMBER(D634),TEXT(D634,"yyyy-mm-dd"),"no date")&amp;"|"&amp;E634&amp;"|"&amp;IF(ISNUMBER(F634),TEXT(F634,"0.00"),"blank")</f>
        <v>Community Health Worker Outreach|2025-11-30|Patient Navigator|152.00</v>
      </c>
      <c r="I634" s="1" t="n">
        <f aca="false">COUNTIF($H$5:$H$1624,H634)</f>
        <v>1</v>
      </c>
      <c r="J634" s="1" t="n">
        <f aca="false">COUNTIF($H$5:H634,H634)</f>
        <v>1</v>
      </c>
      <c r="K634" s="1" t="n">
        <f aca="false">COUNTIFS($H$5:$H$1624,H634,$B$5:$B$1624,"&lt;&gt;"&amp;B634)</f>
        <v>0</v>
      </c>
      <c r="L634" s="1" t="str">
        <f aca="false">IF(I634&gt;1,IF(K634&gt;0,"Cross-hospital match","Same-hospital match"),"")</f>
        <v/>
      </c>
      <c r="M634" s="52"/>
      <c r="N634" s="52"/>
      <c r="O634" s="1" t="n">
        <f aca="false">IF(M634="Exclude (duplicate)",0,1)</f>
        <v>1</v>
      </c>
      <c r="P634" s="1" t="str">
        <f aca="false">IF(AND(L634&lt;&gt;"",M634=""),"Needs decision","")</f>
        <v/>
      </c>
    </row>
    <row r="635" customFormat="false" ht="15" hidden="false" customHeight="false" outlineLevel="0" collapsed="false">
      <c r="A635" s="48" t="str">
        <f aca="false">COST!A635</f>
        <v>ASH-0102</v>
      </c>
      <c r="B635" s="48" t="str">
        <f aca="false">COST!B635</f>
        <v>ASH</v>
      </c>
      <c r="C635" s="48" t="str">
        <f aca="false">COST!D635</f>
        <v>Produce Prescription Program</v>
      </c>
      <c r="D635" s="62" t="n">
        <f aca="false">COST!M635</f>
        <v>45991</v>
      </c>
      <c r="E635" s="48" t="str">
        <f aca="false">COST!P635</f>
        <v>Community Health Worker</v>
      </c>
      <c r="F635" s="63" t="n">
        <f aca="false">COST!R635</f>
        <v>62.25</v>
      </c>
      <c r="G635" s="48" t="str">
        <f aca="false">STACK!M635</f>
        <v/>
      </c>
      <c r="H635" s="1" t="str">
        <f aca="false">C635&amp;"|"&amp;IF(ISNUMBER(D635),TEXT(D635,"yyyy-mm-dd"),"no date")&amp;"|"&amp;E635&amp;"|"&amp;IF(ISNUMBER(F635),TEXT(F635,"0.00"),"blank")</f>
        <v>Produce Prescription Program|2025-11-30|Community Health Worker|62.25</v>
      </c>
      <c r="I635" s="1" t="n">
        <f aca="false">COUNTIF($H$5:$H$1624,H635)</f>
        <v>1</v>
      </c>
      <c r="J635" s="1" t="n">
        <f aca="false">COUNTIF($H$5:H635,H635)</f>
        <v>1</v>
      </c>
      <c r="K635" s="1" t="n">
        <f aca="false">COUNTIFS($H$5:$H$1624,H635,$B$5:$B$1624,"&lt;&gt;"&amp;B635)</f>
        <v>0</v>
      </c>
      <c r="L635" s="1" t="str">
        <f aca="false">IF(I635&gt;1,IF(K635&gt;0,"Cross-hospital match","Same-hospital match"),"")</f>
        <v/>
      </c>
      <c r="M635" s="52"/>
      <c r="N635" s="52"/>
      <c r="O635" s="1" t="n">
        <f aca="false">IF(M635="Exclude (duplicate)",0,1)</f>
        <v>1</v>
      </c>
      <c r="P635" s="1" t="str">
        <f aca="false">IF(AND(L635&lt;&gt;"",M635=""),"Needs decision","")</f>
        <v/>
      </c>
    </row>
    <row r="636" customFormat="false" ht="15" hidden="false" customHeight="false" outlineLevel="0" collapsed="false">
      <c r="A636" s="48" t="str">
        <f aca="false">COST!A636</f>
        <v>ASH-0103</v>
      </c>
      <c r="B636" s="48" t="str">
        <f aca="false">COST!B636</f>
        <v>ASH</v>
      </c>
      <c r="C636" s="48" t="str">
        <f aca="false">COST!D636</f>
        <v>Produce Prescription Program</v>
      </c>
      <c r="D636" s="62" t="n">
        <f aca="false">COST!M636</f>
        <v>45991</v>
      </c>
      <c r="E636" s="48" t="str">
        <f aca="false">COST!P636</f>
        <v>Registered Dietitian</v>
      </c>
      <c r="F636" s="63" t="n">
        <f aca="false">COST!R636</f>
        <v>29.75</v>
      </c>
      <c r="G636" s="48" t="str">
        <f aca="false">STACK!M636</f>
        <v/>
      </c>
      <c r="H636" s="1" t="str">
        <f aca="false">C636&amp;"|"&amp;IF(ISNUMBER(D636),TEXT(D636,"yyyy-mm-dd"),"no date")&amp;"|"&amp;E636&amp;"|"&amp;IF(ISNUMBER(F636),TEXT(F636,"0.00"),"blank")</f>
        <v>Produce Prescription Program|2025-11-30|Registered Dietitian|29.75</v>
      </c>
      <c r="I636" s="1" t="n">
        <f aca="false">COUNTIF($H$5:$H$1624,H636)</f>
        <v>1</v>
      </c>
      <c r="J636" s="1" t="n">
        <f aca="false">COUNTIF($H$5:H636,H636)</f>
        <v>1</v>
      </c>
      <c r="K636" s="1" t="n">
        <f aca="false">COUNTIFS($H$5:$H$1624,H636,$B$5:$B$1624,"&lt;&gt;"&amp;B636)</f>
        <v>0</v>
      </c>
      <c r="L636" s="1" t="str">
        <f aca="false">IF(I636&gt;1,IF(K636&gt;0,"Cross-hospital match","Same-hospital match"),"")</f>
        <v/>
      </c>
      <c r="M636" s="52"/>
      <c r="N636" s="52"/>
      <c r="O636" s="1" t="n">
        <f aca="false">IF(M636="Exclude (duplicate)",0,1)</f>
        <v>1</v>
      </c>
      <c r="P636" s="1" t="str">
        <f aca="false">IF(AND(L636&lt;&gt;"",M636=""),"Needs decision","")</f>
        <v/>
      </c>
    </row>
    <row r="637" customFormat="false" ht="15" hidden="false" customHeight="false" outlineLevel="0" collapsed="false">
      <c r="A637" s="48" t="str">
        <f aca="false">COST!A637</f>
        <v>ASH-0104</v>
      </c>
      <c r="B637" s="48" t="str">
        <f aca="false">COST!B637</f>
        <v>ASH</v>
      </c>
      <c r="C637" s="48" t="str">
        <f aca="false">COST!D637</f>
        <v>Community Benefit Program Administration</v>
      </c>
      <c r="D637" s="62" t="n">
        <f aca="false">COST!M637</f>
        <v>45991</v>
      </c>
      <c r="E637" s="48" t="str">
        <f aca="false">COST!P637</f>
        <v>Administrative Assistant</v>
      </c>
      <c r="F637" s="63" t="n">
        <f aca="false">COST!R637</f>
        <v>57.75</v>
      </c>
      <c r="G637" s="48" t="str">
        <f aca="false">STACK!M637</f>
        <v/>
      </c>
      <c r="H637" s="1" t="str">
        <f aca="false">C637&amp;"|"&amp;IF(ISNUMBER(D637),TEXT(D637,"yyyy-mm-dd"),"no date")&amp;"|"&amp;E637&amp;"|"&amp;IF(ISNUMBER(F637),TEXT(F637,"0.00"),"blank")</f>
        <v>Community Benefit Program Administration|2025-11-30|Administrative Assistant|57.75</v>
      </c>
      <c r="I637" s="1" t="n">
        <f aca="false">COUNTIF($H$5:$H$1624,H637)</f>
        <v>1</v>
      </c>
      <c r="J637" s="1" t="n">
        <f aca="false">COUNTIF($H$5:H637,H637)</f>
        <v>1</v>
      </c>
      <c r="K637" s="1" t="n">
        <f aca="false">COUNTIFS($H$5:$H$1624,H637,$B$5:$B$1624,"&lt;&gt;"&amp;B637)</f>
        <v>0</v>
      </c>
      <c r="L637" s="1" t="str">
        <f aca="false">IF(I637&gt;1,IF(K637&gt;0,"Cross-hospital match","Same-hospital match"),"")</f>
        <v/>
      </c>
      <c r="M637" s="52"/>
      <c r="N637" s="52"/>
      <c r="O637" s="1" t="n">
        <f aca="false">IF(M637="Exclude (duplicate)",0,1)</f>
        <v>1</v>
      </c>
      <c r="P637" s="1" t="str">
        <f aca="false">IF(AND(L637&lt;&gt;"",M637=""),"Needs decision","")</f>
        <v/>
      </c>
    </row>
    <row r="638" customFormat="false" ht="15" hidden="false" customHeight="false" outlineLevel="0" collapsed="false">
      <c r="A638" s="48" t="str">
        <f aca="false">COST!A638</f>
        <v>ASH-0105</v>
      </c>
      <c r="B638" s="48" t="str">
        <f aca="false">COST!B638</f>
        <v>ASH</v>
      </c>
      <c r="C638" s="48" t="str">
        <f aca="false">COST!D638</f>
        <v>Community Benefit Program Administration</v>
      </c>
      <c r="D638" s="62" t="n">
        <f aca="false">COST!M638</f>
        <v>45991</v>
      </c>
      <c r="E638" s="48" t="str">
        <f aca="false">COST!P638</f>
        <v>Community Benefit Manager</v>
      </c>
      <c r="F638" s="63" t="n">
        <f aca="false">COST!R638</f>
        <v>64.25</v>
      </c>
      <c r="G638" s="48" t="str">
        <f aca="false">STACK!M638</f>
        <v/>
      </c>
      <c r="H638" s="1" t="str">
        <f aca="false">C638&amp;"|"&amp;IF(ISNUMBER(D638),TEXT(D638,"yyyy-mm-dd"),"no date")&amp;"|"&amp;E638&amp;"|"&amp;IF(ISNUMBER(F638),TEXT(F638,"0.00"),"blank")</f>
        <v>Community Benefit Program Administration|2025-11-30|Community Benefit Manager|64.25</v>
      </c>
      <c r="I638" s="1" t="n">
        <f aca="false">COUNTIF($H$5:$H$1624,H638)</f>
        <v>1</v>
      </c>
      <c r="J638" s="1" t="n">
        <f aca="false">COUNTIF($H$5:H638,H638)</f>
        <v>1</v>
      </c>
      <c r="K638" s="1" t="n">
        <f aca="false">COUNTIFS($H$5:$H$1624,H638,$B$5:$B$1624,"&lt;&gt;"&amp;B638)</f>
        <v>0</v>
      </c>
      <c r="L638" s="1" t="str">
        <f aca="false">IF(I638&gt;1,IF(K638&gt;0,"Cross-hospital match","Same-hospital match"),"")</f>
        <v/>
      </c>
      <c r="M638" s="52"/>
      <c r="N638" s="52"/>
      <c r="O638" s="1" t="n">
        <f aca="false">IF(M638="Exclude (duplicate)",0,1)</f>
        <v>1</v>
      </c>
      <c r="P638" s="1" t="str">
        <f aca="false">IF(AND(L638&lt;&gt;"",M638=""),"Needs decision","")</f>
        <v/>
      </c>
    </row>
    <row r="639" customFormat="false" ht="15" hidden="false" customHeight="false" outlineLevel="0" collapsed="false">
      <c r="A639" s="48" t="str">
        <f aca="false">COST!A639</f>
        <v>ASH-0106</v>
      </c>
      <c r="B639" s="48" t="str">
        <f aca="false">COST!B639</f>
        <v>ASH</v>
      </c>
      <c r="C639" s="48" t="str">
        <f aca="false">COST!D639</f>
        <v>Nursing Student Clinical Rotations</v>
      </c>
      <c r="D639" s="62" t="n">
        <f aca="false">COST!M639</f>
        <v>45991</v>
      </c>
      <c r="E639" s="48" t="str">
        <f aca="false">COST!P639</f>
        <v>Clinical Nurse Educator</v>
      </c>
      <c r="F639" s="63" t="n">
        <f aca="false">COST!R639</f>
        <v>130.25</v>
      </c>
      <c r="G639" s="48" t="str">
        <f aca="false">STACK!M639</f>
        <v/>
      </c>
      <c r="H639" s="1" t="str">
        <f aca="false">C639&amp;"|"&amp;IF(ISNUMBER(D639),TEXT(D639,"yyyy-mm-dd"),"no date")&amp;"|"&amp;E639&amp;"|"&amp;IF(ISNUMBER(F639),TEXT(F639,"0.00"),"blank")</f>
        <v>Nursing Student Clinical Rotations|2025-11-30|Clinical Nurse Educator|130.25</v>
      </c>
      <c r="I639" s="1" t="n">
        <f aca="false">COUNTIF($H$5:$H$1624,H639)</f>
        <v>1</v>
      </c>
      <c r="J639" s="1" t="n">
        <f aca="false">COUNTIF($H$5:H639,H639)</f>
        <v>1</v>
      </c>
      <c r="K639" s="1" t="n">
        <f aca="false">COUNTIFS($H$5:$H$1624,H639,$B$5:$B$1624,"&lt;&gt;"&amp;B639)</f>
        <v>0</v>
      </c>
      <c r="L639" s="1" t="str">
        <f aca="false">IF(I639&gt;1,IF(K639&gt;0,"Cross-hospital match","Same-hospital match"),"")</f>
        <v/>
      </c>
      <c r="M639" s="52"/>
      <c r="N639" s="52"/>
      <c r="O639" s="1" t="n">
        <f aca="false">IF(M639="Exclude (duplicate)",0,1)</f>
        <v>1</v>
      </c>
      <c r="P639" s="1" t="str">
        <f aca="false">IF(AND(L639&lt;&gt;"",M639=""),"Needs decision","")</f>
        <v/>
      </c>
    </row>
    <row r="640" customFormat="false" ht="15" hidden="false" customHeight="false" outlineLevel="0" collapsed="false">
      <c r="A640" s="48" t="str">
        <f aca="false">COST!A640</f>
        <v>ASH-0107</v>
      </c>
      <c r="B640" s="48" t="str">
        <f aca="false">COST!B640</f>
        <v>ASH</v>
      </c>
      <c r="C640" s="48" t="str">
        <f aca="false">COST!D640</f>
        <v>Nursing Student Clinical Rotations</v>
      </c>
      <c r="D640" s="62" t="n">
        <f aca="false">COST!M640</f>
        <v>45991</v>
      </c>
      <c r="E640" s="48" t="str">
        <f aca="false">COST!P640</f>
        <v>Registered Nurse</v>
      </c>
      <c r="F640" s="63" t="n">
        <f aca="false">COST!R640</f>
        <v>229.5</v>
      </c>
      <c r="G640" s="48" t="str">
        <f aca="false">STACK!M640</f>
        <v/>
      </c>
      <c r="H640" s="1" t="str">
        <f aca="false">C640&amp;"|"&amp;IF(ISNUMBER(D640),TEXT(D640,"yyyy-mm-dd"),"no date")&amp;"|"&amp;E640&amp;"|"&amp;IF(ISNUMBER(F640),TEXT(F640,"0.00"),"blank")</f>
        <v>Nursing Student Clinical Rotations|2025-11-30|Registered Nurse|229.50</v>
      </c>
      <c r="I640" s="1" t="n">
        <f aca="false">COUNTIF($H$5:$H$1624,H640)</f>
        <v>1</v>
      </c>
      <c r="J640" s="1" t="n">
        <f aca="false">COUNTIF($H$5:H640,H640)</f>
        <v>1</v>
      </c>
      <c r="K640" s="1" t="n">
        <f aca="false">COUNTIFS($H$5:$H$1624,H640,$B$5:$B$1624,"&lt;&gt;"&amp;B640)</f>
        <v>0</v>
      </c>
      <c r="L640" s="1" t="str">
        <f aca="false">IF(I640&gt;1,IF(K640&gt;0,"Cross-hospital match","Same-hospital match"),"")</f>
        <v/>
      </c>
      <c r="M640" s="52"/>
      <c r="N640" s="52"/>
      <c r="O640" s="1" t="n">
        <f aca="false">IF(M640="Exclude (duplicate)",0,1)</f>
        <v>1</v>
      </c>
      <c r="P640" s="1" t="str">
        <f aca="false">IF(AND(L640&lt;&gt;"",M640=""),"Needs decision","")</f>
        <v/>
      </c>
    </row>
    <row r="641" customFormat="false" ht="15" hidden="false" customHeight="false" outlineLevel="0" collapsed="false">
      <c r="A641" s="48" t="str">
        <f aca="false">COST!A641</f>
        <v>ASH-0108</v>
      </c>
      <c r="B641" s="48" t="str">
        <f aca="false">COST!B641</f>
        <v>ASH</v>
      </c>
      <c r="C641" s="48" t="str">
        <f aca="false">COST!D641</f>
        <v>Paramedic Student Field Training</v>
      </c>
      <c r="D641" s="62" t="n">
        <f aca="false">COST!M641</f>
        <v>45991</v>
      </c>
      <c r="E641" s="48" t="str">
        <f aca="false">COST!P641</f>
        <v>Paramedic</v>
      </c>
      <c r="F641" s="63" t="n">
        <f aca="false">COST!R641</f>
        <v>66.75</v>
      </c>
      <c r="G641" s="48" t="str">
        <f aca="false">STACK!M641</f>
        <v/>
      </c>
      <c r="H641" s="1" t="str">
        <f aca="false">C641&amp;"|"&amp;IF(ISNUMBER(D641),TEXT(D641,"yyyy-mm-dd"),"no date")&amp;"|"&amp;E641&amp;"|"&amp;IF(ISNUMBER(F641),TEXT(F641,"0.00"),"blank")</f>
        <v>Paramedic Student Field Training|2025-11-30|Paramedic|66.75</v>
      </c>
      <c r="I641" s="1" t="n">
        <f aca="false">COUNTIF($H$5:$H$1624,H641)</f>
        <v>1</v>
      </c>
      <c r="J641" s="1" t="n">
        <f aca="false">COUNTIF($H$5:H641,H641)</f>
        <v>1</v>
      </c>
      <c r="K641" s="1" t="n">
        <f aca="false">COUNTIFS($H$5:$H$1624,H641,$B$5:$B$1624,"&lt;&gt;"&amp;B641)</f>
        <v>0</v>
      </c>
      <c r="L641" s="1" t="str">
        <f aca="false">IF(I641&gt;1,IF(K641&gt;0,"Cross-hospital match","Same-hospital match"),"")</f>
        <v/>
      </c>
      <c r="M641" s="52"/>
      <c r="N641" s="52"/>
      <c r="O641" s="1" t="n">
        <f aca="false">IF(M641="Exclude (duplicate)",0,1)</f>
        <v>1</v>
      </c>
      <c r="P641" s="1" t="str">
        <f aca="false">IF(AND(L641&lt;&gt;"",M641=""),"Needs decision","")</f>
        <v/>
      </c>
    </row>
    <row r="642" customFormat="false" ht="15" hidden="false" customHeight="false" outlineLevel="0" collapsed="false">
      <c r="A642" s="48" t="str">
        <f aca="false">COST!A642</f>
        <v>ASH-0109</v>
      </c>
      <c r="B642" s="48" t="str">
        <f aca="false">COST!B642</f>
        <v>ASH</v>
      </c>
      <c r="C642" s="48" t="str">
        <f aca="false">COST!D642</f>
        <v>Mental Health First Aid Training</v>
      </c>
      <c r="D642" s="62" t="n">
        <f aca="false">COST!M642</f>
        <v>45997</v>
      </c>
      <c r="E642" s="48" t="str">
        <f aca="false">COST!P642</f>
        <v>Health Educator</v>
      </c>
      <c r="F642" s="63" t="n">
        <f aca="false">COST!R642</f>
        <v>8</v>
      </c>
      <c r="G642" s="48" t="str">
        <f aca="false">STACK!M642</f>
        <v/>
      </c>
      <c r="H642" s="1" t="str">
        <f aca="false">C642&amp;"|"&amp;IF(ISNUMBER(D642),TEXT(D642,"yyyy-mm-dd"),"no date")&amp;"|"&amp;E642&amp;"|"&amp;IF(ISNUMBER(F642),TEXT(F642,"0.00"),"blank")</f>
        <v>Mental Health First Aid Training|2025-12-06|Health Educator|8.00</v>
      </c>
      <c r="I642" s="1" t="n">
        <f aca="false">COUNTIF($H$5:$H$1624,H642)</f>
        <v>1</v>
      </c>
      <c r="J642" s="1" t="n">
        <f aca="false">COUNTIF($H$5:H642,H642)</f>
        <v>1</v>
      </c>
      <c r="K642" s="1" t="n">
        <f aca="false">COUNTIFS($H$5:$H$1624,H642,$B$5:$B$1624,"&lt;&gt;"&amp;B642)</f>
        <v>0</v>
      </c>
      <c r="L642" s="1" t="str">
        <f aca="false">IF(I642&gt;1,IF(K642&gt;0,"Cross-hospital match","Same-hospital match"),"")</f>
        <v/>
      </c>
      <c r="M642" s="52"/>
      <c r="N642" s="52"/>
      <c r="O642" s="1" t="n">
        <f aca="false">IF(M642="Exclude (duplicate)",0,1)</f>
        <v>1</v>
      </c>
      <c r="P642" s="1" t="str">
        <f aca="false">IF(AND(L642&lt;&gt;"",M642=""),"Needs decision","")</f>
        <v/>
      </c>
    </row>
    <row r="643" customFormat="false" ht="15" hidden="false" customHeight="false" outlineLevel="0" collapsed="false">
      <c r="A643" s="48" t="str">
        <f aca="false">COST!A643</f>
        <v>ASH-0110</v>
      </c>
      <c r="B643" s="48" t="str">
        <f aca="false">COST!B643</f>
        <v>ASH</v>
      </c>
      <c r="C643" s="48" t="str">
        <f aca="false">COST!D643</f>
        <v>Mental Health First Aid Training</v>
      </c>
      <c r="D643" s="62" t="n">
        <f aca="false">COST!M643</f>
        <v>45997</v>
      </c>
      <c r="E643" s="48" t="str">
        <f aca="false">COST!P643</f>
        <v>Social Worker</v>
      </c>
      <c r="F643" s="63" t="n">
        <f aca="false">COST!R643</f>
        <v>8</v>
      </c>
      <c r="G643" s="48" t="str">
        <f aca="false">STACK!M643</f>
        <v/>
      </c>
      <c r="H643" s="1" t="str">
        <f aca="false">C643&amp;"|"&amp;IF(ISNUMBER(D643),TEXT(D643,"yyyy-mm-dd"),"no date")&amp;"|"&amp;E643&amp;"|"&amp;IF(ISNUMBER(F643),TEXT(F643,"0.00"),"blank")</f>
        <v>Mental Health First Aid Training|2025-12-06|Social Worker|8.00</v>
      </c>
      <c r="I643" s="1" t="n">
        <f aca="false">COUNTIF($H$5:$H$1624,H643)</f>
        <v>1</v>
      </c>
      <c r="J643" s="1" t="n">
        <f aca="false">COUNTIF($H$5:H643,H643)</f>
        <v>1</v>
      </c>
      <c r="K643" s="1" t="n">
        <f aca="false">COUNTIFS($H$5:$H$1624,H643,$B$5:$B$1624,"&lt;&gt;"&amp;B643)</f>
        <v>0</v>
      </c>
      <c r="L643" s="1" t="str">
        <f aca="false">IF(I643&gt;1,IF(K643&gt;0,"Cross-hospital match","Same-hospital match"),"")</f>
        <v/>
      </c>
      <c r="M643" s="52"/>
      <c r="N643" s="52"/>
      <c r="O643" s="1" t="n">
        <f aca="false">IF(M643="Exclude (duplicate)",0,1)</f>
        <v>1</v>
      </c>
      <c r="P643" s="1" t="str">
        <f aca="false">IF(AND(L643&lt;&gt;"",M643=""),"Needs decision","")</f>
        <v/>
      </c>
    </row>
    <row r="644" customFormat="false" ht="15" hidden="false" customHeight="false" outlineLevel="0" collapsed="false">
      <c r="A644" s="48" t="str">
        <f aca="false">COST!A644</f>
        <v>ASH-0111</v>
      </c>
      <c r="B644" s="48" t="str">
        <f aca="false">COST!B644</f>
        <v>ASH</v>
      </c>
      <c r="C644" s="48" t="str">
        <f aca="false">COST!D644</f>
        <v>Neighborhood Leadership Academy</v>
      </c>
      <c r="D644" s="62" t="n">
        <f aca="false">COST!M644</f>
        <v>45997</v>
      </c>
      <c r="E644" s="48" t="str">
        <f aca="false">COST!P644</f>
        <v>Health Educator</v>
      </c>
      <c r="F644" s="63" t="n">
        <f aca="false">COST!R644</f>
        <v>3</v>
      </c>
      <c r="G644" s="48" t="str">
        <f aca="false">STACK!M644</f>
        <v/>
      </c>
      <c r="H644" s="1" t="str">
        <f aca="false">C644&amp;"|"&amp;IF(ISNUMBER(D644),TEXT(D644,"yyyy-mm-dd"),"no date")&amp;"|"&amp;E644&amp;"|"&amp;IF(ISNUMBER(F644),TEXT(F644,"0.00"),"blank")</f>
        <v>Neighborhood Leadership Academy|2025-12-06|Health Educator|3.00</v>
      </c>
      <c r="I644" s="1" t="n">
        <f aca="false">COUNTIF($H$5:$H$1624,H644)</f>
        <v>1</v>
      </c>
      <c r="J644" s="1" t="n">
        <f aca="false">COUNTIF($H$5:H644,H644)</f>
        <v>1</v>
      </c>
      <c r="K644" s="1" t="n">
        <f aca="false">COUNTIFS($H$5:$H$1624,H644,$B$5:$B$1624,"&lt;&gt;"&amp;B644)</f>
        <v>0</v>
      </c>
      <c r="L644" s="1" t="str">
        <f aca="false">IF(I644&gt;1,IF(K644&gt;0,"Cross-hospital match","Same-hospital match"),"")</f>
        <v/>
      </c>
      <c r="M644" s="52"/>
      <c r="N644" s="52"/>
      <c r="O644" s="1" t="n">
        <f aca="false">IF(M644="Exclude (duplicate)",0,1)</f>
        <v>1</v>
      </c>
      <c r="P644" s="1" t="str">
        <f aca="false">IF(AND(L644&lt;&gt;"",M644=""),"Needs decision","")</f>
        <v/>
      </c>
    </row>
    <row r="645" customFormat="false" ht="15" hidden="false" customHeight="false" outlineLevel="0" collapsed="false">
      <c r="A645" s="48" t="str">
        <f aca="false">COST!A645</f>
        <v>ASH-0112</v>
      </c>
      <c r="B645" s="48" t="str">
        <f aca="false">COST!B645</f>
        <v>ASH</v>
      </c>
      <c r="C645" s="48" t="str">
        <f aca="false">COST!D645</f>
        <v>Neighborhood Leadership Academy</v>
      </c>
      <c r="D645" s="62" t="n">
        <f aca="false">COST!M645</f>
        <v>45997</v>
      </c>
      <c r="E645" s="48" t="str">
        <f aca="false">COST!P645</f>
        <v>Program Coordinator</v>
      </c>
      <c r="F645" s="63" t="n">
        <f aca="false">COST!R645</f>
        <v>5</v>
      </c>
      <c r="G645" s="48" t="str">
        <f aca="false">STACK!M645</f>
        <v/>
      </c>
      <c r="H645" s="1" t="str">
        <f aca="false">C645&amp;"|"&amp;IF(ISNUMBER(D645),TEXT(D645,"yyyy-mm-dd"),"no date")&amp;"|"&amp;E645&amp;"|"&amp;IF(ISNUMBER(F645),TEXT(F645,"0.00"),"blank")</f>
        <v>Neighborhood Leadership Academy|2025-12-06|Program Coordinator|5.00</v>
      </c>
      <c r="I645" s="1" t="n">
        <f aca="false">COUNTIF($H$5:$H$1624,H645)</f>
        <v>1</v>
      </c>
      <c r="J645" s="1" t="n">
        <f aca="false">COUNTIF($H$5:H645,H645)</f>
        <v>1</v>
      </c>
      <c r="K645" s="1" t="n">
        <f aca="false">COUNTIFS($H$5:$H$1624,H645,$B$5:$B$1624,"&lt;&gt;"&amp;B645)</f>
        <v>0</v>
      </c>
      <c r="L645" s="1" t="str">
        <f aca="false">IF(I645&gt;1,IF(K645&gt;0,"Cross-hospital match","Same-hospital match"),"")</f>
        <v/>
      </c>
      <c r="M645" s="52"/>
      <c r="N645" s="52"/>
      <c r="O645" s="1" t="n">
        <f aca="false">IF(M645="Exclude (duplicate)",0,1)</f>
        <v>1</v>
      </c>
      <c r="P645" s="1" t="str">
        <f aca="false">IF(AND(L645&lt;&gt;"",M645=""),"Needs decision","")</f>
        <v/>
      </c>
    </row>
    <row r="646" customFormat="false" ht="15" hidden="false" customHeight="false" outlineLevel="0" collapsed="false">
      <c r="A646" s="48" t="str">
        <f aca="false">COST!A646</f>
        <v>ASH-0113</v>
      </c>
      <c r="B646" s="48" t="str">
        <f aca="false">COST!B646</f>
        <v>ASH</v>
      </c>
      <c r="C646" s="48" t="str">
        <f aca="false">COST!D646</f>
        <v>Fall Prevention Classes for Older Adults</v>
      </c>
      <c r="D646" s="62" t="n">
        <f aca="false">COST!M646</f>
        <v>46000</v>
      </c>
      <c r="E646" s="48" t="str">
        <f aca="false">COST!P646</f>
        <v>Licensed Therapist</v>
      </c>
      <c r="F646" s="63" t="n">
        <f aca="false">COST!R646</f>
        <v>2</v>
      </c>
      <c r="G646" s="48" t="str">
        <f aca="false">STACK!M646</f>
        <v/>
      </c>
      <c r="H646" s="1" t="str">
        <f aca="false">C646&amp;"|"&amp;IF(ISNUMBER(D646),TEXT(D646,"yyyy-mm-dd"),"no date")&amp;"|"&amp;E646&amp;"|"&amp;IF(ISNUMBER(F646),TEXT(F646,"0.00"),"blank")</f>
        <v>Fall Prevention Classes for Older Adults|2025-12-09|Licensed Therapist|2.00</v>
      </c>
      <c r="I646" s="1" t="n">
        <f aca="false">COUNTIF($H$5:$H$1624,H646)</f>
        <v>1</v>
      </c>
      <c r="J646" s="1" t="n">
        <f aca="false">COUNTIF($H$5:H646,H646)</f>
        <v>1</v>
      </c>
      <c r="K646" s="1" t="n">
        <f aca="false">COUNTIFS($H$5:$H$1624,H646,$B$5:$B$1624,"&lt;&gt;"&amp;B646)</f>
        <v>0</v>
      </c>
      <c r="L646" s="1" t="str">
        <f aca="false">IF(I646&gt;1,IF(K646&gt;0,"Cross-hospital match","Same-hospital match"),"")</f>
        <v/>
      </c>
      <c r="M646" s="52"/>
      <c r="N646" s="52"/>
      <c r="O646" s="1" t="n">
        <f aca="false">IF(M646="Exclude (duplicate)",0,1)</f>
        <v>1</v>
      </c>
      <c r="P646" s="1" t="str">
        <f aca="false">IF(AND(L646&lt;&gt;"",M646=""),"Needs decision","")</f>
        <v/>
      </c>
    </row>
    <row r="647" customFormat="false" ht="15" hidden="false" customHeight="false" outlineLevel="0" collapsed="false">
      <c r="A647" s="48" t="str">
        <f aca="false">COST!A647</f>
        <v>ASH-0114</v>
      </c>
      <c r="B647" s="48" t="str">
        <f aca="false">COST!B647</f>
        <v>ASH</v>
      </c>
      <c r="C647" s="48" t="str">
        <f aca="false">COST!D647</f>
        <v>Regional Health Coalition</v>
      </c>
      <c r="D647" s="62" t="n">
        <f aca="false">COST!M647</f>
        <v>46003</v>
      </c>
      <c r="E647" s="48" t="str">
        <f aca="false">COST!P647</f>
        <v>Community Benefit Manager</v>
      </c>
      <c r="F647" s="63" t="n">
        <f aca="false">COST!R647</f>
        <v>3</v>
      </c>
      <c r="G647" s="48" t="str">
        <f aca="false">STACK!M647</f>
        <v/>
      </c>
      <c r="H647" s="1" t="str">
        <f aca="false">C647&amp;"|"&amp;IF(ISNUMBER(D647),TEXT(D647,"yyyy-mm-dd"),"no date")&amp;"|"&amp;E647&amp;"|"&amp;IF(ISNUMBER(F647),TEXT(F647,"0.00"),"blank")</f>
        <v>Regional Health Coalition|2025-12-12|Community Benefit Manager|3.00</v>
      </c>
      <c r="I647" s="1" t="n">
        <f aca="false">COUNTIF($H$5:$H$1624,H647)</f>
        <v>1</v>
      </c>
      <c r="J647" s="1" t="n">
        <f aca="false">COUNTIF($H$5:H647,H647)</f>
        <v>1</v>
      </c>
      <c r="K647" s="1" t="n">
        <f aca="false">COUNTIFS($H$5:$H$1624,H647,$B$5:$B$1624,"&lt;&gt;"&amp;B647)</f>
        <v>0</v>
      </c>
      <c r="L647" s="1" t="str">
        <f aca="false">IF(I647&gt;1,IF(K647&gt;0,"Cross-hospital match","Same-hospital match"),"")</f>
        <v/>
      </c>
      <c r="M647" s="52"/>
      <c r="N647" s="52"/>
      <c r="O647" s="1" t="n">
        <f aca="false">IF(M647="Exclude (duplicate)",0,1)</f>
        <v>1</v>
      </c>
      <c r="P647" s="1" t="str">
        <f aca="false">IF(AND(L647&lt;&gt;"",M647=""),"Needs decision","")</f>
        <v/>
      </c>
    </row>
    <row r="648" customFormat="false" ht="15" hidden="false" customHeight="false" outlineLevel="0" collapsed="false">
      <c r="A648" s="48" t="str">
        <f aca="false">COST!A648</f>
        <v>ASH-0115</v>
      </c>
      <c r="B648" s="48" t="str">
        <f aca="false">COST!B648</f>
        <v>ASH</v>
      </c>
      <c r="C648" s="48" t="str">
        <f aca="false">COST!D648</f>
        <v>Regional Health Coalition</v>
      </c>
      <c r="D648" s="62" t="n">
        <f aca="false">COST!M648</f>
        <v>46003</v>
      </c>
      <c r="E648" s="48" t="str">
        <f aca="false">COST!P648</f>
        <v>Director</v>
      </c>
      <c r="F648" s="63" t="n">
        <f aca="false">COST!R648</f>
        <v>2.75</v>
      </c>
      <c r="G648" s="48" t="str">
        <f aca="false">STACK!M648</f>
        <v/>
      </c>
      <c r="H648" s="1" t="str">
        <f aca="false">C648&amp;"|"&amp;IF(ISNUMBER(D648),TEXT(D648,"yyyy-mm-dd"),"no date")&amp;"|"&amp;E648&amp;"|"&amp;IF(ISNUMBER(F648),TEXT(F648,"0.00"),"blank")</f>
        <v>Regional Health Coalition|2025-12-12|Director|2.75</v>
      </c>
      <c r="I648" s="1" t="n">
        <f aca="false">COUNTIF($H$5:$H$1624,H648)</f>
        <v>1</v>
      </c>
      <c r="J648" s="1" t="n">
        <f aca="false">COUNTIF($H$5:H648,H648)</f>
        <v>1</v>
      </c>
      <c r="K648" s="1" t="n">
        <f aca="false">COUNTIFS($H$5:$H$1624,H648,$B$5:$B$1624,"&lt;&gt;"&amp;B648)</f>
        <v>0</v>
      </c>
      <c r="L648" s="1" t="str">
        <f aca="false">IF(I648&gt;1,IF(K648&gt;0,"Cross-hospital match","Same-hospital match"),"")</f>
        <v/>
      </c>
      <c r="M648" s="52"/>
      <c r="N648" s="52"/>
      <c r="O648" s="1" t="n">
        <f aca="false">IF(M648="Exclude (duplicate)",0,1)</f>
        <v>1</v>
      </c>
      <c r="P648" s="1" t="str">
        <f aca="false">IF(AND(L648&lt;&gt;"",M648=""),"Needs decision","")</f>
        <v/>
      </c>
    </row>
    <row r="649" customFormat="false" ht="15" hidden="false" customHeight="false" outlineLevel="0" collapsed="false">
      <c r="A649" s="48" t="str">
        <f aca="false">COST!A649</f>
        <v>ASH-0116</v>
      </c>
      <c r="B649" s="48" t="str">
        <f aca="false">COST!B649</f>
        <v>ASH</v>
      </c>
      <c r="C649" s="48" t="str">
        <f aca="false">COST!D649</f>
        <v>Diabetes Prevention Classes</v>
      </c>
      <c r="D649" s="62" t="n">
        <f aca="false">COST!M649</f>
        <v>46007</v>
      </c>
      <c r="E649" s="48" t="str">
        <f aca="false">COST!P649</f>
        <v>Health Educator</v>
      </c>
      <c r="F649" s="63" t="n">
        <f aca="false">COST!R649</f>
        <v>2</v>
      </c>
      <c r="G649" s="48" t="str">
        <f aca="false">STACK!M649</f>
        <v/>
      </c>
      <c r="H649" s="1" t="str">
        <f aca="false">C649&amp;"|"&amp;IF(ISNUMBER(D649),TEXT(D649,"yyyy-mm-dd"),"no date")&amp;"|"&amp;E649&amp;"|"&amp;IF(ISNUMBER(F649),TEXT(F649,"0.00"),"blank")</f>
        <v>Diabetes Prevention Classes|2025-12-16|Health Educator|2.00</v>
      </c>
      <c r="I649" s="1" t="n">
        <f aca="false">COUNTIF($H$5:$H$1624,H649)</f>
        <v>1</v>
      </c>
      <c r="J649" s="1" t="n">
        <f aca="false">COUNTIF($H$5:H649,H649)</f>
        <v>1</v>
      </c>
      <c r="K649" s="1" t="n">
        <f aca="false">COUNTIFS($H$5:$H$1624,H649,$B$5:$B$1624,"&lt;&gt;"&amp;B649)</f>
        <v>0</v>
      </c>
      <c r="L649" s="1" t="str">
        <f aca="false">IF(I649&gt;1,IF(K649&gt;0,"Cross-hospital match","Same-hospital match"),"")</f>
        <v/>
      </c>
      <c r="M649" s="52"/>
      <c r="N649" s="52"/>
      <c r="O649" s="1" t="n">
        <f aca="false">IF(M649="Exclude (duplicate)",0,1)</f>
        <v>1</v>
      </c>
      <c r="P649" s="1" t="str">
        <f aca="false">IF(AND(L649&lt;&gt;"",M649=""),"Needs decision","")</f>
        <v/>
      </c>
    </row>
    <row r="650" customFormat="false" ht="15" hidden="false" customHeight="false" outlineLevel="0" collapsed="false">
      <c r="A650" s="48" t="str">
        <f aca="false">COST!A650</f>
        <v>ASH-0117</v>
      </c>
      <c r="B650" s="48" t="str">
        <f aca="false">COST!B650</f>
        <v>ASH</v>
      </c>
      <c r="C650" s="48" t="str">
        <f aca="false">COST!D650</f>
        <v>Diabetes Prevention Classes</v>
      </c>
      <c r="D650" s="62" t="n">
        <f aca="false">COST!M650</f>
        <v>46007</v>
      </c>
      <c r="E650" s="48" t="str">
        <f aca="false">COST!P650</f>
        <v>Registered Dietitian</v>
      </c>
      <c r="F650" s="63" t="n">
        <f aca="false">COST!R650</f>
        <v>2</v>
      </c>
      <c r="G650" s="48" t="str">
        <f aca="false">STACK!M650</f>
        <v/>
      </c>
      <c r="H650" s="1" t="str">
        <f aca="false">C650&amp;"|"&amp;IF(ISNUMBER(D650),TEXT(D650,"yyyy-mm-dd"),"no date")&amp;"|"&amp;E650&amp;"|"&amp;IF(ISNUMBER(F650),TEXT(F650,"0.00"),"blank")</f>
        <v>Diabetes Prevention Classes|2025-12-16|Registered Dietitian|2.00</v>
      </c>
      <c r="I650" s="1" t="n">
        <f aca="false">COUNTIF($H$5:$H$1624,H650)</f>
        <v>1</v>
      </c>
      <c r="J650" s="1" t="n">
        <f aca="false">COUNTIF($H$5:H650,H650)</f>
        <v>1</v>
      </c>
      <c r="K650" s="1" t="n">
        <f aca="false">COUNTIFS($H$5:$H$1624,H650,$B$5:$B$1624,"&lt;&gt;"&amp;B650)</f>
        <v>0</v>
      </c>
      <c r="L650" s="1" t="str">
        <f aca="false">IF(I650&gt;1,IF(K650&gt;0,"Cross-hospital match","Same-hospital match"),"")</f>
        <v/>
      </c>
      <c r="M650" s="52"/>
      <c r="N650" s="52"/>
      <c r="O650" s="1" t="n">
        <f aca="false">IF(M650="Exclude (duplicate)",0,1)</f>
        <v>1</v>
      </c>
      <c r="P650" s="1" t="str">
        <f aca="false">IF(AND(L650&lt;&gt;"",M650=""),"Needs decision","")</f>
        <v/>
      </c>
    </row>
    <row r="651" customFormat="false" ht="15" hidden="false" customHeight="false" outlineLevel="0" collapsed="false">
      <c r="A651" s="48" t="str">
        <f aca="false">COST!A651</f>
        <v>ASH-0118</v>
      </c>
      <c r="B651" s="48" t="str">
        <f aca="false">COST!B651</f>
        <v>ASH</v>
      </c>
      <c r="C651" s="48" t="str">
        <f aca="false">COST!D651</f>
        <v>Community Blood Pressure Checks</v>
      </c>
      <c r="D651" s="62" t="n">
        <f aca="false">COST!M651</f>
        <v>46009</v>
      </c>
      <c r="E651" s="48" t="str">
        <f aca="false">COST!P651</f>
        <v>Registered Nurse</v>
      </c>
      <c r="F651" s="63" t="n">
        <f aca="false">COST!R651</f>
        <v>3</v>
      </c>
      <c r="G651" s="48" t="str">
        <f aca="false">STACK!M651</f>
        <v/>
      </c>
      <c r="H651" s="1" t="str">
        <f aca="false">C651&amp;"|"&amp;IF(ISNUMBER(D651),TEXT(D651,"yyyy-mm-dd"),"no date")&amp;"|"&amp;E651&amp;"|"&amp;IF(ISNUMBER(F651),TEXT(F651,"0.00"),"blank")</f>
        <v>Community Blood Pressure Checks|2025-12-18|Registered Nurse|3.00</v>
      </c>
      <c r="I651" s="1" t="n">
        <f aca="false">COUNTIF($H$5:$H$1624,H651)</f>
        <v>1</v>
      </c>
      <c r="J651" s="1" t="n">
        <f aca="false">COUNTIF($H$5:H651,H651)</f>
        <v>1</v>
      </c>
      <c r="K651" s="1" t="n">
        <f aca="false">COUNTIFS($H$5:$H$1624,H651,$B$5:$B$1624,"&lt;&gt;"&amp;B651)</f>
        <v>0</v>
      </c>
      <c r="L651" s="1" t="str">
        <f aca="false">IF(I651&gt;1,IF(K651&gt;0,"Cross-hospital match","Same-hospital match"),"")</f>
        <v/>
      </c>
      <c r="M651" s="52"/>
      <c r="N651" s="52"/>
      <c r="O651" s="1" t="n">
        <f aca="false">IF(M651="Exclude (duplicate)",0,1)</f>
        <v>1</v>
      </c>
      <c r="P651" s="1" t="str">
        <f aca="false">IF(AND(L651&lt;&gt;"",M651=""),"Needs decision","")</f>
        <v/>
      </c>
    </row>
    <row r="652" customFormat="false" ht="15" hidden="false" customHeight="false" outlineLevel="0" collapsed="false">
      <c r="A652" s="48" t="str">
        <f aca="false">COST!A652</f>
        <v>ASH-0119</v>
      </c>
      <c r="B652" s="48" t="str">
        <f aca="false">COST!B652</f>
        <v>ASH</v>
      </c>
      <c r="C652" s="48" t="str">
        <f aca="false">COST!D652</f>
        <v>Regional Food Bank Contribution</v>
      </c>
      <c r="D652" s="62" t="n">
        <f aca="false">COST!M652</f>
        <v>46009</v>
      </c>
      <c r="E652" s="48" t="str">
        <f aca="false">COST!P652</f>
        <v>No staff time</v>
      </c>
      <c r="F652" s="63" t="str">
        <f aca="false">COST!R652</f>
        <v/>
      </c>
      <c r="G652" s="48" t="str">
        <f aca="false">STACK!M652</f>
        <v/>
      </c>
      <c r="H652" s="1" t="str">
        <f aca="false">C652&amp;"|"&amp;IF(ISNUMBER(D652),TEXT(D652,"yyyy-mm-dd"),"no date")&amp;"|"&amp;E652&amp;"|"&amp;IF(ISNUMBER(F652),TEXT(F652,"0.00"),"blank")</f>
        <v>Regional Food Bank Contribution|2025-12-18|No staff time|blank</v>
      </c>
      <c r="I652" s="1" t="n">
        <f aca="false">COUNTIF($H$5:$H$1624,H652)</f>
        <v>1</v>
      </c>
      <c r="J652" s="1" t="n">
        <f aca="false">COUNTIF($H$5:H652,H652)</f>
        <v>1</v>
      </c>
      <c r="K652" s="1" t="n">
        <f aca="false">COUNTIFS($H$5:$H$1624,H652,$B$5:$B$1624,"&lt;&gt;"&amp;B652)</f>
        <v>0</v>
      </c>
      <c r="L652" s="1" t="str">
        <f aca="false">IF(I652&gt;1,IF(K652&gt;0,"Cross-hospital match","Same-hospital match"),"")</f>
        <v/>
      </c>
      <c r="M652" s="52"/>
      <c r="N652" s="52"/>
      <c r="O652" s="1" t="n">
        <f aca="false">IF(M652="Exclude (duplicate)",0,1)</f>
        <v>1</v>
      </c>
      <c r="P652" s="1" t="str">
        <f aca="false">IF(AND(L652&lt;&gt;"",M652=""),"Needs decision","")</f>
        <v/>
      </c>
    </row>
    <row r="653" customFormat="false" ht="15" hidden="false" customHeight="false" outlineLevel="0" collapsed="false">
      <c r="A653" s="48" t="str">
        <f aca="false">COST!A653</f>
        <v>ASH-0120</v>
      </c>
      <c r="B653" s="48" t="str">
        <f aca="false">COST!B653</f>
        <v>ASH</v>
      </c>
      <c r="C653" s="48" t="str">
        <f aca="false">COST!D653</f>
        <v>Neighborhood Leadership Academy</v>
      </c>
      <c r="D653" s="62" t="n">
        <f aca="false">COST!M653</f>
        <v>46011</v>
      </c>
      <c r="E653" s="48" t="str">
        <f aca="false">COST!P653</f>
        <v>Health Educator</v>
      </c>
      <c r="F653" s="63" t="n">
        <f aca="false">COST!R653</f>
        <v>3.25</v>
      </c>
      <c r="G653" s="48" t="str">
        <f aca="false">STACK!M653</f>
        <v/>
      </c>
      <c r="H653" s="1" t="str">
        <f aca="false">C653&amp;"|"&amp;IF(ISNUMBER(D653),TEXT(D653,"yyyy-mm-dd"),"no date")&amp;"|"&amp;E653&amp;"|"&amp;IF(ISNUMBER(F653),TEXT(F653,"0.00"),"blank")</f>
        <v>Neighborhood Leadership Academy|2025-12-20|Health Educator|3.25</v>
      </c>
      <c r="I653" s="1" t="n">
        <f aca="false">COUNTIF($H$5:$H$1624,H653)</f>
        <v>1</v>
      </c>
      <c r="J653" s="1" t="n">
        <f aca="false">COUNTIF($H$5:H653,H653)</f>
        <v>1</v>
      </c>
      <c r="K653" s="1" t="n">
        <f aca="false">COUNTIFS($H$5:$H$1624,H653,$B$5:$B$1624,"&lt;&gt;"&amp;B653)</f>
        <v>0</v>
      </c>
      <c r="L653" s="1" t="str">
        <f aca="false">IF(I653&gt;1,IF(K653&gt;0,"Cross-hospital match","Same-hospital match"),"")</f>
        <v/>
      </c>
      <c r="M653" s="52"/>
      <c r="N653" s="52"/>
      <c r="O653" s="1" t="n">
        <f aca="false">IF(M653="Exclude (duplicate)",0,1)</f>
        <v>1</v>
      </c>
      <c r="P653" s="1" t="str">
        <f aca="false">IF(AND(L653&lt;&gt;"",M653=""),"Needs decision","")</f>
        <v/>
      </c>
    </row>
    <row r="654" customFormat="false" ht="15" hidden="false" customHeight="false" outlineLevel="0" collapsed="false">
      <c r="A654" s="48" t="str">
        <f aca="false">COST!A654</f>
        <v>ASH-0121</v>
      </c>
      <c r="B654" s="48" t="str">
        <f aca="false">COST!B654</f>
        <v>ASH</v>
      </c>
      <c r="C654" s="48" t="str">
        <f aca="false">COST!D654</f>
        <v>Neighborhood Leadership Academy</v>
      </c>
      <c r="D654" s="62" t="n">
        <f aca="false">COST!M654</f>
        <v>46011</v>
      </c>
      <c r="E654" s="48" t="str">
        <f aca="false">COST!P654</f>
        <v>Program Coordinator</v>
      </c>
      <c r="F654" s="63" t="n">
        <f aca="false">COST!R654</f>
        <v>4.5</v>
      </c>
      <c r="G654" s="48" t="str">
        <f aca="false">STACK!M654</f>
        <v/>
      </c>
      <c r="H654" s="1" t="str">
        <f aca="false">C654&amp;"|"&amp;IF(ISNUMBER(D654),TEXT(D654,"yyyy-mm-dd"),"no date")&amp;"|"&amp;E654&amp;"|"&amp;IF(ISNUMBER(F654),TEXT(F654,"0.00"),"blank")</f>
        <v>Neighborhood Leadership Academy|2025-12-20|Program Coordinator|4.50</v>
      </c>
      <c r="I654" s="1" t="n">
        <f aca="false">COUNTIF($H$5:$H$1624,H654)</f>
        <v>1</v>
      </c>
      <c r="J654" s="1" t="n">
        <f aca="false">COUNTIF($H$5:H654,H654)</f>
        <v>1</v>
      </c>
      <c r="K654" s="1" t="n">
        <f aca="false">COUNTIFS($H$5:$H$1624,H654,$B$5:$B$1624,"&lt;&gt;"&amp;B654)</f>
        <v>0</v>
      </c>
      <c r="L654" s="1" t="str">
        <f aca="false">IF(I654&gt;1,IF(K654&gt;0,"Cross-hospital match","Same-hospital match"),"")</f>
        <v/>
      </c>
      <c r="M654" s="52"/>
      <c r="N654" s="52"/>
      <c r="O654" s="1" t="n">
        <f aca="false">IF(M654="Exclude (duplicate)",0,1)</f>
        <v>1</v>
      </c>
      <c r="P654" s="1" t="str">
        <f aca="false">IF(AND(L654&lt;&gt;"",M654=""),"Needs decision","")</f>
        <v/>
      </c>
    </row>
    <row r="655" customFormat="false" ht="15" hidden="false" customHeight="false" outlineLevel="0" collapsed="false">
      <c r="A655" s="48" t="str">
        <f aca="false">COST!A655</f>
        <v>ASH-0122</v>
      </c>
      <c r="B655" s="48" t="str">
        <f aca="false">COST!B655</f>
        <v>ASH</v>
      </c>
      <c r="C655" s="48" t="str">
        <f aca="false">COST!D655</f>
        <v>Mobile Health Screening Unit</v>
      </c>
      <c r="D655" s="62" t="n">
        <f aca="false">COST!M655</f>
        <v>46022</v>
      </c>
      <c r="E655" s="48" t="str">
        <f aca="false">COST!P655</f>
        <v>Community Health Worker</v>
      </c>
      <c r="F655" s="63" t="n">
        <f aca="false">COST!R655</f>
        <v>64.25</v>
      </c>
      <c r="G655" s="48" t="str">
        <f aca="false">STACK!M655</f>
        <v/>
      </c>
      <c r="H655" s="1" t="str">
        <f aca="false">C655&amp;"|"&amp;IF(ISNUMBER(D655),TEXT(D655,"yyyy-mm-dd"),"no date")&amp;"|"&amp;E655&amp;"|"&amp;IF(ISNUMBER(F655),TEXT(F655,"0.00"),"blank")</f>
        <v>Mobile Health Screening Unit|2025-12-31|Community Health Worker|64.25</v>
      </c>
      <c r="I655" s="1" t="n">
        <f aca="false">COUNTIF($H$5:$H$1624,H655)</f>
        <v>1</v>
      </c>
      <c r="J655" s="1" t="n">
        <f aca="false">COUNTIF($H$5:H655,H655)</f>
        <v>1</v>
      </c>
      <c r="K655" s="1" t="n">
        <f aca="false">COUNTIFS($H$5:$H$1624,H655,$B$5:$B$1624,"&lt;&gt;"&amp;B655)</f>
        <v>0</v>
      </c>
      <c r="L655" s="1" t="str">
        <f aca="false">IF(I655&gt;1,IF(K655&gt;0,"Cross-hospital match","Same-hospital match"),"")</f>
        <v/>
      </c>
      <c r="M655" s="52"/>
      <c r="N655" s="52"/>
      <c r="O655" s="1" t="n">
        <f aca="false">IF(M655="Exclude (duplicate)",0,1)</f>
        <v>1</v>
      </c>
      <c r="P655" s="1" t="str">
        <f aca="false">IF(AND(L655&lt;&gt;"",M655=""),"Needs decision","")</f>
        <v/>
      </c>
    </row>
    <row r="656" customFormat="false" ht="15" hidden="false" customHeight="false" outlineLevel="0" collapsed="false">
      <c r="A656" s="48" t="str">
        <f aca="false">COST!A656</f>
        <v>ASH-0123</v>
      </c>
      <c r="B656" s="48" t="str">
        <f aca="false">COST!B656</f>
        <v>ASH</v>
      </c>
      <c r="C656" s="48" t="str">
        <f aca="false">COST!D656</f>
        <v>Mobile Health Screening Unit</v>
      </c>
      <c r="D656" s="62" t="n">
        <f aca="false">COST!M656</f>
        <v>46022</v>
      </c>
      <c r="E656" s="48" t="str">
        <f aca="false">COST!P656</f>
        <v>Medical Assistant</v>
      </c>
      <c r="F656" s="63" t="n">
        <f aca="false">COST!R656</f>
        <v>89.25</v>
      </c>
      <c r="G656" s="48" t="str">
        <f aca="false">STACK!M656</f>
        <v/>
      </c>
      <c r="H656" s="1" t="str">
        <f aca="false">C656&amp;"|"&amp;IF(ISNUMBER(D656),TEXT(D656,"yyyy-mm-dd"),"no date")&amp;"|"&amp;E656&amp;"|"&amp;IF(ISNUMBER(F656),TEXT(F656,"0.00"),"blank")</f>
        <v>Mobile Health Screening Unit|2025-12-31|Medical Assistant|89.25</v>
      </c>
      <c r="I656" s="1" t="n">
        <f aca="false">COUNTIF($H$5:$H$1624,H656)</f>
        <v>1</v>
      </c>
      <c r="J656" s="1" t="n">
        <f aca="false">COUNTIF($H$5:H656,H656)</f>
        <v>1</v>
      </c>
      <c r="K656" s="1" t="n">
        <f aca="false">COUNTIFS($H$5:$H$1624,H656,$B$5:$B$1624,"&lt;&gt;"&amp;B656)</f>
        <v>0</v>
      </c>
      <c r="L656" s="1" t="str">
        <f aca="false">IF(I656&gt;1,IF(K656&gt;0,"Cross-hospital match","Same-hospital match"),"")</f>
        <v/>
      </c>
      <c r="M656" s="52"/>
      <c r="N656" s="52"/>
      <c r="O656" s="1" t="n">
        <f aca="false">IF(M656="Exclude (duplicate)",0,1)</f>
        <v>1</v>
      </c>
      <c r="P656" s="1" t="str">
        <f aca="false">IF(AND(L656&lt;&gt;"",M656=""),"Needs decision","")</f>
        <v/>
      </c>
    </row>
    <row r="657" customFormat="false" ht="15" hidden="false" customHeight="false" outlineLevel="0" collapsed="false">
      <c r="A657" s="48" t="str">
        <f aca="false">COST!A657</f>
        <v>ASH-0124</v>
      </c>
      <c r="B657" s="48" t="str">
        <f aca="false">COST!B657</f>
        <v>ASH</v>
      </c>
      <c r="C657" s="48" t="str">
        <f aca="false">COST!D657</f>
        <v>Mobile Health Screening Unit</v>
      </c>
      <c r="D657" s="62" t="n">
        <f aca="false">COST!M657</f>
        <v>46022</v>
      </c>
      <c r="E657" s="48" t="str">
        <f aca="false">COST!P657</f>
        <v>Registered Nurse</v>
      </c>
      <c r="F657" s="63" t="n">
        <f aca="false">COST!R657</f>
        <v>69</v>
      </c>
      <c r="G657" s="48" t="str">
        <f aca="false">STACK!M657</f>
        <v/>
      </c>
      <c r="H657" s="1" t="str">
        <f aca="false">C657&amp;"|"&amp;IF(ISNUMBER(D657),TEXT(D657,"yyyy-mm-dd"),"no date")&amp;"|"&amp;E657&amp;"|"&amp;IF(ISNUMBER(F657),TEXT(F657,"0.00"),"blank")</f>
        <v>Mobile Health Screening Unit|2025-12-31|Registered Nurse|69.00</v>
      </c>
      <c r="I657" s="1" t="n">
        <f aca="false">COUNTIF($H$5:$H$1624,H657)</f>
        <v>1</v>
      </c>
      <c r="J657" s="1" t="n">
        <f aca="false">COUNTIF($H$5:H657,H657)</f>
        <v>1</v>
      </c>
      <c r="K657" s="1" t="n">
        <f aca="false">COUNTIFS($H$5:$H$1624,H657,$B$5:$B$1624,"&lt;&gt;"&amp;B657)</f>
        <v>0</v>
      </c>
      <c r="L657" s="1" t="str">
        <f aca="false">IF(I657&gt;1,IF(K657&gt;0,"Cross-hospital match","Same-hospital match"),"")</f>
        <v/>
      </c>
      <c r="M657" s="52"/>
      <c r="N657" s="52"/>
      <c r="O657" s="1" t="n">
        <f aca="false">IF(M657="Exclude (duplicate)",0,1)</f>
        <v>1</v>
      </c>
      <c r="P657" s="1" t="str">
        <f aca="false">IF(AND(L657&lt;&gt;"",M657=""),"Needs decision","")</f>
        <v/>
      </c>
    </row>
    <row r="658" customFormat="false" ht="15" hidden="false" customHeight="false" outlineLevel="0" collapsed="false">
      <c r="A658" s="48" t="str">
        <f aca="false">COST!A658</f>
        <v>ASH-0125</v>
      </c>
      <c r="B658" s="48" t="str">
        <f aca="false">COST!B658</f>
        <v>ASH</v>
      </c>
      <c r="C658" s="48" t="str">
        <f aca="false">COST!D658</f>
        <v>Community Health Worker Outreach</v>
      </c>
      <c r="D658" s="62" t="n">
        <f aca="false">COST!M658</f>
        <v>46022</v>
      </c>
      <c r="E658" s="48" t="str">
        <f aca="false">COST!P658</f>
        <v>Community Health Worker</v>
      </c>
      <c r="F658" s="63" t="n">
        <f aca="false">COST!R658</f>
        <v>306</v>
      </c>
      <c r="G658" s="48" t="str">
        <f aca="false">STACK!M658</f>
        <v/>
      </c>
      <c r="H658" s="1" t="str">
        <f aca="false">C658&amp;"|"&amp;IF(ISNUMBER(D658),TEXT(D658,"yyyy-mm-dd"),"no date")&amp;"|"&amp;E658&amp;"|"&amp;IF(ISNUMBER(F658),TEXT(F658,"0.00"),"blank")</f>
        <v>Community Health Worker Outreach|2025-12-31|Community Health Worker|306.00</v>
      </c>
      <c r="I658" s="1" t="n">
        <f aca="false">COUNTIF($H$5:$H$1624,H658)</f>
        <v>1</v>
      </c>
      <c r="J658" s="1" t="n">
        <f aca="false">COUNTIF($H$5:H658,H658)</f>
        <v>1</v>
      </c>
      <c r="K658" s="1" t="n">
        <f aca="false">COUNTIFS($H$5:$H$1624,H658,$B$5:$B$1624,"&lt;&gt;"&amp;B658)</f>
        <v>0</v>
      </c>
      <c r="L658" s="1" t="str">
        <f aca="false">IF(I658&gt;1,IF(K658&gt;0,"Cross-hospital match","Same-hospital match"),"")</f>
        <v/>
      </c>
      <c r="M658" s="52"/>
      <c r="N658" s="52"/>
      <c r="O658" s="1" t="n">
        <f aca="false">IF(M658="Exclude (duplicate)",0,1)</f>
        <v>1</v>
      </c>
      <c r="P658" s="1" t="str">
        <f aca="false">IF(AND(L658&lt;&gt;"",M658=""),"Needs decision","")</f>
        <v/>
      </c>
    </row>
    <row r="659" customFormat="false" ht="15" hidden="false" customHeight="false" outlineLevel="0" collapsed="false">
      <c r="A659" s="48" t="str">
        <f aca="false">COST!A659</f>
        <v>ASH-0126</v>
      </c>
      <c r="B659" s="48" t="str">
        <f aca="false">COST!B659</f>
        <v>ASH</v>
      </c>
      <c r="C659" s="48" t="str">
        <f aca="false">COST!D659</f>
        <v>Community Health Worker Outreach</v>
      </c>
      <c r="D659" s="62" t="n">
        <f aca="false">COST!M659</f>
        <v>46022</v>
      </c>
      <c r="E659" s="48" t="str">
        <f aca="false">COST!P659</f>
        <v>Patient Navigator</v>
      </c>
      <c r="F659" s="63" t="n">
        <f aca="false">COST!R659</f>
        <v>137</v>
      </c>
      <c r="G659" s="48" t="str">
        <f aca="false">STACK!M659</f>
        <v/>
      </c>
      <c r="H659" s="1" t="str">
        <f aca="false">C659&amp;"|"&amp;IF(ISNUMBER(D659),TEXT(D659,"yyyy-mm-dd"),"no date")&amp;"|"&amp;E659&amp;"|"&amp;IF(ISNUMBER(F659),TEXT(F659,"0.00"),"blank")</f>
        <v>Community Health Worker Outreach|2025-12-31|Patient Navigator|137.00</v>
      </c>
      <c r="I659" s="1" t="n">
        <f aca="false">COUNTIF($H$5:$H$1624,H659)</f>
        <v>1</v>
      </c>
      <c r="J659" s="1" t="n">
        <f aca="false">COUNTIF($H$5:H659,H659)</f>
        <v>1</v>
      </c>
      <c r="K659" s="1" t="n">
        <f aca="false">COUNTIFS($H$5:$H$1624,H659,$B$5:$B$1624,"&lt;&gt;"&amp;B659)</f>
        <v>0</v>
      </c>
      <c r="L659" s="1" t="str">
        <f aca="false">IF(I659&gt;1,IF(K659&gt;0,"Cross-hospital match","Same-hospital match"),"")</f>
        <v/>
      </c>
      <c r="M659" s="52"/>
      <c r="N659" s="52"/>
      <c r="O659" s="1" t="n">
        <f aca="false">IF(M659="Exclude (duplicate)",0,1)</f>
        <v>1</v>
      </c>
      <c r="P659" s="1" t="str">
        <f aca="false">IF(AND(L659&lt;&gt;"",M659=""),"Needs decision","")</f>
        <v/>
      </c>
    </row>
    <row r="660" customFormat="false" ht="15" hidden="false" customHeight="false" outlineLevel="0" collapsed="false">
      <c r="A660" s="48" t="str">
        <f aca="false">COST!A660</f>
        <v>ASH-0127</v>
      </c>
      <c r="B660" s="48" t="str">
        <f aca="false">COST!B660</f>
        <v>ASH</v>
      </c>
      <c r="C660" s="48" t="str">
        <f aca="false">COST!D660</f>
        <v>Produce Prescription Program</v>
      </c>
      <c r="D660" s="62" t="n">
        <f aca="false">COST!M660</f>
        <v>46022</v>
      </c>
      <c r="E660" s="48" t="str">
        <f aca="false">COST!P660</f>
        <v>Community Health Worker</v>
      </c>
      <c r="F660" s="63" t="n">
        <f aca="false">COST!R660</f>
        <v>60</v>
      </c>
      <c r="G660" s="48" t="str">
        <f aca="false">STACK!M660</f>
        <v/>
      </c>
      <c r="H660" s="1" t="str">
        <f aca="false">C660&amp;"|"&amp;IF(ISNUMBER(D660),TEXT(D660,"yyyy-mm-dd"),"no date")&amp;"|"&amp;E660&amp;"|"&amp;IF(ISNUMBER(F660),TEXT(F660,"0.00"),"blank")</f>
        <v>Produce Prescription Program|2025-12-31|Community Health Worker|60.00</v>
      </c>
      <c r="I660" s="1" t="n">
        <f aca="false">COUNTIF($H$5:$H$1624,H660)</f>
        <v>1</v>
      </c>
      <c r="J660" s="1" t="n">
        <f aca="false">COUNTIF($H$5:H660,H660)</f>
        <v>1</v>
      </c>
      <c r="K660" s="1" t="n">
        <f aca="false">COUNTIFS($H$5:$H$1624,H660,$B$5:$B$1624,"&lt;&gt;"&amp;B660)</f>
        <v>0</v>
      </c>
      <c r="L660" s="1" t="str">
        <f aca="false">IF(I660&gt;1,IF(K660&gt;0,"Cross-hospital match","Same-hospital match"),"")</f>
        <v/>
      </c>
      <c r="M660" s="52"/>
      <c r="N660" s="52"/>
      <c r="O660" s="1" t="n">
        <f aca="false">IF(M660="Exclude (duplicate)",0,1)</f>
        <v>1</v>
      </c>
      <c r="P660" s="1" t="str">
        <f aca="false">IF(AND(L660&lt;&gt;"",M660=""),"Needs decision","")</f>
        <v/>
      </c>
    </row>
    <row r="661" customFormat="false" ht="15" hidden="false" customHeight="false" outlineLevel="0" collapsed="false">
      <c r="A661" s="48" t="str">
        <f aca="false">COST!A661</f>
        <v>ASH-0128</v>
      </c>
      <c r="B661" s="48" t="str">
        <f aca="false">COST!B661</f>
        <v>ASH</v>
      </c>
      <c r="C661" s="48" t="str">
        <f aca="false">COST!D661</f>
        <v>Produce Prescription Program</v>
      </c>
      <c r="D661" s="62" t="n">
        <f aca="false">COST!M661</f>
        <v>46022</v>
      </c>
      <c r="E661" s="48" t="str">
        <f aca="false">COST!P661</f>
        <v>Registered Dietitian</v>
      </c>
      <c r="F661" s="63" t="n">
        <f aca="false">COST!R661</f>
        <v>22</v>
      </c>
      <c r="G661" s="48" t="str">
        <f aca="false">STACK!M661</f>
        <v/>
      </c>
      <c r="H661" s="1" t="str">
        <f aca="false">C661&amp;"|"&amp;IF(ISNUMBER(D661),TEXT(D661,"yyyy-mm-dd"),"no date")&amp;"|"&amp;E661&amp;"|"&amp;IF(ISNUMBER(F661),TEXT(F661,"0.00"),"blank")</f>
        <v>Produce Prescription Program|2025-12-31|Registered Dietitian|22.00</v>
      </c>
      <c r="I661" s="1" t="n">
        <f aca="false">COUNTIF($H$5:$H$1624,H661)</f>
        <v>1</v>
      </c>
      <c r="J661" s="1" t="n">
        <f aca="false">COUNTIF($H$5:H661,H661)</f>
        <v>1</v>
      </c>
      <c r="K661" s="1" t="n">
        <f aca="false">COUNTIFS($H$5:$H$1624,H661,$B$5:$B$1624,"&lt;&gt;"&amp;B661)</f>
        <v>0</v>
      </c>
      <c r="L661" s="1" t="str">
        <f aca="false">IF(I661&gt;1,IF(K661&gt;0,"Cross-hospital match","Same-hospital match"),"")</f>
        <v/>
      </c>
      <c r="M661" s="52"/>
      <c r="N661" s="52"/>
      <c r="O661" s="1" t="n">
        <f aca="false">IF(M661="Exclude (duplicate)",0,1)</f>
        <v>1</v>
      </c>
      <c r="P661" s="1" t="str">
        <f aca="false">IF(AND(L661&lt;&gt;"",M661=""),"Needs decision","")</f>
        <v/>
      </c>
    </row>
    <row r="662" customFormat="false" ht="15" hidden="false" customHeight="false" outlineLevel="0" collapsed="false">
      <c r="A662" s="48" t="str">
        <f aca="false">COST!A662</f>
        <v>ASH-0129</v>
      </c>
      <c r="B662" s="48" t="str">
        <f aca="false">COST!B662</f>
        <v>ASH</v>
      </c>
      <c r="C662" s="48" t="str">
        <f aca="false">COST!D662</f>
        <v>Community Benefit Program Administration</v>
      </c>
      <c r="D662" s="62" t="n">
        <f aca="false">COST!M662</f>
        <v>46022</v>
      </c>
      <c r="E662" s="48" t="str">
        <f aca="false">COST!P662</f>
        <v>Administrative Assistant</v>
      </c>
      <c r="F662" s="63" t="n">
        <f aca="false">COST!R662</f>
        <v>41.5</v>
      </c>
      <c r="G662" s="48" t="str">
        <f aca="false">STACK!M662</f>
        <v/>
      </c>
      <c r="H662" s="1" t="str">
        <f aca="false">C662&amp;"|"&amp;IF(ISNUMBER(D662),TEXT(D662,"yyyy-mm-dd"),"no date")&amp;"|"&amp;E662&amp;"|"&amp;IF(ISNUMBER(F662),TEXT(F662,"0.00"),"blank")</f>
        <v>Community Benefit Program Administration|2025-12-31|Administrative Assistant|41.50</v>
      </c>
      <c r="I662" s="1" t="n">
        <f aca="false">COUNTIF($H$5:$H$1624,H662)</f>
        <v>1</v>
      </c>
      <c r="J662" s="1" t="n">
        <f aca="false">COUNTIF($H$5:H662,H662)</f>
        <v>1</v>
      </c>
      <c r="K662" s="1" t="n">
        <f aca="false">COUNTIFS($H$5:$H$1624,H662,$B$5:$B$1624,"&lt;&gt;"&amp;B662)</f>
        <v>0</v>
      </c>
      <c r="L662" s="1" t="str">
        <f aca="false">IF(I662&gt;1,IF(K662&gt;0,"Cross-hospital match","Same-hospital match"),"")</f>
        <v/>
      </c>
      <c r="M662" s="52"/>
      <c r="N662" s="52"/>
      <c r="O662" s="1" t="n">
        <f aca="false">IF(M662="Exclude (duplicate)",0,1)</f>
        <v>1</v>
      </c>
      <c r="P662" s="1" t="str">
        <f aca="false">IF(AND(L662&lt;&gt;"",M662=""),"Needs decision","")</f>
        <v/>
      </c>
    </row>
    <row r="663" customFormat="false" ht="15" hidden="false" customHeight="false" outlineLevel="0" collapsed="false">
      <c r="A663" s="48" t="str">
        <f aca="false">COST!A663</f>
        <v>ASH-0130</v>
      </c>
      <c r="B663" s="48" t="str">
        <f aca="false">COST!B663</f>
        <v>ASH</v>
      </c>
      <c r="C663" s="48" t="str">
        <f aca="false">COST!D663</f>
        <v>Community Benefit Program Administration</v>
      </c>
      <c r="D663" s="62" t="n">
        <f aca="false">COST!M663</f>
        <v>46022</v>
      </c>
      <c r="E663" s="48" t="str">
        <f aca="false">COST!P663</f>
        <v>Community Benefit Manager</v>
      </c>
      <c r="F663" s="63" t="n">
        <f aca="false">COST!R663</f>
        <v>58.25</v>
      </c>
      <c r="G663" s="48" t="str">
        <f aca="false">STACK!M663</f>
        <v/>
      </c>
      <c r="H663" s="1" t="str">
        <f aca="false">C663&amp;"|"&amp;IF(ISNUMBER(D663),TEXT(D663,"yyyy-mm-dd"),"no date")&amp;"|"&amp;E663&amp;"|"&amp;IF(ISNUMBER(F663),TEXT(F663,"0.00"),"blank")</f>
        <v>Community Benefit Program Administration|2025-12-31|Community Benefit Manager|58.25</v>
      </c>
      <c r="I663" s="1" t="n">
        <f aca="false">COUNTIF($H$5:$H$1624,H663)</f>
        <v>1</v>
      </c>
      <c r="J663" s="1" t="n">
        <f aca="false">COUNTIF($H$5:H663,H663)</f>
        <v>1</v>
      </c>
      <c r="K663" s="1" t="n">
        <f aca="false">COUNTIFS($H$5:$H$1624,H663,$B$5:$B$1624,"&lt;&gt;"&amp;B663)</f>
        <v>0</v>
      </c>
      <c r="L663" s="1" t="str">
        <f aca="false">IF(I663&gt;1,IF(K663&gt;0,"Cross-hospital match","Same-hospital match"),"")</f>
        <v/>
      </c>
      <c r="M663" s="52"/>
      <c r="N663" s="52"/>
      <c r="O663" s="1" t="n">
        <f aca="false">IF(M663="Exclude (duplicate)",0,1)</f>
        <v>1</v>
      </c>
      <c r="P663" s="1" t="str">
        <f aca="false">IF(AND(L663&lt;&gt;"",M663=""),"Needs decision","")</f>
        <v/>
      </c>
    </row>
    <row r="664" customFormat="false" ht="15" hidden="false" customHeight="false" outlineLevel="0" collapsed="false">
      <c r="A664" s="48" t="str">
        <f aca="false">COST!A664</f>
        <v>ASH-0131</v>
      </c>
      <c r="B664" s="48" t="str">
        <f aca="false">COST!B664</f>
        <v>ASH</v>
      </c>
      <c r="C664" s="48" t="str">
        <f aca="false">COST!D664</f>
        <v>Nursing Student Clinical Rotations</v>
      </c>
      <c r="D664" s="62" t="n">
        <f aca="false">COST!M664</f>
        <v>46022</v>
      </c>
      <c r="E664" s="48" t="str">
        <f aca="false">COST!P664</f>
        <v>Clinical Nurse Educator</v>
      </c>
      <c r="F664" s="63" t="n">
        <f aca="false">COST!R664</f>
        <v>40.75</v>
      </c>
      <c r="G664" s="48" t="str">
        <f aca="false">STACK!M664</f>
        <v/>
      </c>
      <c r="H664" s="1" t="str">
        <f aca="false">C664&amp;"|"&amp;IF(ISNUMBER(D664),TEXT(D664,"yyyy-mm-dd"),"no date")&amp;"|"&amp;E664&amp;"|"&amp;IF(ISNUMBER(F664),TEXT(F664,"0.00"),"blank")</f>
        <v>Nursing Student Clinical Rotations|2025-12-31|Clinical Nurse Educator|40.75</v>
      </c>
      <c r="I664" s="1" t="n">
        <f aca="false">COUNTIF($H$5:$H$1624,H664)</f>
        <v>1</v>
      </c>
      <c r="J664" s="1" t="n">
        <f aca="false">COUNTIF($H$5:H664,H664)</f>
        <v>1</v>
      </c>
      <c r="K664" s="1" t="n">
        <f aca="false">COUNTIFS($H$5:$H$1624,H664,$B$5:$B$1624,"&lt;&gt;"&amp;B664)</f>
        <v>0</v>
      </c>
      <c r="L664" s="1" t="str">
        <f aca="false">IF(I664&gt;1,IF(K664&gt;0,"Cross-hospital match","Same-hospital match"),"")</f>
        <v/>
      </c>
      <c r="M664" s="52"/>
      <c r="N664" s="52"/>
      <c r="O664" s="1" t="n">
        <f aca="false">IF(M664="Exclude (duplicate)",0,1)</f>
        <v>1</v>
      </c>
      <c r="P664" s="1" t="str">
        <f aca="false">IF(AND(L664&lt;&gt;"",M664=""),"Needs decision","")</f>
        <v/>
      </c>
    </row>
    <row r="665" customFormat="false" ht="15" hidden="false" customHeight="false" outlineLevel="0" collapsed="false">
      <c r="A665" s="48" t="str">
        <f aca="false">COST!A665</f>
        <v>ASH-0132</v>
      </c>
      <c r="B665" s="48" t="str">
        <f aca="false">COST!B665</f>
        <v>ASH</v>
      </c>
      <c r="C665" s="48" t="str">
        <f aca="false">COST!D665</f>
        <v>Nursing Student Clinical Rotations</v>
      </c>
      <c r="D665" s="62" t="n">
        <f aca="false">COST!M665</f>
        <v>46022</v>
      </c>
      <c r="E665" s="48" t="str">
        <f aca="false">COST!P665</f>
        <v>Registered Nurse</v>
      </c>
      <c r="F665" s="63" t="n">
        <f aca="false">COST!R665</f>
        <v>98.5</v>
      </c>
      <c r="G665" s="48" t="str">
        <f aca="false">STACK!M665</f>
        <v/>
      </c>
      <c r="H665" s="1" t="str">
        <f aca="false">C665&amp;"|"&amp;IF(ISNUMBER(D665),TEXT(D665,"yyyy-mm-dd"),"no date")&amp;"|"&amp;E665&amp;"|"&amp;IF(ISNUMBER(F665),TEXT(F665,"0.00"),"blank")</f>
        <v>Nursing Student Clinical Rotations|2025-12-31|Registered Nurse|98.50</v>
      </c>
      <c r="I665" s="1" t="n">
        <f aca="false">COUNTIF($H$5:$H$1624,H665)</f>
        <v>1</v>
      </c>
      <c r="J665" s="1" t="n">
        <f aca="false">COUNTIF($H$5:H665,H665)</f>
        <v>1</v>
      </c>
      <c r="K665" s="1" t="n">
        <f aca="false">COUNTIFS($H$5:$H$1624,H665,$B$5:$B$1624,"&lt;&gt;"&amp;B665)</f>
        <v>0</v>
      </c>
      <c r="L665" s="1" t="str">
        <f aca="false">IF(I665&gt;1,IF(K665&gt;0,"Cross-hospital match","Same-hospital match"),"")</f>
        <v/>
      </c>
      <c r="M665" s="52"/>
      <c r="N665" s="52"/>
      <c r="O665" s="1" t="n">
        <f aca="false">IF(M665="Exclude (duplicate)",0,1)</f>
        <v>1</v>
      </c>
      <c r="P665" s="1" t="str">
        <f aca="false">IF(AND(L665&lt;&gt;"",M665=""),"Needs decision","")</f>
        <v/>
      </c>
    </row>
    <row r="666" customFormat="false" ht="15" hidden="false" customHeight="false" outlineLevel="0" collapsed="false">
      <c r="A666" s="48" t="str">
        <f aca="false">COST!A666</f>
        <v>ASH-0133</v>
      </c>
      <c r="B666" s="48" t="str">
        <f aca="false">COST!B666</f>
        <v>ASH</v>
      </c>
      <c r="C666" s="48" t="str">
        <f aca="false">COST!D666</f>
        <v>Paramedic Student Field Training</v>
      </c>
      <c r="D666" s="62" t="n">
        <f aca="false">COST!M666</f>
        <v>46022</v>
      </c>
      <c r="E666" s="48" t="str">
        <f aca="false">COST!P666</f>
        <v>Paramedic</v>
      </c>
      <c r="F666" s="63" t="n">
        <f aca="false">COST!R666</f>
        <v>60.25</v>
      </c>
      <c r="G666" s="48" t="str">
        <f aca="false">STACK!M666</f>
        <v/>
      </c>
      <c r="H666" s="1" t="str">
        <f aca="false">C666&amp;"|"&amp;IF(ISNUMBER(D666),TEXT(D666,"yyyy-mm-dd"),"no date")&amp;"|"&amp;E666&amp;"|"&amp;IF(ISNUMBER(F666),TEXT(F666,"0.00"),"blank")</f>
        <v>Paramedic Student Field Training|2025-12-31|Paramedic|60.25</v>
      </c>
      <c r="I666" s="1" t="n">
        <f aca="false">COUNTIF($H$5:$H$1624,H666)</f>
        <v>1</v>
      </c>
      <c r="J666" s="1" t="n">
        <f aca="false">COUNTIF($H$5:H666,H666)</f>
        <v>1</v>
      </c>
      <c r="K666" s="1" t="n">
        <f aca="false">COUNTIFS($H$5:$H$1624,H666,$B$5:$B$1624,"&lt;&gt;"&amp;B666)</f>
        <v>0</v>
      </c>
      <c r="L666" s="1" t="str">
        <f aca="false">IF(I666&gt;1,IF(K666&gt;0,"Cross-hospital match","Same-hospital match"),"")</f>
        <v/>
      </c>
      <c r="M666" s="52"/>
      <c r="N666" s="52"/>
      <c r="O666" s="1" t="n">
        <f aca="false">IF(M666="Exclude (duplicate)",0,1)</f>
        <v>1</v>
      </c>
      <c r="P666" s="1" t="str">
        <f aca="false">IF(AND(L666&lt;&gt;"",M666=""),"Needs decision","")</f>
        <v/>
      </c>
    </row>
    <row r="667" customFormat="false" ht="15" hidden="false" customHeight="false" outlineLevel="0" collapsed="false">
      <c r="A667" s="48" t="str">
        <f aca="false">COST!A667</f>
        <v>ASH-0134</v>
      </c>
      <c r="B667" s="48" t="str">
        <f aca="false">COST!B667</f>
        <v>ASH</v>
      </c>
      <c r="C667" s="48" t="str">
        <f aca="false">COST!D667</f>
        <v>Fall Prevention Classes for Older Adults</v>
      </c>
      <c r="D667" s="62" t="n">
        <f aca="false">COST!M667</f>
        <v>46027</v>
      </c>
      <c r="E667" s="48" t="str">
        <f aca="false">COST!P667</f>
        <v>Licensed Therapist</v>
      </c>
      <c r="F667" s="63" t="n">
        <f aca="false">COST!R667</f>
        <v>2</v>
      </c>
      <c r="G667" s="48" t="str">
        <f aca="false">STACK!M667</f>
        <v/>
      </c>
      <c r="H667" s="1" t="str">
        <f aca="false">C667&amp;"|"&amp;IF(ISNUMBER(D667),TEXT(D667,"yyyy-mm-dd"),"no date")&amp;"|"&amp;E667&amp;"|"&amp;IF(ISNUMBER(F667),TEXT(F667,"0.00"),"blank")</f>
        <v>Fall Prevention Classes for Older Adults|2026-01-05|Licensed Therapist|2.00</v>
      </c>
      <c r="I667" s="1" t="n">
        <f aca="false">COUNTIF($H$5:$H$1624,H667)</f>
        <v>1</v>
      </c>
      <c r="J667" s="1" t="n">
        <f aca="false">COUNTIF($H$5:H667,H667)</f>
        <v>1</v>
      </c>
      <c r="K667" s="1" t="n">
        <f aca="false">COUNTIFS($H$5:$H$1624,H667,$B$5:$B$1624,"&lt;&gt;"&amp;B667)</f>
        <v>0</v>
      </c>
      <c r="L667" s="1" t="str">
        <f aca="false">IF(I667&gt;1,IF(K667&gt;0,"Cross-hospital match","Same-hospital match"),"")</f>
        <v/>
      </c>
      <c r="M667" s="52"/>
      <c r="N667" s="52"/>
      <c r="O667" s="1" t="n">
        <f aca="false">IF(M667="Exclude (duplicate)",0,1)</f>
        <v>1</v>
      </c>
      <c r="P667" s="1" t="str">
        <f aca="false">IF(AND(L667&lt;&gt;"",M667=""),"Needs decision","")</f>
        <v/>
      </c>
    </row>
    <row r="668" customFormat="false" ht="15" hidden="false" customHeight="false" outlineLevel="0" collapsed="false">
      <c r="A668" s="48" t="str">
        <f aca="false">COST!A668</f>
        <v>ASH-0135</v>
      </c>
      <c r="B668" s="48" t="str">
        <f aca="false">COST!B668</f>
        <v>ASH</v>
      </c>
      <c r="C668" s="48" t="str">
        <f aca="false">COST!D668</f>
        <v>Regional Health Coalition</v>
      </c>
      <c r="D668" s="62" t="n">
        <f aca="false">COST!M668</f>
        <v>46028</v>
      </c>
      <c r="E668" s="48" t="str">
        <f aca="false">COST!P668</f>
        <v>Community Benefit Manager</v>
      </c>
      <c r="F668" s="63" t="n">
        <f aca="false">COST!R668</f>
        <v>2.75</v>
      </c>
      <c r="G668" s="48" t="str">
        <f aca="false">STACK!M668</f>
        <v/>
      </c>
      <c r="H668" s="1" t="str">
        <f aca="false">C668&amp;"|"&amp;IF(ISNUMBER(D668),TEXT(D668,"yyyy-mm-dd"),"no date")&amp;"|"&amp;E668&amp;"|"&amp;IF(ISNUMBER(F668),TEXT(F668,"0.00"),"blank")</f>
        <v>Regional Health Coalition|2026-01-06|Community Benefit Manager|2.75</v>
      </c>
      <c r="I668" s="1" t="n">
        <f aca="false">COUNTIF($H$5:$H$1624,H668)</f>
        <v>1</v>
      </c>
      <c r="J668" s="1" t="n">
        <f aca="false">COUNTIF($H$5:H668,H668)</f>
        <v>1</v>
      </c>
      <c r="K668" s="1" t="n">
        <f aca="false">COUNTIFS($H$5:$H$1624,H668,$B$5:$B$1624,"&lt;&gt;"&amp;B668)</f>
        <v>0</v>
      </c>
      <c r="L668" s="1" t="str">
        <f aca="false">IF(I668&gt;1,IF(K668&gt;0,"Cross-hospital match","Same-hospital match"),"")</f>
        <v/>
      </c>
      <c r="M668" s="52"/>
      <c r="N668" s="52"/>
      <c r="O668" s="1" t="n">
        <f aca="false">IF(M668="Exclude (duplicate)",0,1)</f>
        <v>1</v>
      </c>
      <c r="P668" s="1" t="str">
        <f aca="false">IF(AND(L668&lt;&gt;"",M668=""),"Needs decision","")</f>
        <v/>
      </c>
    </row>
    <row r="669" customFormat="false" ht="15" hidden="false" customHeight="false" outlineLevel="0" collapsed="false">
      <c r="A669" s="48" t="str">
        <f aca="false">COST!A669</f>
        <v>ASH-0136</v>
      </c>
      <c r="B669" s="48" t="str">
        <f aca="false">COST!B669</f>
        <v>ASH</v>
      </c>
      <c r="C669" s="48" t="str">
        <f aca="false">COST!D669</f>
        <v>Regional Health Coalition</v>
      </c>
      <c r="D669" s="62" t="n">
        <f aca="false">COST!M669</f>
        <v>46028</v>
      </c>
      <c r="E669" s="48" t="str">
        <f aca="false">COST!P669</f>
        <v>Director</v>
      </c>
      <c r="F669" s="63" t="n">
        <f aca="false">COST!R669</f>
        <v>2.5</v>
      </c>
      <c r="G669" s="48" t="str">
        <f aca="false">STACK!M669</f>
        <v/>
      </c>
      <c r="H669" s="1" t="str">
        <f aca="false">C669&amp;"|"&amp;IF(ISNUMBER(D669),TEXT(D669,"yyyy-mm-dd"),"no date")&amp;"|"&amp;E669&amp;"|"&amp;IF(ISNUMBER(F669),TEXT(F669,"0.00"),"blank")</f>
        <v>Regional Health Coalition|2026-01-06|Director|2.50</v>
      </c>
      <c r="I669" s="1" t="n">
        <f aca="false">COUNTIF($H$5:$H$1624,H669)</f>
        <v>1</v>
      </c>
      <c r="J669" s="1" t="n">
        <f aca="false">COUNTIF($H$5:H669,H669)</f>
        <v>1</v>
      </c>
      <c r="K669" s="1" t="n">
        <f aca="false">COUNTIFS($H$5:$H$1624,H669,$B$5:$B$1624,"&lt;&gt;"&amp;B669)</f>
        <v>0</v>
      </c>
      <c r="L669" s="1" t="str">
        <f aca="false">IF(I669&gt;1,IF(K669&gt;0,"Cross-hospital match","Same-hospital match"),"")</f>
        <v/>
      </c>
      <c r="M669" s="52"/>
      <c r="N669" s="52"/>
      <c r="O669" s="1" t="n">
        <f aca="false">IF(M669="Exclude (duplicate)",0,1)</f>
        <v>1</v>
      </c>
      <c r="P669" s="1" t="str">
        <f aca="false">IF(AND(L669&lt;&gt;"",M669=""),"Needs decision","")</f>
        <v/>
      </c>
    </row>
    <row r="670" customFormat="false" ht="15" hidden="false" customHeight="false" outlineLevel="0" collapsed="false">
      <c r="A670" s="48" t="str">
        <f aca="false">COST!A670</f>
        <v>ASH-0137</v>
      </c>
      <c r="B670" s="48" t="str">
        <f aca="false">COST!B670</f>
        <v>ASH</v>
      </c>
      <c r="C670" s="48" t="str">
        <f aca="false">COST!D670</f>
        <v>Diabetes Prevention Classes</v>
      </c>
      <c r="D670" s="62" t="n">
        <f aca="false">COST!M670</f>
        <v>46030</v>
      </c>
      <c r="E670" s="48" t="str">
        <f aca="false">COST!P670</f>
        <v>Health Educator</v>
      </c>
      <c r="F670" s="63" t="n">
        <f aca="false">COST!R670</f>
        <v>3</v>
      </c>
      <c r="G670" s="48" t="str">
        <f aca="false">STACK!M670</f>
        <v/>
      </c>
      <c r="H670" s="1" t="str">
        <f aca="false">C670&amp;"|"&amp;IF(ISNUMBER(D670),TEXT(D670,"yyyy-mm-dd"),"no date")&amp;"|"&amp;E670&amp;"|"&amp;IF(ISNUMBER(F670),TEXT(F670,"0.00"),"blank")</f>
        <v>Diabetes Prevention Classes|2026-01-08|Health Educator|3.00</v>
      </c>
      <c r="I670" s="1" t="n">
        <f aca="false">COUNTIF($H$5:$H$1624,H670)</f>
        <v>1</v>
      </c>
      <c r="J670" s="1" t="n">
        <f aca="false">COUNTIF($H$5:H670,H670)</f>
        <v>1</v>
      </c>
      <c r="K670" s="1" t="n">
        <f aca="false">COUNTIFS($H$5:$H$1624,H670,$B$5:$B$1624,"&lt;&gt;"&amp;B670)</f>
        <v>0</v>
      </c>
      <c r="L670" s="1" t="str">
        <f aca="false">IF(I670&gt;1,IF(K670&gt;0,"Cross-hospital match","Same-hospital match"),"")</f>
        <v/>
      </c>
      <c r="M670" s="52"/>
      <c r="N670" s="52"/>
      <c r="O670" s="1" t="n">
        <f aca="false">IF(M670="Exclude (duplicate)",0,1)</f>
        <v>1</v>
      </c>
      <c r="P670" s="1" t="str">
        <f aca="false">IF(AND(L670&lt;&gt;"",M670=""),"Needs decision","")</f>
        <v/>
      </c>
    </row>
    <row r="671" customFormat="false" ht="15" hidden="false" customHeight="false" outlineLevel="0" collapsed="false">
      <c r="A671" s="48" t="str">
        <f aca="false">COST!A671</f>
        <v>ASH-0138</v>
      </c>
      <c r="B671" s="48" t="str">
        <f aca="false">COST!B671</f>
        <v>ASH</v>
      </c>
      <c r="C671" s="48" t="str">
        <f aca="false">COST!D671</f>
        <v>Diabetes Prevention Classes</v>
      </c>
      <c r="D671" s="62" t="n">
        <f aca="false">COST!M671</f>
        <v>46030</v>
      </c>
      <c r="E671" s="48" t="str">
        <f aca="false">COST!P671</f>
        <v>Registered Dietitian</v>
      </c>
      <c r="F671" s="63" t="n">
        <f aca="false">COST!R671</f>
        <v>1.75</v>
      </c>
      <c r="G671" s="48" t="str">
        <f aca="false">STACK!M671</f>
        <v/>
      </c>
      <c r="H671" s="1" t="str">
        <f aca="false">C671&amp;"|"&amp;IF(ISNUMBER(D671),TEXT(D671,"yyyy-mm-dd"),"no date")&amp;"|"&amp;E671&amp;"|"&amp;IF(ISNUMBER(F671),TEXT(F671,"0.00"),"blank")</f>
        <v>Diabetes Prevention Classes|2026-01-08|Registered Dietitian|1.75</v>
      </c>
      <c r="I671" s="1" t="n">
        <f aca="false">COUNTIF($H$5:$H$1624,H671)</f>
        <v>1</v>
      </c>
      <c r="J671" s="1" t="n">
        <f aca="false">COUNTIF($H$5:H671,H671)</f>
        <v>1</v>
      </c>
      <c r="K671" s="1" t="n">
        <f aca="false">COUNTIFS($H$5:$H$1624,H671,$B$5:$B$1624,"&lt;&gt;"&amp;B671)</f>
        <v>0</v>
      </c>
      <c r="L671" s="1" t="str">
        <f aca="false">IF(I671&gt;1,IF(K671&gt;0,"Cross-hospital match","Same-hospital match"),"")</f>
        <v/>
      </c>
      <c r="M671" s="52"/>
      <c r="N671" s="52"/>
      <c r="O671" s="1" t="n">
        <f aca="false">IF(M671="Exclude (duplicate)",0,1)</f>
        <v>1</v>
      </c>
      <c r="P671" s="1" t="str">
        <f aca="false">IF(AND(L671&lt;&gt;"",M671=""),"Needs decision","")</f>
        <v/>
      </c>
    </row>
    <row r="672" customFormat="false" ht="15" hidden="false" customHeight="false" outlineLevel="0" collapsed="false">
      <c r="A672" s="48" t="str">
        <f aca="false">COST!A672</f>
        <v>ASH-0139</v>
      </c>
      <c r="B672" s="48" t="str">
        <f aca="false">COST!B672</f>
        <v>ASH</v>
      </c>
      <c r="C672" s="48" t="str">
        <f aca="false">COST!D672</f>
        <v>Grief Support Group</v>
      </c>
      <c r="D672" s="62" t="n">
        <f aca="false">COST!M672</f>
        <v>46030</v>
      </c>
      <c r="E672" s="48" t="str">
        <f aca="false">COST!P672</f>
        <v>Chaplain</v>
      </c>
      <c r="F672" s="63" t="n">
        <f aca="false">COST!R672</f>
        <v>2</v>
      </c>
      <c r="G672" s="48" t="str">
        <f aca="false">STACK!M672</f>
        <v/>
      </c>
      <c r="H672" s="1" t="str">
        <f aca="false">C672&amp;"|"&amp;IF(ISNUMBER(D672),TEXT(D672,"yyyy-mm-dd"),"no date")&amp;"|"&amp;E672&amp;"|"&amp;IF(ISNUMBER(F672),TEXT(F672,"0.00"),"blank")</f>
        <v>Grief Support Group|2026-01-08|Chaplain|2.00</v>
      </c>
      <c r="I672" s="1" t="n">
        <f aca="false">COUNTIF($H$5:$H$1624,H672)</f>
        <v>1</v>
      </c>
      <c r="J672" s="1" t="n">
        <f aca="false">COUNTIF($H$5:H672,H672)</f>
        <v>1</v>
      </c>
      <c r="K672" s="1" t="n">
        <f aca="false">COUNTIFS($H$5:$H$1624,H672,$B$5:$B$1624,"&lt;&gt;"&amp;B672)</f>
        <v>0</v>
      </c>
      <c r="L672" s="1" t="str">
        <f aca="false">IF(I672&gt;1,IF(K672&gt;0,"Cross-hospital match","Same-hospital match"),"")</f>
        <v/>
      </c>
      <c r="M672" s="52"/>
      <c r="N672" s="52"/>
      <c r="O672" s="1" t="n">
        <f aca="false">IF(M672="Exclude (duplicate)",0,1)</f>
        <v>1</v>
      </c>
      <c r="P672" s="1" t="str">
        <f aca="false">IF(AND(L672&lt;&gt;"",M672=""),"Needs decision","")</f>
        <v/>
      </c>
    </row>
    <row r="673" customFormat="false" ht="15" hidden="false" customHeight="false" outlineLevel="0" collapsed="false">
      <c r="A673" s="48" t="str">
        <f aca="false">COST!A673</f>
        <v>ASH-0140</v>
      </c>
      <c r="B673" s="48" t="str">
        <f aca="false">COST!B673</f>
        <v>ASH</v>
      </c>
      <c r="C673" s="48" t="str">
        <f aca="false">COST!D673</f>
        <v>Grief Support Group</v>
      </c>
      <c r="D673" s="62" t="n">
        <f aca="false">COST!M673</f>
        <v>46030</v>
      </c>
      <c r="E673" s="48" t="str">
        <f aca="false">COST!P673</f>
        <v>Social Worker</v>
      </c>
      <c r="F673" s="63" t="n">
        <f aca="false">COST!R673</f>
        <v>1.75</v>
      </c>
      <c r="G673" s="48" t="str">
        <f aca="false">STACK!M673</f>
        <v/>
      </c>
      <c r="H673" s="1" t="str">
        <f aca="false">C673&amp;"|"&amp;IF(ISNUMBER(D673),TEXT(D673,"yyyy-mm-dd"),"no date")&amp;"|"&amp;E673&amp;"|"&amp;IF(ISNUMBER(F673),TEXT(F673,"0.00"),"blank")</f>
        <v>Grief Support Group|2026-01-08|Social Worker|1.75</v>
      </c>
      <c r="I673" s="1" t="n">
        <f aca="false">COUNTIF($H$5:$H$1624,H673)</f>
        <v>1</v>
      </c>
      <c r="J673" s="1" t="n">
        <f aca="false">COUNTIF($H$5:H673,H673)</f>
        <v>1</v>
      </c>
      <c r="K673" s="1" t="n">
        <f aca="false">COUNTIFS($H$5:$H$1624,H673,$B$5:$B$1624,"&lt;&gt;"&amp;B673)</f>
        <v>0</v>
      </c>
      <c r="L673" s="1" t="str">
        <f aca="false">IF(I673&gt;1,IF(K673&gt;0,"Cross-hospital match","Same-hospital match"),"")</f>
        <v/>
      </c>
      <c r="M673" s="52"/>
      <c r="N673" s="52"/>
      <c r="O673" s="1" t="n">
        <f aca="false">IF(M673="Exclude (duplicate)",0,1)</f>
        <v>1</v>
      </c>
      <c r="P673" s="1" t="str">
        <f aca="false">IF(AND(L673&lt;&gt;"",M673=""),"Needs decision","")</f>
        <v/>
      </c>
    </row>
    <row r="674" customFormat="false" ht="15" hidden="false" customHeight="false" outlineLevel="0" collapsed="false">
      <c r="A674" s="48" t="str">
        <f aca="false">COST!A674</f>
        <v>ASH-0141</v>
      </c>
      <c r="B674" s="48" t="str">
        <f aca="false">COST!B674</f>
        <v>ASH</v>
      </c>
      <c r="C674" s="48" t="str">
        <f aca="false">COST!D674</f>
        <v>In-Kind Medical Supply Donations</v>
      </c>
      <c r="D674" s="62" t="n">
        <f aca="false">COST!M674</f>
        <v>46031</v>
      </c>
      <c r="E674" s="48" t="str">
        <f aca="false">COST!P674</f>
        <v>No staff time</v>
      </c>
      <c r="F674" s="63" t="str">
        <f aca="false">COST!R674</f>
        <v/>
      </c>
      <c r="G674" s="48" t="str">
        <f aca="false">STACK!M674</f>
        <v/>
      </c>
      <c r="H674" s="1" t="str">
        <f aca="false">C674&amp;"|"&amp;IF(ISNUMBER(D674),TEXT(D674,"yyyy-mm-dd"),"no date")&amp;"|"&amp;E674&amp;"|"&amp;IF(ISNUMBER(F674),TEXT(F674,"0.00"),"blank")</f>
        <v>In-Kind Medical Supply Donations|2026-01-09|No staff time|blank</v>
      </c>
      <c r="I674" s="1" t="n">
        <f aca="false">COUNTIF($H$5:$H$1624,H674)</f>
        <v>1</v>
      </c>
      <c r="J674" s="1" t="n">
        <f aca="false">COUNTIF($H$5:H674,H674)</f>
        <v>1</v>
      </c>
      <c r="K674" s="1" t="n">
        <f aca="false">COUNTIFS($H$5:$H$1624,H674,$B$5:$B$1624,"&lt;&gt;"&amp;B674)</f>
        <v>0</v>
      </c>
      <c r="L674" s="1" t="str">
        <f aca="false">IF(I674&gt;1,IF(K674&gt;0,"Cross-hospital match","Same-hospital match"),"")</f>
        <v/>
      </c>
      <c r="M674" s="52"/>
      <c r="N674" s="52"/>
      <c r="O674" s="1" t="n">
        <f aca="false">IF(M674="Exclude (duplicate)",0,1)</f>
        <v>1</v>
      </c>
      <c r="P674" s="1" t="str">
        <f aca="false">IF(AND(L674&lt;&gt;"",M674=""),"Needs decision","")</f>
        <v/>
      </c>
    </row>
    <row r="675" customFormat="false" ht="15" hidden="false" customHeight="false" outlineLevel="0" collapsed="false">
      <c r="A675" s="48" t="str">
        <f aca="false">COST!A675</f>
        <v>ASH-0142</v>
      </c>
      <c r="B675" s="48" t="str">
        <f aca="false">COST!B675</f>
        <v>ASH</v>
      </c>
      <c r="C675" s="48" t="str">
        <f aca="false">COST!D675</f>
        <v>Fall Prevention Classes for Older Adults</v>
      </c>
      <c r="D675" s="62" t="n">
        <f aca="false">COST!M675</f>
        <v>46032</v>
      </c>
      <c r="E675" s="48" t="str">
        <f aca="false">COST!P675</f>
        <v>Licensed Therapist</v>
      </c>
      <c r="F675" s="63" t="n">
        <f aca="false">COST!R675</f>
        <v>2</v>
      </c>
      <c r="G675" s="48" t="str">
        <f aca="false">STACK!M675</f>
        <v/>
      </c>
      <c r="H675" s="1" t="str">
        <f aca="false">C675&amp;"|"&amp;IF(ISNUMBER(D675),TEXT(D675,"yyyy-mm-dd"),"no date")&amp;"|"&amp;E675&amp;"|"&amp;IF(ISNUMBER(F675),TEXT(F675,"0.00"),"blank")</f>
        <v>Fall Prevention Classes for Older Adults|2026-01-10|Licensed Therapist|2.00</v>
      </c>
      <c r="I675" s="1" t="n">
        <f aca="false">COUNTIF($H$5:$H$1624,H675)</f>
        <v>1</v>
      </c>
      <c r="J675" s="1" t="n">
        <f aca="false">COUNTIF($H$5:H675,H675)</f>
        <v>1</v>
      </c>
      <c r="K675" s="1" t="n">
        <f aca="false">COUNTIFS($H$5:$H$1624,H675,$B$5:$B$1624,"&lt;&gt;"&amp;B675)</f>
        <v>0</v>
      </c>
      <c r="L675" s="1" t="str">
        <f aca="false">IF(I675&gt;1,IF(K675&gt;0,"Cross-hospital match","Same-hospital match"),"")</f>
        <v/>
      </c>
      <c r="M675" s="52"/>
      <c r="N675" s="52"/>
      <c r="O675" s="1" t="n">
        <f aca="false">IF(M675="Exclude (duplicate)",0,1)</f>
        <v>1</v>
      </c>
      <c r="P675" s="1" t="str">
        <f aca="false">IF(AND(L675&lt;&gt;"",M675=""),"Needs decision","")</f>
        <v/>
      </c>
    </row>
    <row r="676" customFormat="false" ht="15" hidden="false" customHeight="false" outlineLevel="0" collapsed="false">
      <c r="A676" s="48" t="str">
        <f aca="false">COST!A676</f>
        <v>ASH-0143</v>
      </c>
      <c r="B676" s="48" t="str">
        <f aca="false">COST!B676</f>
        <v>ASH</v>
      </c>
      <c r="C676" s="48" t="str">
        <f aca="false">COST!D676</f>
        <v>Neighborhood Leadership Academy</v>
      </c>
      <c r="D676" s="62" t="n">
        <f aca="false">COST!M676</f>
        <v>46046</v>
      </c>
      <c r="E676" s="48" t="str">
        <f aca="false">COST!P676</f>
        <v>Health Educator</v>
      </c>
      <c r="F676" s="63" t="n">
        <f aca="false">COST!R676</f>
        <v>3.5</v>
      </c>
      <c r="G676" s="48" t="str">
        <f aca="false">STACK!M676</f>
        <v/>
      </c>
      <c r="H676" s="1" t="str">
        <f aca="false">C676&amp;"|"&amp;IF(ISNUMBER(D676),TEXT(D676,"yyyy-mm-dd"),"no date")&amp;"|"&amp;E676&amp;"|"&amp;IF(ISNUMBER(F676),TEXT(F676,"0.00"),"blank")</f>
        <v>Neighborhood Leadership Academy|2026-01-24|Health Educator|3.50</v>
      </c>
      <c r="I676" s="1" t="n">
        <f aca="false">COUNTIF($H$5:$H$1624,H676)</f>
        <v>1</v>
      </c>
      <c r="J676" s="1" t="n">
        <f aca="false">COUNTIF($H$5:H676,H676)</f>
        <v>1</v>
      </c>
      <c r="K676" s="1" t="n">
        <f aca="false">COUNTIFS($H$5:$H$1624,H676,$B$5:$B$1624,"&lt;&gt;"&amp;B676)</f>
        <v>0</v>
      </c>
      <c r="L676" s="1" t="str">
        <f aca="false">IF(I676&gt;1,IF(K676&gt;0,"Cross-hospital match","Same-hospital match"),"")</f>
        <v/>
      </c>
      <c r="M676" s="52"/>
      <c r="N676" s="52"/>
      <c r="O676" s="1" t="n">
        <f aca="false">IF(M676="Exclude (duplicate)",0,1)</f>
        <v>1</v>
      </c>
      <c r="P676" s="1" t="str">
        <f aca="false">IF(AND(L676&lt;&gt;"",M676=""),"Needs decision","")</f>
        <v/>
      </c>
    </row>
    <row r="677" customFormat="false" ht="15" hidden="false" customHeight="false" outlineLevel="0" collapsed="false">
      <c r="A677" s="48" t="str">
        <f aca="false">COST!A677</f>
        <v>ASH-0144</v>
      </c>
      <c r="B677" s="48" t="str">
        <f aca="false">COST!B677</f>
        <v>ASH</v>
      </c>
      <c r="C677" s="48" t="str">
        <f aca="false">COST!D677</f>
        <v>Neighborhood Leadership Academy</v>
      </c>
      <c r="D677" s="62" t="n">
        <f aca="false">COST!M677</f>
        <v>46046</v>
      </c>
      <c r="E677" s="48" t="str">
        <f aca="false">COST!P677</f>
        <v>Program Coordinator</v>
      </c>
      <c r="F677" s="63" t="n">
        <f aca="false">COST!R677</f>
        <v>4.5</v>
      </c>
      <c r="G677" s="48" t="str">
        <f aca="false">STACK!M677</f>
        <v/>
      </c>
      <c r="H677" s="1" t="str">
        <f aca="false">C677&amp;"|"&amp;IF(ISNUMBER(D677),TEXT(D677,"yyyy-mm-dd"),"no date")&amp;"|"&amp;E677&amp;"|"&amp;IF(ISNUMBER(F677),TEXT(F677,"0.00"),"blank")</f>
        <v>Neighborhood Leadership Academy|2026-01-24|Program Coordinator|4.50</v>
      </c>
      <c r="I677" s="1" t="n">
        <f aca="false">COUNTIF($H$5:$H$1624,H677)</f>
        <v>1</v>
      </c>
      <c r="J677" s="1" t="n">
        <f aca="false">COUNTIF($H$5:H677,H677)</f>
        <v>1</v>
      </c>
      <c r="K677" s="1" t="n">
        <f aca="false">COUNTIFS($H$5:$H$1624,H677,$B$5:$B$1624,"&lt;&gt;"&amp;B677)</f>
        <v>0</v>
      </c>
      <c r="L677" s="1" t="str">
        <f aca="false">IF(I677&gt;1,IF(K677&gt;0,"Cross-hospital match","Same-hospital match"),"")</f>
        <v/>
      </c>
      <c r="M677" s="52"/>
      <c r="N677" s="52"/>
      <c r="O677" s="1" t="n">
        <f aca="false">IF(M677="Exclude (duplicate)",0,1)</f>
        <v>1</v>
      </c>
      <c r="P677" s="1" t="str">
        <f aca="false">IF(AND(L677&lt;&gt;"",M677=""),"Needs decision","")</f>
        <v/>
      </c>
    </row>
    <row r="678" customFormat="false" ht="15" hidden="false" customHeight="false" outlineLevel="0" collapsed="false">
      <c r="A678" s="48" t="str">
        <f aca="false">COST!A678</f>
        <v>ASH-0145</v>
      </c>
      <c r="B678" s="48" t="str">
        <f aca="false">COST!B678</f>
        <v>ASH</v>
      </c>
      <c r="C678" s="48" t="str">
        <f aca="false">COST!D678</f>
        <v>Grief Support Group</v>
      </c>
      <c r="D678" s="62" t="n">
        <f aca="false">COST!M678</f>
        <v>46050</v>
      </c>
      <c r="E678" s="48" t="str">
        <f aca="false">COST!P678</f>
        <v>Chaplain</v>
      </c>
      <c r="F678" s="63" t="n">
        <f aca="false">COST!R678</f>
        <v>2</v>
      </c>
      <c r="G678" s="48" t="str">
        <f aca="false">STACK!M678</f>
        <v/>
      </c>
      <c r="H678" s="1" t="str">
        <f aca="false">C678&amp;"|"&amp;IF(ISNUMBER(D678),TEXT(D678,"yyyy-mm-dd"),"no date")&amp;"|"&amp;E678&amp;"|"&amp;IF(ISNUMBER(F678),TEXT(F678,"0.00"),"blank")</f>
        <v>Grief Support Group|2026-01-28|Chaplain|2.00</v>
      </c>
      <c r="I678" s="1" t="n">
        <f aca="false">COUNTIF($H$5:$H$1624,H678)</f>
        <v>1</v>
      </c>
      <c r="J678" s="1" t="n">
        <f aca="false">COUNTIF($H$5:H678,H678)</f>
        <v>1</v>
      </c>
      <c r="K678" s="1" t="n">
        <f aca="false">COUNTIFS($H$5:$H$1624,H678,$B$5:$B$1624,"&lt;&gt;"&amp;B678)</f>
        <v>0</v>
      </c>
      <c r="L678" s="1" t="str">
        <f aca="false">IF(I678&gt;1,IF(K678&gt;0,"Cross-hospital match","Same-hospital match"),"")</f>
        <v/>
      </c>
      <c r="M678" s="52"/>
      <c r="N678" s="52"/>
      <c r="O678" s="1" t="n">
        <f aca="false">IF(M678="Exclude (duplicate)",0,1)</f>
        <v>1</v>
      </c>
      <c r="P678" s="1" t="str">
        <f aca="false">IF(AND(L678&lt;&gt;"",M678=""),"Needs decision","")</f>
        <v/>
      </c>
    </row>
    <row r="679" customFormat="false" ht="15" hidden="false" customHeight="false" outlineLevel="0" collapsed="false">
      <c r="A679" s="48" t="str">
        <f aca="false">COST!A679</f>
        <v>ASH-0146</v>
      </c>
      <c r="B679" s="48" t="str">
        <f aca="false">COST!B679</f>
        <v>ASH</v>
      </c>
      <c r="C679" s="48" t="str">
        <f aca="false">COST!D679</f>
        <v>Grief Support Group</v>
      </c>
      <c r="D679" s="62" t="n">
        <f aca="false">COST!M679</f>
        <v>46050</v>
      </c>
      <c r="E679" s="48" t="str">
        <f aca="false">COST!P679</f>
        <v>Social Worker</v>
      </c>
      <c r="F679" s="63" t="n">
        <f aca="false">COST!R679</f>
        <v>1.75</v>
      </c>
      <c r="G679" s="48" t="str">
        <f aca="false">STACK!M679</f>
        <v/>
      </c>
      <c r="H679" s="1" t="str">
        <f aca="false">C679&amp;"|"&amp;IF(ISNUMBER(D679),TEXT(D679,"yyyy-mm-dd"),"no date")&amp;"|"&amp;E679&amp;"|"&amp;IF(ISNUMBER(F679),TEXT(F679,"0.00"),"blank")</f>
        <v>Grief Support Group|2026-01-28|Social Worker|1.75</v>
      </c>
      <c r="I679" s="1" t="n">
        <f aca="false">COUNTIF($H$5:$H$1624,H679)</f>
        <v>1</v>
      </c>
      <c r="J679" s="1" t="n">
        <f aca="false">COUNTIF($H$5:H679,H679)</f>
        <v>1</v>
      </c>
      <c r="K679" s="1" t="n">
        <f aca="false">COUNTIFS($H$5:$H$1624,H679,$B$5:$B$1624,"&lt;&gt;"&amp;B679)</f>
        <v>0</v>
      </c>
      <c r="L679" s="1" t="str">
        <f aca="false">IF(I679&gt;1,IF(K679&gt;0,"Cross-hospital match","Same-hospital match"),"")</f>
        <v/>
      </c>
      <c r="M679" s="52"/>
      <c r="N679" s="52"/>
      <c r="O679" s="1" t="n">
        <f aca="false">IF(M679="Exclude (duplicate)",0,1)</f>
        <v>1</v>
      </c>
      <c r="P679" s="1" t="str">
        <f aca="false">IF(AND(L679&lt;&gt;"",M679=""),"Needs decision","")</f>
        <v/>
      </c>
    </row>
    <row r="680" customFormat="false" ht="15" hidden="false" customHeight="false" outlineLevel="0" collapsed="false">
      <c r="A680" s="48" t="str">
        <f aca="false">COST!A680</f>
        <v>ASH-0147</v>
      </c>
      <c r="B680" s="48" t="str">
        <f aca="false">COST!B680</f>
        <v>ASH</v>
      </c>
      <c r="C680" s="48" t="str">
        <f aca="false">COST!D680</f>
        <v>Car Seat Safety Checks</v>
      </c>
      <c r="D680" s="62" t="n">
        <f aca="false">COST!M680</f>
        <v>46051</v>
      </c>
      <c r="E680" s="48" t="str">
        <f aca="false">COST!P680</f>
        <v>Paramedic</v>
      </c>
      <c r="F680" s="63" t="n">
        <f aca="false">COST!R680</f>
        <v>3.75</v>
      </c>
      <c r="G680" s="48" t="str">
        <f aca="false">STACK!M680</f>
        <v/>
      </c>
      <c r="H680" s="1" t="str">
        <f aca="false">C680&amp;"|"&amp;IF(ISNUMBER(D680),TEXT(D680,"yyyy-mm-dd"),"no date")&amp;"|"&amp;E680&amp;"|"&amp;IF(ISNUMBER(F680),TEXT(F680,"0.00"),"blank")</f>
        <v>Car Seat Safety Checks|2026-01-29|Paramedic|3.75</v>
      </c>
      <c r="I680" s="1" t="n">
        <f aca="false">COUNTIF($H$5:$H$1624,H680)</f>
        <v>1</v>
      </c>
      <c r="J680" s="1" t="n">
        <f aca="false">COUNTIF($H$5:H680,H680)</f>
        <v>1</v>
      </c>
      <c r="K680" s="1" t="n">
        <f aca="false">COUNTIFS($H$5:$H$1624,H680,$B$5:$B$1624,"&lt;&gt;"&amp;B680)</f>
        <v>0</v>
      </c>
      <c r="L680" s="1" t="str">
        <f aca="false">IF(I680&gt;1,IF(K680&gt;0,"Cross-hospital match","Same-hospital match"),"")</f>
        <v/>
      </c>
      <c r="M680" s="52"/>
      <c r="N680" s="52"/>
      <c r="O680" s="1" t="n">
        <f aca="false">IF(M680="Exclude (duplicate)",0,1)</f>
        <v>1</v>
      </c>
      <c r="P680" s="1" t="str">
        <f aca="false">IF(AND(L680&lt;&gt;"",M680=""),"Needs decision","")</f>
        <v/>
      </c>
    </row>
    <row r="681" customFormat="false" ht="15" hidden="false" customHeight="false" outlineLevel="0" collapsed="false">
      <c r="A681" s="48" t="str">
        <f aca="false">COST!A681</f>
        <v>ASH-0148</v>
      </c>
      <c r="B681" s="48" t="str">
        <f aca="false">COST!B681</f>
        <v>ASH</v>
      </c>
      <c r="C681" s="48" t="str">
        <f aca="false">COST!D681</f>
        <v>Car Seat Safety Checks</v>
      </c>
      <c r="D681" s="62" t="n">
        <f aca="false">COST!M681</f>
        <v>46051</v>
      </c>
      <c r="E681" s="48" t="str">
        <f aca="false">COST!P681</f>
        <v>Registered Nurse</v>
      </c>
      <c r="F681" s="63" t="n">
        <f aca="false">COST!R681</f>
        <v>3.75</v>
      </c>
      <c r="G681" s="48" t="str">
        <f aca="false">STACK!M681</f>
        <v/>
      </c>
      <c r="H681" s="1" t="str">
        <f aca="false">C681&amp;"|"&amp;IF(ISNUMBER(D681),TEXT(D681,"yyyy-mm-dd"),"no date")&amp;"|"&amp;E681&amp;"|"&amp;IF(ISNUMBER(F681),TEXT(F681,"0.00"),"blank")</f>
        <v>Car Seat Safety Checks|2026-01-29|Registered Nurse|3.75</v>
      </c>
      <c r="I681" s="1" t="n">
        <f aca="false">COUNTIF($H$5:$H$1624,H681)</f>
        <v>1</v>
      </c>
      <c r="J681" s="1" t="n">
        <f aca="false">COUNTIF($H$5:H681,H681)</f>
        <v>1</v>
      </c>
      <c r="K681" s="1" t="n">
        <f aca="false">COUNTIFS($H$5:$H$1624,H681,$B$5:$B$1624,"&lt;&gt;"&amp;B681)</f>
        <v>0</v>
      </c>
      <c r="L681" s="1" t="str">
        <f aca="false">IF(I681&gt;1,IF(K681&gt;0,"Cross-hospital match","Same-hospital match"),"")</f>
        <v/>
      </c>
      <c r="M681" s="52"/>
      <c r="N681" s="52"/>
      <c r="O681" s="1" t="n">
        <f aca="false">IF(M681="Exclude (duplicate)",0,1)</f>
        <v>1</v>
      </c>
      <c r="P681" s="1" t="str">
        <f aca="false">IF(AND(L681&lt;&gt;"",M681=""),"Needs decision","")</f>
        <v/>
      </c>
    </row>
    <row r="682" customFormat="false" ht="15" hidden="false" customHeight="false" outlineLevel="0" collapsed="false">
      <c r="A682" s="48" t="str">
        <f aca="false">COST!A682</f>
        <v>ASH-0149</v>
      </c>
      <c r="B682" s="48" t="str">
        <f aca="false">COST!B682</f>
        <v>ASH</v>
      </c>
      <c r="C682" s="48" t="str">
        <f aca="false">COST!D682</f>
        <v>Mobile Health Screening Unit</v>
      </c>
      <c r="D682" s="62" t="n">
        <f aca="false">COST!M682</f>
        <v>46053</v>
      </c>
      <c r="E682" s="48" t="str">
        <f aca="false">COST!P682</f>
        <v>Community Health Worker</v>
      </c>
      <c r="F682" s="63" t="n">
        <f aca="false">COST!R682</f>
        <v>78.25</v>
      </c>
      <c r="G682" s="48" t="str">
        <f aca="false">STACK!M682</f>
        <v/>
      </c>
      <c r="H682" s="1" t="str">
        <f aca="false">C682&amp;"|"&amp;IF(ISNUMBER(D682),TEXT(D682,"yyyy-mm-dd"),"no date")&amp;"|"&amp;E682&amp;"|"&amp;IF(ISNUMBER(F682),TEXT(F682,"0.00"),"blank")</f>
        <v>Mobile Health Screening Unit|2026-01-31|Community Health Worker|78.25</v>
      </c>
      <c r="I682" s="1" t="n">
        <f aca="false">COUNTIF($H$5:$H$1624,H682)</f>
        <v>1</v>
      </c>
      <c r="J682" s="1" t="n">
        <f aca="false">COUNTIF($H$5:H682,H682)</f>
        <v>1</v>
      </c>
      <c r="K682" s="1" t="n">
        <f aca="false">COUNTIFS($H$5:$H$1624,H682,$B$5:$B$1624,"&lt;&gt;"&amp;B682)</f>
        <v>0</v>
      </c>
      <c r="L682" s="1" t="str">
        <f aca="false">IF(I682&gt;1,IF(K682&gt;0,"Cross-hospital match","Same-hospital match"),"")</f>
        <v/>
      </c>
      <c r="M682" s="52"/>
      <c r="N682" s="52"/>
      <c r="O682" s="1" t="n">
        <f aca="false">IF(M682="Exclude (duplicate)",0,1)</f>
        <v>1</v>
      </c>
      <c r="P682" s="1" t="str">
        <f aca="false">IF(AND(L682&lt;&gt;"",M682=""),"Needs decision","")</f>
        <v/>
      </c>
    </row>
    <row r="683" customFormat="false" ht="15" hidden="false" customHeight="false" outlineLevel="0" collapsed="false">
      <c r="A683" s="48" t="str">
        <f aca="false">COST!A683</f>
        <v>ASH-0150</v>
      </c>
      <c r="B683" s="48" t="str">
        <f aca="false">COST!B683</f>
        <v>ASH</v>
      </c>
      <c r="C683" s="48" t="str">
        <f aca="false">COST!D683</f>
        <v>Mobile Health Screening Unit</v>
      </c>
      <c r="D683" s="62" t="n">
        <f aca="false">COST!M683</f>
        <v>46053</v>
      </c>
      <c r="E683" s="48" t="str">
        <f aca="false">COST!P683</f>
        <v>Medical Assistant</v>
      </c>
      <c r="F683" s="63" t="n">
        <f aca="false">COST!R683</f>
        <v>83.25</v>
      </c>
      <c r="G683" s="48" t="str">
        <f aca="false">STACK!M683</f>
        <v/>
      </c>
      <c r="H683" s="1" t="str">
        <f aca="false">C683&amp;"|"&amp;IF(ISNUMBER(D683),TEXT(D683,"yyyy-mm-dd"),"no date")&amp;"|"&amp;E683&amp;"|"&amp;IF(ISNUMBER(F683),TEXT(F683,"0.00"),"blank")</f>
        <v>Mobile Health Screening Unit|2026-01-31|Medical Assistant|83.25</v>
      </c>
      <c r="I683" s="1" t="n">
        <f aca="false">COUNTIF($H$5:$H$1624,H683)</f>
        <v>1</v>
      </c>
      <c r="J683" s="1" t="n">
        <f aca="false">COUNTIF($H$5:H683,H683)</f>
        <v>1</v>
      </c>
      <c r="K683" s="1" t="n">
        <f aca="false">COUNTIFS($H$5:$H$1624,H683,$B$5:$B$1624,"&lt;&gt;"&amp;B683)</f>
        <v>0</v>
      </c>
      <c r="L683" s="1" t="str">
        <f aca="false">IF(I683&gt;1,IF(K683&gt;0,"Cross-hospital match","Same-hospital match"),"")</f>
        <v/>
      </c>
      <c r="M683" s="52"/>
      <c r="N683" s="52"/>
      <c r="O683" s="1" t="n">
        <f aca="false">IF(M683="Exclude (duplicate)",0,1)</f>
        <v>1</v>
      </c>
      <c r="P683" s="1" t="str">
        <f aca="false">IF(AND(L683&lt;&gt;"",M683=""),"Needs decision","")</f>
        <v/>
      </c>
    </row>
    <row r="684" customFormat="false" ht="15" hidden="false" customHeight="false" outlineLevel="0" collapsed="false">
      <c r="A684" s="48" t="str">
        <f aca="false">COST!A684</f>
        <v>ASH-0151</v>
      </c>
      <c r="B684" s="48" t="str">
        <f aca="false">COST!B684</f>
        <v>ASH</v>
      </c>
      <c r="C684" s="48" t="str">
        <f aca="false">COST!D684</f>
        <v>Mobile Health Screening Unit</v>
      </c>
      <c r="D684" s="62" t="n">
        <f aca="false">COST!M684</f>
        <v>46053</v>
      </c>
      <c r="E684" s="48" t="str">
        <f aca="false">COST!P684</f>
        <v>Registered Nurse</v>
      </c>
      <c r="F684" s="63" t="n">
        <f aca="false">COST!R684</f>
        <v>74</v>
      </c>
      <c r="G684" s="48" t="str">
        <f aca="false">STACK!M684</f>
        <v/>
      </c>
      <c r="H684" s="1" t="str">
        <f aca="false">C684&amp;"|"&amp;IF(ISNUMBER(D684),TEXT(D684,"yyyy-mm-dd"),"no date")&amp;"|"&amp;E684&amp;"|"&amp;IF(ISNUMBER(F684),TEXT(F684,"0.00"),"blank")</f>
        <v>Mobile Health Screening Unit|2026-01-31|Registered Nurse|74.00</v>
      </c>
      <c r="I684" s="1" t="n">
        <f aca="false">COUNTIF($H$5:$H$1624,H684)</f>
        <v>1</v>
      </c>
      <c r="J684" s="1" t="n">
        <f aca="false">COUNTIF($H$5:H684,H684)</f>
        <v>1</v>
      </c>
      <c r="K684" s="1" t="n">
        <f aca="false">COUNTIFS($H$5:$H$1624,H684,$B$5:$B$1624,"&lt;&gt;"&amp;B684)</f>
        <v>0</v>
      </c>
      <c r="L684" s="1" t="str">
        <f aca="false">IF(I684&gt;1,IF(K684&gt;0,"Cross-hospital match","Same-hospital match"),"")</f>
        <v/>
      </c>
      <c r="M684" s="52"/>
      <c r="N684" s="52"/>
      <c r="O684" s="1" t="n">
        <f aca="false">IF(M684="Exclude (duplicate)",0,1)</f>
        <v>1</v>
      </c>
      <c r="P684" s="1" t="str">
        <f aca="false">IF(AND(L684&lt;&gt;"",M684=""),"Needs decision","")</f>
        <v/>
      </c>
    </row>
    <row r="685" customFormat="false" ht="15" hidden="false" customHeight="false" outlineLevel="0" collapsed="false">
      <c r="A685" s="48" t="str">
        <f aca="false">COST!A685</f>
        <v>ASH-0152</v>
      </c>
      <c r="B685" s="48" t="str">
        <f aca="false">COST!B685</f>
        <v>ASH</v>
      </c>
      <c r="C685" s="48" t="str">
        <f aca="false">COST!D685</f>
        <v>Community Health Worker Outreach</v>
      </c>
      <c r="D685" s="62" t="n">
        <f aca="false">COST!M685</f>
        <v>46053</v>
      </c>
      <c r="E685" s="48" t="str">
        <f aca="false">COST!P685</f>
        <v>Community Health Worker</v>
      </c>
      <c r="F685" s="63" t="n">
        <f aca="false">COST!R685</f>
        <v>322</v>
      </c>
      <c r="G685" s="48" t="str">
        <f aca="false">STACK!M685</f>
        <v/>
      </c>
      <c r="H685" s="1" t="str">
        <f aca="false">C685&amp;"|"&amp;IF(ISNUMBER(D685),TEXT(D685,"yyyy-mm-dd"),"no date")&amp;"|"&amp;E685&amp;"|"&amp;IF(ISNUMBER(F685),TEXT(F685,"0.00"),"blank")</f>
        <v>Community Health Worker Outreach|2026-01-31|Community Health Worker|322.00</v>
      </c>
      <c r="I685" s="1" t="n">
        <f aca="false">COUNTIF($H$5:$H$1624,H685)</f>
        <v>1</v>
      </c>
      <c r="J685" s="1" t="n">
        <f aca="false">COUNTIF($H$5:H685,H685)</f>
        <v>1</v>
      </c>
      <c r="K685" s="1" t="n">
        <f aca="false">COUNTIFS($H$5:$H$1624,H685,$B$5:$B$1624,"&lt;&gt;"&amp;B685)</f>
        <v>0</v>
      </c>
      <c r="L685" s="1" t="str">
        <f aca="false">IF(I685&gt;1,IF(K685&gt;0,"Cross-hospital match","Same-hospital match"),"")</f>
        <v/>
      </c>
      <c r="M685" s="52"/>
      <c r="N685" s="52"/>
      <c r="O685" s="1" t="n">
        <f aca="false">IF(M685="Exclude (duplicate)",0,1)</f>
        <v>1</v>
      </c>
      <c r="P685" s="1" t="str">
        <f aca="false">IF(AND(L685&lt;&gt;"",M685=""),"Needs decision","")</f>
        <v/>
      </c>
    </row>
    <row r="686" customFormat="false" ht="15" hidden="false" customHeight="false" outlineLevel="0" collapsed="false">
      <c r="A686" s="48" t="str">
        <f aca="false">COST!A686</f>
        <v>ASH-0153</v>
      </c>
      <c r="B686" s="48" t="str">
        <f aca="false">COST!B686</f>
        <v>ASH</v>
      </c>
      <c r="C686" s="48" t="str">
        <f aca="false">COST!D686</f>
        <v>Community Health Worker Outreach</v>
      </c>
      <c r="D686" s="62" t="n">
        <f aca="false">COST!M686</f>
        <v>46053</v>
      </c>
      <c r="E686" s="48" t="str">
        <f aca="false">COST!P686</f>
        <v>Patient Navigator</v>
      </c>
      <c r="F686" s="63" t="n">
        <f aca="false">COST!R686</f>
        <v>146.25</v>
      </c>
      <c r="G686" s="48" t="str">
        <f aca="false">STACK!M686</f>
        <v/>
      </c>
      <c r="H686" s="1" t="str">
        <f aca="false">C686&amp;"|"&amp;IF(ISNUMBER(D686),TEXT(D686,"yyyy-mm-dd"),"no date")&amp;"|"&amp;E686&amp;"|"&amp;IF(ISNUMBER(F686),TEXT(F686,"0.00"),"blank")</f>
        <v>Community Health Worker Outreach|2026-01-31|Patient Navigator|146.25</v>
      </c>
      <c r="I686" s="1" t="n">
        <f aca="false">COUNTIF($H$5:$H$1624,H686)</f>
        <v>1</v>
      </c>
      <c r="J686" s="1" t="n">
        <f aca="false">COUNTIF($H$5:H686,H686)</f>
        <v>1</v>
      </c>
      <c r="K686" s="1" t="n">
        <f aca="false">COUNTIFS($H$5:$H$1624,H686,$B$5:$B$1624,"&lt;&gt;"&amp;B686)</f>
        <v>0</v>
      </c>
      <c r="L686" s="1" t="str">
        <f aca="false">IF(I686&gt;1,IF(K686&gt;0,"Cross-hospital match","Same-hospital match"),"")</f>
        <v/>
      </c>
      <c r="M686" s="52"/>
      <c r="N686" s="52"/>
      <c r="O686" s="1" t="n">
        <f aca="false">IF(M686="Exclude (duplicate)",0,1)</f>
        <v>1</v>
      </c>
      <c r="P686" s="1" t="str">
        <f aca="false">IF(AND(L686&lt;&gt;"",M686=""),"Needs decision","")</f>
        <v/>
      </c>
    </row>
    <row r="687" customFormat="false" ht="15" hidden="false" customHeight="false" outlineLevel="0" collapsed="false">
      <c r="A687" s="48" t="str">
        <f aca="false">COST!A687</f>
        <v>ASH-0154</v>
      </c>
      <c r="B687" s="48" t="str">
        <f aca="false">COST!B687</f>
        <v>ASH</v>
      </c>
      <c r="C687" s="48" t="str">
        <f aca="false">COST!D687</f>
        <v>Produce Prescription Program</v>
      </c>
      <c r="D687" s="62" t="n">
        <f aca="false">COST!M687</f>
        <v>46053</v>
      </c>
      <c r="E687" s="48" t="str">
        <f aca="false">COST!P687</f>
        <v>Community Health Worker</v>
      </c>
      <c r="F687" s="63" t="n">
        <f aca="false">COST!R687</f>
        <v>43.75</v>
      </c>
      <c r="G687" s="48" t="str">
        <f aca="false">STACK!M687</f>
        <v/>
      </c>
      <c r="H687" s="1" t="str">
        <f aca="false">C687&amp;"|"&amp;IF(ISNUMBER(D687),TEXT(D687,"yyyy-mm-dd"),"no date")&amp;"|"&amp;E687&amp;"|"&amp;IF(ISNUMBER(F687),TEXT(F687,"0.00"),"blank")</f>
        <v>Produce Prescription Program|2026-01-31|Community Health Worker|43.75</v>
      </c>
      <c r="I687" s="1" t="n">
        <f aca="false">COUNTIF($H$5:$H$1624,H687)</f>
        <v>1</v>
      </c>
      <c r="J687" s="1" t="n">
        <f aca="false">COUNTIF($H$5:H687,H687)</f>
        <v>1</v>
      </c>
      <c r="K687" s="1" t="n">
        <f aca="false">COUNTIFS($H$5:$H$1624,H687,$B$5:$B$1624,"&lt;&gt;"&amp;B687)</f>
        <v>0</v>
      </c>
      <c r="L687" s="1" t="str">
        <f aca="false">IF(I687&gt;1,IF(K687&gt;0,"Cross-hospital match","Same-hospital match"),"")</f>
        <v/>
      </c>
      <c r="M687" s="52"/>
      <c r="N687" s="52"/>
      <c r="O687" s="1" t="n">
        <f aca="false">IF(M687="Exclude (duplicate)",0,1)</f>
        <v>1</v>
      </c>
      <c r="P687" s="1" t="str">
        <f aca="false">IF(AND(L687&lt;&gt;"",M687=""),"Needs decision","")</f>
        <v/>
      </c>
    </row>
    <row r="688" customFormat="false" ht="15" hidden="false" customHeight="false" outlineLevel="0" collapsed="false">
      <c r="A688" s="48" t="str">
        <f aca="false">COST!A688</f>
        <v>ASH-0155</v>
      </c>
      <c r="B688" s="48" t="str">
        <f aca="false">COST!B688</f>
        <v>ASH</v>
      </c>
      <c r="C688" s="48" t="str">
        <f aca="false">COST!D688</f>
        <v>Produce Prescription Program</v>
      </c>
      <c r="D688" s="62" t="n">
        <f aca="false">COST!M688</f>
        <v>46053</v>
      </c>
      <c r="E688" s="48" t="str">
        <f aca="false">COST!P688</f>
        <v>Registered Dietitian</v>
      </c>
      <c r="F688" s="63" t="n">
        <f aca="false">COST!R688</f>
        <v>27.25</v>
      </c>
      <c r="G688" s="48" t="str">
        <f aca="false">STACK!M688</f>
        <v/>
      </c>
      <c r="H688" s="1" t="str">
        <f aca="false">C688&amp;"|"&amp;IF(ISNUMBER(D688),TEXT(D688,"yyyy-mm-dd"),"no date")&amp;"|"&amp;E688&amp;"|"&amp;IF(ISNUMBER(F688),TEXT(F688,"0.00"),"blank")</f>
        <v>Produce Prescription Program|2026-01-31|Registered Dietitian|27.25</v>
      </c>
      <c r="I688" s="1" t="n">
        <f aca="false">COUNTIF($H$5:$H$1624,H688)</f>
        <v>1</v>
      </c>
      <c r="J688" s="1" t="n">
        <f aca="false">COUNTIF($H$5:H688,H688)</f>
        <v>1</v>
      </c>
      <c r="K688" s="1" t="n">
        <f aca="false">COUNTIFS($H$5:$H$1624,H688,$B$5:$B$1624,"&lt;&gt;"&amp;B688)</f>
        <v>0</v>
      </c>
      <c r="L688" s="1" t="str">
        <f aca="false">IF(I688&gt;1,IF(K688&gt;0,"Cross-hospital match","Same-hospital match"),"")</f>
        <v/>
      </c>
      <c r="M688" s="52"/>
      <c r="N688" s="52"/>
      <c r="O688" s="1" t="n">
        <f aca="false">IF(M688="Exclude (duplicate)",0,1)</f>
        <v>1</v>
      </c>
      <c r="P688" s="1" t="str">
        <f aca="false">IF(AND(L688&lt;&gt;"",M688=""),"Needs decision","")</f>
        <v/>
      </c>
    </row>
    <row r="689" customFormat="false" ht="15" hidden="false" customHeight="false" outlineLevel="0" collapsed="false">
      <c r="A689" s="48" t="str">
        <f aca="false">COST!A689</f>
        <v>ASH-0156</v>
      </c>
      <c r="B689" s="48" t="str">
        <f aca="false">COST!B689</f>
        <v>ASH</v>
      </c>
      <c r="C689" s="48" t="str">
        <f aca="false">COST!D689</f>
        <v>Community Benefit Program Administration</v>
      </c>
      <c r="D689" s="62" t="n">
        <f aca="false">COST!M689</f>
        <v>46053</v>
      </c>
      <c r="E689" s="48" t="str">
        <f aca="false">COST!P689</f>
        <v>Administrative Assistant</v>
      </c>
      <c r="F689" s="63" t="n">
        <f aca="false">COST!R689</f>
        <v>35.5</v>
      </c>
      <c r="G689" s="48" t="str">
        <f aca="false">STACK!M689</f>
        <v/>
      </c>
      <c r="H689" s="1" t="str">
        <f aca="false">C689&amp;"|"&amp;IF(ISNUMBER(D689),TEXT(D689,"yyyy-mm-dd"),"no date")&amp;"|"&amp;E689&amp;"|"&amp;IF(ISNUMBER(F689),TEXT(F689,"0.00"),"blank")</f>
        <v>Community Benefit Program Administration|2026-01-31|Administrative Assistant|35.50</v>
      </c>
      <c r="I689" s="1" t="n">
        <f aca="false">COUNTIF($H$5:$H$1624,H689)</f>
        <v>1</v>
      </c>
      <c r="J689" s="1" t="n">
        <f aca="false">COUNTIF($H$5:H689,H689)</f>
        <v>1</v>
      </c>
      <c r="K689" s="1" t="n">
        <f aca="false">COUNTIFS($H$5:$H$1624,H689,$B$5:$B$1624,"&lt;&gt;"&amp;B689)</f>
        <v>0</v>
      </c>
      <c r="L689" s="1" t="str">
        <f aca="false">IF(I689&gt;1,IF(K689&gt;0,"Cross-hospital match","Same-hospital match"),"")</f>
        <v/>
      </c>
      <c r="M689" s="52"/>
      <c r="N689" s="52"/>
      <c r="O689" s="1" t="n">
        <f aca="false">IF(M689="Exclude (duplicate)",0,1)</f>
        <v>1</v>
      </c>
      <c r="P689" s="1" t="str">
        <f aca="false">IF(AND(L689&lt;&gt;"",M689=""),"Needs decision","")</f>
        <v/>
      </c>
    </row>
    <row r="690" customFormat="false" ht="15" hidden="false" customHeight="false" outlineLevel="0" collapsed="false">
      <c r="A690" s="48" t="str">
        <f aca="false">COST!A690</f>
        <v>ASH-0157</v>
      </c>
      <c r="B690" s="48" t="str">
        <f aca="false">COST!B690</f>
        <v>ASH</v>
      </c>
      <c r="C690" s="48" t="str">
        <f aca="false">COST!D690</f>
        <v>Community Benefit Program Administration</v>
      </c>
      <c r="D690" s="62" t="n">
        <f aca="false">COST!M690</f>
        <v>46053</v>
      </c>
      <c r="E690" s="48" t="str">
        <f aca="false">COST!P690</f>
        <v>Community Benefit Manager</v>
      </c>
      <c r="F690" s="63" t="n">
        <f aca="false">COST!R690</f>
        <v>61</v>
      </c>
      <c r="G690" s="48" t="str">
        <f aca="false">STACK!M690</f>
        <v/>
      </c>
      <c r="H690" s="1" t="str">
        <f aca="false">C690&amp;"|"&amp;IF(ISNUMBER(D690),TEXT(D690,"yyyy-mm-dd"),"no date")&amp;"|"&amp;E690&amp;"|"&amp;IF(ISNUMBER(F690),TEXT(F690,"0.00"),"blank")</f>
        <v>Community Benefit Program Administration|2026-01-31|Community Benefit Manager|61.00</v>
      </c>
      <c r="I690" s="1" t="n">
        <f aca="false">COUNTIF($H$5:$H$1624,H690)</f>
        <v>1</v>
      </c>
      <c r="J690" s="1" t="n">
        <f aca="false">COUNTIF($H$5:H690,H690)</f>
        <v>1</v>
      </c>
      <c r="K690" s="1" t="n">
        <f aca="false">COUNTIFS($H$5:$H$1624,H690,$B$5:$B$1624,"&lt;&gt;"&amp;B690)</f>
        <v>0</v>
      </c>
      <c r="L690" s="1" t="str">
        <f aca="false">IF(I690&gt;1,IF(K690&gt;0,"Cross-hospital match","Same-hospital match"),"")</f>
        <v/>
      </c>
      <c r="M690" s="52"/>
      <c r="N690" s="52"/>
      <c r="O690" s="1" t="n">
        <f aca="false">IF(M690="Exclude (duplicate)",0,1)</f>
        <v>1</v>
      </c>
      <c r="P690" s="1" t="str">
        <f aca="false">IF(AND(L690&lt;&gt;"",M690=""),"Needs decision","")</f>
        <v/>
      </c>
    </row>
    <row r="691" customFormat="false" ht="15" hidden="false" customHeight="false" outlineLevel="0" collapsed="false">
      <c r="A691" s="48" t="str">
        <f aca="false">COST!A691</f>
        <v>ASH-0158</v>
      </c>
      <c r="B691" s="48" t="str">
        <f aca="false">COST!B691</f>
        <v>ASH</v>
      </c>
      <c r="C691" s="48" t="str">
        <f aca="false">COST!D691</f>
        <v>Fall Prevention Classes for Older Adults</v>
      </c>
      <c r="D691" s="62" t="n">
        <f aca="false">COST!M691</f>
        <v>46053</v>
      </c>
      <c r="E691" s="48" t="str">
        <f aca="false">COST!P691</f>
        <v>Licensed Therapist</v>
      </c>
      <c r="F691" s="63" t="n">
        <f aca="false">COST!R691</f>
        <v>2</v>
      </c>
      <c r="G691" s="48" t="str">
        <f aca="false">STACK!M691</f>
        <v/>
      </c>
      <c r="H691" s="1" t="str">
        <f aca="false">C691&amp;"|"&amp;IF(ISNUMBER(D691),TEXT(D691,"yyyy-mm-dd"),"no date")&amp;"|"&amp;E691&amp;"|"&amp;IF(ISNUMBER(F691),TEXT(F691,"0.00"),"blank")</f>
        <v>Fall Prevention Classes for Older Adults|2026-01-31|Licensed Therapist|2.00</v>
      </c>
      <c r="I691" s="1" t="n">
        <f aca="false">COUNTIF($H$5:$H$1624,H691)</f>
        <v>1</v>
      </c>
      <c r="J691" s="1" t="n">
        <f aca="false">COUNTIF($H$5:H691,H691)</f>
        <v>1</v>
      </c>
      <c r="K691" s="1" t="n">
        <f aca="false">COUNTIFS($H$5:$H$1624,H691,$B$5:$B$1624,"&lt;&gt;"&amp;B691)</f>
        <v>0</v>
      </c>
      <c r="L691" s="1" t="str">
        <f aca="false">IF(I691&gt;1,IF(K691&gt;0,"Cross-hospital match","Same-hospital match"),"")</f>
        <v/>
      </c>
      <c r="M691" s="52"/>
      <c r="N691" s="52"/>
      <c r="O691" s="1" t="n">
        <f aca="false">IF(M691="Exclude (duplicate)",0,1)</f>
        <v>1</v>
      </c>
      <c r="P691" s="1" t="str">
        <f aca="false">IF(AND(L691&lt;&gt;"",M691=""),"Needs decision","")</f>
        <v/>
      </c>
    </row>
    <row r="692" customFormat="false" ht="15" hidden="false" customHeight="false" outlineLevel="0" collapsed="false">
      <c r="A692" s="48" t="str">
        <f aca="false">COST!A692</f>
        <v>ASH-0159</v>
      </c>
      <c r="B692" s="48" t="str">
        <f aca="false">COST!B692</f>
        <v>ASH</v>
      </c>
      <c r="C692" s="48" t="str">
        <f aca="false">COST!D692</f>
        <v>Nursing Student Clinical Rotations</v>
      </c>
      <c r="D692" s="62" t="n">
        <f aca="false">COST!M692</f>
        <v>46053</v>
      </c>
      <c r="E692" s="48" t="str">
        <f aca="false">COST!P692</f>
        <v>Clinical Nurse Educator</v>
      </c>
      <c r="F692" s="63" t="n">
        <f aca="false">COST!R692</f>
        <v>93.75</v>
      </c>
      <c r="G692" s="48" t="str">
        <f aca="false">STACK!M692</f>
        <v/>
      </c>
      <c r="H692" s="1" t="str">
        <f aca="false">C692&amp;"|"&amp;IF(ISNUMBER(D692),TEXT(D692,"yyyy-mm-dd"),"no date")&amp;"|"&amp;E692&amp;"|"&amp;IF(ISNUMBER(F692),TEXT(F692,"0.00"),"blank")</f>
        <v>Nursing Student Clinical Rotations|2026-01-31|Clinical Nurse Educator|93.75</v>
      </c>
      <c r="I692" s="1" t="n">
        <f aca="false">COUNTIF($H$5:$H$1624,H692)</f>
        <v>1</v>
      </c>
      <c r="J692" s="1" t="n">
        <f aca="false">COUNTIF($H$5:H692,H692)</f>
        <v>1</v>
      </c>
      <c r="K692" s="1" t="n">
        <f aca="false">COUNTIFS($H$5:$H$1624,H692,$B$5:$B$1624,"&lt;&gt;"&amp;B692)</f>
        <v>0</v>
      </c>
      <c r="L692" s="1" t="str">
        <f aca="false">IF(I692&gt;1,IF(K692&gt;0,"Cross-hospital match","Same-hospital match"),"")</f>
        <v/>
      </c>
      <c r="M692" s="52"/>
      <c r="N692" s="52"/>
      <c r="O692" s="1" t="n">
        <f aca="false">IF(M692="Exclude (duplicate)",0,1)</f>
        <v>1</v>
      </c>
      <c r="P692" s="1" t="str">
        <f aca="false">IF(AND(L692&lt;&gt;"",M692=""),"Needs decision","")</f>
        <v/>
      </c>
    </row>
    <row r="693" customFormat="false" ht="15" hidden="false" customHeight="false" outlineLevel="0" collapsed="false">
      <c r="A693" s="48" t="str">
        <f aca="false">COST!A693</f>
        <v>ASH-0160</v>
      </c>
      <c r="B693" s="48" t="str">
        <f aca="false">COST!B693</f>
        <v>ASH</v>
      </c>
      <c r="C693" s="48" t="str">
        <f aca="false">COST!D693</f>
        <v>Nursing Student Clinical Rotations</v>
      </c>
      <c r="D693" s="62" t="n">
        <f aca="false">COST!M693</f>
        <v>46053</v>
      </c>
      <c r="E693" s="48" t="str">
        <f aca="false">COST!P693</f>
        <v>Registered Nurse</v>
      </c>
      <c r="F693" s="63" t="n">
        <f aca="false">COST!R693</f>
        <v>227.25</v>
      </c>
      <c r="G693" s="48" t="str">
        <f aca="false">STACK!M693</f>
        <v/>
      </c>
      <c r="H693" s="1" t="str">
        <f aca="false">C693&amp;"|"&amp;IF(ISNUMBER(D693),TEXT(D693,"yyyy-mm-dd"),"no date")&amp;"|"&amp;E693&amp;"|"&amp;IF(ISNUMBER(F693),TEXT(F693,"0.00"),"blank")</f>
        <v>Nursing Student Clinical Rotations|2026-01-31|Registered Nurse|227.25</v>
      </c>
      <c r="I693" s="1" t="n">
        <f aca="false">COUNTIF($H$5:$H$1624,H693)</f>
        <v>1</v>
      </c>
      <c r="J693" s="1" t="n">
        <f aca="false">COUNTIF($H$5:H693,H693)</f>
        <v>1</v>
      </c>
      <c r="K693" s="1" t="n">
        <f aca="false">COUNTIFS($H$5:$H$1624,H693,$B$5:$B$1624,"&lt;&gt;"&amp;B693)</f>
        <v>0</v>
      </c>
      <c r="L693" s="1" t="str">
        <f aca="false">IF(I693&gt;1,IF(K693&gt;0,"Cross-hospital match","Same-hospital match"),"")</f>
        <v/>
      </c>
      <c r="M693" s="52"/>
      <c r="N693" s="52"/>
      <c r="O693" s="1" t="n">
        <f aca="false">IF(M693="Exclude (duplicate)",0,1)</f>
        <v>1</v>
      </c>
      <c r="P693" s="1" t="str">
        <f aca="false">IF(AND(L693&lt;&gt;"",M693=""),"Needs decision","")</f>
        <v/>
      </c>
    </row>
    <row r="694" customFormat="false" ht="15" hidden="false" customHeight="false" outlineLevel="0" collapsed="false">
      <c r="A694" s="48" t="str">
        <f aca="false">COST!A694</f>
        <v>ASH-0161</v>
      </c>
      <c r="B694" s="48" t="str">
        <f aca="false">COST!B694</f>
        <v>ASH</v>
      </c>
      <c r="C694" s="48" t="str">
        <f aca="false">COST!D694</f>
        <v>Paramedic Student Field Training</v>
      </c>
      <c r="D694" s="62" t="n">
        <f aca="false">COST!M694</f>
        <v>46053</v>
      </c>
      <c r="E694" s="48" t="str">
        <f aca="false">COST!P694</f>
        <v>Paramedic</v>
      </c>
      <c r="F694" s="63" t="n">
        <f aca="false">COST!R694</f>
        <v>77.5</v>
      </c>
      <c r="G694" s="48" t="str">
        <f aca="false">STACK!M694</f>
        <v/>
      </c>
      <c r="H694" s="1" t="str">
        <f aca="false">C694&amp;"|"&amp;IF(ISNUMBER(D694),TEXT(D694,"yyyy-mm-dd"),"no date")&amp;"|"&amp;E694&amp;"|"&amp;IF(ISNUMBER(F694),TEXT(F694,"0.00"),"blank")</f>
        <v>Paramedic Student Field Training|2026-01-31|Paramedic|77.50</v>
      </c>
      <c r="I694" s="1" t="n">
        <f aca="false">COUNTIF($H$5:$H$1624,H694)</f>
        <v>1</v>
      </c>
      <c r="J694" s="1" t="n">
        <f aca="false">COUNTIF($H$5:H694,H694)</f>
        <v>1</v>
      </c>
      <c r="K694" s="1" t="n">
        <f aca="false">COUNTIFS($H$5:$H$1624,H694,$B$5:$B$1624,"&lt;&gt;"&amp;B694)</f>
        <v>0</v>
      </c>
      <c r="L694" s="1" t="str">
        <f aca="false">IF(I694&gt;1,IF(K694&gt;0,"Cross-hospital match","Same-hospital match"),"")</f>
        <v/>
      </c>
      <c r="M694" s="52"/>
      <c r="N694" s="52"/>
      <c r="O694" s="1" t="n">
        <f aca="false">IF(M694="Exclude (duplicate)",0,1)</f>
        <v>1</v>
      </c>
      <c r="P694" s="1" t="str">
        <f aca="false">IF(AND(L694&lt;&gt;"",M694=""),"Needs decision","")</f>
        <v/>
      </c>
    </row>
    <row r="695" customFormat="false" ht="15" hidden="false" customHeight="false" outlineLevel="0" collapsed="false">
      <c r="A695" s="48" t="str">
        <f aca="false">COST!A695</f>
        <v>ASH-0162</v>
      </c>
      <c r="B695" s="48" t="str">
        <f aca="false">COST!B695</f>
        <v>ASH</v>
      </c>
      <c r="C695" s="48" t="str">
        <f aca="false">COST!D695</f>
        <v>Diabetes Prevention Classes</v>
      </c>
      <c r="D695" s="62" t="n">
        <f aca="false">COST!M695</f>
        <v>46055</v>
      </c>
      <c r="E695" s="48" t="str">
        <f aca="false">COST!P695</f>
        <v>Health Educator</v>
      </c>
      <c r="F695" s="63" t="n">
        <f aca="false">COST!R695</f>
        <v>2.25</v>
      </c>
      <c r="G695" s="48" t="str">
        <f aca="false">STACK!M695</f>
        <v/>
      </c>
      <c r="H695" s="1" t="str">
        <f aca="false">C695&amp;"|"&amp;IF(ISNUMBER(D695),TEXT(D695,"yyyy-mm-dd"),"no date")&amp;"|"&amp;E695&amp;"|"&amp;IF(ISNUMBER(F695),TEXT(F695,"0.00"),"blank")</f>
        <v>Diabetes Prevention Classes|2026-02-02|Health Educator|2.25</v>
      </c>
      <c r="I695" s="1" t="n">
        <f aca="false">COUNTIF($H$5:$H$1624,H695)</f>
        <v>1</v>
      </c>
      <c r="J695" s="1" t="n">
        <f aca="false">COUNTIF($H$5:H695,H695)</f>
        <v>1</v>
      </c>
      <c r="K695" s="1" t="n">
        <f aca="false">COUNTIFS($H$5:$H$1624,H695,$B$5:$B$1624,"&lt;&gt;"&amp;B695)</f>
        <v>0</v>
      </c>
      <c r="L695" s="1" t="str">
        <f aca="false">IF(I695&gt;1,IF(K695&gt;0,"Cross-hospital match","Same-hospital match"),"")</f>
        <v/>
      </c>
      <c r="M695" s="52"/>
      <c r="N695" s="52"/>
      <c r="O695" s="1" t="n">
        <f aca="false">IF(M695="Exclude (duplicate)",0,1)</f>
        <v>1</v>
      </c>
      <c r="P695" s="1" t="str">
        <f aca="false">IF(AND(L695&lt;&gt;"",M695=""),"Needs decision","")</f>
        <v/>
      </c>
    </row>
    <row r="696" customFormat="false" ht="15" hidden="false" customHeight="false" outlineLevel="0" collapsed="false">
      <c r="A696" s="48" t="str">
        <f aca="false">COST!A696</f>
        <v>ASH-0163</v>
      </c>
      <c r="B696" s="48" t="str">
        <f aca="false">COST!B696</f>
        <v>ASH</v>
      </c>
      <c r="C696" s="48" t="str">
        <f aca="false">COST!D696</f>
        <v>Diabetes Prevention Classes</v>
      </c>
      <c r="D696" s="62" t="n">
        <f aca="false">COST!M696</f>
        <v>46055</v>
      </c>
      <c r="E696" s="48" t="str">
        <f aca="false">COST!P696</f>
        <v>Registered Dietitian</v>
      </c>
      <c r="F696" s="63" t="n">
        <f aca="false">COST!R696</f>
        <v>1.75</v>
      </c>
      <c r="G696" s="48" t="str">
        <f aca="false">STACK!M696</f>
        <v/>
      </c>
      <c r="H696" s="1" t="str">
        <f aca="false">C696&amp;"|"&amp;IF(ISNUMBER(D696),TEXT(D696,"yyyy-mm-dd"),"no date")&amp;"|"&amp;E696&amp;"|"&amp;IF(ISNUMBER(F696),TEXT(F696,"0.00"),"blank")</f>
        <v>Diabetes Prevention Classes|2026-02-02|Registered Dietitian|1.75</v>
      </c>
      <c r="I696" s="1" t="n">
        <f aca="false">COUNTIF($H$5:$H$1624,H696)</f>
        <v>1</v>
      </c>
      <c r="J696" s="1" t="n">
        <f aca="false">COUNTIF($H$5:H696,H696)</f>
        <v>1</v>
      </c>
      <c r="K696" s="1" t="n">
        <f aca="false">COUNTIFS($H$5:$H$1624,H696,$B$5:$B$1624,"&lt;&gt;"&amp;B696)</f>
        <v>0</v>
      </c>
      <c r="L696" s="1" t="str">
        <f aca="false">IF(I696&gt;1,IF(K696&gt;0,"Cross-hospital match","Same-hospital match"),"")</f>
        <v/>
      </c>
      <c r="M696" s="52"/>
      <c r="N696" s="52"/>
      <c r="O696" s="1" t="n">
        <f aca="false">IF(M696="Exclude (duplicate)",0,1)</f>
        <v>1</v>
      </c>
      <c r="P696" s="1" t="str">
        <f aca="false">IF(AND(L696&lt;&gt;"",M696=""),"Needs decision","")</f>
        <v/>
      </c>
    </row>
    <row r="697" customFormat="false" ht="15" hidden="false" customHeight="false" outlineLevel="0" collapsed="false">
      <c r="A697" s="48" t="str">
        <f aca="false">COST!A697</f>
        <v>ASH-0164</v>
      </c>
      <c r="B697" s="48" t="str">
        <f aca="false">COST!B697</f>
        <v>ASH</v>
      </c>
      <c r="C697" s="48" t="str">
        <f aca="false">COST!D697</f>
        <v>Grief Support Group</v>
      </c>
      <c r="D697" s="62" t="n">
        <f aca="false">COST!M697</f>
        <v>46055</v>
      </c>
      <c r="E697" s="48" t="str">
        <f aca="false">COST!P697</f>
        <v>Chaplain</v>
      </c>
      <c r="F697" s="63" t="n">
        <f aca="false">COST!R697</f>
        <v>2.5</v>
      </c>
      <c r="G697" s="48" t="str">
        <f aca="false">STACK!M697</f>
        <v/>
      </c>
      <c r="H697" s="1" t="str">
        <f aca="false">C697&amp;"|"&amp;IF(ISNUMBER(D697),TEXT(D697,"yyyy-mm-dd"),"no date")&amp;"|"&amp;E697&amp;"|"&amp;IF(ISNUMBER(F697),TEXT(F697,"0.00"),"blank")</f>
        <v>Grief Support Group|2026-02-02|Chaplain|2.50</v>
      </c>
      <c r="I697" s="1" t="n">
        <f aca="false">COUNTIF($H$5:$H$1624,H697)</f>
        <v>1</v>
      </c>
      <c r="J697" s="1" t="n">
        <f aca="false">COUNTIF($H$5:H697,H697)</f>
        <v>1</v>
      </c>
      <c r="K697" s="1" t="n">
        <f aca="false">COUNTIFS($H$5:$H$1624,H697,$B$5:$B$1624,"&lt;&gt;"&amp;B697)</f>
        <v>0</v>
      </c>
      <c r="L697" s="1" t="str">
        <f aca="false">IF(I697&gt;1,IF(K697&gt;0,"Cross-hospital match","Same-hospital match"),"")</f>
        <v/>
      </c>
      <c r="M697" s="52"/>
      <c r="N697" s="52"/>
      <c r="O697" s="1" t="n">
        <f aca="false">IF(M697="Exclude (duplicate)",0,1)</f>
        <v>1</v>
      </c>
      <c r="P697" s="1" t="str">
        <f aca="false">IF(AND(L697&lt;&gt;"",M697=""),"Needs decision","")</f>
        <v/>
      </c>
    </row>
    <row r="698" customFormat="false" ht="15" hidden="false" customHeight="false" outlineLevel="0" collapsed="false">
      <c r="A698" s="48" t="str">
        <f aca="false">COST!A698</f>
        <v>ASH-0165</v>
      </c>
      <c r="B698" s="48" t="str">
        <f aca="false">COST!B698</f>
        <v>ASH</v>
      </c>
      <c r="C698" s="48" t="str">
        <f aca="false">COST!D698</f>
        <v>Grief Support Group</v>
      </c>
      <c r="D698" s="62" t="n">
        <f aca="false">COST!M698</f>
        <v>46055</v>
      </c>
      <c r="E698" s="48" t="str">
        <f aca="false">COST!P698</f>
        <v>Social Worker</v>
      </c>
      <c r="F698" s="63" t="n">
        <f aca="false">COST!R698</f>
        <v>1.75</v>
      </c>
      <c r="G698" s="48" t="str">
        <f aca="false">STACK!M698</f>
        <v/>
      </c>
      <c r="H698" s="1" t="str">
        <f aca="false">C698&amp;"|"&amp;IF(ISNUMBER(D698),TEXT(D698,"yyyy-mm-dd"),"no date")&amp;"|"&amp;E698&amp;"|"&amp;IF(ISNUMBER(F698),TEXT(F698,"0.00"),"blank")</f>
        <v>Grief Support Group|2026-02-02|Social Worker|1.75</v>
      </c>
      <c r="I698" s="1" t="n">
        <f aca="false">COUNTIF($H$5:$H$1624,H698)</f>
        <v>1</v>
      </c>
      <c r="J698" s="1" t="n">
        <f aca="false">COUNTIF($H$5:H698,H698)</f>
        <v>1</v>
      </c>
      <c r="K698" s="1" t="n">
        <f aca="false">COUNTIFS($H$5:$H$1624,H698,$B$5:$B$1624,"&lt;&gt;"&amp;B698)</f>
        <v>0</v>
      </c>
      <c r="L698" s="1" t="str">
        <f aca="false">IF(I698&gt;1,IF(K698&gt;0,"Cross-hospital match","Same-hospital match"),"")</f>
        <v/>
      </c>
      <c r="M698" s="52"/>
      <c r="N698" s="52"/>
      <c r="O698" s="1" t="n">
        <f aca="false">IF(M698="Exclude (duplicate)",0,1)</f>
        <v>1</v>
      </c>
      <c r="P698" s="1" t="str">
        <f aca="false">IF(AND(L698&lt;&gt;"",M698=""),"Needs decision","")</f>
        <v/>
      </c>
    </row>
    <row r="699" customFormat="false" ht="15" hidden="false" customHeight="false" outlineLevel="0" collapsed="false">
      <c r="A699" s="48" t="str">
        <f aca="false">COST!A699</f>
        <v>ASH-0166</v>
      </c>
      <c r="B699" s="48" t="str">
        <f aca="false">COST!B699</f>
        <v>ASH</v>
      </c>
      <c r="C699" s="48" t="str">
        <f aca="false">COST!D699</f>
        <v>Regional Health Coalition</v>
      </c>
      <c r="D699" s="62" t="n">
        <f aca="false">COST!M699</f>
        <v>46057</v>
      </c>
      <c r="E699" s="48" t="str">
        <f aca="false">COST!P699</f>
        <v>Community Benefit Manager</v>
      </c>
      <c r="F699" s="63" t="n">
        <f aca="false">COST!R699</f>
        <v>2.5</v>
      </c>
      <c r="G699" s="48" t="str">
        <f aca="false">STACK!M699</f>
        <v/>
      </c>
      <c r="H699" s="1" t="str">
        <f aca="false">C699&amp;"|"&amp;IF(ISNUMBER(D699),TEXT(D699,"yyyy-mm-dd"),"no date")&amp;"|"&amp;E699&amp;"|"&amp;IF(ISNUMBER(F699),TEXT(F699,"0.00"),"blank")</f>
        <v>Regional Health Coalition|2026-02-04|Community Benefit Manager|2.50</v>
      </c>
      <c r="I699" s="1" t="n">
        <f aca="false">COUNTIF($H$5:$H$1624,H699)</f>
        <v>1</v>
      </c>
      <c r="J699" s="1" t="n">
        <f aca="false">COUNTIF($H$5:H699,H699)</f>
        <v>1</v>
      </c>
      <c r="K699" s="1" t="n">
        <f aca="false">COUNTIFS($H$5:$H$1624,H699,$B$5:$B$1624,"&lt;&gt;"&amp;B699)</f>
        <v>0</v>
      </c>
      <c r="L699" s="1" t="str">
        <f aca="false">IF(I699&gt;1,IF(K699&gt;0,"Cross-hospital match","Same-hospital match"),"")</f>
        <v/>
      </c>
      <c r="M699" s="52"/>
      <c r="N699" s="52"/>
      <c r="O699" s="1" t="n">
        <f aca="false">IF(M699="Exclude (duplicate)",0,1)</f>
        <v>1</v>
      </c>
      <c r="P699" s="1" t="str">
        <f aca="false">IF(AND(L699&lt;&gt;"",M699=""),"Needs decision","")</f>
        <v/>
      </c>
    </row>
    <row r="700" customFormat="false" ht="15" hidden="false" customHeight="false" outlineLevel="0" collapsed="false">
      <c r="A700" s="48" t="str">
        <f aca="false">COST!A700</f>
        <v>ASH-0167</v>
      </c>
      <c r="B700" s="48" t="str">
        <f aca="false">COST!B700</f>
        <v>ASH</v>
      </c>
      <c r="C700" s="48" t="str">
        <f aca="false">COST!D700</f>
        <v>Regional Health Coalition</v>
      </c>
      <c r="D700" s="62" t="n">
        <f aca="false">COST!M700</f>
        <v>46057</v>
      </c>
      <c r="E700" s="48" t="str">
        <f aca="false">COST!P700</f>
        <v>Director</v>
      </c>
      <c r="F700" s="63" t="n">
        <f aca="false">COST!R700</f>
        <v>2.5</v>
      </c>
      <c r="G700" s="48" t="str">
        <f aca="false">STACK!M700</f>
        <v/>
      </c>
      <c r="H700" s="1" t="str">
        <f aca="false">C700&amp;"|"&amp;IF(ISNUMBER(D700),TEXT(D700,"yyyy-mm-dd"),"no date")&amp;"|"&amp;E700&amp;"|"&amp;IF(ISNUMBER(F700),TEXT(F700,"0.00"),"blank")</f>
        <v>Regional Health Coalition|2026-02-04|Director|2.50</v>
      </c>
      <c r="I700" s="1" t="n">
        <f aca="false">COUNTIF($H$5:$H$1624,H700)</f>
        <v>1</v>
      </c>
      <c r="J700" s="1" t="n">
        <f aca="false">COUNTIF($H$5:H700,H700)</f>
        <v>1</v>
      </c>
      <c r="K700" s="1" t="n">
        <f aca="false">COUNTIFS($H$5:$H$1624,H700,$B$5:$B$1624,"&lt;&gt;"&amp;B700)</f>
        <v>0</v>
      </c>
      <c r="L700" s="1" t="str">
        <f aca="false">IF(I700&gt;1,IF(K700&gt;0,"Cross-hospital match","Same-hospital match"),"")</f>
        <v/>
      </c>
      <c r="M700" s="52"/>
      <c r="N700" s="52"/>
      <c r="O700" s="1" t="n">
        <f aca="false">IF(M700="Exclude (duplicate)",0,1)</f>
        <v>1</v>
      </c>
      <c r="P700" s="1" t="str">
        <f aca="false">IF(AND(L700&lt;&gt;"",M700=""),"Needs decision","")</f>
        <v/>
      </c>
    </row>
    <row r="701" customFormat="false" ht="15" hidden="false" customHeight="false" outlineLevel="0" collapsed="false">
      <c r="A701" s="48" t="str">
        <f aca="false">COST!A701</f>
        <v>ASH-0168</v>
      </c>
      <c r="B701" s="48" t="str">
        <f aca="false">COST!B701</f>
        <v>ASH</v>
      </c>
      <c r="C701" s="48" t="str">
        <f aca="false">COST!D701</f>
        <v>Neighborhood Leadership Academy</v>
      </c>
      <c r="D701" s="62" t="n">
        <f aca="false">COST!M701</f>
        <v>46057</v>
      </c>
      <c r="E701" s="48" t="str">
        <f aca="false">COST!P701</f>
        <v>Health Educator</v>
      </c>
      <c r="F701" s="63" t="n">
        <f aca="false">COST!R701</f>
        <v>3.75</v>
      </c>
      <c r="G701" s="48" t="str">
        <f aca="false">STACK!M701</f>
        <v/>
      </c>
      <c r="H701" s="1" t="str">
        <f aca="false">C701&amp;"|"&amp;IF(ISNUMBER(D701),TEXT(D701,"yyyy-mm-dd"),"no date")&amp;"|"&amp;E701&amp;"|"&amp;IF(ISNUMBER(F701),TEXT(F701,"0.00"),"blank")</f>
        <v>Neighborhood Leadership Academy|2026-02-04|Health Educator|3.75</v>
      </c>
      <c r="I701" s="1" t="n">
        <f aca="false">COUNTIF($H$5:$H$1624,H701)</f>
        <v>1</v>
      </c>
      <c r="J701" s="1" t="n">
        <f aca="false">COUNTIF($H$5:H701,H701)</f>
        <v>1</v>
      </c>
      <c r="K701" s="1" t="n">
        <f aca="false">COUNTIFS($H$5:$H$1624,H701,$B$5:$B$1624,"&lt;&gt;"&amp;B701)</f>
        <v>0</v>
      </c>
      <c r="L701" s="1" t="str">
        <f aca="false">IF(I701&gt;1,IF(K701&gt;0,"Cross-hospital match","Same-hospital match"),"")</f>
        <v/>
      </c>
      <c r="M701" s="52"/>
      <c r="N701" s="52"/>
      <c r="O701" s="1" t="n">
        <f aca="false">IF(M701="Exclude (duplicate)",0,1)</f>
        <v>1</v>
      </c>
      <c r="P701" s="1" t="str">
        <f aca="false">IF(AND(L701&lt;&gt;"",M701=""),"Needs decision","")</f>
        <v/>
      </c>
    </row>
    <row r="702" customFormat="false" ht="15" hidden="false" customHeight="false" outlineLevel="0" collapsed="false">
      <c r="A702" s="48" t="str">
        <f aca="false">COST!A702</f>
        <v>ASH-0169</v>
      </c>
      <c r="B702" s="48" t="str">
        <f aca="false">COST!B702</f>
        <v>ASH</v>
      </c>
      <c r="C702" s="48" t="str">
        <f aca="false">COST!D702</f>
        <v>Neighborhood Leadership Academy</v>
      </c>
      <c r="D702" s="62" t="n">
        <f aca="false">COST!M702</f>
        <v>46057</v>
      </c>
      <c r="E702" s="48" t="str">
        <f aca="false">COST!P702</f>
        <v>Program Coordinator</v>
      </c>
      <c r="F702" s="63" t="n">
        <f aca="false">COST!R702</f>
        <v>4.75</v>
      </c>
      <c r="G702" s="48" t="str">
        <f aca="false">STACK!M702</f>
        <v/>
      </c>
      <c r="H702" s="1" t="str">
        <f aca="false">C702&amp;"|"&amp;IF(ISNUMBER(D702),TEXT(D702,"yyyy-mm-dd"),"no date")&amp;"|"&amp;E702&amp;"|"&amp;IF(ISNUMBER(F702),TEXT(F702,"0.00"),"blank")</f>
        <v>Neighborhood Leadership Academy|2026-02-04|Program Coordinator|4.75</v>
      </c>
      <c r="I702" s="1" t="n">
        <f aca="false">COUNTIF($H$5:$H$1624,H702)</f>
        <v>1</v>
      </c>
      <c r="J702" s="1" t="n">
        <f aca="false">COUNTIF($H$5:H702,H702)</f>
        <v>1</v>
      </c>
      <c r="K702" s="1" t="n">
        <f aca="false">COUNTIFS($H$5:$H$1624,H702,$B$5:$B$1624,"&lt;&gt;"&amp;B702)</f>
        <v>0</v>
      </c>
      <c r="L702" s="1" t="str">
        <f aca="false">IF(I702&gt;1,IF(K702&gt;0,"Cross-hospital match","Same-hospital match"),"")</f>
        <v/>
      </c>
      <c r="M702" s="52"/>
      <c r="N702" s="52"/>
      <c r="O702" s="1" t="n">
        <f aca="false">IF(M702="Exclude (duplicate)",0,1)</f>
        <v>1</v>
      </c>
      <c r="P702" s="1" t="str">
        <f aca="false">IF(AND(L702&lt;&gt;"",M702=""),"Needs decision","")</f>
        <v/>
      </c>
    </row>
    <row r="703" customFormat="false" ht="15" hidden="false" customHeight="false" outlineLevel="0" collapsed="false">
      <c r="A703" s="48" t="str">
        <f aca="false">COST!A703</f>
        <v>ASH-0170</v>
      </c>
      <c r="B703" s="48" t="str">
        <f aca="false">COST!B703</f>
        <v>ASH</v>
      </c>
      <c r="C703" s="48" t="str">
        <f aca="false">COST!D703</f>
        <v>Car Seat Safety Checks</v>
      </c>
      <c r="D703" s="62" t="n">
        <f aca="false">COST!M703</f>
        <v>46064</v>
      </c>
      <c r="E703" s="48" t="str">
        <f aca="false">COST!P703</f>
        <v>Paramedic</v>
      </c>
      <c r="F703" s="63" t="n">
        <f aca="false">COST!R703</f>
        <v>3</v>
      </c>
      <c r="G703" s="48" t="str">
        <f aca="false">STACK!M703</f>
        <v/>
      </c>
      <c r="H703" s="1" t="str">
        <f aca="false">C703&amp;"|"&amp;IF(ISNUMBER(D703),TEXT(D703,"yyyy-mm-dd"),"no date")&amp;"|"&amp;E703&amp;"|"&amp;IF(ISNUMBER(F703),TEXT(F703,"0.00"),"blank")</f>
        <v>Car Seat Safety Checks|2026-02-11|Paramedic|3.00</v>
      </c>
      <c r="I703" s="1" t="n">
        <f aca="false">COUNTIF($H$5:$H$1624,H703)</f>
        <v>1</v>
      </c>
      <c r="J703" s="1" t="n">
        <f aca="false">COUNTIF($H$5:H703,H703)</f>
        <v>1</v>
      </c>
      <c r="K703" s="1" t="n">
        <f aca="false">COUNTIFS($H$5:$H$1624,H703,$B$5:$B$1624,"&lt;&gt;"&amp;B703)</f>
        <v>0</v>
      </c>
      <c r="L703" s="1" t="str">
        <f aca="false">IF(I703&gt;1,IF(K703&gt;0,"Cross-hospital match","Same-hospital match"),"")</f>
        <v/>
      </c>
      <c r="M703" s="52"/>
      <c r="N703" s="52"/>
      <c r="O703" s="1" t="n">
        <f aca="false">IF(M703="Exclude (duplicate)",0,1)</f>
        <v>1</v>
      </c>
      <c r="P703" s="1" t="str">
        <f aca="false">IF(AND(L703&lt;&gt;"",M703=""),"Needs decision","")</f>
        <v/>
      </c>
    </row>
    <row r="704" customFormat="false" ht="15" hidden="false" customHeight="false" outlineLevel="0" collapsed="false">
      <c r="A704" s="48" t="str">
        <f aca="false">COST!A704</f>
        <v>ASH-0171</v>
      </c>
      <c r="B704" s="48" t="str">
        <f aca="false">COST!B704</f>
        <v>ASH</v>
      </c>
      <c r="C704" s="48" t="str">
        <f aca="false">COST!D704</f>
        <v>Car Seat Safety Checks</v>
      </c>
      <c r="D704" s="62" t="n">
        <f aca="false">COST!M704</f>
        <v>46064</v>
      </c>
      <c r="E704" s="48" t="str">
        <f aca="false">COST!P704</f>
        <v>Registered Nurse</v>
      </c>
      <c r="F704" s="63" t="n">
        <f aca="false">COST!R704</f>
        <v>3.25</v>
      </c>
      <c r="G704" s="48" t="str">
        <f aca="false">STACK!M704</f>
        <v/>
      </c>
      <c r="H704" s="1" t="str">
        <f aca="false">C704&amp;"|"&amp;IF(ISNUMBER(D704),TEXT(D704,"yyyy-mm-dd"),"no date")&amp;"|"&amp;E704&amp;"|"&amp;IF(ISNUMBER(F704),TEXT(F704,"0.00"),"blank")</f>
        <v>Car Seat Safety Checks|2026-02-11|Registered Nurse|3.25</v>
      </c>
      <c r="I704" s="1" t="n">
        <f aca="false">COUNTIF($H$5:$H$1624,H704)</f>
        <v>1</v>
      </c>
      <c r="J704" s="1" t="n">
        <f aca="false">COUNTIF($H$5:H704,H704)</f>
        <v>1</v>
      </c>
      <c r="K704" s="1" t="n">
        <f aca="false">COUNTIFS($H$5:$H$1624,H704,$B$5:$B$1624,"&lt;&gt;"&amp;B704)</f>
        <v>0</v>
      </c>
      <c r="L704" s="1" t="str">
        <f aca="false">IF(I704&gt;1,IF(K704&gt;0,"Cross-hospital match","Same-hospital match"),"")</f>
        <v/>
      </c>
      <c r="M704" s="52"/>
      <c r="N704" s="52"/>
      <c r="O704" s="1" t="n">
        <f aca="false">IF(M704="Exclude (duplicate)",0,1)</f>
        <v>1</v>
      </c>
      <c r="P704" s="1" t="str">
        <f aca="false">IF(AND(L704&lt;&gt;"",M704=""),"Needs decision","")</f>
        <v/>
      </c>
    </row>
    <row r="705" customFormat="false" ht="15" hidden="false" customHeight="false" outlineLevel="0" collapsed="false">
      <c r="A705" s="48" t="str">
        <f aca="false">COST!A705</f>
        <v>ASH-0172</v>
      </c>
      <c r="B705" s="48" t="str">
        <f aca="false">COST!B705</f>
        <v>ASH</v>
      </c>
      <c r="C705" s="48" t="str">
        <f aca="false">COST!D705</f>
        <v>Diabetes Prevention Classes</v>
      </c>
      <c r="D705" s="62" t="n">
        <f aca="false">COST!M705</f>
        <v>46067</v>
      </c>
      <c r="E705" s="48" t="str">
        <f aca="false">COST!P705</f>
        <v>Health Educator</v>
      </c>
      <c r="F705" s="63" t="n">
        <f aca="false">COST!R705</f>
        <v>2.25</v>
      </c>
      <c r="G705" s="48" t="str">
        <f aca="false">STACK!M705</f>
        <v/>
      </c>
      <c r="H705" s="1" t="str">
        <f aca="false">C705&amp;"|"&amp;IF(ISNUMBER(D705),TEXT(D705,"yyyy-mm-dd"),"no date")&amp;"|"&amp;E705&amp;"|"&amp;IF(ISNUMBER(F705),TEXT(F705,"0.00"),"blank")</f>
        <v>Diabetes Prevention Classes|2026-02-14|Health Educator|2.25</v>
      </c>
      <c r="I705" s="1" t="n">
        <f aca="false">COUNTIF($H$5:$H$1624,H705)</f>
        <v>1</v>
      </c>
      <c r="J705" s="1" t="n">
        <f aca="false">COUNTIF($H$5:H705,H705)</f>
        <v>1</v>
      </c>
      <c r="K705" s="1" t="n">
        <f aca="false">COUNTIFS($H$5:$H$1624,H705,$B$5:$B$1624,"&lt;&gt;"&amp;B705)</f>
        <v>0</v>
      </c>
      <c r="L705" s="1" t="str">
        <f aca="false">IF(I705&gt;1,IF(K705&gt;0,"Cross-hospital match","Same-hospital match"),"")</f>
        <v/>
      </c>
      <c r="M705" s="52"/>
      <c r="N705" s="52"/>
      <c r="O705" s="1" t="n">
        <f aca="false">IF(M705="Exclude (duplicate)",0,1)</f>
        <v>1</v>
      </c>
      <c r="P705" s="1" t="str">
        <f aca="false">IF(AND(L705&lt;&gt;"",M705=""),"Needs decision","")</f>
        <v/>
      </c>
    </row>
    <row r="706" customFormat="false" ht="15" hidden="false" customHeight="false" outlineLevel="0" collapsed="false">
      <c r="A706" s="48" t="str">
        <f aca="false">COST!A706</f>
        <v>ASH-0173</v>
      </c>
      <c r="B706" s="48" t="str">
        <f aca="false">COST!B706</f>
        <v>ASH</v>
      </c>
      <c r="C706" s="48" t="str">
        <f aca="false">COST!D706</f>
        <v>Diabetes Prevention Classes</v>
      </c>
      <c r="D706" s="62" t="n">
        <f aca="false">COST!M706</f>
        <v>46067</v>
      </c>
      <c r="E706" s="48" t="str">
        <f aca="false">COST!P706</f>
        <v>Registered Dietitian</v>
      </c>
      <c r="F706" s="63" t="n">
        <f aca="false">COST!R706</f>
        <v>2</v>
      </c>
      <c r="G706" s="48" t="str">
        <f aca="false">STACK!M706</f>
        <v/>
      </c>
      <c r="H706" s="1" t="str">
        <f aca="false">C706&amp;"|"&amp;IF(ISNUMBER(D706),TEXT(D706,"yyyy-mm-dd"),"no date")&amp;"|"&amp;E706&amp;"|"&amp;IF(ISNUMBER(F706),TEXT(F706,"0.00"),"blank")</f>
        <v>Diabetes Prevention Classes|2026-02-14|Registered Dietitian|2.00</v>
      </c>
      <c r="I706" s="1" t="n">
        <f aca="false">COUNTIF($H$5:$H$1624,H706)</f>
        <v>1</v>
      </c>
      <c r="J706" s="1" t="n">
        <f aca="false">COUNTIF($H$5:H706,H706)</f>
        <v>1</v>
      </c>
      <c r="K706" s="1" t="n">
        <f aca="false">COUNTIFS($H$5:$H$1624,H706,$B$5:$B$1624,"&lt;&gt;"&amp;B706)</f>
        <v>0</v>
      </c>
      <c r="L706" s="1" t="str">
        <f aca="false">IF(I706&gt;1,IF(K706&gt;0,"Cross-hospital match","Same-hospital match"),"")</f>
        <v/>
      </c>
      <c r="M706" s="52"/>
      <c r="N706" s="52"/>
      <c r="O706" s="1" t="n">
        <f aca="false">IF(M706="Exclude (duplicate)",0,1)</f>
        <v>1</v>
      </c>
      <c r="P706" s="1" t="str">
        <f aca="false">IF(AND(L706&lt;&gt;"",M706=""),"Needs decision","")</f>
        <v/>
      </c>
    </row>
    <row r="707" customFormat="false" ht="15" hidden="false" customHeight="false" outlineLevel="0" collapsed="false">
      <c r="A707" s="48" t="str">
        <f aca="false">COST!A707</f>
        <v>ASH-0174</v>
      </c>
      <c r="B707" s="48" t="str">
        <f aca="false">COST!B707</f>
        <v>ASH</v>
      </c>
      <c r="C707" s="48" t="str">
        <f aca="false">COST!D707</f>
        <v>Community Blood Pressure Checks</v>
      </c>
      <c r="D707" s="62" t="n">
        <f aca="false">COST!M707</f>
        <v>46074</v>
      </c>
      <c r="E707" s="48" t="str">
        <f aca="false">COST!P707</f>
        <v>Registered Nurse</v>
      </c>
      <c r="F707" s="63" t="n">
        <f aca="false">COST!R707</f>
        <v>4</v>
      </c>
      <c r="G707" s="48" t="str">
        <f aca="false">STACK!M707</f>
        <v/>
      </c>
      <c r="H707" s="1" t="str">
        <f aca="false">C707&amp;"|"&amp;IF(ISNUMBER(D707),TEXT(D707,"yyyy-mm-dd"),"no date")&amp;"|"&amp;E707&amp;"|"&amp;IF(ISNUMBER(F707),TEXT(F707,"0.00"),"blank")</f>
        <v>Community Blood Pressure Checks|2026-02-21|Registered Nurse|4.00</v>
      </c>
      <c r="I707" s="1" t="n">
        <f aca="false">COUNTIF($H$5:$H$1624,H707)</f>
        <v>1</v>
      </c>
      <c r="J707" s="1" t="n">
        <f aca="false">COUNTIF($H$5:H707,H707)</f>
        <v>1</v>
      </c>
      <c r="K707" s="1" t="n">
        <f aca="false">COUNTIFS($H$5:$H$1624,H707,$B$5:$B$1624,"&lt;&gt;"&amp;B707)</f>
        <v>0</v>
      </c>
      <c r="L707" s="1" t="str">
        <f aca="false">IF(I707&gt;1,IF(K707&gt;0,"Cross-hospital match","Same-hospital match"),"")</f>
        <v/>
      </c>
      <c r="M707" s="52"/>
      <c r="N707" s="52"/>
      <c r="O707" s="1" t="n">
        <f aca="false">IF(M707="Exclude (duplicate)",0,1)</f>
        <v>1</v>
      </c>
      <c r="P707" s="1" t="str">
        <f aca="false">IF(AND(L707&lt;&gt;"",M707=""),"Needs decision","")</f>
        <v/>
      </c>
    </row>
    <row r="708" customFormat="false" ht="15" hidden="false" customHeight="false" outlineLevel="0" collapsed="false">
      <c r="A708" s="48" t="str">
        <f aca="false">COST!A708</f>
        <v>ASH-0175</v>
      </c>
      <c r="B708" s="48" t="str">
        <f aca="false">COST!B708</f>
        <v>ASH</v>
      </c>
      <c r="C708" s="48" t="str">
        <f aca="false">COST!D708</f>
        <v>Mobile Health Screening Unit</v>
      </c>
      <c r="D708" s="62" t="n">
        <f aca="false">COST!M708</f>
        <v>46081</v>
      </c>
      <c r="E708" s="48" t="str">
        <f aca="false">COST!P708</f>
        <v>Community Health Worker</v>
      </c>
      <c r="F708" s="63" t="n">
        <f aca="false">COST!R708</f>
        <v>77.5</v>
      </c>
      <c r="G708" s="48" t="str">
        <f aca="false">STACK!M708</f>
        <v/>
      </c>
      <c r="H708" s="1" t="str">
        <f aca="false">C708&amp;"|"&amp;IF(ISNUMBER(D708),TEXT(D708,"yyyy-mm-dd"),"no date")&amp;"|"&amp;E708&amp;"|"&amp;IF(ISNUMBER(F708),TEXT(F708,"0.00"),"blank")</f>
        <v>Mobile Health Screening Unit|2026-02-28|Community Health Worker|77.50</v>
      </c>
      <c r="I708" s="1" t="n">
        <f aca="false">COUNTIF($H$5:$H$1624,H708)</f>
        <v>1</v>
      </c>
      <c r="J708" s="1" t="n">
        <f aca="false">COUNTIF($H$5:H708,H708)</f>
        <v>1</v>
      </c>
      <c r="K708" s="1" t="n">
        <f aca="false">COUNTIFS($H$5:$H$1624,H708,$B$5:$B$1624,"&lt;&gt;"&amp;B708)</f>
        <v>0</v>
      </c>
      <c r="L708" s="1" t="str">
        <f aca="false">IF(I708&gt;1,IF(K708&gt;0,"Cross-hospital match","Same-hospital match"),"")</f>
        <v/>
      </c>
      <c r="M708" s="52"/>
      <c r="N708" s="52"/>
      <c r="O708" s="1" t="n">
        <f aca="false">IF(M708="Exclude (duplicate)",0,1)</f>
        <v>1</v>
      </c>
      <c r="P708" s="1" t="str">
        <f aca="false">IF(AND(L708&lt;&gt;"",M708=""),"Needs decision","")</f>
        <v/>
      </c>
    </row>
    <row r="709" customFormat="false" ht="15" hidden="false" customHeight="false" outlineLevel="0" collapsed="false">
      <c r="A709" s="48" t="str">
        <f aca="false">COST!A709</f>
        <v>ASH-0176</v>
      </c>
      <c r="B709" s="48" t="str">
        <f aca="false">COST!B709</f>
        <v>ASH</v>
      </c>
      <c r="C709" s="48" t="str">
        <f aca="false">COST!D709</f>
        <v>Mobile Health Screening Unit</v>
      </c>
      <c r="D709" s="62" t="n">
        <f aca="false">COST!M709</f>
        <v>46081</v>
      </c>
      <c r="E709" s="48" t="str">
        <f aca="false">COST!P709</f>
        <v>Medical Assistant</v>
      </c>
      <c r="F709" s="63" t="n">
        <f aca="false">COST!R709</f>
        <v>92</v>
      </c>
      <c r="G709" s="48" t="str">
        <f aca="false">STACK!M709</f>
        <v/>
      </c>
      <c r="H709" s="1" t="str">
        <f aca="false">C709&amp;"|"&amp;IF(ISNUMBER(D709),TEXT(D709,"yyyy-mm-dd"),"no date")&amp;"|"&amp;E709&amp;"|"&amp;IF(ISNUMBER(F709),TEXT(F709,"0.00"),"blank")</f>
        <v>Mobile Health Screening Unit|2026-02-28|Medical Assistant|92.00</v>
      </c>
      <c r="I709" s="1" t="n">
        <f aca="false">COUNTIF($H$5:$H$1624,H709)</f>
        <v>1</v>
      </c>
      <c r="J709" s="1" t="n">
        <f aca="false">COUNTIF($H$5:H709,H709)</f>
        <v>1</v>
      </c>
      <c r="K709" s="1" t="n">
        <f aca="false">COUNTIFS($H$5:$H$1624,H709,$B$5:$B$1624,"&lt;&gt;"&amp;B709)</f>
        <v>0</v>
      </c>
      <c r="L709" s="1" t="str">
        <f aca="false">IF(I709&gt;1,IF(K709&gt;0,"Cross-hospital match","Same-hospital match"),"")</f>
        <v/>
      </c>
      <c r="M709" s="52"/>
      <c r="N709" s="52"/>
      <c r="O709" s="1" t="n">
        <f aca="false">IF(M709="Exclude (duplicate)",0,1)</f>
        <v>1</v>
      </c>
      <c r="P709" s="1" t="str">
        <f aca="false">IF(AND(L709&lt;&gt;"",M709=""),"Needs decision","")</f>
        <v/>
      </c>
    </row>
    <row r="710" customFormat="false" ht="15" hidden="false" customHeight="false" outlineLevel="0" collapsed="false">
      <c r="A710" s="48" t="str">
        <f aca="false">COST!A710</f>
        <v>ASH-0177</v>
      </c>
      <c r="B710" s="48" t="str">
        <f aca="false">COST!B710</f>
        <v>ASH</v>
      </c>
      <c r="C710" s="48" t="str">
        <f aca="false">COST!D710</f>
        <v>Mobile Health Screening Unit</v>
      </c>
      <c r="D710" s="62" t="n">
        <f aca="false">COST!M710</f>
        <v>46081</v>
      </c>
      <c r="E710" s="48" t="str">
        <f aca="false">COST!P710</f>
        <v>Registered Nurse</v>
      </c>
      <c r="F710" s="63" t="n">
        <f aca="false">COST!R710</f>
        <v>99.75</v>
      </c>
      <c r="G710" s="48" t="str">
        <f aca="false">STACK!M710</f>
        <v/>
      </c>
      <c r="H710" s="1" t="str">
        <f aca="false">C710&amp;"|"&amp;IF(ISNUMBER(D710),TEXT(D710,"yyyy-mm-dd"),"no date")&amp;"|"&amp;E710&amp;"|"&amp;IF(ISNUMBER(F710),TEXT(F710,"0.00"),"blank")</f>
        <v>Mobile Health Screening Unit|2026-02-28|Registered Nurse|99.75</v>
      </c>
      <c r="I710" s="1" t="n">
        <f aca="false">COUNTIF($H$5:$H$1624,H710)</f>
        <v>1</v>
      </c>
      <c r="J710" s="1" t="n">
        <f aca="false">COUNTIF($H$5:H710,H710)</f>
        <v>1</v>
      </c>
      <c r="K710" s="1" t="n">
        <f aca="false">COUNTIFS($H$5:$H$1624,H710,$B$5:$B$1624,"&lt;&gt;"&amp;B710)</f>
        <v>0</v>
      </c>
      <c r="L710" s="1" t="str">
        <f aca="false">IF(I710&gt;1,IF(K710&gt;0,"Cross-hospital match","Same-hospital match"),"")</f>
        <v/>
      </c>
      <c r="M710" s="52"/>
      <c r="N710" s="52"/>
      <c r="O710" s="1" t="n">
        <f aca="false">IF(M710="Exclude (duplicate)",0,1)</f>
        <v>1</v>
      </c>
      <c r="P710" s="1" t="str">
        <f aca="false">IF(AND(L710&lt;&gt;"",M710=""),"Needs decision","")</f>
        <v/>
      </c>
    </row>
    <row r="711" customFormat="false" ht="15" hidden="false" customHeight="false" outlineLevel="0" collapsed="false">
      <c r="A711" s="48" t="str">
        <f aca="false">COST!A711</f>
        <v>ASH-0178</v>
      </c>
      <c r="B711" s="48" t="str">
        <f aca="false">COST!B711</f>
        <v>ASH</v>
      </c>
      <c r="C711" s="48" t="str">
        <f aca="false">COST!D711</f>
        <v>Community Health Worker Outreach</v>
      </c>
      <c r="D711" s="62" t="n">
        <f aca="false">COST!M711</f>
        <v>46081</v>
      </c>
      <c r="E711" s="48" t="str">
        <f aca="false">COST!P711</f>
        <v>Community Health Worker</v>
      </c>
      <c r="F711" s="63" t="n">
        <f aca="false">COST!R711</f>
        <v>338.75</v>
      </c>
      <c r="G711" s="48" t="str">
        <f aca="false">STACK!M711</f>
        <v/>
      </c>
      <c r="H711" s="1" t="str">
        <f aca="false">C711&amp;"|"&amp;IF(ISNUMBER(D711),TEXT(D711,"yyyy-mm-dd"),"no date")&amp;"|"&amp;E711&amp;"|"&amp;IF(ISNUMBER(F711),TEXT(F711,"0.00"),"blank")</f>
        <v>Community Health Worker Outreach|2026-02-28|Community Health Worker|338.75</v>
      </c>
      <c r="I711" s="1" t="n">
        <f aca="false">COUNTIF($H$5:$H$1624,H711)</f>
        <v>1</v>
      </c>
      <c r="J711" s="1" t="n">
        <f aca="false">COUNTIF($H$5:H711,H711)</f>
        <v>1</v>
      </c>
      <c r="K711" s="1" t="n">
        <f aca="false">COUNTIFS($H$5:$H$1624,H711,$B$5:$B$1624,"&lt;&gt;"&amp;B711)</f>
        <v>0</v>
      </c>
      <c r="L711" s="1" t="str">
        <f aca="false">IF(I711&gt;1,IF(K711&gt;0,"Cross-hospital match","Same-hospital match"),"")</f>
        <v/>
      </c>
      <c r="M711" s="52"/>
      <c r="N711" s="52"/>
      <c r="O711" s="1" t="n">
        <f aca="false">IF(M711="Exclude (duplicate)",0,1)</f>
        <v>1</v>
      </c>
      <c r="P711" s="1" t="str">
        <f aca="false">IF(AND(L711&lt;&gt;"",M711=""),"Needs decision","")</f>
        <v/>
      </c>
    </row>
    <row r="712" customFormat="false" ht="15" hidden="false" customHeight="false" outlineLevel="0" collapsed="false">
      <c r="A712" s="48" t="str">
        <f aca="false">COST!A712</f>
        <v>ASH-0179</v>
      </c>
      <c r="B712" s="48" t="str">
        <f aca="false">COST!B712</f>
        <v>ASH</v>
      </c>
      <c r="C712" s="48" t="str">
        <f aca="false">COST!D712</f>
        <v>Community Health Worker Outreach</v>
      </c>
      <c r="D712" s="62" t="n">
        <f aca="false">COST!M712</f>
        <v>46081</v>
      </c>
      <c r="E712" s="48" t="str">
        <f aca="false">COST!P712</f>
        <v>Patient Navigator</v>
      </c>
      <c r="F712" s="63" t="n">
        <f aca="false">COST!R712</f>
        <v>131.25</v>
      </c>
      <c r="G712" s="48" t="str">
        <f aca="false">STACK!M712</f>
        <v/>
      </c>
      <c r="H712" s="1" t="str">
        <f aca="false">C712&amp;"|"&amp;IF(ISNUMBER(D712),TEXT(D712,"yyyy-mm-dd"),"no date")&amp;"|"&amp;E712&amp;"|"&amp;IF(ISNUMBER(F712),TEXT(F712,"0.00"),"blank")</f>
        <v>Community Health Worker Outreach|2026-02-28|Patient Navigator|131.25</v>
      </c>
      <c r="I712" s="1" t="n">
        <f aca="false">COUNTIF($H$5:$H$1624,H712)</f>
        <v>1</v>
      </c>
      <c r="J712" s="1" t="n">
        <f aca="false">COUNTIF($H$5:H712,H712)</f>
        <v>1</v>
      </c>
      <c r="K712" s="1" t="n">
        <f aca="false">COUNTIFS($H$5:$H$1624,H712,$B$5:$B$1624,"&lt;&gt;"&amp;B712)</f>
        <v>0</v>
      </c>
      <c r="L712" s="1" t="str">
        <f aca="false">IF(I712&gt;1,IF(K712&gt;0,"Cross-hospital match","Same-hospital match"),"")</f>
        <v/>
      </c>
      <c r="M712" s="52"/>
      <c r="N712" s="52"/>
      <c r="O712" s="1" t="n">
        <f aca="false">IF(M712="Exclude (duplicate)",0,1)</f>
        <v>1</v>
      </c>
      <c r="P712" s="1" t="str">
        <f aca="false">IF(AND(L712&lt;&gt;"",M712=""),"Needs decision","")</f>
        <v/>
      </c>
    </row>
    <row r="713" customFormat="false" ht="15" hidden="false" customHeight="false" outlineLevel="0" collapsed="false">
      <c r="A713" s="48" t="str">
        <f aca="false">COST!A713</f>
        <v>ASH-0180</v>
      </c>
      <c r="B713" s="48" t="str">
        <f aca="false">COST!B713</f>
        <v>ASH</v>
      </c>
      <c r="C713" s="48" t="str">
        <f aca="false">COST!D713</f>
        <v>Produce Prescription Program</v>
      </c>
      <c r="D713" s="62" t="n">
        <f aca="false">COST!M713</f>
        <v>46081</v>
      </c>
      <c r="E713" s="48" t="str">
        <f aca="false">COST!P713</f>
        <v>Community Health Worker</v>
      </c>
      <c r="F713" s="63" t="n">
        <f aca="false">COST!R713</f>
        <v>62</v>
      </c>
      <c r="G713" s="48" t="str">
        <f aca="false">STACK!M713</f>
        <v/>
      </c>
      <c r="H713" s="1" t="str">
        <f aca="false">C713&amp;"|"&amp;IF(ISNUMBER(D713),TEXT(D713,"yyyy-mm-dd"),"no date")&amp;"|"&amp;E713&amp;"|"&amp;IF(ISNUMBER(F713),TEXT(F713,"0.00"),"blank")</f>
        <v>Produce Prescription Program|2026-02-28|Community Health Worker|62.00</v>
      </c>
      <c r="I713" s="1" t="n">
        <f aca="false">COUNTIF($H$5:$H$1624,H713)</f>
        <v>1</v>
      </c>
      <c r="J713" s="1" t="n">
        <f aca="false">COUNTIF($H$5:H713,H713)</f>
        <v>1</v>
      </c>
      <c r="K713" s="1" t="n">
        <f aca="false">COUNTIFS($H$5:$H$1624,H713,$B$5:$B$1624,"&lt;&gt;"&amp;B713)</f>
        <v>0</v>
      </c>
      <c r="L713" s="1" t="str">
        <f aca="false">IF(I713&gt;1,IF(K713&gt;0,"Cross-hospital match","Same-hospital match"),"")</f>
        <v/>
      </c>
      <c r="M713" s="52"/>
      <c r="N713" s="52"/>
      <c r="O713" s="1" t="n">
        <f aca="false">IF(M713="Exclude (duplicate)",0,1)</f>
        <v>1</v>
      </c>
      <c r="P713" s="1" t="str">
        <f aca="false">IF(AND(L713&lt;&gt;"",M713=""),"Needs decision","")</f>
        <v/>
      </c>
    </row>
    <row r="714" customFormat="false" ht="15" hidden="false" customHeight="false" outlineLevel="0" collapsed="false">
      <c r="A714" s="48" t="str">
        <f aca="false">COST!A714</f>
        <v>ASH-0181</v>
      </c>
      <c r="B714" s="48" t="str">
        <f aca="false">COST!B714</f>
        <v>ASH</v>
      </c>
      <c r="C714" s="48" t="str">
        <f aca="false">COST!D714</f>
        <v>Produce Prescription Program</v>
      </c>
      <c r="D714" s="62" t="n">
        <f aca="false">COST!M714</f>
        <v>46081</v>
      </c>
      <c r="E714" s="48" t="str">
        <f aca="false">COST!P714</f>
        <v>Registered Dietitian</v>
      </c>
      <c r="F714" s="63" t="n">
        <f aca="false">COST!R714</f>
        <v>31.75</v>
      </c>
      <c r="G714" s="48" t="str">
        <f aca="false">STACK!M714</f>
        <v/>
      </c>
      <c r="H714" s="1" t="str">
        <f aca="false">C714&amp;"|"&amp;IF(ISNUMBER(D714),TEXT(D714,"yyyy-mm-dd"),"no date")&amp;"|"&amp;E714&amp;"|"&amp;IF(ISNUMBER(F714),TEXT(F714,"0.00"),"blank")</f>
        <v>Produce Prescription Program|2026-02-28|Registered Dietitian|31.75</v>
      </c>
      <c r="I714" s="1" t="n">
        <f aca="false">COUNTIF($H$5:$H$1624,H714)</f>
        <v>1</v>
      </c>
      <c r="J714" s="1" t="n">
        <f aca="false">COUNTIF($H$5:H714,H714)</f>
        <v>1</v>
      </c>
      <c r="K714" s="1" t="n">
        <f aca="false">COUNTIFS($H$5:$H$1624,H714,$B$5:$B$1624,"&lt;&gt;"&amp;B714)</f>
        <v>0</v>
      </c>
      <c r="L714" s="1" t="str">
        <f aca="false">IF(I714&gt;1,IF(K714&gt;0,"Cross-hospital match","Same-hospital match"),"")</f>
        <v/>
      </c>
      <c r="M714" s="52"/>
      <c r="N714" s="52"/>
      <c r="O714" s="1" t="n">
        <f aca="false">IF(M714="Exclude (duplicate)",0,1)</f>
        <v>1</v>
      </c>
      <c r="P714" s="1" t="str">
        <f aca="false">IF(AND(L714&lt;&gt;"",M714=""),"Needs decision","")</f>
        <v/>
      </c>
    </row>
    <row r="715" customFormat="false" ht="15" hidden="false" customHeight="false" outlineLevel="0" collapsed="false">
      <c r="A715" s="48" t="str">
        <f aca="false">COST!A715</f>
        <v>ASH-0182</v>
      </c>
      <c r="B715" s="48" t="str">
        <f aca="false">COST!B715</f>
        <v>ASH</v>
      </c>
      <c r="C715" s="48" t="str">
        <f aca="false">COST!D715</f>
        <v>Community Health Needs Assessment</v>
      </c>
      <c r="D715" s="62" t="n">
        <f aca="false">COST!M715</f>
        <v>46081</v>
      </c>
      <c r="E715" s="48" t="str">
        <f aca="false">COST!P715</f>
        <v>Community Benefit Manager</v>
      </c>
      <c r="F715" s="63" t="n">
        <f aca="false">COST!R715</f>
        <v>121.75</v>
      </c>
      <c r="G715" s="48" t="str">
        <f aca="false">STACK!M715</f>
        <v>System CHNA work (shared)</v>
      </c>
      <c r="H715" s="1" t="str">
        <f aca="false">C715&amp;"|"&amp;IF(ISNUMBER(D715),TEXT(D715,"yyyy-mm-dd"),"no date")&amp;"|"&amp;E715&amp;"|"&amp;IF(ISNUMBER(F715),TEXT(F715,"0.00"),"blank")</f>
        <v>Community Health Needs Assessment|2026-02-28|Community Benefit Manager|121.75</v>
      </c>
      <c r="I715" s="1" t="n">
        <f aca="false">COUNTIF($H$5:$H$1624,H715)</f>
        <v>2</v>
      </c>
      <c r="J715" s="1" t="n">
        <f aca="false">COUNTIF($H$5:H715,H715)</f>
        <v>2</v>
      </c>
      <c r="K715" s="1" t="n">
        <f aca="false">COUNTIFS($H$5:$H$1624,H715,$B$5:$B$1624,"&lt;&gt;"&amp;B715)</f>
        <v>1</v>
      </c>
      <c r="L715" s="1" t="str">
        <f aca="false">IF(I715&gt;1,IF(K715&gt;0,"Cross-hospital match","Same-hospital match"),"")</f>
        <v>Cross-hospital match</v>
      </c>
      <c r="M715" s="52" t="s">
        <v>2962</v>
      </c>
      <c r="N715" s="52" t="s">
        <v>2964</v>
      </c>
      <c r="O715" s="1" t="n">
        <f aca="false">IF(M715="Exclude (duplicate)",0,1)</f>
        <v>0</v>
      </c>
      <c r="P715" s="1" t="str">
        <f aca="false">IF(AND(L715&lt;&gt;"",M715=""),"Needs decision","")</f>
        <v/>
      </c>
    </row>
    <row r="716" customFormat="false" ht="15" hidden="false" customHeight="false" outlineLevel="0" collapsed="false">
      <c r="A716" s="48" t="str">
        <f aca="false">COST!A716</f>
        <v>ASH-0183</v>
      </c>
      <c r="B716" s="48" t="str">
        <f aca="false">COST!B716</f>
        <v>ASH</v>
      </c>
      <c r="C716" s="48" t="str">
        <f aca="false">COST!D716</f>
        <v>Community Health Needs Assessment</v>
      </c>
      <c r="D716" s="62" t="n">
        <f aca="false">COST!M716</f>
        <v>46081</v>
      </c>
      <c r="E716" s="48" t="str">
        <f aca="false">COST!P716</f>
        <v>Data Analyst</v>
      </c>
      <c r="F716" s="63" t="n">
        <f aca="false">COST!R716</f>
        <v>71</v>
      </c>
      <c r="G716" s="48" t="str">
        <f aca="false">STACK!M716</f>
        <v>System CHNA work (shared)</v>
      </c>
      <c r="H716" s="1" t="str">
        <f aca="false">C716&amp;"|"&amp;IF(ISNUMBER(D716),TEXT(D716,"yyyy-mm-dd"),"no date")&amp;"|"&amp;E716&amp;"|"&amp;IF(ISNUMBER(F716),TEXT(F716,"0.00"),"blank")</f>
        <v>Community Health Needs Assessment|2026-02-28|Data Analyst|71.00</v>
      </c>
      <c r="I716" s="1" t="n">
        <f aca="false">COUNTIF($H$5:$H$1624,H716)</f>
        <v>2</v>
      </c>
      <c r="J716" s="1" t="n">
        <f aca="false">COUNTIF($H$5:H716,H716)</f>
        <v>2</v>
      </c>
      <c r="K716" s="1" t="n">
        <f aca="false">COUNTIFS($H$5:$H$1624,H716,$B$5:$B$1624,"&lt;&gt;"&amp;B716)</f>
        <v>1</v>
      </c>
      <c r="L716" s="1" t="str">
        <f aca="false">IF(I716&gt;1,IF(K716&gt;0,"Cross-hospital match","Same-hospital match"),"")</f>
        <v>Cross-hospital match</v>
      </c>
      <c r="M716" s="52" t="s">
        <v>2962</v>
      </c>
      <c r="N716" s="52" t="s">
        <v>2964</v>
      </c>
      <c r="O716" s="1" t="n">
        <f aca="false">IF(M716="Exclude (duplicate)",0,1)</f>
        <v>0</v>
      </c>
      <c r="P716" s="1" t="str">
        <f aca="false">IF(AND(L716&lt;&gt;"",M716=""),"Needs decision","")</f>
        <v/>
      </c>
    </row>
    <row r="717" customFormat="false" ht="15" hidden="false" customHeight="false" outlineLevel="0" collapsed="false">
      <c r="A717" s="48" t="str">
        <f aca="false">COST!A717</f>
        <v>ASH-0184</v>
      </c>
      <c r="B717" s="48" t="str">
        <f aca="false">COST!B717</f>
        <v>ASH</v>
      </c>
      <c r="C717" s="48" t="str">
        <f aca="false">COST!D717</f>
        <v>Community Benefit Program Administration</v>
      </c>
      <c r="D717" s="62" t="n">
        <f aca="false">COST!M717</f>
        <v>46081</v>
      </c>
      <c r="E717" s="48" t="str">
        <f aca="false">COST!P717</f>
        <v>Administrative Assistant</v>
      </c>
      <c r="F717" s="63" t="n">
        <f aca="false">COST!R717</f>
        <v>57</v>
      </c>
      <c r="G717" s="48" t="str">
        <f aca="false">STACK!M717</f>
        <v/>
      </c>
      <c r="H717" s="1" t="str">
        <f aca="false">C717&amp;"|"&amp;IF(ISNUMBER(D717),TEXT(D717,"yyyy-mm-dd"),"no date")&amp;"|"&amp;E717&amp;"|"&amp;IF(ISNUMBER(F717),TEXT(F717,"0.00"),"blank")</f>
        <v>Community Benefit Program Administration|2026-02-28|Administrative Assistant|57.00</v>
      </c>
      <c r="I717" s="1" t="n">
        <f aca="false">COUNTIF($H$5:$H$1624,H717)</f>
        <v>1</v>
      </c>
      <c r="J717" s="1" t="n">
        <f aca="false">COUNTIF($H$5:H717,H717)</f>
        <v>1</v>
      </c>
      <c r="K717" s="1" t="n">
        <f aca="false">COUNTIFS($H$5:$H$1624,H717,$B$5:$B$1624,"&lt;&gt;"&amp;B717)</f>
        <v>0</v>
      </c>
      <c r="L717" s="1" t="str">
        <f aca="false">IF(I717&gt;1,IF(K717&gt;0,"Cross-hospital match","Same-hospital match"),"")</f>
        <v/>
      </c>
      <c r="M717" s="52"/>
      <c r="N717" s="52"/>
      <c r="O717" s="1" t="n">
        <f aca="false">IF(M717="Exclude (duplicate)",0,1)</f>
        <v>1</v>
      </c>
      <c r="P717" s="1" t="str">
        <f aca="false">IF(AND(L717&lt;&gt;"",M717=""),"Needs decision","")</f>
        <v/>
      </c>
    </row>
    <row r="718" customFormat="false" ht="15" hidden="false" customHeight="false" outlineLevel="0" collapsed="false">
      <c r="A718" s="48" t="str">
        <f aca="false">COST!A718</f>
        <v>ASH-0185</v>
      </c>
      <c r="B718" s="48" t="str">
        <f aca="false">COST!B718</f>
        <v>ASH</v>
      </c>
      <c r="C718" s="48" t="str">
        <f aca="false">COST!D718</f>
        <v>Community Benefit Program Administration</v>
      </c>
      <c r="D718" s="62" t="n">
        <f aca="false">COST!M718</f>
        <v>46081</v>
      </c>
      <c r="E718" s="48" t="str">
        <f aca="false">COST!P718</f>
        <v>Community Benefit Manager</v>
      </c>
      <c r="F718" s="63" t="n">
        <f aca="false">COST!R718</f>
        <v>66.75</v>
      </c>
      <c r="G718" s="48" t="str">
        <f aca="false">STACK!M718</f>
        <v/>
      </c>
      <c r="H718" s="1" t="str">
        <f aca="false">C718&amp;"|"&amp;IF(ISNUMBER(D718),TEXT(D718,"yyyy-mm-dd"),"no date")&amp;"|"&amp;E718&amp;"|"&amp;IF(ISNUMBER(F718),TEXT(F718,"0.00"),"blank")</f>
        <v>Community Benefit Program Administration|2026-02-28|Community Benefit Manager|66.75</v>
      </c>
      <c r="I718" s="1" t="n">
        <f aca="false">COUNTIF($H$5:$H$1624,H718)</f>
        <v>1</v>
      </c>
      <c r="J718" s="1" t="n">
        <f aca="false">COUNTIF($H$5:H718,H718)</f>
        <v>1</v>
      </c>
      <c r="K718" s="1" t="n">
        <f aca="false">COUNTIFS($H$5:$H$1624,H718,$B$5:$B$1624,"&lt;&gt;"&amp;B718)</f>
        <v>0</v>
      </c>
      <c r="L718" s="1" t="str">
        <f aca="false">IF(I718&gt;1,IF(K718&gt;0,"Cross-hospital match","Same-hospital match"),"")</f>
        <v/>
      </c>
      <c r="M718" s="52"/>
      <c r="N718" s="52"/>
      <c r="O718" s="1" t="n">
        <f aca="false">IF(M718="Exclude (duplicate)",0,1)</f>
        <v>1</v>
      </c>
      <c r="P718" s="1" t="str">
        <f aca="false">IF(AND(L718&lt;&gt;"",M718=""),"Needs decision","")</f>
        <v/>
      </c>
    </row>
    <row r="719" customFormat="false" ht="15" hidden="false" customHeight="false" outlineLevel="0" collapsed="false">
      <c r="A719" s="48" t="str">
        <f aca="false">COST!A719</f>
        <v>ASH-0186</v>
      </c>
      <c r="B719" s="48" t="str">
        <f aca="false">COST!B719</f>
        <v>ASH</v>
      </c>
      <c r="C719" s="48" t="str">
        <f aca="false">COST!D719</f>
        <v>Fall Prevention Classes for Older Adults</v>
      </c>
      <c r="D719" s="62" t="n">
        <f aca="false">COST!M719</f>
        <v>46081</v>
      </c>
      <c r="E719" s="48" t="str">
        <f aca="false">COST!P719</f>
        <v>Licensed Therapist</v>
      </c>
      <c r="F719" s="63" t="n">
        <f aca="false">COST!R719</f>
        <v>2</v>
      </c>
      <c r="G719" s="48" t="str">
        <f aca="false">STACK!M719</f>
        <v/>
      </c>
      <c r="H719" s="1" t="str">
        <f aca="false">C719&amp;"|"&amp;IF(ISNUMBER(D719),TEXT(D719,"yyyy-mm-dd"),"no date")&amp;"|"&amp;E719&amp;"|"&amp;IF(ISNUMBER(F719),TEXT(F719,"0.00"),"blank")</f>
        <v>Fall Prevention Classes for Older Adults|2026-02-28|Licensed Therapist|2.00</v>
      </c>
      <c r="I719" s="1" t="n">
        <f aca="false">COUNTIF($H$5:$H$1624,H719)</f>
        <v>1</v>
      </c>
      <c r="J719" s="1" t="n">
        <f aca="false">COUNTIF($H$5:H719,H719)</f>
        <v>1</v>
      </c>
      <c r="K719" s="1" t="n">
        <f aca="false">COUNTIFS($H$5:$H$1624,H719,$B$5:$B$1624,"&lt;&gt;"&amp;B719)</f>
        <v>0</v>
      </c>
      <c r="L719" s="1" t="str">
        <f aca="false">IF(I719&gt;1,IF(K719&gt;0,"Cross-hospital match","Same-hospital match"),"")</f>
        <v/>
      </c>
      <c r="M719" s="52"/>
      <c r="N719" s="52"/>
      <c r="O719" s="1" t="n">
        <f aca="false">IF(M719="Exclude (duplicate)",0,1)</f>
        <v>1</v>
      </c>
      <c r="P719" s="1" t="str">
        <f aca="false">IF(AND(L719&lt;&gt;"",M719=""),"Needs decision","")</f>
        <v/>
      </c>
    </row>
    <row r="720" customFormat="false" ht="15" hidden="false" customHeight="false" outlineLevel="0" collapsed="false">
      <c r="A720" s="48" t="str">
        <f aca="false">COST!A720</f>
        <v>ASH-0187</v>
      </c>
      <c r="B720" s="48" t="str">
        <f aca="false">COST!B720</f>
        <v>ASH</v>
      </c>
      <c r="C720" s="48" t="str">
        <f aca="false">COST!D720</f>
        <v>Nursing Student Clinical Rotations</v>
      </c>
      <c r="D720" s="62" t="n">
        <f aca="false">COST!M720</f>
        <v>46081</v>
      </c>
      <c r="E720" s="48" t="str">
        <f aca="false">COST!P720</f>
        <v>Clinical Nurse Educator</v>
      </c>
      <c r="F720" s="63" t="n">
        <f aca="false">COST!R720</f>
        <v>131.75</v>
      </c>
      <c r="G720" s="48" t="str">
        <f aca="false">STACK!M720</f>
        <v/>
      </c>
      <c r="H720" s="1" t="str">
        <f aca="false">C720&amp;"|"&amp;IF(ISNUMBER(D720),TEXT(D720,"yyyy-mm-dd"),"no date")&amp;"|"&amp;E720&amp;"|"&amp;IF(ISNUMBER(F720),TEXT(F720,"0.00"),"blank")</f>
        <v>Nursing Student Clinical Rotations|2026-02-28|Clinical Nurse Educator|131.75</v>
      </c>
      <c r="I720" s="1" t="n">
        <f aca="false">COUNTIF($H$5:$H$1624,H720)</f>
        <v>1</v>
      </c>
      <c r="J720" s="1" t="n">
        <f aca="false">COUNTIF($H$5:H720,H720)</f>
        <v>1</v>
      </c>
      <c r="K720" s="1" t="n">
        <f aca="false">COUNTIFS($H$5:$H$1624,H720,$B$5:$B$1624,"&lt;&gt;"&amp;B720)</f>
        <v>0</v>
      </c>
      <c r="L720" s="1" t="str">
        <f aca="false">IF(I720&gt;1,IF(K720&gt;0,"Cross-hospital match","Same-hospital match"),"")</f>
        <v/>
      </c>
      <c r="M720" s="52"/>
      <c r="N720" s="52"/>
      <c r="O720" s="1" t="n">
        <f aca="false">IF(M720="Exclude (duplicate)",0,1)</f>
        <v>1</v>
      </c>
      <c r="P720" s="1" t="str">
        <f aca="false">IF(AND(L720&lt;&gt;"",M720=""),"Needs decision","")</f>
        <v/>
      </c>
    </row>
    <row r="721" customFormat="false" ht="15" hidden="false" customHeight="false" outlineLevel="0" collapsed="false">
      <c r="A721" s="48" t="str">
        <f aca="false">COST!A721</f>
        <v>ASH-0188</v>
      </c>
      <c r="B721" s="48" t="str">
        <f aca="false">COST!B721</f>
        <v>ASH</v>
      </c>
      <c r="C721" s="48" t="str">
        <f aca="false">COST!D721</f>
        <v>Nursing Student Clinical Rotations</v>
      </c>
      <c r="D721" s="62" t="n">
        <f aca="false">COST!M721</f>
        <v>46081</v>
      </c>
      <c r="E721" s="48" t="str">
        <f aca="false">COST!P721</f>
        <v>Registered Nurse</v>
      </c>
      <c r="F721" s="63" t="n">
        <f aca="false">COST!R721</f>
        <v>207.75</v>
      </c>
      <c r="G721" s="48" t="str">
        <f aca="false">STACK!M721</f>
        <v/>
      </c>
      <c r="H721" s="1" t="str">
        <f aca="false">C721&amp;"|"&amp;IF(ISNUMBER(D721),TEXT(D721,"yyyy-mm-dd"),"no date")&amp;"|"&amp;E721&amp;"|"&amp;IF(ISNUMBER(F721),TEXT(F721,"0.00"),"blank")</f>
        <v>Nursing Student Clinical Rotations|2026-02-28|Registered Nurse|207.75</v>
      </c>
      <c r="I721" s="1" t="n">
        <f aca="false">COUNTIF($H$5:$H$1624,H721)</f>
        <v>1</v>
      </c>
      <c r="J721" s="1" t="n">
        <f aca="false">COUNTIF($H$5:H721,H721)</f>
        <v>1</v>
      </c>
      <c r="K721" s="1" t="n">
        <f aca="false">COUNTIFS($H$5:$H$1624,H721,$B$5:$B$1624,"&lt;&gt;"&amp;B721)</f>
        <v>0</v>
      </c>
      <c r="L721" s="1" t="str">
        <f aca="false">IF(I721&gt;1,IF(K721&gt;0,"Cross-hospital match","Same-hospital match"),"")</f>
        <v/>
      </c>
      <c r="M721" s="52"/>
      <c r="N721" s="52"/>
      <c r="O721" s="1" t="n">
        <f aca="false">IF(M721="Exclude (duplicate)",0,1)</f>
        <v>1</v>
      </c>
      <c r="P721" s="1" t="str">
        <f aca="false">IF(AND(L721&lt;&gt;"",M721=""),"Needs decision","")</f>
        <v/>
      </c>
    </row>
    <row r="722" customFormat="false" ht="15" hidden="false" customHeight="false" outlineLevel="0" collapsed="false">
      <c r="A722" s="48" t="str">
        <f aca="false">COST!A722</f>
        <v>ASH-0189</v>
      </c>
      <c r="B722" s="48" t="str">
        <f aca="false">COST!B722</f>
        <v>ASH</v>
      </c>
      <c r="C722" s="48" t="str">
        <f aca="false">COST!D722</f>
        <v>Paramedic Student Field Training</v>
      </c>
      <c r="D722" s="62" t="n">
        <f aca="false">COST!M722</f>
        <v>46081</v>
      </c>
      <c r="E722" s="48" t="str">
        <f aca="false">COST!P722</f>
        <v>Paramedic</v>
      </c>
      <c r="F722" s="63" t="n">
        <f aca="false">COST!R722</f>
        <v>52</v>
      </c>
      <c r="G722" s="48" t="str">
        <f aca="false">STACK!M722</f>
        <v/>
      </c>
      <c r="H722" s="1" t="str">
        <f aca="false">C722&amp;"|"&amp;IF(ISNUMBER(D722),TEXT(D722,"yyyy-mm-dd"),"no date")&amp;"|"&amp;E722&amp;"|"&amp;IF(ISNUMBER(F722),TEXT(F722,"0.00"),"blank")</f>
        <v>Paramedic Student Field Training|2026-02-28|Paramedic|52.00</v>
      </c>
      <c r="I722" s="1" t="n">
        <f aca="false">COUNTIF($H$5:$H$1624,H722)</f>
        <v>1</v>
      </c>
      <c r="J722" s="1" t="n">
        <f aca="false">COUNTIF($H$5:H722,H722)</f>
        <v>1</v>
      </c>
      <c r="K722" s="1" t="n">
        <f aca="false">COUNTIFS($H$5:$H$1624,H722,$B$5:$B$1624,"&lt;&gt;"&amp;B722)</f>
        <v>0</v>
      </c>
      <c r="L722" s="1" t="str">
        <f aca="false">IF(I722&gt;1,IF(K722&gt;0,"Cross-hospital match","Same-hospital match"),"")</f>
        <v/>
      </c>
      <c r="M722" s="52"/>
      <c r="N722" s="52"/>
      <c r="O722" s="1" t="n">
        <f aca="false">IF(M722="Exclude (duplicate)",0,1)</f>
        <v>1</v>
      </c>
      <c r="P722" s="1" t="str">
        <f aca="false">IF(AND(L722&lt;&gt;"",M722=""),"Needs decision","")</f>
        <v/>
      </c>
    </row>
    <row r="723" customFormat="false" ht="15" hidden="false" customHeight="false" outlineLevel="0" collapsed="false">
      <c r="A723" s="48" t="str">
        <f aca="false">COST!A723</f>
        <v>ASH-0190</v>
      </c>
      <c r="B723" s="48" t="str">
        <f aca="false">COST!B723</f>
        <v>ASH</v>
      </c>
      <c r="C723" s="48" t="str">
        <f aca="false">COST!D723</f>
        <v>Car Seat Safety Checks</v>
      </c>
      <c r="D723" s="62" t="n">
        <f aca="false">COST!M723</f>
        <v>46088</v>
      </c>
      <c r="E723" s="48" t="str">
        <f aca="false">COST!P723</f>
        <v>Paramedic</v>
      </c>
      <c r="F723" s="63" t="n">
        <f aca="false">COST!R723</f>
        <v>3.5</v>
      </c>
      <c r="G723" s="48" t="str">
        <f aca="false">STACK!M723</f>
        <v/>
      </c>
      <c r="H723" s="1" t="str">
        <f aca="false">C723&amp;"|"&amp;IF(ISNUMBER(D723),TEXT(D723,"yyyy-mm-dd"),"no date")&amp;"|"&amp;E723&amp;"|"&amp;IF(ISNUMBER(F723),TEXT(F723,"0.00"),"blank")</f>
        <v>Car Seat Safety Checks|2026-03-07|Paramedic|3.50</v>
      </c>
      <c r="I723" s="1" t="n">
        <f aca="false">COUNTIF($H$5:$H$1624,H723)</f>
        <v>1</v>
      </c>
      <c r="J723" s="1" t="n">
        <f aca="false">COUNTIF($H$5:H723,H723)</f>
        <v>1</v>
      </c>
      <c r="K723" s="1" t="n">
        <f aca="false">COUNTIFS($H$5:$H$1624,H723,$B$5:$B$1624,"&lt;&gt;"&amp;B723)</f>
        <v>0</v>
      </c>
      <c r="L723" s="1" t="str">
        <f aca="false">IF(I723&gt;1,IF(K723&gt;0,"Cross-hospital match","Same-hospital match"),"")</f>
        <v/>
      </c>
      <c r="M723" s="52"/>
      <c r="N723" s="52"/>
      <c r="O723" s="1" t="n">
        <f aca="false">IF(M723="Exclude (duplicate)",0,1)</f>
        <v>1</v>
      </c>
      <c r="P723" s="1" t="str">
        <f aca="false">IF(AND(L723&lt;&gt;"",M723=""),"Needs decision","")</f>
        <v/>
      </c>
    </row>
    <row r="724" customFormat="false" ht="15" hidden="false" customHeight="false" outlineLevel="0" collapsed="false">
      <c r="A724" s="48" t="str">
        <f aca="false">COST!A724</f>
        <v>ASH-0191</v>
      </c>
      <c r="B724" s="48" t="str">
        <f aca="false">COST!B724</f>
        <v>ASH</v>
      </c>
      <c r="C724" s="48" t="str">
        <f aca="false">COST!D724</f>
        <v>Car Seat Safety Checks</v>
      </c>
      <c r="D724" s="62" t="n">
        <f aca="false">COST!M724</f>
        <v>46088</v>
      </c>
      <c r="E724" s="48" t="str">
        <f aca="false">COST!P724</f>
        <v>Registered Nurse</v>
      </c>
      <c r="F724" s="63" t="n">
        <f aca="false">COST!R724</f>
        <v>3.5</v>
      </c>
      <c r="G724" s="48" t="str">
        <f aca="false">STACK!M724</f>
        <v/>
      </c>
      <c r="H724" s="1" t="str">
        <f aca="false">C724&amp;"|"&amp;IF(ISNUMBER(D724),TEXT(D724,"yyyy-mm-dd"),"no date")&amp;"|"&amp;E724&amp;"|"&amp;IF(ISNUMBER(F724),TEXT(F724,"0.00"),"blank")</f>
        <v>Car Seat Safety Checks|2026-03-07|Registered Nurse|3.50</v>
      </c>
      <c r="I724" s="1" t="n">
        <f aca="false">COUNTIF($H$5:$H$1624,H724)</f>
        <v>1</v>
      </c>
      <c r="J724" s="1" t="n">
        <f aca="false">COUNTIF($H$5:H724,H724)</f>
        <v>1</v>
      </c>
      <c r="K724" s="1" t="n">
        <f aca="false">COUNTIFS($H$5:$H$1624,H724,$B$5:$B$1624,"&lt;&gt;"&amp;B724)</f>
        <v>0</v>
      </c>
      <c r="L724" s="1" t="str">
        <f aca="false">IF(I724&gt;1,IF(K724&gt;0,"Cross-hospital match","Same-hospital match"),"")</f>
        <v/>
      </c>
      <c r="M724" s="52"/>
      <c r="N724" s="52"/>
      <c r="O724" s="1" t="n">
        <f aca="false">IF(M724="Exclude (duplicate)",0,1)</f>
        <v>1</v>
      </c>
      <c r="P724" s="1" t="str">
        <f aca="false">IF(AND(L724&lt;&gt;"",M724=""),"Needs decision","")</f>
        <v/>
      </c>
    </row>
    <row r="725" customFormat="false" ht="15" hidden="false" customHeight="false" outlineLevel="0" collapsed="false">
      <c r="A725" s="48" t="str">
        <f aca="false">COST!A725</f>
        <v>ASH-0192</v>
      </c>
      <c r="B725" s="48" t="str">
        <f aca="false">COST!B725</f>
        <v>ASH</v>
      </c>
      <c r="C725" s="48" t="str">
        <f aca="false">COST!D725</f>
        <v>Community Blood Pressure Checks</v>
      </c>
      <c r="D725" s="62" t="n">
        <f aca="false">COST!M725</f>
        <v>46090</v>
      </c>
      <c r="E725" s="48" t="str">
        <f aca="false">COST!P725</f>
        <v>Registered Nurse</v>
      </c>
      <c r="F725" s="63" t="n">
        <f aca="false">COST!R725</f>
        <v>3.75</v>
      </c>
      <c r="G725" s="48" t="str">
        <f aca="false">STACK!M725</f>
        <v/>
      </c>
      <c r="H725" s="1" t="str">
        <f aca="false">C725&amp;"|"&amp;IF(ISNUMBER(D725),TEXT(D725,"yyyy-mm-dd"),"no date")&amp;"|"&amp;E725&amp;"|"&amp;IF(ISNUMBER(F725),TEXT(F725,"0.00"),"blank")</f>
        <v>Community Blood Pressure Checks|2026-03-09|Registered Nurse|3.75</v>
      </c>
      <c r="I725" s="1" t="n">
        <f aca="false">COUNTIF($H$5:$H$1624,H725)</f>
        <v>1</v>
      </c>
      <c r="J725" s="1" t="n">
        <f aca="false">COUNTIF($H$5:H725,H725)</f>
        <v>1</v>
      </c>
      <c r="K725" s="1" t="n">
        <f aca="false">COUNTIFS($H$5:$H$1624,H725,$B$5:$B$1624,"&lt;&gt;"&amp;B725)</f>
        <v>0</v>
      </c>
      <c r="L725" s="1" t="str">
        <f aca="false">IF(I725&gt;1,IF(K725&gt;0,"Cross-hospital match","Same-hospital match"),"")</f>
        <v/>
      </c>
      <c r="M725" s="52"/>
      <c r="N725" s="52"/>
      <c r="O725" s="1" t="n">
        <f aca="false">IF(M725="Exclude (duplicate)",0,1)</f>
        <v>1</v>
      </c>
      <c r="P725" s="1" t="str">
        <f aca="false">IF(AND(L725&lt;&gt;"",M725=""),"Needs decision","")</f>
        <v/>
      </c>
    </row>
    <row r="726" customFormat="false" ht="15" hidden="false" customHeight="false" outlineLevel="0" collapsed="false">
      <c r="A726" s="48" t="str">
        <f aca="false">COST!A726</f>
        <v>ASH-0193</v>
      </c>
      <c r="B726" s="48" t="str">
        <f aca="false">COST!B726</f>
        <v>ASH</v>
      </c>
      <c r="C726" s="48" t="str">
        <f aca="false">COST!D726</f>
        <v>Fall Prevention Classes for Older Adults</v>
      </c>
      <c r="D726" s="62" t="n">
        <f aca="false">COST!M726</f>
        <v>46095</v>
      </c>
      <c r="E726" s="48" t="str">
        <f aca="false">COST!P726</f>
        <v>Licensed Therapist</v>
      </c>
      <c r="F726" s="63" t="n">
        <f aca="false">COST!R726</f>
        <v>2</v>
      </c>
      <c r="G726" s="48" t="str">
        <f aca="false">STACK!M726</f>
        <v/>
      </c>
      <c r="H726" s="1" t="str">
        <f aca="false">C726&amp;"|"&amp;IF(ISNUMBER(D726),TEXT(D726,"yyyy-mm-dd"),"no date")&amp;"|"&amp;E726&amp;"|"&amp;IF(ISNUMBER(F726),TEXT(F726,"0.00"),"blank")</f>
        <v>Fall Prevention Classes for Older Adults|2026-03-14|Licensed Therapist|2.00</v>
      </c>
      <c r="I726" s="1" t="n">
        <f aca="false">COUNTIF($H$5:$H$1624,H726)</f>
        <v>1</v>
      </c>
      <c r="J726" s="1" t="n">
        <f aca="false">COUNTIF($H$5:H726,H726)</f>
        <v>1</v>
      </c>
      <c r="K726" s="1" t="n">
        <f aca="false">COUNTIFS($H$5:$H$1624,H726,$B$5:$B$1624,"&lt;&gt;"&amp;B726)</f>
        <v>0</v>
      </c>
      <c r="L726" s="1" t="str">
        <f aca="false">IF(I726&gt;1,IF(K726&gt;0,"Cross-hospital match","Same-hospital match"),"")</f>
        <v/>
      </c>
      <c r="M726" s="52"/>
      <c r="N726" s="52"/>
      <c r="O726" s="1" t="n">
        <f aca="false">IF(M726="Exclude (duplicate)",0,1)</f>
        <v>1</v>
      </c>
      <c r="P726" s="1" t="str">
        <f aca="false">IF(AND(L726&lt;&gt;"",M726=""),"Needs decision","")</f>
        <v/>
      </c>
    </row>
    <row r="727" customFormat="false" ht="15" hidden="false" customHeight="false" outlineLevel="0" collapsed="false">
      <c r="A727" s="48" t="str">
        <f aca="false">COST!A727</f>
        <v>ASH-0194</v>
      </c>
      <c r="B727" s="48" t="str">
        <f aca="false">COST!B727</f>
        <v>ASH</v>
      </c>
      <c r="C727" s="48" t="str">
        <f aca="false">COST!D727</f>
        <v>Community Blood Pressure Checks</v>
      </c>
      <c r="D727" s="62" t="n">
        <f aca="false">COST!M727</f>
        <v>46099</v>
      </c>
      <c r="E727" s="48" t="str">
        <f aca="false">COST!P727</f>
        <v>Registered Nurse</v>
      </c>
      <c r="F727" s="63" t="n">
        <f aca="false">COST!R727</f>
        <v>3.25</v>
      </c>
      <c r="G727" s="48" t="str">
        <f aca="false">STACK!M727</f>
        <v/>
      </c>
      <c r="H727" s="1" t="str">
        <f aca="false">C727&amp;"|"&amp;IF(ISNUMBER(D727),TEXT(D727,"yyyy-mm-dd"),"no date")&amp;"|"&amp;E727&amp;"|"&amp;IF(ISNUMBER(F727),TEXT(F727,"0.00"),"blank")</f>
        <v>Community Blood Pressure Checks|2026-03-18|Registered Nurse|3.25</v>
      </c>
      <c r="I727" s="1" t="n">
        <f aca="false">COUNTIF($H$5:$H$1624,H727)</f>
        <v>1</v>
      </c>
      <c r="J727" s="1" t="n">
        <f aca="false">COUNTIF($H$5:H727,H727)</f>
        <v>1</v>
      </c>
      <c r="K727" s="1" t="n">
        <f aca="false">COUNTIFS($H$5:$H$1624,H727,$B$5:$B$1624,"&lt;&gt;"&amp;B727)</f>
        <v>0</v>
      </c>
      <c r="L727" s="1" t="str">
        <f aca="false">IF(I727&gt;1,IF(K727&gt;0,"Cross-hospital match","Same-hospital match"),"")</f>
        <v/>
      </c>
      <c r="M727" s="52"/>
      <c r="N727" s="52"/>
      <c r="O727" s="1" t="n">
        <f aca="false">IF(M727="Exclude (duplicate)",0,1)</f>
        <v>1</v>
      </c>
      <c r="P727" s="1" t="str">
        <f aca="false">IF(AND(L727&lt;&gt;"",M727=""),"Needs decision","")</f>
        <v/>
      </c>
    </row>
    <row r="728" customFormat="false" ht="15" hidden="false" customHeight="false" outlineLevel="0" collapsed="false">
      <c r="A728" s="48" t="str">
        <f aca="false">COST!A728</f>
        <v>ASH-0195</v>
      </c>
      <c r="B728" s="48" t="str">
        <f aca="false">COST!B728</f>
        <v>ASH</v>
      </c>
      <c r="C728" s="48" t="str">
        <f aca="false">COST!D728</f>
        <v>Mobile Health Screening Unit</v>
      </c>
      <c r="D728" s="62" t="n">
        <f aca="false">COST!M728</f>
        <v>46112</v>
      </c>
      <c r="E728" s="48" t="str">
        <f aca="false">COST!P728</f>
        <v>Community Health Worker</v>
      </c>
      <c r="F728" s="63" t="n">
        <f aca="false">COST!R728</f>
        <v>78.25</v>
      </c>
      <c r="G728" s="48" t="str">
        <f aca="false">STACK!M728</f>
        <v/>
      </c>
      <c r="H728" s="1" t="str">
        <f aca="false">C728&amp;"|"&amp;IF(ISNUMBER(D728),TEXT(D728,"yyyy-mm-dd"),"no date")&amp;"|"&amp;E728&amp;"|"&amp;IF(ISNUMBER(F728),TEXT(F728,"0.00"),"blank")</f>
        <v>Mobile Health Screening Unit|2026-03-31|Community Health Worker|78.25</v>
      </c>
      <c r="I728" s="1" t="n">
        <f aca="false">COUNTIF($H$5:$H$1624,H728)</f>
        <v>1</v>
      </c>
      <c r="J728" s="1" t="n">
        <f aca="false">COUNTIF($H$5:H728,H728)</f>
        <v>1</v>
      </c>
      <c r="K728" s="1" t="n">
        <f aca="false">COUNTIFS($H$5:$H$1624,H728,$B$5:$B$1624,"&lt;&gt;"&amp;B728)</f>
        <v>0</v>
      </c>
      <c r="L728" s="1" t="str">
        <f aca="false">IF(I728&gt;1,IF(K728&gt;0,"Cross-hospital match","Same-hospital match"),"")</f>
        <v/>
      </c>
      <c r="M728" s="52"/>
      <c r="N728" s="52"/>
      <c r="O728" s="1" t="n">
        <f aca="false">IF(M728="Exclude (duplicate)",0,1)</f>
        <v>1</v>
      </c>
      <c r="P728" s="1" t="str">
        <f aca="false">IF(AND(L728&lt;&gt;"",M728=""),"Needs decision","")</f>
        <v/>
      </c>
    </row>
    <row r="729" customFormat="false" ht="15" hidden="false" customHeight="false" outlineLevel="0" collapsed="false">
      <c r="A729" s="48" t="str">
        <f aca="false">COST!A729</f>
        <v>ASH-0196</v>
      </c>
      <c r="B729" s="48" t="str">
        <f aca="false">COST!B729</f>
        <v>ASH</v>
      </c>
      <c r="C729" s="48" t="str">
        <f aca="false">COST!D729</f>
        <v>Mobile Health Screening Unit</v>
      </c>
      <c r="D729" s="62" t="n">
        <f aca="false">COST!M729</f>
        <v>46112</v>
      </c>
      <c r="E729" s="48" t="str">
        <f aca="false">COST!P729</f>
        <v>Medical Assistant</v>
      </c>
      <c r="F729" s="63" t="n">
        <f aca="false">COST!R729</f>
        <v>76.5</v>
      </c>
      <c r="G729" s="48" t="str">
        <f aca="false">STACK!M729</f>
        <v/>
      </c>
      <c r="H729" s="1" t="str">
        <f aca="false">C729&amp;"|"&amp;IF(ISNUMBER(D729),TEXT(D729,"yyyy-mm-dd"),"no date")&amp;"|"&amp;E729&amp;"|"&amp;IF(ISNUMBER(F729),TEXT(F729,"0.00"),"blank")</f>
        <v>Mobile Health Screening Unit|2026-03-31|Medical Assistant|76.50</v>
      </c>
      <c r="I729" s="1" t="n">
        <f aca="false">COUNTIF($H$5:$H$1624,H729)</f>
        <v>1</v>
      </c>
      <c r="J729" s="1" t="n">
        <f aca="false">COUNTIF($H$5:H729,H729)</f>
        <v>1</v>
      </c>
      <c r="K729" s="1" t="n">
        <f aca="false">COUNTIFS($H$5:$H$1624,H729,$B$5:$B$1624,"&lt;&gt;"&amp;B729)</f>
        <v>0</v>
      </c>
      <c r="L729" s="1" t="str">
        <f aca="false">IF(I729&gt;1,IF(K729&gt;0,"Cross-hospital match","Same-hospital match"),"")</f>
        <v/>
      </c>
      <c r="M729" s="52"/>
      <c r="N729" s="52"/>
      <c r="O729" s="1" t="n">
        <f aca="false">IF(M729="Exclude (duplicate)",0,1)</f>
        <v>1</v>
      </c>
      <c r="P729" s="1" t="str">
        <f aca="false">IF(AND(L729&lt;&gt;"",M729=""),"Needs decision","")</f>
        <v/>
      </c>
    </row>
    <row r="730" customFormat="false" ht="15" hidden="false" customHeight="false" outlineLevel="0" collapsed="false">
      <c r="A730" s="48" t="str">
        <f aca="false">COST!A730</f>
        <v>ASH-0197</v>
      </c>
      <c r="B730" s="48" t="str">
        <f aca="false">COST!B730</f>
        <v>ASH</v>
      </c>
      <c r="C730" s="48" t="str">
        <f aca="false">COST!D730</f>
        <v>Mobile Health Screening Unit</v>
      </c>
      <c r="D730" s="62" t="n">
        <f aca="false">COST!M730</f>
        <v>46112</v>
      </c>
      <c r="E730" s="48" t="str">
        <f aca="false">COST!P730</f>
        <v>Registered Nurse</v>
      </c>
      <c r="F730" s="63" t="n">
        <f aca="false">COST!R730</f>
        <v>73</v>
      </c>
      <c r="G730" s="48" t="str">
        <f aca="false">STACK!M730</f>
        <v/>
      </c>
      <c r="H730" s="1" t="str">
        <f aca="false">C730&amp;"|"&amp;IF(ISNUMBER(D730),TEXT(D730,"yyyy-mm-dd"),"no date")&amp;"|"&amp;E730&amp;"|"&amp;IF(ISNUMBER(F730),TEXT(F730,"0.00"),"blank")</f>
        <v>Mobile Health Screening Unit|2026-03-31|Registered Nurse|73.00</v>
      </c>
      <c r="I730" s="1" t="n">
        <f aca="false">COUNTIF($H$5:$H$1624,H730)</f>
        <v>1</v>
      </c>
      <c r="J730" s="1" t="n">
        <f aca="false">COUNTIF($H$5:H730,H730)</f>
        <v>1</v>
      </c>
      <c r="K730" s="1" t="n">
        <f aca="false">COUNTIFS($H$5:$H$1624,H730,$B$5:$B$1624,"&lt;&gt;"&amp;B730)</f>
        <v>0</v>
      </c>
      <c r="L730" s="1" t="str">
        <f aca="false">IF(I730&gt;1,IF(K730&gt;0,"Cross-hospital match","Same-hospital match"),"")</f>
        <v/>
      </c>
      <c r="M730" s="52"/>
      <c r="N730" s="52"/>
      <c r="O730" s="1" t="n">
        <f aca="false">IF(M730="Exclude (duplicate)",0,1)</f>
        <v>1</v>
      </c>
      <c r="P730" s="1" t="str">
        <f aca="false">IF(AND(L730&lt;&gt;"",M730=""),"Needs decision","")</f>
        <v/>
      </c>
    </row>
    <row r="731" customFormat="false" ht="15" hidden="false" customHeight="false" outlineLevel="0" collapsed="false">
      <c r="A731" s="48" t="str">
        <f aca="false">COST!A731</f>
        <v>ASH-0198</v>
      </c>
      <c r="B731" s="48" t="str">
        <f aca="false">COST!B731</f>
        <v>ASH</v>
      </c>
      <c r="C731" s="48" t="str">
        <f aca="false">COST!D731</f>
        <v>Community Health Worker Outreach</v>
      </c>
      <c r="D731" s="62" t="n">
        <f aca="false">COST!M731</f>
        <v>46112</v>
      </c>
      <c r="E731" s="48" t="str">
        <f aca="false">COST!P731</f>
        <v>Community Health Worker</v>
      </c>
      <c r="F731" s="63" t="n">
        <f aca="false">COST!R731</f>
        <v>321</v>
      </c>
      <c r="G731" s="48" t="str">
        <f aca="false">STACK!M731</f>
        <v/>
      </c>
      <c r="H731" s="1" t="str">
        <f aca="false">C731&amp;"|"&amp;IF(ISNUMBER(D731),TEXT(D731,"yyyy-mm-dd"),"no date")&amp;"|"&amp;E731&amp;"|"&amp;IF(ISNUMBER(F731),TEXT(F731,"0.00"),"blank")</f>
        <v>Community Health Worker Outreach|2026-03-31|Community Health Worker|321.00</v>
      </c>
      <c r="I731" s="1" t="n">
        <f aca="false">COUNTIF($H$5:$H$1624,H731)</f>
        <v>1</v>
      </c>
      <c r="J731" s="1" t="n">
        <f aca="false">COUNTIF($H$5:H731,H731)</f>
        <v>1</v>
      </c>
      <c r="K731" s="1" t="n">
        <f aca="false">COUNTIFS($H$5:$H$1624,H731,$B$5:$B$1624,"&lt;&gt;"&amp;B731)</f>
        <v>0</v>
      </c>
      <c r="L731" s="1" t="str">
        <f aca="false">IF(I731&gt;1,IF(K731&gt;0,"Cross-hospital match","Same-hospital match"),"")</f>
        <v/>
      </c>
      <c r="M731" s="52"/>
      <c r="N731" s="52"/>
      <c r="O731" s="1" t="n">
        <f aca="false">IF(M731="Exclude (duplicate)",0,1)</f>
        <v>1</v>
      </c>
      <c r="P731" s="1" t="str">
        <f aca="false">IF(AND(L731&lt;&gt;"",M731=""),"Needs decision","")</f>
        <v/>
      </c>
    </row>
    <row r="732" customFormat="false" ht="15" hidden="false" customHeight="false" outlineLevel="0" collapsed="false">
      <c r="A732" s="48" t="str">
        <f aca="false">COST!A732</f>
        <v>ASH-0199</v>
      </c>
      <c r="B732" s="48" t="str">
        <f aca="false">COST!B732</f>
        <v>ASH</v>
      </c>
      <c r="C732" s="48" t="str">
        <f aca="false">COST!D732</f>
        <v>Community Health Worker Outreach</v>
      </c>
      <c r="D732" s="62" t="n">
        <f aca="false">COST!M732</f>
        <v>46112</v>
      </c>
      <c r="E732" s="48" t="str">
        <f aca="false">COST!P732</f>
        <v>Patient Navigator</v>
      </c>
      <c r="F732" s="63" t="n">
        <f aca="false">COST!R732</f>
        <v>137.5</v>
      </c>
      <c r="G732" s="48" t="str">
        <f aca="false">STACK!M732</f>
        <v/>
      </c>
      <c r="H732" s="1" t="str">
        <f aca="false">C732&amp;"|"&amp;IF(ISNUMBER(D732),TEXT(D732,"yyyy-mm-dd"),"no date")&amp;"|"&amp;E732&amp;"|"&amp;IF(ISNUMBER(F732),TEXT(F732,"0.00"),"blank")</f>
        <v>Community Health Worker Outreach|2026-03-31|Patient Navigator|137.50</v>
      </c>
      <c r="I732" s="1" t="n">
        <f aca="false">COUNTIF($H$5:$H$1624,H732)</f>
        <v>1</v>
      </c>
      <c r="J732" s="1" t="n">
        <f aca="false">COUNTIF($H$5:H732,H732)</f>
        <v>1</v>
      </c>
      <c r="K732" s="1" t="n">
        <f aca="false">COUNTIFS($H$5:$H$1624,H732,$B$5:$B$1624,"&lt;&gt;"&amp;B732)</f>
        <v>0</v>
      </c>
      <c r="L732" s="1" t="str">
        <f aca="false">IF(I732&gt;1,IF(K732&gt;0,"Cross-hospital match","Same-hospital match"),"")</f>
        <v/>
      </c>
      <c r="M732" s="52"/>
      <c r="N732" s="52"/>
      <c r="O732" s="1" t="n">
        <f aca="false">IF(M732="Exclude (duplicate)",0,1)</f>
        <v>1</v>
      </c>
      <c r="P732" s="1" t="str">
        <f aca="false">IF(AND(L732&lt;&gt;"",M732=""),"Needs decision","")</f>
        <v/>
      </c>
    </row>
    <row r="733" customFormat="false" ht="15" hidden="false" customHeight="false" outlineLevel="0" collapsed="false">
      <c r="A733" s="48" t="str">
        <f aca="false">COST!A733</f>
        <v>ASH-0200</v>
      </c>
      <c r="B733" s="48" t="str">
        <f aca="false">COST!B733</f>
        <v>ASH</v>
      </c>
      <c r="C733" s="48" t="str">
        <f aca="false">COST!D733</f>
        <v>Produce Prescription Program</v>
      </c>
      <c r="D733" s="62" t="n">
        <f aca="false">COST!M733</f>
        <v>46112</v>
      </c>
      <c r="E733" s="48" t="str">
        <f aca="false">COST!P733</f>
        <v>Community Health Worker</v>
      </c>
      <c r="F733" s="63" t="n">
        <f aca="false">COST!R733</f>
        <v>42.5</v>
      </c>
      <c r="G733" s="48" t="str">
        <f aca="false">STACK!M733</f>
        <v/>
      </c>
      <c r="H733" s="1" t="str">
        <f aca="false">C733&amp;"|"&amp;IF(ISNUMBER(D733),TEXT(D733,"yyyy-mm-dd"),"no date")&amp;"|"&amp;E733&amp;"|"&amp;IF(ISNUMBER(F733),TEXT(F733,"0.00"),"blank")</f>
        <v>Produce Prescription Program|2026-03-31|Community Health Worker|42.50</v>
      </c>
      <c r="I733" s="1" t="n">
        <f aca="false">COUNTIF($H$5:$H$1624,H733)</f>
        <v>1</v>
      </c>
      <c r="J733" s="1" t="n">
        <f aca="false">COUNTIF($H$5:H733,H733)</f>
        <v>1</v>
      </c>
      <c r="K733" s="1" t="n">
        <f aca="false">COUNTIFS($H$5:$H$1624,H733,$B$5:$B$1624,"&lt;&gt;"&amp;B733)</f>
        <v>0</v>
      </c>
      <c r="L733" s="1" t="str">
        <f aca="false">IF(I733&gt;1,IF(K733&gt;0,"Cross-hospital match","Same-hospital match"),"")</f>
        <v/>
      </c>
      <c r="M733" s="52"/>
      <c r="N733" s="52"/>
      <c r="O733" s="1" t="n">
        <f aca="false">IF(M733="Exclude (duplicate)",0,1)</f>
        <v>1</v>
      </c>
      <c r="P733" s="1" t="str">
        <f aca="false">IF(AND(L733&lt;&gt;"",M733=""),"Needs decision","")</f>
        <v/>
      </c>
    </row>
    <row r="734" customFormat="false" ht="15" hidden="false" customHeight="false" outlineLevel="0" collapsed="false">
      <c r="A734" s="48" t="str">
        <f aca="false">COST!A734</f>
        <v>ASH-0201</v>
      </c>
      <c r="B734" s="48" t="str">
        <f aca="false">COST!B734</f>
        <v>ASH</v>
      </c>
      <c r="C734" s="48" t="str">
        <f aca="false">COST!D734</f>
        <v>Produce Prescription Program</v>
      </c>
      <c r="D734" s="62" t="n">
        <f aca="false">COST!M734</f>
        <v>46112</v>
      </c>
      <c r="E734" s="48" t="str">
        <f aca="false">COST!P734</f>
        <v>Registered Dietitian</v>
      </c>
      <c r="F734" s="63" t="n">
        <f aca="false">COST!R734</f>
        <v>21.75</v>
      </c>
      <c r="G734" s="48" t="str">
        <f aca="false">STACK!M734</f>
        <v/>
      </c>
      <c r="H734" s="1" t="str">
        <f aca="false">C734&amp;"|"&amp;IF(ISNUMBER(D734),TEXT(D734,"yyyy-mm-dd"),"no date")&amp;"|"&amp;E734&amp;"|"&amp;IF(ISNUMBER(F734),TEXT(F734,"0.00"),"blank")</f>
        <v>Produce Prescription Program|2026-03-31|Registered Dietitian|21.75</v>
      </c>
      <c r="I734" s="1" t="n">
        <f aca="false">COUNTIF($H$5:$H$1624,H734)</f>
        <v>1</v>
      </c>
      <c r="J734" s="1" t="n">
        <f aca="false">COUNTIF($H$5:H734,H734)</f>
        <v>1</v>
      </c>
      <c r="K734" s="1" t="n">
        <f aca="false">COUNTIFS($H$5:$H$1624,H734,$B$5:$B$1624,"&lt;&gt;"&amp;B734)</f>
        <v>0</v>
      </c>
      <c r="L734" s="1" t="str">
        <f aca="false">IF(I734&gt;1,IF(K734&gt;0,"Cross-hospital match","Same-hospital match"),"")</f>
        <v/>
      </c>
      <c r="M734" s="52"/>
      <c r="N734" s="52"/>
      <c r="O734" s="1" t="n">
        <f aca="false">IF(M734="Exclude (duplicate)",0,1)</f>
        <v>1</v>
      </c>
      <c r="P734" s="1" t="str">
        <f aca="false">IF(AND(L734&lt;&gt;"",M734=""),"Needs decision","")</f>
        <v/>
      </c>
    </row>
    <row r="735" customFormat="false" ht="15" hidden="false" customHeight="false" outlineLevel="0" collapsed="false">
      <c r="A735" s="48" t="str">
        <f aca="false">COST!A735</f>
        <v>ASH-0202</v>
      </c>
      <c r="B735" s="48" t="str">
        <f aca="false">COST!B735</f>
        <v>ASH</v>
      </c>
      <c r="C735" s="48" t="str">
        <f aca="false">COST!D735</f>
        <v>Community Health Needs Assessment</v>
      </c>
      <c r="D735" s="62" t="n">
        <f aca="false">COST!M735</f>
        <v>46112</v>
      </c>
      <c r="E735" s="48" t="str">
        <f aca="false">COST!P735</f>
        <v>Community Benefit Manager</v>
      </c>
      <c r="F735" s="63" t="n">
        <f aca="false">COST!R735</f>
        <v>90.75</v>
      </c>
      <c r="G735" s="48" t="str">
        <f aca="false">STACK!M735</f>
        <v>System CHNA work (shared)</v>
      </c>
      <c r="H735" s="1" t="str">
        <f aca="false">C735&amp;"|"&amp;IF(ISNUMBER(D735),TEXT(D735,"yyyy-mm-dd"),"no date")&amp;"|"&amp;E735&amp;"|"&amp;IF(ISNUMBER(F735),TEXT(F735,"0.00"),"blank")</f>
        <v>Community Health Needs Assessment|2026-03-31|Community Benefit Manager|90.75</v>
      </c>
      <c r="I735" s="1" t="n">
        <f aca="false">COUNTIF($H$5:$H$1624,H735)</f>
        <v>2</v>
      </c>
      <c r="J735" s="1" t="n">
        <f aca="false">COUNTIF($H$5:H735,H735)</f>
        <v>2</v>
      </c>
      <c r="K735" s="1" t="n">
        <f aca="false">COUNTIFS($H$5:$H$1624,H735,$B$5:$B$1624,"&lt;&gt;"&amp;B735)</f>
        <v>1</v>
      </c>
      <c r="L735" s="1" t="str">
        <f aca="false">IF(I735&gt;1,IF(K735&gt;0,"Cross-hospital match","Same-hospital match"),"")</f>
        <v>Cross-hospital match</v>
      </c>
      <c r="M735" s="52" t="s">
        <v>2962</v>
      </c>
      <c r="N735" s="52" t="s">
        <v>2964</v>
      </c>
      <c r="O735" s="1" t="n">
        <f aca="false">IF(M735="Exclude (duplicate)",0,1)</f>
        <v>0</v>
      </c>
      <c r="P735" s="1" t="str">
        <f aca="false">IF(AND(L735&lt;&gt;"",M735=""),"Needs decision","")</f>
        <v/>
      </c>
    </row>
    <row r="736" customFormat="false" ht="15" hidden="false" customHeight="false" outlineLevel="0" collapsed="false">
      <c r="A736" s="48" t="str">
        <f aca="false">COST!A736</f>
        <v>ASH-0203</v>
      </c>
      <c r="B736" s="48" t="str">
        <f aca="false">COST!B736</f>
        <v>ASH</v>
      </c>
      <c r="C736" s="48" t="str">
        <f aca="false">COST!D736</f>
        <v>Community Health Needs Assessment</v>
      </c>
      <c r="D736" s="62" t="n">
        <f aca="false">COST!M736</f>
        <v>46112</v>
      </c>
      <c r="E736" s="48" t="str">
        <f aca="false">COST!P736</f>
        <v>Data Analyst</v>
      </c>
      <c r="F736" s="63" t="n">
        <f aca="false">COST!R736</f>
        <v>99.25</v>
      </c>
      <c r="G736" s="48" t="str">
        <f aca="false">STACK!M736</f>
        <v>System CHNA work (shared)</v>
      </c>
      <c r="H736" s="1" t="str">
        <f aca="false">C736&amp;"|"&amp;IF(ISNUMBER(D736),TEXT(D736,"yyyy-mm-dd"),"no date")&amp;"|"&amp;E736&amp;"|"&amp;IF(ISNUMBER(F736),TEXT(F736,"0.00"),"blank")</f>
        <v>Community Health Needs Assessment|2026-03-31|Data Analyst|99.25</v>
      </c>
      <c r="I736" s="1" t="n">
        <f aca="false">COUNTIF($H$5:$H$1624,H736)</f>
        <v>2</v>
      </c>
      <c r="J736" s="1" t="n">
        <f aca="false">COUNTIF($H$5:H736,H736)</f>
        <v>2</v>
      </c>
      <c r="K736" s="1" t="n">
        <f aca="false">COUNTIFS($H$5:$H$1624,H736,$B$5:$B$1624,"&lt;&gt;"&amp;B736)</f>
        <v>1</v>
      </c>
      <c r="L736" s="1" t="str">
        <f aca="false">IF(I736&gt;1,IF(K736&gt;0,"Cross-hospital match","Same-hospital match"),"")</f>
        <v>Cross-hospital match</v>
      </c>
      <c r="M736" s="52" t="s">
        <v>2962</v>
      </c>
      <c r="N736" s="52" t="s">
        <v>2964</v>
      </c>
      <c r="O736" s="1" t="n">
        <f aca="false">IF(M736="Exclude (duplicate)",0,1)</f>
        <v>0</v>
      </c>
      <c r="P736" s="1" t="str">
        <f aca="false">IF(AND(L736&lt;&gt;"",M736=""),"Needs decision","")</f>
        <v/>
      </c>
    </row>
    <row r="737" customFormat="false" ht="15" hidden="false" customHeight="false" outlineLevel="0" collapsed="false">
      <c r="A737" s="48" t="str">
        <f aca="false">COST!A737</f>
        <v>ASH-0204</v>
      </c>
      <c r="B737" s="48" t="str">
        <f aca="false">COST!B737</f>
        <v>ASH</v>
      </c>
      <c r="C737" s="48" t="str">
        <f aca="false">COST!D737</f>
        <v>Community Benefit Program Administration</v>
      </c>
      <c r="D737" s="62" t="n">
        <f aca="false">COST!M737</f>
        <v>46112</v>
      </c>
      <c r="E737" s="48" t="str">
        <f aca="false">COST!P737</f>
        <v>Administrative Assistant</v>
      </c>
      <c r="F737" s="63" t="n">
        <f aca="false">COST!R737</f>
        <v>48.25</v>
      </c>
      <c r="G737" s="48" t="str">
        <f aca="false">STACK!M737</f>
        <v/>
      </c>
      <c r="H737" s="1" t="str">
        <f aca="false">C737&amp;"|"&amp;IF(ISNUMBER(D737),TEXT(D737,"yyyy-mm-dd"),"no date")&amp;"|"&amp;E737&amp;"|"&amp;IF(ISNUMBER(F737),TEXT(F737,"0.00"),"blank")</f>
        <v>Community Benefit Program Administration|2026-03-31|Administrative Assistant|48.25</v>
      </c>
      <c r="I737" s="1" t="n">
        <f aca="false">COUNTIF($H$5:$H$1624,H737)</f>
        <v>1</v>
      </c>
      <c r="J737" s="1" t="n">
        <f aca="false">COUNTIF($H$5:H737,H737)</f>
        <v>1</v>
      </c>
      <c r="K737" s="1" t="n">
        <f aca="false">COUNTIFS($H$5:$H$1624,H737,$B$5:$B$1624,"&lt;&gt;"&amp;B737)</f>
        <v>0</v>
      </c>
      <c r="L737" s="1" t="str">
        <f aca="false">IF(I737&gt;1,IF(K737&gt;0,"Cross-hospital match","Same-hospital match"),"")</f>
        <v/>
      </c>
      <c r="M737" s="52"/>
      <c r="N737" s="52"/>
      <c r="O737" s="1" t="n">
        <f aca="false">IF(M737="Exclude (duplicate)",0,1)</f>
        <v>1</v>
      </c>
      <c r="P737" s="1" t="str">
        <f aca="false">IF(AND(L737&lt;&gt;"",M737=""),"Needs decision","")</f>
        <v/>
      </c>
    </row>
    <row r="738" customFormat="false" ht="15" hidden="false" customHeight="false" outlineLevel="0" collapsed="false">
      <c r="A738" s="48" t="str">
        <f aca="false">COST!A738</f>
        <v>ASH-0205</v>
      </c>
      <c r="B738" s="48" t="str">
        <f aca="false">COST!B738</f>
        <v>ASH</v>
      </c>
      <c r="C738" s="48" t="str">
        <f aca="false">COST!D738</f>
        <v>Community Benefit Program Administration</v>
      </c>
      <c r="D738" s="62" t="n">
        <f aca="false">COST!M738</f>
        <v>46112</v>
      </c>
      <c r="E738" s="48" t="str">
        <f aca="false">COST!P738</f>
        <v>Community Benefit Manager</v>
      </c>
      <c r="F738" s="63" t="n">
        <f aca="false">COST!R738</f>
        <v>75.5</v>
      </c>
      <c r="G738" s="48" t="str">
        <f aca="false">STACK!M738</f>
        <v/>
      </c>
      <c r="H738" s="1" t="str">
        <f aca="false">C738&amp;"|"&amp;IF(ISNUMBER(D738),TEXT(D738,"yyyy-mm-dd"),"no date")&amp;"|"&amp;E738&amp;"|"&amp;IF(ISNUMBER(F738),TEXT(F738,"0.00"),"blank")</f>
        <v>Community Benefit Program Administration|2026-03-31|Community Benefit Manager|75.50</v>
      </c>
      <c r="I738" s="1" t="n">
        <f aca="false">COUNTIF($H$5:$H$1624,H738)</f>
        <v>1</v>
      </c>
      <c r="J738" s="1" t="n">
        <f aca="false">COUNTIF($H$5:H738,H738)</f>
        <v>1</v>
      </c>
      <c r="K738" s="1" t="n">
        <f aca="false">COUNTIFS($H$5:$H$1624,H738,$B$5:$B$1624,"&lt;&gt;"&amp;B738)</f>
        <v>0</v>
      </c>
      <c r="L738" s="1" t="str">
        <f aca="false">IF(I738&gt;1,IF(K738&gt;0,"Cross-hospital match","Same-hospital match"),"")</f>
        <v/>
      </c>
      <c r="M738" s="52"/>
      <c r="N738" s="52"/>
      <c r="O738" s="1" t="n">
        <f aca="false">IF(M738="Exclude (duplicate)",0,1)</f>
        <v>1</v>
      </c>
      <c r="P738" s="1" t="str">
        <f aca="false">IF(AND(L738&lt;&gt;"",M738=""),"Needs decision","")</f>
        <v/>
      </c>
    </row>
    <row r="739" customFormat="false" ht="15" hidden="false" customHeight="false" outlineLevel="0" collapsed="false">
      <c r="A739" s="48" t="str">
        <f aca="false">COST!A739</f>
        <v>ASH-0206</v>
      </c>
      <c r="B739" s="48" t="str">
        <f aca="false">COST!B739</f>
        <v>ASH</v>
      </c>
      <c r="C739" s="48" t="str">
        <f aca="false">COST!D739</f>
        <v>Nursing Student Clinical Rotations</v>
      </c>
      <c r="D739" s="62" t="n">
        <f aca="false">COST!M739</f>
        <v>46112</v>
      </c>
      <c r="E739" s="48" t="str">
        <f aca="false">COST!P739</f>
        <v>Clinical Nurse Educator</v>
      </c>
      <c r="F739" s="63" t="n">
        <f aca="false">COST!R739</f>
        <v>105</v>
      </c>
      <c r="G739" s="48" t="str">
        <f aca="false">STACK!M739</f>
        <v/>
      </c>
      <c r="H739" s="1" t="str">
        <f aca="false">C739&amp;"|"&amp;IF(ISNUMBER(D739),TEXT(D739,"yyyy-mm-dd"),"no date")&amp;"|"&amp;E739&amp;"|"&amp;IF(ISNUMBER(F739),TEXT(F739,"0.00"),"blank")</f>
        <v>Nursing Student Clinical Rotations|2026-03-31|Clinical Nurse Educator|105.00</v>
      </c>
      <c r="I739" s="1" t="n">
        <f aca="false">COUNTIF($H$5:$H$1624,H739)</f>
        <v>1</v>
      </c>
      <c r="J739" s="1" t="n">
        <f aca="false">COUNTIF($H$5:H739,H739)</f>
        <v>1</v>
      </c>
      <c r="K739" s="1" t="n">
        <f aca="false">COUNTIFS($H$5:$H$1624,H739,$B$5:$B$1624,"&lt;&gt;"&amp;B739)</f>
        <v>0</v>
      </c>
      <c r="L739" s="1" t="str">
        <f aca="false">IF(I739&gt;1,IF(K739&gt;0,"Cross-hospital match","Same-hospital match"),"")</f>
        <v/>
      </c>
      <c r="M739" s="52"/>
      <c r="N739" s="52"/>
      <c r="O739" s="1" t="n">
        <f aca="false">IF(M739="Exclude (duplicate)",0,1)</f>
        <v>1</v>
      </c>
      <c r="P739" s="1" t="str">
        <f aca="false">IF(AND(L739&lt;&gt;"",M739=""),"Needs decision","")</f>
        <v/>
      </c>
    </row>
    <row r="740" customFormat="false" ht="15" hidden="false" customHeight="false" outlineLevel="0" collapsed="false">
      <c r="A740" s="48" t="str">
        <f aca="false">COST!A740</f>
        <v>ASH-0207</v>
      </c>
      <c r="B740" s="48" t="str">
        <f aca="false">COST!B740</f>
        <v>ASH</v>
      </c>
      <c r="C740" s="48" t="str">
        <f aca="false">COST!D740</f>
        <v>Nursing Student Clinical Rotations</v>
      </c>
      <c r="D740" s="62" t="n">
        <f aca="false">COST!M740</f>
        <v>46112</v>
      </c>
      <c r="E740" s="48" t="str">
        <f aca="false">COST!P740</f>
        <v>Registered Nurse</v>
      </c>
      <c r="F740" s="63" t="n">
        <f aca="false">COST!R740</f>
        <v>186.75</v>
      </c>
      <c r="G740" s="48" t="str">
        <f aca="false">STACK!M740</f>
        <v/>
      </c>
      <c r="H740" s="1" t="str">
        <f aca="false">C740&amp;"|"&amp;IF(ISNUMBER(D740),TEXT(D740,"yyyy-mm-dd"),"no date")&amp;"|"&amp;E740&amp;"|"&amp;IF(ISNUMBER(F740),TEXT(F740,"0.00"),"blank")</f>
        <v>Nursing Student Clinical Rotations|2026-03-31|Registered Nurse|186.75</v>
      </c>
      <c r="I740" s="1" t="n">
        <f aca="false">COUNTIF($H$5:$H$1624,H740)</f>
        <v>1</v>
      </c>
      <c r="J740" s="1" t="n">
        <f aca="false">COUNTIF($H$5:H740,H740)</f>
        <v>1</v>
      </c>
      <c r="K740" s="1" t="n">
        <f aca="false">COUNTIFS($H$5:$H$1624,H740,$B$5:$B$1624,"&lt;&gt;"&amp;B740)</f>
        <v>0</v>
      </c>
      <c r="L740" s="1" t="str">
        <f aca="false">IF(I740&gt;1,IF(K740&gt;0,"Cross-hospital match","Same-hospital match"),"")</f>
        <v/>
      </c>
      <c r="M740" s="52"/>
      <c r="N740" s="52"/>
      <c r="O740" s="1" t="n">
        <f aca="false">IF(M740="Exclude (duplicate)",0,1)</f>
        <v>1</v>
      </c>
      <c r="P740" s="1" t="str">
        <f aca="false">IF(AND(L740&lt;&gt;"",M740=""),"Needs decision","")</f>
        <v/>
      </c>
    </row>
    <row r="741" customFormat="false" ht="15" hidden="false" customHeight="false" outlineLevel="0" collapsed="false">
      <c r="A741" s="48" t="str">
        <f aca="false">COST!A741</f>
        <v>ASH-0208</v>
      </c>
      <c r="B741" s="48" t="str">
        <f aca="false">COST!B741</f>
        <v>ASH</v>
      </c>
      <c r="C741" s="48" t="str">
        <f aca="false">COST!D741</f>
        <v>Paramedic Student Field Training</v>
      </c>
      <c r="D741" s="62" t="n">
        <f aca="false">COST!M741</f>
        <v>46112</v>
      </c>
      <c r="E741" s="48" t="str">
        <f aca="false">COST!P741</f>
        <v>Paramedic</v>
      </c>
      <c r="F741" s="63" t="n">
        <f aca="false">COST!R741</f>
        <v>77.5</v>
      </c>
      <c r="G741" s="48" t="str">
        <f aca="false">STACK!M741</f>
        <v/>
      </c>
      <c r="H741" s="1" t="str">
        <f aca="false">C741&amp;"|"&amp;IF(ISNUMBER(D741),TEXT(D741,"yyyy-mm-dd"),"no date")&amp;"|"&amp;E741&amp;"|"&amp;IF(ISNUMBER(F741),TEXT(F741,"0.00"),"blank")</f>
        <v>Paramedic Student Field Training|2026-03-31|Paramedic|77.50</v>
      </c>
      <c r="I741" s="1" t="n">
        <f aca="false">COUNTIF($H$5:$H$1624,H741)</f>
        <v>1</v>
      </c>
      <c r="J741" s="1" t="n">
        <f aca="false">COUNTIF($H$5:H741,H741)</f>
        <v>1</v>
      </c>
      <c r="K741" s="1" t="n">
        <f aca="false">COUNTIFS($H$5:$H$1624,H741,$B$5:$B$1624,"&lt;&gt;"&amp;B741)</f>
        <v>0</v>
      </c>
      <c r="L741" s="1" t="str">
        <f aca="false">IF(I741&gt;1,IF(K741&gt;0,"Cross-hospital match","Same-hospital match"),"")</f>
        <v/>
      </c>
      <c r="M741" s="52"/>
      <c r="N741" s="52"/>
      <c r="O741" s="1" t="n">
        <f aca="false">IF(M741="Exclude (duplicate)",0,1)</f>
        <v>1</v>
      </c>
      <c r="P741" s="1" t="str">
        <f aca="false">IF(AND(L741&lt;&gt;"",M741=""),"Needs decision","")</f>
        <v/>
      </c>
    </row>
    <row r="742" customFormat="false" ht="15" hidden="false" customHeight="false" outlineLevel="0" collapsed="false">
      <c r="A742" s="48" t="str">
        <f aca="false">COST!A742</f>
        <v>ASH-0209</v>
      </c>
      <c r="B742" s="48" t="str">
        <f aca="false">COST!B742</f>
        <v>ASH</v>
      </c>
      <c r="C742" s="48" t="str">
        <f aca="false">COST!D742</f>
        <v>Grief Support Group</v>
      </c>
      <c r="D742" s="62" t="n">
        <f aca="false">COST!M742</f>
        <v>46118</v>
      </c>
      <c r="E742" s="48" t="str">
        <f aca="false">COST!P742</f>
        <v>Chaplain</v>
      </c>
      <c r="F742" s="63" t="n">
        <f aca="false">COST!R742</f>
        <v>2.5</v>
      </c>
      <c r="G742" s="48" t="str">
        <f aca="false">STACK!M742</f>
        <v/>
      </c>
      <c r="H742" s="1" t="str">
        <f aca="false">C742&amp;"|"&amp;IF(ISNUMBER(D742),TEXT(D742,"yyyy-mm-dd"),"no date")&amp;"|"&amp;E742&amp;"|"&amp;IF(ISNUMBER(F742),TEXT(F742,"0.00"),"blank")</f>
        <v>Grief Support Group|2026-04-06|Chaplain|2.50</v>
      </c>
      <c r="I742" s="1" t="n">
        <f aca="false">COUNTIF($H$5:$H$1624,H742)</f>
        <v>1</v>
      </c>
      <c r="J742" s="1" t="n">
        <f aca="false">COUNTIF($H$5:H742,H742)</f>
        <v>1</v>
      </c>
      <c r="K742" s="1" t="n">
        <f aca="false">COUNTIFS($H$5:$H$1624,H742,$B$5:$B$1624,"&lt;&gt;"&amp;B742)</f>
        <v>0</v>
      </c>
      <c r="L742" s="1" t="str">
        <f aca="false">IF(I742&gt;1,IF(K742&gt;0,"Cross-hospital match","Same-hospital match"),"")</f>
        <v/>
      </c>
      <c r="M742" s="52"/>
      <c r="N742" s="52"/>
      <c r="O742" s="1" t="n">
        <f aca="false">IF(M742="Exclude (duplicate)",0,1)</f>
        <v>1</v>
      </c>
      <c r="P742" s="1" t="str">
        <f aca="false">IF(AND(L742&lt;&gt;"",M742=""),"Needs decision","")</f>
        <v/>
      </c>
    </row>
    <row r="743" customFormat="false" ht="15" hidden="false" customHeight="false" outlineLevel="0" collapsed="false">
      <c r="A743" s="48" t="str">
        <f aca="false">COST!A743</f>
        <v>ASH-0210</v>
      </c>
      <c r="B743" s="48" t="str">
        <f aca="false">COST!B743</f>
        <v>ASH</v>
      </c>
      <c r="C743" s="48" t="str">
        <f aca="false">COST!D743</f>
        <v>Grief Support Group</v>
      </c>
      <c r="D743" s="62" t="n">
        <f aca="false">COST!M743</f>
        <v>46118</v>
      </c>
      <c r="E743" s="48" t="str">
        <f aca="false">COST!P743</f>
        <v>Social Worker</v>
      </c>
      <c r="F743" s="63" t="n">
        <f aca="false">COST!R743</f>
        <v>1.5</v>
      </c>
      <c r="G743" s="48" t="str">
        <f aca="false">STACK!M743</f>
        <v/>
      </c>
      <c r="H743" s="1" t="str">
        <f aca="false">C743&amp;"|"&amp;IF(ISNUMBER(D743),TEXT(D743,"yyyy-mm-dd"),"no date")&amp;"|"&amp;E743&amp;"|"&amp;IF(ISNUMBER(F743),TEXT(F743,"0.00"),"blank")</f>
        <v>Grief Support Group|2026-04-06|Social Worker|1.50</v>
      </c>
      <c r="I743" s="1" t="n">
        <f aca="false">COUNTIF($H$5:$H$1624,H743)</f>
        <v>1</v>
      </c>
      <c r="J743" s="1" t="n">
        <f aca="false">COUNTIF($H$5:H743,H743)</f>
        <v>1</v>
      </c>
      <c r="K743" s="1" t="n">
        <f aca="false">COUNTIFS($H$5:$H$1624,H743,$B$5:$B$1624,"&lt;&gt;"&amp;B743)</f>
        <v>0</v>
      </c>
      <c r="L743" s="1" t="str">
        <f aca="false">IF(I743&gt;1,IF(K743&gt;0,"Cross-hospital match","Same-hospital match"),"")</f>
        <v/>
      </c>
      <c r="M743" s="52"/>
      <c r="N743" s="52"/>
      <c r="O743" s="1" t="n">
        <f aca="false">IF(M743="Exclude (duplicate)",0,1)</f>
        <v>1</v>
      </c>
      <c r="P743" s="1" t="str">
        <f aca="false">IF(AND(L743&lt;&gt;"",M743=""),"Needs decision","")</f>
        <v/>
      </c>
    </row>
    <row r="744" customFormat="false" ht="15" hidden="false" customHeight="false" outlineLevel="0" collapsed="false">
      <c r="A744" s="48" t="str">
        <f aca="false">COST!A744</f>
        <v>ASH-0211</v>
      </c>
      <c r="B744" s="48" t="str">
        <f aca="false">COST!B744</f>
        <v>ASH</v>
      </c>
      <c r="C744" s="48" t="str">
        <f aca="false">COST!D744</f>
        <v>Fall Prevention Classes for Older Adults</v>
      </c>
      <c r="D744" s="62" t="n">
        <f aca="false">COST!M744</f>
        <v>46123</v>
      </c>
      <c r="E744" s="48" t="str">
        <f aca="false">COST!P744</f>
        <v>Licensed Therapist</v>
      </c>
      <c r="F744" s="63" t="n">
        <f aca="false">COST!R744</f>
        <v>2</v>
      </c>
      <c r="G744" s="48" t="str">
        <f aca="false">STACK!M744</f>
        <v/>
      </c>
      <c r="H744" s="1" t="str">
        <f aca="false">C744&amp;"|"&amp;IF(ISNUMBER(D744),TEXT(D744,"yyyy-mm-dd"),"no date")&amp;"|"&amp;E744&amp;"|"&amp;IF(ISNUMBER(F744),TEXT(F744,"0.00"),"blank")</f>
        <v>Fall Prevention Classes for Older Adults|2026-04-11|Licensed Therapist|2.00</v>
      </c>
      <c r="I744" s="1" t="n">
        <f aca="false">COUNTIF($H$5:$H$1624,H744)</f>
        <v>1</v>
      </c>
      <c r="J744" s="1" t="n">
        <f aca="false">COUNTIF($H$5:H744,H744)</f>
        <v>1</v>
      </c>
      <c r="K744" s="1" t="n">
        <f aca="false">COUNTIFS($H$5:$H$1624,H744,$B$5:$B$1624,"&lt;&gt;"&amp;B744)</f>
        <v>0</v>
      </c>
      <c r="L744" s="1" t="str">
        <f aca="false">IF(I744&gt;1,IF(K744&gt;0,"Cross-hospital match","Same-hospital match"),"")</f>
        <v/>
      </c>
      <c r="M744" s="52"/>
      <c r="N744" s="52"/>
      <c r="O744" s="1" t="n">
        <f aca="false">IF(M744="Exclude (duplicate)",0,1)</f>
        <v>1</v>
      </c>
      <c r="P744" s="1" t="str">
        <f aca="false">IF(AND(L744&lt;&gt;"",M744=""),"Needs decision","")</f>
        <v/>
      </c>
    </row>
    <row r="745" customFormat="false" ht="15" hidden="false" customHeight="false" outlineLevel="0" collapsed="false">
      <c r="A745" s="48" t="str">
        <f aca="false">COST!A745</f>
        <v>ASH-0212</v>
      </c>
      <c r="B745" s="48" t="str">
        <f aca="false">COST!B745</f>
        <v>ASH</v>
      </c>
      <c r="C745" s="48" t="str">
        <f aca="false">COST!D745</f>
        <v>Grief Support Group</v>
      </c>
      <c r="D745" s="62" t="n">
        <f aca="false">COST!M745</f>
        <v>46128</v>
      </c>
      <c r="E745" s="48" t="str">
        <f aca="false">COST!P745</f>
        <v>Chaplain</v>
      </c>
      <c r="F745" s="63" t="n">
        <f aca="false">COST!R745</f>
        <v>2.5</v>
      </c>
      <c r="G745" s="48" t="str">
        <f aca="false">STACK!M745</f>
        <v/>
      </c>
      <c r="H745" s="1" t="str">
        <f aca="false">C745&amp;"|"&amp;IF(ISNUMBER(D745),TEXT(D745,"yyyy-mm-dd"),"no date")&amp;"|"&amp;E745&amp;"|"&amp;IF(ISNUMBER(F745),TEXT(F745,"0.00"),"blank")</f>
        <v>Grief Support Group|2026-04-16|Chaplain|2.50</v>
      </c>
      <c r="I745" s="1" t="n">
        <f aca="false">COUNTIF($H$5:$H$1624,H745)</f>
        <v>1</v>
      </c>
      <c r="J745" s="1" t="n">
        <f aca="false">COUNTIF($H$5:H745,H745)</f>
        <v>1</v>
      </c>
      <c r="K745" s="1" t="n">
        <f aca="false">COUNTIFS($H$5:$H$1624,H745,$B$5:$B$1624,"&lt;&gt;"&amp;B745)</f>
        <v>0</v>
      </c>
      <c r="L745" s="1" t="str">
        <f aca="false">IF(I745&gt;1,IF(K745&gt;0,"Cross-hospital match","Same-hospital match"),"")</f>
        <v/>
      </c>
      <c r="M745" s="52"/>
      <c r="N745" s="52"/>
      <c r="O745" s="1" t="n">
        <f aca="false">IF(M745="Exclude (duplicate)",0,1)</f>
        <v>1</v>
      </c>
      <c r="P745" s="1" t="str">
        <f aca="false">IF(AND(L745&lt;&gt;"",M745=""),"Needs decision","")</f>
        <v/>
      </c>
    </row>
    <row r="746" customFormat="false" ht="15" hidden="false" customHeight="false" outlineLevel="0" collapsed="false">
      <c r="A746" s="48" t="str">
        <f aca="false">COST!A746</f>
        <v>ASH-0213</v>
      </c>
      <c r="B746" s="48" t="str">
        <f aca="false">COST!B746</f>
        <v>ASH</v>
      </c>
      <c r="C746" s="48" t="str">
        <f aca="false">COST!D746</f>
        <v>Grief Support Group</v>
      </c>
      <c r="D746" s="62" t="n">
        <f aca="false">COST!M746</f>
        <v>46128</v>
      </c>
      <c r="E746" s="48" t="str">
        <f aca="false">COST!P746</f>
        <v>Social Worker</v>
      </c>
      <c r="F746" s="63" t="n">
        <f aca="false">COST!R746</f>
        <v>1.75</v>
      </c>
      <c r="G746" s="48" t="str">
        <f aca="false">STACK!M746</f>
        <v/>
      </c>
      <c r="H746" s="1" t="str">
        <f aca="false">C746&amp;"|"&amp;IF(ISNUMBER(D746),TEXT(D746,"yyyy-mm-dd"),"no date")&amp;"|"&amp;E746&amp;"|"&amp;IF(ISNUMBER(F746),TEXT(F746,"0.00"),"blank")</f>
        <v>Grief Support Group|2026-04-16|Social Worker|1.75</v>
      </c>
      <c r="I746" s="1" t="n">
        <f aca="false">COUNTIF($H$5:$H$1624,H746)</f>
        <v>1</v>
      </c>
      <c r="J746" s="1" t="n">
        <f aca="false">COUNTIF($H$5:H746,H746)</f>
        <v>1</v>
      </c>
      <c r="K746" s="1" t="n">
        <f aca="false">COUNTIFS($H$5:$H$1624,H746,$B$5:$B$1624,"&lt;&gt;"&amp;B746)</f>
        <v>0</v>
      </c>
      <c r="L746" s="1" t="str">
        <f aca="false">IF(I746&gt;1,IF(K746&gt;0,"Cross-hospital match","Same-hospital match"),"")</f>
        <v/>
      </c>
      <c r="M746" s="52"/>
      <c r="N746" s="52"/>
      <c r="O746" s="1" t="n">
        <f aca="false">IF(M746="Exclude (duplicate)",0,1)</f>
        <v>1</v>
      </c>
      <c r="P746" s="1" t="str">
        <f aca="false">IF(AND(L746&lt;&gt;"",M746=""),"Needs decision","")</f>
        <v/>
      </c>
    </row>
    <row r="747" customFormat="false" ht="15" hidden="false" customHeight="false" outlineLevel="0" collapsed="false">
      <c r="A747" s="48" t="str">
        <f aca="false">COST!A747</f>
        <v>ASH-0214</v>
      </c>
      <c r="B747" s="48" t="str">
        <f aca="false">COST!B747</f>
        <v>ASH</v>
      </c>
      <c r="C747" s="48" t="str">
        <f aca="false">COST!D747</f>
        <v>Regional Health Coalition</v>
      </c>
      <c r="D747" s="62" t="n">
        <f aca="false">COST!M747</f>
        <v>46129</v>
      </c>
      <c r="E747" s="48" t="str">
        <f aca="false">COST!P747</f>
        <v>Community Benefit Manager</v>
      </c>
      <c r="F747" s="63" t="n">
        <f aca="false">COST!R747</f>
        <v>2</v>
      </c>
      <c r="G747" s="48" t="str">
        <f aca="false">STACK!M747</f>
        <v/>
      </c>
      <c r="H747" s="1" t="str">
        <f aca="false">C747&amp;"|"&amp;IF(ISNUMBER(D747),TEXT(D747,"yyyy-mm-dd"),"no date")&amp;"|"&amp;E747&amp;"|"&amp;IF(ISNUMBER(F747),TEXT(F747,"0.00"),"blank")</f>
        <v>Regional Health Coalition|2026-04-17|Community Benefit Manager|2.00</v>
      </c>
      <c r="I747" s="1" t="n">
        <f aca="false">COUNTIF($H$5:$H$1624,H747)</f>
        <v>1</v>
      </c>
      <c r="J747" s="1" t="n">
        <f aca="false">COUNTIF($H$5:H747,H747)</f>
        <v>1</v>
      </c>
      <c r="K747" s="1" t="n">
        <f aca="false">COUNTIFS($H$5:$H$1624,H747,$B$5:$B$1624,"&lt;&gt;"&amp;B747)</f>
        <v>0</v>
      </c>
      <c r="L747" s="1" t="str">
        <f aca="false">IF(I747&gt;1,IF(K747&gt;0,"Cross-hospital match","Same-hospital match"),"")</f>
        <v/>
      </c>
      <c r="M747" s="52"/>
      <c r="N747" s="52"/>
      <c r="O747" s="1" t="n">
        <f aca="false">IF(M747="Exclude (duplicate)",0,1)</f>
        <v>1</v>
      </c>
      <c r="P747" s="1" t="str">
        <f aca="false">IF(AND(L747&lt;&gt;"",M747=""),"Needs decision","")</f>
        <v/>
      </c>
    </row>
    <row r="748" customFormat="false" ht="15" hidden="false" customHeight="false" outlineLevel="0" collapsed="false">
      <c r="A748" s="48" t="str">
        <f aca="false">COST!A748</f>
        <v>ASH-0215</v>
      </c>
      <c r="B748" s="48" t="str">
        <f aca="false">COST!B748</f>
        <v>ASH</v>
      </c>
      <c r="C748" s="48" t="str">
        <f aca="false">COST!D748</f>
        <v>Regional Health Coalition</v>
      </c>
      <c r="D748" s="62" t="n">
        <f aca="false">COST!M748</f>
        <v>46129</v>
      </c>
      <c r="E748" s="48" t="str">
        <f aca="false">COST!P748</f>
        <v>Director</v>
      </c>
      <c r="F748" s="63" t="n">
        <f aca="false">COST!R748</f>
        <v>2.25</v>
      </c>
      <c r="G748" s="48" t="str">
        <f aca="false">STACK!M748</f>
        <v/>
      </c>
      <c r="H748" s="1" t="str">
        <f aca="false">C748&amp;"|"&amp;IF(ISNUMBER(D748),TEXT(D748,"yyyy-mm-dd"),"no date")&amp;"|"&amp;E748&amp;"|"&amp;IF(ISNUMBER(F748),TEXT(F748,"0.00"),"blank")</f>
        <v>Regional Health Coalition|2026-04-17|Director|2.25</v>
      </c>
      <c r="I748" s="1" t="n">
        <f aca="false">COUNTIF($H$5:$H$1624,H748)</f>
        <v>1</v>
      </c>
      <c r="J748" s="1" t="n">
        <f aca="false">COUNTIF($H$5:H748,H748)</f>
        <v>1</v>
      </c>
      <c r="K748" s="1" t="n">
        <f aca="false">COUNTIFS($H$5:$H$1624,H748,$B$5:$B$1624,"&lt;&gt;"&amp;B748)</f>
        <v>0</v>
      </c>
      <c r="L748" s="1" t="str">
        <f aca="false">IF(I748&gt;1,IF(K748&gt;0,"Cross-hospital match","Same-hospital match"),"")</f>
        <v/>
      </c>
      <c r="M748" s="52"/>
      <c r="N748" s="52"/>
      <c r="O748" s="1" t="n">
        <f aca="false">IF(M748="Exclude (duplicate)",0,1)</f>
        <v>1</v>
      </c>
      <c r="P748" s="1" t="str">
        <f aca="false">IF(AND(L748&lt;&gt;"",M748=""),"Needs decision","")</f>
        <v/>
      </c>
    </row>
    <row r="749" customFormat="false" ht="15" hidden="false" customHeight="false" outlineLevel="0" collapsed="false">
      <c r="A749" s="48" t="str">
        <f aca="false">COST!A749</f>
        <v>ASH-0216</v>
      </c>
      <c r="B749" s="48" t="str">
        <f aca="false">COST!B749</f>
        <v>ASH</v>
      </c>
      <c r="C749" s="48" t="str">
        <f aca="false">COST!D749</f>
        <v>In-Kind Medical Supply Donations</v>
      </c>
      <c r="D749" s="62" t="n">
        <f aca="false">COST!M749</f>
        <v>46132</v>
      </c>
      <c r="E749" s="48" t="str">
        <f aca="false">COST!P749</f>
        <v>No staff time</v>
      </c>
      <c r="F749" s="63" t="str">
        <f aca="false">COST!R749</f>
        <v/>
      </c>
      <c r="G749" s="48" t="str">
        <f aca="false">STACK!M749</f>
        <v/>
      </c>
      <c r="H749" s="1" t="str">
        <f aca="false">C749&amp;"|"&amp;IF(ISNUMBER(D749),TEXT(D749,"yyyy-mm-dd"),"no date")&amp;"|"&amp;E749&amp;"|"&amp;IF(ISNUMBER(F749),TEXT(F749,"0.00"),"blank")</f>
        <v>In-Kind Medical Supply Donations|2026-04-20|No staff time|blank</v>
      </c>
      <c r="I749" s="1" t="n">
        <f aca="false">COUNTIF($H$5:$H$1624,H749)</f>
        <v>1</v>
      </c>
      <c r="J749" s="1" t="n">
        <f aca="false">COUNTIF($H$5:H749,H749)</f>
        <v>1</v>
      </c>
      <c r="K749" s="1" t="n">
        <f aca="false">COUNTIFS($H$5:$H$1624,H749,$B$5:$B$1624,"&lt;&gt;"&amp;B749)</f>
        <v>0</v>
      </c>
      <c r="L749" s="1" t="str">
        <f aca="false">IF(I749&gt;1,IF(K749&gt;0,"Cross-hospital match","Same-hospital match"),"")</f>
        <v/>
      </c>
      <c r="M749" s="52"/>
      <c r="N749" s="52"/>
      <c r="O749" s="1" t="n">
        <f aca="false">IF(M749="Exclude (duplicate)",0,1)</f>
        <v>1</v>
      </c>
      <c r="P749" s="1" t="str">
        <f aca="false">IF(AND(L749&lt;&gt;"",M749=""),"Needs decision","")</f>
        <v/>
      </c>
    </row>
    <row r="750" customFormat="false" ht="15" hidden="false" customHeight="false" outlineLevel="0" collapsed="false">
      <c r="A750" s="48" t="str">
        <f aca="false">COST!A750</f>
        <v>ASH-0217</v>
      </c>
      <c r="B750" s="48" t="str">
        <f aca="false">COST!B750</f>
        <v>ASH</v>
      </c>
      <c r="C750" s="48" t="str">
        <f aca="false">COST!D750</f>
        <v>Mobile Health Screening Unit</v>
      </c>
      <c r="D750" s="62" t="n">
        <f aca="false">COST!M750</f>
        <v>46142</v>
      </c>
      <c r="E750" s="48" t="str">
        <f aca="false">COST!P750</f>
        <v>Community Health Worker</v>
      </c>
      <c r="F750" s="63" t="n">
        <f aca="false">COST!R750</f>
        <v>80.75</v>
      </c>
      <c r="G750" s="48" t="str">
        <f aca="false">STACK!M750</f>
        <v/>
      </c>
      <c r="H750" s="1" t="str">
        <f aca="false">C750&amp;"|"&amp;IF(ISNUMBER(D750),TEXT(D750,"yyyy-mm-dd"),"no date")&amp;"|"&amp;E750&amp;"|"&amp;IF(ISNUMBER(F750),TEXT(F750,"0.00"),"blank")</f>
        <v>Mobile Health Screening Unit|2026-04-30|Community Health Worker|80.75</v>
      </c>
      <c r="I750" s="1" t="n">
        <f aca="false">COUNTIF($H$5:$H$1624,H750)</f>
        <v>1</v>
      </c>
      <c r="J750" s="1" t="n">
        <f aca="false">COUNTIF($H$5:H750,H750)</f>
        <v>1</v>
      </c>
      <c r="K750" s="1" t="n">
        <f aca="false">COUNTIFS($H$5:$H$1624,H750,$B$5:$B$1624,"&lt;&gt;"&amp;B750)</f>
        <v>0</v>
      </c>
      <c r="L750" s="1" t="str">
        <f aca="false">IF(I750&gt;1,IF(K750&gt;0,"Cross-hospital match","Same-hospital match"),"")</f>
        <v/>
      </c>
      <c r="M750" s="52"/>
      <c r="N750" s="52"/>
      <c r="O750" s="1" t="n">
        <f aca="false">IF(M750="Exclude (duplicate)",0,1)</f>
        <v>1</v>
      </c>
      <c r="P750" s="1" t="str">
        <f aca="false">IF(AND(L750&lt;&gt;"",M750=""),"Needs decision","")</f>
        <v/>
      </c>
    </row>
    <row r="751" customFormat="false" ht="15" hidden="false" customHeight="false" outlineLevel="0" collapsed="false">
      <c r="A751" s="48" t="str">
        <f aca="false">COST!A751</f>
        <v>ASH-0218</v>
      </c>
      <c r="B751" s="48" t="str">
        <f aca="false">COST!B751</f>
        <v>ASH</v>
      </c>
      <c r="C751" s="48" t="str">
        <f aca="false">COST!D751</f>
        <v>Mobile Health Screening Unit</v>
      </c>
      <c r="D751" s="62" t="n">
        <f aca="false">COST!M751</f>
        <v>46142</v>
      </c>
      <c r="E751" s="48" t="str">
        <f aca="false">COST!P751</f>
        <v>Medical Assistant</v>
      </c>
      <c r="F751" s="63" t="n">
        <f aca="false">COST!R751</f>
        <v>80.25</v>
      </c>
      <c r="G751" s="48" t="str">
        <f aca="false">STACK!M751</f>
        <v/>
      </c>
      <c r="H751" s="1" t="str">
        <f aca="false">C751&amp;"|"&amp;IF(ISNUMBER(D751),TEXT(D751,"yyyy-mm-dd"),"no date")&amp;"|"&amp;E751&amp;"|"&amp;IF(ISNUMBER(F751),TEXT(F751,"0.00"),"blank")</f>
        <v>Mobile Health Screening Unit|2026-04-30|Medical Assistant|80.25</v>
      </c>
      <c r="I751" s="1" t="n">
        <f aca="false">COUNTIF($H$5:$H$1624,H751)</f>
        <v>1</v>
      </c>
      <c r="J751" s="1" t="n">
        <f aca="false">COUNTIF($H$5:H751,H751)</f>
        <v>1</v>
      </c>
      <c r="K751" s="1" t="n">
        <f aca="false">COUNTIFS($H$5:$H$1624,H751,$B$5:$B$1624,"&lt;&gt;"&amp;B751)</f>
        <v>0</v>
      </c>
      <c r="L751" s="1" t="str">
        <f aca="false">IF(I751&gt;1,IF(K751&gt;0,"Cross-hospital match","Same-hospital match"),"")</f>
        <v/>
      </c>
      <c r="M751" s="52"/>
      <c r="N751" s="52"/>
      <c r="O751" s="1" t="n">
        <f aca="false">IF(M751="Exclude (duplicate)",0,1)</f>
        <v>1</v>
      </c>
      <c r="P751" s="1" t="str">
        <f aca="false">IF(AND(L751&lt;&gt;"",M751=""),"Needs decision","")</f>
        <v/>
      </c>
    </row>
    <row r="752" customFormat="false" ht="15" hidden="false" customHeight="false" outlineLevel="0" collapsed="false">
      <c r="A752" s="48" t="str">
        <f aca="false">COST!A752</f>
        <v>ASH-0219</v>
      </c>
      <c r="B752" s="48" t="str">
        <f aca="false">COST!B752</f>
        <v>ASH</v>
      </c>
      <c r="C752" s="48" t="str">
        <f aca="false">COST!D752</f>
        <v>Mobile Health Screening Unit</v>
      </c>
      <c r="D752" s="62" t="n">
        <f aca="false">COST!M752</f>
        <v>46142</v>
      </c>
      <c r="E752" s="48" t="str">
        <f aca="false">COST!P752</f>
        <v>Registered Nurse</v>
      </c>
      <c r="F752" s="63" t="n">
        <f aca="false">COST!R752</f>
        <v>90</v>
      </c>
      <c r="G752" s="48" t="str">
        <f aca="false">STACK!M752</f>
        <v/>
      </c>
      <c r="H752" s="1" t="str">
        <f aca="false">C752&amp;"|"&amp;IF(ISNUMBER(D752),TEXT(D752,"yyyy-mm-dd"),"no date")&amp;"|"&amp;E752&amp;"|"&amp;IF(ISNUMBER(F752),TEXT(F752,"0.00"),"blank")</f>
        <v>Mobile Health Screening Unit|2026-04-30|Registered Nurse|90.00</v>
      </c>
      <c r="I752" s="1" t="n">
        <f aca="false">COUNTIF($H$5:$H$1624,H752)</f>
        <v>1</v>
      </c>
      <c r="J752" s="1" t="n">
        <f aca="false">COUNTIF($H$5:H752,H752)</f>
        <v>1</v>
      </c>
      <c r="K752" s="1" t="n">
        <f aca="false">COUNTIFS($H$5:$H$1624,H752,$B$5:$B$1624,"&lt;&gt;"&amp;B752)</f>
        <v>0</v>
      </c>
      <c r="L752" s="1" t="str">
        <f aca="false">IF(I752&gt;1,IF(K752&gt;0,"Cross-hospital match","Same-hospital match"),"")</f>
        <v/>
      </c>
      <c r="M752" s="52"/>
      <c r="N752" s="52"/>
      <c r="O752" s="1" t="n">
        <f aca="false">IF(M752="Exclude (duplicate)",0,1)</f>
        <v>1</v>
      </c>
      <c r="P752" s="1" t="str">
        <f aca="false">IF(AND(L752&lt;&gt;"",M752=""),"Needs decision","")</f>
        <v/>
      </c>
    </row>
    <row r="753" customFormat="false" ht="15" hidden="false" customHeight="false" outlineLevel="0" collapsed="false">
      <c r="A753" s="48" t="str">
        <f aca="false">COST!A753</f>
        <v>ASH-0220</v>
      </c>
      <c r="B753" s="48" t="str">
        <f aca="false">COST!B753</f>
        <v>ASH</v>
      </c>
      <c r="C753" s="48" t="str">
        <f aca="false">COST!D753</f>
        <v>Car Seat Safety Checks</v>
      </c>
      <c r="D753" s="62" t="n">
        <f aca="false">COST!M753</f>
        <v>46142</v>
      </c>
      <c r="E753" s="48" t="str">
        <f aca="false">COST!P753</f>
        <v>Paramedic</v>
      </c>
      <c r="F753" s="63" t="n">
        <f aca="false">COST!R753</f>
        <v>4</v>
      </c>
      <c r="G753" s="48" t="str">
        <f aca="false">STACK!M753</f>
        <v/>
      </c>
      <c r="H753" s="1" t="str">
        <f aca="false">C753&amp;"|"&amp;IF(ISNUMBER(D753),TEXT(D753,"yyyy-mm-dd"),"no date")&amp;"|"&amp;E753&amp;"|"&amp;IF(ISNUMBER(F753),TEXT(F753,"0.00"),"blank")</f>
        <v>Car Seat Safety Checks|2026-04-30|Paramedic|4.00</v>
      </c>
      <c r="I753" s="1" t="n">
        <f aca="false">COUNTIF($H$5:$H$1624,H753)</f>
        <v>1</v>
      </c>
      <c r="J753" s="1" t="n">
        <f aca="false">COUNTIF($H$5:H753,H753)</f>
        <v>1</v>
      </c>
      <c r="K753" s="1" t="n">
        <f aca="false">COUNTIFS($H$5:$H$1624,H753,$B$5:$B$1624,"&lt;&gt;"&amp;B753)</f>
        <v>0</v>
      </c>
      <c r="L753" s="1" t="str">
        <f aca="false">IF(I753&gt;1,IF(K753&gt;0,"Cross-hospital match","Same-hospital match"),"")</f>
        <v/>
      </c>
      <c r="M753" s="52"/>
      <c r="N753" s="52"/>
      <c r="O753" s="1" t="n">
        <f aca="false">IF(M753="Exclude (duplicate)",0,1)</f>
        <v>1</v>
      </c>
      <c r="P753" s="1" t="str">
        <f aca="false">IF(AND(L753&lt;&gt;"",M753=""),"Needs decision","")</f>
        <v/>
      </c>
    </row>
    <row r="754" customFormat="false" ht="15" hidden="false" customHeight="false" outlineLevel="0" collapsed="false">
      <c r="A754" s="48" t="str">
        <f aca="false">COST!A754</f>
        <v>ASH-0221</v>
      </c>
      <c r="B754" s="48" t="str">
        <f aca="false">COST!B754</f>
        <v>ASH</v>
      </c>
      <c r="C754" s="48" t="str">
        <f aca="false">COST!D754</f>
        <v>Car Seat Safety Checks</v>
      </c>
      <c r="D754" s="62" t="n">
        <f aca="false">COST!M754</f>
        <v>46142</v>
      </c>
      <c r="E754" s="48" t="str">
        <f aca="false">COST!P754</f>
        <v>Registered Nurse</v>
      </c>
      <c r="F754" s="63" t="n">
        <f aca="false">COST!R754</f>
        <v>3.5</v>
      </c>
      <c r="G754" s="48" t="str">
        <f aca="false">STACK!M754</f>
        <v/>
      </c>
      <c r="H754" s="1" t="str">
        <f aca="false">C754&amp;"|"&amp;IF(ISNUMBER(D754),TEXT(D754,"yyyy-mm-dd"),"no date")&amp;"|"&amp;E754&amp;"|"&amp;IF(ISNUMBER(F754),TEXT(F754,"0.00"),"blank")</f>
        <v>Car Seat Safety Checks|2026-04-30|Registered Nurse|3.50</v>
      </c>
      <c r="I754" s="1" t="n">
        <f aca="false">COUNTIF($H$5:$H$1624,H754)</f>
        <v>1</v>
      </c>
      <c r="J754" s="1" t="n">
        <f aca="false">COUNTIF($H$5:H754,H754)</f>
        <v>1</v>
      </c>
      <c r="K754" s="1" t="n">
        <f aca="false">COUNTIFS($H$5:$H$1624,H754,$B$5:$B$1624,"&lt;&gt;"&amp;B754)</f>
        <v>0</v>
      </c>
      <c r="L754" s="1" t="str">
        <f aca="false">IF(I754&gt;1,IF(K754&gt;0,"Cross-hospital match","Same-hospital match"),"")</f>
        <v/>
      </c>
      <c r="M754" s="52"/>
      <c r="N754" s="52"/>
      <c r="O754" s="1" t="n">
        <f aca="false">IF(M754="Exclude (duplicate)",0,1)</f>
        <v>1</v>
      </c>
      <c r="P754" s="1" t="str">
        <f aca="false">IF(AND(L754&lt;&gt;"",M754=""),"Needs decision","")</f>
        <v/>
      </c>
    </row>
    <row r="755" customFormat="false" ht="15" hidden="false" customHeight="false" outlineLevel="0" collapsed="false">
      <c r="A755" s="48" t="str">
        <f aca="false">COST!A755</f>
        <v>ASH-0222</v>
      </c>
      <c r="B755" s="48" t="str">
        <f aca="false">COST!B755</f>
        <v>ASH</v>
      </c>
      <c r="C755" s="48" t="str">
        <f aca="false">COST!D755</f>
        <v>Community Health Worker Outreach</v>
      </c>
      <c r="D755" s="62" t="n">
        <f aca="false">COST!M755</f>
        <v>46142</v>
      </c>
      <c r="E755" s="48" t="str">
        <f aca="false">COST!P755</f>
        <v>Community Health Worker</v>
      </c>
      <c r="F755" s="63" t="n">
        <f aca="false">COST!R755</f>
        <v>328.75</v>
      </c>
      <c r="G755" s="48" t="str">
        <f aca="false">STACK!M755</f>
        <v/>
      </c>
      <c r="H755" s="1" t="str">
        <f aca="false">C755&amp;"|"&amp;IF(ISNUMBER(D755),TEXT(D755,"yyyy-mm-dd"),"no date")&amp;"|"&amp;E755&amp;"|"&amp;IF(ISNUMBER(F755),TEXT(F755,"0.00"),"blank")</f>
        <v>Community Health Worker Outreach|2026-04-30|Community Health Worker|328.75</v>
      </c>
      <c r="I755" s="1" t="n">
        <f aca="false">COUNTIF($H$5:$H$1624,H755)</f>
        <v>1</v>
      </c>
      <c r="J755" s="1" t="n">
        <f aca="false">COUNTIF($H$5:H755,H755)</f>
        <v>1</v>
      </c>
      <c r="K755" s="1" t="n">
        <f aca="false">COUNTIFS($H$5:$H$1624,H755,$B$5:$B$1624,"&lt;&gt;"&amp;B755)</f>
        <v>0</v>
      </c>
      <c r="L755" s="1" t="str">
        <f aca="false">IF(I755&gt;1,IF(K755&gt;0,"Cross-hospital match","Same-hospital match"),"")</f>
        <v/>
      </c>
      <c r="M755" s="52"/>
      <c r="N755" s="52"/>
      <c r="O755" s="1" t="n">
        <f aca="false">IF(M755="Exclude (duplicate)",0,1)</f>
        <v>1</v>
      </c>
      <c r="P755" s="1" t="str">
        <f aca="false">IF(AND(L755&lt;&gt;"",M755=""),"Needs decision","")</f>
        <v/>
      </c>
    </row>
    <row r="756" customFormat="false" ht="15" hidden="false" customHeight="false" outlineLevel="0" collapsed="false">
      <c r="A756" s="48" t="str">
        <f aca="false">COST!A756</f>
        <v>ASH-0223</v>
      </c>
      <c r="B756" s="48" t="str">
        <f aca="false">COST!B756</f>
        <v>ASH</v>
      </c>
      <c r="C756" s="48" t="str">
        <f aca="false">COST!D756</f>
        <v>Community Health Worker Outreach</v>
      </c>
      <c r="D756" s="62" t="n">
        <f aca="false">COST!M756</f>
        <v>46142</v>
      </c>
      <c r="E756" s="48" t="str">
        <f aca="false">COST!P756</f>
        <v>Patient Navigator</v>
      </c>
      <c r="F756" s="63" t="n">
        <f aca="false">COST!R756</f>
        <v>149</v>
      </c>
      <c r="G756" s="48" t="str">
        <f aca="false">STACK!M756</f>
        <v/>
      </c>
      <c r="H756" s="1" t="str">
        <f aca="false">C756&amp;"|"&amp;IF(ISNUMBER(D756),TEXT(D756,"yyyy-mm-dd"),"no date")&amp;"|"&amp;E756&amp;"|"&amp;IF(ISNUMBER(F756),TEXT(F756,"0.00"),"blank")</f>
        <v>Community Health Worker Outreach|2026-04-30|Patient Navigator|149.00</v>
      </c>
      <c r="I756" s="1" t="n">
        <f aca="false">COUNTIF($H$5:$H$1624,H756)</f>
        <v>1</v>
      </c>
      <c r="J756" s="1" t="n">
        <f aca="false">COUNTIF($H$5:H756,H756)</f>
        <v>1</v>
      </c>
      <c r="K756" s="1" t="n">
        <f aca="false">COUNTIFS($H$5:$H$1624,H756,$B$5:$B$1624,"&lt;&gt;"&amp;B756)</f>
        <v>0</v>
      </c>
      <c r="L756" s="1" t="str">
        <f aca="false">IF(I756&gt;1,IF(K756&gt;0,"Cross-hospital match","Same-hospital match"),"")</f>
        <v/>
      </c>
      <c r="M756" s="52"/>
      <c r="N756" s="52"/>
      <c r="O756" s="1" t="n">
        <f aca="false">IF(M756="Exclude (duplicate)",0,1)</f>
        <v>1</v>
      </c>
      <c r="P756" s="1" t="str">
        <f aca="false">IF(AND(L756&lt;&gt;"",M756=""),"Needs decision","")</f>
        <v/>
      </c>
    </row>
    <row r="757" customFormat="false" ht="15" hidden="false" customHeight="false" outlineLevel="0" collapsed="false">
      <c r="A757" s="48" t="str">
        <f aca="false">COST!A757</f>
        <v>ASH-0224</v>
      </c>
      <c r="B757" s="48" t="str">
        <f aca="false">COST!B757</f>
        <v>ASH</v>
      </c>
      <c r="C757" s="48" t="str">
        <f aca="false">COST!D757</f>
        <v>Produce Prescription Program</v>
      </c>
      <c r="D757" s="62" t="n">
        <f aca="false">COST!M757</f>
        <v>46142</v>
      </c>
      <c r="E757" s="48" t="str">
        <f aca="false">COST!P757</f>
        <v>Community Health Worker</v>
      </c>
      <c r="F757" s="63" t="n">
        <f aca="false">COST!R757</f>
        <v>43.5</v>
      </c>
      <c r="G757" s="48" t="str">
        <f aca="false">STACK!M757</f>
        <v/>
      </c>
      <c r="H757" s="1" t="str">
        <f aca="false">C757&amp;"|"&amp;IF(ISNUMBER(D757),TEXT(D757,"yyyy-mm-dd"),"no date")&amp;"|"&amp;E757&amp;"|"&amp;IF(ISNUMBER(F757),TEXT(F757,"0.00"),"blank")</f>
        <v>Produce Prescription Program|2026-04-30|Community Health Worker|43.50</v>
      </c>
      <c r="I757" s="1" t="n">
        <f aca="false">COUNTIF($H$5:$H$1624,H757)</f>
        <v>1</v>
      </c>
      <c r="J757" s="1" t="n">
        <f aca="false">COUNTIF($H$5:H757,H757)</f>
        <v>1</v>
      </c>
      <c r="K757" s="1" t="n">
        <f aca="false">COUNTIFS($H$5:$H$1624,H757,$B$5:$B$1624,"&lt;&gt;"&amp;B757)</f>
        <v>0</v>
      </c>
      <c r="L757" s="1" t="str">
        <f aca="false">IF(I757&gt;1,IF(K757&gt;0,"Cross-hospital match","Same-hospital match"),"")</f>
        <v/>
      </c>
      <c r="M757" s="52"/>
      <c r="N757" s="52"/>
      <c r="O757" s="1" t="n">
        <f aca="false">IF(M757="Exclude (duplicate)",0,1)</f>
        <v>1</v>
      </c>
      <c r="P757" s="1" t="str">
        <f aca="false">IF(AND(L757&lt;&gt;"",M757=""),"Needs decision","")</f>
        <v/>
      </c>
    </row>
    <row r="758" customFormat="false" ht="15" hidden="false" customHeight="false" outlineLevel="0" collapsed="false">
      <c r="A758" s="48" t="str">
        <f aca="false">COST!A758</f>
        <v>ASH-0225</v>
      </c>
      <c r="B758" s="48" t="str">
        <f aca="false">COST!B758</f>
        <v>ASH</v>
      </c>
      <c r="C758" s="48" t="str">
        <f aca="false">COST!D758</f>
        <v>Produce Prescription Program</v>
      </c>
      <c r="D758" s="62" t="n">
        <f aca="false">COST!M758</f>
        <v>46142</v>
      </c>
      <c r="E758" s="48" t="str">
        <f aca="false">COST!P758</f>
        <v>Registered Dietitian</v>
      </c>
      <c r="F758" s="63" t="n">
        <f aca="false">COST!R758</f>
        <v>21</v>
      </c>
      <c r="G758" s="48" t="str">
        <f aca="false">STACK!M758</f>
        <v/>
      </c>
      <c r="H758" s="1" t="str">
        <f aca="false">C758&amp;"|"&amp;IF(ISNUMBER(D758),TEXT(D758,"yyyy-mm-dd"),"no date")&amp;"|"&amp;E758&amp;"|"&amp;IF(ISNUMBER(F758),TEXT(F758,"0.00"),"blank")</f>
        <v>Produce Prescription Program|2026-04-30|Registered Dietitian|21.00</v>
      </c>
      <c r="I758" s="1" t="n">
        <f aca="false">COUNTIF($H$5:$H$1624,H758)</f>
        <v>1</v>
      </c>
      <c r="J758" s="1" t="n">
        <f aca="false">COUNTIF($H$5:H758,H758)</f>
        <v>1</v>
      </c>
      <c r="K758" s="1" t="n">
        <f aca="false">COUNTIFS($H$5:$H$1624,H758,$B$5:$B$1624,"&lt;&gt;"&amp;B758)</f>
        <v>0</v>
      </c>
      <c r="L758" s="1" t="str">
        <f aca="false">IF(I758&gt;1,IF(K758&gt;0,"Cross-hospital match","Same-hospital match"),"")</f>
        <v/>
      </c>
      <c r="M758" s="52"/>
      <c r="N758" s="52"/>
      <c r="O758" s="1" t="n">
        <f aca="false">IF(M758="Exclude (duplicate)",0,1)</f>
        <v>1</v>
      </c>
      <c r="P758" s="1" t="str">
        <f aca="false">IF(AND(L758&lt;&gt;"",M758=""),"Needs decision","")</f>
        <v/>
      </c>
    </row>
    <row r="759" customFormat="false" ht="15" hidden="false" customHeight="false" outlineLevel="0" collapsed="false">
      <c r="A759" s="48" t="str">
        <f aca="false">COST!A759</f>
        <v>ASH-0226</v>
      </c>
      <c r="B759" s="48" t="str">
        <f aca="false">COST!B759</f>
        <v>ASH</v>
      </c>
      <c r="C759" s="48" t="str">
        <f aca="false">COST!D759</f>
        <v>Community Benefit Program Administration</v>
      </c>
      <c r="D759" s="62" t="n">
        <f aca="false">COST!M759</f>
        <v>46142</v>
      </c>
      <c r="E759" s="48" t="str">
        <f aca="false">COST!P759</f>
        <v>Administrative Assistant</v>
      </c>
      <c r="F759" s="63" t="n">
        <f aca="false">COST!R759</f>
        <v>51.75</v>
      </c>
      <c r="G759" s="48" t="str">
        <f aca="false">STACK!M759</f>
        <v/>
      </c>
      <c r="H759" s="1" t="str">
        <f aca="false">C759&amp;"|"&amp;IF(ISNUMBER(D759),TEXT(D759,"yyyy-mm-dd"),"no date")&amp;"|"&amp;E759&amp;"|"&amp;IF(ISNUMBER(F759),TEXT(F759,"0.00"),"blank")</f>
        <v>Community Benefit Program Administration|2026-04-30|Administrative Assistant|51.75</v>
      </c>
      <c r="I759" s="1" t="n">
        <f aca="false">COUNTIF($H$5:$H$1624,H759)</f>
        <v>1</v>
      </c>
      <c r="J759" s="1" t="n">
        <f aca="false">COUNTIF($H$5:H759,H759)</f>
        <v>1</v>
      </c>
      <c r="K759" s="1" t="n">
        <f aca="false">COUNTIFS($H$5:$H$1624,H759,$B$5:$B$1624,"&lt;&gt;"&amp;B759)</f>
        <v>0</v>
      </c>
      <c r="L759" s="1" t="str">
        <f aca="false">IF(I759&gt;1,IF(K759&gt;0,"Cross-hospital match","Same-hospital match"),"")</f>
        <v/>
      </c>
      <c r="M759" s="52"/>
      <c r="N759" s="52"/>
      <c r="O759" s="1" t="n">
        <f aca="false">IF(M759="Exclude (duplicate)",0,1)</f>
        <v>1</v>
      </c>
      <c r="P759" s="1" t="str">
        <f aca="false">IF(AND(L759&lt;&gt;"",M759=""),"Needs decision","")</f>
        <v/>
      </c>
    </row>
    <row r="760" customFormat="false" ht="15" hidden="false" customHeight="false" outlineLevel="0" collapsed="false">
      <c r="A760" s="48" t="str">
        <f aca="false">COST!A760</f>
        <v>ASH-0227</v>
      </c>
      <c r="B760" s="48" t="str">
        <f aca="false">COST!B760</f>
        <v>ASH</v>
      </c>
      <c r="C760" s="48" t="str">
        <f aca="false">COST!D760</f>
        <v>Community Benefit Program Administration</v>
      </c>
      <c r="D760" s="62" t="n">
        <f aca="false">COST!M760</f>
        <v>46142</v>
      </c>
      <c r="E760" s="48" t="str">
        <f aca="false">COST!P760</f>
        <v>Community Benefit Manager</v>
      </c>
      <c r="F760" s="63" t="n">
        <f aca="false">COST!R760</f>
        <v>58.5</v>
      </c>
      <c r="G760" s="48" t="str">
        <f aca="false">STACK!M760</f>
        <v/>
      </c>
      <c r="H760" s="1" t="str">
        <f aca="false">C760&amp;"|"&amp;IF(ISNUMBER(D760),TEXT(D760,"yyyy-mm-dd"),"no date")&amp;"|"&amp;E760&amp;"|"&amp;IF(ISNUMBER(F760),TEXT(F760,"0.00"),"blank")</f>
        <v>Community Benefit Program Administration|2026-04-30|Community Benefit Manager|58.50</v>
      </c>
      <c r="I760" s="1" t="n">
        <f aca="false">COUNTIF($H$5:$H$1624,H760)</f>
        <v>1</v>
      </c>
      <c r="J760" s="1" t="n">
        <f aca="false">COUNTIF($H$5:H760,H760)</f>
        <v>1</v>
      </c>
      <c r="K760" s="1" t="n">
        <f aca="false">COUNTIFS($H$5:$H$1624,H760,$B$5:$B$1624,"&lt;&gt;"&amp;B760)</f>
        <v>0</v>
      </c>
      <c r="L760" s="1" t="str">
        <f aca="false">IF(I760&gt;1,IF(K760&gt;0,"Cross-hospital match","Same-hospital match"),"")</f>
        <v/>
      </c>
      <c r="M760" s="52"/>
      <c r="N760" s="52"/>
      <c r="O760" s="1" t="n">
        <f aca="false">IF(M760="Exclude (duplicate)",0,1)</f>
        <v>1</v>
      </c>
      <c r="P760" s="1" t="str">
        <f aca="false">IF(AND(L760&lt;&gt;"",M760=""),"Needs decision","")</f>
        <v/>
      </c>
    </row>
    <row r="761" customFormat="false" ht="15" hidden="false" customHeight="false" outlineLevel="0" collapsed="false">
      <c r="A761" s="48" t="str">
        <f aca="false">COST!A761</f>
        <v>ASH-0228</v>
      </c>
      <c r="B761" s="48" t="str">
        <f aca="false">COST!B761</f>
        <v>ASH</v>
      </c>
      <c r="C761" s="48" t="str">
        <f aca="false">COST!D761</f>
        <v>Nursing Student Clinical Rotations</v>
      </c>
      <c r="D761" s="62" t="n">
        <f aca="false">COST!M761</f>
        <v>46142</v>
      </c>
      <c r="E761" s="48" t="str">
        <f aca="false">COST!P761</f>
        <v>Clinical Nurse Educator</v>
      </c>
      <c r="F761" s="63" t="n">
        <f aca="false">COST!R761</f>
        <v>142.25</v>
      </c>
      <c r="G761" s="48" t="str">
        <f aca="false">STACK!M761</f>
        <v/>
      </c>
      <c r="H761" s="1" t="str">
        <f aca="false">C761&amp;"|"&amp;IF(ISNUMBER(D761),TEXT(D761,"yyyy-mm-dd"),"no date")&amp;"|"&amp;E761&amp;"|"&amp;IF(ISNUMBER(F761),TEXT(F761,"0.00"),"blank")</f>
        <v>Nursing Student Clinical Rotations|2026-04-30|Clinical Nurse Educator|142.25</v>
      </c>
      <c r="I761" s="1" t="n">
        <f aca="false">COUNTIF($H$5:$H$1624,H761)</f>
        <v>1</v>
      </c>
      <c r="J761" s="1" t="n">
        <f aca="false">COUNTIF($H$5:H761,H761)</f>
        <v>1</v>
      </c>
      <c r="K761" s="1" t="n">
        <f aca="false">COUNTIFS($H$5:$H$1624,H761,$B$5:$B$1624,"&lt;&gt;"&amp;B761)</f>
        <v>0</v>
      </c>
      <c r="L761" s="1" t="str">
        <f aca="false">IF(I761&gt;1,IF(K761&gt;0,"Cross-hospital match","Same-hospital match"),"")</f>
        <v/>
      </c>
      <c r="M761" s="52"/>
      <c r="N761" s="52"/>
      <c r="O761" s="1" t="n">
        <f aca="false">IF(M761="Exclude (duplicate)",0,1)</f>
        <v>1</v>
      </c>
      <c r="P761" s="1" t="str">
        <f aca="false">IF(AND(L761&lt;&gt;"",M761=""),"Needs decision","")</f>
        <v/>
      </c>
    </row>
    <row r="762" customFormat="false" ht="15" hidden="false" customHeight="false" outlineLevel="0" collapsed="false">
      <c r="A762" s="48" t="str">
        <f aca="false">COST!A762</f>
        <v>ASH-0229</v>
      </c>
      <c r="B762" s="48" t="str">
        <f aca="false">COST!B762</f>
        <v>ASH</v>
      </c>
      <c r="C762" s="48" t="str">
        <f aca="false">COST!D762</f>
        <v>Nursing Student Clinical Rotations</v>
      </c>
      <c r="D762" s="62" t="n">
        <f aca="false">COST!M762</f>
        <v>46142</v>
      </c>
      <c r="E762" s="48" t="str">
        <f aca="false">COST!P762</f>
        <v>Registered Nurse</v>
      </c>
      <c r="F762" s="63" t="n">
        <f aca="false">COST!R762</f>
        <v>222.75</v>
      </c>
      <c r="G762" s="48" t="str">
        <f aca="false">STACK!M762</f>
        <v/>
      </c>
      <c r="H762" s="1" t="str">
        <f aca="false">C762&amp;"|"&amp;IF(ISNUMBER(D762),TEXT(D762,"yyyy-mm-dd"),"no date")&amp;"|"&amp;E762&amp;"|"&amp;IF(ISNUMBER(F762),TEXT(F762,"0.00"),"blank")</f>
        <v>Nursing Student Clinical Rotations|2026-04-30|Registered Nurse|222.75</v>
      </c>
      <c r="I762" s="1" t="n">
        <f aca="false">COUNTIF($H$5:$H$1624,H762)</f>
        <v>1</v>
      </c>
      <c r="J762" s="1" t="n">
        <f aca="false">COUNTIF($H$5:H762,H762)</f>
        <v>1</v>
      </c>
      <c r="K762" s="1" t="n">
        <f aca="false">COUNTIFS($H$5:$H$1624,H762,$B$5:$B$1624,"&lt;&gt;"&amp;B762)</f>
        <v>0</v>
      </c>
      <c r="L762" s="1" t="str">
        <f aca="false">IF(I762&gt;1,IF(K762&gt;0,"Cross-hospital match","Same-hospital match"),"")</f>
        <v/>
      </c>
      <c r="M762" s="52"/>
      <c r="N762" s="52"/>
      <c r="O762" s="1" t="n">
        <f aca="false">IF(M762="Exclude (duplicate)",0,1)</f>
        <v>1</v>
      </c>
      <c r="P762" s="1" t="str">
        <f aca="false">IF(AND(L762&lt;&gt;"",M762=""),"Needs decision","")</f>
        <v/>
      </c>
    </row>
    <row r="763" customFormat="false" ht="15" hidden="false" customHeight="false" outlineLevel="0" collapsed="false">
      <c r="A763" s="48" t="str">
        <f aca="false">COST!A763</f>
        <v>ASH-0230</v>
      </c>
      <c r="B763" s="48" t="str">
        <f aca="false">COST!B763</f>
        <v>ASH</v>
      </c>
      <c r="C763" s="48" t="str">
        <f aca="false">COST!D763</f>
        <v>Paramedic Student Field Training</v>
      </c>
      <c r="D763" s="62" t="n">
        <f aca="false">COST!M763</f>
        <v>46142</v>
      </c>
      <c r="E763" s="48" t="str">
        <f aca="false">COST!P763</f>
        <v>Paramedic</v>
      </c>
      <c r="F763" s="63" t="n">
        <f aca="false">COST!R763</f>
        <v>64</v>
      </c>
      <c r="G763" s="48" t="str">
        <f aca="false">STACK!M763</f>
        <v/>
      </c>
      <c r="H763" s="1" t="str">
        <f aca="false">C763&amp;"|"&amp;IF(ISNUMBER(D763),TEXT(D763,"yyyy-mm-dd"),"no date")&amp;"|"&amp;E763&amp;"|"&amp;IF(ISNUMBER(F763),TEXT(F763,"0.00"),"blank")</f>
        <v>Paramedic Student Field Training|2026-04-30|Paramedic|64.00</v>
      </c>
      <c r="I763" s="1" t="n">
        <f aca="false">COUNTIF($H$5:$H$1624,H763)</f>
        <v>1</v>
      </c>
      <c r="J763" s="1" t="n">
        <f aca="false">COUNTIF($H$5:H763,H763)</f>
        <v>1</v>
      </c>
      <c r="K763" s="1" t="n">
        <f aca="false">COUNTIFS($H$5:$H$1624,H763,$B$5:$B$1624,"&lt;&gt;"&amp;B763)</f>
        <v>0</v>
      </c>
      <c r="L763" s="1" t="str">
        <f aca="false">IF(I763&gt;1,IF(K763&gt;0,"Cross-hospital match","Same-hospital match"),"")</f>
        <v/>
      </c>
      <c r="M763" s="52"/>
      <c r="N763" s="52"/>
      <c r="O763" s="1" t="n">
        <f aca="false">IF(M763="Exclude (duplicate)",0,1)</f>
        <v>1</v>
      </c>
      <c r="P763" s="1" t="str">
        <f aca="false">IF(AND(L763&lt;&gt;"",M763=""),"Needs decision","")</f>
        <v/>
      </c>
    </row>
    <row r="764" customFormat="false" ht="15" hidden="false" customHeight="false" outlineLevel="0" collapsed="false">
      <c r="A764" s="48" t="str">
        <f aca="false">COST!A764</f>
        <v>ASH-0231</v>
      </c>
      <c r="B764" s="48" t="str">
        <f aca="false">COST!B764</f>
        <v>ASH</v>
      </c>
      <c r="C764" s="48" t="str">
        <f aca="false">COST!D764</f>
        <v>Community Blood Pressure Checks</v>
      </c>
      <c r="D764" s="62" t="n">
        <f aca="false">COST!M764</f>
        <v>46143</v>
      </c>
      <c r="E764" s="48" t="str">
        <f aca="false">COST!P764</f>
        <v>Registered Nurse</v>
      </c>
      <c r="F764" s="63" t="n">
        <f aca="false">COST!R764</f>
        <v>3</v>
      </c>
      <c r="G764" s="48" t="str">
        <f aca="false">STACK!M764</f>
        <v/>
      </c>
      <c r="H764" s="1" t="str">
        <f aca="false">C764&amp;"|"&amp;IF(ISNUMBER(D764),TEXT(D764,"yyyy-mm-dd"),"no date")&amp;"|"&amp;E764&amp;"|"&amp;IF(ISNUMBER(F764),TEXT(F764,"0.00"),"blank")</f>
        <v>Community Blood Pressure Checks|2026-05-01|Registered Nurse|3.00</v>
      </c>
      <c r="I764" s="1" t="n">
        <f aca="false">COUNTIF($H$5:$H$1624,H764)</f>
        <v>1</v>
      </c>
      <c r="J764" s="1" t="n">
        <f aca="false">COUNTIF($H$5:H764,H764)</f>
        <v>1</v>
      </c>
      <c r="K764" s="1" t="n">
        <f aca="false">COUNTIFS($H$5:$H$1624,H764,$B$5:$B$1624,"&lt;&gt;"&amp;B764)</f>
        <v>0</v>
      </c>
      <c r="L764" s="1" t="str">
        <f aca="false">IF(I764&gt;1,IF(K764&gt;0,"Cross-hospital match","Same-hospital match"),"")</f>
        <v/>
      </c>
      <c r="M764" s="52"/>
      <c r="N764" s="52"/>
      <c r="O764" s="1" t="n">
        <f aca="false">IF(M764="Exclude (duplicate)",0,1)</f>
        <v>1</v>
      </c>
      <c r="P764" s="1" t="str">
        <f aca="false">IF(AND(L764&lt;&gt;"",M764=""),"Needs decision","")</f>
        <v/>
      </c>
    </row>
    <row r="765" customFormat="false" ht="15" hidden="false" customHeight="false" outlineLevel="0" collapsed="false">
      <c r="A765" s="48" t="str">
        <f aca="false">COST!A765</f>
        <v>ASH-0232</v>
      </c>
      <c r="B765" s="48" t="str">
        <f aca="false">COST!B765</f>
        <v>ASH</v>
      </c>
      <c r="C765" s="48" t="str">
        <f aca="false">COST!D765</f>
        <v>Diabetes Prevention Classes</v>
      </c>
      <c r="D765" s="62" t="n">
        <f aca="false">COST!M765</f>
        <v>46144</v>
      </c>
      <c r="E765" s="48" t="str">
        <f aca="false">COST!P765</f>
        <v>Health Educator</v>
      </c>
      <c r="F765" s="63" t="n">
        <f aca="false">COST!R765</f>
        <v>2</v>
      </c>
      <c r="G765" s="48" t="str">
        <f aca="false">STACK!M765</f>
        <v/>
      </c>
      <c r="H765" s="1" t="str">
        <f aca="false">C765&amp;"|"&amp;IF(ISNUMBER(D765),TEXT(D765,"yyyy-mm-dd"),"no date")&amp;"|"&amp;E765&amp;"|"&amp;IF(ISNUMBER(F765),TEXT(F765,"0.00"),"blank")</f>
        <v>Diabetes Prevention Classes|2026-05-02|Health Educator|2.00</v>
      </c>
      <c r="I765" s="1" t="n">
        <f aca="false">COUNTIF($H$5:$H$1624,H765)</f>
        <v>1</v>
      </c>
      <c r="J765" s="1" t="n">
        <f aca="false">COUNTIF($H$5:H765,H765)</f>
        <v>1</v>
      </c>
      <c r="K765" s="1" t="n">
        <f aca="false">COUNTIFS($H$5:$H$1624,H765,$B$5:$B$1624,"&lt;&gt;"&amp;B765)</f>
        <v>0</v>
      </c>
      <c r="L765" s="1" t="str">
        <f aca="false">IF(I765&gt;1,IF(K765&gt;0,"Cross-hospital match","Same-hospital match"),"")</f>
        <v/>
      </c>
      <c r="M765" s="52"/>
      <c r="N765" s="52"/>
      <c r="O765" s="1" t="n">
        <f aca="false">IF(M765="Exclude (duplicate)",0,1)</f>
        <v>1</v>
      </c>
      <c r="P765" s="1" t="str">
        <f aca="false">IF(AND(L765&lt;&gt;"",M765=""),"Needs decision","")</f>
        <v/>
      </c>
    </row>
    <row r="766" customFormat="false" ht="15" hidden="false" customHeight="false" outlineLevel="0" collapsed="false">
      <c r="A766" s="48" t="str">
        <f aca="false">COST!A766</f>
        <v>ASH-0233</v>
      </c>
      <c r="B766" s="48" t="str">
        <f aca="false">COST!B766</f>
        <v>ASH</v>
      </c>
      <c r="C766" s="48" t="str">
        <f aca="false">COST!D766</f>
        <v>Diabetes Prevention Classes</v>
      </c>
      <c r="D766" s="62" t="n">
        <f aca="false">COST!M766</f>
        <v>46144</v>
      </c>
      <c r="E766" s="48" t="str">
        <f aca="false">COST!P766</f>
        <v>Registered Dietitian</v>
      </c>
      <c r="F766" s="63" t="n">
        <f aca="false">COST!R766</f>
        <v>1.75</v>
      </c>
      <c r="G766" s="48" t="str">
        <f aca="false">STACK!M766</f>
        <v/>
      </c>
      <c r="H766" s="1" t="str">
        <f aca="false">C766&amp;"|"&amp;IF(ISNUMBER(D766),TEXT(D766,"yyyy-mm-dd"),"no date")&amp;"|"&amp;E766&amp;"|"&amp;IF(ISNUMBER(F766),TEXT(F766,"0.00"),"blank")</f>
        <v>Diabetes Prevention Classes|2026-05-02|Registered Dietitian|1.75</v>
      </c>
      <c r="I766" s="1" t="n">
        <f aca="false">COUNTIF($H$5:$H$1624,H766)</f>
        <v>1</v>
      </c>
      <c r="J766" s="1" t="n">
        <f aca="false">COUNTIF($H$5:H766,H766)</f>
        <v>1</v>
      </c>
      <c r="K766" s="1" t="n">
        <f aca="false">COUNTIFS($H$5:$H$1624,H766,$B$5:$B$1624,"&lt;&gt;"&amp;B766)</f>
        <v>0</v>
      </c>
      <c r="L766" s="1" t="str">
        <f aca="false">IF(I766&gt;1,IF(K766&gt;0,"Cross-hospital match","Same-hospital match"),"")</f>
        <v/>
      </c>
      <c r="M766" s="52"/>
      <c r="N766" s="52"/>
      <c r="O766" s="1" t="n">
        <f aca="false">IF(M766="Exclude (duplicate)",0,1)</f>
        <v>1</v>
      </c>
      <c r="P766" s="1" t="str">
        <f aca="false">IF(AND(L766&lt;&gt;"",M766=""),"Needs decision","")</f>
        <v/>
      </c>
    </row>
    <row r="767" customFormat="false" ht="15" hidden="false" customHeight="false" outlineLevel="0" collapsed="false">
      <c r="A767" s="48" t="str">
        <f aca="false">COST!A767</f>
        <v>ASH-0234</v>
      </c>
      <c r="B767" s="48" t="str">
        <f aca="false">COST!B767</f>
        <v>ASH</v>
      </c>
      <c r="C767" s="48" t="str">
        <f aca="false">COST!D767</f>
        <v>Car Seat Safety Checks</v>
      </c>
      <c r="D767" s="62" t="n">
        <f aca="false">COST!M767</f>
        <v>46146</v>
      </c>
      <c r="E767" s="48" t="str">
        <f aca="false">COST!P767</f>
        <v>Paramedic</v>
      </c>
      <c r="F767" s="63" t="n">
        <f aca="false">COST!R767</f>
        <v>3.75</v>
      </c>
      <c r="G767" s="48" t="str">
        <f aca="false">STACK!M767</f>
        <v/>
      </c>
      <c r="H767" s="1" t="str">
        <f aca="false">C767&amp;"|"&amp;IF(ISNUMBER(D767),TEXT(D767,"yyyy-mm-dd"),"no date")&amp;"|"&amp;E767&amp;"|"&amp;IF(ISNUMBER(F767),TEXT(F767,"0.00"),"blank")</f>
        <v>Car Seat Safety Checks|2026-05-04|Paramedic|3.75</v>
      </c>
      <c r="I767" s="1" t="n">
        <f aca="false">COUNTIF($H$5:$H$1624,H767)</f>
        <v>1</v>
      </c>
      <c r="J767" s="1" t="n">
        <f aca="false">COUNTIF($H$5:H767,H767)</f>
        <v>1</v>
      </c>
      <c r="K767" s="1" t="n">
        <f aca="false">COUNTIFS($H$5:$H$1624,H767,$B$5:$B$1624,"&lt;&gt;"&amp;B767)</f>
        <v>0</v>
      </c>
      <c r="L767" s="1" t="str">
        <f aca="false">IF(I767&gt;1,IF(K767&gt;0,"Cross-hospital match","Same-hospital match"),"")</f>
        <v/>
      </c>
      <c r="M767" s="52"/>
      <c r="N767" s="52"/>
      <c r="O767" s="1" t="n">
        <f aca="false">IF(M767="Exclude (duplicate)",0,1)</f>
        <v>1</v>
      </c>
      <c r="P767" s="1" t="str">
        <f aca="false">IF(AND(L767&lt;&gt;"",M767=""),"Needs decision","")</f>
        <v/>
      </c>
    </row>
    <row r="768" customFormat="false" ht="15" hidden="false" customHeight="false" outlineLevel="0" collapsed="false">
      <c r="A768" s="48" t="str">
        <f aca="false">COST!A768</f>
        <v>ASH-0235</v>
      </c>
      <c r="B768" s="48" t="str">
        <f aca="false">COST!B768</f>
        <v>ASH</v>
      </c>
      <c r="C768" s="48" t="str">
        <f aca="false">COST!D768</f>
        <v>Car Seat Safety Checks</v>
      </c>
      <c r="D768" s="62" t="n">
        <f aca="false">COST!M768</f>
        <v>46146</v>
      </c>
      <c r="E768" s="48" t="str">
        <f aca="false">COST!P768</f>
        <v>Registered Nurse</v>
      </c>
      <c r="F768" s="63" t="n">
        <f aca="false">COST!R768</f>
        <v>4</v>
      </c>
      <c r="G768" s="48" t="str">
        <f aca="false">STACK!M768</f>
        <v/>
      </c>
      <c r="H768" s="1" t="str">
        <f aca="false">C768&amp;"|"&amp;IF(ISNUMBER(D768),TEXT(D768,"yyyy-mm-dd"),"no date")&amp;"|"&amp;E768&amp;"|"&amp;IF(ISNUMBER(F768),TEXT(F768,"0.00"),"blank")</f>
        <v>Car Seat Safety Checks|2026-05-04|Registered Nurse|4.00</v>
      </c>
      <c r="I768" s="1" t="n">
        <f aca="false">COUNTIF($H$5:$H$1624,H768)</f>
        <v>1</v>
      </c>
      <c r="J768" s="1" t="n">
        <f aca="false">COUNTIF($H$5:H768,H768)</f>
        <v>1</v>
      </c>
      <c r="K768" s="1" t="n">
        <f aca="false">COUNTIFS($H$5:$H$1624,H768,$B$5:$B$1624,"&lt;&gt;"&amp;B768)</f>
        <v>0</v>
      </c>
      <c r="L768" s="1" t="str">
        <f aca="false">IF(I768&gt;1,IF(K768&gt;0,"Cross-hospital match","Same-hospital match"),"")</f>
        <v/>
      </c>
      <c r="M768" s="52"/>
      <c r="N768" s="52"/>
      <c r="O768" s="1" t="n">
        <f aca="false">IF(M768="Exclude (duplicate)",0,1)</f>
        <v>1</v>
      </c>
      <c r="P768" s="1" t="str">
        <f aca="false">IF(AND(L768&lt;&gt;"",M768=""),"Needs decision","")</f>
        <v/>
      </c>
    </row>
    <row r="769" customFormat="false" ht="15" hidden="false" customHeight="false" outlineLevel="0" collapsed="false">
      <c r="A769" s="48" t="str">
        <f aca="false">COST!A769</f>
        <v>ASH-0236</v>
      </c>
      <c r="B769" s="48" t="str">
        <f aca="false">COST!B769</f>
        <v>ASH</v>
      </c>
      <c r="C769" s="48" t="str">
        <f aca="false">COST!D769</f>
        <v>Affordable Housing Partnership</v>
      </c>
      <c r="D769" s="62" t="n">
        <f aca="false">COST!M769</f>
        <v>46167</v>
      </c>
      <c r="E769" s="48" t="str">
        <f aca="false">COST!P769</f>
        <v>Director</v>
      </c>
      <c r="F769" s="63" t="n">
        <f aca="false">COST!R769</f>
        <v>5.75</v>
      </c>
      <c r="G769" s="48" t="str">
        <f aca="false">STACK!M769</f>
        <v/>
      </c>
      <c r="H769" s="1" t="str">
        <f aca="false">C769&amp;"|"&amp;IF(ISNUMBER(D769),TEXT(D769,"yyyy-mm-dd"),"no date")&amp;"|"&amp;E769&amp;"|"&amp;IF(ISNUMBER(F769),TEXT(F769,"0.00"),"blank")</f>
        <v>Affordable Housing Partnership|2026-05-25|Director|5.75</v>
      </c>
      <c r="I769" s="1" t="n">
        <f aca="false">COUNTIF($H$5:$H$1624,H769)</f>
        <v>1</v>
      </c>
      <c r="J769" s="1" t="n">
        <f aca="false">COUNTIF($H$5:H769,H769)</f>
        <v>1</v>
      </c>
      <c r="K769" s="1" t="n">
        <f aca="false">COUNTIFS($H$5:$H$1624,H769,$B$5:$B$1624,"&lt;&gt;"&amp;B769)</f>
        <v>0</v>
      </c>
      <c r="L769" s="1" t="str">
        <f aca="false">IF(I769&gt;1,IF(K769&gt;0,"Cross-hospital match","Same-hospital match"),"")</f>
        <v/>
      </c>
      <c r="M769" s="52"/>
      <c r="N769" s="52"/>
      <c r="O769" s="1" t="n">
        <f aca="false">IF(M769="Exclude (duplicate)",0,1)</f>
        <v>1</v>
      </c>
      <c r="P769" s="1" t="str">
        <f aca="false">IF(AND(L769&lt;&gt;"",M769=""),"Needs decision","")</f>
        <v/>
      </c>
    </row>
    <row r="770" customFormat="false" ht="15" hidden="false" customHeight="false" outlineLevel="0" collapsed="false">
      <c r="A770" s="48" t="str">
        <f aca="false">COST!A770</f>
        <v>ASH-0237</v>
      </c>
      <c r="B770" s="48" t="str">
        <f aca="false">COST!B770</f>
        <v>ASH</v>
      </c>
      <c r="C770" s="48" t="str">
        <f aca="false">COST!D770</f>
        <v>Affordable Housing Partnership</v>
      </c>
      <c r="D770" s="62" t="n">
        <f aca="false">COST!M770</f>
        <v>46167</v>
      </c>
      <c r="E770" s="48" t="str">
        <f aca="false">COST!P770</f>
        <v>Program Coordinator</v>
      </c>
      <c r="F770" s="63" t="n">
        <f aca="false">COST!R770</f>
        <v>9.25</v>
      </c>
      <c r="G770" s="48" t="str">
        <f aca="false">STACK!M770</f>
        <v/>
      </c>
      <c r="H770" s="1" t="str">
        <f aca="false">C770&amp;"|"&amp;IF(ISNUMBER(D770),TEXT(D770,"yyyy-mm-dd"),"no date")&amp;"|"&amp;E770&amp;"|"&amp;IF(ISNUMBER(F770),TEXT(F770,"0.00"),"blank")</f>
        <v>Affordable Housing Partnership|2026-05-25|Program Coordinator|9.25</v>
      </c>
      <c r="I770" s="1" t="n">
        <f aca="false">COUNTIF($H$5:$H$1624,H770)</f>
        <v>1</v>
      </c>
      <c r="J770" s="1" t="n">
        <f aca="false">COUNTIF($H$5:H770,H770)</f>
        <v>1</v>
      </c>
      <c r="K770" s="1" t="n">
        <f aca="false">COUNTIFS($H$5:$H$1624,H770,$B$5:$B$1624,"&lt;&gt;"&amp;B770)</f>
        <v>0</v>
      </c>
      <c r="L770" s="1" t="str">
        <f aca="false">IF(I770&gt;1,IF(K770&gt;0,"Cross-hospital match","Same-hospital match"),"")</f>
        <v/>
      </c>
      <c r="M770" s="52"/>
      <c r="N770" s="52"/>
      <c r="O770" s="1" t="n">
        <f aca="false">IF(M770="Exclude (duplicate)",0,1)</f>
        <v>1</v>
      </c>
      <c r="P770" s="1" t="str">
        <f aca="false">IF(AND(L770&lt;&gt;"",M770=""),"Needs decision","")</f>
        <v/>
      </c>
    </row>
    <row r="771" customFormat="false" ht="15" hidden="false" customHeight="false" outlineLevel="0" collapsed="false">
      <c r="A771" s="48" t="str">
        <f aca="false">COST!A771</f>
        <v>ASH-0238</v>
      </c>
      <c r="B771" s="48" t="str">
        <f aca="false">COST!B771</f>
        <v>ASH</v>
      </c>
      <c r="C771" s="48" t="str">
        <f aca="false">COST!D771</f>
        <v>Neighborhood Leadership Academy</v>
      </c>
      <c r="D771" s="62" t="n">
        <f aca="false">COST!M771</f>
        <v>46168</v>
      </c>
      <c r="E771" s="48" t="str">
        <f aca="false">COST!P771</f>
        <v>Health Educator</v>
      </c>
      <c r="F771" s="63" t="n">
        <f aca="false">COST!R771</f>
        <v>4</v>
      </c>
      <c r="G771" s="48" t="str">
        <f aca="false">STACK!M771</f>
        <v/>
      </c>
      <c r="H771" s="1" t="str">
        <f aca="false">C771&amp;"|"&amp;IF(ISNUMBER(D771),TEXT(D771,"yyyy-mm-dd"),"no date")&amp;"|"&amp;E771&amp;"|"&amp;IF(ISNUMBER(F771),TEXT(F771,"0.00"),"blank")</f>
        <v>Neighborhood Leadership Academy|2026-05-26|Health Educator|4.00</v>
      </c>
      <c r="I771" s="1" t="n">
        <f aca="false">COUNTIF($H$5:$H$1624,H771)</f>
        <v>1</v>
      </c>
      <c r="J771" s="1" t="n">
        <f aca="false">COUNTIF($H$5:H771,H771)</f>
        <v>1</v>
      </c>
      <c r="K771" s="1" t="n">
        <f aca="false">COUNTIFS($H$5:$H$1624,H771,$B$5:$B$1624,"&lt;&gt;"&amp;B771)</f>
        <v>0</v>
      </c>
      <c r="L771" s="1" t="str">
        <f aca="false">IF(I771&gt;1,IF(K771&gt;0,"Cross-hospital match","Same-hospital match"),"")</f>
        <v/>
      </c>
      <c r="M771" s="52"/>
      <c r="N771" s="52"/>
      <c r="O771" s="1" t="n">
        <f aca="false">IF(M771="Exclude (duplicate)",0,1)</f>
        <v>1</v>
      </c>
      <c r="P771" s="1" t="str">
        <f aca="false">IF(AND(L771&lt;&gt;"",M771=""),"Needs decision","")</f>
        <v/>
      </c>
    </row>
    <row r="772" customFormat="false" ht="15" hidden="false" customHeight="false" outlineLevel="0" collapsed="false">
      <c r="A772" s="48" t="str">
        <f aca="false">COST!A772</f>
        <v>ASH-0239</v>
      </c>
      <c r="B772" s="48" t="str">
        <f aca="false">COST!B772</f>
        <v>ASH</v>
      </c>
      <c r="C772" s="48" t="str">
        <f aca="false">COST!D772</f>
        <v>Neighborhood Leadership Academy</v>
      </c>
      <c r="D772" s="62" t="n">
        <f aca="false">COST!M772</f>
        <v>46168</v>
      </c>
      <c r="E772" s="48" t="str">
        <f aca="false">COST!P772</f>
        <v>Program Coordinator</v>
      </c>
      <c r="F772" s="63" t="n">
        <f aca="false">COST!R772</f>
        <v>4.25</v>
      </c>
      <c r="G772" s="48" t="str">
        <f aca="false">STACK!M772</f>
        <v/>
      </c>
      <c r="H772" s="1" t="str">
        <f aca="false">C772&amp;"|"&amp;IF(ISNUMBER(D772),TEXT(D772,"yyyy-mm-dd"),"no date")&amp;"|"&amp;E772&amp;"|"&amp;IF(ISNUMBER(F772),TEXT(F772,"0.00"),"blank")</f>
        <v>Neighborhood Leadership Academy|2026-05-26|Program Coordinator|4.25</v>
      </c>
      <c r="I772" s="1" t="n">
        <f aca="false">COUNTIF($H$5:$H$1624,H772)</f>
        <v>1</v>
      </c>
      <c r="J772" s="1" t="n">
        <f aca="false">COUNTIF($H$5:H772,H772)</f>
        <v>1</v>
      </c>
      <c r="K772" s="1" t="n">
        <f aca="false">COUNTIFS($H$5:$H$1624,H772,$B$5:$B$1624,"&lt;&gt;"&amp;B772)</f>
        <v>0</v>
      </c>
      <c r="L772" s="1" t="str">
        <f aca="false">IF(I772&gt;1,IF(K772&gt;0,"Cross-hospital match","Same-hospital match"),"")</f>
        <v/>
      </c>
      <c r="M772" s="52"/>
      <c r="N772" s="52"/>
      <c r="O772" s="1" t="n">
        <f aca="false">IF(M772="Exclude (duplicate)",0,1)</f>
        <v>1</v>
      </c>
      <c r="P772" s="1" t="str">
        <f aca="false">IF(AND(L772&lt;&gt;"",M772=""),"Needs decision","")</f>
        <v/>
      </c>
    </row>
    <row r="773" customFormat="false" ht="15" hidden="false" customHeight="false" outlineLevel="0" collapsed="false">
      <c r="A773" s="48" t="str">
        <f aca="false">COST!A773</f>
        <v>ASH-0240</v>
      </c>
      <c r="B773" s="48" t="str">
        <f aca="false">COST!B773</f>
        <v>ASH</v>
      </c>
      <c r="C773" s="48" t="str">
        <f aca="false">COST!D773</f>
        <v>Mental Health First Aid Training</v>
      </c>
      <c r="D773" s="62" t="n">
        <f aca="false">COST!M773</f>
        <v>46171</v>
      </c>
      <c r="E773" s="48" t="str">
        <f aca="false">COST!P773</f>
        <v>Health Educator</v>
      </c>
      <c r="F773" s="63" t="n">
        <f aca="false">COST!R773</f>
        <v>8</v>
      </c>
      <c r="G773" s="48" t="str">
        <f aca="false">STACK!M773</f>
        <v/>
      </c>
      <c r="H773" s="1" t="str">
        <f aca="false">C773&amp;"|"&amp;IF(ISNUMBER(D773),TEXT(D773,"yyyy-mm-dd"),"no date")&amp;"|"&amp;E773&amp;"|"&amp;IF(ISNUMBER(F773),TEXT(F773,"0.00"),"blank")</f>
        <v>Mental Health First Aid Training|2026-05-29|Health Educator|8.00</v>
      </c>
      <c r="I773" s="1" t="n">
        <f aca="false">COUNTIF($H$5:$H$1624,H773)</f>
        <v>1</v>
      </c>
      <c r="J773" s="1" t="n">
        <f aca="false">COUNTIF($H$5:H773,H773)</f>
        <v>1</v>
      </c>
      <c r="K773" s="1" t="n">
        <f aca="false">COUNTIFS($H$5:$H$1624,H773,$B$5:$B$1624,"&lt;&gt;"&amp;B773)</f>
        <v>0</v>
      </c>
      <c r="L773" s="1" t="str">
        <f aca="false">IF(I773&gt;1,IF(K773&gt;0,"Cross-hospital match","Same-hospital match"),"")</f>
        <v/>
      </c>
      <c r="M773" s="52"/>
      <c r="N773" s="52"/>
      <c r="O773" s="1" t="n">
        <f aca="false">IF(M773="Exclude (duplicate)",0,1)</f>
        <v>1</v>
      </c>
      <c r="P773" s="1" t="str">
        <f aca="false">IF(AND(L773&lt;&gt;"",M773=""),"Needs decision","")</f>
        <v/>
      </c>
    </row>
    <row r="774" customFormat="false" ht="15" hidden="false" customHeight="false" outlineLevel="0" collapsed="false">
      <c r="A774" s="48" t="str">
        <f aca="false">COST!A774</f>
        <v>ASH-0241</v>
      </c>
      <c r="B774" s="48" t="str">
        <f aca="false">COST!B774</f>
        <v>ASH</v>
      </c>
      <c r="C774" s="48" t="str">
        <f aca="false">COST!D774</f>
        <v>Mental Health First Aid Training</v>
      </c>
      <c r="D774" s="62" t="n">
        <f aca="false">COST!M774</f>
        <v>46171</v>
      </c>
      <c r="E774" s="48" t="str">
        <f aca="false">COST!P774</f>
        <v>Social Worker</v>
      </c>
      <c r="F774" s="63" t="n">
        <f aca="false">COST!R774</f>
        <v>8</v>
      </c>
      <c r="G774" s="48" t="str">
        <f aca="false">STACK!M774</f>
        <v/>
      </c>
      <c r="H774" s="1" t="str">
        <f aca="false">C774&amp;"|"&amp;IF(ISNUMBER(D774),TEXT(D774,"yyyy-mm-dd"),"no date")&amp;"|"&amp;E774&amp;"|"&amp;IF(ISNUMBER(F774),TEXT(F774,"0.00"),"blank")</f>
        <v>Mental Health First Aid Training|2026-05-29|Social Worker|8.00</v>
      </c>
      <c r="I774" s="1" t="n">
        <f aca="false">COUNTIF($H$5:$H$1624,H774)</f>
        <v>1</v>
      </c>
      <c r="J774" s="1" t="n">
        <f aca="false">COUNTIF($H$5:H774,H774)</f>
        <v>1</v>
      </c>
      <c r="K774" s="1" t="n">
        <f aca="false">COUNTIFS($H$5:$H$1624,H774,$B$5:$B$1624,"&lt;&gt;"&amp;B774)</f>
        <v>0</v>
      </c>
      <c r="L774" s="1" t="str">
        <f aca="false">IF(I774&gt;1,IF(K774&gt;0,"Cross-hospital match","Same-hospital match"),"")</f>
        <v/>
      </c>
      <c r="M774" s="52"/>
      <c r="N774" s="52"/>
      <c r="O774" s="1" t="n">
        <f aca="false">IF(M774="Exclude (duplicate)",0,1)</f>
        <v>1</v>
      </c>
      <c r="P774" s="1" t="str">
        <f aca="false">IF(AND(L774&lt;&gt;"",M774=""),"Needs decision","")</f>
        <v/>
      </c>
    </row>
    <row r="775" customFormat="false" ht="15" hidden="false" customHeight="false" outlineLevel="0" collapsed="false">
      <c r="A775" s="48" t="str">
        <f aca="false">COST!A775</f>
        <v>ASH-0242</v>
      </c>
      <c r="B775" s="48" t="str">
        <f aca="false">COST!B775</f>
        <v>ASH</v>
      </c>
      <c r="C775" s="48" t="str">
        <f aca="false">COST!D775</f>
        <v>Grief Support Group</v>
      </c>
      <c r="D775" s="62" t="n">
        <f aca="false">COST!M775</f>
        <v>46172</v>
      </c>
      <c r="E775" s="48" t="str">
        <f aca="false">COST!P775</f>
        <v>Chaplain</v>
      </c>
      <c r="F775" s="63" t="n">
        <f aca="false">COST!R775</f>
        <v>2.25</v>
      </c>
      <c r="G775" s="48" t="str">
        <f aca="false">STACK!M775</f>
        <v/>
      </c>
      <c r="H775" s="1" t="str">
        <f aca="false">C775&amp;"|"&amp;IF(ISNUMBER(D775),TEXT(D775,"yyyy-mm-dd"),"no date")&amp;"|"&amp;E775&amp;"|"&amp;IF(ISNUMBER(F775),TEXT(F775,"0.00"),"blank")</f>
        <v>Grief Support Group|2026-05-30|Chaplain|2.25</v>
      </c>
      <c r="I775" s="1" t="n">
        <f aca="false">COUNTIF($H$5:$H$1624,H775)</f>
        <v>1</v>
      </c>
      <c r="J775" s="1" t="n">
        <f aca="false">COUNTIF($H$5:H775,H775)</f>
        <v>1</v>
      </c>
      <c r="K775" s="1" t="n">
        <f aca="false">COUNTIFS($H$5:$H$1624,H775,$B$5:$B$1624,"&lt;&gt;"&amp;B775)</f>
        <v>0</v>
      </c>
      <c r="L775" s="1" t="str">
        <f aca="false">IF(I775&gt;1,IF(K775&gt;0,"Cross-hospital match","Same-hospital match"),"")</f>
        <v/>
      </c>
      <c r="M775" s="52"/>
      <c r="N775" s="52"/>
      <c r="O775" s="1" t="n">
        <f aca="false">IF(M775="Exclude (duplicate)",0,1)</f>
        <v>1</v>
      </c>
      <c r="P775" s="1" t="str">
        <f aca="false">IF(AND(L775&lt;&gt;"",M775=""),"Needs decision","")</f>
        <v/>
      </c>
    </row>
    <row r="776" customFormat="false" ht="15" hidden="false" customHeight="false" outlineLevel="0" collapsed="false">
      <c r="A776" s="48" t="str">
        <f aca="false">COST!A776</f>
        <v>ASH-0243</v>
      </c>
      <c r="B776" s="48" t="str">
        <f aca="false">COST!B776</f>
        <v>ASH</v>
      </c>
      <c r="C776" s="48" t="str">
        <f aca="false">COST!D776</f>
        <v>Grief Support Group</v>
      </c>
      <c r="D776" s="62" t="n">
        <f aca="false">COST!M776</f>
        <v>46172</v>
      </c>
      <c r="E776" s="48" t="str">
        <f aca="false">COST!P776</f>
        <v>Social Worker</v>
      </c>
      <c r="F776" s="63" t="n">
        <f aca="false">COST!R776</f>
        <v>1.5</v>
      </c>
      <c r="G776" s="48" t="str">
        <f aca="false">STACK!M776</f>
        <v/>
      </c>
      <c r="H776" s="1" t="str">
        <f aca="false">C776&amp;"|"&amp;IF(ISNUMBER(D776),TEXT(D776,"yyyy-mm-dd"),"no date")&amp;"|"&amp;E776&amp;"|"&amp;IF(ISNUMBER(F776),TEXT(F776,"0.00"),"blank")</f>
        <v>Grief Support Group|2026-05-30|Social Worker|1.50</v>
      </c>
      <c r="I776" s="1" t="n">
        <f aca="false">COUNTIF($H$5:$H$1624,H776)</f>
        <v>1</v>
      </c>
      <c r="J776" s="1" t="n">
        <f aca="false">COUNTIF($H$5:H776,H776)</f>
        <v>1</v>
      </c>
      <c r="K776" s="1" t="n">
        <f aca="false">COUNTIFS($H$5:$H$1624,H776,$B$5:$B$1624,"&lt;&gt;"&amp;B776)</f>
        <v>0</v>
      </c>
      <c r="L776" s="1" t="str">
        <f aca="false">IF(I776&gt;1,IF(K776&gt;0,"Cross-hospital match","Same-hospital match"),"")</f>
        <v/>
      </c>
      <c r="M776" s="52"/>
      <c r="N776" s="52"/>
      <c r="O776" s="1" t="n">
        <f aca="false">IF(M776="Exclude (duplicate)",0,1)</f>
        <v>1</v>
      </c>
      <c r="P776" s="1" t="str">
        <f aca="false">IF(AND(L776&lt;&gt;"",M776=""),"Needs decision","")</f>
        <v/>
      </c>
    </row>
    <row r="777" customFormat="false" ht="15" hidden="false" customHeight="false" outlineLevel="0" collapsed="false">
      <c r="A777" s="48" t="str">
        <f aca="false">COST!A777</f>
        <v>ASH-0244</v>
      </c>
      <c r="B777" s="48" t="str">
        <f aca="false">COST!B777</f>
        <v>ASH</v>
      </c>
      <c r="C777" s="48" t="str">
        <f aca="false">COST!D777</f>
        <v>Mobile Health Screening Unit</v>
      </c>
      <c r="D777" s="62" t="n">
        <f aca="false">COST!M777</f>
        <v>46173</v>
      </c>
      <c r="E777" s="48" t="str">
        <f aca="false">COST!P777</f>
        <v>Community Health Worker</v>
      </c>
      <c r="F777" s="63" t="n">
        <f aca="false">COST!R777</f>
        <v>86.25</v>
      </c>
      <c r="G777" s="48" t="str">
        <f aca="false">STACK!M777</f>
        <v/>
      </c>
      <c r="H777" s="1" t="str">
        <f aca="false">C777&amp;"|"&amp;IF(ISNUMBER(D777),TEXT(D777,"yyyy-mm-dd"),"no date")&amp;"|"&amp;E777&amp;"|"&amp;IF(ISNUMBER(F777),TEXT(F777,"0.00"),"blank")</f>
        <v>Mobile Health Screening Unit|2026-05-31|Community Health Worker|86.25</v>
      </c>
      <c r="I777" s="1" t="n">
        <f aca="false">COUNTIF($H$5:$H$1624,H777)</f>
        <v>1</v>
      </c>
      <c r="J777" s="1" t="n">
        <f aca="false">COUNTIF($H$5:H777,H777)</f>
        <v>1</v>
      </c>
      <c r="K777" s="1" t="n">
        <f aca="false">COUNTIFS($H$5:$H$1624,H777,$B$5:$B$1624,"&lt;&gt;"&amp;B777)</f>
        <v>0</v>
      </c>
      <c r="L777" s="1" t="str">
        <f aca="false">IF(I777&gt;1,IF(K777&gt;0,"Cross-hospital match","Same-hospital match"),"")</f>
        <v/>
      </c>
      <c r="M777" s="52"/>
      <c r="N777" s="52"/>
      <c r="O777" s="1" t="n">
        <f aca="false">IF(M777="Exclude (duplicate)",0,1)</f>
        <v>1</v>
      </c>
      <c r="P777" s="1" t="str">
        <f aca="false">IF(AND(L777&lt;&gt;"",M777=""),"Needs decision","")</f>
        <v/>
      </c>
    </row>
    <row r="778" customFormat="false" ht="15" hidden="false" customHeight="false" outlineLevel="0" collapsed="false">
      <c r="A778" s="48" t="str">
        <f aca="false">COST!A778</f>
        <v>ASH-0245</v>
      </c>
      <c r="B778" s="48" t="str">
        <f aca="false">COST!B778</f>
        <v>ASH</v>
      </c>
      <c r="C778" s="48" t="str">
        <f aca="false">COST!D778</f>
        <v>Mobile Health Screening Unit</v>
      </c>
      <c r="D778" s="62" t="n">
        <f aca="false">COST!M778</f>
        <v>46173</v>
      </c>
      <c r="E778" s="48" t="str">
        <f aca="false">COST!P778</f>
        <v>Medical Assistant</v>
      </c>
      <c r="F778" s="63" t="n">
        <f aca="false">COST!R778</f>
        <v>71</v>
      </c>
      <c r="G778" s="48" t="str">
        <f aca="false">STACK!M778</f>
        <v/>
      </c>
      <c r="H778" s="1" t="str">
        <f aca="false">C778&amp;"|"&amp;IF(ISNUMBER(D778),TEXT(D778,"yyyy-mm-dd"),"no date")&amp;"|"&amp;E778&amp;"|"&amp;IF(ISNUMBER(F778),TEXT(F778,"0.00"),"blank")</f>
        <v>Mobile Health Screening Unit|2026-05-31|Medical Assistant|71.00</v>
      </c>
      <c r="I778" s="1" t="n">
        <f aca="false">COUNTIF($H$5:$H$1624,H778)</f>
        <v>1</v>
      </c>
      <c r="J778" s="1" t="n">
        <f aca="false">COUNTIF($H$5:H778,H778)</f>
        <v>1</v>
      </c>
      <c r="K778" s="1" t="n">
        <f aca="false">COUNTIFS($H$5:$H$1624,H778,$B$5:$B$1624,"&lt;&gt;"&amp;B778)</f>
        <v>0</v>
      </c>
      <c r="L778" s="1" t="str">
        <f aca="false">IF(I778&gt;1,IF(K778&gt;0,"Cross-hospital match","Same-hospital match"),"")</f>
        <v/>
      </c>
      <c r="M778" s="52"/>
      <c r="N778" s="52"/>
      <c r="O778" s="1" t="n">
        <f aca="false">IF(M778="Exclude (duplicate)",0,1)</f>
        <v>1</v>
      </c>
      <c r="P778" s="1" t="str">
        <f aca="false">IF(AND(L778&lt;&gt;"",M778=""),"Needs decision","")</f>
        <v/>
      </c>
    </row>
    <row r="779" customFormat="false" ht="15" hidden="false" customHeight="false" outlineLevel="0" collapsed="false">
      <c r="A779" s="48" t="str">
        <f aca="false">COST!A779</f>
        <v>ASH-0246</v>
      </c>
      <c r="B779" s="48" t="str">
        <f aca="false">COST!B779</f>
        <v>ASH</v>
      </c>
      <c r="C779" s="48" t="str">
        <f aca="false">COST!D779</f>
        <v>Mobile Health Screening Unit</v>
      </c>
      <c r="D779" s="62" t="n">
        <f aca="false">COST!M779</f>
        <v>46173</v>
      </c>
      <c r="E779" s="48" t="str">
        <f aca="false">COST!P779</f>
        <v>Registered Nurse</v>
      </c>
      <c r="F779" s="63" t="n">
        <f aca="false">COST!R779</f>
        <v>103.25</v>
      </c>
      <c r="G779" s="48" t="str">
        <f aca="false">STACK!M779</f>
        <v/>
      </c>
      <c r="H779" s="1" t="str">
        <f aca="false">C779&amp;"|"&amp;IF(ISNUMBER(D779),TEXT(D779,"yyyy-mm-dd"),"no date")&amp;"|"&amp;E779&amp;"|"&amp;IF(ISNUMBER(F779),TEXT(F779,"0.00"),"blank")</f>
        <v>Mobile Health Screening Unit|2026-05-31|Registered Nurse|103.25</v>
      </c>
      <c r="I779" s="1" t="n">
        <f aca="false">COUNTIF($H$5:$H$1624,H779)</f>
        <v>1</v>
      </c>
      <c r="J779" s="1" t="n">
        <f aca="false">COUNTIF($H$5:H779,H779)</f>
        <v>1</v>
      </c>
      <c r="K779" s="1" t="n">
        <f aca="false">COUNTIFS($H$5:$H$1624,H779,$B$5:$B$1624,"&lt;&gt;"&amp;B779)</f>
        <v>0</v>
      </c>
      <c r="L779" s="1" t="str">
        <f aca="false">IF(I779&gt;1,IF(K779&gt;0,"Cross-hospital match","Same-hospital match"),"")</f>
        <v/>
      </c>
      <c r="M779" s="52"/>
      <c r="N779" s="52"/>
      <c r="O779" s="1" t="n">
        <f aca="false">IF(M779="Exclude (duplicate)",0,1)</f>
        <v>1</v>
      </c>
      <c r="P779" s="1" t="str">
        <f aca="false">IF(AND(L779&lt;&gt;"",M779=""),"Needs decision","")</f>
        <v/>
      </c>
    </row>
    <row r="780" customFormat="false" ht="15" hidden="false" customHeight="false" outlineLevel="0" collapsed="false">
      <c r="A780" s="48" t="str">
        <f aca="false">COST!A780</f>
        <v>ASH-0247</v>
      </c>
      <c r="B780" s="48" t="str">
        <f aca="false">COST!B780</f>
        <v>ASH</v>
      </c>
      <c r="C780" s="48" t="str">
        <f aca="false">COST!D780</f>
        <v>Community Health Worker Outreach</v>
      </c>
      <c r="D780" s="62" t="n">
        <f aca="false">COST!M780</f>
        <v>46173</v>
      </c>
      <c r="E780" s="48" t="str">
        <f aca="false">COST!P780</f>
        <v>Community Health Worker</v>
      </c>
      <c r="F780" s="63" t="n">
        <f aca="false">COST!R780</f>
        <v>345.75</v>
      </c>
      <c r="G780" s="48" t="str">
        <f aca="false">STACK!M780</f>
        <v/>
      </c>
      <c r="H780" s="1" t="str">
        <f aca="false">C780&amp;"|"&amp;IF(ISNUMBER(D780),TEXT(D780,"yyyy-mm-dd"),"no date")&amp;"|"&amp;E780&amp;"|"&amp;IF(ISNUMBER(F780),TEXT(F780,"0.00"),"blank")</f>
        <v>Community Health Worker Outreach|2026-05-31|Community Health Worker|345.75</v>
      </c>
      <c r="I780" s="1" t="n">
        <f aca="false">COUNTIF($H$5:$H$1624,H780)</f>
        <v>1</v>
      </c>
      <c r="J780" s="1" t="n">
        <f aca="false">COUNTIF($H$5:H780,H780)</f>
        <v>1</v>
      </c>
      <c r="K780" s="1" t="n">
        <f aca="false">COUNTIFS($H$5:$H$1624,H780,$B$5:$B$1624,"&lt;&gt;"&amp;B780)</f>
        <v>0</v>
      </c>
      <c r="L780" s="1" t="str">
        <f aca="false">IF(I780&gt;1,IF(K780&gt;0,"Cross-hospital match","Same-hospital match"),"")</f>
        <v/>
      </c>
      <c r="M780" s="52"/>
      <c r="N780" s="52"/>
      <c r="O780" s="1" t="n">
        <f aca="false">IF(M780="Exclude (duplicate)",0,1)</f>
        <v>1</v>
      </c>
      <c r="P780" s="1" t="str">
        <f aca="false">IF(AND(L780&lt;&gt;"",M780=""),"Needs decision","")</f>
        <v/>
      </c>
    </row>
    <row r="781" customFormat="false" ht="15" hidden="false" customHeight="false" outlineLevel="0" collapsed="false">
      <c r="A781" s="48" t="str">
        <f aca="false">COST!A781</f>
        <v>ASH-0248</v>
      </c>
      <c r="B781" s="48" t="str">
        <f aca="false">COST!B781</f>
        <v>ASH</v>
      </c>
      <c r="C781" s="48" t="str">
        <f aca="false">COST!D781</f>
        <v>Community Health Worker Outreach</v>
      </c>
      <c r="D781" s="62" t="n">
        <f aca="false">COST!M781</f>
        <v>46173</v>
      </c>
      <c r="E781" s="48" t="str">
        <f aca="false">COST!P781</f>
        <v>Patient Navigator</v>
      </c>
      <c r="F781" s="63" t="n">
        <f aca="false">COST!R781</f>
        <v>147.25</v>
      </c>
      <c r="G781" s="48" t="str">
        <f aca="false">STACK!M781</f>
        <v/>
      </c>
      <c r="H781" s="1" t="str">
        <f aca="false">C781&amp;"|"&amp;IF(ISNUMBER(D781),TEXT(D781,"yyyy-mm-dd"),"no date")&amp;"|"&amp;E781&amp;"|"&amp;IF(ISNUMBER(F781),TEXT(F781,"0.00"),"blank")</f>
        <v>Community Health Worker Outreach|2026-05-31|Patient Navigator|147.25</v>
      </c>
      <c r="I781" s="1" t="n">
        <f aca="false">COUNTIF($H$5:$H$1624,H781)</f>
        <v>1</v>
      </c>
      <c r="J781" s="1" t="n">
        <f aca="false">COUNTIF($H$5:H781,H781)</f>
        <v>1</v>
      </c>
      <c r="K781" s="1" t="n">
        <f aca="false">COUNTIFS($H$5:$H$1624,H781,$B$5:$B$1624,"&lt;&gt;"&amp;B781)</f>
        <v>0</v>
      </c>
      <c r="L781" s="1" t="str">
        <f aca="false">IF(I781&gt;1,IF(K781&gt;0,"Cross-hospital match","Same-hospital match"),"")</f>
        <v/>
      </c>
      <c r="M781" s="52"/>
      <c r="N781" s="52"/>
      <c r="O781" s="1" t="n">
        <f aca="false">IF(M781="Exclude (duplicate)",0,1)</f>
        <v>1</v>
      </c>
      <c r="P781" s="1" t="str">
        <f aca="false">IF(AND(L781&lt;&gt;"",M781=""),"Needs decision","")</f>
        <v/>
      </c>
    </row>
    <row r="782" customFormat="false" ht="15" hidden="false" customHeight="false" outlineLevel="0" collapsed="false">
      <c r="A782" s="48" t="str">
        <f aca="false">COST!A782</f>
        <v>ASH-0249</v>
      </c>
      <c r="B782" s="48" t="str">
        <f aca="false">COST!B782</f>
        <v>ASH</v>
      </c>
      <c r="C782" s="48" t="str">
        <f aca="false">COST!D782</f>
        <v>Produce Prescription Program</v>
      </c>
      <c r="D782" s="62" t="n">
        <f aca="false">COST!M782</f>
        <v>46173</v>
      </c>
      <c r="E782" s="48" t="str">
        <f aca="false">COST!P782</f>
        <v>Community Health Worker</v>
      </c>
      <c r="F782" s="63" t="n">
        <f aca="false">COST!R782</f>
        <v>55</v>
      </c>
      <c r="G782" s="48" t="str">
        <f aca="false">STACK!M782</f>
        <v/>
      </c>
      <c r="H782" s="1" t="str">
        <f aca="false">C782&amp;"|"&amp;IF(ISNUMBER(D782),TEXT(D782,"yyyy-mm-dd"),"no date")&amp;"|"&amp;E782&amp;"|"&amp;IF(ISNUMBER(F782),TEXT(F782,"0.00"),"blank")</f>
        <v>Produce Prescription Program|2026-05-31|Community Health Worker|55.00</v>
      </c>
      <c r="I782" s="1" t="n">
        <f aca="false">COUNTIF($H$5:$H$1624,H782)</f>
        <v>1</v>
      </c>
      <c r="J782" s="1" t="n">
        <f aca="false">COUNTIF($H$5:H782,H782)</f>
        <v>1</v>
      </c>
      <c r="K782" s="1" t="n">
        <f aca="false">COUNTIFS($H$5:$H$1624,H782,$B$5:$B$1624,"&lt;&gt;"&amp;B782)</f>
        <v>0</v>
      </c>
      <c r="L782" s="1" t="str">
        <f aca="false">IF(I782&gt;1,IF(K782&gt;0,"Cross-hospital match","Same-hospital match"),"")</f>
        <v/>
      </c>
      <c r="M782" s="52"/>
      <c r="N782" s="52"/>
      <c r="O782" s="1" t="n">
        <f aca="false">IF(M782="Exclude (duplicate)",0,1)</f>
        <v>1</v>
      </c>
      <c r="P782" s="1" t="str">
        <f aca="false">IF(AND(L782&lt;&gt;"",M782=""),"Needs decision","")</f>
        <v/>
      </c>
    </row>
    <row r="783" customFormat="false" ht="15" hidden="false" customHeight="false" outlineLevel="0" collapsed="false">
      <c r="A783" s="48" t="str">
        <f aca="false">COST!A783</f>
        <v>ASH-0250</v>
      </c>
      <c r="B783" s="48" t="str">
        <f aca="false">COST!B783</f>
        <v>ASH</v>
      </c>
      <c r="C783" s="48" t="str">
        <f aca="false">COST!D783</f>
        <v>Produce Prescription Program</v>
      </c>
      <c r="D783" s="62" t="n">
        <f aca="false">COST!M783</f>
        <v>46173</v>
      </c>
      <c r="E783" s="48" t="str">
        <f aca="false">COST!P783</f>
        <v>Registered Dietitian</v>
      </c>
      <c r="F783" s="63" t="n">
        <f aca="false">COST!R783</f>
        <v>26.25</v>
      </c>
      <c r="G783" s="48" t="str">
        <f aca="false">STACK!M783</f>
        <v/>
      </c>
      <c r="H783" s="1" t="str">
        <f aca="false">C783&amp;"|"&amp;IF(ISNUMBER(D783),TEXT(D783,"yyyy-mm-dd"),"no date")&amp;"|"&amp;E783&amp;"|"&amp;IF(ISNUMBER(F783),TEXT(F783,"0.00"),"blank")</f>
        <v>Produce Prescription Program|2026-05-31|Registered Dietitian|26.25</v>
      </c>
      <c r="I783" s="1" t="n">
        <f aca="false">COUNTIF($H$5:$H$1624,H783)</f>
        <v>1</v>
      </c>
      <c r="J783" s="1" t="n">
        <f aca="false">COUNTIF($H$5:H783,H783)</f>
        <v>1</v>
      </c>
      <c r="K783" s="1" t="n">
        <f aca="false">COUNTIFS($H$5:$H$1624,H783,$B$5:$B$1624,"&lt;&gt;"&amp;B783)</f>
        <v>0</v>
      </c>
      <c r="L783" s="1" t="str">
        <f aca="false">IF(I783&gt;1,IF(K783&gt;0,"Cross-hospital match","Same-hospital match"),"")</f>
        <v/>
      </c>
      <c r="M783" s="52"/>
      <c r="N783" s="52"/>
      <c r="O783" s="1" t="n">
        <f aca="false">IF(M783="Exclude (duplicate)",0,1)</f>
        <v>1</v>
      </c>
      <c r="P783" s="1" t="str">
        <f aca="false">IF(AND(L783&lt;&gt;"",M783=""),"Needs decision","")</f>
        <v/>
      </c>
    </row>
    <row r="784" customFormat="false" ht="15" hidden="false" customHeight="false" outlineLevel="0" collapsed="false">
      <c r="A784" s="48" t="str">
        <f aca="false">COST!A784</f>
        <v>ASH-0251</v>
      </c>
      <c r="B784" s="48" t="str">
        <f aca="false">COST!B784</f>
        <v>ASH</v>
      </c>
      <c r="C784" s="48" t="str">
        <f aca="false">COST!D784</f>
        <v>Community Benefit Program Administration</v>
      </c>
      <c r="D784" s="62" t="n">
        <f aca="false">COST!M784</f>
        <v>46173</v>
      </c>
      <c r="E784" s="48" t="str">
        <f aca="false">COST!P784</f>
        <v>Administrative Assistant</v>
      </c>
      <c r="F784" s="63" t="n">
        <f aca="false">COST!R784</f>
        <v>41.25</v>
      </c>
      <c r="G784" s="48" t="str">
        <f aca="false">STACK!M784</f>
        <v/>
      </c>
      <c r="H784" s="1" t="str">
        <f aca="false">C784&amp;"|"&amp;IF(ISNUMBER(D784),TEXT(D784,"yyyy-mm-dd"),"no date")&amp;"|"&amp;E784&amp;"|"&amp;IF(ISNUMBER(F784),TEXT(F784,"0.00"),"blank")</f>
        <v>Community Benefit Program Administration|2026-05-31|Administrative Assistant|41.25</v>
      </c>
      <c r="I784" s="1" t="n">
        <f aca="false">COUNTIF($H$5:$H$1624,H784)</f>
        <v>1</v>
      </c>
      <c r="J784" s="1" t="n">
        <f aca="false">COUNTIF($H$5:H784,H784)</f>
        <v>1</v>
      </c>
      <c r="K784" s="1" t="n">
        <f aca="false">COUNTIFS($H$5:$H$1624,H784,$B$5:$B$1624,"&lt;&gt;"&amp;B784)</f>
        <v>0</v>
      </c>
      <c r="L784" s="1" t="str">
        <f aca="false">IF(I784&gt;1,IF(K784&gt;0,"Cross-hospital match","Same-hospital match"),"")</f>
        <v/>
      </c>
      <c r="M784" s="52"/>
      <c r="N784" s="52"/>
      <c r="O784" s="1" t="n">
        <f aca="false">IF(M784="Exclude (duplicate)",0,1)</f>
        <v>1</v>
      </c>
      <c r="P784" s="1" t="str">
        <f aca="false">IF(AND(L784&lt;&gt;"",M784=""),"Needs decision","")</f>
        <v/>
      </c>
    </row>
    <row r="785" customFormat="false" ht="15" hidden="false" customHeight="false" outlineLevel="0" collapsed="false">
      <c r="A785" s="48" t="str">
        <f aca="false">COST!A785</f>
        <v>ASH-0252</v>
      </c>
      <c r="B785" s="48" t="str">
        <f aca="false">COST!B785</f>
        <v>ASH</v>
      </c>
      <c r="C785" s="48" t="str">
        <f aca="false">COST!D785</f>
        <v>Community Benefit Program Administration</v>
      </c>
      <c r="D785" s="62" t="n">
        <f aca="false">COST!M785</f>
        <v>46173</v>
      </c>
      <c r="E785" s="48" t="str">
        <f aca="false">COST!P785</f>
        <v>Community Benefit Manager</v>
      </c>
      <c r="F785" s="63" t="n">
        <f aca="false">COST!R785</f>
        <v>72.5</v>
      </c>
      <c r="G785" s="48" t="str">
        <f aca="false">STACK!M785</f>
        <v/>
      </c>
      <c r="H785" s="1" t="str">
        <f aca="false">C785&amp;"|"&amp;IF(ISNUMBER(D785),TEXT(D785,"yyyy-mm-dd"),"no date")&amp;"|"&amp;E785&amp;"|"&amp;IF(ISNUMBER(F785),TEXT(F785,"0.00"),"blank")</f>
        <v>Community Benefit Program Administration|2026-05-31|Community Benefit Manager|72.50</v>
      </c>
      <c r="I785" s="1" t="n">
        <f aca="false">COUNTIF($H$5:$H$1624,H785)</f>
        <v>1</v>
      </c>
      <c r="J785" s="1" t="n">
        <f aca="false">COUNTIF($H$5:H785,H785)</f>
        <v>1</v>
      </c>
      <c r="K785" s="1" t="n">
        <f aca="false">COUNTIFS($H$5:$H$1624,H785,$B$5:$B$1624,"&lt;&gt;"&amp;B785)</f>
        <v>0</v>
      </c>
      <c r="L785" s="1" t="str">
        <f aca="false">IF(I785&gt;1,IF(K785&gt;0,"Cross-hospital match","Same-hospital match"),"")</f>
        <v/>
      </c>
      <c r="M785" s="52"/>
      <c r="N785" s="52"/>
      <c r="O785" s="1" t="n">
        <f aca="false">IF(M785="Exclude (duplicate)",0,1)</f>
        <v>1</v>
      </c>
      <c r="P785" s="1" t="str">
        <f aca="false">IF(AND(L785&lt;&gt;"",M785=""),"Needs decision","")</f>
        <v/>
      </c>
    </row>
    <row r="786" customFormat="false" ht="15" hidden="false" customHeight="false" outlineLevel="0" collapsed="false">
      <c r="A786" s="48" t="str">
        <f aca="false">COST!A786</f>
        <v>ASH-0253</v>
      </c>
      <c r="B786" s="48" t="str">
        <f aca="false">COST!B786</f>
        <v>ASH</v>
      </c>
      <c r="C786" s="48" t="str">
        <f aca="false">COST!D786</f>
        <v>Nursing Student Clinical Rotations</v>
      </c>
      <c r="D786" s="62" t="n">
        <f aca="false">COST!M786</f>
        <v>46173</v>
      </c>
      <c r="E786" s="48" t="str">
        <f aca="false">COST!P786</f>
        <v>Clinical Nurse Educator</v>
      </c>
      <c r="F786" s="63" t="n">
        <f aca="false">COST!R786</f>
        <v>111</v>
      </c>
      <c r="G786" s="48" t="str">
        <f aca="false">STACK!M786</f>
        <v/>
      </c>
      <c r="H786" s="1" t="str">
        <f aca="false">C786&amp;"|"&amp;IF(ISNUMBER(D786),TEXT(D786,"yyyy-mm-dd"),"no date")&amp;"|"&amp;E786&amp;"|"&amp;IF(ISNUMBER(F786),TEXT(F786,"0.00"),"blank")</f>
        <v>Nursing Student Clinical Rotations|2026-05-31|Clinical Nurse Educator|111.00</v>
      </c>
      <c r="I786" s="1" t="n">
        <f aca="false">COUNTIF($H$5:$H$1624,H786)</f>
        <v>1</v>
      </c>
      <c r="J786" s="1" t="n">
        <f aca="false">COUNTIF($H$5:H786,H786)</f>
        <v>1</v>
      </c>
      <c r="K786" s="1" t="n">
        <f aca="false">COUNTIFS($H$5:$H$1624,H786,$B$5:$B$1624,"&lt;&gt;"&amp;B786)</f>
        <v>0</v>
      </c>
      <c r="L786" s="1" t="str">
        <f aca="false">IF(I786&gt;1,IF(K786&gt;0,"Cross-hospital match","Same-hospital match"),"")</f>
        <v/>
      </c>
      <c r="M786" s="52"/>
      <c r="N786" s="52"/>
      <c r="O786" s="1" t="n">
        <f aca="false">IF(M786="Exclude (duplicate)",0,1)</f>
        <v>1</v>
      </c>
      <c r="P786" s="1" t="str">
        <f aca="false">IF(AND(L786&lt;&gt;"",M786=""),"Needs decision","")</f>
        <v/>
      </c>
    </row>
    <row r="787" customFormat="false" ht="15" hidden="false" customHeight="false" outlineLevel="0" collapsed="false">
      <c r="A787" s="48" t="str">
        <f aca="false">COST!A787</f>
        <v>ASH-0254</v>
      </c>
      <c r="B787" s="48" t="str">
        <f aca="false">COST!B787</f>
        <v>ASH</v>
      </c>
      <c r="C787" s="48" t="str">
        <f aca="false">COST!D787</f>
        <v>Nursing Student Clinical Rotations</v>
      </c>
      <c r="D787" s="62" t="n">
        <f aca="false">COST!M787</f>
        <v>46173</v>
      </c>
      <c r="E787" s="48" t="str">
        <f aca="false">COST!P787</f>
        <v>Registered Nurse</v>
      </c>
      <c r="F787" s="63" t="n">
        <f aca="false">COST!R787</f>
        <v>213.75</v>
      </c>
      <c r="G787" s="48" t="str">
        <f aca="false">STACK!M787</f>
        <v/>
      </c>
      <c r="H787" s="1" t="str">
        <f aca="false">C787&amp;"|"&amp;IF(ISNUMBER(D787),TEXT(D787,"yyyy-mm-dd"),"no date")&amp;"|"&amp;E787&amp;"|"&amp;IF(ISNUMBER(F787),TEXT(F787,"0.00"),"blank")</f>
        <v>Nursing Student Clinical Rotations|2026-05-31|Registered Nurse|213.75</v>
      </c>
      <c r="I787" s="1" t="n">
        <f aca="false">COUNTIF($H$5:$H$1624,H787)</f>
        <v>1</v>
      </c>
      <c r="J787" s="1" t="n">
        <f aca="false">COUNTIF($H$5:H787,H787)</f>
        <v>1</v>
      </c>
      <c r="K787" s="1" t="n">
        <f aca="false">COUNTIFS($H$5:$H$1624,H787,$B$5:$B$1624,"&lt;&gt;"&amp;B787)</f>
        <v>0</v>
      </c>
      <c r="L787" s="1" t="str">
        <f aca="false">IF(I787&gt;1,IF(K787&gt;0,"Cross-hospital match","Same-hospital match"),"")</f>
        <v/>
      </c>
      <c r="M787" s="52"/>
      <c r="N787" s="52"/>
      <c r="O787" s="1" t="n">
        <f aca="false">IF(M787="Exclude (duplicate)",0,1)</f>
        <v>1</v>
      </c>
      <c r="P787" s="1" t="str">
        <f aca="false">IF(AND(L787&lt;&gt;"",M787=""),"Needs decision","")</f>
        <v/>
      </c>
    </row>
    <row r="788" customFormat="false" ht="15" hidden="false" customHeight="false" outlineLevel="0" collapsed="false">
      <c r="A788" s="48" t="str">
        <f aca="false">COST!A788</f>
        <v>ASH-0255</v>
      </c>
      <c r="B788" s="48" t="str">
        <f aca="false">COST!B788</f>
        <v>ASH</v>
      </c>
      <c r="C788" s="48" t="str">
        <f aca="false">COST!D788</f>
        <v>Paramedic Student Field Training</v>
      </c>
      <c r="D788" s="62" t="n">
        <f aca="false">COST!M788</f>
        <v>46173</v>
      </c>
      <c r="E788" s="48" t="str">
        <f aca="false">COST!P788</f>
        <v>Paramedic</v>
      </c>
      <c r="F788" s="63" t="n">
        <f aca="false">COST!R788</f>
        <v>89.5</v>
      </c>
      <c r="G788" s="48" t="str">
        <f aca="false">STACK!M788</f>
        <v/>
      </c>
      <c r="H788" s="1" t="str">
        <f aca="false">C788&amp;"|"&amp;IF(ISNUMBER(D788),TEXT(D788,"yyyy-mm-dd"),"no date")&amp;"|"&amp;E788&amp;"|"&amp;IF(ISNUMBER(F788),TEXT(F788,"0.00"),"blank")</f>
        <v>Paramedic Student Field Training|2026-05-31|Paramedic|89.50</v>
      </c>
      <c r="I788" s="1" t="n">
        <f aca="false">COUNTIF($H$5:$H$1624,H788)</f>
        <v>1</v>
      </c>
      <c r="J788" s="1" t="n">
        <f aca="false">COUNTIF($H$5:H788,H788)</f>
        <v>1</v>
      </c>
      <c r="K788" s="1" t="n">
        <f aca="false">COUNTIFS($H$5:$H$1624,H788,$B$5:$B$1624,"&lt;&gt;"&amp;B788)</f>
        <v>0</v>
      </c>
      <c r="L788" s="1" t="str">
        <f aca="false">IF(I788&gt;1,IF(K788&gt;0,"Cross-hospital match","Same-hospital match"),"")</f>
        <v/>
      </c>
      <c r="M788" s="52"/>
      <c r="N788" s="52"/>
      <c r="O788" s="1" t="n">
        <f aca="false">IF(M788="Exclude (duplicate)",0,1)</f>
        <v>1</v>
      </c>
      <c r="P788" s="1" t="str">
        <f aca="false">IF(AND(L788&lt;&gt;"",M788=""),"Needs decision","")</f>
        <v/>
      </c>
    </row>
    <row r="789" customFormat="false" ht="15" hidden="false" customHeight="false" outlineLevel="0" collapsed="false">
      <c r="A789" s="48" t="str">
        <f aca="false">COST!A789</f>
        <v>ASH-0256</v>
      </c>
      <c r="B789" s="48" t="str">
        <f aca="false">COST!B789</f>
        <v>ASH</v>
      </c>
      <c r="C789" s="48" t="str">
        <f aca="false">COST!D789</f>
        <v>Diabetes Prevention Classes</v>
      </c>
      <c r="D789" s="62" t="n">
        <f aca="false">COST!M789</f>
        <v>46176</v>
      </c>
      <c r="E789" s="48" t="str">
        <f aca="false">COST!P789</f>
        <v>Health Educator</v>
      </c>
      <c r="F789" s="63" t="n">
        <f aca="false">COST!R789</f>
        <v>2.75</v>
      </c>
      <c r="G789" s="48" t="str">
        <f aca="false">STACK!M789</f>
        <v/>
      </c>
      <c r="H789" s="1" t="str">
        <f aca="false">C789&amp;"|"&amp;IF(ISNUMBER(D789),TEXT(D789,"yyyy-mm-dd"),"no date")&amp;"|"&amp;E789&amp;"|"&amp;IF(ISNUMBER(F789),TEXT(F789,"0.00"),"blank")</f>
        <v>Diabetes Prevention Classes|2026-06-03|Health Educator|2.75</v>
      </c>
      <c r="I789" s="1" t="n">
        <f aca="false">COUNTIF($H$5:$H$1624,H789)</f>
        <v>1</v>
      </c>
      <c r="J789" s="1" t="n">
        <f aca="false">COUNTIF($H$5:H789,H789)</f>
        <v>1</v>
      </c>
      <c r="K789" s="1" t="n">
        <f aca="false">COUNTIFS($H$5:$H$1624,H789,$B$5:$B$1624,"&lt;&gt;"&amp;B789)</f>
        <v>0</v>
      </c>
      <c r="L789" s="1" t="str">
        <f aca="false">IF(I789&gt;1,IF(K789&gt;0,"Cross-hospital match","Same-hospital match"),"")</f>
        <v/>
      </c>
      <c r="M789" s="52"/>
      <c r="N789" s="52"/>
      <c r="O789" s="1" t="n">
        <f aca="false">IF(M789="Exclude (duplicate)",0,1)</f>
        <v>1</v>
      </c>
      <c r="P789" s="1" t="str">
        <f aca="false">IF(AND(L789&lt;&gt;"",M789=""),"Needs decision","")</f>
        <v/>
      </c>
    </row>
    <row r="790" customFormat="false" ht="15" hidden="false" customHeight="false" outlineLevel="0" collapsed="false">
      <c r="A790" s="48" t="str">
        <f aca="false">COST!A790</f>
        <v>ASH-0257</v>
      </c>
      <c r="B790" s="48" t="str">
        <f aca="false">COST!B790</f>
        <v>ASH</v>
      </c>
      <c r="C790" s="48" t="str">
        <f aca="false">COST!D790</f>
        <v>Diabetes Prevention Classes</v>
      </c>
      <c r="D790" s="62" t="n">
        <f aca="false">COST!M790</f>
        <v>46176</v>
      </c>
      <c r="E790" s="48" t="str">
        <f aca="false">COST!P790</f>
        <v>Registered Dietitian</v>
      </c>
      <c r="F790" s="63" t="n">
        <f aca="false">COST!R790</f>
        <v>1.75</v>
      </c>
      <c r="G790" s="48" t="str">
        <f aca="false">STACK!M790</f>
        <v/>
      </c>
      <c r="H790" s="1" t="str">
        <f aca="false">C790&amp;"|"&amp;IF(ISNUMBER(D790),TEXT(D790,"yyyy-mm-dd"),"no date")&amp;"|"&amp;E790&amp;"|"&amp;IF(ISNUMBER(F790),TEXT(F790,"0.00"),"blank")</f>
        <v>Diabetes Prevention Classes|2026-06-03|Registered Dietitian|1.75</v>
      </c>
      <c r="I790" s="1" t="n">
        <f aca="false">COUNTIF($H$5:$H$1624,H790)</f>
        <v>1</v>
      </c>
      <c r="J790" s="1" t="n">
        <f aca="false">COUNTIF($H$5:H790,H790)</f>
        <v>1</v>
      </c>
      <c r="K790" s="1" t="n">
        <f aca="false">COUNTIFS($H$5:$H$1624,H790,$B$5:$B$1624,"&lt;&gt;"&amp;B790)</f>
        <v>0</v>
      </c>
      <c r="L790" s="1" t="str">
        <f aca="false">IF(I790&gt;1,IF(K790&gt;0,"Cross-hospital match","Same-hospital match"),"")</f>
        <v/>
      </c>
      <c r="M790" s="52"/>
      <c r="N790" s="52"/>
      <c r="O790" s="1" t="n">
        <f aca="false">IF(M790="Exclude (duplicate)",0,1)</f>
        <v>1</v>
      </c>
      <c r="P790" s="1" t="str">
        <f aca="false">IF(AND(L790&lt;&gt;"",M790=""),"Needs decision","")</f>
        <v/>
      </c>
    </row>
    <row r="791" customFormat="false" ht="15" hidden="false" customHeight="false" outlineLevel="0" collapsed="false">
      <c r="A791" s="48" t="str">
        <f aca="false">COST!A791</f>
        <v>ASH-0258</v>
      </c>
      <c r="B791" s="48" t="str">
        <f aca="false">COST!B791</f>
        <v>ASH</v>
      </c>
      <c r="C791" s="48" t="str">
        <f aca="false">COST!D791</f>
        <v>Neighborhood Leadership Academy</v>
      </c>
      <c r="D791" s="62" t="n">
        <f aca="false">COST!M791</f>
        <v>46177</v>
      </c>
      <c r="E791" s="48" t="str">
        <f aca="false">COST!P791</f>
        <v>Health Educator</v>
      </c>
      <c r="F791" s="63" t="n">
        <f aca="false">COST!R791</f>
        <v>3.25</v>
      </c>
      <c r="G791" s="48" t="str">
        <f aca="false">STACK!M791</f>
        <v/>
      </c>
      <c r="H791" s="1" t="str">
        <f aca="false">C791&amp;"|"&amp;IF(ISNUMBER(D791),TEXT(D791,"yyyy-mm-dd"),"no date")&amp;"|"&amp;E791&amp;"|"&amp;IF(ISNUMBER(F791),TEXT(F791,"0.00"),"blank")</f>
        <v>Neighborhood Leadership Academy|2026-06-04|Health Educator|3.25</v>
      </c>
      <c r="I791" s="1" t="n">
        <f aca="false">COUNTIF($H$5:$H$1624,H791)</f>
        <v>1</v>
      </c>
      <c r="J791" s="1" t="n">
        <f aca="false">COUNTIF($H$5:H791,H791)</f>
        <v>1</v>
      </c>
      <c r="K791" s="1" t="n">
        <f aca="false">COUNTIFS($H$5:$H$1624,H791,$B$5:$B$1624,"&lt;&gt;"&amp;B791)</f>
        <v>0</v>
      </c>
      <c r="L791" s="1" t="str">
        <f aca="false">IF(I791&gt;1,IF(K791&gt;0,"Cross-hospital match","Same-hospital match"),"")</f>
        <v/>
      </c>
      <c r="M791" s="52"/>
      <c r="N791" s="52"/>
      <c r="O791" s="1" t="n">
        <f aca="false">IF(M791="Exclude (duplicate)",0,1)</f>
        <v>1</v>
      </c>
      <c r="P791" s="1" t="str">
        <f aca="false">IF(AND(L791&lt;&gt;"",M791=""),"Needs decision","")</f>
        <v/>
      </c>
    </row>
    <row r="792" customFormat="false" ht="15" hidden="false" customHeight="false" outlineLevel="0" collapsed="false">
      <c r="A792" s="48" t="str">
        <f aca="false">COST!A792</f>
        <v>ASH-0259</v>
      </c>
      <c r="B792" s="48" t="str">
        <f aca="false">COST!B792</f>
        <v>ASH</v>
      </c>
      <c r="C792" s="48" t="str">
        <f aca="false">COST!D792</f>
        <v>Neighborhood Leadership Academy</v>
      </c>
      <c r="D792" s="62" t="n">
        <f aca="false">COST!M792</f>
        <v>46177</v>
      </c>
      <c r="E792" s="48" t="str">
        <f aca="false">COST!P792</f>
        <v>Program Coordinator</v>
      </c>
      <c r="F792" s="63" t="n">
        <f aca="false">COST!R792</f>
        <v>4.75</v>
      </c>
      <c r="G792" s="48" t="str">
        <f aca="false">STACK!M792</f>
        <v/>
      </c>
      <c r="H792" s="1" t="str">
        <f aca="false">C792&amp;"|"&amp;IF(ISNUMBER(D792),TEXT(D792,"yyyy-mm-dd"),"no date")&amp;"|"&amp;E792&amp;"|"&amp;IF(ISNUMBER(F792),TEXT(F792,"0.00"),"blank")</f>
        <v>Neighborhood Leadership Academy|2026-06-04|Program Coordinator|4.75</v>
      </c>
      <c r="I792" s="1" t="n">
        <f aca="false">COUNTIF($H$5:$H$1624,H792)</f>
        <v>1</v>
      </c>
      <c r="J792" s="1" t="n">
        <f aca="false">COUNTIF($H$5:H792,H792)</f>
        <v>1</v>
      </c>
      <c r="K792" s="1" t="n">
        <f aca="false">COUNTIFS($H$5:$H$1624,H792,$B$5:$B$1624,"&lt;&gt;"&amp;B792)</f>
        <v>0</v>
      </c>
      <c r="L792" s="1" t="str">
        <f aca="false">IF(I792&gt;1,IF(K792&gt;0,"Cross-hospital match","Same-hospital match"),"")</f>
        <v/>
      </c>
      <c r="M792" s="52"/>
      <c r="N792" s="52"/>
      <c r="O792" s="1" t="n">
        <f aca="false">IF(M792="Exclude (duplicate)",0,1)</f>
        <v>1</v>
      </c>
      <c r="P792" s="1" t="str">
        <f aca="false">IF(AND(L792&lt;&gt;"",M792=""),"Needs decision","")</f>
        <v/>
      </c>
    </row>
    <row r="793" customFormat="false" ht="15" hidden="false" customHeight="false" outlineLevel="0" collapsed="false">
      <c r="A793" s="48" t="str">
        <f aca="false">COST!A793</f>
        <v>ASH-0260</v>
      </c>
      <c r="B793" s="48" t="str">
        <f aca="false">COST!B793</f>
        <v>ASH</v>
      </c>
      <c r="C793" s="48" t="str">
        <f aca="false">COST!D793</f>
        <v>Diabetes Prevention Classes</v>
      </c>
      <c r="D793" s="62" t="n">
        <f aca="false">COST!M793</f>
        <v>46179</v>
      </c>
      <c r="E793" s="48" t="str">
        <f aca="false">COST!P793</f>
        <v>Health Educator</v>
      </c>
      <c r="F793" s="63" t="n">
        <f aca="false">COST!R793</f>
        <v>2.75</v>
      </c>
      <c r="G793" s="48" t="str">
        <f aca="false">STACK!M793</f>
        <v/>
      </c>
      <c r="H793" s="1" t="str">
        <f aca="false">C793&amp;"|"&amp;IF(ISNUMBER(D793),TEXT(D793,"yyyy-mm-dd"),"no date")&amp;"|"&amp;E793&amp;"|"&amp;IF(ISNUMBER(F793),TEXT(F793,"0.00"),"blank")</f>
        <v>Diabetes Prevention Classes|2026-06-06|Health Educator|2.75</v>
      </c>
      <c r="I793" s="1" t="n">
        <f aca="false">COUNTIF($H$5:$H$1624,H793)</f>
        <v>1</v>
      </c>
      <c r="J793" s="1" t="n">
        <f aca="false">COUNTIF($H$5:H793,H793)</f>
        <v>1</v>
      </c>
      <c r="K793" s="1" t="n">
        <f aca="false">COUNTIFS($H$5:$H$1624,H793,$B$5:$B$1624,"&lt;&gt;"&amp;B793)</f>
        <v>0</v>
      </c>
      <c r="L793" s="1" t="str">
        <f aca="false">IF(I793&gt;1,IF(K793&gt;0,"Cross-hospital match","Same-hospital match"),"")</f>
        <v/>
      </c>
      <c r="M793" s="52"/>
      <c r="N793" s="52"/>
      <c r="O793" s="1" t="n">
        <f aca="false">IF(M793="Exclude (duplicate)",0,1)</f>
        <v>1</v>
      </c>
      <c r="P793" s="1" t="str">
        <f aca="false">IF(AND(L793&lt;&gt;"",M793=""),"Needs decision","")</f>
        <v/>
      </c>
    </row>
    <row r="794" customFormat="false" ht="15" hidden="false" customHeight="false" outlineLevel="0" collapsed="false">
      <c r="A794" s="48" t="str">
        <f aca="false">COST!A794</f>
        <v>ASH-0261</v>
      </c>
      <c r="B794" s="48" t="str">
        <f aca="false">COST!B794</f>
        <v>ASH</v>
      </c>
      <c r="C794" s="48" t="str">
        <f aca="false">COST!D794</f>
        <v>Diabetes Prevention Classes</v>
      </c>
      <c r="D794" s="62" t="n">
        <f aca="false">COST!M794</f>
        <v>46179</v>
      </c>
      <c r="E794" s="48" t="str">
        <f aca="false">COST!P794</f>
        <v>Registered Dietitian</v>
      </c>
      <c r="F794" s="63" t="n">
        <f aca="false">COST!R794</f>
        <v>1.75</v>
      </c>
      <c r="G794" s="48" t="str">
        <f aca="false">STACK!M794</f>
        <v/>
      </c>
      <c r="H794" s="1" t="str">
        <f aca="false">C794&amp;"|"&amp;IF(ISNUMBER(D794),TEXT(D794,"yyyy-mm-dd"),"no date")&amp;"|"&amp;E794&amp;"|"&amp;IF(ISNUMBER(F794),TEXT(F794,"0.00"),"blank")</f>
        <v>Diabetes Prevention Classes|2026-06-06|Registered Dietitian|1.75</v>
      </c>
      <c r="I794" s="1" t="n">
        <f aca="false">COUNTIF($H$5:$H$1624,H794)</f>
        <v>1</v>
      </c>
      <c r="J794" s="1" t="n">
        <f aca="false">COUNTIF($H$5:H794,H794)</f>
        <v>1</v>
      </c>
      <c r="K794" s="1" t="n">
        <f aca="false">COUNTIFS($H$5:$H$1624,H794,$B$5:$B$1624,"&lt;&gt;"&amp;B794)</f>
        <v>0</v>
      </c>
      <c r="L794" s="1" t="str">
        <f aca="false">IF(I794&gt;1,IF(K794&gt;0,"Cross-hospital match","Same-hospital match"),"")</f>
        <v/>
      </c>
      <c r="M794" s="52"/>
      <c r="N794" s="52"/>
      <c r="O794" s="1" t="n">
        <f aca="false">IF(M794="Exclude (duplicate)",0,1)</f>
        <v>1</v>
      </c>
      <c r="P794" s="1" t="str">
        <f aca="false">IF(AND(L794&lt;&gt;"",M794=""),"Needs decision","")</f>
        <v/>
      </c>
    </row>
    <row r="795" customFormat="false" ht="15" hidden="false" customHeight="false" outlineLevel="0" collapsed="false">
      <c r="A795" s="48" t="str">
        <f aca="false">COST!A795</f>
        <v>ASH-0262</v>
      </c>
      <c r="B795" s="48" t="str">
        <f aca="false">COST!B795</f>
        <v>ASH</v>
      </c>
      <c r="C795" s="48" t="str">
        <f aca="false">COST!D795</f>
        <v>Mental Health First Aid Training</v>
      </c>
      <c r="D795" s="62" t="n">
        <f aca="false">COST!M795</f>
        <v>46182</v>
      </c>
      <c r="E795" s="48" t="str">
        <f aca="false">COST!P795</f>
        <v>Health Educator</v>
      </c>
      <c r="F795" s="63" t="n">
        <f aca="false">COST!R795</f>
        <v>8</v>
      </c>
      <c r="G795" s="48" t="str">
        <f aca="false">STACK!M795</f>
        <v/>
      </c>
      <c r="H795" s="1" t="str">
        <f aca="false">C795&amp;"|"&amp;IF(ISNUMBER(D795),TEXT(D795,"yyyy-mm-dd"),"no date")&amp;"|"&amp;E795&amp;"|"&amp;IF(ISNUMBER(F795),TEXT(F795,"0.00"),"blank")</f>
        <v>Mental Health First Aid Training|2026-06-09|Health Educator|8.00</v>
      </c>
      <c r="I795" s="1" t="n">
        <f aca="false">COUNTIF($H$5:$H$1624,H795)</f>
        <v>1</v>
      </c>
      <c r="J795" s="1" t="n">
        <f aca="false">COUNTIF($H$5:H795,H795)</f>
        <v>1</v>
      </c>
      <c r="K795" s="1" t="n">
        <f aca="false">COUNTIFS($H$5:$H$1624,H795,$B$5:$B$1624,"&lt;&gt;"&amp;B795)</f>
        <v>0</v>
      </c>
      <c r="L795" s="1" t="str">
        <f aca="false">IF(I795&gt;1,IF(K795&gt;0,"Cross-hospital match","Same-hospital match"),"")</f>
        <v/>
      </c>
      <c r="M795" s="52"/>
      <c r="N795" s="52"/>
      <c r="O795" s="1" t="n">
        <f aca="false">IF(M795="Exclude (duplicate)",0,1)</f>
        <v>1</v>
      </c>
      <c r="P795" s="1" t="str">
        <f aca="false">IF(AND(L795&lt;&gt;"",M795=""),"Needs decision","")</f>
        <v/>
      </c>
    </row>
    <row r="796" customFormat="false" ht="15" hidden="false" customHeight="false" outlineLevel="0" collapsed="false">
      <c r="A796" s="48" t="str">
        <f aca="false">COST!A796</f>
        <v>ASH-0263</v>
      </c>
      <c r="B796" s="48" t="str">
        <f aca="false">COST!B796</f>
        <v>ASH</v>
      </c>
      <c r="C796" s="48" t="str">
        <f aca="false">COST!D796</f>
        <v>Mental Health First Aid Training</v>
      </c>
      <c r="D796" s="62" t="n">
        <f aca="false">COST!M796</f>
        <v>46182</v>
      </c>
      <c r="E796" s="48" t="str">
        <f aca="false">COST!P796</f>
        <v>Social Worker</v>
      </c>
      <c r="F796" s="63" t="n">
        <f aca="false">COST!R796</f>
        <v>8</v>
      </c>
      <c r="G796" s="48" t="str">
        <f aca="false">STACK!M796</f>
        <v/>
      </c>
      <c r="H796" s="1" t="str">
        <f aca="false">C796&amp;"|"&amp;IF(ISNUMBER(D796),TEXT(D796,"yyyy-mm-dd"),"no date")&amp;"|"&amp;E796&amp;"|"&amp;IF(ISNUMBER(F796),TEXT(F796,"0.00"),"blank")</f>
        <v>Mental Health First Aid Training|2026-06-09|Social Worker|8.00</v>
      </c>
      <c r="I796" s="1" t="n">
        <f aca="false">COUNTIF($H$5:$H$1624,H796)</f>
        <v>1</v>
      </c>
      <c r="J796" s="1" t="n">
        <f aca="false">COUNTIF($H$5:H796,H796)</f>
        <v>1</v>
      </c>
      <c r="K796" s="1" t="n">
        <f aca="false">COUNTIFS($H$5:$H$1624,H796,$B$5:$B$1624,"&lt;&gt;"&amp;B796)</f>
        <v>0</v>
      </c>
      <c r="L796" s="1" t="str">
        <f aca="false">IF(I796&gt;1,IF(K796&gt;0,"Cross-hospital match","Same-hospital match"),"")</f>
        <v/>
      </c>
      <c r="M796" s="52"/>
      <c r="N796" s="52"/>
      <c r="O796" s="1" t="n">
        <f aca="false">IF(M796="Exclude (duplicate)",0,1)</f>
        <v>1</v>
      </c>
      <c r="P796" s="1" t="str">
        <f aca="false">IF(AND(L796&lt;&gt;"",M796=""),"Needs decision","")</f>
        <v/>
      </c>
    </row>
    <row r="797" customFormat="false" ht="15" hidden="false" customHeight="false" outlineLevel="0" collapsed="false">
      <c r="A797" s="48" t="str">
        <f aca="false">COST!A797</f>
        <v>ASH-0264</v>
      </c>
      <c r="B797" s="48" t="str">
        <f aca="false">COST!B797</f>
        <v>ASH</v>
      </c>
      <c r="C797" s="48" t="str">
        <f aca="false">COST!D797</f>
        <v>Health Careers Summer Camp</v>
      </c>
      <c r="D797" s="62" t="n">
        <f aca="false">COST!M797</f>
        <v>46182</v>
      </c>
      <c r="E797" s="48" t="str">
        <f aca="false">COST!P797</f>
        <v>Clinical Nurse Educator</v>
      </c>
      <c r="F797" s="63" t="n">
        <f aca="false">COST!R797</f>
        <v>8</v>
      </c>
      <c r="G797" s="48" t="str">
        <f aca="false">STACK!M797</f>
        <v/>
      </c>
      <c r="H797" s="1" t="str">
        <f aca="false">C797&amp;"|"&amp;IF(ISNUMBER(D797),TEXT(D797,"yyyy-mm-dd"),"no date")&amp;"|"&amp;E797&amp;"|"&amp;IF(ISNUMBER(F797),TEXT(F797,"0.00"),"blank")</f>
        <v>Health Careers Summer Camp|2026-06-09|Clinical Nurse Educator|8.00</v>
      </c>
      <c r="I797" s="1" t="n">
        <f aca="false">COUNTIF($H$5:$H$1624,H797)</f>
        <v>1</v>
      </c>
      <c r="J797" s="1" t="n">
        <f aca="false">COUNTIF($H$5:H797,H797)</f>
        <v>1</v>
      </c>
      <c r="K797" s="1" t="n">
        <f aca="false">COUNTIFS($H$5:$H$1624,H797,$B$5:$B$1624,"&lt;&gt;"&amp;B797)</f>
        <v>0</v>
      </c>
      <c r="L797" s="1" t="str">
        <f aca="false">IF(I797&gt;1,IF(K797&gt;0,"Cross-hospital match","Same-hospital match"),"")</f>
        <v/>
      </c>
      <c r="M797" s="52"/>
      <c r="N797" s="52"/>
      <c r="O797" s="1" t="n">
        <f aca="false">IF(M797="Exclude (duplicate)",0,1)</f>
        <v>1</v>
      </c>
      <c r="P797" s="1" t="str">
        <f aca="false">IF(AND(L797&lt;&gt;"",M797=""),"Needs decision","")</f>
        <v/>
      </c>
    </row>
    <row r="798" customFormat="false" ht="15" hidden="false" customHeight="false" outlineLevel="0" collapsed="false">
      <c r="A798" s="48" t="str">
        <f aca="false">COST!A798</f>
        <v>ASH-0265</v>
      </c>
      <c r="B798" s="48" t="str">
        <f aca="false">COST!B798</f>
        <v>ASH</v>
      </c>
      <c r="C798" s="48" t="str">
        <f aca="false">COST!D798</f>
        <v>Health Careers Summer Camp</v>
      </c>
      <c r="D798" s="62" t="n">
        <f aca="false">COST!M798</f>
        <v>46182</v>
      </c>
      <c r="E798" s="48" t="str">
        <f aca="false">COST!P798</f>
        <v>Program Coordinator</v>
      </c>
      <c r="F798" s="63" t="n">
        <f aca="false">COST!R798</f>
        <v>7.75</v>
      </c>
      <c r="G798" s="48" t="str">
        <f aca="false">STACK!M798</f>
        <v/>
      </c>
      <c r="H798" s="1" t="str">
        <f aca="false">C798&amp;"|"&amp;IF(ISNUMBER(D798),TEXT(D798,"yyyy-mm-dd"),"no date")&amp;"|"&amp;E798&amp;"|"&amp;IF(ISNUMBER(F798),TEXT(F798,"0.00"),"blank")</f>
        <v>Health Careers Summer Camp|2026-06-09|Program Coordinator|7.75</v>
      </c>
      <c r="I798" s="1" t="n">
        <f aca="false">COUNTIF($H$5:$H$1624,H798)</f>
        <v>1</v>
      </c>
      <c r="J798" s="1" t="n">
        <f aca="false">COUNTIF($H$5:H798,H798)</f>
        <v>1</v>
      </c>
      <c r="K798" s="1" t="n">
        <f aca="false">COUNTIFS($H$5:$H$1624,H798,$B$5:$B$1624,"&lt;&gt;"&amp;B798)</f>
        <v>0</v>
      </c>
      <c r="L798" s="1" t="str">
        <f aca="false">IF(I798&gt;1,IF(K798&gt;0,"Cross-hospital match","Same-hospital match"),"")</f>
        <v/>
      </c>
      <c r="M798" s="52"/>
      <c r="N798" s="52"/>
      <c r="O798" s="1" t="n">
        <f aca="false">IF(M798="Exclude (duplicate)",0,1)</f>
        <v>1</v>
      </c>
      <c r="P798" s="1" t="str">
        <f aca="false">IF(AND(L798&lt;&gt;"",M798=""),"Needs decision","")</f>
        <v/>
      </c>
    </row>
    <row r="799" customFormat="false" ht="15" hidden="false" customHeight="false" outlineLevel="0" collapsed="false">
      <c r="A799" s="48" t="str">
        <f aca="false">COST!A799</f>
        <v>ASH-0266</v>
      </c>
      <c r="B799" s="48" t="str">
        <f aca="false">COST!B799</f>
        <v>ASH</v>
      </c>
      <c r="C799" s="48" t="str">
        <f aca="false">COST!D799</f>
        <v>Affordable Housing Partnership</v>
      </c>
      <c r="D799" s="62" t="n">
        <f aca="false">COST!M799</f>
        <v>46182</v>
      </c>
      <c r="E799" s="48" t="str">
        <f aca="false">COST!P799</f>
        <v>Director</v>
      </c>
      <c r="F799" s="63" t="n">
        <f aca="false">COST!R799</f>
        <v>5.25</v>
      </c>
      <c r="G799" s="48" t="str">
        <f aca="false">STACK!M799</f>
        <v/>
      </c>
      <c r="H799" s="1" t="str">
        <f aca="false">C799&amp;"|"&amp;IF(ISNUMBER(D799),TEXT(D799,"yyyy-mm-dd"),"no date")&amp;"|"&amp;E799&amp;"|"&amp;IF(ISNUMBER(F799),TEXT(F799,"0.00"),"blank")</f>
        <v>Affordable Housing Partnership|2026-06-09|Director|5.25</v>
      </c>
      <c r="I799" s="1" t="n">
        <f aca="false">COUNTIF($H$5:$H$1624,H799)</f>
        <v>1</v>
      </c>
      <c r="J799" s="1" t="n">
        <f aca="false">COUNTIF($H$5:H799,H799)</f>
        <v>1</v>
      </c>
      <c r="K799" s="1" t="n">
        <f aca="false">COUNTIFS($H$5:$H$1624,H799,$B$5:$B$1624,"&lt;&gt;"&amp;B799)</f>
        <v>0</v>
      </c>
      <c r="L799" s="1" t="str">
        <f aca="false">IF(I799&gt;1,IF(K799&gt;0,"Cross-hospital match","Same-hospital match"),"")</f>
        <v/>
      </c>
      <c r="M799" s="52"/>
      <c r="N799" s="52"/>
      <c r="O799" s="1" t="n">
        <f aca="false">IF(M799="Exclude (duplicate)",0,1)</f>
        <v>1</v>
      </c>
      <c r="P799" s="1" t="str">
        <f aca="false">IF(AND(L799&lt;&gt;"",M799=""),"Needs decision","")</f>
        <v/>
      </c>
    </row>
    <row r="800" customFormat="false" ht="15" hidden="false" customHeight="false" outlineLevel="0" collapsed="false">
      <c r="A800" s="48" t="str">
        <f aca="false">COST!A800</f>
        <v>ASH-0267</v>
      </c>
      <c r="B800" s="48" t="str">
        <f aca="false">COST!B800</f>
        <v>ASH</v>
      </c>
      <c r="C800" s="48" t="str">
        <f aca="false">COST!D800</f>
        <v>Affordable Housing Partnership</v>
      </c>
      <c r="D800" s="62" t="n">
        <f aca="false">COST!M800</f>
        <v>46182</v>
      </c>
      <c r="E800" s="48" t="str">
        <f aca="false">COST!P800</f>
        <v>Program Coordinator</v>
      </c>
      <c r="F800" s="63" t="n">
        <f aca="false">COST!R800</f>
        <v>9.25</v>
      </c>
      <c r="G800" s="48" t="str">
        <f aca="false">STACK!M800</f>
        <v/>
      </c>
      <c r="H800" s="1" t="str">
        <f aca="false">C800&amp;"|"&amp;IF(ISNUMBER(D800),TEXT(D800,"yyyy-mm-dd"),"no date")&amp;"|"&amp;E800&amp;"|"&amp;IF(ISNUMBER(F800),TEXT(F800,"0.00"),"blank")</f>
        <v>Affordable Housing Partnership|2026-06-09|Program Coordinator|9.25</v>
      </c>
      <c r="I800" s="1" t="n">
        <f aca="false">COUNTIF($H$5:$H$1624,H800)</f>
        <v>1</v>
      </c>
      <c r="J800" s="1" t="n">
        <f aca="false">COUNTIF($H$5:H800,H800)</f>
        <v>1</v>
      </c>
      <c r="K800" s="1" t="n">
        <f aca="false">COUNTIFS($H$5:$H$1624,H800,$B$5:$B$1624,"&lt;&gt;"&amp;B800)</f>
        <v>0</v>
      </c>
      <c r="L800" s="1" t="str">
        <f aca="false">IF(I800&gt;1,IF(K800&gt;0,"Cross-hospital match","Same-hospital match"),"")</f>
        <v/>
      </c>
      <c r="M800" s="52"/>
      <c r="N800" s="52"/>
      <c r="O800" s="1" t="n">
        <f aca="false">IF(M800="Exclude (duplicate)",0,1)</f>
        <v>1</v>
      </c>
      <c r="P800" s="1" t="str">
        <f aca="false">IF(AND(L800&lt;&gt;"",M800=""),"Needs decision","")</f>
        <v/>
      </c>
    </row>
    <row r="801" customFormat="false" ht="15" hidden="false" customHeight="false" outlineLevel="0" collapsed="false">
      <c r="A801" s="48" t="str">
        <f aca="false">COST!A801</f>
        <v>ASH-0268</v>
      </c>
      <c r="B801" s="48" t="str">
        <f aca="false">COST!B801</f>
        <v>ASH</v>
      </c>
      <c r="C801" s="48" t="str">
        <f aca="false">COST!D801</f>
        <v>Grief Support Group</v>
      </c>
      <c r="D801" s="62" t="n">
        <f aca="false">COST!M801</f>
        <v>46184</v>
      </c>
      <c r="E801" s="48" t="str">
        <f aca="false">COST!P801</f>
        <v>Chaplain</v>
      </c>
      <c r="F801" s="63" t="n">
        <f aca="false">COST!R801</f>
        <v>2.25</v>
      </c>
      <c r="G801" s="48" t="str">
        <f aca="false">STACK!M801</f>
        <v/>
      </c>
      <c r="H801" s="1" t="str">
        <f aca="false">C801&amp;"|"&amp;IF(ISNUMBER(D801),TEXT(D801,"yyyy-mm-dd"),"no date")&amp;"|"&amp;E801&amp;"|"&amp;IF(ISNUMBER(F801),TEXT(F801,"0.00"),"blank")</f>
        <v>Grief Support Group|2026-06-11|Chaplain|2.25</v>
      </c>
      <c r="I801" s="1" t="n">
        <f aca="false">COUNTIF($H$5:$H$1624,H801)</f>
        <v>1</v>
      </c>
      <c r="J801" s="1" t="n">
        <f aca="false">COUNTIF($H$5:H801,H801)</f>
        <v>1</v>
      </c>
      <c r="K801" s="1" t="n">
        <f aca="false">COUNTIFS($H$5:$H$1624,H801,$B$5:$B$1624,"&lt;&gt;"&amp;B801)</f>
        <v>0</v>
      </c>
      <c r="L801" s="1" t="str">
        <f aca="false">IF(I801&gt;1,IF(K801&gt;0,"Cross-hospital match","Same-hospital match"),"")</f>
        <v/>
      </c>
      <c r="M801" s="52"/>
      <c r="N801" s="52"/>
      <c r="O801" s="1" t="n">
        <f aca="false">IF(M801="Exclude (duplicate)",0,1)</f>
        <v>1</v>
      </c>
      <c r="P801" s="1" t="str">
        <f aca="false">IF(AND(L801&lt;&gt;"",M801=""),"Needs decision","")</f>
        <v/>
      </c>
    </row>
    <row r="802" customFormat="false" ht="15" hidden="false" customHeight="false" outlineLevel="0" collapsed="false">
      <c r="A802" s="48" t="str">
        <f aca="false">COST!A802</f>
        <v>ASH-0269</v>
      </c>
      <c r="B802" s="48" t="str">
        <f aca="false">COST!B802</f>
        <v>ASH</v>
      </c>
      <c r="C802" s="48" t="str">
        <f aca="false">COST!D802</f>
        <v>Grief Support Group</v>
      </c>
      <c r="D802" s="62" t="n">
        <f aca="false">COST!M802</f>
        <v>46184</v>
      </c>
      <c r="E802" s="48" t="str">
        <f aca="false">COST!P802</f>
        <v>Social Worker</v>
      </c>
      <c r="F802" s="63" t="n">
        <f aca="false">COST!R802</f>
        <v>1.75</v>
      </c>
      <c r="G802" s="48" t="str">
        <f aca="false">STACK!M802</f>
        <v/>
      </c>
      <c r="H802" s="1" t="str">
        <f aca="false">C802&amp;"|"&amp;IF(ISNUMBER(D802),TEXT(D802,"yyyy-mm-dd"),"no date")&amp;"|"&amp;E802&amp;"|"&amp;IF(ISNUMBER(F802),TEXT(F802,"0.00"),"blank")</f>
        <v>Grief Support Group|2026-06-11|Social Worker|1.75</v>
      </c>
      <c r="I802" s="1" t="n">
        <f aca="false">COUNTIF($H$5:$H$1624,H802)</f>
        <v>1</v>
      </c>
      <c r="J802" s="1" t="n">
        <f aca="false">COUNTIF($H$5:H802,H802)</f>
        <v>1</v>
      </c>
      <c r="K802" s="1" t="n">
        <f aca="false">COUNTIFS($H$5:$H$1624,H802,$B$5:$B$1624,"&lt;&gt;"&amp;B802)</f>
        <v>0</v>
      </c>
      <c r="L802" s="1" t="str">
        <f aca="false">IF(I802&gt;1,IF(K802&gt;0,"Cross-hospital match","Same-hospital match"),"")</f>
        <v/>
      </c>
      <c r="M802" s="52"/>
      <c r="N802" s="52"/>
      <c r="O802" s="1" t="n">
        <f aca="false">IF(M802="Exclude (duplicate)",0,1)</f>
        <v>1</v>
      </c>
      <c r="P802" s="1" t="str">
        <f aca="false">IF(AND(L802&lt;&gt;"",M802=""),"Needs decision","")</f>
        <v/>
      </c>
    </row>
    <row r="803" customFormat="false" ht="15" hidden="false" customHeight="false" outlineLevel="0" collapsed="false">
      <c r="A803" s="48" t="str">
        <f aca="false">COST!A803</f>
        <v>ASH-0270</v>
      </c>
      <c r="B803" s="48" t="str">
        <f aca="false">COST!B803</f>
        <v>ASH</v>
      </c>
      <c r="C803" s="48" t="str">
        <f aca="false">COST!D803</f>
        <v>Health Careers Summer Camp</v>
      </c>
      <c r="D803" s="62" t="n">
        <f aca="false">COST!M803</f>
        <v>46184</v>
      </c>
      <c r="E803" s="48" t="str">
        <f aca="false">COST!P803</f>
        <v>Clinical Nurse Educator</v>
      </c>
      <c r="F803" s="63" t="n">
        <f aca="false">COST!R803</f>
        <v>7.75</v>
      </c>
      <c r="G803" s="48" t="str">
        <f aca="false">STACK!M803</f>
        <v/>
      </c>
      <c r="H803" s="1" t="str">
        <f aca="false">C803&amp;"|"&amp;IF(ISNUMBER(D803),TEXT(D803,"yyyy-mm-dd"),"no date")&amp;"|"&amp;E803&amp;"|"&amp;IF(ISNUMBER(F803),TEXT(F803,"0.00"),"blank")</f>
        <v>Health Careers Summer Camp|2026-06-11|Clinical Nurse Educator|7.75</v>
      </c>
      <c r="I803" s="1" t="n">
        <f aca="false">COUNTIF($H$5:$H$1624,H803)</f>
        <v>1</v>
      </c>
      <c r="J803" s="1" t="n">
        <f aca="false">COUNTIF($H$5:H803,H803)</f>
        <v>1</v>
      </c>
      <c r="K803" s="1" t="n">
        <f aca="false">COUNTIFS($H$5:$H$1624,H803,$B$5:$B$1624,"&lt;&gt;"&amp;B803)</f>
        <v>0</v>
      </c>
      <c r="L803" s="1" t="str">
        <f aca="false">IF(I803&gt;1,IF(K803&gt;0,"Cross-hospital match","Same-hospital match"),"")</f>
        <v/>
      </c>
      <c r="M803" s="52"/>
      <c r="N803" s="52"/>
      <c r="O803" s="1" t="n">
        <f aca="false">IF(M803="Exclude (duplicate)",0,1)</f>
        <v>1</v>
      </c>
      <c r="P803" s="1" t="str">
        <f aca="false">IF(AND(L803&lt;&gt;"",M803=""),"Needs decision","")</f>
        <v/>
      </c>
    </row>
    <row r="804" customFormat="false" ht="15" hidden="false" customHeight="false" outlineLevel="0" collapsed="false">
      <c r="A804" s="48" t="str">
        <f aca="false">COST!A804</f>
        <v>ASH-0271</v>
      </c>
      <c r="B804" s="48" t="str">
        <f aca="false">COST!B804</f>
        <v>ASH</v>
      </c>
      <c r="C804" s="48" t="str">
        <f aca="false">COST!D804</f>
        <v>Health Careers Summer Camp</v>
      </c>
      <c r="D804" s="62" t="n">
        <f aca="false">COST!M804</f>
        <v>46184</v>
      </c>
      <c r="E804" s="48" t="str">
        <f aca="false">COST!P804</f>
        <v>Program Coordinator</v>
      </c>
      <c r="F804" s="63" t="n">
        <f aca="false">COST!R804</f>
        <v>7.75</v>
      </c>
      <c r="G804" s="48" t="str">
        <f aca="false">STACK!M804</f>
        <v/>
      </c>
      <c r="H804" s="1" t="str">
        <f aca="false">C804&amp;"|"&amp;IF(ISNUMBER(D804),TEXT(D804,"yyyy-mm-dd"),"no date")&amp;"|"&amp;E804&amp;"|"&amp;IF(ISNUMBER(F804),TEXT(F804,"0.00"),"blank")</f>
        <v>Health Careers Summer Camp|2026-06-11|Program Coordinator|7.75</v>
      </c>
      <c r="I804" s="1" t="n">
        <f aca="false">COUNTIF($H$5:$H$1624,H804)</f>
        <v>1</v>
      </c>
      <c r="J804" s="1" t="n">
        <f aca="false">COUNTIF($H$5:H804,H804)</f>
        <v>1</v>
      </c>
      <c r="K804" s="1" t="n">
        <f aca="false">COUNTIFS($H$5:$H$1624,H804,$B$5:$B$1624,"&lt;&gt;"&amp;B804)</f>
        <v>0</v>
      </c>
      <c r="L804" s="1" t="str">
        <f aca="false">IF(I804&gt;1,IF(K804&gt;0,"Cross-hospital match","Same-hospital match"),"")</f>
        <v/>
      </c>
      <c r="M804" s="52"/>
      <c r="N804" s="52"/>
      <c r="O804" s="1" t="n">
        <f aca="false">IF(M804="Exclude (duplicate)",0,1)</f>
        <v>1</v>
      </c>
      <c r="P804" s="1" t="str">
        <f aca="false">IF(AND(L804&lt;&gt;"",M804=""),"Needs decision","")</f>
        <v/>
      </c>
    </row>
    <row r="805" customFormat="false" ht="15" hidden="false" customHeight="false" outlineLevel="0" collapsed="false">
      <c r="A805" s="48" t="str">
        <f aca="false">COST!A805</f>
        <v>ASH-0272</v>
      </c>
      <c r="B805" s="48" t="str">
        <f aca="false">COST!B805</f>
        <v>ASH</v>
      </c>
      <c r="C805" s="48" t="str">
        <f aca="false">COST!D805</f>
        <v>Health Careers Summer Camp</v>
      </c>
      <c r="D805" s="62" t="n">
        <f aca="false">COST!M805</f>
        <v>46188</v>
      </c>
      <c r="E805" s="48" t="str">
        <f aca="false">COST!P805</f>
        <v>Clinical Nurse Educator</v>
      </c>
      <c r="F805" s="63" t="n">
        <f aca="false">COST!R805</f>
        <v>7</v>
      </c>
      <c r="G805" s="48" t="str">
        <f aca="false">STACK!M805</f>
        <v/>
      </c>
      <c r="H805" s="1" t="str">
        <f aca="false">C805&amp;"|"&amp;IF(ISNUMBER(D805),TEXT(D805,"yyyy-mm-dd"),"no date")&amp;"|"&amp;E805&amp;"|"&amp;IF(ISNUMBER(F805),TEXT(F805,"0.00"),"blank")</f>
        <v>Health Careers Summer Camp|2026-06-15|Clinical Nurse Educator|7.00</v>
      </c>
      <c r="I805" s="1" t="n">
        <f aca="false">COUNTIF($H$5:$H$1624,H805)</f>
        <v>1</v>
      </c>
      <c r="J805" s="1" t="n">
        <f aca="false">COUNTIF($H$5:H805,H805)</f>
        <v>1</v>
      </c>
      <c r="K805" s="1" t="n">
        <f aca="false">COUNTIFS($H$5:$H$1624,H805,$B$5:$B$1624,"&lt;&gt;"&amp;B805)</f>
        <v>0</v>
      </c>
      <c r="L805" s="1" t="str">
        <f aca="false">IF(I805&gt;1,IF(K805&gt;0,"Cross-hospital match","Same-hospital match"),"")</f>
        <v/>
      </c>
      <c r="M805" s="52"/>
      <c r="N805" s="52"/>
      <c r="O805" s="1" t="n">
        <f aca="false">IF(M805="Exclude (duplicate)",0,1)</f>
        <v>1</v>
      </c>
      <c r="P805" s="1" t="str">
        <f aca="false">IF(AND(L805&lt;&gt;"",M805=""),"Needs decision","")</f>
        <v/>
      </c>
    </row>
    <row r="806" customFormat="false" ht="15" hidden="false" customHeight="false" outlineLevel="0" collapsed="false">
      <c r="A806" s="48" t="str">
        <f aca="false">COST!A806</f>
        <v>ASH-0273</v>
      </c>
      <c r="B806" s="48" t="str">
        <f aca="false">COST!B806</f>
        <v>ASH</v>
      </c>
      <c r="C806" s="48" t="str">
        <f aca="false">COST!D806</f>
        <v>Health Careers Summer Camp</v>
      </c>
      <c r="D806" s="62" t="n">
        <f aca="false">COST!M806</f>
        <v>46188</v>
      </c>
      <c r="E806" s="48" t="str">
        <f aca="false">COST!P806</f>
        <v>Program Coordinator</v>
      </c>
      <c r="F806" s="63" t="n">
        <f aca="false">COST!R806</f>
        <v>7.25</v>
      </c>
      <c r="G806" s="48" t="str">
        <f aca="false">STACK!M806</f>
        <v/>
      </c>
      <c r="H806" s="1" t="str">
        <f aca="false">C806&amp;"|"&amp;IF(ISNUMBER(D806),TEXT(D806,"yyyy-mm-dd"),"no date")&amp;"|"&amp;E806&amp;"|"&amp;IF(ISNUMBER(F806),TEXT(F806,"0.00"),"blank")</f>
        <v>Health Careers Summer Camp|2026-06-15|Program Coordinator|7.25</v>
      </c>
      <c r="I806" s="1" t="n">
        <f aca="false">COUNTIF($H$5:$H$1624,H806)</f>
        <v>1</v>
      </c>
      <c r="J806" s="1" t="n">
        <f aca="false">COUNTIF($H$5:H806,H806)</f>
        <v>1</v>
      </c>
      <c r="K806" s="1" t="n">
        <f aca="false">COUNTIFS($H$5:$H$1624,H806,$B$5:$B$1624,"&lt;&gt;"&amp;B806)</f>
        <v>0</v>
      </c>
      <c r="L806" s="1" t="str">
        <f aca="false">IF(I806&gt;1,IF(K806&gt;0,"Cross-hospital match","Same-hospital match"),"")</f>
        <v/>
      </c>
      <c r="M806" s="52"/>
      <c r="N806" s="52"/>
      <c r="O806" s="1" t="n">
        <f aca="false">IF(M806="Exclude (duplicate)",0,1)</f>
        <v>1</v>
      </c>
      <c r="P806" s="1" t="str">
        <f aca="false">IF(AND(L806&lt;&gt;"",M806=""),"Needs decision","")</f>
        <v/>
      </c>
    </row>
    <row r="807" customFormat="false" ht="15" hidden="false" customHeight="false" outlineLevel="0" collapsed="false">
      <c r="A807" s="48" t="str">
        <f aca="false">COST!A807</f>
        <v>ASH-0274</v>
      </c>
      <c r="B807" s="48" t="str">
        <f aca="false">COST!B807</f>
        <v>ASH</v>
      </c>
      <c r="C807" s="48" t="str">
        <f aca="false">COST!D807</f>
        <v>Health Careers Summer Camp</v>
      </c>
      <c r="D807" s="62" t="n">
        <f aca="false">COST!M807</f>
        <v>46190</v>
      </c>
      <c r="E807" s="48" t="str">
        <f aca="false">COST!P807</f>
        <v>Clinical Nurse Educator</v>
      </c>
      <c r="F807" s="63" t="n">
        <f aca="false">COST!R807</f>
        <v>7.75</v>
      </c>
      <c r="G807" s="48" t="str">
        <f aca="false">STACK!M807</f>
        <v/>
      </c>
      <c r="H807" s="1" t="str">
        <f aca="false">C807&amp;"|"&amp;IF(ISNUMBER(D807),TEXT(D807,"yyyy-mm-dd"),"no date")&amp;"|"&amp;E807&amp;"|"&amp;IF(ISNUMBER(F807),TEXT(F807,"0.00"),"blank")</f>
        <v>Health Careers Summer Camp|2026-06-17|Clinical Nurse Educator|7.75</v>
      </c>
      <c r="I807" s="1" t="n">
        <f aca="false">COUNTIF($H$5:$H$1624,H807)</f>
        <v>1</v>
      </c>
      <c r="J807" s="1" t="n">
        <f aca="false">COUNTIF($H$5:H807,H807)</f>
        <v>1</v>
      </c>
      <c r="K807" s="1" t="n">
        <f aca="false">COUNTIFS($H$5:$H$1624,H807,$B$5:$B$1624,"&lt;&gt;"&amp;B807)</f>
        <v>0</v>
      </c>
      <c r="L807" s="1" t="str">
        <f aca="false">IF(I807&gt;1,IF(K807&gt;0,"Cross-hospital match","Same-hospital match"),"")</f>
        <v/>
      </c>
      <c r="M807" s="52"/>
      <c r="N807" s="52"/>
      <c r="O807" s="1" t="n">
        <f aca="false">IF(M807="Exclude (duplicate)",0,1)</f>
        <v>1</v>
      </c>
      <c r="P807" s="1" t="str">
        <f aca="false">IF(AND(L807&lt;&gt;"",M807=""),"Needs decision","")</f>
        <v/>
      </c>
    </row>
    <row r="808" customFormat="false" ht="15" hidden="false" customHeight="false" outlineLevel="0" collapsed="false">
      <c r="A808" s="48" t="str">
        <f aca="false">COST!A808</f>
        <v>ASH-0275</v>
      </c>
      <c r="B808" s="48" t="str">
        <f aca="false">COST!B808</f>
        <v>ASH</v>
      </c>
      <c r="C808" s="48" t="str">
        <f aca="false">COST!D808</f>
        <v>Health Careers Summer Camp</v>
      </c>
      <c r="D808" s="62" t="n">
        <f aca="false">COST!M808</f>
        <v>46190</v>
      </c>
      <c r="E808" s="48" t="str">
        <f aca="false">COST!P808</f>
        <v>Program Coordinator</v>
      </c>
      <c r="F808" s="63" t="n">
        <f aca="false">COST!R808</f>
        <v>7.75</v>
      </c>
      <c r="G808" s="48" t="str">
        <f aca="false">STACK!M808</f>
        <v/>
      </c>
      <c r="H808" s="1" t="str">
        <f aca="false">C808&amp;"|"&amp;IF(ISNUMBER(D808),TEXT(D808,"yyyy-mm-dd"),"no date")&amp;"|"&amp;E808&amp;"|"&amp;IF(ISNUMBER(F808),TEXT(F808,"0.00"),"blank")</f>
        <v>Health Careers Summer Camp|2026-06-17|Program Coordinator|7.75</v>
      </c>
      <c r="I808" s="1" t="n">
        <f aca="false">COUNTIF($H$5:$H$1624,H808)</f>
        <v>1</v>
      </c>
      <c r="J808" s="1" t="n">
        <f aca="false">COUNTIF($H$5:H808,H808)</f>
        <v>1</v>
      </c>
      <c r="K808" s="1" t="n">
        <f aca="false">COUNTIFS($H$5:$H$1624,H808,$B$5:$B$1624,"&lt;&gt;"&amp;B808)</f>
        <v>0</v>
      </c>
      <c r="L808" s="1" t="str">
        <f aca="false">IF(I808&gt;1,IF(K808&gt;0,"Cross-hospital match","Same-hospital match"),"")</f>
        <v/>
      </c>
      <c r="M808" s="52"/>
      <c r="N808" s="52"/>
      <c r="O808" s="1" t="n">
        <f aca="false">IF(M808="Exclude (duplicate)",0,1)</f>
        <v>1</v>
      </c>
      <c r="P808" s="1" t="str">
        <f aca="false">IF(AND(L808&lt;&gt;"",M808=""),"Needs decision","")</f>
        <v/>
      </c>
    </row>
    <row r="809" customFormat="false" ht="15" hidden="false" customHeight="false" outlineLevel="0" collapsed="false">
      <c r="A809" s="48" t="str">
        <f aca="false">COST!A809</f>
        <v>ASH-0276</v>
      </c>
      <c r="B809" s="48" t="str">
        <f aca="false">COST!B809</f>
        <v>ASH</v>
      </c>
      <c r="C809" s="48" t="str">
        <f aca="false">COST!D809</f>
        <v>Mental Health First Aid Training</v>
      </c>
      <c r="D809" s="62" t="n">
        <f aca="false">COST!M809</f>
        <v>46191</v>
      </c>
      <c r="E809" s="48" t="str">
        <f aca="false">COST!P809</f>
        <v>Health Educator</v>
      </c>
      <c r="F809" s="63" t="n">
        <f aca="false">COST!R809</f>
        <v>8</v>
      </c>
      <c r="G809" s="48" t="str">
        <f aca="false">STACK!M809</f>
        <v/>
      </c>
      <c r="H809" s="1" t="str">
        <f aca="false">C809&amp;"|"&amp;IF(ISNUMBER(D809),TEXT(D809,"yyyy-mm-dd"),"no date")&amp;"|"&amp;E809&amp;"|"&amp;IF(ISNUMBER(F809),TEXT(F809,"0.00"),"blank")</f>
        <v>Mental Health First Aid Training|2026-06-18|Health Educator|8.00</v>
      </c>
      <c r="I809" s="1" t="n">
        <f aca="false">COUNTIF($H$5:$H$1624,H809)</f>
        <v>1</v>
      </c>
      <c r="J809" s="1" t="n">
        <f aca="false">COUNTIF($H$5:H809,H809)</f>
        <v>1</v>
      </c>
      <c r="K809" s="1" t="n">
        <f aca="false">COUNTIFS($H$5:$H$1624,H809,$B$5:$B$1624,"&lt;&gt;"&amp;B809)</f>
        <v>0</v>
      </c>
      <c r="L809" s="1" t="str">
        <f aca="false">IF(I809&gt;1,IF(K809&gt;0,"Cross-hospital match","Same-hospital match"),"")</f>
        <v/>
      </c>
      <c r="M809" s="52"/>
      <c r="N809" s="52"/>
      <c r="O809" s="1" t="n">
        <f aca="false">IF(M809="Exclude (duplicate)",0,1)</f>
        <v>1</v>
      </c>
      <c r="P809" s="1" t="str">
        <f aca="false">IF(AND(L809&lt;&gt;"",M809=""),"Needs decision","")</f>
        <v/>
      </c>
    </row>
    <row r="810" customFormat="false" ht="15" hidden="false" customHeight="false" outlineLevel="0" collapsed="false">
      <c r="A810" s="48" t="str">
        <f aca="false">COST!A810</f>
        <v>ASH-0277</v>
      </c>
      <c r="B810" s="48" t="str">
        <f aca="false">COST!B810</f>
        <v>ASH</v>
      </c>
      <c r="C810" s="48" t="str">
        <f aca="false">COST!D810</f>
        <v>Mental Health First Aid Training</v>
      </c>
      <c r="D810" s="62" t="n">
        <f aca="false">COST!M810</f>
        <v>46191</v>
      </c>
      <c r="E810" s="48" t="str">
        <f aca="false">COST!P810</f>
        <v>Social Worker</v>
      </c>
      <c r="F810" s="63" t="n">
        <f aca="false">COST!R810</f>
        <v>8</v>
      </c>
      <c r="G810" s="48" t="str">
        <f aca="false">STACK!M810</f>
        <v/>
      </c>
      <c r="H810" s="1" t="str">
        <f aca="false">C810&amp;"|"&amp;IF(ISNUMBER(D810),TEXT(D810,"yyyy-mm-dd"),"no date")&amp;"|"&amp;E810&amp;"|"&amp;IF(ISNUMBER(F810),TEXT(F810,"0.00"),"blank")</f>
        <v>Mental Health First Aid Training|2026-06-18|Social Worker|8.00</v>
      </c>
      <c r="I810" s="1" t="n">
        <f aca="false">COUNTIF($H$5:$H$1624,H810)</f>
        <v>1</v>
      </c>
      <c r="J810" s="1" t="n">
        <f aca="false">COUNTIF($H$5:H810,H810)</f>
        <v>1</v>
      </c>
      <c r="K810" s="1" t="n">
        <f aca="false">COUNTIFS($H$5:$H$1624,H810,$B$5:$B$1624,"&lt;&gt;"&amp;B810)</f>
        <v>0</v>
      </c>
      <c r="L810" s="1" t="str">
        <f aca="false">IF(I810&gt;1,IF(K810&gt;0,"Cross-hospital match","Same-hospital match"),"")</f>
        <v/>
      </c>
      <c r="M810" s="52"/>
      <c r="N810" s="52"/>
      <c r="O810" s="1" t="n">
        <f aca="false">IF(M810="Exclude (duplicate)",0,1)</f>
        <v>1</v>
      </c>
      <c r="P810" s="1" t="str">
        <f aca="false">IF(AND(L810&lt;&gt;"",M810=""),"Needs decision","")</f>
        <v/>
      </c>
    </row>
    <row r="811" customFormat="false" ht="15" hidden="false" customHeight="false" outlineLevel="0" collapsed="false">
      <c r="A811" s="48" t="str">
        <f aca="false">COST!A811</f>
        <v>ASH-0278</v>
      </c>
      <c r="B811" s="48" t="str">
        <f aca="false">COST!B811</f>
        <v>ASH</v>
      </c>
      <c r="C811" s="48" t="str">
        <f aca="false">COST!D811</f>
        <v>Diabetes Prevention Classes</v>
      </c>
      <c r="D811" s="62" t="n">
        <f aca="false">COST!M811</f>
        <v>46196</v>
      </c>
      <c r="E811" s="48" t="str">
        <f aca="false">COST!P811</f>
        <v>Health Educator</v>
      </c>
      <c r="F811" s="63" t="n">
        <f aca="false">COST!R811</f>
        <v>2.5</v>
      </c>
      <c r="G811" s="48" t="str">
        <f aca="false">STACK!M811</f>
        <v/>
      </c>
      <c r="H811" s="1" t="str">
        <f aca="false">C811&amp;"|"&amp;IF(ISNUMBER(D811),TEXT(D811,"yyyy-mm-dd"),"no date")&amp;"|"&amp;E811&amp;"|"&amp;IF(ISNUMBER(F811),TEXT(F811,"0.00"),"blank")</f>
        <v>Diabetes Prevention Classes|2026-06-23|Health Educator|2.50</v>
      </c>
      <c r="I811" s="1" t="n">
        <f aca="false">COUNTIF($H$5:$H$1624,H811)</f>
        <v>1</v>
      </c>
      <c r="J811" s="1" t="n">
        <f aca="false">COUNTIF($H$5:H811,H811)</f>
        <v>1</v>
      </c>
      <c r="K811" s="1" t="n">
        <f aca="false">COUNTIFS($H$5:$H$1624,H811,$B$5:$B$1624,"&lt;&gt;"&amp;B811)</f>
        <v>0</v>
      </c>
      <c r="L811" s="1" t="str">
        <f aca="false">IF(I811&gt;1,IF(K811&gt;0,"Cross-hospital match","Same-hospital match"),"")</f>
        <v/>
      </c>
      <c r="M811" s="52"/>
      <c r="N811" s="52"/>
      <c r="O811" s="1" t="n">
        <f aca="false">IF(M811="Exclude (duplicate)",0,1)</f>
        <v>1</v>
      </c>
      <c r="P811" s="1" t="str">
        <f aca="false">IF(AND(L811&lt;&gt;"",M811=""),"Needs decision","")</f>
        <v/>
      </c>
    </row>
    <row r="812" customFormat="false" ht="15" hidden="false" customHeight="false" outlineLevel="0" collapsed="false">
      <c r="A812" s="48" t="str">
        <f aca="false">COST!A812</f>
        <v>ASH-0279</v>
      </c>
      <c r="B812" s="48" t="str">
        <f aca="false">COST!B812</f>
        <v>ASH</v>
      </c>
      <c r="C812" s="48" t="str">
        <f aca="false">COST!D812</f>
        <v>Diabetes Prevention Classes</v>
      </c>
      <c r="D812" s="62" t="n">
        <f aca="false">COST!M812</f>
        <v>46196</v>
      </c>
      <c r="E812" s="48" t="str">
        <f aca="false">COST!P812</f>
        <v>Registered Dietitian</v>
      </c>
      <c r="F812" s="63" t="n">
        <f aca="false">COST!R812</f>
        <v>1.5</v>
      </c>
      <c r="G812" s="48" t="str">
        <f aca="false">STACK!M812</f>
        <v/>
      </c>
      <c r="H812" s="1" t="str">
        <f aca="false">C812&amp;"|"&amp;IF(ISNUMBER(D812),TEXT(D812,"yyyy-mm-dd"),"no date")&amp;"|"&amp;E812&amp;"|"&amp;IF(ISNUMBER(F812),TEXT(F812,"0.00"),"blank")</f>
        <v>Diabetes Prevention Classes|2026-06-23|Registered Dietitian|1.50</v>
      </c>
      <c r="I812" s="1" t="n">
        <f aca="false">COUNTIF($H$5:$H$1624,H812)</f>
        <v>1</v>
      </c>
      <c r="J812" s="1" t="n">
        <f aca="false">COUNTIF($H$5:H812,H812)</f>
        <v>1</v>
      </c>
      <c r="K812" s="1" t="n">
        <f aca="false">COUNTIFS($H$5:$H$1624,H812,$B$5:$B$1624,"&lt;&gt;"&amp;B812)</f>
        <v>0</v>
      </c>
      <c r="L812" s="1" t="str">
        <f aca="false">IF(I812&gt;1,IF(K812&gt;0,"Cross-hospital match","Same-hospital match"),"")</f>
        <v/>
      </c>
      <c r="M812" s="52"/>
      <c r="N812" s="52"/>
      <c r="O812" s="1" t="n">
        <f aca="false">IF(M812="Exclude (duplicate)",0,1)</f>
        <v>1</v>
      </c>
      <c r="P812" s="1" t="str">
        <f aca="false">IF(AND(L812&lt;&gt;"",M812=""),"Needs decision","")</f>
        <v/>
      </c>
    </row>
    <row r="813" customFormat="false" ht="15" hidden="false" customHeight="false" outlineLevel="0" collapsed="false">
      <c r="A813" s="48" t="str">
        <f aca="false">COST!A813</f>
        <v>ASH-0280</v>
      </c>
      <c r="B813" s="48" t="str">
        <f aca="false">COST!B813</f>
        <v>ASH</v>
      </c>
      <c r="C813" s="48" t="str">
        <f aca="false">COST!D813</f>
        <v>Diabetes Prevention Classes</v>
      </c>
      <c r="D813" s="62" t="n">
        <f aca="false">COST!M813</f>
        <v>46198</v>
      </c>
      <c r="E813" s="48" t="str">
        <f aca="false">COST!P813</f>
        <v>Health Educator</v>
      </c>
      <c r="F813" s="63" t="n">
        <f aca="false">COST!R813</f>
        <v>2.75</v>
      </c>
      <c r="G813" s="48" t="str">
        <f aca="false">STACK!M813</f>
        <v/>
      </c>
      <c r="H813" s="1" t="str">
        <f aca="false">C813&amp;"|"&amp;IF(ISNUMBER(D813),TEXT(D813,"yyyy-mm-dd"),"no date")&amp;"|"&amp;E813&amp;"|"&amp;IF(ISNUMBER(F813),TEXT(F813,"0.00"),"blank")</f>
        <v>Diabetes Prevention Classes|2026-06-25|Health Educator|2.75</v>
      </c>
      <c r="I813" s="1" t="n">
        <f aca="false">COUNTIF($H$5:$H$1624,H813)</f>
        <v>1</v>
      </c>
      <c r="J813" s="1" t="n">
        <f aca="false">COUNTIF($H$5:H813,H813)</f>
        <v>1</v>
      </c>
      <c r="K813" s="1" t="n">
        <f aca="false">COUNTIFS($H$5:$H$1624,H813,$B$5:$B$1624,"&lt;&gt;"&amp;B813)</f>
        <v>0</v>
      </c>
      <c r="L813" s="1" t="str">
        <f aca="false">IF(I813&gt;1,IF(K813&gt;0,"Cross-hospital match","Same-hospital match"),"")</f>
        <v/>
      </c>
      <c r="M813" s="52"/>
      <c r="N813" s="52"/>
      <c r="O813" s="1" t="n">
        <f aca="false">IF(M813="Exclude (duplicate)",0,1)</f>
        <v>1</v>
      </c>
      <c r="P813" s="1" t="str">
        <f aca="false">IF(AND(L813&lt;&gt;"",M813=""),"Needs decision","")</f>
        <v/>
      </c>
    </row>
    <row r="814" customFormat="false" ht="15" hidden="false" customHeight="false" outlineLevel="0" collapsed="false">
      <c r="A814" s="48" t="str">
        <f aca="false">COST!A814</f>
        <v>ASH-0281</v>
      </c>
      <c r="B814" s="48" t="str">
        <f aca="false">COST!B814</f>
        <v>ASH</v>
      </c>
      <c r="C814" s="48" t="str">
        <f aca="false">COST!D814</f>
        <v>Diabetes Prevention Classes</v>
      </c>
      <c r="D814" s="62" t="n">
        <f aca="false">COST!M814</f>
        <v>46198</v>
      </c>
      <c r="E814" s="48" t="str">
        <f aca="false">COST!P814</f>
        <v>Registered Dietitian</v>
      </c>
      <c r="F814" s="63" t="n">
        <f aca="false">COST!R814</f>
        <v>1.5</v>
      </c>
      <c r="G814" s="48" t="str">
        <f aca="false">STACK!M814</f>
        <v/>
      </c>
      <c r="H814" s="1" t="str">
        <f aca="false">C814&amp;"|"&amp;IF(ISNUMBER(D814),TEXT(D814,"yyyy-mm-dd"),"no date")&amp;"|"&amp;E814&amp;"|"&amp;IF(ISNUMBER(F814),TEXT(F814,"0.00"),"blank")</f>
        <v>Diabetes Prevention Classes|2026-06-25|Registered Dietitian|1.50</v>
      </c>
      <c r="I814" s="1" t="n">
        <f aca="false">COUNTIF($H$5:$H$1624,H814)</f>
        <v>1</v>
      </c>
      <c r="J814" s="1" t="n">
        <f aca="false">COUNTIF($H$5:H814,H814)</f>
        <v>1</v>
      </c>
      <c r="K814" s="1" t="n">
        <f aca="false">COUNTIFS($H$5:$H$1624,H814,$B$5:$B$1624,"&lt;&gt;"&amp;B814)</f>
        <v>0</v>
      </c>
      <c r="L814" s="1" t="str">
        <f aca="false">IF(I814&gt;1,IF(K814&gt;0,"Cross-hospital match","Same-hospital match"),"")</f>
        <v/>
      </c>
      <c r="M814" s="52"/>
      <c r="N814" s="52"/>
      <c r="O814" s="1" t="n">
        <f aca="false">IF(M814="Exclude (duplicate)",0,1)</f>
        <v>1</v>
      </c>
      <c r="P814" s="1" t="str">
        <f aca="false">IF(AND(L814&lt;&gt;"",M814=""),"Needs decision","")</f>
        <v/>
      </c>
    </row>
    <row r="815" customFormat="false" ht="15" hidden="false" customHeight="false" outlineLevel="0" collapsed="false">
      <c r="A815" s="48" t="str">
        <f aca="false">COST!A815</f>
        <v>ASH-0282</v>
      </c>
      <c r="B815" s="48" t="str">
        <f aca="false">COST!B815</f>
        <v>ASH</v>
      </c>
      <c r="C815" s="48" t="str">
        <f aca="false">COST!D815</f>
        <v>Diabetes Prevention Classes</v>
      </c>
      <c r="D815" s="62" t="n">
        <f aca="false">COST!M815</f>
        <v>46200</v>
      </c>
      <c r="E815" s="48" t="str">
        <f aca="false">COST!P815</f>
        <v>Health Educator</v>
      </c>
      <c r="F815" s="63" t="n">
        <f aca="false">COST!R815</f>
        <v>2.5</v>
      </c>
      <c r="G815" s="48" t="str">
        <f aca="false">STACK!M815</f>
        <v/>
      </c>
      <c r="H815" s="1" t="str">
        <f aca="false">C815&amp;"|"&amp;IF(ISNUMBER(D815),TEXT(D815,"yyyy-mm-dd"),"no date")&amp;"|"&amp;E815&amp;"|"&amp;IF(ISNUMBER(F815),TEXT(F815,"0.00"),"blank")</f>
        <v>Diabetes Prevention Classes|2026-06-27|Health Educator|2.50</v>
      </c>
      <c r="I815" s="1" t="n">
        <f aca="false">COUNTIF($H$5:$H$1624,H815)</f>
        <v>1</v>
      </c>
      <c r="J815" s="1" t="n">
        <f aca="false">COUNTIF($H$5:H815,H815)</f>
        <v>1</v>
      </c>
      <c r="K815" s="1" t="n">
        <f aca="false">COUNTIFS($H$5:$H$1624,H815,$B$5:$B$1624,"&lt;&gt;"&amp;B815)</f>
        <v>0</v>
      </c>
      <c r="L815" s="1" t="str">
        <f aca="false">IF(I815&gt;1,IF(K815&gt;0,"Cross-hospital match","Same-hospital match"),"")</f>
        <v/>
      </c>
      <c r="M815" s="52"/>
      <c r="N815" s="52"/>
      <c r="O815" s="1" t="n">
        <f aca="false">IF(M815="Exclude (duplicate)",0,1)</f>
        <v>1</v>
      </c>
      <c r="P815" s="1" t="str">
        <f aca="false">IF(AND(L815&lt;&gt;"",M815=""),"Needs decision","")</f>
        <v/>
      </c>
    </row>
    <row r="816" customFormat="false" ht="15" hidden="false" customHeight="false" outlineLevel="0" collapsed="false">
      <c r="A816" s="48" t="str">
        <f aca="false">COST!A816</f>
        <v>ASH-0283</v>
      </c>
      <c r="B816" s="48" t="str">
        <f aca="false">COST!B816</f>
        <v>ASH</v>
      </c>
      <c r="C816" s="48" t="str">
        <f aca="false">COST!D816</f>
        <v>Diabetes Prevention Classes</v>
      </c>
      <c r="D816" s="62" t="n">
        <f aca="false">COST!M816</f>
        <v>46200</v>
      </c>
      <c r="E816" s="48" t="str">
        <f aca="false">COST!P816</f>
        <v>Registered Dietitian</v>
      </c>
      <c r="F816" s="63" t="n">
        <f aca="false">COST!R816</f>
        <v>1.75</v>
      </c>
      <c r="G816" s="48" t="str">
        <f aca="false">STACK!M816</f>
        <v/>
      </c>
      <c r="H816" s="1" t="str">
        <f aca="false">C816&amp;"|"&amp;IF(ISNUMBER(D816),TEXT(D816,"yyyy-mm-dd"),"no date")&amp;"|"&amp;E816&amp;"|"&amp;IF(ISNUMBER(F816),TEXT(F816,"0.00"),"blank")</f>
        <v>Diabetes Prevention Classes|2026-06-27|Registered Dietitian|1.75</v>
      </c>
      <c r="I816" s="1" t="n">
        <f aca="false">COUNTIF($H$5:$H$1624,H816)</f>
        <v>1</v>
      </c>
      <c r="J816" s="1" t="n">
        <f aca="false">COUNTIF($H$5:H816,H816)</f>
        <v>1</v>
      </c>
      <c r="K816" s="1" t="n">
        <f aca="false">COUNTIFS($H$5:$H$1624,H816,$B$5:$B$1624,"&lt;&gt;"&amp;B816)</f>
        <v>0</v>
      </c>
      <c r="L816" s="1" t="str">
        <f aca="false">IF(I816&gt;1,IF(K816&gt;0,"Cross-hospital match","Same-hospital match"),"")</f>
        <v/>
      </c>
      <c r="M816" s="52"/>
      <c r="N816" s="52"/>
      <c r="O816" s="1" t="n">
        <f aca="false">IF(M816="Exclude (duplicate)",0,1)</f>
        <v>1</v>
      </c>
      <c r="P816" s="1" t="str">
        <f aca="false">IF(AND(L816&lt;&gt;"",M816=""),"Needs decision","")</f>
        <v/>
      </c>
    </row>
    <row r="817" customFormat="false" ht="15" hidden="false" customHeight="false" outlineLevel="0" collapsed="false">
      <c r="A817" s="48" t="str">
        <f aca="false">COST!A817</f>
        <v>ASH-0284</v>
      </c>
      <c r="B817" s="48" t="str">
        <f aca="false">COST!B817</f>
        <v>ASH</v>
      </c>
      <c r="C817" s="48" t="str">
        <f aca="false">COST!D817</f>
        <v>Mobile Health Screening Unit</v>
      </c>
      <c r="D817" s="62" t="n">
        <f aca="false">COST!M817</f>
        <v>46203</v>
      </c>
      <c r="E817" s="48" t="str">
        <f aca="false">COST!P817</f>
        <v>Community Health Worker</v>
      </c>
      <c r="F817" s="63" t="n">
        <f aca="false">COST!R817</f>
        <v>53</v>
      </c>
      <c r="G817" s="48" t="str">
        <f aca="false">STACK!M817</f>
        <v/>
      </c>
      <c r="H817" s="1" t="str">
        <f aca="false">C817&amp;"|"&amp;IF(ISNUMBER(D817),TEXT(D817,"yyyy-mm-dd"),"no date")&amp;"|"&amp;E817&amp;"|"&amp;IF(ISNUMBER(F817),TEXT(F817,"0.00"),"blank")</f>
        <v>Mobile Health Screening Unit|2026-06-30|Community Health Worker|53.00</v>
      </c>
      <c r="I817" s="1" t="n">
        <f aca="false">COUNTIF($H$5:$H$1624,H817)</f>
        <v>1</v>
      </c>
      <c r="J817" s="1" t="n">
        <f aca="false">COUNTIF($H$5:H817,H817)</f>
        <v>1</v>
      </c>
      <c r="K817" s="1" t="n">
        <f aca="false">COUNTIFS($H$5:$H$1624,H817,$B$5:$B$1624,"&lt;&gt;"&amp;B817)</f>
        <v>0</v>
      </c>
      <c r="L817" s="1" t="str">
        <f aca="false">IF(I817&gt;1,IF(K817&gt;0,"Cross-hospital match","Same-hospital match"),"")</f>
        <v/>
      </c>
      <c r="M817" s="52"/>
      <c r="N817" s="52"/>
      <c r="O817" s="1" t="n">
        <f aca="false">IF(M817="Exclude (duplicate)",0,1)</f>
        <v>1</v>
      </c>
      <c r="P817" s="1" t="str">
        <f aca="false">IF(AND(L817&lt;&gt;"",M817=""),"Needs decision","")</f>
        <v/>
      </c>
    </row>
    <row r="818" customFormat="false" ht="15" hidden="false" customHeight="false" outlineLevel="0" collapsed="false">
      <c r="A818" s="48" t="str">
        <f aca="false">COST!A818</f>
        <v>ASH-0285</v>
      </c>
      <c r="B818" s="48" t="str">
        <f aca="false">COST!B818</f>
        <v>ASH</v>
      </c>
      <c r="C818" s="48" t="str">
        <f aca="false">COST!D818</f>
        <v>Mobile Health Screening Unit</v>
      </c>
      <c r="D818" s="62" t="n">
        <f aca="false">COST!M818</f>
        <v>46203</v>
      </c>
      <c r="E818" s="48" t="str">
        <f aca="false">COST!P818</f>
        <v>Medical Assistant</v>
      </c>
      <c r="F818" s="63" t="n">
        <f aca="false">COST!R818</f>
        <v>91.75</v>
      </c>
      <c r="G818" s="48" t="str">
        <f aca="false">STACK!M818</f>
        <v/>
      </c>
      <c r="H818" s="1" t="str">
        <f aca="false">C818&amp;"|"&amp;IF(ISNUMBER(D818),TEXT(D818,"yyyy-mm-dd"),"no date")&amp;"|"&amp;E818&amp;"|"&amp;IF(ISNUMBER(F818),TEXT(F818,"0.00"),"blank")</f>
        <v>Mobile Health Screening Unit|2026-06-30|Medical Assistant|91.75</v>
      </c>
      <c r="I818" s="1" t="n">
        <f aca="false">COUNTIF($H$5:$H$1624,H818)</f>
        <v>1</v>
      </c>
      <c r="J818" s="1" t="n">
        <f aca="false">COUNTIF($H$5:H818,H818)</f>
        <v>1</v>
      </c>
      <c r="K818" s="1" t="n">
        <f aca="false">COUNTIFS($H$5:$H$1624,H818,$B$5:$B$1624,"&lt;&gt;"&amp;B818)</f>
        <v>0</v>
      </c>
      <c r="L818" s="1" t="str">
        <f aca="false">IF(I818&gt;1,IF(K818&gt;0,"Cross-hospital match","Same-hospital match"),"")</f>
        <v/>
      </c>
      <c r="M818" s="52"/>
      <c r="N818" s="52"/>
      <c r="O818" s="1" t="n">
        <f aca="false">IF(M818="Exclude (duplicate)",0,1)</f>
        <v>1</v>
      </c>
      <c r="P818" s="1" t="str">
        <f aca="false">IF(AND(L818&lt;&gt;"",M818=""),"Needs decision","")</f>
        <v/>
      </c>
    </row>
    <row r="819" customFormat="false" ht="15" hidden="false" customHeight="false" outlineLevel="0" collapsed="false">
      <c r="A819" s="48" t="str">
        <f aca="false">COST!A819</f>
        <v>ASH-0286</v>
      </c>
      <c r="B819" s="48" t="str">
        <f aca="false">COST!B819</f>
        <v>ASH</v>
      </c>
      <c r="C819" s="48" t="str">
        <f aca="false">COST!D819</f>
        <v>Mobile Health Screening Unit</v>
      </c>
      <c r="D819" s="62" t="n">
        <f aca="false">COST!M819</f>
        <v>46203</v>
      </c>
      <c r="E819" s="48" t="str">
        <f aca="false">COST!P819</f>
        <v>Registered Nurse</v>
      </c>
      <c r="F819" s="63" t="n">
        <f aca="false">COST!R819</f>
        <v>79.75</v>
      </c>
      <c r="G819" s="48" t="str">
        <f aca="false">STACK!M819</f>
        <v/>
      </c>
      <c r="H819" s="1" t="str">
        <f aca="false">C819&amp;"|"&amp;IF(ISNUMBER(D819),TEXT(D819,"yyyy-mm-dd"),"no date")&amp;"|"&amp;E819&amp;"|"&amp;IF(ISNUMBER(F819),TEXT(F819,"0.00"),"blank")</f>
        <v>Mobile Health Screening Unit|2026-06-30|Registered Nurse|79.75</v>
      </c>
      <c r="I819" s="1" t="n">
        <f aca="false">COUNTIF($H$5:$H$1624,H819)</f>
        <v>1</v>
      </c>
      <c r="J819" s="1" t="n">
        <f aca="false">COUNTIF($H$5:H819,H819)</f>
        <v>1</v>
      </c>
      <c r="K819" s="1" t="n">
        <f aca="false">COUNTIFS($H$5:$H$1624,H819,$B$5:$B$1624,"&lt;&gt;"&amp;B819)</f>
        <v>0</v>
      </c>
      <c r="L819" s="1" t="str">
        <f aca="false">IF(I819&gt;1,IF(K819&gt;0,"Cross-hospital match","Same-hospital match"),"")</f>
        <v/>
      </c>
      <c r="M819" s="52"/>
      <c r="N819" s="52"/>
      <c r="O819" s="1" t="n">
        <f aca="false">IF(M819="Exclude (duplicate)",0,1)</f>
        <v>1</v>
      </c>
      <c r="P819" s="1" t="str">
        <f aca="false">IF(AND(L819&lt;&gt;"",M819=""),"Needs decision","")</f>
        <v/>
      </c>
    </row>
    <row r="820" customFormat="false" ht="15" hidden="false" customHeight="false" outlineLevel="0" collapsed="false">
      <c r="A820" s="48" t="str">
        <f aca="false">COST!A820</f>
        <v>ASH-0287</v>
      </c>
      <c r="B820" s="48" t="str">
        <f aca="false">COST!B820</f>
        <v>ASH</v>
      </c>
      <c r="C820" s="48" t="str">
        <f aca="false">COST!D820</f>
        <v>Community Health Worker Outreach</v>
      </c>
      <c r="D820" s="62" t="n">
        <f aca="false">COST!M820</f>
        <v>46203</v>
      </c>
      <c r="E820" s="48" t="str">
        <f aca="false">COST!P820</f>
        <v>Community Health Worker</v>
      </c>
      <c r="F820" s="63" t="n">
        <f aca="false">COST!R820</f>
        <v>350.25</v>
      </c>
      <c r="G820" s="48" t="str">
        <f aca="false">STACK!M820</f>
        <v/>
      </c>
      <c r="H820" s="1" t="str">
        <f aca="false">C820&amp;"|"&amp;IF(ISNUMBER(D820),TEXT(D820,"yyyy-mm-dd"),"no date")&amp;"|"&amp;E820&amp;"|"&amp;IF(ISNUMBER(F820),TEXT(F820,"0.00"),"blank")</f>
        <v>Community Health Worker Outreach|2026-06-30|Community Health Worker|350.25</v>
      </c>
      <c r="I820" s="1" t="n">
        <f aca="false">COUNTIF($H$5:$H$1624,H820)</f>
        <v>1</v>
      </c>
      <c r="J820" s="1" t="n">
        <f aca="false">COUNTIF($H$5:H820,H820)</f>
        <v>1</v>
      </c>
      <c r="K820" s="1" t="n">
        <f aca="false">COUNTIFS($H$5:$H$1624,H820,$B$5:$B$1624,"&lt;&gt;"&amp;B820)</f>
        <v>0</v>
      </c>
      <c r="L820" s="1" t="str">
        <f aca="false">IF(I820&gt;1,IF(K820&gt;0,"Cross-hospital match","Same-hospital match"),"")</f>
        <v/>
      </c>
      <c r="M820" s="52"/>
      <c r="N820" s="52"/>
      <c r="O820" s="1" t="n">
        <f aca="false">IF(M820="Exclude (duplicate)",0,1)</f>
        <v>1</v>
      </c>
      <c r="P820" s="1" t="str">
        <f aca="false">IF(AND(L820&lt;&gt;"",M820=""),"Needs decision","")</f>
        <v/>
      </c>
    </row>
    <row r="821" customFormat="false" ht="15" hidden="false" customHeight="false" outlineLevel="0" collapsed="false">
      <c r="A821" s="48" t="str">
        <f aca="false">COST!A821</f>
        <v>ASH-0288</v>
      </c>
      <c r="B821" s="48" t="str">
        <f aca="false">COST!B821</f>
        <v>ASH</v>
      </c>
      <c r="C821" s="48" t="str">
        <f aca="false">COST!D821</f>
        <v>Community Health Worker Outreach</v>
      </c>
      <c r="D821" s="62" t="n">
        <f aca="false">COST!M821</f>
        <v>46203</v>
      </c>
      <c r="E821" s="48" t="str">
        <f aca="false">COST!P821</f>
        <v>Patient Navigator</v>
      </c>
      <c r="F821" s="63" t="n">
        <f aca="false">COST!R821</f>
        <v>158.5</v>
      </c>
      <c r="G821" s="48" t="str">
        <f aca="false">STACK!M821</f>
        <v/>
      </c>
      <c r="H821" s="1" t="str">
        <f aca="false">C821&amp;"|"&amp;IF(ISNUMBER(D821),TEXT(D821,"yyyy-mm-dd"),"no date")&amp;"|"&amp;E821&amp;"|"&amp;IF(ISNUMBER(F821),TEXT(F821,"0.00"),"blank")</f>
        <v>Community Health Worker Outreach|2026-06-30|Patient Navigator|158.50</v>
      </c>
      <c r="I821" s="1" t="n">
        <f aca="false">COUNTIF($H$5:$H$1624,H821)</f>
        <v>1</v>
      </c>
      <c r="J821" s="1" t="n">
        <f aca="false">COUNTIF($H$5:H821,H821)</f>
        <v>1</v>
      </c>
      <c r="K821" s="1" t="n">
        <f aca="false">COUNTIFS($H$5:$H$1624,H821,$B$5:$B$1624,"&lt;&gt;"&amp;B821)</f>
        <v>0</v>
      </c>
      <c r="L821" s="1" t="str">
        <f aca="false">IF(I821&gt;1,IF(K821&gt;0,"Cross-hospital match","Same-hospital match"),"")</f>
        <v/>
      </c>
      <c r="M821" s="52"/>
      <c r="N821" s="52"/>
      <c r="O821" s="1" t="n">
        <f aca="false">IF(M821="Exclude (duplicate)",0,1)</f>
        <v>1</v>
      </c>
      <c r="P821" s="1" t="str">
        <f aca="false">IF(AND(L821&lt;&gt;"",M821=""),"Needs decision","")</f>
        <v/>
      </c>
    </row>
    <row r="822" customFormat="false" ht="15" hidden="false" customHeight="false" outlineLevel="0" collapsed="false">
      <c r="A822" s="48" t="str">
        <f aca="false">COST!A822</f>
        <v>ASH-0289</v>
      </c>
      <c r="B822" s="48" t="str">
        <f aca="false">COST!B822</f>
        <v>ASH</v>
      </c>
      <c r="C822" s="48" t="str">
        <f aca="false">COST!D822</f>
        <v>Produce Prescription Program</v>
      </c>
      <c r="D822" s="62" t="n">
        <f aca="false">COST!M822</f>
        <v>46203</v>
      </c>
      <c r="E822" s="48" t="str">
        <f aca="false">COST!P822</f>
        <v>Community Health Worker</v>
      </c>
      <c r="F822" s="63" t="n">
        <f aca="false">COST!R822</f>
        <v>67</v>
      </c>
      <c r="G822" s="48" t="str">
        <f aca="false">STACK!M822</f>
        <v/>
      </c>
      <c r="H822" s="1" t="str">
        <f aca="false">C822&amp;"|"&amp;IF(ISNUMBER(D822),TEXT(D822,"yyyy-mm-dd"),"no date")&amp;"|"&amp;E822&amp;"|"&amp;IF(ISNUMBER(F822),TEXT(F822,"0.00"),"blank")</f>
        <v>Produce Prescription Program|2026-06-30|Community Health Worker|67.00</v>
      </c>
      <c r="I822" s="1" t="n">
        <f aca="false">COUNTIF($H$5:$H$1624,H822)</f>
        <v>1</v>
      </c>
      <c r="J822" s="1" t="n">
        <f aca="false">COUNTIF($H$5:H822,H822)</f>
        <v>1</v>
      </c>
      <c r="K822" s="1" t="n">
        <f aca="false">COUNTIFS($H$5:$H$1624,H822,$B$5:$B$1624,"&lt;&gt;"&amp;B822)</f>
        <v>0</v>
      </c>
      <c r="L822" s="1" t="str">
        <f aca="false">IF(I822&gt;1,IF(K822&gt;0,"Cross-hospital match","Same-hospital match"),"")</f>
        <v/>
      </c>
      <c r="M822" s="52"/>
      <c r="N822" s="52"/>
      <c r="O822" s="1" t="n">
        <f aca="false">IF(M822="Exclude (duplicate)",0,1)</f>
        <v>1</v>
      </c>
      <c r="P822" s="1" t="str">
        <f aca="false">IF(AND(L822&lt;&gt;"",M822=""),"Needs decision","")</f>
        <v/>
      </c>
    </row>
    <row r="823" customFormat="false" ht="15" hidden="false" customHeight="false" outlineLevel="0" collapsed="false">
      <c r="A823" s="48" t="str">
        <f aca="false">COST!A823</f>
        <v>ASH-0290</v>
      </c>
      <c r="B823" s="48" t="str">
        <f aca="false">COST!B823</f>
        <v>ASH</v>
      </c>
      <c r="C823" s="48" t="str">
        <f aca="false">COST!D823</f>
        <v>Produce Prescription Program</v>
      </c>
      <c r="D823" s="62" t="n">
        <f aca="false">COST!M823</f>
        <v>46203</v>
      </c>
      <c r="E823" s="48" t="str">
        <f aca="false">COST!P823</f>
        <v>Registered Dietitian</v>
      </c>
      <c r="F823" s="63" t="n">
        <f aca="false">COST!R823</f>
        <v>29.25</v>
      </c>
      <c r="G823" s="48" t="str">
        <f aca="false">STACK!M823</f>
        <v/>
      </c>
      <c r="H823" s="1" t="str">
        <f aca="false">C823&amp;"|"&amp;IF(ISNUMBER(D823),TEXT(D823,"yyyy-mm-dd"),"no date")&amp;"|"&amp;E823&amp;"|"&amp;IF(ISNUMBER(F823),TEXT(F823,"0.00"),"blank")</f>
        <v>Produce Prescription Program|2026-06-30|Registered Dietitian|29.25</v>
      </c>
      <c r="I823" s="1" t="n">
        <f aca="false">COUNTIF($H$5:$H$1624,H823)</f>
        <v>1</v>
      </c>
      <c r="J823" s="1" t="n">
        <f aca="false">COUNTIF($H$5:H823,H823)</f>
        <v>1</v>
      </c>
      <c r="K823" s="1" t="n">
        <f aca="false">COUNTIFS($H$5:$H$1624,H823,$B$5:$B$1624,"&lt;&gt;"&amp;B823)</f>
        <v>0</v>
      </c>
      <c r="L823" s="1" t="str">
        <f aca="false">IF(I823&gt;1,IF(K823&gt;0,"Cross-hospital match","Same-hospital match"),"")</f>
        <v/>
      </c>
      <c r="M823" s="52"/>
      <c r="N823" s="52"/>
      <c r="O823" s="1" t="n">
        <f aca="false">IF(M823="Exclude (duplicate)",0,1)</f>
        <v>1</v>
      </c>
      <c r="P823" s="1" t="str">
        <f aca="false">IF(AND(L823&lt;&gt;"",M823=""),"Needs decision","")</f>
        <v/>
      </c>
    </row>
    <row r="824" customFormat="false" ht="15" hidden="false" customHeight="false" outlineLevel="0" collapsed="false">
      <c r="A824" s="48" t="str">
        <f aca="false">COST!A824</f>
        <v>ASH-0291</v>
      </c>
      <c r="B824" s="48" t="str">
        <f aca="false">COST!B824</f>
        <v>ASH</v>
      </c>
      <c r="C824" s="48" t="str">
        <f aca="false">COST!D824</f>
        <v>Community Benefit Program Administration</v>
      </c>
      <c r="D824" s="62" t="n">
        <f aca="false">COST!M824</f>
        <v>46203</v>
      </c>
      <c r="E824" s="48" t="str">
        <f aca="false">COST!P824</f>
        <v>Administrative Assistant</v>
      </c>
      <c r="F824" s="63" t="n">
        <f aca="false">COST!R824</f>
        <v>40.25</v>
      </c>
      <c r="G824" s="48" t="str">
        <f aca="false">STACK!M824</f>
        <v/>
      </c>
      <c r="H824" s="1" t="str">
        <f aca="false">C824&amp;"|"&amp;IF(ISNUMBER(D824),TEXT(D824,"yyyy-mm-dd"),"no date")&amp;"|"&amp;E824&amp;"|"&amp;IF(ISNUMBER(F824),TEXT(F824,"0.00"),"blank")</f>
        <v>Community Benefit Program Administration|2026-06-30|Administrative Assistant|40.25</v>
      </c>
      <c r="I824" s="1" t="n">
        <f aca="false">COUNTIF($H$5:$H$1624,H824)</f>
        <v>1</v>
      </c>
      <c r="J824" s="1" t="n">
        <f aca="false">COUNTIF($H$5:H824,H824)</f>
        <v>1</v>
      </c>
      <c r="K824" s="1" t="n">
        <f aca="false">COUNTIFS($H$5:$H$1624,H824,$B$5:$B$1624,"&lt;&gt;"&amp;B824)</f>
        <v>0</v>
      </c>
      <c r="L824" s="1" t="str">
        <f aca="false">IF(I824&gt;1,IF(K824&gt;0,"Cross-hospital match","Same-hospital match"),"")</f>
        <v/>
      </c>
      <c r="M824" s="52"/>
      <c r="N824" s="52"/>
      <c r="O824" s="1" t="n">
        <f aca="false">IF(M824="Exclude (duplicate)",0,1)</f>
        <v>1</v>
      </c>
      <c r="P824" s="1" t="str">
        <f aca="false">IF(AND(L824&lt;&gt;"",M824=""),"Needs decision","")</f>
        <v/>
      </c>
    </row>
    <row r="825" customFormat="false" ht="15" hidden="false" customHeight="false" outlineLevel="0" collapsed="false">
      <c r="A825" s="48" t="str">
        <f aca="false">COST!A825</f>
        <v>ASH-0292</v>
      </c>
      <c r="B825" s="48" t="str">
        <f aca="false">COST!B825</f>
        <v>ASH</v>
      </c>
      <c r="C825" s="48" t="str">
        <f aca="false">COST!D825</f>
        <v>Community Benefit Program Administration</v>
      </c>
      <c r="D825" s="62" t="n">
        <f aca="false">COST!M825</f>
        <v>46203</v>
      </c>
      <c r="E825" s="48" t="str">
        <f aca="false">COST!P825</f>
        <v>Community Benefit Manager</v>
      </c>
      <c r="F825" s="63" t="n">
        <f aca="false">COST!R825</f>
        <v>65.75</v>
      </c>
      <c r="G825" s="48" t="str">
        <f aca="false">STACK!M825</f>
        <v/>
      </c>
      <c r="H825" s="1" t="str">
        <f aca="false">C825&amp;"|"&amp;IF(ISNUMBER(D825),TEXT(D825,"yyyy-mm-dd"),"no date")&amp;"|"&amp;E825&amp;"|"&amp;IF(ISNUMBER(F825),TEXT(F825,"0.00"),"blank")</f>
        <v>Community Benefit Program Administration|2026-06-30|Community Benefit Manager|65.75</v>
      </c>
      <c r="I825" s="1" t="n">
        <f aca="false">COUNTIF($H$5:$H$1624,H825)</f>
        <v>1</v>
      </c>
      <c r="J825" s="1" t="n">
        <f aca="false">COUNTIF($H$5:H825,H825)</f>
        <v>1</v>
      </c>
      <c r="K825" s="1" t="n">
        <f aca="false">COUNTIFS($H$5:$H$1624,H825,$B$5:$B$1624,"&lt;&gt;"&amp;B825)</f>
        <v>0</v>
      </c>
      <c r="L825" s="1" t="str">
        <f aca="false">IF(I825&gt;1,IF(K825&gt;0,"Cross-hospital match","Same-hospital match"),"")</f>
        <v/>
      </c>
      <c r="M825" s="52"/>
      <c r="N825" s="52"/>
      <c r="O825" s="1" t="n">
        <f aca="false">IF(M825="Exclude (duplicate)",0,1)</f>
        <v>1</v>
      </c>
      <c r="P825" s="1" t="str">
        <f aca="false">IF(AND(L825&lt;&gt;"",M825=""),"Needs decision","")</f>
        <v/>
      </c>
    </row>
    <row r="826" customFormat="false" ht="15" hidden="false" customHeight="false" outlineLevel="0" collapsed="false">
      <c r="A826" s="48" t="str">
        <f aca="false">COST!A826</f>
        <v>ASH-0293</v>
      </c>
      <c r="B826" s="48" t="str">
        <f aca="false">COST!B826</f>
        <v>ASH</v>
      </c>
      <c r="C826" s="48" t="str">
        <f aca="false">COST!D826</f>
        <v>Nursing Student Clinical Rotations</v>
      </c>
      <c r="D826" s="62" t="n">
        <f aca="false">COST!M826</f>
        <v>46203</v>
      </c>
      <c r="E826" s="48" t="str">
        <f aca="false">COST!P826</f>
        <v>Clinical Nurse Educator</v>
      </c>
      <c r="F826" s="63" t="n">
        <f aca="false">COST!R826</f>
        <v>55.25</v>
      </c>
      <c r="G826" s="48" t="str">
        <f aca="false">STACK!M826</f>
        <v/>
      </c>
      <c r="H826" s="1" t="str">
        <f aca="false">C826&amp;"|"&amp;IF(ISNUMBER(D826),TEXT(D826,"yyyy-mm-dd"),"no date")&amp;"|"&amp;E826&amp;"|"&amp;IF(ISNUMBER(F826),TEXT(F826,"0.00"),"blank")</f>
        <v>Nursing Student Clinical Rotations|2026-06-30|Clinical Nurse Educator|55.25</v>
      </c>
      <c r="I826" s="1" t="n">
        <f aca="false">COUNTIF($H$5:$H$1624,H826)</f>
        <v>1</v>
      </c>
      <c r="J826" s="1" t="n">
        <f aca="false">COUNTIF($H$5:H826,H826)</f>
        <v>1</v>
      </c>
      <c r="K826" s="1" t="n">
        <f aca="false">COUNTIFS($H$5:$H$1624,H826,$B$5:$B$1624,"&lt;&gt;"&amp;B826)</f>
        <v>0</v>
      </c>
      <c r="L826" s="1" t="str">
        <f aca="false">IF(I826&gt;1,IF(K826&gt;0,"Cross-hospital match","Same-hospital match"),"")</f>
        <v/>
      </c>
      <c r="M826" s="52"/>
      <c r="N826" s="52"/>
      <c r="O826" s="1" t="n">
        <f aca="false">IF(M826="Exclude (duplicate)",0,1)</f>
        <v>1</v>
      </c>
      <c r="P826" s="1" t="str">
        <f aca="false">IF(AND(L826&lt;&gt;"",M826=""),"Needs decision","")</f>
        <v/>
      </c>
    </row>
    <row r="827" customFormat="false" ht="15" hidden="false" customHeight="false" outlineLevel="0" collapsed="false">
      <c r="A827" s="48" t="str">
        <f aca="false">COST!A827</f>
        <v>ASH-0294</v>
      </c>
      <c r="B827" s="48" t="str">
        <f aca="false">COST!B827</f>
        <v>ASH</v>
      </c>
      <c r="C827" s="48" t="str">
        <f aca="false">COST!D827</f>
        <v>Nursing Student Clinical Rotations</v>
      </c>
      <c r="D827" s="62" t="n">
        <f aca="false">COST!M827</f>
        <v>46203</v>
      </c>
      <c r="E827" s="48" t="str">
        <f aca="false">COST!P827</f>
        <v>Registered Nurse</v>
      </c>
      <c r="F827" s="63" t="n">
        <f aca="false">COST!R827</f>
        <v>80.5</v>
      </c>
      <c r="G827" s="48" t="str">
        <f aca="false">STACK!M827</f>
        <v/>
      </c>
      <c r="H827" s="1" t="str">
        <f aca="false">C827&amp;"|"&amp;IF(ISNUMBER(D827),TEXT(D827,"yyyy-mm-dd"),"no date")&amp;"|"&amp;E827&amp;"|"&amp;IF(ISNUMBER(F827),TEXT(F827,"0.00"),"blank")</f>
        <v>Nursing Student Clinical Rotations|2026-06-30|Registered Nurse|80.50</v>
      </c>
      <c r="I827" s="1" t="n">
        <f aca="false">COUNTIF($H$5:$H$1624,H827)</f>
        <v>1</v>
      </c>
      <c r="J827" s="1" t="n">
        <f aca="false">COUNTIF($H$5:H827,H827)</f>
        <v>1</v>
      </c>
      <c r="K827" s="1" t="n">
        <f aca="false">COUNTIFS($H$5:$H$1624,H827,$B$5:$B$1624,"&lt;&gt;"&amp;B827)</f>
        <v>0</v>
      </c>
      <c r="L827" s="1" t="str">
        <f aca="false">IF(I827&gt;1,IF(K827&gt;0,"Cross-hospital match","Same-hospital match"),"")</f>
        <v/>
      </c>
      <c r="M827" s="52"/>
      <c r="N827" s="52"/>
      <c r="O827" s="1" t="n">
        <f aca="false">IF(M827="Exclude (duplicate)",0,1)</f>
        <v>1</v>
      </c>
      <c r="P827" s="1" t="str">
        <f aca="false">IF(AND(L827&lt;&gt;"",M827=""),"Needs decision","")</f>
        <v/>
      </c>
    </row>
    <row r="828" customFormat="false" ht="15" hidden="false" customHeight="false" outlineLevel="0" collapsed="false">
      <c r="A828" s="48" t="str">
        <f aca="false">COST!A828</f>
        <v>ASH-0295</v>
      </c>
      <c r="B828" s="48" t="str">
        <f aca="false">COST!B828</f>
        <v>ASH</v>
      </c>
      <c r="C828" s="48" t="str">
        <f aca="false">COST!D828</f>
        <v>Paramedic Student Field Training</v>
      </c>
      <c r="D828" s="62" t="n">
        <f aca="false">COST!M828</f>
        <v>46203</v>
      </c>
      <c r="E828" s="48" t="str">
        <f aca="false">COST!P828</f>
        <v>Paramedic</v>
      </c>
      <c r="F828" s="63" t="n">
        <f aca="false">COST!R828</f>
        <v>79.25</v>
      </c>
      <c r="G828" s="48" t="str">
        <f aca="false">STACK!M828</f>
        <v/>
      </c>
      <c r="H828" s="1" t="str">
        <f aca="false">C828&amp;"|"&amp;IF(ISNUMBER(D828),TEXT(D828,"yyyy-mm-dd"),"no date")&amp;"|"&amp;E828&amp;"|"&amp;IF(ISNUMBER(F828),TEXT(F828,"0.00"),"blank")</f>
        <v>Paramedic Student Field Training|2026-06-30|Paramedic|79.25</v>
      </c>
      <c r="I828" s="1" t="n">
        <f aca="false">COUNTIF($H$5:$H$1624,H828)</f>
        <v>1</v>
      </c>
      <c r="J828" s="1" t="n">
        <f aca="false">COUNTIF($H$5:H828,H828)</f>
        <v>1</v>
      </c>
      <c r="K828" s="1" t="n">
        <f aca="false">COUNTIFS($H$5:$H$1624,H828,$B$5:$B$1624,"&lt;&gt;"&amp;B828)</f>
        <v>0</v>
      </c>
      <c r="L828" s="1" t="str">
        <f aca="false">IF(I828&gt;1,IF(K828&gt;0,"Cross-hospital match","Same-hospital match"),"")</f>
        <v/>
      </c>
      <c r="M828" s="52"/>
      <c r="N828" s="52"/>
      <c r="O828" s="1" t="n">
        <f aca="false">IF(M828="Exclude (duplicate)",0,1)</f>
        <v>1</v>
      </c>
      <c r="P828" s="1" t="str">
        <f aca="false">IF(AND(L828&lt;&gt;"",M828=""),"Needs decision","")</f>
        <v/>
      </c>
    </row>
    <row r="829" customFormat="false" ht="15" hidden="false" customHeight="false" outlineLevel="0" collapsed="false">
      <c r="A829" s="48" t="str">
        <f aca="false">COST!A829</f>
        <v>CBH-0001</v>
      </c>
      <c r="B829" s="48" t="str">
        <f aca="false">COST!B829</f>
        <v>CBH</v>
      </c>
      <c r="C829" s="48" t="str">
        <f aca="false">COST!D829</f>
        <v>Regional Health Coalition</v>
      </c>
      <c r="D829" s="62" t="n">
        <f aca="false">COST!M829</f>
        <v>45846</v>
      </c>
      <c r="E829" s="48" t="str">
        <f aca="false">COST!P829</f>
        <v>Community Benefit Manager</v>
      </c>
      <c r="F829" s="63" t="n">
        <f aca="false">COST!R829</f>
        <v>2.25</v>
      </c>
      <c r="G829" s="48" t="str">
        <f aca="false">STACK!M829</f>
        <v/>
      </c>
      <c r="H829" s="1" t="str">
        <f aca="false">C829&amp;"|"&amp;IF(ISNUMBER(D829),TEXT(D829,"yyyy-mm-dd"),"no date")&amp;"|"&amp;E829&amp;"|"&amp;IF(ISNUMBER(F829),TEXT(F829,"0.00"),"blank")</f>
        <v>Regional Health Coalition|2025-07-08|Community Benefit Manager|2.25</v>
      </c>
      <c r="I829" s="1" t="n">
        <f aca="false">COUNTIF($H$5:$H$1624,H829)</f>
        <v>1</v>
      </c>
      <c r="J829" s="1" t="n">
        <f aca="false">COUNTIF($H$5:H829,H829)</f>
        <v>1</v>
      </c>
      <c r="K829" s="1" t="n">
        <f aca="false">COUNTIFS($H$5:$H$1624,H829,$B$5:$B$1624,"&lt;&gt;"&amp;B829)</f>
        <v>0</v>
      </c>
      <c r="L829" s="1" t="str">
        <f aca="false">IF(I829&gt;1,IF(K829&gt;0,"Cross-hospital match","Same-hospital match"),"")</f>
        <v/>
      </c>
      <c r="M829" s="52"/>
      <c r="N829" s="52"/>
      <c r="O829" s="1" t="n">
        <f aca="false">IF(M829="Exclude (duplicate)",0,1)</f>
        <v>1</v>
      </c>
      <c r="P829" s="1" t="str">
        <f aca="false">IF(AND(L829&lt;&gt;"",M829=""),"Needs decision","")</f>
        <v/>
      </c>
    </row>
    <row r="830" customFormat="false" ht="15" hidden="false" customHeight="false" outlineLevel="0" collapsed="false">
      <c r="A830" s="48" t="str">
        <f aca="false">COST!A830</f>
        <v>CBH-0002</v>
      </c>
      <c r="B830" s="48" t="str">
        <f aca="false">COST!B830</f>
        <v>CBH</v>
      </c>
      <c r="C830" s="48" t="str">
        <f aca="false">COST!D830</f>
        <v>Regional Health Coalition</v>
      </c>
      <c r="D830" s="62" t="n">
        <f aca="false">COST!M830</f>
        <v>45846</v>
      </c>
      <c r="E830" s="48" t="str">
        <f aca="false">COST!P830</f>
        <v>Director</v>
      </c>
      <c r="F830" s="63" t="n">
        <f aca="false">COST!R830</f>
        <v>2.5</v>
      </c>
      <c r="G830" s="48" t="str">
        <f aca="false">STACK!M830</f>
        <v/>
      </c>
      <c r="H830" s="1" t="str">
        <f aca="false">C830&amp;"|"&amp;IF(ISNUMBER(D830),TEXT(D830,"yyyy-mm-dd"),"no date")&amp;"|"&amp;E830&amp;"|"&amp;IF(ISNUMBER(F830),TEXT(F830,"0.00"),"blank")</f>
        <v>Regional Health Coalition|2025-07-08|Director|2.50</v>
      </c>
      <c r="I830" s="1" t="n">
        <f aca="false">COUNTIF($H$5:$H$1624,H830)</f>
        <v>1</v>
      </c>
      <c r="J830" s="1" t="n">
        <f aca="false">COUNTIF($H$5:H830,H830)</f>
        <v>1</v>
      </c>
      <c r="K830" s="1" t="n">
        <f aca="false">COUNTIFS($H$5:$H$1624,H830,$B$5:$B$1624,"&lt;&gt;"&amp;B830)</f>
        <v>0</v>
      </c>
      <c r="L830" s="1" t="str">
        <f aca="false">IF(I830&gt;1,IF(K830&gt;0,"Cross-hospital match","Same-hospital match"),"")</f>
        <v/>
      </c>
      <c r="M830" s="52"/>
      <c r="N830" s="52"/>
      <c r="O830" s="1" t="n">
        <f aca="false">IF(M830="Exclude (duplicate)",0,1)</f>
        <v>1</v>
      </c>
      <c r="P830" s="1" t="str">
        <f aca="false">IF(AND(L830&lt;&gt;"",M830=""),"Needs decision","")</f>
        <v/>
      </c>
    </row>
    <row r="831" customFormat="false" ht="15" hidden="false" customHeight="false" outlineLevel="0" collapsed="false">
      <c r="A831" s="48" t="str">
        <f aca="false">COST!A831</f>
        <v>CBH-0003</v>
      </c>
      <c r="B831" s="48" t="str">
        <f aca="false">COST!B831</f>
        <v>CBH</v>
      </c>
      <c r="C831" s="48" t="str">
        <f aca="false">COST!D831</f>
        <v>Fall Prevention Classes for Older Adults</v>
      </c>
      <c r="D831" s="62" t="n">
        <f aca="false">COST!M831</f>
        <v>45849</v>
      </c>
      <c r="E831" s="48" t="str">
        <f aca="false">COST!P831</f>
        <v>Licensed Therapist</v>
      </c>
      <c r="F831" s="63" t="n">
        <f aca="false">COST!R831</f>
        <v>2</v>
      </c>
      <c r="G831" s="48" t="str">
        <f aca="false">STACK!M831</f>
        <v/>
      </c>
      <c r="H831" s="1" t="str">
        <f aca="false">C831&amp;"|"&amp;IF(ISNUMBER(D831),TEXT(D831,"yyyy-mm-dd"),"no date")&amp;"|"&amp;E831&amp;"|"&amp;IF(ISNUMBER(F831),TEXT(F831,"0.00"),"blank")</f>
        <v>Fall Prevention Classes for Older Adults|2025-07-11|Licensed Therapist|2.00</v>
      </c>
      <c r="I831" s="1" t="n">
        <f aca="false">COUNTIF($H$5:$H$1624,H831)</f>
        <v>1</v>
      </c>
      <c r="J831" s="1" t="n">
        <f aca="false">COUNTIF($H$5:H831,H831)</f>
        <v>1</v>
      </c>
      <c r="K831" s="1" t="n">
        <f aca="false">COUNTIFS($H$5:$H$1624,H831,$B$5:$B$1624,"&lt;&gt;"&amp;B831)</f>
        <v>0</v>
      </c>
      <c r="L831" s="1" t="str">
        <f aca="false">IF(I831&gt;1,IF(K831&gt;0,"Cross-hospital match","Same-hospital match"),"")</f>
        <v/>
      </c>
      <c r="M831" s="52"/>
      <c r="N831" s="52"/>
      <c r="O831" s="1" t="n">
        <f aca="false">IF(M831="Exclude (duplicate)",0,1)</f>
        <v>1</v>
      </c>
      <c r="P831" s="1" t="str">
        <f aca="false">IF(AND(L831&lt;&gt;"",M831=""),"Needs decision","")</f>
        <v/>
      </c>
    </row>
    <row r="832" customFormat="false" ht="15" hidden="false" customHeight="false" outlineLevel="0" collapsed="false">
      <c r="A832" s="48" t="str">
        <f aca="false">COST!A832</f>
        <v>CBH-0004</v>
      </c>
      <c r="B832" s="48" t="str">
        <f aca="false">COST!B832</f>
        <v>CBH</v>
      </c>
      <c r="C832" s="48" t="str">
        <f aca="false">COST!D832</f>
        <v>Diabetes Prevention Classes</v>
      </c>
      <c r="D832" s="62" t="n">
        <f aca="false">COST!M832</f>
        <v>45850</v>
      </c>
      <c r="E832" s="48" t="str">
        <f aca="false">COST!P832</f>
        <v>Health Educator</v>
      </c>
      <c r="F832" s="63" t="n">
        <f aca="false">COST!R832</f>
        <v>3</v>
      </c>
      <c r="G832" s="48" t="str">
        <f aca="false">STACK!M832</f>
        <v/>
      </c>
      <c r="H832" s="1" t="str">
        <f aca="false">C832&amp;"|"&amp;IF(ISNUMBER(D832),TEXT(D832,"yyyy-mm-dd"),"no date")&amp;"|"&amp;E832&amp;"|"&amp;IF(ISNUMBER(F832),TEXT(F832,"0.00"),"blank")</f>
        <v>Diabetes Prevention Classes|2025-07-12|Health Educator|3.00</v>
      </c>
      <c r="I832" s="1" t="n">
        <f aca="false">COUNTIF($H$5:$H$1624,H832)</f>
        <v>1</v>
      </c>
      <c r="J832" s="1" t="n">
        <f aca="false">COUNTIF($H$5:H832,H832)</f>
        <v>1</v>
      </c>
      <c r="K832" s="1" t="n">
        <f aca="false">COUNTIFS($H$5:$H$1624,H832,$B$5:$B$1624,"&lt;&gt;"&amp;B832)</f>
        <v>0</v>
      </c>
      <c r="L832" s="1" t="str">
        <f aca="false">IF(I832&gt;1,IF(K832&gt;0,"Cross-hospital match","Same-hospital match"),"")</f>
        <v/>
      </c>
      <c r="M832" s="52"/>
      <c r="N832" s="52"/>
      <c r="O832" s="1" t="n">
        <f aca="false">IF(M832="Exclude (duplicate)",0,1)</f>
        <v>1</v>
      </c>
      <c r="P832" s="1" t="str">
        <f aca="false">IF(AND(L832&lt;&gt;"",M832=""),"Needs decision","")</f>
        <v/>
      </c>
    </row>
    <row r="833" customFormat="false" ht="15" hidden="false" customHeight="false" outlineLevel="0" collapsed="false">
      <c r="A833" s="48" t="str">
        <f aca="false">COST!A833</f>
        <v>CBH-0005</v>
      </c>
      <c r="B833" s="48" t="str">
        <f aca="false">COST!B833</f>
        <v>CBH</v>
      </c>
      <c r="C833" s="48" t="str">
        <f aca="false">COST!D833</f>
        <v>Diabetes Prevention Classes</v>
      </c>
      <c r="D833" s="62" t="n">
        <f aca="false">COST!M833</f>
        <v>45850</v>
      </c>
      <c r="E833" s="48" t="str">
        <f aca="false">COST!P833</f>
        <v>Registered Dietitian</v>
      </c>
      <c r="F833" s="63" t="n">
        <f aca="false">COST!R833</f>
        <v>1.75</v>
      </c>
      <c r="G833" s="48" t="str">
        <f aca="false">STACK!M833</f>
        <v/>
      </c>
      <c r="H833" s="1" t="str">
        <f aca="false">C833&amp;"|"&amp;IF(ISNUMBER(D833),TEXT(D833,"yyyy-mm-dd"),"no date")&amp;"|"&amp;E833&amp;"|"&amp;IF(ISNUMBER(F833),TEXT(F833,"0.00"),"blank")</f>
        <v>Diabetes Prevention Classes|2025-07-12|Registered Dietitian|1.75</v>
      </c>
      <c r="I833" s="1" t="n">
        <f aca="false">COUNTIF($H$5:$H$1624,H833)</f>
        <v>1</v>
      </c>
      <c r="J833" s="1" t="n">
        <f aca="false">COUNTIF($H$5:H833,H833)</f>
        <v>1</v>
      </c>
      <c r="K833" s="1" t="n">
        <f aca="false">COUNTIFS($H$5:$H$1624,H833,$B$5:$B$1624,"&lt;&gt;"&amp;B833)</f>
        <v>0</v>
      </c>
      <c r="L833" s="1" t="str">
        <f aca="false">IF(I833&gt;1,IF(K833&gt;0,"Cross-hospital match","Same-hospital match"),"")</f>
        <v/>
      </c>
      <c r="M833" s="52"/>
      <c r="N833" s="52"/>
      <c r="O833" s="1" t="n">
        <f aca="false">IF(M833="Exclude (duplicate)",0,1)</f>
        <v>1</v>
      </c>
      <c r="P833" s="1" t="str">
        <f aca="false">IF(AND(L833&lt;&gt;"",M833=""),"Needs decision","")</f>
        <v/>
      </c>
    </row>
    <row r="834" customFormat="false" ht="15" hidden="false" customHeight="false" outlineLevel="0" collapsed="false">
      <c r="A834" s="48" t="str">
        <f aca="false">COST!A834</f>
        <v>CBH-0006</v>
      </c>
      <c r="B834" s="48" t="str">
        <f aca="false">COST!B834</f>
        <v>CBH</v>
      </c>
      <c r="C834" s="48" t="str">
        <f aca="false">COST!D834</f>
        <v>Mental Health First Aid Training</v>
      </c>
      <c r="D834" s="62" t="n">
        <f aca="false">COST!M834</f>
        <v>45852</v>
      </c>
      <c r="E834" s="48" t="str">
        <f aca="false">COST!P834</f>
        <v>Health Educator</v>
      </c>
      <c r="F834" s="63" t="n">
        <f aca="false">COST!R834</f>
        <v>8</v>
      </c>
      <c r="G834" s="48" t="str">
        <f aca="false">STACK!M834</f>
        <v/>
      </c>
      <c r="H834" s="1" t="str">
        <f aca="false">C834&amp;"|"&amp;IF(ISNUMBER(D834),TEXT(D834,"yyyy-mm-dd"),"no date")&amp;"|"&amp;E834&amp;"|"&amp;IF(ISNUMBER(F834),TEXT(F834,"0.00"),"blank")</f>
        <v>Mental Health First Aid Training|2025-07-14|Health Educator|8.00</v>
      </c>
      <c r="I834" s="1" t="n">
        <f aca="false">COUNTIF($H$5:$H$1624,H834)</f>
        <v>1</v>
      </c>
      <c r="J834" s="1" t="n">
        <f aca="false">COUNTIF($H$5:H834,H834)</f>
        <v>1</v>
      </c>
      <c r="K834" s="1" t="n">
        <f aca="false">COUNTIFS($H$5:$H$1624,H834,$B$5:$B$1624,"&lt;&gt;"&amp;B834)</f>
        <v>0</v>
      </c>
      <c r="L834" s="1" t="str">
        <f aca="false">IF(I834&gt;1,IF(K834&gt;0,"Cross-hospital match","Same-hospital match"),"")</f>
        <v/>
      </c>
      <c r="M834" s="52"/>
      <c r="N834" s="52"/>
      <c r="O834" s="1" t="n">
        <f aca="false">IF(M834="Exclude (duplicate)",0,1)</f>
        <v>1</v>
      </c>
      <c r="P834" s="1" t="str">
        <f aca="false">IF(AND(L834&lt;&gt;"",M834=""),"Needs decision","")</f>
        <v/>
      </c>
    </row>
    <row r="835" customFormat="false" ht="15" hidden="false" customHeight="false" outlineLevel="0" collapsed="false">
      <c r="A835" s="48" t="str">
        <f aca="false">COST!A835</f>
        <v>CBH-0007</v>
      </c>
      <c r="B835" s="48" t="str">
        <f aca="false">COST!B835</f>
        <v>CBH</v>
      </c>
      <c r="C835" s="48" t="str">
        <f aca="false">COST!D835</f>
        <v>Mental Health First Aid Training</v>
      </c>
      <c r="D835" s="62" t="n">
        <f aca="false">COST!M835</f>
        <v>45852</v>
      </c>
      <c r="E835" s="48" t="str">
        <f aca="false">COST!P835</f>
        <v>Social Worker</v>
      </c>
      <c r="F835" s="63" t="n">
        <f aca="false">COST!R835</f>
        <v>8</v>
      </c>
      <c r="G835" s="48" t="str">
        <f aca="false">STACK!M835</f>
        <v/>
      </c>
      <c r="H835" s="1" t="str">
        <f aca="false">C835&amp;"|"&amp;IF(ISNUMBER(D835),TEXT(D835,"yyyy-mm-dd"),"no date")&amp;"|"&amp;E835&amp;"|"&amp;IF(ISNUMBER(F835),TEXT(F835,"0.00"),"blank")</f>
        <v>Mental Health First Aid Training|2025-07-14|Social Worker|8.00</v>
      </c>
      <c r="I835" s="1" t="n">
        <f aca="false">COUNTIF($H$5:$H$1624,H835)</f>
        <v>1</v>
      </c>
      <c r="J835" s="1" t="n">
        <f aca="false">COUNTIF($H$5:H835,H835)</f>
        <v>1</v>
      </c>
      <c r="K835" s="1" t="n">
        <f aca="false">COUNTIFS($H$5:$H$1624,H835,$B$5:$B$1624,"&lt;&gt;"&amp;B835)</f>
        <v>0</v>
      </c>
      <c r="L835" s="1" t="str">
        <f aca="false">IF(I835&gt;1,IF(K835&gt;0,"Cross-hospital match","Same-hospital match"),"")</f>
        <v/>
      </c>
      <c r="M835" s="52"/>
      <c r="N835" s="52"/>
      <c r="O835" s="1" t="n">
        <f aca="false">IF(M835="Exclude (duplicate)",0,1)</f>
        <v>1</v>
      </c>
      <c r="P835" s="1" t="str">
        <f aca="false">IF(AND(L835&lt;&gt;"",M835=""),"Needs decision","")</f>
        <v/>
      </c>
    </row>
    <row r="836" customFormat="false" ht="15" hidden="false" customHeight="false" outlineLevel="0" collapsed="false">
      <c r="A836" s="48" t="str">
        <f aca="false">COST!A836</f>
        <v>CBH-0008</v>
      </c>
      <c r="B836" s="48" t="str">
        <f aca="false">COST!B836</f>
        <v>CBH</v>
      </c>
      <c r="C836" s="48" t="str">
        <f aca="false">COST!D836</f>
        <v>Diabetes Prevention Classes</v>
      </c>
      <c r="D836" s="62" t="n">
        <f aca="false">COST!M836</f>
        <v>45860</v>
      </c>
      <c r="E836" s="48" t="str">
        <f aca="false">COST!P836</f>
        <v>Health Educator</v>
      </c>
      <c r="F836" s="63" t="n">
        <f aca="false">COST!R836</f>
        <v>2.75</v>
      </c>
      <c r="G836" s="48" t="str">
        <f aca="false">STACK!M836</f>
        <v/>
      </c>
      <c r="H836" s="1" t="str">
        <f aca="false">C836&amp;"|"&amp;IF(ISNUMBER(D836),TEXT(D836,"yyyy-mm-dd"),"no date")&amp;"|"&amp;E836&amp;"|"&amp;IF(ISNUMBER(F836),TEXT(F836,"0.00"),"blank")</f>
        <v>Diabetes Prevention Classes|2025-07-22|Health Educator|2.75</v>
      </c>
      <c r="I836" s="1" t="n">
        <f aca="false">COUNTIF($H$5:$H$1624,H836)</f>
        <v>1</v>
      </c>
      <c r="J836" s="1" t="n">
        <f aca="false">COUNTIF($H$5:H836,H836)</f>
        <v>1</v>
      </c>
      <c r="K836" s="1" t="n">
        <f aca="false">COUNTIFS($H$5:$H$1624,H836,$B$5:$B$1624,"&lt;&gt;"&amp;B836)</f>
        <v>0</v>
      </c>
      <c r="L836" s="1" t="str">
        <f aca="false">IF(I836&gt;1,IF(K836&gt;0,"Cross-hospital match","Same-hospital match"),"")</f>
        <v/>
      </c>
      <c r="M836" s="52"/>
      <c r="N836" s="52"/>
      <c r="O836" s="1" t="n">
        <f aca="false">IF(M836="Exclude (duplicate)",0,1)</f>
        <v>1</v>
      </c>
      <c r="P836" s="1" t="str">
        <f aca="false">IF(AND(L836&lt;&gt;"",M836=""),"Needs decision","")</f>
        <v/>
      </c>
    </row>
    <row r="837" customFormat="false" ht="15" hidden="false" customHeight="false" outlineLevel="0" collapsed="false">
      <c r="A837" s="48" t="str">
        <f aca="false">COST!A837</f>
        <v>CBH-0009</v>
      </c>
      <c r="B837" s="48" t="str">
        <f aca="false">COST!B837</f>
        <v>CBH</v>
      </c>
      <c r="C837" s="48" t="str">
        <f aca="false">COST!D837</f>
        <v>Diabetes Prevention Classes</v>
      </c>
      <c r="D837" s="62" t="n">
        <f aca="false">COST!M837</f>
        <v>45860</v>
      </c>
      <c r="E837" s="48" t="str">
        <f aca="false">COST!P837</f>
        <v>Registered Dietitian</v>
      </c>
      <c r="F837" s="63" t="n">
        <f aca="false">COST!R837</f>
        <v>1.75</v>
      </c>
      <c r="G837" s="48" t="str">
        <f aca="false">STACK!M837</f>
        <v/>
      </c>
      <c r="H837" s="1" t="str">
        <f aca="false">C837&amp;"|"&amp;IF(ISNUMBER(D837),TEXT(D837,"yyyy-mm-dd"),"no date")&amp;"|"&amp;E837&amp;"|"&amp;IF(ISNUMBER(F837),TEXT(F837,"0.00"),"blank")</f>
        <v>Diabetes Prevention Classes|2025-07-22|Registered Dietitian|1.75</v>
      </c>
      <c r="I837" s="1" t="n">
        <f aca="false">COUNTIF($H$5:$H$1624,H837)</f>
        <v>1</v>
      </c>
      <c r="J837" s="1" t="n">
        <f aca="false">COUNTIF($H$5:H837,H837)</f>
        <v>1</v>
      </c>
      <c r="K837" s="1" t="n">
        <f aca="false">COUNTIFS($H$5:$H$1624,H837,$B$5:$B$1624,"&lt;&gt;"&amp;B837)</f>
        <v>0</v>
      </c>
      <c r="L837" s="1" t="str">
        <f aca="false">IF(I837&gt;1,IF(K837&gt;0,"Cross-hospital match","Same-hospital match"),"")</f>
        <v/>
      </c>
      <c r="M837" s="52"/>
      <c r="N837" s="52"/>
      <c r="O837" s="1" t="n">
        <f aca="false">IF(M837="Exclude (duplicate)",0,1)</f>
        <v>1</v>
      </c>
      <c r="P837" s="1" t="str">
        <f aca="false">IF(AND(L837&lt;&gt;"",M837=""),"Needs decision","")</f>
        <v/>
      </c>
    </row>
    <row r="838" customFormat="false" ht="15" hidden="false" customHeight="false" outlineLevel="0" collapsed="false">
      <c r="A838" s="48" t="str">
        <f aca="false">COST!A838</f>
        <v>CBH-0010</v>
      </c>
      <c r="B838" s="48" t="str">
        <f aca="false">COST!B838</f>
        <v>CBH</v>
      </c>
      <c r="C838" s="48" t="str">
        <f aca="false">COST!D838</f>
        <v>Mental Health First Aid Training</v>
      </c>
      <c r="D838" s="62" t="n">
        <f aca="false">COST!M838</f>
        <v>45868</v>
      </c>
      <c r="E838" s="48" t="str">
        <f aca="false">COST!P838</f>
        <v>Health Educator</v>
      </c>
      <c r="F838" s="63" t="n">
        <f aca="false">COST!R838</f>
        <v>8</v>
      </c>
      <c r="G838" s="48" t="str">
        <f aca="false">STACK!M838</f>
        <v/>
      </c>
      <c r="H838" s="1" t="str">
        <f aca="false">C838&amp;"|"&amp;IF(ISNUMBER(D838),TEXT(D838,"yyyy-mm-dd"),"no date")&amp;"|"&amp;E838&amp;"|"&amp;IF(ISNUMBER(F838),TEXT(F838,"0.00"),"blank")</f>
        <v>Mental Health First Aid Training|2025-07-30|Health Educator|8.00</v>
      </c>
      <c r="I838" s="1" t="n">
        <f aca="false">COUNTIF($H$5:$H$1624,H838)</f>
        <v>1</v>
      </c>
      <c r="J838" s="1" t="n">
        <f aca="false">COUNTIF($H$5:H838,H838)</f>
        <v>1</v>
      </c>
      <c r="K838" s="1" t="n">
        <f aca="false">COUNTIFS($H$5:$H$1624,H838,$B$5:$B$1624,"&lt;&gt;"&amp;B838)</f>
        <v>0</v>
      </c>
      <c r="L838" s="1" t="str">
        <f aca="false">IF(I838&gt;1,IF(K838&gt;0,"Cross-hospital match","Same-hospital match"),"")</f>
        <v/>
      </c>
      <c r="M838" s="52"/>
      <c r="N838" s="52"/>
      <c r="O838" s="1" t="n">
        <f aca="false">IF(M838="Exclude (duplicate)",0,1)</f>
        <v>1</v>
      </c>
      <c r="P838" s="1" t="str">
        <f aca="false">IF(AND(L838&lt;&gt;"",M838=""),"Needs decision","")</f>
        <v/>
      </c>
    </row>
    <row r="839" customFormat="false" ht="15" hidden="false" customHeight="false" outlineLevel="0" collapsed="false">
      <c r="A839" s="48" t="str">
        <f aca="false">COST!A839</f>
        <v>CBH-0011</v>
      </c>
      <c r="B839" s="48" t="str">
        <f aca="false">COST!B839</f>
        <v>CBH</v>
      </c>
      <c r="C839" s="48" t="str">
        <f aca="false">COST!D839</f>
        <v>Mental Health First Aid Training</v>
      </c>
      <c r="D839" s="62" t="n">
        <f aca="false">COST!M839</f>
        <v>45868</v>
      </c>
      <c r="E839" s="48" t="str">
        <f aca="false">COST!P839</f>
        <v>Social Worker</v>
      </c>
      <c r="F839" s="63" t="n">
        <f aca="false">COST!R839</f>
        <v>8</v>
      </c>
      <c r="G839" s="48" t="str">
        <f aca="false">STACK!M839</f>
        <v/>
      </c>
      <c r="H839" s="1" t="str">
        <f aca="false">C839&amp;"|"&amp;IF(ISNUMBER(D839),TEXT(D839,"yyyy-mm-dd"),"no date")&amp;"|"&amp;E839&amp;"|"&amp;IF(ISNUMBER(F839),TEXT(F839,"0.00"),"blank")</f>
        <v>Mental Health First Aid Training|2025-07-30|Social Worker|8.00</v>
      </c>
      <c r="I839" s="1" t="n">
        <f aca="false">COUNTIF($H$5:$H$1624,H839)</f>
        <v>1</v>
      </c>
      <c r="J839" s="1" t="n">
        <f aca="false">COUNTIF($H$5:H839,H839)</f>
        <v>1</v>
      </c>
      <c r="K839" s="1" t="n">
        <f aca="false">COUNTIFS($H$5:$H$1624,H839,$B$5:$B$1624,"&lt;&gt;"&amp;B839)</f>
        <v>0</v>
      </c>
      <c r="L839" s="1" t="str">
        <f aca="false">IF(I839&gt;1,IF(K839&gt;0,"Cross-hospital match","Same-hospital match"),"")</f>
        <v/>
      </c>
      <c r="M839" s="52"/>
      <c r="N839" s="52"/>
      <c r="O839" s="1" t="n">
        <f aca="false">IF(M839="Exclude (duplicate)",0,1)</f>
        <v>1</v>
      </c>
      <c r="P839" s="1" t="str">
        <f aca="false">IF(AND(L839&lt;&gt;"",M839=""),"Needs decision","")</f>
        <v/>
      </c>
    </row>
    <row r="840" customFormat="false" ht="15" hidden="false" customHeight="false" outlineLevel="0" collapsed="false">
      <c r="A840" s="48" t="str">
        <f aca="false">COST!A840</f>
        <v>CBH-0012</v>
      </c>
      <c r="B840" s="48" t="str">
        <f aca="false">COST!B840</f>
        <v>CBH</v>
      </c>
      <c r="C840" s="48" t="str">
        <f aca="false">COST!D840</f>
        <v>Free Clinic Provider Staffing</v>
      </c>
      <c r="D840" s="62" t="n">
        <f aca="false">COST!M840</f>
        <v>45869</v>
      </c>
      <c r="E840" s="48" t="str">
        <f aca="false">COST!P840</f>
        <v>Nurse Practitioner</v>
      </c>
      <c r="F840" s="63" t="n">
        <f aca="false">COST!R840</f>
        <v>45.25</v>
      </c>
      <c r="G840" s="48" t="str">
        <f aca="false">STACK!M840</f>
        <v/>
      </c>
      <c r="H840" s="1" t="str">
        <f aca="false">C840&amp;"|"&amp;IF(ISNUMBER(D840),TEXT(D840,"yyyy-mm-dd"),"no date")&amp;"|"&amp;E840&amp;"|"&amp;IF(ISNUMBER(F840),TEXT(F840,"0.00"),"blank")</f>
        <v>Free Clinic Provider Staffing|2025-07-31|Nurse Practitioner|45.25</v>
      </c>
      <c r="I840" s="1" t="n">
        <f aca="false">COUNTIF($H$5:$H$1624,H840)</f>
        <v>1</v>
      </c>
      <c r="J840" s="1" t="n">
        <f aca="false">COUNTIF($H$5:H840,H840)</f>
        <v>1</v>
      </c>
      <c r="K840" s="1" t="n">
        <f aca="false">COUNTIFS($H$5:$H$1624,H840,$B$5:$B$1624,"&lt;&gt;"&amp;B840)</f>
        <v>0</v>
      </c>
      <c r="L840" s="1" t="str">
        <f aca="false">IF(I840&gt;1,IF(K840&gt;0,"Cross-hospital match","Same-hospital match"),"")</f>
        <v/>
      </c>
      <c r="M840" s="52"/>
      <c r="N840" s="52"/>
      <c r="O840" s="1" t="n">
        <f aca="false">IF(M840="Exclude (duplicate)",0,1)</f>
        <v>1</v>
      </c>
      <c r="P840" s="1" t="str">
        <f aca="false">IF(AND(L840&lt;&gt;"",M840=""),"Needs decision","")</f>
        <v/>
      </c>
    </row>
    <row r="841" customFormat="false" ht="15" hidden="false" customHeight="false" outlineLevel="0" collapsed="false">
      <c r="A841" s="48" t="str">
        <f aca="false">COST!A841</f>
        <v>CBH-0013</v>
      </c>
      <c r="B841" s="48" t="str">
        <f aca="false">COST!B841</f>
        <v>CBH</v>
      </c>
      <c r="C841" s="48" t="str">
        <f aca="false">COST!D841</f>
        <v>Free Clinic Provider Staffing</v>
      </c>
      <c r="D841" s="62" t="n">
        <f aca="false">COST!M841</f>
        <v>45869</v>
      </c>
      <c r="E841" s="48" t="str">
        <f aca="false">COST!P841</f>
        <v>Pharmacist</v>
      </c>
      <c r="F841" s="63" t="n">
        <f aca="false">COST!R841</f>
        <v>11.75</v>
      </c>
      <c r="G841" s="48" t="str">
        <f aca="false">STACK!M841</f>
        <v/>
      </c>
      <c r="H841" s="1" t="str">
        <f aca="false">C841&amp;"|"&amp;IF(ISNUMBER(D841),TEXT(D841,"yyyy-mm-dd"),"no date")&amp;"|"&amp;E841&amp;"|"&amp;IF(ISNUMBER(F841),TEXT(F841,"0.00"),"blank")</f>
        <v>Free Clinic Provider Staffing|2025-07-31|Pharmacist|11.75</v>
      </c>
      <c r="I841" s="1" t="n">
        <f aca="false">COUNTIF($H$5:$H$1624,H841)</f>
        <v>1</v>
      </c>
      <c r="J841" s="1" t="n">
        <f aca="false">COUNTIF($H$5:H841,H841)</f>
        <v>1</v>
      </c>
      <c r="K841" s="1" t="n">
        <f aca="false">COUNTIFS($H$5:$H$1624,H841,$B$5:$B$1624,"&lt;&gt;"&amp;B841)</f>
        <v>0</v>
      </c>
      <c r="L841" s="1" t="str">
        <f aca="false">IF(I841&gt;1,IF(K841&gt;0,"Cross-hospital match","Same-hospital match"),"")</f>
        <v/>
      </c>
      <c r="M841" s="52"/>
      <c r="N841" s="52"/>
      <c r="O841" s="1" t="n">
        <f aca="false">IF(M841="Exclude (duplicate)",0,1)</f>
        <v>1</v>
      </c>
      <c r="P841" s="1" t="str">
        <f aca="false">IF(AND(L841&lt;&gt;"",M841=""),"Needs decision","")</f>
        <v/>
      </c>
    </row>
    <row r="842" customFormat="false" ht="15" hidden="false" customHeight="false" outlineLevel="0" collapsed="false">
      <c r="A842" s="48" t="str">
        <f aca="false">COST!A842</f>
        <v>CBH-0014</v>
      </c>
      <c r="B842" s="48" t="str">
        <f aca="false">COST!B842</f>
        <v>CBH</v>
      </c>
      <c r="C842" s="48" t="str">
        <f aca="false">COST!D842</f>
        <v>Free Clinic Provider Staffing</v>
      </c>
      <c r="D842" s="62" t="n">
        <f aca="false">COST!M842</f>
        <v>45869</v>
      </c>
      <c r="E842" s="48" t="str">
        <f aca="false">COST!P842</f>
        <v>Registered Nurse</v>
      </c>
      <c r="F842" s="63" t="n">
        <f aca="false">COST!R842</f>
        <v>30.25</v>
      </c>
      <c r="G842" s="48" t="str">
        <f aca="false">STACK!M842</f>
        <v/>
      </c>
      <c r="H842" s="1" t="str">
        <f aca="false">C842&amp;"|"&amp;IF(ISNUMBER(D842),TEXT(D842,"yyyy-mm-dd"),"no date")&amp;"|"&amp;E842&amp;"|"&amp;IF(ISNUMBER(F842),TEXT(F842,"0.00"),"blank")</f>
        <v>Free Clinic Provider Staffing|2025-07-31|Registered Nurse|30.25</v>
      </c>
      <c r="I842" s="1" t="n">
        <f aca="false">COUNTIF($H$5:$H$1624,H842)</f>
        <v>1</v>
      </c>
      <c r="J842" s="1" t="n">
        <f aca="false">COUNTIF($H$5:H842,H842)</f>
        <v>1</v>
      </c>
      <c r="K842" s="1" t="n">
        <f aca="false">COUNTIFS($H$5:$H$1624,H842,$B$5:$B$1624,"&lt;&gt;"&amp;B842)</f>
        <v>0</v>
      </c>
      <c r="L842" s="1" t="str">
        <f aca="false">IF(I842&gt;1,IF(K842&gt;0,"Cross-hospital match","Same-hospital match"),"")</f>
        <v/>
      </c>
      <c r="M842" s="52"/>
      <c r="N842" s="52"/>
      <c r="O842" s="1" t="n">
        <f aca="false">IF(M842="Exclude (duplicate)",0,1)</f>
        <v>1</v>
      </c>
      <c r="P842" s="1" t="str">
        <f aca="false">IF(AND(L842&lt;&gt;"",M842=""),"Needs decision","")</f>
        <v/>
      </c>
    </row>
    <row r="843" customFormat="false" ht="15" hidden="false" customHeight="false" outlineLevel="0" collapsed="false">
      <c r="A843" s="48" t="str">
        <f aca="false">COST!A843</f>
        <v>CBH-0015</v>
      </c>
      <c r="B843" s="48" t="str">
        <f aca="false">COST!B843</f>
        <v>CBH</v>
      </c>
      <c r="C843" s="48" t="str">
        <f aca="false">COST!D843</f>
        <v>Medication Assistance Program</v>
      </c>
      <c r="D843" s="62" t="n">
        <f aca="false">COST!M843</f>
        <v>45869</v>
      </c>
      <c r="E843" s="48" t="str">
        <f aca="false">COST!P843</f>
        <v>Patient Navigator</v>
      </c>
      <c r="F843" s="63" t="n">
        <f aca="false">COST!R843</f>
        <v>65</v>
      </c>
      <c r="G843" s="48" t="str">
        <f aca="false">STACK!M843</f>
        <v/>
      </c>
      <c r="H843" s="1" t="str">
        <f aca="false">C843&amp;"|"&amp;IF(ISNUMBER(D843),TEXT(D843,"yyyy-mm-dd"),"no date")&amp;"|"&amp;E843&amp;"|"&amp;IF(ISNUMBER(F843),TEXT(F843,"0.00"),"blank")</f>
        <v>Medication Assistance Program|2025-07-31|Patient Navigator|65.00</v>
      </c>
      <c r="I843" s="1" t="n">
        <f aca="false">COUNTIF($H$5:$H$1624,H843)</f>
        <v>1</v>
      </c>
      <c r="J843" s="1" t="n">
        <f aca="false">COUNTIF($H$5:H843,H843)</f>
        <v>1</v>
      </c>
      <c r="K843" s="1" t="n">
        <f aca="false">COUNTIFS($H$5:$H$1624,H843,$B$5:$B$1624,"&lt;&gt;"&amp;B843)</f>
        <v>0</v>
      </c>
      <c r="L843" s="1" t="str">
        <f aca="false">IF(I843&gt;1,IF(K843&gt;0,"Cross-hospital match","Same-hospital match"),"")</f>
        <v/>
      </c>
      <c r="M843" s="52"/>
      <c r="N843" s="52"/>
      <c r="O843" s="1" t="n">
        <f aca="false">IF(M843="Exclude (duplicate)",0,1)</f>
        <v>1</v>
      </c>
      <c r="P843" s="1" t="str">
        <f aca="false">IF(AND(L843&lt;&gt;"",M843=""),"Needs decision","")</f>
        <v/>
      </c>
    </row>
    <row r="844" customFormat="false" ht="15" hidden="false" customHeight="false" outlineLevel="0" collapsed="false">
      <c r="A844" s="48" t="str">
        <f aca="false">COST!A844</f>
        <v>CBH-0016</v>
      </c>
      <c r="B844" s="48" t="str">
        <f aca="false">COST!B844</f>
        <v>CBH</v>
      </c>
      <c r="C844" s="48" t="str">
        <f aca="false">COST!D844</f>
        <v>Medication Assistance Program</v>
      </c>
      <c r="D844" s="62" t="n">
        <f aca="false">COST!M844</f>
        <v>45869</v>
      </c>
      <c r="E844" s="48" t="str">
        <f aca="false">COST!P844</f>
        <v>Pharmacist</v>
      </c>
      <c r="F844" s="63" t="n">
        <f aca="false">COST!R844</f>
        <v>18.25</v>
      </c>
      <c r="G844" s="48" t="str">
        <f aca="false">STACK!M844</f>
        <v/>
      </c>
      <c r="H844" s="1" t="str">
        <f aca="false">C844&amp;"|"&amp;IF(ISNUMBER(D844),TEXT(D844,"yyyy-mm-dd"),"no date")&amp;"|"&amp;E844&amp;"|"&amp;IF(ISNUMBER(F844),TEXT(F844,"0.00"),"blank")</f>
        <v>Medication Assistance Program|2025-07-31|Pharmacist|18.25</v>
      </c>
      <c r="I844" s="1" t="n">
        <f aca="false">COUNTIF($H$5:$H$1624,H844)</f>
        <v>1</v>
      </c>
      <c r="J844" s="1" t="n">
        <f aca="false">COUNTIF($H$5:H844,H844)</f>
        <v>1</v>
      </c>
      <c r="K844" s="1" t="n">
        <f aca="false">COUNTIFS($H$5:$H$1624,H844,$B$5:$B$1624,"&lt;&gt;"&amp;B844)</f>
        <v>0</v>
      </c>
      <c r="L844" s="1" t="str">
        <f aca="false">IF(I844&gt;1,IF(K844&gt;0,"Cross-hospital match","Same-hospital match"),"")</f>
        <v/>
      </c>
      <c r="M844" s="52"/>
      <c r="N844" s="52"/>
      <c r="O844" s="1" t="n">
        <f aca="false">IF(M844="Exclude (duplicate)",0,1)</f>
        <v>1</v>
      </c>
      <c r="P844" s="1" t="str">
        <f aca="false">IF(AND(L844&lt;&gt;"",M844=""),"Needs decision","")</f>
        <v/>
      </c>
    </row>
    <row r="845" customFormat="false" ht="15" hidden="false" customHeight="false" outlineLevel="0" collapsed="false">
      <c r="A845" s="48" t="str">
        <f aca="false">COST!A845</f>
        <v>CBH-0017</v>
      </c>
      <c r="B845" s="48" t="str">
        <f aca="false">COST!B845</f>
        <v>CBH</v>
      </c>
      <c r="C845" s="48" t="str">
        <f aca="false">COST!D845</f>
        <v>Community Benefit Program Administration</v>
      </c>
      <c r="D845" s="62" t="n">
        <f aca="false">COST!M845</f>
        <v>45869</v>
      </c>
      <c r="E845" s="48" t="str">
        <f aca="false">COST!P845</f>
        <v>Administrative Assistant</v>
      </c>
      <c r="F845" s="63" t="n">
        <f aca="false">COST!R845</f>
        <v>36.25</v>
      </c>
      <c r="G845" s="48" t="str">
        <f aca="false">STACK!M845</f>
        <v/>
      </c>
      <c r="H845" s="1" t="str">
        <f aca="false">C845&amp;"|"&amp;IF(ISNUMBER(D845),TEXT(D845,"yyyy-mm-dd"),"no date")&amp;"|"&amp;E845&amp;"|"&amp;IF(ISNUMBER(F845),TEXT(F845,"0.00"),"blank")</f>
        <v>Community Benefit Program Administration|2025-07-31|Administrative Assistant|36.25</v>
      </c>
      <c r="I845" s="1" t="n">
        <f aca="false">COUNTIF($H$5:$H$1624,H845)</f>
        <v>1</v>
      </c>
      <c r="J845" s="1" t="n">
        <f aca="false">COUNTIF($H$5:H845,H845)</f>
        <v>1</v>
      </c>
      <c r="K845" s="1" t="n">
        <f aca="false">COUNTIFS($H$5:$H$1624,H845,$B$5:$B$1624,"&lt;&gt;"&amp;B845)</f>
        <v>0</v>
      </c>
      <c r="L845" s="1" t="str">
        <f aca="false">IF(I845&gt;1,IF(K845&gt;0,"Cross-hospital match","Same-hospital match"),"")</f>
        <v/>
      </c>
      <c r="M845" s="52"/>
      <c r="N845" s="52"/>
      <c r="O845" s="1" t="n">
        <f aca="false">IF(M845="Exclude (duplicate)",0,1)</f>
        <v>1</v>
      </c>
      <c r="P845" s="1" t="str">
        <f aca="false">IF(AND(L845&lt;&gt;"",M845=""),"Needs decision","")</f>
        <v/>
      </c>
    </row>
    <row r="846" customFormat="false" ht="15" hidden="false" customHeight="false" outlineLevel="0" collapsed="false">
      <c r="A846" s="48" t="str">
        <f aca="false">COST!A846</f>
        <v>CBH-0018</v>
      </c>
      <c r="B846" s="48" t="str">
        <f aca="false">COST!B846</f>
        <v>CBH</v>
      </c>
      <c r="C846" s="48" t="str">
        <f aca="false">COST!D846</f>
        <v>Community Benefit Program Administration</v>
      </c>
      <c r="D846" s="62" t="n">
        <f aca="false">COST!M846</f>
        <v>45869</v>
      </c>
      <c r="E846" s="48" t="str">
        <f aca="false">COST!P846</f>
        <v>Community Benefit Manager</v>
      </c>
      <c r="F846" s="63" t="n">
        <f aca="false">COST!R846</f>
        <v>49.75</v>
      </c>
      <c r="G846" s="48" t="str">
        <f aca="false">STACK!M846</f>
        <v/>
      </c>
      <c r="H846" s="1" t="str">
        <f aca="false">C846&amp;"|"&amp;IF(ISNUMBER(D846),TEXT(D846,"yyyy-mm-dd"),"no date")&amp;"|"&amp;E846&amp;"|"&amp;IF(ISNUMBER(F846),TEXT(F846,"0.00"),"blank")</f>
        <v>Community Benefit Program Administration|2025-07-31|Community Benefit Manager|49.75</v>
      </c>
      <c r="I846" s="1" t="n">
        <f aca="false">COUNTIF($H$5:$H$1624,H846)</f>
        <v>1</v>
      </c>
      <c r="J846" s="1" t="n">
        <f aca="false">COUNTIF($H$5:H846,H846)</f>
        <v>1</v>
      </c>
      <c r="K846" s="1" t="n">
        <f aca="false">COUNTIFS($H$5:$H$1624,H846,$B$5:$B$1624,"&lt;&gt;"&amp;B846)</f>
        <v>0</v>
      </c>
      <c r="L846" s="1" t="str">
        <f aca="false">IF(I846&gt;1,IF(K846&gt;0,"Cross-hospital match","Same-hospital match"),"")</f>
        <v/>
      </c>
      <c r="M846" s="52"/>
      <c r="N846" s="52"/>
      <c r="O846" s="1" t="n">
        <f aca="false">IF(M846="Exclude (duplicate)",0,1)</f>
        <v>1</v>
      </c>
      <c r="P846" s="1" t="str">
        <f aca="false">IF(AND(L846&lt;&gt;"",M846=""),"Needs decision","")</f>
        <v/>
      </c>
    </row>
    <row r="847" customFormat="false" ht="15" hidden="false" customHeight="false" outlineLevel="0" collapsed="false">
      <c r="A847" s="48" t="str">
        <f aca="false">COST!A847</f>
        <v>CBH-0019</v>
      </c>
      <c r="B847" s="48" t="str">
        <f aca="false">COST!B847</f>
        <v>CBH</v>
      </c>
      <c r="C847" s="48" t="str">
        <f aca="false">COST!D847</f>
        <v>Interpreter Services for Community Clinics</v>
      </c>
      <c r="D847" s="62" t="n">
        <f aca="false">COST!M847</f>
        <v>45869</v>
      </c>
      <c r="E847" s="48" t="str">
        <f aca="false">COST!P847</f>
        <v>Interpreter</v>
      </c>
      <c r="F847" s="63" t="n">
        <f aca="false">COST!R847</f>
        <v>40.25</v>
      </c>
      <c r="G847" s="48" t="str">
        <f aca="false">STACK!M847</f>
        <v/>
      </c>
      <c r="H847" s="1" t="str">
        <f aca="false">C847&amp;"|"&amp;IF(ISNUMBER(D847),TEXT(D847,"yyyy-mm-dd"),"no date")&amp;"|"&amp;E847&amp;"|"&amp;IF(ISNUMBER(F847),TEXT(F847,"0.00"),"blank")</f>
        <v>Interpreter Services for Community Clinics|2025-07-31|Interpreter|40.25</v>
      </c>
      <c r="I847" s="1" t="n">
        <f aca="false">COUNTIF($H$5:$H$1624,H847)</f>
        <v>1</v>
      </c>
      <c r="J847" s="1" t="n">
        <f aca="false">COUNTIF($H$5:H847,H847)</f>
        <v>1</v>
      </c>
      <c r="K847" s="1" t="n">
        <f aca="false">COUNTIFS($H$5:$H$1624,H847,$B$5:$B$1624,"&lt;&gt;"&amp;B847)</f>
        <v>0</v>
      </c>
      <c r="L847" s="1" t="str">
        <f aca="false">IF(I847&gt;1,IF(K847&gt;0,"Cross-hospital match","Same-hospital match"),"")</f>
        <v/>
      </c>
      <c r="M847" s="52"/>
      <c r="N847" s="52"/>
      <c r="O847" s="1" t="n">
        <f aca="false">IF(M847="Exclude (duplicate)",0,1)</f>
        <v>1</v>
      </c>
      <c r="P847" s="1" t="str">
        <f aca="false">IF(AND(L847&lt;&gt;"",M847=""),"Needs decision","")</f>
        <v/>
      </c>
    </row>
    <row r="848" customFormat="false" ht="15" hidden="false" customHeight="false" outlineLevel="0" collapsed="false">
      <c r="A848" s="48" t="str">
        <f aca="false">COST!A848</f>
        <v>CBH-0020</v>
      </c>
      <c r="B848" s="48" t="str">
        <f aca="false">COST!B848</f>
        <v>CBH</v>
      </c>
      <c r="C848" s="48" t="str">
        <f aca="false">COST!D848</f>
        <v>Nursing Student Clinical Rotations</v>
      </c>
      <c r="D848" s="62" t="n">
        <f aca="false">COST!M848</f>
        <v>45869</v>
      </c>
      <c r="E848" s="48" t="str">
        <f aca="false">COST!P848</f>
        <v>Clinical Nurse Educator</v>
      </c>
      <c r="F848" s="63" t="n">
        <f aca="false">COST!R848</f>
        <v>49</v>
      </c>
      <c r="G848" s="48" t="str">
        <f aca="false">STACK!M848</f>
        <v/>
      </c>
      <c r="H848" s="1" t="str">
        <f aca="false">C848&amp;"|"&amp;IF(ISNUMBER(D848),TEXT(D848,"yyyy-mm-dd"),"no date")&amp;"|"&amp;E848&amp;"|"&amp;IF(ISNUMBER(F848),TEXT(F848,"0.00"),"blank")</f>
        <v>Nursing Student Clinical Rotations|2025-07-31|Clinical Nurse Educator|49.00</v>
      </c>
      <c r="I848" s="1" t="n">
        <f aca="false">COUNTIF($H$5:$H$1624,H848)</f>
        <v>1</v>
      </c>
      <c r="J848" s="1" t="n">
        <f aca="false">COUNTIF($H$5:H848,H848)</f>
        <v>1</v>
      </c>
      <c r="K848" s="1" t="n">
        <f aca="false">COUNTIFS($H$5:$H$1624,H848,$B$5:$B$1624,"&lt;&gt;"&amp;B848)</f>
        <v>0</v>
      </c>
      <c r="L848" s="1" t="str">
        <f aca="false">IF(I848&gt;1,IF(K848&gt;0,"Cross-hospital match","Same-hospital match"),"")</f>
        <v/>
      </c>
      <c r="M848" s="52"/>
      <c r="N848" s="52"/>
      <c r="O848" s="1" t="n">
        <f aca="false">IF(M848="Exclude (duplicate)",0,1)</f>
        <v>1</v>
      </c>
      <c r="P848" s="1" t="str">
        <f aca="false">IF(AND(L848&lt;&gt;"",M848=""),"Needs decision","")</f>
        <v/>
      </c>
    </row>
    <row r="849" customFormat="false" ht="15" hidden="false" customHeight="false" outlineLevel="0" collapsed="false">
      <c r="A849" s="48" t="str">
        <f aca="false">COST!A849</f>
        <v>CBH-0021</v>
      </c>
      <c r="B849" s="48" t="str">
        <f aca="false">COST!B849</f>
        <v>CBH</v>
      </c>
      <c r="C849" s="48" t="str">
        <f aca="false">COST!D849</f>
        <v>Nursing Student Clinical Rotations</v>
      </c>
      <c r="D849" s="62" t="n">
        <f aca="false">COST!M849</f>
        <v>45869</v>
      </c>
      <c r="E849" s="48" t="str">
        <f aca="false">COST!P849</f>
        <v>Registered Nurse</v>
      </c>
      <c r="F849" s="63" t="n">
        <f aca="false">COST!R849</f>
        <v>64.75</v>
      </c>
      <c r="G849" s="48" t="str">
        <f aca="false">STACK!M849</f>
        <v/>
      </c>
      <c r="H849" s="1" t="str">
        <f aca="false">C849&amp;"|"&amp;IF(ISNUMBER(D849),TEXT(D849,"yyyy-mm-dd"),"no date")&amp;"|"&amp;E849&amp;"|"&amp;IF(ISNUMBER(F849),TEXT(F849,"0.00"),"blank")</f>
        <v>Nursing Student Clinical Rotations|2025-07-31|Registered Nurse|64.75</v>
      </c>
      <c r="I849" s="1" t="n">
        <f aca="false">COUNTIF($H$5:$H$1624,H849)</f>
        <v>1</v>
      </c>
      <c r="J849" s="1" t="n">
        <f aca="false">COUNTIF($H$5:H849,H849)</f>
        <v>1</v>
      </c>
      <c r="K849" s="1" t="n">
        <f aca="false">COUNTIFS($H$5:$H$1624,H849,$B$5:$B$1624,"&lt;&gt;"&amp;B849)</f>
        <v>0</v>
      </c>
      <c r="L849" s="1" t="str">
        <f aca="false">IF(I849&gt;1,IF(K849&gt;0,"Cross-hospital match","Same-hospital match"),"")</f>
        <v/>
      </c>
      <c r="M849" s="52"/>
      <c r="N849" s="52"/>
      <c r="O849" s="1" t="n">
        <f aca="false">IF(M849="Exclude (duplicate)",0,1)</f>
        <v>1</v>
      </c>
      <c r="P849" s="1" t="str">
        <f aca="false">IF(AND(L849&lt;&gt;"",M849=""),"Needs decision","")</f>
        <v/>
      </c>
    </row>
    <row r="850" customFormat="false" ht="15" hidden="false" customHeight="false" outlineLevel="0" collapsed="false">
      <c r="A850" s="48" t="str">
        <f aca="false">COST!A850</f>
        <v>CBH-0022</v>
      </c>
      <c r="B850" s="48" t="str">
        <f aca="false">COST!B850</f>
        <v>CBH</v>
      </c>
      <c r="C850" s="48" t="str">
        <f aca="false">COST!D850</f>
        <v>Pharmacy Student Rotations</v>
      </c>
      <c r="D850" s="62" t="n">
        <f aca="false">COST!M850</f>
        <v>45869</v>
      </c>
      <c r="E850" s="48" t="str">
        <f aca="false">COST!P850</f>
        <v>Pharmacist</v>
      </c>
      <c r="F850" s="63" t="n">
        <f aca="false">COST!R850</f>
        <v>57.75</v>
      </c>
      <c r="G850" s="48" t="str">
        <f aca="false">STACK!M850</f>
        <v/>
      </c>
      <c r="H850" s="1" t="str">
        <f aca="false">C850&amp;"|"&amp;IF(ISNUMBER(D850),TEXT(D850,"yyyy-mm-dd"),"no date")&amp;"|"&amp;E850&amp;"|"&amp;IF(ISNUMBER(F850),TEXT(F850,"0.00"),"blank")</f>
        <v>Pharmacy Student Rotations|2025-07-31|Pharmacist|57.75</v>
      </c>
      <c r="I850" s="1" t="n">
        <f aca="false">COUNTIF($H$5:$H$1624,H850)</f>
        <v>1</v>
      </c>
      <c r="J850" s="1" t="n">
        <f aca="false">COUNTIF($H$5:H850,H850)</f>
        <v>1</v>
      </c>
      <c r="K850" s="1" t="n">
        <f aca="false">COUNTIFS($H$5:$H$1624,H850,$B$5:$B$1624,"&lt;&gt;"&amp;B850)</f>
        <v>0</v>
      </c>
      <c r="L850" s="1" t="str">
        <f aca="false">IF(I850&gt;1,IF(K850&gt;0,"Cross-hospital match","Same-hospital match"),"")</f>
        <v/>
      </c>
      <c r="M850" s="52"/>
      <c r="N850" s="52"/>
      <c r="O850" s="1" t="n">
        <f aca="false">IF(M850="Exclude (duplicate)",0,1)</f>
        <v>1</v>
      </c>
      <c r="P850" s="1" t="str">
        <f aca="false">IF(AND(L850&lt;&gt;"",M850=""),"Needs decision","")</f>
        <v/>
      </c>
    </row>
    <row r="851" customFormat="false" ht="15" hidden="false" customHeight="false" outlineLevel="0" collapsed="false">
      <c r="A851" s="48" t="str">
        <f aca="false">COST!A851</f>
        <v>CBH-0023</v>
      </c>
      <c r="B851" s="48" t="str">
        <f aca="false">COST!B851</f>
        <v>CBH</v>
      </c>
      <c r="C851" s="48" t="str">
        <f aca="false">COST!D851</f>
        <v>Community Blood Pressure Checks</v>
      </c>
      <c r="D851" s="62" t="n">
        <f aca="false">COST!M851</f>
        <v>45870</v>
      </c>
      <c r="E851" s="48" t="str">
        <f aca="false">COST!P851</f>
        <v>Registered Nurse</v>
      </c>
      <c r="F851" s="63" t="n">
        <f aca="false">COST!R851</f>
        <v>3.25</v>
      </c>
      <c r="G851" s="48" t="str">
        <f aca="false">STACK!M851</f>
        <v/>
      </c>
      <c r="H851" s="1" t="str">
        <f aca="false">C851&amp;"|"&amp;IF(ISNUMBER(D851),TEXT(D851,"yyyy-mm-dd"),"no date")&amp;"|"&amp;E851&amp;"|"&amp;IF(ISNUMBER(F851),TEXT(F851,"0.00"),"blank")</f>
        <v>Community Blood Pressure Checks|2025-08-01|Registered Nurse|3.25</v>
      </c>
      <c r="I851" s="1" t="n">
        <f aca="false">COUNTIF($H$5:$H$1624,H851)</f>
        <v>1</v>
      </c>
      <c r="J851" s="1" t="n">
        <f aca="false">COUNTIF($H$5:H851,H851)</f>
        <v>1</v>
      </c>
      <c r="K851" s="1" t="n">
        <f aca="false">COUNTIFS($H$5:$H$1624,H851,$B$5:$B$1624,"&lt;&gt;"&amp;B851)</f>
        <v>0</v>
      </c>
      <c r="L851" s="1" t="str">
        <f aca="false">IF(I851&gt;1,IF(K851&gt;0,"Cross-hospital match","Same-hospital match"),"")</f>
        <v/>
      </c>
      <c r="M851" s="52"/>
      <c r="N851" s="52"/>
      <c r="O851" s="1" t="n">
        <f aca="false">IF(M851="Exclude (duplicate)",0,1)</f>
        <v>1</v>
      </c>
      <c r="P851" s="1" t="str">
        <f aca="false">IF(AND(L851&lt;&gt;"",M851=""),"Needs decision","")</f>
        <v/>
      </c>
    </row>
    <row r="852" customFormat="false" ht="15" hidden="false" customHeight="false" outlineLevel="0" collapsed="false">
      <c r="A852" s="48" t="str">
        <f aca="false">COST!A852</f>
        <v>CBH-0024</v>
      </c>
      <c r="B852" s="48" t="str">
        <f aca="false">COST!B852</f>
        <v>CBH</v>
      </c>
      <c r="C852" s="48" t="str">
        <f aca="false">COST!D852</f>
        <v>Diabetes Prevention Classes</v>
      </c>
      <c r="D852" s="62" t="n">
        <f aca="false">COST!M852</f>
        <v>45871</v>
      </c>
      <c r="E852" s="48" t="str">
        <f aca="false">COST!P852</f>
        <v>Health Educator</v>
      </c>
      <c r="F852" s="63" t="n">
        <f aca="false">COST!R852</f>
        <v>2.75</v>
      </c>
      <c r="G852" s="48" t="str">
        <f aca="false">STACK!M852</f>
        <v/>
      </c>
      <c r="H852" s="1" t="str">
        <f aca="false">C852&amp;"|"&amp;IF(ISNUMBER(D852),TEXT(D852,"yyyy-mm-dd"),"no date")&amp;"|"&amp;E852&amp;"|"&amp;IF(ISNUMBER(F852),TEXT(F852,"0.00"),"blank")</f>
        <v>Diabetes Prevention Classes|2025-08-02|Health Educator|2.75</v>
      </c>
      <c r="I852" s="1" t="n">
        <f aca="false">COUNTIF($H$5:$H$1624,H852)</f>
        <v>1</v>
      </c>
      <c r="J852" s="1" t="n">
        <f aca="false">COUNTIF($H$5:H852,H852)</f>
        <v>1</v>
      </c>
      <c r="K852" s="1" t="n">
        <f aca="false">COUNTIFS($H$5:$H$1624,H852,$B$5:$B$1624,"&lt;&gt;"&amp;B852)</f>
        <v>0</v>
      </c>
      <c r="L852" s="1" t="str">
        <f aca="false">IF(I852&gt;1,IF(K852&gt;0,"Cross-hospital match","Same-hospital match"),"")</f>
        <v/>
      </c>
      <c r="M852" s="52"/>
      <c r="N852" s="52"/>
      <c r="O852" s="1" t="n">
        <f aca="false">IF(M852="Exclude (duplicate)",0,1)</f>
        <v>1</v>
      </c>
      <c r="P852" s="1" t="str">
        <f aca="false">IF(AND(L852&lt;&gt;"",M852=""),"Needs decision","")</f>
        <v/>
      </c>
    </row>
    <row r="853" customFormat="false" ht="15" hidden="false" customHeight="false" outlineLevel="0" collapsed="false">
      <c r="A853" s="48" t="str">
        <f aca="false">COST!A853</f>
        <v>CBH-0025</v>
      </c>
      <c r="B853" s="48" t="str">
        <f aca="false">COST!B853</f>
        <v>CBH</v>
      </c>
      <c r="C853" s="48" t="str">
        <f aca="false">COST!D853</f>
        <v>Diabetes Prevention Classes</v>
      </c>
      <c r="D853" s="62" t="n">
        <f aca="false">COST!M853</f>
        <v>45871</v>
      </c>
      <c r="E853" s="48" t="str">
        <f aca="false">COST!P853</f>
        <v>Registered Dietitian</v>
      </c>
      <c r="F853" s="63" t="n">
        <f aca="false">COST!R853</f>
        <v>1.75</v>
      </c>
      <c r="G853" s="48" t="str">
        <f aca="false">STACK!M853</f>
        <v/>
      </c>
      <c r="H853" s="1" t="str">
        <f aca="false">C853&amp;"|"&amp;IF(ISNUMBER(D853),TEXT(D853,"yyyy-mm-dd"),"no date")&amp;"|"&amp;E853&amp;"|"&amp;IF(ISNUMBER(F853),TEXT(F853,"0.00"),"blank")</f>
        <v>Diabetes Prevention Classes|2025-08-02|Registered Dietitian|1.75</v>
      </c>
      <c r="I853" s="1" t="n">
        <f aca="false">COUNTIF($H$5:$H$1624,H853)</f>
        <v>1</v>
      </c>
      <c r="J853" s="1" t="n">
        <f aca="false">COUNTIF($H$5:H853,H853)</f>
        <v>1</v>
      </c>
      <c r="K853" s="1" t="n">
        <f aca="false">COUNTIFS($H$5:$H$1624,H853,$B$5:$B$1624,"&lt;&gt;"&amp;B853)</f>
        <v>0</v>
      </c>
      <c r="L853" s="1" t="str">
        <f aca="false">IF(I853&gt;1,IF(K853&gt;0,"Cross-hospital match","Same-hospital match"),"")</f>
        <v/>
      </c>
      <c r="M853" s="52"/>
      <c r="N853" s="52"/>
      <c r="O853" s="1" t="n">
        <f aca="false">IF(M853="Exclude (duplicate)",0,1)</f>
        <v>1</v>
      </c>
      <c r="P853" s="1" t="str">
        <f aca="false">IF(AND(L853&lt;&gt;"",M853=""),"Needs decision","")</f>
        <v/>
      </c>
    </row>
    <row r="854" customFormat="false" ht="15" hidden="false" customHeight="false" outlineLevel="0" collapsed="false">
      <c r="A854" s="48" t="str">
        <f aca="false">COST!A854</f>
        <v>CBH-0026</v>
      </c>
      <c r="B854" s="48" t="str">
        <f aca="false">COST!B854</f>
        <v>CBH</v>
      </c>
      <c r="C854" s="48" t="str">
        <f aca="false">COST!D854</f>
        <v>Smoke-Free Parks Advocacy</v>
      </c>
      <c r="D854" s="62" t="n">
        <f aca="false">COST!M854</f>
        <v>45874</v>
      </c>
      <c r="E854" s="48" t="str">
        <f aca="false">COST!P854</f>
        <v>Director</v>
      </c>
      <c r="F854" s="63" t="n">
        <f aca="false">COST!R854</f>
        <v>1</v>
      </c>
      <c r="G854" s="48" t="str">
        <f aca="false">STACK!M854</f>
        <v/>
      </c>
      <c r="H854" s="1" t="str">
        <f aca="false">C854&amp;"|"&amp;IF(ISNUMBER(D854),TEXT(D854,"yyyy-mm-dd"),"no date")&amp;"|"&amp;E854&amp;"|"&amp;IF(ISNUMBER(F854),TEXT(F854,"0.00"),"blank")</f>
        <v>Smoke-Free Parks Advocacy|2025-08-05|Director|1.00</v>
      </c>
      <c r="I854" s="1" t="n">
        <f aca="false">COUNTIF($H$5:$H$1624,H854)</f>
        <v>1</v>
      </c>
      <c r="J854" s="1" t="n">
        <f aca="false">COUNTIF($H$5:H854,H854)</f>
        <v>1</v>
      </c>
      <c r="K854" s="1" t="n">
        <f aca="false">COUNTIFS($H$5:$H$1624,H854,$B$5:$B$1624,"&lt;&gt;"&amp;B854)</f>
        <v>0</v>
      </c>
      <c r="L854" s="1" t="str">
        <f aca="false">IF(I854&gt;1,IF(K854&gt;0,"Cross-hospital match","Same-hospital match"),"")</f>
        <v/>
      </c>
      <c r="M854" s="52"/>
      <c r="N854" s="52"/>
      <c r="O854" s="1" t="n">
        <f aca="false">IF(M854="Exclude (duplicate)",0,1)</f>
        <v>1</v>
      </c>
      <c r="P854" s="1" t="str">
        <f aca="false">IF(AND(L854&lt;&gt;"",M854=""),"Needs decision","")</f>
        <v/>
      </c>
    </row>
    <row r="855" customFormat="false" ht="15" hidden="false" customHeight="false" outlineLevel="0" collapsed="false">
      <c r="A855" s="48" t="str">
        <f aca="false">COST!A855</f>
        <v>CBH-0027</v>
      </c>
      <c r="B855" s="48" t="str">
        <f aca="false">COST!B855</f>
        <v>CBH</v>
      </c>
      <c r="C855" s="48" t="str">
        <f aca="false">COST!D855</f>
        <v>Smoke-Free Parks Advocacy</v>
      </c>
      <c r="D855" s="62" t="n">
        <f aca="false">COST!M855</f>
        <v>45874</v>
      </c>
      <c r="E855" s="48" t="str">
        <f aca="false">COST!P855</f>
        <v>Health Educator</v>
      </c>
      <c r="F855" s="63" t="n">
        <f aca="false">COST!R855</f>
        <v>3.75</v>
      </c>
      <c r="G855" s="48" t="str">
        <f aca="false">STACK!M855</f>
        <v/>
      </c>
      <c r="H855" s="1" t="str">
        <f aca="false">C855&amp;"|"&amp;IF(ISNUMBER(D855),TEXT(D855,"yyyy-mm-dd"),"no date")&amp;"|"&amp;E855&amp;"|"&amp;IF(ISNUMBER(F855),TEXT(F855,"0.00"),"blank")</f>
        <v>Smoke-Free Parks Advocacy|2025-08-05|Health Educator|3.75</v>
      </c>
      <c r="I855" s="1" t="n">
        <f aca="false">COUNTIF($H$5:$H$1624,H855)</f>
        <v>1</v>
      </c>
      <c r="J855" s="1" t="n">
        <f aca="false">COUNTIF($H$5:H855,H855)</f>
        <v>1</v>
      </c>
      <c r="K855" s="1" t="n">
        <f aca="false">COUNTIFS($H$5:$H$1624,H855,$B$5:$B$1624,"&lt;&gt;"&amp;B855)</f>
        <v>0</v>
      </c>
      <c r="L855" s="1" t="str">
        <f aca="false">IF(I855&gt;1,IF(K855&gt;0,"Cross-hospital match","Same-hospital match"),"")</f>
        <v/>
      </c>
      <c r="M855" s="52"/>
      <c r="N855" s="52"/>
      <c r="O855" s="1" t="n">
        <f aca="false">IF(M855="Exclude (duplicate)",0,1)</f>
        <v>1</v>
      </c>
      <c r="P855" s="1" t="str">
        <f aca="false">IF(AND(L855&lt;&gt;"",M855=""),"Needs decision","")</f>
        <v/>
      </c>
    </row>
    <row r="856" customFormat="false" ht="15" hidden="false" customHeight="false" outlineLevel="0" collapsed="false">
      <c r="A856" s="48" t="str">
        <f aca="false">COST!A856</f>
        <v>CBH-0028</v>
      </c>
      <c r="B856" s="48" t="str">
        <f aca="false">COST!B856</f>
        <v>CBH</v>
      </c>
      <c r="C856" s="48" t="str">
        <f aca="false">COST!D856</f>
        <v>Childbirth and Newborn Care Classes</v>
      </c>
      <c r="D856" s="62" t="n">
        <f aca="false">COST!M856</f>
        <v>45876</v>
      </c>
      <c r="E856" s="48" t="str">
        <f aca="false">COST!P856</f>
        <v>Clinical Nurse Educator</v>
      </c>
      <c r="F856" s="63" t="n">
        <f aca="false">COST!R856</f>
        <v>3.25</v>
      </c>
      <c r="G856" s="48" t="str">
        <f aca="false">STACK!M856</f>
        <v/>
      </c>
      <c r="H856" s="1" t="str">
        <f aca="false">C856&amp;"|"&amp;IF(ISNUMBER(D856),TEXT(D856,"yyyy-mm-dd"),"no date")&amp;"|"&amp;E856&amp;"|"&amp;IF(ISNUMBER(F856),TEXT(F856,"0.00"),"blank")</f>
        <v>Childbirth and Newborn Care Classes|2025-08-07|Clinical Nurse Educator|3.25</v>
      </c>
      <c r="I856" s="1" t="n">
        <f aca="false">COUNTIF($H$5:$H$1624,H856)</f>
        <v>1</v>
      </c>
      <c r="J856" s="1" t="n">
        <f aca="false">COUNTIF($H$5:H856,H856)</f>
        <v>1</v>
      </c>
      <c r="K856" s="1" t="n">
        <f aca="false">COUNTIFS($H$5:$H$1624,H856,$B$5:$B$1624,"&lt;&gt;"&amp;B856)</f>
        <v>0</v>
      </c>
      <c r="L856" s="1" t="str">
        <f aca="false">IF(I856&gt;1,IF(K856&gt;0,"Cross-hospital match","Same-hospital match"),"")</f>
        <v/>
      </c>
      <c r="M856" s="52"/>
      <c r="N856" s="52"/>
      <c r="O856" s="1" t="n">
        <f aca="false">IF(M856="Exclude (duplicate)",0,1)</f>
        <v>1</v>
      </c>
      <c r="P856" s="1" t="str">
        <f aca="false">IF(AND(L856&lt;&gt;"",M856=""),"Needs decision","")</f>
        <v/>
      </c>
    </row>
    <row r="857" customFormat="false" ht="15" hidden="false" customHeight="false" outlineLevel="0" collapsed="false">
      <c r="A857" s="48" t="str">
        <f aca="false">COST!A857</f>
        <v>CBH-0029</v>
      </c>
      <c r="B857" s="48" t="str">
        <f aca="false">COST!B857</f>
        <v>CBH</v>
      </c>
      <c r="C857" s="48" t="str">
        <f aca="false">COST!D857</f>
        <v>Regional Health Coalition</v>
      </c>
      <c r="D857" s="62" t="n">
        <f aca="false">COST!M857</f>
        <v>45883</v>
      </c>
      <c r="E857" s="48" t="str">
        <f aca="false">COST!P857</f>
        <v>Community Benefit Manager</v>
      </c>
      <c r="F857" s="63" t="n">
        <f aca="false">COST!R857</f>
        <v>2.5</v>
      </c>
      <c r="G857" s="48" t="str">
        <f aca="false">STACK!M857</f>
        <v>Joint meeting, KVMC hosted</v>
      </c>
      <c r="H857" s="1" t="str">
        <f aca="false">C857&amp;"|"&amp;IF(ISNUMBER(D857),TEXT(D857,"yyyy-mm-dd"),"no date")&amp;"|"&amp;E857&amp;"|"&amp;IF(ISNUMBER(F857),TEXT(F857,"0.00"),"blank")</f>
        <v>Regional Health Coalition|2025-08-14|Community Benefit Manager|2.50</v>
      </c>
      <c r="I857" s="1" t="n">
        <f aca="false">COUNTIF($H$5:$H$1624,H857)</f>
        <v>2</v>
      </c>
      <c r="J857" s="1" t="n">
        <f aca="false">COUNTIF($H$5:H857,H857)</f>
        <v>2</v>
      </c>
      <c r="K857" s="1" t="n">
        <f aca="false">COUNTIFS($H$5:$H$1624,H857,$B$5:$B$1624,"&lt;&gt;"&amp;B857)</f>
        <v>1</v>
      </c>
      <c r="L857" s="1" t="str">
        <f aca="false">IF(I857&gt;1,IF(K857&gt;0,"Cross-hospital match","Same-hospital match"),"")</f>
        <v>Cross-hospital match</v>
      </c>
      <c r="M857" s="52" t="s">
        <v>2962</v>
      </c>
      <c r="N857" s="52" t="s">
        <v>2964</v>
      </c>
      <c r="O857" s="1" t="n">
        <f aca="false">IF(M857="Exclude (duplicate)",0,1)</f>
        <v>0</v>
      </c>
      <c r="P857" s="1" t="str">
        <f aca="false">IF(AND(L857&lt;&gt;"",M857=""),"Needs decision","")</f>
        <v/>
      </c>
    </row>
    <row r="858" customFormat="false" ht="15" hidden="false" customHeight="false" outlineLevel="0" collapsed="false">
      <c r="A858" s="48" t="str">
        <f aca="false">COST!A858</f>
        <v>CBH-0030</v>
      </c>
      <c r="B858" s="48" t="str">
        <f aca="false">COST!B858</f>
        <v>CBH</v>
      </c>
      <c r="C858" s="48" t="str">
        <f aca="false">COST!D858</f>
        <v>Regional Health Coalition</v>
      </c>
      <c r="D858" s="62" t="n">
        <f aca="false">COST!M858</f>
        <v>45883</v>
      </c>
      <c r="E858" s="48" t="str">
        <f aca="false">COST!P858</f>
        <v>Director</v>
      </c>
      <c r="F858" s="63" t="n">
        <f aca="false">COST!R858</f>
        <v>2.25</v>
      </c>
      <c r="G858" s="48" t="str">
        <f aca="false">STACK!M858</f>
        <v>Joint meeting, KVMC hosted</v>
      </c>
      <c r="H858" s="1" t="str">
        <f aca="false">C858&amp;"|"&amp;IF(ISNUMBER(D858),TEXT(D858,"yyyy-mm-dd"),"no date")&amp;"|"&amp;E858&amp;"|"&amp;IF(ISNUMBER(F858),TEXT(F858,"0.00"),"blank")</f>
        <v>Regional Health Coalition|2025-08-14|Director|2.25</v>
      </c>
      <c r="I858" s="1" t="n">
        <f aca="false">COUNTIF($H$5:$H$1624,H858)</f>
        <v>2</v>
      </c>
      <c r="J858" s="1" t="n">
        <f aca="false">COUNTIF($H$5:H858,H858)</f>
        <v>2</v>
      </c>
      <c r="K858" s="1" t="n">
        <f aca="false">COUNTIFS($H$5:$H$1624,H858,$B$5:$B$1624,"&lt;&gt;"&amp;B858)</f>
        <v>1</v>
      </c>
      <c r="L858" s="1" t="str">
        <f aca="false">IF(I858&gt;1,IF(K858&gt;0,"Cross-hospital match","Same-hospital match"),"")</f>
        <v>Cross-hospital match</v>
      </c>
      <c r="M858" s="52" t="s">
        <v>2962</v>
      </c>
      <c r="N858" s="52" t="s">
        <v>2964</v>
      </c>
      <c r="O858" s="1" t="n">
        <f aca="false">IF(M858="Exclude (duplicate)",0,1)</f>
        <v>0</v>
      </c>
      <c r="P858" s="1" t="str">
        <f aca="false">IF(AND(L858&lt;&gt;"",M858=""),"Needs decision","")</f>
        <v/>
      </c>
    </row>
    <row r="859" customFormat="false" ht="15" hidden="false" customHeight="false" outlineLevel="0" collapsed="false">
      <c r="A859" s="48" t="str">
        <f aca="false">COST!A859</f>
        <v>CBH-0031</v>
      </c>
      <c r="B859" s="48" t="str">
        <f aca="false">COST!B859</f>
        <v>CBH</v>
      </c>
      <c r="C859" s="48" t="str">
        <f aca="false">COST!D859</f>
        <v>Diabetes Prevention Classes</v>
      </c>
      <c r="D859" s="62" t="n">
        <f aca="false">COST!M859</f>
        <v>45889</v>
      </c>
      <c r="E859" s="48" t="str">
        <f aca="false">COST!P859</f>
        <v>Health Educator</v>
      </c>
      <c r="F859" s="63" t="n">
        <f aca="false">COST!R859</f>
        <v>2</v>
      </c>
      <c r="G859" s="48" t="str">
        <f aca="false">STACK!M859</f>
        <v/>
      </c>
      <c r="H859" s="1" t="str">
        <f aca="false">C859&amp;"|"&amp;IF(ISNUMBER(D859),TEXT(D859,"yyyy-mm-dd"),"no date")&amp;"|"&amp;E859&amp;"|"&amp;IF(ISNUMBER(F859),TEXT(F859,"0.00"),"blank")</f>
        <v>Diabetes Prevention Classes|2025-08-20|Health Educator|2.00</v>
      </c>
      <c r="I859" s="1" t="n">
        <f aca="false">COUNTIF($H$5:$H$1624,H859)</f>
        <v>1</v>
      </c>
      <c r="J859" s="1" t="n">
        <f aca="false">COUNTIF($H$5:H859,H859)</f>
        <v>1</v>
      </c>
      <c r="K859" s="1" t="n">
        <f aca="false">COUNTIFS($H$5:$H$1624,H859,$B$5:$B$1624,"&lt;&gt;"&amp;B859)</f>
        <v>0</v>
      </c>
      <c r="L859" s="1" t="str">
        <f aca="false">IF(I859&gt;1,IF(K859&gt;0,"Cross-hospital match","Same-hospital match"),"")</f>
        <v/>
      </c>
      <c r="M859" s="52"/>
      <c r="N859" s="52"/>
      <c r="O859" s="1" t="n">
        <f aca="false">IF(M859="Exclude (duplicate)",0,1)</f>
        <v>1</v>
      </c>
      <c r="P859" s="1" t="str">
        <f aca="false">IF(AND(L859&lt;&gt;"",M859=""),"Needs decision","")</f>
        <v/>
      </c>
    </row>
    <row r="860" customFormat="false" ht="15" hidden="false" customHeight="false" outlineLevel="0" collapsed="false">
      <c r="A860" s="48" t="str">
        <f aca="false">COST!A860</f>
        <v>CBH-0032</v>
      </c>
      <c r="B860" s="48" t="str">
        <f aca="false">COST!B860</f>
        <v>CBH</v>
      </c>
      <c r="C860" s="48" t="str">
        <f aca="false">COST!D860</f>
        <v>Diabetes Prevention Classes</v>
      </c>
      <c r="D860" s="62" t="n">
        <f aca="false">COST!M860</f>
        <v>45889</v>
      </c>
      <c r="E860" s="48" t="str">
        <f aca="false">COST!P860</f>
        <v>Registered Dietitian</v>
      </c>
      <c r="F860" s="63" t="n">
        <f aca="false">COST!R860</f>
        <v>2</v>
      </c>
      <c r="G860" s="48" t="str">
        <f aca="false">STACK!M860</f>
        <v/>
      </c>
      <c r="H860" s="1" t="str">
        <f aca="false">C860&amp;"|"&amp;IF(ISNUMBER(D860),TEXT(D860,"yyyy-mm-dd"),"no date")&amp;"|"&amp;E860&amp;"|"&amp;IF(ISNUMBER(F860),TEXT(F860,"0.00"),"blank")</f>
        <v>Diabetes Prevention Classes|2025-08-20|Registered Dietitian|2.00</v>
      </c>
      <c r="I860" s="1" t="n">
        <f aca="false">COUNTIF($H$5:$H$1624,H860)</f>
        <v>1</v>
      </c>
      <c r="J860" s="1" t="n">
        <f aca="false">COUNTIF($H$5:H860,H860)</f>
        <v>1</v>
      </c>
      <c r="K860" s="1" t="n">
        <f aca="false">COUNTIFS($H$5:$H$1624,H860,$B$5:$B$1624,"&lt;&gt;"&amp;B860)</f>
        <v>0</v>
      </c>
      <c r="L860" s="1" t="str">
        <f aca="false">IF(I860&gt;1,IF(K860&gt;0,"Cross-hospital match","Same-hospital match"),"")</f>
        <v/>
      </c>
      <c r="M860" s="52"/>
      <c r="N860" s="52"/>
      <c r="O860" s="1" t="n">
        <f aca="false">IF(M860="Exclude (duplicate)",0,1)</f>
        <v>1</v>
      </c>
      <c r="P860" s="1" t="str">
        <f aca="false">IF(AND(L860&lt;&gt;"",M860=""),"Needs decision","")</f>
        <v/>
      </c>
    </row>
    <row r="861" customFormat="false" ht="15" hidden="false" customHeight="false" outlineLevel="0" collapsed="false">
      <c r="A861" s="48" t="str">
        <f aca="false">COST!A861</f>
        <v>CBH-0033</v>
      </c>
      <c r="B861" s="48" t="str">
        <f aca="false">COST!B861</f>
        <v>CBH</v>
      </c>
      <c r="C861" s="48" t="str">
        <f aca="false">COST!D861</f>
        <v>Smoke-Free Parks Advocacy</v>
      </c>
      <c r="D861" s="62" t="n">
        <f aca="false">COST!M861</f>
        <v>45897</v>
      </c>
      <c r="E861" s="48" t="str">
        <f aca="false">COST!P861</f>
        <v>Director</v>
      </c>
      <c r="F861" s="63" t="n">
        <f aca="false">COST!R861</f>
        <v>1.75</v>
      </c>
      <c r="G861" s="48" t="str">
        <f aca="false">STACK!M861</f>
        <v/>
      </c>
      <c r="H861" s="1" t="str">
        <f aca="false">C861&amp;"|"&amp;IF(ISNUMBER(D861),TEXT(D861,"yyyy-mm-dd"),"no date")&amp;"|"&amp;E861&amp;"|"&amp;IF(ISNUMBER(F861),TEXT(F861,"0.00"),"blank")</f>
        <v>Smoke-Free Parks Advocacy|2025-08-28|Director|1.75</v>
      </c>
      <c r="I861" s="1" t="n">
        <f aca="false">COUNTIF($H$5:$H$1624,H861)</f>
        <v>1</v>
      </c>
      <c r="J861" s="1" t="n">
        <f aca="false">COUNTIF($H$5:H861,H861)</f>
        <v>1</v>
      </c>
      <c r="K861" s="1" t="n">
        <f aca="false">COUNTIFS($H$5:$H$1624,H861,$B$5:$B$1624,"&lt;&gt;"&amp;B861)</f>
        <v>0</v>
      </c>
      <c r="L861" s="1" t="str">
        <f aca="false">IF(I861&gt;1,IF(K861&gt;0,"Cross-hospital match","Same-hospital match"),"")</f>
        <v/>
      </c>
      <c r="M861" s="52"/>
      <c r="N861" s="52"/>
      <c r="O861" s="1" t="n">
        <f aca="false">IF(M861="Exclude (duplicate)",0,1)</f>
        <v>1</v>
      </c>
      <c r="P861" s="1" t="str">
        <f aca="false">IF(AND(L861&lt;&gt;"",M861=""),"Needs decision","")</f>
        <v/>
      </c>
    </row>
    <row r="862" customFormat="false" ht="15" hidden="false" customHeight="false" outlineLevel="0" collapsed="false">
      <c r="A862" s="48" t="str">
        <f aca="false">COST!A862</f>
        <v>CBH-0034</v>
      </c>
      <c r="B862" s="48" t="str">
        <f aca="false">COST!B862</f>
        <v>CBH</v>
      </c>
      <c r="C862" s="48" t="str">
        <f aca="false">COST!D862</f>
        <v>Smoke-Free Parks Advocacy</v>
      </c>
      <c r="D862" s="62" t="n">
        <f aca="false">COST!M862</f>
        <v>45897</v>
      </c>
      <c r="E862" s="48" t="str">
        <f aca="false">COST!P862</f>
        <v>Health Educator</v>
      </c>
      <c r="F862" s="63" t="n">
        <f aca="false">COST!R862</f>
        <v>3.75</v>
      </c>
      <c r="G862" s="48" t="str">
        <f aca="false">STACK!M862</f>
        <v/>
      </c>
      <c r="H862" s="1" t="str">
        <f aca="false">C862&amp;"|"&amp;IF(ISNUMBER(D862),TEXT(D862,"yyyy-mm-dd"),"no date")&amp;"|"&amp;E862&amp;"|"&amp;IF(ISNUMBER(F862),TEXT(F862,"0.00"),"blank")</f>
        <v>Smoke-Free Parks Advocacy|2025-08-28|Health Educator|3.75</v>
      </c>
      <c r="I862" s="1" t="n">
        <f aca="false">COUNTIF($H$5:$H$1624,H862)</f>
        <v>1</v>
      </c>
      <c r="J862" s="1" t="n">
        <f aca="false">COUNTIF($H$5:H862,H862)</f>
        <v>1</v>
      </c>
      <c r="K862" s="1" t="n">
        <f aca="false">COUNTIFS($H$5:$H$1624,H862,$B$5:$B$1624,"&lt;&gt;"&amp;B862)</f>
        <v>0</v>
      </c>
      <c r="L862" s="1" t="str">
        <f aca="false">IF(I862&gt;1,IF(K862&gt;0,"Cross-hospital match","Same-hospital match"),"")</f>
        <v/>
      </c>
      <c r="M862" s="52"/>
      <c r="N862" s="52"/>
      <c r="O862" s="1" t="n">
        <f aca="false">IF(M862="Exclude (duplicate)",0,1)</f>
        <v>1</v>
      </c>
      <c r="P862" s="1" t="str">
        <f aca="false">IF(AND(L862&lt;&gt;"",M862=""),"Needs decision","")</f>
        <v/>
      </c>
    </row>
    <row r="863" customFormat="false" ht="15" hidden="false" customHeight="false" outlineLevel="0" collapsed="false">
      <c r="A863" s="48" t="str">
        <f aca="false">COST!A863</f>
        <v>CBH-0035</v>
      </c>
      <c r="B863" s="48" t="str">
        <f aca="false">COST!B863</f>
        <v>CBH</v>
      </c>
      <c r="C863" s="48" t="str">
        <f aca="false">COST!D863</f>
        <v>Free Clinic Provider Staffing</v>
      </c>
      <c r="D863" s="62" t="n">
        <f aca="false">COST!M863</f>
        <v>45900</v>
      </c>
      <c r="E863" s="48" t="str">
        <f aca="false">COST!P863</f>
        <v>Nurse Practitioner</v>
      </c>
      <c r="F863" s="63" t="n">
        <f aca="false">COST!R863</f>
        <v>29.5</v>
      </c>
      <c r="G863" s="48" t="str">
        <f aca="false">STACK!M863</f>
        <v/>
      </c>
      <c r="H863" s="1" t="str">
        <f aca="false">C863&amp;"|"&amp;IF(ISNUMBER(D863),TEXT(D863,"yyyy-mm-dd"),"no date")&amp;"|"&amp;E863&amp;"|"&amp;IF(ISNUMBER(F863),TEXT(F863,"0.00"),"blank")</f>
        <v>Free Clinic Provider Staffing|2025-08-31|Nurse Practitioner|29.50</v>
      </c>
      <c r="I863" s="1" t="n">
        <f aca="false">COUNTIF($H$5:$H$1624,H863)</f>
        <v>1</v>
      </c>
      <c r="J863" s="1" t="n">
        <f aca="false">COUNTIF($H$5:H863,H863)</f>
        <v>1</v>
      </c>
      <c r="K863" s="1" t="n">
        <f aca="false">COUNTIFS($H$5:$H$1624,H863,$B$5:$B$1624,"&lt;&gt;"&amp;B863)</f>
        <v>0</v>
      </c>
      <c r="L863" s="1" t="str">
        <f aca="false">IF(I863&gt;1,IF(K863&gt;0,"Cross-hospital match","Same-hospital match"),"")</f>
        <v/>
      </c>
      <c r="M863" s="52"/>
      <c r="N863" s="52"/>
      <c r="O863" s="1" t="n">
        <f aca="false">IF(M863="Exclude (duplicate)",0,1)</f>
        <v>1</v>
      </c>
      <c r="P863" s="1" t="str">
        <f aca="false">IF(AND(L863&lt;&gt;"",M863=""),"Needs decision","")</f>
        <v/>
      </c>
    </row>
    <row r="864" customFormat="false" ht="15" hidden="false" customHeight="false" outlineLevel="0" collapsed="false">
      <c r="A864" s="48" t="str">
        <f aca="false">COST!A864</f>
        <v>CBH-0036</v>
      </c>
      <c r="B864" s="48" t="str">
        <f aca="false">COST!B864</f>
        <v>CBH</v>
      </c>
      <c r="C864" s="48" t="str">
        <f aca="false">COST!D864</f>
        <v>Free Clinic Provider Staffing</v>
      </c>
      <c r="D864" s="62" t="n">
        <f aca="false">COST!M864</f>
        <v>45900</v>
      </c>
      <c r="E864" s="48" t="str">
        <f aca="false">COST!P864</f>
        <v>Pharmacist</v>
      </c>
      <c r="F864" s="63" t="n">
        <f aca="false">COST!R864</f>
        <v>15.75</v>
      </c>
      <c r="G864" s="48" t="str">
        <f aca="false">STACK!M864</f>
        <v/>
      </c>
      <c r="H864" s="1" t="str">
        <f aca="false">C864&amp;"|"&amp;IF(ISNUMBER(D864),TEXT(D864,"yyyy-mm-dd"),"no date")&amp;"|"&amp;E864&amp;"|"&amp;IF(ISNUMBER(F864),TEXT(F864,"0.00"),"blank")</f>
        <v>Free Clinic Provider Staffing|2025-08-31|Pharmacist|15.75</v>
      </c>
      <c r="I864" s="1" t="n">
        <f aca="false">COUNTIF($H$5:$H$1624,H864)</f>
        <v>1</v>
      </c>
      <c r="J864" s="1" t="n">
        <f aca="false">COUNTIF($H$5:H864,H864)</f>
        <v>1</v>
      </c>
      <c r="K864" s="1" t="n">
        <f aca="false">COUNTIFS($H$5:$H$1624,H864,$B$5:$B$1624,"&lt;&gt;"&amp;B864)</f>
        <v>0</v>
      </c>
      <c r="L864" s="1" t="str">
        <f aca="false">IF(I864&gt;1,IF(K864&gt;0,"Cross-hospital match","Same-hospital match"),"")</f>
        <v/>
      </c>
      <c r="M864" s="52"/>
      <c r="N864" s="52"/>
      <c r="O864" s="1" t="n">
        <f aca="false">IF(M864="Exclude (duplicate)",0,1)</f>
        <v>1</v>
      </c>
      <c r="P864" s="1" t="str">
        <f aca="false">IF(AND(L864&lt;&gt;"",M864=""),"Needs decision","")</f>
        <v/>
      </c>
    </row>
    <row r="865" customFormat="false" ht="15" hidden="false" customHeight="false" outlineLevel="0" collapsed="false">
      <c r="A865" s="48" t="str">
        <f aca="false">COST!A865</f>
        <v>CBH-0037</v>
      </c>
      <c r="B865" s="48" t="str">
        <f aca="false">COST!B865</f>
        <v>CBH</v>
      </c>
      <c r="C865" s="48" t="str">
        <f aca="false">COST!D865</f>
        <v>Free Clinic Provider Staffing</v>
      </c>
      <c r="D865" s="62" t="n">
        <f aca="false">COST!M865</f>
        <v>45900</v>
      </c>
      <c r="E865" s="48" t="str">
        <f aca="false">COST!P865</f>
        <v>Registered Nurse</v>
      </c>
      <c r="F865" s="63" t="n">
        <f aca="false">COST!R865</f>
        <v>33.75</v>
      </c>
      <c r="G865" s="48" t="str">
        <f aca="false">STACK!M865</f>
        <v/>
      </c>
      <c r="H865" s="1" t="str">
        <f aca="false">C865&amp;"|"&amp;IF(ISNUMBER(D865),TEXT(D865,"yyyy-mm-dd"),"no date")&amp;"|"&amp;E865&amp;"|"&amp;IF(ISNUMBER(F865),TEXT(F865,"0.00"),"blank")</f>
        <v>Free Clinic Provider Staffing|2025-08-31|Registered Nurse|33.75</v>
      </c>
      <c r="I865" s="1" t="n">
        <f aca="false">COUNTIF($H$5:$H$1624,H865)</f>
        <v>1</v>
      </c>
      <c r="J865" s="1" t="n">
        <f aca="false">COUNTIF($H$5:H865,H865)</f>
        <v>1</v>
      </c>
      <c r="K865" s="1" t="n">
        <f aca="false">COUNTIFS($H$5:$H$1624,H865,$B$5:$B$1624,"&lt;&gt;"&amp;B865)</f>
        <v>0</v>
      </c>
      <c r="L865" s="1" t="str">
        <f aca="false">IF(I865&gt;1,IF(K865&gt;0,"Cross-hospital match","Same-hospital match"),"")</f>
        <v/>
      </c>
      <c r="M865" s="52"/>
      <c r="N865" s="52"/>
      <c r="O865" s="1" t="n">
        <f aca="false">IF(M865="Exclude (duplicate)",0,1)</f>
        <v>1</v>
      </c>
      <c r="P865" s="1" t="str">
        <f aca="false">IF(AND(L865&lt;&gt;"",M865=""),"Needs decision","")</f>
        <v/>
      </c>
    </row>
    <row r="866" customFormat="false" ht="15" hidden="false" customHeight="false" outlineLevel="0" collapsed="false">
      <c r="A866" s="48" t="str">
        <f aca="false">COST!A866</f>
        <v>CBH-0038</v>
      </c>
      <c r="B866" s="48" t="str">
        <f aca="false">COST!B866</f>
        <v>CBH</v>
      </c>
      <c r="C866" s="48" t="str">
        <f aca="false">COST!D866</f>
        <v>Medication Assistance Program</v>
      </c>
      <c r="D866" s="62" t="n">
        <f aca="false">COST!M866</f>
        <v>45900</v>
      </c>
      <c r="E866" s="48" t="str">
        <f aca="false">COST!P866</f>
        <v>Patient Navigator</v>
      </c>
      <c r="F866" s="63" t="n">
        <f aca="false">COST!R866</f>
        <v>59</v>
      </c>
      <c r="G866" s="48" t="str">
        <f aca="false">STACK!M866</f>
        <v/>
      </c>
      <c r="H866" s="1" t="str">
        <f aca="false">C866&amp;"|"&amp;IF(ISNUMBER(D866),TEXT(D866,"yyyy-mm-dd"),"no date")&amp;"|"&amp;E866&amp;"|"&amp;IF(ISNUMBER(F866),TEXT(F866,"0.00"),"blank")</f>
        <v>Medication Assistance Program|2025-08-31|Patient Navigator|59.00</v>
      </c>
      <c r="I866" s="1" t="n">
        <f aca="false">COUNTIF($H$5:$H$1624,H866)</f>
        <v>1</v>
      </c>
      <c r="J866" s="1" t="n">
        <f aca="false">COUNTIF($H$5:H866,H866)</f>
        <v>1</v>
      </c>
      <c r="K866" s="1" t="n">
        <f aca="false">COUNTIFS($H$5:$H$1624,H866,$B$5:$B$1624,"&lt;&gt;"&amp;B866)</f>
        <v>0</v>
      </c>
      <c r="L866" s="1" t="str">
        <f aca="false">IF(I866&gt;1,IF(K866&gt;0,"Cross-hospital match","Same-hospital match"),"")</f>
        <v/>
      </c>
      <c r="M866" s="52"/>
      <c r="N866" s="52"/>
      <c r="O866" s="1" t="n">
        <f aca="false">IF(M866="Exclude (duplicate)",0,1)</f>
        <v>1</v>
      </c>
      <c r="P866" s="1" t="str">
        <f aca="false">IF(AND(L866&lt;&gt;"",M866=""),"Needs decision","")</f>
        <v/>
      </c>
    </row>
    <row r="867" customFormat="false" ht="15" hidden="false" customHeight="false" outlineLevel="0" collapsed="false">
      <c r="A867" s="48" t="str">
        <f aca="false">COST!A867</f>
        <v>CBH-0039</v>
      </c>
      <c r="B867" s="48" t="str">
        <f aca="false">COST!B867</f>
        <v>CBH</v>
      </c>
      <c r="C867" s="48" t="str">
        <f aca="false">COST!D867</f>
        <v>Medication Assistance Program</v>
      </c>
      <c r="D867" s="62" t="n">
        <f aca="false">COST!M867</f>
        <v>45900</v>
      </c>
      <c r="E867" s="48" t="str">
        <f aca="false">COST!P867</f>
        <v>Pharmacist</v>
      </c>
      <c r="F867" s="63" t="n">
        <f aca="false">COST!R867</f>
        <v>20</v>
      </c>
      <c r="G867" s="48" t="str">
        <f aca="false">STACK!M867</f>
        <v/>
      </c>
      <c r="H867" s="1" t="str">
        <f aca="false">C867&amp;"|"&amp;IF(ISNUMBER(D867),TEXT(D867,"yyyy-mm-dd"),"no date")&amp;"|"&amp;E867&amp;"|"&amp;IF(ISNUMBER(F867),TEXT(F867,"0.00"),"blank")</f>
        <v>Medication Assistance Program|2025-08-31|Pharmacist|20.00</v>
      </c>
      <c r="I867" s="1" t="n">
        <f aca="false">COUNTIF($H$5:$H$1624,H867)</f>
        <v>1</v>
      </c>
      <c r="J867" s="1" t="n">
        <f aca="false">COUNTIF($H$5:H867,H867)</f>
        <v>1</v>
      </c>
      <c r="K867" s="1" t="n">
        <f aca="false">COUNTIFS($H$5:$H$1624,H867,$B$5:$B$1624,"&lt;&gt;"&amp;B867)</f>
        <v>0</v>
      </c>
      <c r="L867" s="1" t="str">
        <f aca="false">IF(I867&gt;1,IF(K867&gt;0,"Cross-hospital match","Same-hospital match"),"")</f>
        <v/>
      </c>
      <c r="M867" s="52"/>
      <c r="N867" s="52"/>
      <c r="O867" s="1" t="n">
        <f aca="false">IF(M867="Exclude (duplicate)",0,1)</f>
        <v>1</v>
      </c>
      <c r="P867" s="1" t="str">
        <f aca="false">IF(AND(L867&lt;&gt;"",M867=""),"Needs decision","")</f>
        <v/>
      </c>
    </row>
    <row r="868" customFormat="false" ht="15" hidden="false" customHeight="false" outlineLevel="0" collapsed="false">
      <c r="A868" s="48" t="str">
        <f aca="false">COST!A868</f>
        <v>CBH-0040</v>
      </c>
      <c r="B868" s="48" t="str">
        <f aca="false">COST!B868</f>
        <v>CBH</v>
      </c>
      <c r="C868" s="48" t="str">
        <f aca="false">COST!D868</f>
        <v>Community Benefit Program Administration</v>
      </c>
      <c r="D868" s="62" t="n">
        <f aca="false">COST!M868</f>
        <v>45900</v>
      </c>
      <c r="E868" s="48" t="str">
        <f aca="false">COST!P868</f>
        <v>Administrative Assistant</v>
      </c>
      <c r="F868" s="63" t="n">
        <f aca="false">COST!R868</f>
        <v>30.5</v>
      </c>
      <c r="G868" s="48" t="str">
        <f aca="false">STACK!M868</f>
        <v/>
      </c>
      <c r="H868" s="1" t="str">
        <f aca="false">C868&amp;"|"&amp;IF(ISNUMBER(D868),TEXT(D868,"yyyy-mm-dd"),"no date")&amp;"|"&amp;E868&amp;"|"&amp;IF(ISNUMBER(F868),TEXT(F868,"0.00"),"blank")</f>
        <v>Community Benefit Program Administration|2025-08-31|Administrative Assistant|30.50</v>
      </c>
      <c r="I868" s="1" t="n">
        <f aca="false">COUNTIF($H$5:$H$1624,H868)</f>
        <v>1</v>
      </c>
      <c r="J868" s="1" t="n">
        <f aca="false">COUNTIF($H$5:H868,H868)</f>
        <v>1</v>
      </c>
      <c r="K868" s="1" t="n">
        <f aca="false">COUNTIFS($H$5:$H$1624,H868,$B$5:$B$1624,"&lt;&gt;"&amp;B868)</f>
        <v>0</v>
      </c>
      <c r="L868" s="1" t="str">
        <f aca="false">IF(I868&gt;1,IF(K868&gt;0,"Cross-hospital match","Same-hospital match"),"")</f>
        <v/>
      </c>
      <c r="M868" s="52"/>
      <c r="N868" s="52"/>
      <c r="O868" s="1" t="n">
        <f aca="false">IF(M868="Exclude (duplicate)",0,1)</f>
        <v>1</v>
      </c>
      <c r="P868" s="1" t="str">
        <f aca="false">IF(AND(L868&lt;&gt;"",M868=""),"Needs decision","")</f>
        <v/>
      </c>
    </row>
    <row r="869" customFormat="false" ht="15" hidden="false" customHeight="false" outlineLevel="0" collapsed="false">
      <c r="A869" s="48" t="str">
        <f aca="false">COST!A869</f>
        <v>CBH-0041</v>
      </c>
      <c r="B869" s="48" t="str">
        <f aca="false">COST!B869</f>
        <v>CBH</v>
      </c>
      <c r="C869" s="48" t="str">
        <f aca="false">COST!D869</f>
        <v>Community Benefit Program Administration</v>
      </c>
      <c r="D869" s="62" t="n">
        <f aca="false">COST!M869</f>
        <v>45900</v>
      </c>
      <c r="E869" s="48" t="str">
        <f aca="false">COST!P869</f>
        <v>Community Benefit Manager</v>
      </c>
      <c r="F869" s="63" t="n">
        <f aca="false">COST!R869</f>
        <v>72.25</v>
      </c>
      <c r="G869" s="48" t="str">
        <f aca="false">STACK!M869</f>
        <v/>
      </c>
      <c r="H869" s="1" t="str">
        <f aca="false">C869&amp;"|"&amp;IF(ISNUMBER(D869),TEXT(D869,"yyyy-mm-dd"),"no date")&amp;"|"&amp;E869&amp;"|"&amp;IF(ISNUMBER(F869),TEXT(F869,"0.00"),"blank")</f>
        <v>Community Benefit Program Administration|2025-08-31|Community Benefit Manager|72.25</v>
      </c>
      <c r="I869" s="1" t="n">
        <f aca="false">COUNTIF($H$5:$H$1624,H869)</f>
        <v>1</v>
      </c>
      <c r="J869" s="1" t="n">
        <f aca="false">COUNTIF($H$5:H869,H869)</f>
        <v>1</v>
      </c>
      <c r="K869" s="1" t="n">
        <f aca="false">COUNTIFS($H$5:$H$1624,H869,$B$5:$B$1624,"&lt;&gt;"&amp;B869)</f>
        <v>0</v>
      </c>
      <c r="L869" s="1" t="str">
        <f aca="false">IF(I869&gt;1,IF(K869&gt;0,"Cross-hospital match","Same-hospital match"),"")</f>
        <v/>
      </c>
      <c r="M869" s="52"/>
      <c r="N869" s="52"/>
      <c r="O869" s="1" t="n">
        <f aca="false">IF(M869="Exclude (duplicate)",0,1)</f>
        <v>1</v>
      </c>
      <c r="P869" s="1" t="str">
        <f aca="false">IF(AND(L869&lt;&gt;"",M869=""),"Needs decision","")</f>
        <v/>
      </c>
    </row>
    <row r="870" customFormat="false" ht="15" hidden="false" customHeight="false" outlineLevel="0" collapsed="false">
      <c r="A870" s="48" t="str">
        <f aca="false">COST!A870</f>
        <v>CBH-0042</v>
      </c>
      <c r="B870" s="48" t="str">
        <f aca="false">COST!B870</f>
        <v>CBH</v>
      </c>
      <c r="C870" s="48" t="str">
        <f aca="false">COST!D870</f>
        <v>Interpreter Services for Community Clinics</v>
      </c>
      <c r="D870" s="62" t="n">
        <f aca="false">COST!M870</f>
        <v>45900</v>
      </c>
      <c r="E870" s="48" t="str">
        <f aca="false">COST!P870</f>
        <v>Interpreter</v>
      </c>
      <c r="F870" s="63" t="n">
        <f aca="false">COST!R870</f>
        <v>58.25</v>
      </c>
      <c r="G870" s="48" t="str">
        <f aca="false">STACK!M870</f>
        <v/>
      </c>
      <c r="H870" s="1" t="str">
        <f aca="false">C870&amp;"|"&amp;IF(ISNUMBER(D870),TEXT(D870,"yyyy-mm-dd"),"no date")&amp;"|"&amp;E870&amp;"|"&amp;IF(ISNUMBER(F870),TEXT(F870,"0.00"),"blank")</f>
        <v>Interpreter Services for Community Clinics|2025-08-31|Interpreter|58.25</v>
      </c>
      <c r="I870" s="1" t="n">
        <f aca="false">COUNTIF($H$5:$H$1624,H870)</f>
        <v>1</v>
      </c>
      <c r="J870" s="1" t="n">
        <f aca="false">COUNTIF($H$5:H870,H870)</f>
        <v>1</v>
      </c>
      <c r="K870" s="1" t="n">
        <f aca="false">COUNTIFS($H$5:$H$1624,H870,$B$5:$B$1624,"&lt;&gt;"&amp;B870)</f>
        <v>0</v>
      </c>
      <c r="L870" s="1" t="str">
        <f aca="false">IF(I870&gt;1,IF(K870&gt;0,"Cross-hospital match","Same-hospital match"),"")</f>
        <v/>
      </c>
      <c r="M870" s="52"/>
      <c r="N870" s="52"/>
      <c r="O870" s="1" t="n">
        <f aca="false">IF(M870="Exclude (duplicate)",0,1)</f>
        <v>1</v>
      </c>
      <c r="P870" s="1" t="str">
        <f aca="false">IF(AND(L870&lt;&gt;"",M870=""),"Needs decision","")</f>
        <v/>
      </c>
    </row>
    <row r="871" customFormat="false" ht="15" hidden="false" customHeight="false" outlineLevel="0" collapsed="false">
      <c r="A871" s="48" t="str">
        <f aca="false">COST!A871</f>
        <v>CBH-0043</v>
      </c>
      <c r="B871" s="48" t="str">
        <f aca="false">COST!B871</f>
        <v>CBH</v>
      </c>
      <c r="C871" s="48" t="str">
        <f aca="false">COST!D871</f>
        <v>Nursing Student Clinical Rotations</v>
      </c>
      <c r="D871" s="62" t="n">
        <f aca="false">COST!M871</f>
        <v>45900</v>
      </c>
      <c r="E871" s="48" t="str">
        <f aca="false">COST!P871</f>
        <v>Clinical Nurse Educator</v>
      </c>
      <c r="F871" s="63" t="n">
        <f aca="false">COST!R871</f>
        <v>138.75</v>
      </c>
      <c r="G871" s="48" t="str">
        <f aca="false">STACK!M871</f>
        <v/>
      </c>
      <c r="H871" s="1" t="str">
        <f aca="false">C871&amp;"|"&amp;IF(ISNUMBER(D871),TEXT(D871,"yyyy-mm-dd"),"no date")&amp;"|"&amp;E871&amp;"|"&amp;IF(ISNUMBER(F871),TEXT(F871,"0.00"),"blank")</f>
        <v>Nursing Student Clinical Rotations|2025-08-31|Clinical Nurse Educator|138.75</v>
      </c>
      <c r="I871" s="1" t="n">
        <f aca="false">COUNTIF($H$5:$H$1624,H871)</f>
        <v>1</v>
      </c>
      <c r="J871" s="1" t="n">
        <f aca="false">COUNTIF($H$5:H871,H871)</f>
        <v>1</v>
      </c>
      <c r="K871" s="1" t="n">
        <f aca="false">COUNTIFS($H$5:$H$1624,H871,$B$5:$B$1624,"&lt;&gt;"&amp;B871)</f>
        <v>0</v>
      </c>
      <c r="L871" s="1" t="str">
        <f aca="false">IF(I871&gt;1,IF(K871&gt;0,"Cross-hospital match","Same-hospital match"),"")</f>
        <v/>
      </c>
      <c r="M871" s="52"/>
      <c r="N871" s="52"/>
      <c r="O871" s="1" t="n">
        <f aca="false">IF(M871="Exclude (duplicate)",0,1)</f>
        <v>1</v>
      </c>
      <c r="P871" s="1" t="str">
        <f aca="false">IF(AND(L871&lt;&gt;"",M871=""),"Needs decision","")</f>
        <v/>
      </c>
    </row>
    <row r="872" customFormat="false" ht="15" hidden="false" customHeight="false" outlineLevel="0" collapsed="false">
      <c r="A872" s="48" t="str">
        <f aca="false">COST!A872</f>
        <v>CBH-0044</v>
      </c>
      <c r="B872" s="48" t="str">
        <f aca="false">COST!B872</f>
        <v>CBH</v>
      </c>
      <c r="C872" s="48" t="str">
        <f aca="false">COST!D872</f>
        <v>Nursing Student Clinical Rotations</v>
      </c>
      <c r="D872" s="62" t="n">
        <f aca="false">COST!M872</f>
        <v>45900</v>
      </c>
      <c r="E872" s="48" t="str">
        <f aca="false">COST!P872</f>
        <v>Registered Nurse</v>
      </c>
      <c r="F872" s="63" t="n">
        <f aca="false">COST!R872</f>
        <v>210.75</v>
      </c>
      <c r="G872" s="48" t="str">
        <f aca="false">STACK!M872</f>
        <v/>
      </c>
      <c r="H872" s="1" t="str">
        <f aca="false">C872&amp;"|"&amp;IF(ISNUMBER(D872),TEXT(D872,"yyyy-mm-dd"),"no date")&amp;"|"&amp;E872&amp;"|"&amp;IF(ISNUMBER(F872),TEXT(F872,"0.00"),"blank")</f>
        <v>Nursing Student Clinical Rotations|2025-08-31|Registered Nurse|210.75</v>
      </c>
      <c r="I872" s="1" t="n">
        <f aca="false">COUNTIF($H$5:$H$1624,H872)</f>
        <v>1</v>
      </c>
      <c r="J872" s="1" t="n">
        <f aca="false">COUNTIF($H$5:H872,H872)</f>
        <v>1</v>
      </c>
      <c r="K872" s="1" t="n">
        <f aca="false">COUNTIFS($H$5:$H$1624,H872,$B$5:$B$1624,"&lt;&gt;"&amp;B872)</f>
        <v>0</v>
      </c>
      <c r="L872" s="1" t="str">
        <f aca="false">IF(I872&gt;1,IF(K872&gt;0,"Cross-hospital match","Same-hospital match"),"")</f>
        <v/>
      </c>
      <c r="M872" s="52"/>
      <c r="N872" s="52"/>
      <c r="O872" s="1" t="n">
        <f aca="false">IF(M872="Exclude (duplicate)",0,1)</f>
        <v>1</v>
      </c>
      <c r="P872" s="1" t="str">
        <f aca="false">IF(AND(L872&lt;&gt;"",M872=""),"Needs decision","")</f>
        <v/>
      </c>
    </row>
    <row r="873" customFormat="false" ht="15" hidden="false" customHeight="false" outlineLevel="0" collapsed="false">
      <c r="A873" s="48" t="str">
        <f aca="false">COST!A873</f>
        <v>CBH-0045</v>
      </c>
      <c r="B873" s="48" t="str">
        <f aca="false">COST!B873</f>
        <v>CBH</v>
      </c>
      <c r="C873" s="48" t="str">
        <f aca="false">COST!D873</f>
        <v>Pharmacy Student Rotations</v>
      </c>
      <c r="D873" s="62" t="n">
        <f aca="false">COST!M873</f>
        <v>45900</v>
      </c>
      <c r="E873" s="48" t="str">
        <f aca="false">COST!P873</f>
        <v>Pharmacist</v>
      </c>
      <c r="F873" s="63" t="n">
        <f aca="false">COST!R873</f>
        <v>59.75</v>
      </c>
      <c r="G873" s="48" t="str">
        <f aca="false">STACK!M873</f>
        <v/>
      </c>
      <c r="H873" s="1" t="str">
        <f aca="false">C873&amp;"|"&amp;IF(ISNUMBER(D873),TEXT(D873,"yyyy-mm-dd"),"no date")&amp;"|"&amp;E873&amp;"|"&amp;IF(ISNUMBER(F873),TEXT(F873,"0.00"),"blank")</f>
        <v>Pharmacy Student Rotations|2025-08-31|Pharmacist|59.75</v>
      </c>
      <c r="I873" s="1" t="n">
        <f aca="false">COUNTIF($H$5:$H$1624,H873)</f>
        <v>1</v>
      </c>
      <c r="J873" s="1" t="n">
        <f aca="false">COUNTIF($H$5:H873,H873)</f>
        <v>1</v>
      </c>
      <c r="K873" s="1" t="n">
        <f aca="false">COUNTIFS($H$5:$H$1624,H873,$B$5:$B$1624,"&lt;&gt;"&amp;B873)</f>
        <v>0</v>
      </c>
      <c r="L873" s="1" t="str">
        <f aca="false">IF(I873&gt;1,IF(K873&gt;0,"Cross-hospital match","Same-hospital match"),"")</f>
        <v/>
      </c>
      <c r="M873" s="52"/>
      <c r="N873" s="52"/>
      <c r="O873" s="1" t="n">
        <f aca="false">IF(M873="Exclude (duplicate)",0,1)</f>
        <v>1</v>
      </c>
      <c r="P873" s="1" t="str">
        <f aca="false">IF(AND(L873&lt;&gt;"",M873=""),"Needs decision","")</f>
        <v/>
      </c>
    </row>
    <row r="874" customFormat="false" ht="15" hidden="false" customHeight="false" outlineLevel="0" collapsed="false">
      <c r="A874" s="48" t="str">
        <f aca="false">COST!A874</f>
        <v>CBH-0046</v>
      </c>
      <c r="B874" s="48" t="str">
        <f aca="false">COST!B874</f>
        <v>CBH</v>
      </c>
      <c r="C874" s="48" t="str">
        <f aca="false">COST!D874</f>
        <v>Regional Health Coalition</v>
      </c>
      <c r="D874" s="62" t="n">
        <f aca="false">COST!M874</f>
        <v>45909</v>
      </c>
      <c r="E874" s="48" t="str">
        <f aca="false">COST!P874</f>
        <v>Community Benefit Manager</v>
      </c>
      <c r="F874" s="63" t="n">
        <f aca="false">COST!R874</f>
        <v>2.75</v>
      </c>
      <c r="G874" s="48" t="str">
        <f aca="false">STACK!M874</f>
        <v/>
      </c>
      <c r="H874" s="1" t="str">
        <f aca="false">C874&amp;"|"&amp;IF(ISNUMBER(D874),TEXT(D874,"yyyy-mm-dd"),"no date")&amp;"|"&amp;E874&amp;"|"&amp;IF(ISNUMBER(F874),TEXT(F874,"0.00"),"blank")</f>
        <v>Regional Health Coalition|2025-09-09|Community Benefit Manager|2.75</v>
      </c>
      <c r="I874" s="1" t="n">
        <f aca="false">COUNTIF($H$5:$H$1624,H874)</f>
        <v>1</v>
      </c>
      <c r="J874" s="1" t="n">
        <f aca="false">COUNTIF($H$5:H874,H874)</f>
        <v>1</v>
      </c>
      <c r="K874" s="1" t="n">
        <f aca="false">COUNTIFS($H$5:$H$1624,H874,$B$5:$B$1624,"&lt;&gt;"&amp;B874)</f>
        <v>0</v>
      </c>
      <c r="L874" s="1" t="str">
        <f aca="false">IF(I874&gt;1,IF(K874&gt;0,"Cross-hospital match","Same-hospital match"),"")</f>
        <v/>
      </c>
      <c r="M874" s="52"/>
      <c r="N874" s="52"/>
      <c r="O874" s="1" t="n">
        <f aca="false">IF(M874="Exclude (duplicate)",0,1)</f>
        <v>1</v>
      </c>
      <c r="P874" s="1" t="str">
        <f aca="false">IF(AND(L874&lt;&gt;"",M874=""),"Needs decision","")</f>
        <v/>
      </c>
    </row>
    <row r="875" customFormat="false" ht="15" hidden="false" customHeight="false" outlineLevel="0" collapsed="false">
      <c r="A875" s="48" t="str">
        <f aca="false">COST!A875</f>
        <v>CBH-0047</v>
      </c>
      <c r="B875" s="48" t="str">
        <f aca="false">COST!B875</f>
        <v>CBH</v>
      </c>
      <c r="C875" s="48" t="str">
        <f aca="false">COST!D875</f>
        <v>Regional Health Coalition</v>
      </c>
      <c r="D875" s="62" t="n">
        <f aca="false">COST!M875</f>
        <v>45909</v>
      </c>
      <c r="E875" s="48" t="str">
        <f aca="false">COST!P875</f>
        <v>Director</v>
      </c>
      <c r="F875" s="63" t="n">
        <f aca="false">COST!R875</f>
        <v>2.75</v>
      </c>
      <c r="G875" s="48" t="str">
        <f aca="false">STACK!M875</f>
        <v/>
      </c>
      <c r="H875" s="1" t="str">
        <f aca="false">C875&amp;"|"&amp;IF(ISNUMBER(D875),TEXT(D875,"yyyy-mm-dd"),"no date")&amp;"|"&amp;E875&amp;"|"&amp;IF(ISNUMBER(F875),TEXT(F875,"0.00"),"blank")</f>
        <v>Regional Health Coalition|2025-09-09|Director|2.75</v>
      </c>
      <c r="I875" s="1" t="n">
        <f aca="false">COUNTIF($H$5:$H$1624,H875)</f>
        <v>1</v>
      </c>
      <c r="J875" s="1" t="n">
        <f aca="false">COUNTIF($H$5:H875,H875)</f>
        <v>1</v>
      </c>
      <c r="K875" s="1" t="n">
        <f aca="false">COUNTIFS($H$5:$H$1624,H875,$B$5:$B$1624,"&lt;&gt;"&amp;B875)</f>
        <v>0</v>
      </c>
      <c r="L875" s="1" t="str">
        <f aca="false">IF(I875&gt;1,IF(K875&gt;0,"Cross-hospital match","Same-hospital match"),"")</f>
        <v/>
      </c>
      <c r="M875" s="52"/>
      <c r="N875" s="52"/>
      <c r="O875" s="1" t="n">
        <f aca="false">IF(M875="Exclude (duplicate)",0,1)</f>
        <v>1</v>
      </c>
      <c r="P875" s="1" t="str">
        <f aca="false">IF(AND(L875&lt;&gt;"",M875=""),"Needs decision","")</f>
        <v/>
      </c>
    </row>
    <row r="876" customFormat="false" ht="15" hidden="false" customHeight="false" outlineLevel="0" collapsed="false">
      <c r="A876" s="48" t="str">
        <f aca="false">COST!A876</f>
        <v>CBH-0048</v>
      </c>
      <c r="B876" s="48" t="str">
        <f aca="false">COST!B876</f>
        <v>CBH</v>
      </c>
      <c r="C876" s="48" t="str">
        <f aca="false">COST!D876</f>
        <v>Mental Health First Aid Training</v>
      </c>
      <c r="D876" s="62" t="n">
        <f aca="false">COST!M876</f>
        <v>45911</v>
      </c>
      <c r="E876" s="48" t="str">
        <f aca="false">COST!P876</f>
        <v>Health Educator</v>
      </c>
      <c r="F876" s="63" t="n">
        <f aca="false">COST!R876</f>
        <v>8</v>
      </c>
      <c r="G876" s="48" t="str">
        <f aca="false">STACK!M876</f>
        <v/>
      </c>
      <c r="H876" s="1" t="str">
        <f aca="false">C876&amp;"|"&amp;IF(ISNUMBER(D876),TEXT(D876,"yyyy-mm-dd"),"no date")&amp;"|"&amp;E876&amp;"|"&amp;IF(ISNUMBER(F876),TEXT(F876,"0.00"),"blank")</f>
        <v>Mental Health First Aid Training|2025-09-11|Health Educator|8.00</v>
      </c>
      <c r="I876" s="1" t="n">
        <f aca="false">COUNTIF($H$5:$H$1624,H876)</f>
        <v>1</v>
      </c>
      <c r="J876" s="1" t="n">
        <f aca="false">COUNTIF($H$5:H876,H876)</f>
        <v>1</v>
      </c>
      <c r="K876" s="1" t="n">
        <f aca="false">COUNTIFS($H$5:$H$1624,H876,$B$5:$B$1624,"&lt;&gt;"&amp;B876)</f>
        <v>0</v>
      </c>
      <c r="L876" s="1" t="str">
        <f aca="false">IF(I876&gt;1,IF(K876&gt;0,"Cross-hospital match","Same-hospital match"),"")</f>
        <v/>
      </c>
      <c r="M876" s="52"/>
      <c r="N876" s="52"/>
      <c r="O876" s="1" t="n">
        <f aca="false">IF(M876="Exclude (duplicate)",0,1)</f>
        <v>1</v>
      </c>
      <c r="P876" s="1" t="str">
        <f aca="false">IF(AND(L876&lt;&gt;"",M876=""),"Needs decision","")</f>
        <v/>
      </c>
    </row>
    <row r="877" customFormat="false" ht="15" hidden="false" customHeight="false" outlineLevel="0" collapsed="false">
      <c r="A877" s="48" t="str">
        <f aca="false">COST!A877</f>
        <v>CBH-0049</v>
      </c>
      <c r="B877" s="48" t="str">
        <f aca="false">COST!B877</f>
        <v>CBH</v>
      </c>
      <c r="C877" s="48" t="str">
        <f aca="false">COST!D877</f>
        <v>Mental Health First Aid Training</v>
      </c>
      <c r="D877" s="62" t="n">
        <f aca="false">COST!M877</f>
        <v>45911</v>
      </c>
      <c r="E877" s="48" t="str">
        <f aca="false">COST!P877</f>
        <v>Social Worker</v>
      </c>
      <c r="F877" s="63" t="n">
        <f aca="false">COST!R877</f>
        <v>8</v>
      </c>
      <c r="G877" s="48" t="str">
        <f aca="false">STACK!M877</f>
        <v/>
      </c>
      <c r="H877" s="1" t="str">
        <f aca="false">C877&amp;"|"&amp;IF(ISNUMBER(D877),TEXT(D877,"yyyy-mm-dd"),"no date")&amp;"|"&amp;E877&amp;"|"&amp;IF(ISNUMBER(F877),TEXT(F877,"0.00"),"blank")</f>
        <v>Mental Health First Aid Training|2025-09-11|Social Worker|8.00</v>
      </c>
      <c r="I877" s="1" t="n">
        <f aca="false">COUNTIF($H$5:$H$1624,H877)</f>
        <v>1</v>
      </c>
      <c r="J877" s="1" t="n">
        <f aca="false">COUNTIF($H$5:H877,H877)</f>
        <v>1</v>
      </c>
      <c r="K877" s="1" t="n">
        <f aca="false">COUNTIFS($H$5:$H$1624,H877,$B$5:$B$1624,"&lt;&gt;"&amp;B877)</f>
        <v>0</v>
      </c>
      <c r="L877" s="1" t="str">
        <f aca="false">IF(I877&gt;1,IF(K877&gt;0,"Cross-hospital match","Same-hospital match"),"")</f>
        <v/>
      </c>
      <c r="M877" s="52"/>
      <c r="N877" s="52"/>
      <c r="O877" s="1" t="n">
        <f aca="false">IF(M877="Exclude (duplicate)",0,1)</f>
        <v>1</v>
      </c>
      <c r="P877" s="1" t="str">
        <f aca="false">IF(AND(L877&lt;&gt;"",M877=""),"Needs decision","")</f>
        <v/>
      </c>
    </row>
    <row r="878" customFormat="false" ht="15" hidden="false" customHeight="false" outlineLevel="0" collapsed="false">
      <c r="A878" s="48" t="str">
        <f aca="false">COST!A878</f>
        <v>CBH-0050</v>
      </c>
      <c r="B878" s="48" t="str">
        <f aca="false">COST!B878</f>
        <v>CBH</v>
      </c>
      <c r="C878" s="48" t="str">
        <f aca="false">COST!D878</f>
        <v>Grief Support Group</v>
      </c>
      <c r="D878" s="62" t="n">
        <f aca="false">COST!M878</f>
        <v>45913</v>
      </c>
      <c r="E878" s="48" t="str">
        <f aca="false">COST!P878</f>
        <v>Chaplain</v>
      </c>
      <c r="F878" s="63" t="n">
        <f aca="false">COST!R878</f>
        <v>2.5</v>
      </c>
      <c r="G878" s="48" t="str">
        <f aca="false">STACK!M878</f>
        <v/>
      </c>
      <c r="H878" s="1" t="str">
        <f aca="false">C878&amp;"|"&amp;IF(ISNUMBER(D878),TEXT(D878,"yyyy-mm-dd"),"no date")&amp;"|"&amp;E878&amp;"|"&amp;IF(ISNUMBER(F878),TEXT(F878,"0.00"),"blank")</f>
        <v>Grief Support Group|2025-09-13|Chaplain|2.50</v>
      </c>
      <c r="I878" s="1" t="n">
        <f aca="false">COUNTIF($H$5:$H$1624,H878)</f>
        <v>1</v>
      </c>
      <c r="J878" s="1" t="n">
        <f aca="false">COUNTIF($H$5:H878,H878)</f>
        <v>1</v>
      </c>
      <c r="K878" s="1" t="n">
        <f aca="false">COUNTIFS($H$5:$H$1624,H878,$B$5:$B$1624,"&lt;&gt;"&amp;B878)</f>
        <v>0</v>
      </c>
      <c r="L878" s="1" t="str">
        <f aca="false">IF(I878&gt;1,IF(K878&gt;0,"Cross-hospital match","Same-hospital match"),"")</f>
        <v/>
      </c>
      <c r="M878" s="52"/>
      <c r="N878" s="52"/>
      <c r="O878" s="1" t="n">
        <f aca="false">IF(M878="Exclude (duplicate)",0,1)</f>
        <v>1</v>
      </c>
      <c r="P878" s="1" t="str">
        <f aca="false">IF(AND(L878&lt;&gt;"",M878=""),"Needs decision","")</f>
        <v/>
      </c>
    </row>
    <row r="879" customFormat="false" ht="15" hidden="false" customHeight="false" outlineLevel="0" collapsed="false">
      <c r="A879" s="48" t="str">
        <f aca="false">COST!A879</f>
        <v>CBH-0051</v>
      </c>
      <c r="B879" s="48" t="str">
        <f aca="false">COST!B879</f>
        <v>CBH</v>
      </c>
      <c r="C879" s="48" t="str">
        <f aca="false">COST!D879</f>
        <v>Grief Support Group</v>
      </c>
      <c r="D879" s="62" t="n">
        <f aca="false">COST!M879</f>
        <v>45913</v>
      </c>
      <c r="E879" s="48" t="str">
        <f aca="false">COST!P879</f>
        <v>Social Worker</v>
      </c>
      <c r="F879" s="63" t="n">
        <f aca="false">COST!R879</f>
        <v>2.25</v>
      </c>
      <c r="G879" s="48" t="str">
        <f aca="false">STACK!M879</f>
        <v/>
      </c>
      <c r="H879" s="1" t="str">
        <f aca="false">C879&amp;"|"&amp;IF(ISNUMBER(D879),TEXT(D879,"yyyy-mm-dd"),"no date")&amp;"|"&amp;E879&amp;"|"&amp;IF(ISNUMBER(F879),TEXT(F879,"0.00"),"blank")</f>
        <v>Grief Support Group|2025-09-13|Social Worker|2.25</v>
      </c>
      <c r="I879" s="1" t="n">
        <f aca="false">COUNTIF($H$5:$H$1624,H879)</f>
        <v>1</v>
      </c>
      <c r="J879" s="1" t="n">
        <f aca="false">COUNTIF($H$5:H879,H879)</f>
        <v>1</v>
      </c>
      <c r="K879" s="1" t="n">
        <f aca="false">COUNTIFS($H$5:$H$1624,H879,$B$5:$B$1624,"&lt;&gt;"&amp;B879)</f>
        <v>0</v>
      </c>
      <c r="L879" s="1" t="str">
        <f aca="false">IF(I879&gt;1,IF(K879&gt;0,"Cross-hospital match","Same-hospital match"),"")</f>
        <v/>
      </c>
      <c r="M879" s="52"/>
      <c r="N879" s="52"/>
      <c r="O879" s="1" t="n">
        <f aca="false">IF(M879="Exclude (duplicate)",0,1)</f>
        <v>1</v>
      </c>
      <c r="P879" s="1" t="str">
        <f aca="false">IF(AND(L879&lt;&gt;"",M879=""),"Needs decision","")</f>
        <v/>
      </c>
    </row>
    <row r="880" customFormat="false" ht="15" hidden="false" customHeight="false" outlineLevel="0" collapsed="false">
      <c r="A880" s="48" t="str">
        <f aca="false">COST!A880</f>
        <v>CBH-0052</v>
      </c>
      <c r="B880" s="48" t="str">
        <f aca="false">COST!B880</f>
        <v>CBH</v>
      </c>
      <c r="C880" s="48" t="str">
        <f aca="false">COST!D880</f>
        <v>Community Garden and Green Space Project</v>
      </c>
      <c r="D880" s="62" t="n">
        <f aca="false">COST!M880</f>
        <v>45913</v>
      </c>
      <c r="E880" s="48" t="str">
        <f aca="false">COST!P880</f>
        <v>Program Coordinator</v>
      </c>
      <c r="F880" s="63" t="n">
        <f aca="false">COST!R880</f>
        <v>5.25</v>
      </c>
      <c r="G880" s="48" t="str">
        <f aca="false">STACK!M880</f>
        <v/>
      </c>
      <c r="H880" s="1" t="str">
        <f aca="false">C880&amp;"|"&amp;IF(ISNUMBER(D880),TEXT(D880,"yyyy-mm-dd"),"no date")&amp;"|"&amp;E880&amp;"|"&amp;IF(ISNUMBER(F880),TEXT(F880,"0.00"),"blank")</f>
        <v>Community Garden and Green Space Project|2025-09-13|Program Coordinator|5.25</v>
      </c>
      <c r="I880" s="1" t="n">
        <f aca="false">COUNTIF($H$5:$H$1624,H880)</f>
        <v>1</v>
      </c>
      <c r="J880" s="1" t="n">
        <f aca="false">COUNTIF($H$5:H880,H880)</f>
        <v>1</v>
      </c>
      <c r="K880" s="1" t="n">
        <f aca="false">COUNTIFS($H$5:$H$1624,H880,$B$5:$B$1624,"&lt;&gt;"&amp;B880)</f>
        <v>0</v>
      </c>
      <c r="L880" s="1" t="str">
        <f aca="false">IF(I880&gt;1,IF(K880&gt;0,"Cross-hospital match","Same-hospital match"),"")</f>
        <v/>
      </c>
      <c r="M880" s="52"/>
      <c r="N880" s="52"/>
      <c r="O880" s="1" t="n">
        <f aca="false">IF(M880="Exclude (duplicate)",0,1)</f>
        <v>1</v>
      </c>
      <c r="P880" s="1" t="str">
        <f aca="false">IF(AND(L880&lt;&gt;"",M880=""),"Needs decision","")</f>
        <v/>
      </c>
    </row>
    <row r="881" customFormat="false" ht="15" hidden="false" customHeight="false" outlineLevel="0" collapsed="false">
      <c r="A881" s="48" t="str">
        <f aca="false">COST!A881</f>
        <v>CBH-0053</v>
      </c>
      <c r="B881" s="48" t="str">
        <f aca="false">COST!B881</f>
        <v>CBH</v>
      </c>
      <c r="C881" s="48" t="str">
        <f aca="false">COST!D881</f>
        <v>Diabetes Prevention Classes</v>
      </c>
      <c r="D881" s="62" t="n">
        <f aca="false">COST!M881</f>
        <v>45918</v>
      </c>
      <c r="E881" s="48" t="str">
        <f aca="false">COST!P881</f>
        <v>Health Educator</v>
      </c>
      <c r="F881" s="63" t="n">
        <f aca="false">COST!R881</f>
        <v>2.5</v>
      </c>
      <c r="G881" s="48" t="str">
        <f aca="false">STACK!M881</f>
        <v/>
      </c>
      <c r="H881" s="1" t="str">
        <f aca="false">C881&amp;"|"&amp;IF(ISNUMBER(D881),TEXT(D881,"yyyy-mm-dd"),"no date")&amp;"|"&amp;E881&amp;"|"&amp;IF(ISNUMBER(F881),TEXT(F881,"0.00"),"blank")</f>
        <v>Diabetes Prevention Classes|2025-09-18|Health Educator|2.50</v>
      </c>
      <c r="I881" s="1" t="n">
        <f aca="false">COUNTIF($H$5:$H$1624,H881)</f>
        <v>1</v>
      </c>
      <c r="J881" s="1" t="n">
        <f aca="false">COUNTIF($H$5:H881,H881)</f>
        <v>1</v>
      </c>
      <c r="K881" s="1" t="n">
        <f aca="false">COUNTIFS($H$5:$H$1624,H881,$B$5:$B$1624,"&lt;&gt;"&amp;B881)</f>
        <v>0</v>
      </c>
      <c r="L881" s="1" t="str">
        <f aca="false">IF(I881&gt;1,IF(K881&gt;0,"Cross-hospital match","Same-hospital match"),"")</f>
        <v/>
      </c>
      <c r="M881" s="52"/>
      <c r="N881" s="52"/>
      <c r="O881" s="1" t="n">
        <f aca="false">IF(M881="Exclude (duplicate)",0,1)</f>
        <v>1</v>
      </c>
      <c r="P881" s="1" t="str">
        <f aca="false">IF(AND(L881&lt;&gt;"",M881=""),"Needs decision","")</f>
        <v/>
      </c>
    </row>
    <row r="882" customFormat="false" ht="15" hidden="false" customHeight="false" outlineLevel="0" collapsed="false">
      <c r="A882" s="48" t="str">
        <f aca="false">COST!A882</f>
        <v>CBH-0054</v>
      </c>
      <c r="B882" s="48" t="str">
        <f aca="false">COST!B882</f>
        <v>CBH</v>
      </c>
      <c r="C882" s="48" t="str">
        <f aca="false">COST!D882</f>
        <v>Diabetes Prevention Classes</v>
      </c>
      <c r="D882" s="62" t="n">
        <f aca="false">COST!M882</f>
        <v>45918</v>
      </c>
      <c r="E882" s="48" t="str">
        <f aca="false">COST!P882</f>
        <v>Registered Dietitian</v>
      </c>
      <c r="F882" s="63" t="n">
        <f aca="false">COST!R882</f>
        <v>1.75</v>
      </c>
      <c r="G882" s="48" t="str">
        <f aca="false">STACK!M882</f>
        <v/>
      </c>
      <c r="H882" s="1" t="str">
        <f aca="false">C882&amp;"|"&amp;IF(ISNUMBER(D882),TEXT(D882,"yyyy-mm-dd"),"no date")&amp;"|"&amp;E882&amp;"|"&amp;IF(ISNUMBER(F882),TEXT(F882,"0.00"),"blank")</f>
        <v>Diabetes Prevention Classes|2025-09-18|Registered Dietitian|1.75</v>
      </c>
      <c r="I882" s="1" t="n">
        <f aca="false">COUNTIF($H$5:$H$1624,H882)</f>
        <v>1</v>
      </c>
      <c r="J882" s="1" t="n">
        <f aca="false">COUNTIF($H$5:H882,H882)</f>
        <v>1</v>
      </c>
      <c r="K882" s="1" t="n">
        <f aca="false">COUNTIFS($H$5:$H$1624,H882,$B$5:$B$1624,"&lt;&gt;"&amp;B882)</f>
        <v>0</v>
      </c>
      <c r="L882" s="1" t="str">
        <f aca="false">IF(I882&gt;1,IF(K882&gt;0,"Cross-hospital match","Same-hospital match"),"")</f>
        <v/>
      </c>
      <c r="M882" s="52"/>
      <c r="N882" s="52"/>
      <c r="O882" s="1" t="n">
        <f aca="false">IF(M882="Exclude (duplicate)",0,1)</f>
        <v>1</v>
      </c>
      <c r="P882" s="1" t="str">
        <f aca="false">IF(AND(L882&lt;&gt;"",M882=""),"Needs decision","")</f>
        <v/>
      </c>
    </row>
    <row r="883" customFormat="false" ht="15" hidden="false" customHeight="false" outlineLevel="0" collapsed="false">
      <c r="A883" s="48" t="str">
        <f aca="false">COST!A883</f>
        <v>CBH-0055</v>
      </c>
      <c r="B883" s="48" t="str">
        <f aca="false">COST!B883</f>
        <v>CBH</v>
      </c>
      <c r="C883" s="48" t="str">
        <f aca="false">COST!D883</f>
        <v>Diabetes Prevention Classes</v>
      </c>
      <c r="D883" s="62" t="n">
        <f aca="false">COST!M883</f>
        <v>45920</v>
      </c>
      <c r="E883" s="48" t="str">
        <f aca="false">COST!P883</f>
        <v>Health Educator</v>
      </c>
      <c r="F883" s="63" t="n">
        <f aca="false">COST!R883</f>
        <v>2</v>
      </c>
      <c r="G883" s="48" t="str">
        <f aca="false">STACK!M883</f>
        <v/>
      </c>
      <c r="H883" s="1" t="str">
        <f aca="false">C883&amp;"|"&amp;IF(ISNUMBER(D883),TEXT(D883,"yyyy-mm-dd"),"no date")&amp;"|"&amp;E883&amp;"|"&amp;IF(ISNUMBER(F883),TEXT(F883,"0.00"),"blank")</f>
        <v>Diabetes Prevention Classes|2025-09-20|Health Educator|2.00</v>
      </c>
      <c r="I883" s="1" t="n">
        <f aca="false">COUNTIF($H$5:$H$1624,H883)</f>
        <v>1</v>
      </c>
      <c r="J883" s="1" t="n">
        <f aca="false">COUNTIF($H$5:H883,H883)</f>
        <v>1</v>
      </c>
      <c r="K883" s="1" t="n">
        <f aca="false">COUNTIFS($H$5:$H$1624,H883,$B$5:$B$1624,"&lt;&gt;"&amp;B883)</f>
        <v>0</v>
      </c>
      <c r="L883" s="1" t="str">
        <f aca="false">IF(I883&gt;1,IF(K883&gt;0,"Cross-hospital match","Same-hospital match"),"")</f>
        <v/>
      </c>
      <c r="M883" s="52"/>
      <c r="N883" s="52"/>
      <c r="O883" s="1" t="n">
        <f aca="false">IF(M883="Exclude (duplicate)",0,1)</f>
        <v>1</v>
      </c>
      <c r="P883" s="1" t="str">
        <f aca="false">IF(AND(L883&lt;&gt;"",M883=""),"Needs decision","")</f>
        <v/>
      </c>
    </row>
    <row r="884" customFormat="false" ht="15" hidden="false" customHeight="false" outlineLevel="0" collapsed="false">
      <c r="A884" s="48" t="str">
        <f aca="false">COST!A884</f>
        <v>CBH-0056</v>
      </c>
      <c r="B884" s="48" t="str">
        <f aca="false">COST!B884</f>
        <v>CBH</v>
      </c>
      <c r="C884" s="48" t="str">
        <f aca="false">COST!D884</f>
        <v>Diabetes Prevention Classes</v>
      </c>
      <c r="D884" s="62" t="n">
        <f aca="false">COST!M884</f>
        <v>45920</v>
      </c>
      <c r="E884" s="48" t="str">
        <f aca="false">COST!P884</f>
        <v>Registered Dietitian</v>
      </c>
      <c r="F884" s="63" t="n">
        <f aca="false">COST!R884</f>
        <v>1.5</v>
      </c>
      <c r="G884" s="48" t="str">
        <f aca="false">STACK!M884</f>
        <v/>
      </c>
      <c r="H884" s="1" t="str">
        <f aca="false">C884&amp;"|"&amp;IF(ISNUMBER(D884),TEXT(D884,"yyyy-mm-dd"),"no date")&amp;"|"&amp;E884&amp;"|"&amp;IF(ISNUMBER(F884),TEXT(F884,"0.00"),"blank")</f>
        <v>Diabetes Prevention Classes|2025-09-20|Registered Dietitian|1.50</v>
      </c>
      <c r="I884" s="1" t="n">
        <f aca="false">COUNTIF($H$5:$H$1624,H884)</f>
        <v>1</v>
      </c>
      <c r="J884" s="1" t="n">
        <f aca="false">COUNTIF($H$5:H884,H884)</f>
        <v>1</v>
      </c>
      <c r="K884" s="1" t="n">
        <f aca="false">COUNTIFS($H$5:$H$1624,H884,$B$5:$B$1624,"&lt;&gt;"&amp;B884)</f>
        <v>0</v>
      </c>
      <c r="L884" s="1" t="str">
        <f aca="false">IF(I884&gt;1,IF(K884&gt;0,"Cross-hospital match","Same-hospital match"),"")</f>
        <v/>
      </c>
      <c r="M884" s="52"/>
      <c r="N884" s="52"/>
      <c r="O884" s="1" t="n">
        <f aca="false">IF(M884="Exclude (duplicate)",0,1)</f>
        <v>1</v>
      </c>
      <c r="P884" s="1" t="str">
        <f aca="false">IF(AND(L884&lt;&gt;"",M884=""),"Needs decision","")</f>
        <v/>
      </c>
    </row>
    <row r="885" customFormat="false" ht="15" hidden="false" customHeight="false" outlineLevel="0" collapsed="false">
      <c r="A885" s="48" t="str">
        <f aca="false">COST!A885</f>
        <v>CBH-0057</v>
      </c>
      <c r="B885" s="48" t="str">
        <f aca="false">COST!B885</f>
        <v>CBH</v>
      </c>
      <c r="C885" s="48" t="str">
        <f aca="false">COST!D885</f>
        <v>Free Clinic Operating Grant</v>
      </c>
      <c r="D885" s="62" t="n">
        <f aca="false">COST!M885</f>
        <v>45920</v>
      </c>
      <c r="E885" s="48" t="str">
        <f aca="false">COST!P885</f>
        <v>No staff time</v>
      </c>
      <c r="F885" s="63" t="n">
        <f aca="false">COST!R885</f>
        <v>0</v>
      </c>
      <c r="G885" s="48" t="str">
        <f aca="false">STACK!M885</f>
        <v/>
      </c>
      <c r="H885" s="1" t="str">
        <f aca="false">C885&amp;"|"&amp;IF(ISNUMBER(D885),TEXT(D885,"yyyy-mm-dd"),"no date")&amp;"|"&amp;E885&amp;"|"&amp;IF(ISNUMBER(F885),TEXT(F885,"0.00"),"blank")</f>
        <v>Free Clinic Operating Grant|2025-09-20|No staff time|0.00</v>
      </c>
      <c r="I885" s="1" t="n">
        <f aca="false">COUNTIF($H$5:$H$1624,H885)</f>
        <v>1</v>
      </c>
      <c r="J885" s="1" t="n">
        <f aca="false">COUNTIF($H$5:H885,H885)</f>
        <v>1</v>
      </c>
      <c r="K885" s="1" t="n">
        <f aca="false">COUNTIFS($H$5:$H$1624,H885,$B$5:$B$1624,"&lt;&gt;"&amp;B885)</f>
        <v>0</v>
      </c>
      <c r="L885" s="1" t="str">
        <f aca="false">IF(I885&gt;1,IF(K885&gt;0,"Cross-hospital match","Same-hospital match"),"")</f>
        <v/>
      </c>
      <c r="M885" s="52"/>
      <c r="N885" s="52"/>
      <c r="O885" s="1" t="n">
        <f aca="false">IF(M885="Exclude (duplicate)",0,1)</f>
        <v>1</v>
      </c>
      <c r="P885" s="1" t="str">
        <f aca="false">IF(AND(L885&lt;&gt;"",M885=""),"Needs decision","")</f>
        <v/>
      </c>
    </row>
    <row r="886" customFormat="false" ht="15" hidden="false" customHeight="false" outlineLevel="0" collapsed="false">
      <c r="A886" s="48" t="str">
        <f aca="false">COST!A886</f>
        <v>CBH-0058</v>
      </c>
      <c r="B886" s="48" t="str">
        <f aca="false">COST!B886</f>
        <v>CBH</v>
      </c>
      <c r="C886" s="48" t="str">
        <f aca="false">COST!D886</f>
        <v>Grief Support Group</v>
      </c>
      <c r="D886" s="62" t="n">
        <f aca="false">COST!M886</f>
        <v>45924</v>
      </c>
      <c r="E886" s="48" t="str">
        <f aca="false">COST!P886</f>
        <v>Chaplain</v>
      </c>
      <c r="F886" s="63" t="n">
        <f aca="false">COST!R886</f>
        <v>2.5</v>
      </c>
      <c r="G886" s="48" t="str">
        <f aca="false">STACK!M886</f>
        <v/>
      </c>
      <c r="H886" s="1" t="str">
        <f aca="false">C886&amp;"|"&amp;IF(ISNUMBER(D886),TEXT(D886,"yyyy-mm-dd"),"no date")&amp;"|"&amp;E886&amp;"|"&amp;IF(ISNUMBER(F886),TEXT(F886,"0.00"),"blank")</f>
        <v>Grief Support Group|2025-09-24|Chaplain|2.50</v>
      </c>
      <c r="I886" s="1" t="n">
        <f aca="false">COUNTIF($H$5:$H$1624,H886)</f>
        <v>1</v>
      </c>
      <c r="J886" s="1" t="n">
        <f aca="false">COUNTIF($H$5:H886,H886)</f>
        <v>1</v>
      </c>
      <c r="K886" s="1" t="n">
        <f aca="false">COUNTIFS($H$5:$H$1624,H886,$B$5:$B$1624,"&lt;&gt;"&amp;B886)</f>
        <v>0</v>
      </c>
      <c r="L886" s="1" t="str">
        <f aca="false">IF(I886&gt;1,IF(K886&gt;0,"Cross-hospital match","Same-hospital match"),"")</f>
        <v/>
      </c>
      <c r="M886" s="52"/>
      <c r="N886" s="52"/>
      <c r="O886" s="1" t="n">
        <f aca="false">IF(M886="Exclude (duplicate)",0,1)</f>
        <v>1</v>
      </c>
      <c r="P886" s="1" t="str">
        <f aca="false">IF(AND(L886&lt;&gt;"",M886=""),"Needs decision","")</f>
        <v/>
      </c>
    </row>
    <row r="887" customFormat="false" ht="15" hidden="false" customHeight="false" outlineLevel="0" collapsed="false">
      <c r="A887" s="48" t="str">
        <f aca="false">COST!A887</f>
        <v>CBH-0059</v>
      </c>
      <c r="B887" s="48" t="str">
        <f aca="false">COST!B887</f>
        <v>CBH</v>
      </c>
      <c r="C887" s="48" t="str">
        <f aca="false">COST!D887</f>
        <v>Grief Support Group</v>
      </c>
      <c r="D887" s="62" t="n">
        <f aca="false">COST!M887</f>
        <v>45924</v>
      </c>
      <c r="E887" s="48" t="str">
        <f aca="false">COST!P887</f>
        <v>Social Worker</v>
      </c>
      <c r="F887" s="63" t="n">
        <f aca="false">COST!R887</f>
        <v>2</v>
      </c>
      <c r="G887" s="48" t="str">
        <f aca="false">STACK!M887</f>
        <v/>
      </c>
      <c r="H887" s="1" t="str">
        <f aca="false">C887&amp;"|"&amp;IF(ISNUMBER(D887),TEXT(D887,"yyyy-mm-dd"),"no date")&amp;"|"&amp;E887&amp;"|"&amp;IF(ISNUMBER(F887),TEXT(F887,"0.00"),"blank")</f>
        <v>Grief Support Group|2025-09-24|Social Worker|2.00</v>
      </c>
      <c r="I887" s="1" t="n">
        <f aca="false">COUNTIF($H$5:$H$1624,H887)</f>
        <v>1</v>
      </c>
      <c r="J887" s="1" t="n">
        <f aca="false">COUNTIF($H$5:H887,H887)</f>
        <v>1</v>
      </c>
      <c r="K887" s="1" t="n">
        <f aca="false">COUNTIFS($H$5:$H$1624,H887,$B$5:$B$1624,"&lt;&gt;"&amp;B887)</f>
        <v>0</v>
      </c>
      <c r="L887" s="1" t="str">
        <f aca="false">IF(I887&gt;1,IF(K887&gt;0,"Cross-hospital match","Same-hospital match"),"")</f>
        <v/>
      </c>
      <c r="M887" s="52"/>
      <c r="N887" s="52"/>
      <c r="O887" s="1" t="n">
        <f aca="false">IF(M887="Exclude (duplicate)",0,1)</f>
        <v>1</v>
      </c>
      <c r="P887" s="1" t="str">
        <f aca="false">IF(AND(L887&lt;&gt;"",M887=""),"Needs decision","")</f>
        <v/>
      </c>
    </row>
    <row r="888" customFormat="false" ht="15" hidden="false" customHeight="false" outlineLevel="0" collapsed="false">
      <c r="A888" s="48" t="str">
        <f aca="false">COST!A888</f>
        <v>CBH-0060</v>
      </c>
      <c r="B888" s="48" t="str">
        <f aca="false">COST!B888</f>
        <v>CBH</v>
      </c>
      <c r="C888" s="48" t="str">
        <f aca="false">COST!D888</f>
        <v>Naloxone Training and Distribution</v>
      </c>
      <c r="D888" s="62" t="n">
        <f aca="false">COST!M888</f>
        <v>45926</v>
      </c>
      <c r="E888" s="48" t="str">
        <f aca="false">COST!P888</f>
        <v>Health Educator</v>
      </c>
      <c r="F888" s="63" t="n">
        <f aca="false">COST!R888</f>
        <v>2.75</v>
      </c>
      <c r="G888" s="48" t="str">
        <f aca="false">STACK!M888</f>
        <v/>
      </c>
      <c r="H888" s="1" t="str">
        <f aca="false">C888&amp;"|"&amp;IF(ISNUMBER(D888),TEXT(D888,"yyyy-mm-dd"),"no date")&amp;"|"&amp;E888&amp;"|"&amp;IF(ISNUMBER(F888),TEXT(F888,"0.00"),"blank")</f>
        <v>Naloxone Training and Distribution|2025-09-26|Health Educator|2.75</v>
      </c>
      <c r="I888" s="1" t="n">
        <f aca="false">COUNTIF($H$5:$H$1624,H888)</f>
        <v>1</v>
      </c>
      <c r="J888" s="1" t="n">
        <f aca="false">COUNTIF($H$5:H888,H888)</f>
        <v>1</v>
      </c>
      <c r="K888" s="1" t="n">
        <f aca="false">COUNTIFS($H$5:$H$1624,H888,$B$5:$B$1624,"&lt;&gt;"&amp;B888)</f>
        <v>0</v>
      </c>
      <c r="L888" s="1" t="str">
        <f aca="false">IF(I888&gt;1,IF(K888&gt;0,"Cross-hospital match","Same-hospital match"),"")</f>
        <v/>
      </c>
      <c r="M888" s="52"/>
      <c r="N888" s="52"/>
      <c r="O888" s="1" t="n">
        <f aca="false">IF(M888="Exclude (duplicate)",0,1)</f>
        <v>1</v>
      </c>
      <c r="P888" s="1" t="str">
        <f aca="false">IF(AND(L888&lt;&gt;"",M888=""),"Needs decision","")</f>
        <v/>
      </c>
    </row>
    <row r="889" customFormat="false" ht="15" hidden="false" customHeight="false" outlineLevel="0" collapsed="false">
      <c r="A889" s="48" t="str">
        <f aca="false">COST!A889</f>
        <v>CBH-0061</v>
      </c>
      <c r="B889" s="48" t="str">
        <f aca="false">COST!B889</f>
        <v>CBH</v>
      </c>
      <c r="C889" s="48" t="str">
        <f aca="false">COST!D889</f>
        <v>Naloxone Training and Distribution</v>
      </c>
      <c r="D889" s="62" t="n">
        <f aca="false">COST!M889</f>
        <v>45926</v>
      </c>
      <c r="E889" s="48" t="str">
        <f aca="false">COST!P889</f>
        <v>Pharmacist</v>
      </c>
      <c r="F889" s="63" t="n">
        <f aca="false">COST!R889</f>
        <v>3</v>
      </c>
      <c r="G889" s="48" t="str">
        <f aca="false">STACK!M889</f>
        <v/>
      </c>
      <c r="H889" s="1" t="str">
        <f aca="false">C889&amp;"|"&amp;IF(ISNUMBER(D889),TEXT(D889,"yyyy-mm-dd"),"no date")&amp;"|"&amp;E889&amp;"|"&amp;IF(ISNUMBER(F889),TEXT(F889,"0.00"),"blank")</f>
        <v>Naloxone Training and Distribution|2025-09-26|Pharmacist|3.00</v>
      </c>
      <c r="I889" s="1" t="n">
        <f aca="false">COUNTIF($H$5:$H$1624,H889)</f>
        <v>1</v>
      </c>
      <c r="J889" s="1" t="n">
        <f aca="false">COUNTIF($H$5:H889,H889)</f>
        <v>1</v>
      </c>
      <c r="K889" s="1" t="n">
        <f aca="false">COUNTIFS($H$5:$H$1624,H889,$B$5:$B$1624,"&lt;&gt;"&amp;B889)</f>
        <v>0</v>
      </c>
      <c r="L889" s="1" t="str">
        <f aca="false">IF(I889&gt;1,IF(K889&gt;0,"Cross-hospital match","Same-hospital match"),"")</f>
        <v/>
      </c>
      <c r="M889" s="52"/>
      <c r="N889" s="52"/>
      <c r="O889" s="1" t="n">
        <f aca="false">IF(M889="Exclude (duplicate)",0,1)</f>
        <v>1</v>
      </c>
      <c r="P889" s="1" t="str">
        <f aca="false">IF(AND(L889&lt;&gt;"",M889=""),"Needs decision","")</f>
        <v/>
      </c>
    </row>
    <row r="890" customFormat="false" ht="15" hidden="false" customHeight="false" outlineLevel="0" collapsed="false">
      <c r="A890" s="48" t="str">
        <f aca="false">COST!A890</f>
        <v>CBH-0062</v>
      </c>
      <c r="B890" s="48" t="str">
        <f aca="false">COST!B890</f>
        <v>CBH</v>
      </c>
      <c r="C890" s="48" t="str">
        <f aca="false">COST!D890</f>
        <v>Free Clinic Provider Staffing</v>
      </c>
      <c r="D890" s="62" t="n">
        <f aca="false">COST!M890</f>
        <v>45930</v>
      </c>
      <c r="E890" s="48" t="str">
        <f aca="false">COST!P890</f>
        <v>Nurse Practitioner</v>
      </c>
      <c r="F890" s="63" t="n">
        <f aca="false">COST!R890</f>
        <v>43.25</v>
      </c>
      <c r="G890" s="48" t="str">
        <f aca="false">STACK!M890</f>
        <v/>
      </c>
      <c r="H890" s="1" t="str">
        <f aca="false">C890&amp;"|"&amp;IF(ISNUMBER(D890),TEXT(D890,"yyyy-mm-dd"),"no date")&amp;"|"&amp;E890&amp;"|"&amp;IF(ISNUMBER(F890),TEXT(F890,"0.00"),"blank")</f>
        <v>Free Clinic Provider Staffing|2025-09-30|Nurse Practitioner|43.25</v>
      </c>
      <c r="I890" s="1" t="n">
        <f aca="false">COUNTIF($H$5:$H$1624,H890)</f>
        <v>1</v>
      </c>
      <c r="J890" s="1" t="n">
        <f aca="false">COUNTIF($H$5:H890,H890)</f>
        <v>1</v>
      </c>
      <c r="K890" s="1" t="n">
        <f aca="false">COUNTIFS($H$5:$H$1624,H890,$B$5:$B$1624,"&lt;&gt;"&amp;B890)</f>
        <v>0</v>
      </c>
      <c r="L890" s="1" t="str">
        <f aca="false">IF(I890&gt;1,IF(K890&gt;0,"Cross-hospital match","Same-hospital match"),"")</f>
        <v/>
      </c>
      <c r="M890" s="52"/>
      <c r="N890" s="52"/>
      <c r="O890" s="1" t="n">
        <f aca="false">IF(M890="Exclude (duplicate)",0,1)</f>
        <v>1</v>
      </c>
      <c r="P890" s="1" t="str">
        <f aca="false">IF(AND(L890&lt;&gt;"",M890=""),"Needs decision","")</f>
        <v/>
      </c>
    </row>
    <row r="891" customFormat="false" ht="15" hidden="false" customHeight="false" outlineLevel="0" collapsed="false">
      <c r="A891" s="48" t="str">
        <f aca="false">COST!A891</f>
        <v>CBH-0063</v>
      </c>
      <c r="B891" s="48" t="str">
        <f aca="false">COST!B891</f>
        <v>CBH</v>
      </c>
      <c r="C891" s="48" t="str">
        <f aca="false">COST!D891</f>
        <v>Free Clinic Provider Staffing</v>
      </c>
      <c r="D891" s="62" t="n">
        <f aca="false">COST!M891</f>
        <v>45930</v>
      </c>
      <c r="E891" s="48" t="str">
        <f aca="false">COST!P891</f>
        <v>Pharmacist</v>
      </c>
      <c r="F891" s="63" t="n">
        <f aca="false">COST!R891</f>
        <v>11</v>
      </c>
      <c r="G891" s="48" t="str">
        <f aca="false">STACK!M891</f>
        <v/>
      </c>
      <c r="H891" s="1" t="str">
        <f aca="false">C891&amp;"|"&amp;IF(ISNUMBER(D891),TEXT(D891,"yyyy-mm-dd"),"no date")&amp;"|"&amp;E891&amp;"|"&amp;IF(ISNUMBER(F891),TEXT(F891,"0.00"),"blank")</f>
        <v>Free Clinic Provider Staffing|2025-09-30|Pharmacist|11.00</v>
      </c>
      <c r="I891" s="1" t="n">
        <f aca="false">COUNTIF($H$5:$H$1624,H891)</f>
        <v>1</v>
      </c>
      <c r="J891" s="1" t="n">
        <f aca="false">COUNTIF($H$5:H891,H891)</f>
        <v>1</v>
      </c>
      <c r="K891" s="1" t="n">
        <f aca="false">COUNTIFS($H$5:$H$1624,H891,$B$5:$B$1624,"&lt;&gt;"&amp;B891)</f>
        <v>0</v>
      </c>
      <c r="L891" s="1" t="str">
        <f aca="false">IF(I891&gt;1,IF(K891&gt;0,"Cross-hospital match","Same-hospital match"),"")</f>
        <v/>
      </c>
      <c r="M891" s="52"/>
      <c r="N891" s="52"/>
      <c r="O891" s="1" t="n">
        <f aca="false">IF(M891="Exclude (duplicate)",0,1)</f>
        <v>1</v>
      </c>
      <c r="P891" s="1" t="str">
        <f aca="false">IF(AND(L891&lt;&gt;"",M891=""),"Needs decision","")</f>
        <v/>
      </c>
    </row>
    <row r="892" customFormat="false" ht="15" hidden="false" customHeight="false" outlineLevel="0" collapsed="false">
      <c r="A892" s="48" t="str">
        <f aca="false">COST!A892</f>
        <v>CBH-0064</v>
      </c>
      <c r="B892" s="48" t="str">
        <f aca="false">COST!B892</f>
        <v>CBH</v>
      </c>
      <c r="C892" s="48" t="str">
        <f aca="false">COST!D892</f>
        <v>Free Clinic Provider Staffing</v>
      </c>
      <c r="D892" s="62" t="n">
        <f aca="false">COST!M892</f>
        <v>45930</v>
      </c>
      <c r="E892" s="48" t="str">
        <f aca="false">COST!P892</f>
        <v>Registered Nurse</v>
      </c>
      <c r="F892" s="63" t="n">
        <f aca="false">COST!R892</f>
        <v>34.5</v>
      </c>
      <c r="G892" s="48" t="str">
        <f aca="false">STACK!M892</f>
        <v/>
      </c>
      <c r="H892" s="1" t="str">
        <f aca="false">C892&amp;"|"&amp;IF(ISNUMBER(D892),TEXT(D892,"yyyy-mm-dd"),"no date")&amp;"|"&amp;E892&amp;"|"&amp;IF(ISNUMBER(F892),TEXT(F892,"0.00"),"blank")</f>
        <v>Free Clinic Provider Staffing|2025-09-30|Registered Nurse|34.50</v>
      </c>
      <c r="I892" s="1" t="n">
        <f aca="false">COUNTIF($H$5:$H$1624,H892)</f>
        <v>1</v>
      </c>
      <c r="J892" s="1" t="n">
        <f aca="false">COUNTIF($H$5:H892,H892)</f>
        <v>1</v>
      </c>
      <c r="K892" s="1" t="n">
        <f aca="false">COUNTIFS($H$5:$H$1624,H892,$B$5:$B$1624,"&lt;&gt;"&amp;B892)</f>
        <v>0</v>
      </c>
      <c r="L892" s="1" t="str">
        <f aca="false">IF(I892&gt;1,IF(K892&gt;0,"Cross-hospital match","Same-hospital match"),"")</f>
        <v/>
      </c>
      <c r="M892" s="52"/>
      <c r="N892" s="52"/>
      <c r="O892" s="1" t="n">
        <f aca="false">IF(M892="Exclude (duplicate)",0,1)</f>
        <v>1</v>
      </c>
      <c r="P892" s="1" t="str">
        <f aca="false">IF(AND(L892&lt;&gt;"",M892=""),"Needs decision","")</f>
        <v/>
      </c>
    </row>
    <row r="893" customFormat="false" ht="15" hidden="false" customHeight="false" outlineLevel="0" collapsed="false">
      <c r="A893" s="48" t="str">
        <f aca="false">COST!A893</f>
        <v>CBH-0065</v>
      </c>
      <c r="B893" s="48" t="str">
        <f aca="false">COST!B893</f>
        <v>CBH</v>
      </c>
      <c r="C893" s="48" t="str">
        <f aca="false">COST!D893</f>
        <v>Medication Assistance Program</v>
      </c>
      <c r="D893" s="62" t="n">
        <f aca="false">COST!M893</f>
        <v>45930</v>
      </c>
      <c r="E893" s="48" t="str">
        <f aca="false">COST!P893</f>
        <v>Patient Navigator</v>
      </c>
      <c r="F893" s="63" t="n">
        <f aca="false">COST!R893</f>
        <v>61</v>
      </c>
      <c r="G893" s="48" t="str">
        <f aca="false">STACK!M893</f>
        <v/>
      </c>
      <c r="H893" s="1" t="str">
        <f aca="false">C893&amp;"|"&amp;IF(ISNUMBER(D893),TEXT(D893,"yyyy-mm-dd"),"no date")&amp;"|"&amp;E893&amp;"|"&amp;IF(ISNUMBER(F893),TEXT(F893,"0.00"),"blank")</f>
        <v>Medication Assistance Program|2025-09-30|Patient Navigator|61.00</v>
      </c>
      <c r="I893" s="1" t="n">
        <f aca="false">COUNTIF($H$5:$H$1624,H893)</f>
        <v>1</v>
      </c>
      <c r="J893" s="1" t="n">
        <f aca="false">COUNTIF($H$5:H893,H893)</f>
        <v>1</v>
      </c>
      <c r="K893" s="1" t="n">
        <f aca="false">COUNTIFS($H$5:$H$1624,H893,$B$5:$B$1624,"&lt;&gt;"&amp;B893)</f>
        <v>0</v>
      </c>
      <c r="L893" s="1" t="str">
        <f aca="false">IF(I893&gt;1,IF(K893&gt;0,"Cross-hospital match","Same-hospital match"),"")</f>
        <v/>
      </c>
      <c r="M893" s="52"/>
      <c r="N893" s="52"/>
      <c r="O893" s="1" t="n">
        <f aca="false">IF(M893="Exclude (duplicate)",0,1)</f>
        <v>1</v>
      </c>
      <c r="P893" s="1" t="str">
        <f aca="false">IF(AND(L893&lt;&gt;"",M893=""),"Needs decision","")</f>
        <v/>
      </c>
    </row>
    <row r="894" customFormat="false" ht="15" hidden="false" customHeight="false" outlineLevel="0" collapsed="false">
      <c r="A894" s="48" t="str">
        <f aca="false">COST!A894</f>
        <v>CBH-0066</v>
      </c>
      <c r="B894" s="48" t="str">
        <f aca="false">COST!B894</f>
        <v>CBH</v>
      </c>
      <c r="C894" s="48" t="str">
        <f aca="false">COST!D894</f>
        <v>Medication Assistance Program</v>
      </c>
      <c r="D894" s="62" t="n">
        <f aca="false">COST!M894</f>
        <v>45930</v>
      </c>
      <c r="E894" s="48" t="str">
        <f aca="false">COST!P894</f>
        <v>Pharmacist</v>
      </c>
      <c r="F894" s="63" t="n">
        <f aca="false">COST!R894</f>
        <v>18.5</v>
      </c>
      <c r="G894" s="48" t="str">
        <f aca="false">STACK!M894</f>
        <v/>
      </c>
      <c r="H894" s="1" t="str">
        <f aca="false">C894&amp;"|"&amp;IF(ISNUMBER(D894),TEXT(D894,"yyyy-mm-dd"),"no date")&amp;"|"&amp;E894&amp;"|"&amp;IF(ISNUMBER(F894),TEXT(F894,"0.00"),"blank")</f>
        <v>Medication Assistance Program|2025-09-30|Pharmacist|18.50</v>
      </c>
      <c r="I894" s="1" t="n">
        <f aca="false">COUNTIF($H$5:$H$1624,H894)</f>
        <v>1</v>
      </c>
      <c r="J894" s="1" t="n">
        <f aca="false">COUNTIF($H$5:H894,H894)</f>
        <v>1</v>
      </c>
      <c r="K894" s="1" t="n">
        <f aca="false">COUNTIFS($H$5:$H$1624,H894,$B$5:$B$1624,"&lt;&gt;"&amp;B894)</f>
        <v>0</v>
      </c>
      <c r="L894" s="1" t="str">
        <f aca="false">IF(I894&gt;1,IF(K894&gt;0,"Cross-hospital match","Same-hospital match"),"")</f>
        <v/>
      </c>
      <c r="M894" s="52"/>
      <c r="N894" s="52"/>
      <c r="O894" s="1" t="n">
        <f aca="false">IF(M894="Exclude (duplicate)",0,1)</f>
        <v>1</v>
      </c>
      <c r="P894" s="1" t="str">
        <f aca="false">IF(AND(L894&lt;&gt;"",M894=""),"Needs decision","")</f>
        <v/>
      </c>
    </row>
    <row r="895" customFormat="false" ht="15" hidden="false" customHeight="false" outlineLevel="0" collapsed="false">
      <c r="A895" s="48" t="str">
        <f aca="false">COST!A895</f>
        <v>CBH-0067</v>
      </c>
      <c r="B895" s="48" t="str">
        <f aca="false">COST!B895</f>
        <v>CBH</v>
      </c>
      <c r="C895" s="48" t="str">
        <f aca="false">COST!D895</f>
        <v>Community Benefit Program Administration</v>
      </c>
      <c r="D895" s="62" t="n">
        <f aca="false">COST!M895</f>
        <v>45930</v>
      </c>
      <c r="E895" s="48" t="str">
        <f aca="false">COST!P895</f>
        <v>Administrative Assistant</v>
      </c>
      <c r="F895" s="63" t="n">
        <f aca="false">COST!R895</f>
        <v>50.5</v>
      </c>
      <c r="G895" s="48" t="str">
        <f aca="false">STACK!M895</f>
        <v/>
      </c>
      <c r="H895" s="1" t="str">
        <f aca="false">C895&amp;"|"&amp;IF(ISNUMBER(D895),TEXT(D895,"yyyy-mm-dd"),"no date")&amp;"|"&amp;E895&amp;"|"&amp;IF(ISNUMBER(F895),TEXT(F895,"0.00"),"blank")</f>
        <v>Community Benefit Program Administration|2025-09-30|Administrative Assistant|50.50</v>
      </c>
      <c r="I895" s="1" t="n">
        <f aca="false">COUNTIF($H$5:$H$1624,H895)</f>
        <v>1</v>
      </c>
      <c r="J895" s="1" t="n">
        <f aca="false">COUNTIF($H$5:H895,H895)</f>
        <v>1</v>
      </c>
      <c r="K895" s="1" t="n">
        <f aca="false">COUNTIFS($H$5:$H$1624,H895,$B$5:$B$1624,"&lt;&gt;"&amp;B895)</f>
        <v>0</v>
      </c>
      <c r="L895" s="1" t="str">
        <f aca="false">IF(I895&gt;1,IF(K895&gt;0,"Cross-hospital match","Same-hospital match"),"")</f>
        <v/>
      </c>
      <c r="M895" s="52"/>
      <c r="N895" s="52"/>
      <c r="O895" s="1" t="n">
        <f aca="false">IF(M895="Exclude (duplicate)",0,1)</f>
        <v>1</v>
      </c>
      <c r="P895" s="1" t="str">
        <f aca="false">IF(AND(L895&lt;&gt;"",M895=""),"Needs decision","")</f>
        <v/>
      </c>
    </row>
    <row r="896" customFormat="false" ht="15" hidden="false" customHeight="false" outlineLevel="0" collapsed="false">
      <c r="A896" s="48" t="str">
        <f aca="false">COST!A896</f>
        <v>CBH-0068</v>
      </c>
      <c r="B896" s="48" t="str">
        <f aca="false">COST!B896</f>
        <v>CBH</v>
      </c>
      <c r="C896" s="48" t="str">
        <f aca="false">COST!D896</f>
        <v>Community Benefit Program Administration</v>
      </c>
      <c r="D896" s="62" t="n">
        <f aca="false">COST!M896</f>
        <v>45930</v>
      </c>
      <c r="E896" s="48" t="str">
        <f aca="false">COST!P896</f>
        <v>Community Benefit Manager</v>
      </c>
      <c r="F896" s="63" t="n">
        <f aca="false">COST!R896</f>
        <v>64.25</v>
      </c>
      <c r="G896" s="48" t="str">
        <f aca="false">STACK!M896</f>
        <v/>
      </c>
      <c r="H896" s="1" t="str">
        <f aca="false">C896&amp;"|"&amp;IF(ISNUMBER(D896),TEXT(D896,"yyyy-mm-dd"),"no date")&amp;"|"&amp;E896&amp;"|"&amp;IF(ISNUMBER(F896),TEXT(F896,"0.00"),"blank")</f>
        <v>Community Benefit Program Administration|2025-09-30|Community Benefit Manager|64.25</v>
      </c>
      <c r="I896" s="1" t="n">
        <f aca="false">COUNTIF($H$5:$H$1624,H896)</f>
        <v>1</v>
      </c>
      <c r="J896" s="1" t="n">
        <f aca="false">COUNTIF($H$5:H896,H896)</f>
        <v>1</v>
      </c>
      <c r="K896" s="1" t="n">
        <f aca="false">COUNTIFS($H$5:$H$1624,H896,$B$5:$B$1624,"&lt;&gt;"&amp;B896)</f>
        <v>0</v>
      </c>
      <c r="L896" s="1" t="str">
        <f aca="false">IF(I896&gt;1,IF(K896&gt;0,"Cross-hospital match","Same-hospital match"),"")</f>
        <v/>
      </c>
      <c r="M896" s="52"/>
      <c r="N896" s="52"/>
      <c r="O896" s="1" t="n">
        <f aca="false">IF(M896="Exclude (duplicate)",0,1)</f>
        <v>1</v>
      </c>
      <c r="P896" s="1" t="str">
        <f aca="false">IF(AND(L896&lt;&gt;"",M896=""),"Needs decision","")</f>
        <v/>
      </c>
    </row>
    <row r="897" customFormat="false" ht="15" hidden="false" customHeight="false" outlineLevel="0" collapsed="false">
      <c r="A897" s="48" t="str">
        <f aca="false">COST!A897</f>
        <v>CBH-0069</v>
      </c>
      <c r="B897" s="48" t="str">
        <f aca="false">COST!B897</f>
        <v>CBH</v>
      </c>
      <c r="C897" s="48" t="str">
        <f aca="false">COST!D897</f>
        <v>Interpreter Services for Community Clinics</v>
      </c>
      <c r="D897" s="62" t="n">
        <f aca="false">COST!M897</f>
        <v>45930</v>
      </c>
      <c r="E897" s="48" t="str">
        <f aca="false">COST!P897</f>
        <v>Interpreter</v>
      </c>
      <c r="F897" s="63" t="n">
        <f aca="false">COST!R897</f>
        <v>40</v>
      </c>
      <c r="G897" s="48" t="str">
        <f aca="false">STACK!M897</f>
        <v/>
      </c>
      <c r="H897" s="1" t="str">
        <f aca="false">C897&amp;"|"&amp;IF(ISNUMBER(D897),TEXT(D897,"yyyy-mm-dd"),"no date")&amp;"|"&amp;E897&amp;"|"&amp;IF(ISNUMBER(F897),TEXT(F897,"0.00"),"blank")</f>
        <v>Interpreter Services for Community Clinics|2025-09-30|Interpreter|40.00</v>
      </c>
      <c r="I897" s="1" t="n">
        <f aca="false">COUNTIF($H$5:$H$1624,H897)</f>
        <v>1</v>
      </c>
      <c r="J897" s="1" t="n">
        <f aca="false">COUNTIF($H$5:H897,H897)</f>
        <v>1</v>
      </c>
      <c r="K897" s="1" t="n">
        <f aca="false">COUNTIFS($H$5:$H$1624,H897,$B$5:$B$1624,"&lt;&gt;"&amp;B897)</f>
        <v>0</v>
      </c>
      <c r="L897" s="1" t="str">
        <f aca="false">IF(I897&gt;1,IF(K897&gt;0,"Cross-hospital match","Same-hospital match"),"")</f>
        <v/>
      </c>
      <c r="M897" s="52"/>
      <c r="N897" s="52"/>
      <c r="O897" s="1" t="n">
        <f aca="false">IF(M897="Exclude (duplicate)",0,1)</f>
        <v>1</v>
      </c>
      <c r="P897" s="1" t="str">
        <f aca="false">IF(AND(L897&lt;&gt;"",M897=""),"Needs decision","")</f>
        <v/>
      </c>
    </row>
    <row r="898" customFormat="false" ht="15" hidden="false" customHeight="false" outlineLevel="0" collapsed="false">
      <c r="A898" s="48" t="str">
        <f aca="false">COST!A898</f>
        <v>CBH-0070</v>
      </c>
      <c r="B898" s="48" t="str">
        <f aca="false">COST!B898</f>
        <v>CBH</v>
      </c>
      <c r="C898" s="48" t="str">
        <f aca="false">COST!D898</f>
        <v>Nursing Student Clinical Rotations</v>
      </c>
      <c r="D898" s="62" t="n">
        <f aca="false">COST!M898</f>
        <v>45930</v>
      </c>
      <c r="E898" s="48" t="str">
        <f aca="false">COST!P898</f>
        <v>Clinical Nurse Educator</v>
      </c>
      <c r="F898" s="63" t="n">
        <f aca="false">COST!R898</f>
        <v>136</v>
      </c>
      <c r="G898" s="48" t="str">
        <f aca="false">STACK!M898</f>
        <v/>
      </c>
      <c r="H898" s="1" t="str">
        <f aca="false">C898&amp;"|"&amp;IF(ISNUMBER(D898),TEXT(D898,"yyyy-mm-dd"),"no date")&amp;"|"&amp;E898&amp;"|"&amp;IF(ISNUMBER(F898),TEXT(F898,"0.00"),"blank")</f>
        <v>Nursing Student Clinical Rotations|2025-09-30|Clinical Nurse Educator|136.00</v>
      </c>
      <c r="I898" s="1" t="n">
        <f aca="false">COUNTIF($H$5:$H$1624,H898)</f>
        <v>1</v>
      </c>
      <c r="J898" s="1" t="n">
        <f aca="false">COUNTIF($H$5:H898,H898)</f>
        <v>1</v>
      </c>
      <c r="K898" s="1" t="n">
        <f aca="false">COUNTIFS($H$5:$H$1624,H898,$B$5:$B$1624,"&lt;&gt;"&amp;B898)</f>
        <v>0</v>
      </c>
      <c r="L898" s="1" t="str">
        <f aca="false">IF(I898&gt;1,IF(K898&gt;0,"Cross-hospital match","Same-hospital match"),"")</f>
        <v/>
      </c>
      <c r="M898" s="52"/>
      <c r="N898" s="52"/>
      <c r="O898" s="1" t="n">
        <f aca="false">IF(M898="Exclude (duplicate)",0,1)</f>
        <v>1</v>
      </c>
      <c r="P898" s="1" t="str">
        <f aca="false">IF(AND(L898&lt;&gt;"",M898=""),"Needs decision","")</f>
        <v/>
      </c>
    </row>
    <row r="899" customFormat="false" ht="15" hidden="false" customHeight="false" outlineLevel="0" collapsed="false">
      <c r="A899" s="48" t="str">
        <f aca="false">COST!A899</f>
        <v>CBH-0071</v>
      </c>
      <c r="B899" s="48" t="str">
        <f aca="false">COST!B899</f>
        <v>CBH</v>
      </c>
      <c r="C899" s="48" t="str">
        <f aca="false">COST!D899</f>
        <v>Nursing Student Clinical Rotations</v>
      </c>
      <c r="D899" s="62" t="n">
        <f aca="false">COST!M899</f>
        <v>45930</v>
      </c>
      <c r="E899" s="48" t="str">
        <f aca="false">COST!P899</f>
        <v>Registered Nurse</v>
      </c>
      <c r="F899" s="63" t="n">
        <f aca="false">COST!R899</f>
        <v>155.25</v>
      </c>
      <c r="G899" s="48" t="str">
        <f aca="false">STACK!M899</f>
        <v/>
      </c>
      <c r="H899" s="1" t="str">
        <f aca="false">C899&amp;"|"&amp;IF(ISNUMBER(D899),TEXT(D899,"yyyy-mm-dd"),"no date")&amp;"|"&amp;E899&amp;"|"&amp;IF(ISNUMBER(F899),TEXT(F899,"0.00"),"blank")</f>
        <v>Nursing Student Clinical Rotations|2025-09-30|Registered Nurse|155.25</v>
      </c>
      <c r="I899" s="1" t="n">
        <f aca="false">COUNTIF($H$5:$H$1624,H899)</f>
        <v>1</v>
      </c>
      <c r="J899" s="1" t="n">
        <f aca="false">COUNTIF($H$5:H899,H899)</f>
        <v>1</v>
      </c>
      <c r="K899" s="1" t="n">
        <f aca="false">COUNTIFS($H$5:$H$1624,H899,$B$5:$B$1624,"&lt;&gt;"&amp;B899)</f>
        <v>0</v>
      </c>
      <c r="L899" s="1" t="str">
        <f aca="false">IF(I899&gt;1,IF(K899&gt;0,"Cross-hospital match","Same-hospital match"),"")</f>
        <v/>
      </c>
      <c r="M899" s="52"/>
      <c r="N899" s="52"/>
      <c r="O899" s="1" t="n">
        <f aca="false">IF(M899="Exclude (duplicate)",0,1)</f>
        <v>1</v>
      </c>
      <c r="P899" s="1" t="str">
        <f aca="false">IF(AND(L899&lt;&gt;"",M899=""),"Needs decision","")</f>
        <v/>
      </c>
    </row>
    <row r="900" customFormat="false" ht="15" hidden="false" customHeight="false" outlineLevel="0" collapsed="false">
      <c r="A900" s="48" t="str">
        <f aca="false">COST!A900</f>
        <v>CBH-0072</v>
      </c>
      <c r="B900" s="48" t="str">
        <f aca="false">COST!B900</f>
        <v>CBH</v>
      </c>
      <c r="C900" s="48" t="str">
        <f aca="false">COST!D900</f>
        <v>Pharmacy Student Rotations</v>
      </c>
      <c r="D900" s="62" t="n">
        <f aca="false">COST!M900</f>
        <v>45930</v>
      </c>
      <c r="E900" s="48" t="str">
        <f aca="false">COST!P900</f>
        <v>Pharmacist</v>
      </c>
      <c r="F900" s="63" t="n">
        <f aca="false">COST!R900</f>
        <v>61.75</v>
      </c>
      <c r="G900" s="48" t="str">
        <f aca="false">STACK!M900</f>
        <v/>
      </c>
      <c r="H900" s="1" t="str">
        <f aca="false">C900&amp;"|"&amp;IF(ISNUMBER(D900),TEXT(D900,"yyyy-mm-dd"),"no date")&amp;"|"&amp;E900&amp;"|"&amp;IF(ISNUMBER(F900),TEXT(F900,"0.00"),"blank")</f>
        <v>Pharmacy Student Rotations|2025-09-30|Pharmacist|61.75</v>
      </c>
      <c r="I900" s="1" t="n">
        <f aca="false">COUNTIF($H$5:$H$1624,H900)</f>
        <v>1</v>
      </c>
      <c r="J900" s="1" t="n">
        <f aca="false">COUNTIF($H$5:H900,H900)</f>
        <v>1</v>
      </c>
      <c r="K900" s="1" t="n">
        <f aca="false">COUNTIFS($H$5:$H$1624,H900,$B$5:$B$1624,"&lt;&gt;"&amp;B900)</f>
        <v>0</v>
      </c>
      <c r="L900" s="1" t="str">
        <f aca="false">IF(I900&gt;1,IF(K900&gt;0,"Cross-hospital match","Same-hospital match"),"")</f>
        <v/>
      </c>
      <c r="M900" s="52"/>
      <c r="N900" s="52"/>
      <c r="O900" s="1" t="n">
        <f aca="false">IF(M900="Exclude (duplicate)",0,1)</f>
        <v>1</v>
      </c>
      <c r="P900" s="1" t="str">
        <f aca="false">IF(AND(L900&lt;&gt;"",M900=""),"Needs decision","")</f>
        <v/>
      </c>
    </row>
    <row r="901" customFormat="false" ht="15" hidden="false" customHeight="false" outlineLevel="0" collapsed="false">
      <c r="A901" s="48" t="str">
        <f aca="false">COST!A901</f>
        <v>CBH-0073</v>
      </c>
      <c r="B901" s="48" t="str">
        <f aca="false">COST!B901</f>
        <v>CBH</v>
      </c>
      <c r="C901" s="48" t="str">
        <f aca="false">COST!D901</f>
        <v>Regional Health Coalition</v>
      </c>
      <c r="D901" s="62" t="n">
        <f aca="false">COST!M901</f>
        <v>45930</v>
      </c>
      <c r="E901" s="48" t="str">
        <f aca="false">COST!P901</f>
        <v>Community Benefit Manager</v>
      </c>
      <c r="F901" s="63" t="n">
        <f aca="false">COST!R901</f>
        <v>2</v>
      </c>
      <c r="G901" s="48" t="str">
        <f aca="false">STACK!M901</f>
        <v/>
      </c>
      <c r="H901" s="1" t="str">
        <f aca="false">C901&amp;"|"&amp;IF(ISNUMBER(D901),TEXT(D901,"yyyy-mm-dd"),"no date")&amp;"|"&amp;E901&amp;"|"&amp;IF(ISNUMBER(F901),TEXT(F901,"0.00"),"blank")</f>
        <v>Regional Health Coalition|2025-09-30|Community Benefit Manager|2.00</v>
      </c>
      <c r="I901" s="1" t="n">
        <f aca="false">COUNTIF($H$5:$H$1624,H901)</f>
        <v>1</v>
      </c>
      <c r="J901" s="1" t="n">
        <f aca="false">COUNTIF($H$5:H901,H901)</f>
        <v>1</v>
      </c>
      <c r="K901" s="1" t="n">
        <f aca="false">COUNTIFS($H$5:$H$1624,H901,$B$5:$B$1624,"&lt;&gt;"&amp;B901)</f>
        <v>0</v>
      </c>
      <c r="L901" s="1" t="str">
        <f aca="false">IF(I901&gt;1,IF(K901&gt;0,"Cross-hospital match","Same-hospital match"),"")</f>
        <v/>
      </c>
      <c r="M901" s="52"/>
      <c r="N901" s="52"/>
      <c r="O901" s="1" t="n">
        <f aca="false">IF(M901="Exclude (duplicate)",0,1)</f>
        <v>1</v>
      </c>
      <c r="P901" s="1" t="str">
        <f aca="false">IF(AND(L901&lt;&gt;"",M901=""),"Needs decision","")</f>
        <v/>
      </c>
    </row>
    <row r="902" customFormat="false" ht="15" hidden="false" customHeight="false" outlineLevel="0" collapsed="false">
      <c r="A902" s="48" t="str">
        <f aca="false">COST!A902</f>
        <v>CBH-0074</v>
      </c>
      <c r="B902" s="48" t="str">
        <f aca="false">COST!B902</f>
        <v>CBH</v>
      </c>
      <c r="C902" s="48" t="str">
        <f aca="false">COST!D902</f>
        <v>Regional Health Coalition</v>
      </c>
      <c r="D902" s="62" t="n">
        <f aca="false">COST!M902</f>
        <v>45930</v>
      </c>
      <c r="E902" s="48" t="str">
        <f aca="false">COST!P902</f>
        <v>Director</v>
      </c>
      <c r="F902" s="63" t="n">
        <f aca="false">COST!R902</f>
        <v>2.75</v>
      </c>
      <c r="G902" s="48" t="str">
        <f aca="false">STACK!M902</f>
        <v/>
      </c>
      <c r="H902" s="1" t="str">
        <f aca="false">C902&amp;"|"&amp;IF(ISNUMBER(D902),TEXT(D902,"yyyy-mm-dd"),"no date")&amp;"|"&amp;E902&amp;"|"&amp;IF(ISNUMBER(F902),TEXT(F902,"0.00"),"blank")</f>
        <v>Regional Health Coalition|2025-09-30|Director|2.75</v>
      </c>
      <c r="I902" s="1" t="n">
        <f aca="false">COUNTIF($H$5:$H$1624,H902)</f>
        <v>1</v>
      </c>
      <c r="J902" s="1" t="n">
        <f aca="false">COUNTIF($H$5:H902,H902)</f>
        <v>1</v>
      </c>
      <c r="K902" s="1" t="n">
        <f aca="false">COUNTIFS($H$5:$H$1624,H902,$B$5:$B$1624,"&lt;&gt;"&amp;B902)</f>
        <v>0</v>
      </c>
      <c r="L902" s="1" t="str">
        <f aca="false">IF(I902&gt;1,IF(K902&gt;0,"Cross-hospital match","Same-hospital match"),"")</f>
        <v/>
      </c>
      <c r="M902" s="52"/>
      <c r="N902" s="52"/>
      <c r="O902" s="1" t="n">
        <f aca="false">IF(M902="Exclude (duplicate)",0,1)</f>
        <v>1</v>
      </c>
      <c r="P902" s="1" t="str">
        <f aca="false">IF(AND(L902&lt;&gt;"",M902=""),"Needs decision","")</f>
        <v/>
      </c>
    </row>
    <row r="903" customFormat="false" ht="15" hidden="false" customHeight="false" outlineLevel="0" collapsed="false">
      <c r="A903" s="48" t="str">
        <f aca="false">COST!A903</f>
        <v>CBH-0075</v>
      </c>
      <c r="B903" s="48" t="str">
        <f aca="false">COST!B903</f>
        <v>CBH</v>
      </c>
      <c r="C903" s="48" t="str">
        <f aca="false">COST!D903</f>
        <v>Grief Support Group</v>
      </c>
      <c r="D903" s="62" t="n">
        <f aca="false">COST!M903</f>
        <v>45932</v>
      </c>
      <c r="E903" s="48" t="str">
        <f aca="false">COST!P903</f>
        <v>Chaplain</v>
      </c>
      <c r="F903" s="63" t="n">
        <f aca="false">COST!R903</f>
        <v>2</v>
      </c>
      <c r="G903" s="48" t="str">
        <f aca="false">STACK!M903</f>
        <v/>
      </c>
      <c r="H903" s="1" t="str">
        <f aca="false">C903&amp;"|"&amp;IF(ISNUMBER(D903),TEXT(D903,"yyyy-mm-dd"),"no date")&amp;"|"&amp;E903&amp;"|"&amp;IF(ISNUMBER(F903),TEXT(F903,"0.00"),"blank")</f>
        <v>Grief Support Group|2025-10-02|Chaplain|2.00</v>
      </c>
      <c r="I903" s="1" t="n">
        <f aca="false">COUNTIF($H$5:$H$1624,H903)</f>
        <v>1</v>
      </c>
      <c r="J903" s="1" t="n">
        <f aca="false">COUNTIF($H$5:H903,H903)</f>
        <v>1</v>
      </c>
      <c r="K903" s="1" t="n">
        <f aca="false">COUNTIFS($H$5:$H$1624,H903,$B$5:$B$1624,"&lt;&gt;"&amp;B903)</f>
        <v>0</v>
      </c>
      <c r="L903" s="1" t="str">
        <f aca="false">IF(I903&gt;1,IF(K903&gt;0,"Cross-hospital match","Same-hospital match"),"")</f>
        <v/>
      </c>
      <c r="M903" s="52"/>
      <c r="N903" s="52"/>
      <c r="O903" s="1" t="n">
        <f aca="false">IF(M903="Exclude (duplicate)",0,1)</f>
        <v>1</v>
      </c>
      <c r="P903" s="1" t="str">
        <f aca="false">IF(AND(L903&lt;&gt;"",M903=""),"Needs decision","")</f>
        <v/>
      </c>
    </row>
    <row r="904" customFormat="false" ht="15" hidden="false" customHeight="false" outlineLevel="0" collapsed="false">
      <c r="A904" s="48" t="str">
        <f aca="false">COST!A904</f>
        <v>CBH-0076</v>
      </c>
      <c r="B904" s="48" t="str">
        <f aca="false">COST!B904</f>
        <v>CBH</v>
      </c>
      <c r="C904" s="48" t="str">
        <f aca="false">COST!D904</f>
        <v>Grief Support Group</v>
      </c>
      <c r="D904" s="62" t="n">
        <f aca="false">COST!M904</f>
        <v>45932</v>
      </c>
      <c r="E904" s="48" t="str">
        <f aca="false">COST!P904</f>
        <v>Social Worker</v>
      </c>
      <c r="F904" s="63" t="n">
        <f aca="false">COST!R904</f>
        <v>1.75</v>
      </c>
      <c r="G904" s="48" t="str">
        <f aca="false">STACK!M904</f>
        <v/>
      </c>
      <c r="H904" s="1" t="str">
        <f aca="false">C904&amp;"|"&amp;IF(ISNUMBER(D904),TEXT(D904,"yyyy-mm-dd"),"no date")&amp;"|"&amp;E904&amp;"|"&amp;IF(ISNUMBER(F904),TEXT(F904,"0.00"),"blank")</f>
        <v>Grief Support Group|2025-10-02|Social Worker|1.75</v>
      </c>
      <c r="I904" s="1" t="n">
        <f aca="false">COUNTIF($H$5:$H$1624,H904)</f>
        <v>1</v>
      </c>
      <c r="J904" s="1" t="n">
        <f aca="false">COUNTIF($H$5:H904,H904)</f>
        <v>1</v>
      </c>
      <c r="K904" s="1" t="n">
        <f aca="false">COUNTIFS($H$5:$H$1624,H904,$B$5:$B$1624,"&lt;&gt;"&amp;B904)</f>
        <v>0</v>
      </c>
      <c r="L904" s="1" t="str">
        <f aca="false">IF(I904&gt;1,IF(K904&gt;0,"Cross-hospital match","Same-hospital match"),"")</f>
        <v/>
      </c>
      <c r="M904" s="52"/>
      <c r="N904" s="52"/>
      <c r="O904" s="1" t="n">
        <f aca="false">IF(M904="Exclude (duplicate)",0,1)</f>
        <v>1</v>
      </c>
      <c r="P904" s="1" t="str">
        <f aca="false">IF(AND(L904&lt;&gt;"",M904=""),"Needs decision","")</f>
        <v/>
      </c>
    </row>
    <row r="905" customFormat="false" ht="15" hidden="false" customHeight="false" outlineLevel="0" collapsed="false">
      <c r="A905" s="48" t="str">
        <f aca="false">COST!A905</f>
        <v>CBH-0077</v>
      </c>
      <c r="B905" s="48" t="str">
        <f aca="false">COST!B905</f>
        <v>CBH</v>
      </c>
      <c r="C905" s="48" t="str">
        <f aca="false">COST!D905</f>
        <v>Diabetes Prevention Classes</v>
      </c>
      <c r="D905" s="62" t="n">
        <f aca="false">COST!M905</f>
        <v>45937</v>
      </c>
      <c r="E905" s="48" t="str">
        <f aca="false">COST!P905</f>
        <v>Health Educator</v>
      </c>
      <c r="F905" s="63" t="n">
        <f aca="false">COST!R905</f>
        <v>2.25</v>
      </c>
      <c r="G905" s="48" t="str">
        <f aca="false">STACK!M905</f>
        <v/>
      </c>
      <c r="H905" s="1" t="str">
        <f aca="false">C905&amp;"|"&amp;IF(ISNUMBER(D905),TEXT(D905,"yyyy-mm-dd"),"no date")&amp;"|"&amp;E905&amp;"|"&amp;IF(ISNUMBER(F905),TEXT(F905,"0.00"),"blank")</f>
        <v>Diabetes Prevention Classes|2025-10-07|Health Educator|2.25</v>
      </c>
      <c r="I905" s="1" t="n">
        <f aca="false">COUNTIF($H$5:$H$1624,H905)</f>
        <v>1</v>
      </c>
      <c r="J905" s="1" t="n">
        <f aca="false">COUNTIF($H$5:H905,H905)</f>
        <v>1</v>
      </c>
      <c r="K905" s="1" t="n">
        <f aca="false">COUNTIFS($H$5:$H$1624,H905,$B$5:$B$1624,"&lt;&gt;"&amp;B905)</f>
        <v>0</v>
      </c>
      <c r="L905" s="1" t="str">
        <f aca="false">IF(I905&gt;1,IF(K905&gt;0,"Cross-hospital match","Same-hospital match"),"")</f>
        <v/>
      </c>
      <c r="M905" s="52"/>
      <c r="N905" s="52"/>
      <c r="O905" s="1" t="n">
        <f aca="false">IF(M905="Exclude (duplicate)",0,1)</f>
        <v>1</v>
      </c>
      <c r="P905" s="1" t="str">
        <f aca="false">IF(AND(L905&lt;&gt;"",M905=""),"Needs decision","")</f>
        <v/>
      </c>
    </row>
    <row r="906" customFormat="false" ht="15" hidden="false" customHeight="false" outlineLevel="0" collapsed="false">
      <c r="A906" s="48" t="str">
        <f aca="false">COST!A906</f>
        <v>CBH-0078</v>
      </c>
      <c r="B906" s="48" t="str">
        <f aca="false">COST!B906</f>
        <v>CBH</v>
      </c>
      <c r="C906" s="48" t="str">
        <f aca="false">COST!D906</f>
        <v>Diabetes Prevention Classes</v>
      </c>
      <c r="D906" s="62" t="n">
        <f aca="false">COST!M906</f>
        <v>45937</v>
      </c>
      <c r="E906" s="48" t="str">
        <f aca="false">COST!P906</f>
        <v>Registered Dietitian</v>
      </c>
      <c r="F906" s="63" t="n">
        <f aca="false">COST!R906</f>
        <v>1.5</v>
      </c>
      <c r="G906" s="48" t="str">
        <f aca="false">STACK!M906</f>
        <v/>
      </c>
      <c r="H906" s="1" t="str">
        <f aca="false">C906&amp;"|"&amp;IF(ISNUMBER(D906),TEXT(D906,"yyyy-mm-dd"),"no date")&amp;"|"&amp;E906&amp;"|"&amp;IF(ISNUMBER(F906),TEXT(F906,"0.00"),"blank")</f>
        <v>Diabetes Prevention Classes|2025-10-07|Registered Dietitian|1.50</v>
      </c>
      <c r="I906" s="1" t="n">
        <f aca="false">COUNTIF($H$5:$H$1624,H906)</f>
        <v>1</v>
      </c>
      <c r="J906" s="1" t="n">
        <f aca="false">COUNTIF($H$5:H906,H906)</f>
        <v>1</v>
      </c>
      <c r="K906" s="1" t="n">
        <f aca="false">COUNTIFS($H$5:$H$1624,H906,$B$5:$B$1624,"&lt;&gt;"&amp;B906)</f>
        <v>0</v>
      </c>
      <c r="L906" s="1" t="str">
        <f aca="false">IF(I906&gt;1,IF(K906&gt;0,"Cross-hospital match","Same-hospital match"),"")</f>
        <v/>
      </c>
      <c r="M906" s="52"/>
      <c r="N906" s="52"/>
      <c r="O906" s="1" t="n">
        <f aca="false">IF(M906="Exclude (duplicate)",0,1)</f>
        <v>1</v>
      </c>
      <c r="P906" s="1" t="str">
        <f aca="false">IF(AND(L906&lt;&gt;"",M906=""),"Needs decision","")</f>
        <v/>
      </c>
    </row>
    <row r="907" customFormat="false" ht="15" hidden="false" customHeight="false" outlineLevel="0" collapsed="false">
      <c r="A907" s="48" t="str">
        <f aca="false">COST!A907</f>
        <v>CBH-0079</v>
      </c>
      <c r="B907" s="48" t="str">
        <f aca="false">COST!B907</f>
        <v>CBH</v>
      </c>
      <c r="C907" s="48" t="str">
        <f aca="false">COST!D907</f>
        <v>Community Blood Pressure Checks</v>
      </c>
      <c r="D907" s="62" t="n">
        <f aca="false">COST!M907</f>
        <v>45937</v>
      </c>
      <c r="E907" s="48" t="str">
        <f aca="false">COST!P907</f>
        <v>Registered Nurse</v>
      </c>
      <c r="F907" s="63" t="n">
        <f aca="false">COST!R907</f>
        <v>3.5</v>
      </c>
      <c r="G907" s="48" t="str">
        <f aca="false">STACK!M907</f>
        <v/>
      </c>
      <c r="H907" s="1" t="str">
        <f aca="false">C907&amp;"|"&amp;IF(ISNUMBER(D907),TEXT(D907,"yyyy-mm-dd"),"no date")&amp;"|"&amp;E907&amp;"|"&amp;IF(ISNUMBER(F907),TEXT(F907,"0.00"),"blank")</f>
        <v>Community Blood Pressure Checks|2025-10-07|Registered Nurse|3.50</v>
      </c>
      <c r="I907" s="1" t="n">
        <f aca="false">COUNTIF($H$5:$H$1624,H907)</f>
        <v>1</v>
      </c>
      <c r="J907" s="1" t="n">
        <f aca="false">COUNTIF($H$5:H907,H907)</f>
        <v>1</v>
      </c>
      <c r="K907" s="1" t="n">
        <f aca="false">COUNTIFS($H$5:$H$1624,H907,$B$5:$B$1624,"&lt;&gt;"&amp;B907)</f>
        <v>0</v>
      </c>
      <c r="L907" s="1" t="str">
        <f aca="false">IF(I907&gt;1,IF(K907&gt;0,"Cross-hospital match","Same-hospital match"),"")</f>
        <v/>
      </c>
      <c r="M907" s="52"/>
      <c r="N907" s="52"/>
      <c r="O907" s="1" t="n">
        <f aca="false">IF(M907="Exclude (duplicate)",0,1)</f>
        <v>1</v>
      </c>
      <c r="P907" s="1" t="str">
        <f aca="false">IF(AND(L907&lt;&gt;"",M907=""),"Needs decision","")</f>
        <v/>
      </c>
    </row>
    <row r="908" customFormat="false" ht="15" hidden="false" customHeight="false" outlineLevel="0" collapsed="false">
      <c r="A908" s="48" t="str">
        <f aca="false">COST!A908</f>
        <v>CBH-0080</v>
      </c>
      <c r="B908" s="48" t="str">
        <f aca="false">COST!B908</f>
        <v>CBH</v>
      </c>
      <c r="C908" s="48" t="str">
        <f aca="false">COST!D908</f>
        <v>Community Blood Pressure Checks</v>
      </c>
      <c r="D908" s="62" t="n">
        <f aca="false">COST!M908</f>
        <v>45941</v>
      </c>
      <c r="E908" s="48" t="str">
        <f aca="false">COST!P908</f>
        <v>Registered Nurse</v>
      </c>
      <c r="F908" s="63" t="n">
        <f aca="false">COST!R908</f>
        <v>3.75</v>
      </c>
      <c r="G908" s="48" t="str">
        <f aca="false">STACK!M908</f>
        <v/>
      </c>
      <c r="H908" s="1" t="str">
        <f aca="false">C908&amp;"|"&amp;IF(ISNUMBER(D908),TEXT(D908,"yyyy-mm-dd"),"no date")&amp;"|"&amp;E908&amp;"|"&amp;IF(ISNUMBER(F908),TEXT(F908,"0.00"),"blank")</f>
        <v>Community Blood Pressure Checks|2025-10-11|Registered Nurse|3.75</v>
      </c>
      <c r="I908" s="1" t="n">
        <f aca="false">COUNTIF($H$5:$H$1624,H908)</f>
        <v>1</v>
      </c>
      <c r="J908" s="1" t="n">
        <f aca="false">COUNTIF($H$5:H908,H908)</f>
        <v>1</v>
      </c>
      <c r="K908" s="1" t="n">
        <f aca="false">COUNTIFS($H$5:$H$1624,H908,$B$5:$B$1624,"&lt;&gt;"&amp;B908)</f>
        <v>0</v>
      </c>
      <c r="L908" s="1" t="str">
        <f aca="false">IF(I908&gt;1,IF(K908&gt;0,"Cross-hospital match","Same-hospital match"),"")</f>
        <v/>
      </c>
      <c r="M908" s="52"/>
      <c r="N908" s="52"/>
      <c r="O908" s="1" t="n">
        <f aca="false">IF(M908="Exclude (duplicate)",0,1)</f>
        <v>1</v>
      </c>
      <c r="P908" s="1" t="str">
        <f aca="false">IF(AND(L908&lt;&gt;"",M908=""),"Needs decision","")</f>
        <v/>
      </c>
    </row>
    <row r="909" customFormat="false" ht="15" hidden="false" customHeight="false" outlineLevel="0" collapsed="false">
      <c r="A909" s="48" t="str">
        <f aca="false">COST!A909</f>
        <v>CBH-0081</v>
      </c>
      <c r="B909" s="48" t="str">
        <f aca="false">COST!B909</f>
        <v>CBH</v>
      </c>
      <c r="C909" s="48" t="str">
        <f aca="false">COST!D909</f>
        <v>Childbirth and Newborn Care Classes</v>
      </c>
      <c r="D909" s="62" t="n">
        <f aca="false">COST!M909</f>
        <v>45943</v>
      </c>
      <c r="E909" s="48" t="str">
        <f aca="false">COST!P909</f>
        <v>Clinical Nurse Educator</v>
      </c>
      <c r="F909" s="63" t="n">
        <f aca="false">COST!R909</f>
        <v>3.5</v>
      </c>
      <c r="G909" s="48" t="str">
        <f aca="false">STACK!M909</f>
        <v/>
      </c>
      <c r="H909" s="1" t="str">
        <f aca="false">C909&amp;"|"&amp;IF(ISNUMBER(D909),TEXT(D909,"yyyy-mm-dd"),"no date")&amp;"|"&amp;E909&amp;"|"&amp;IF(ISNUMBER(F909),TEXT(F909,"0.00"),"blank")</f>
        <v>Childbirth and Newborn Care Classes|2025-10-13|Clinical Nurse Educator|3.50</v>
      </c>
      <c r="I909" s="1" t="n">
        <f aca="false">COUNTIF($H$5:$H$1624,H909)</f>
        <v>1</v>
      </c>
      <c r="J909" s="1" t="n">
        <f aca="false">COUNTIF($H$5:H909,H909)</f>
        <v>1</v>
      </c>
      <c r="K909" s="1" t="n">
        <f aca="false">COUNTIFS($H$5:$H$1624,H909,$B$5:$B$1624,"&lt;&gt;"&amp;B909)</f>
        <v>0</v>
      </c>
      <c r="L909" s="1" t="str">
        <f aca="false">IF(I909&gt;1,IF(K909&gt;0,"Cross-hospital match","Same-hospital match"),"")</f>
        <v/>
      </c>
      <c r="M909" s="52"/>
      <c r="N909" s="52"/>
      <c r="O909" s="1" t="n">
        <f aca="false">IF(M909="Exclude (duplicate)",0,1)</f>
        <v>1</v>
      </c>
      <c r="P909" s="1" t="str">
        <f aca="false">IF(AND(L909&lt;&gt;"",M909=""),"Needs decision","")</f>
        <v/>
      </c>
    </row>
    <row r="910" customFormat="false" ht="15" hidden="false" customHeight="false" outlineLevel="0" collapsed="false">
      <c r="A910" s="48" t="str">
        <f aca="false">COST!A910</f>
        <v>CBH-0082</v>
      </c>
      <c r="B910" s="48" t="str">
        <f aca="false">COST!B910</f>
        <v>CBH</v>
      </c>
      <c r="C910" s="48" t="str">
        <f aca="false">COST!D910</f>
        <v>Grief Support Group</v>
      </c>
      <c r="D910" s="62" t="n">
        <f aca="false">COST!M910</f>
        <v>45947</v>
      </c>
      <c r="E910" s="48" t="str">
        <f aca="false">COST!P910</f>
        <v>Chaplain</v>
      </c>
      <c r="F910" s="63" t="n">
        <f aca="false">COST!R910</f>
        <v>2</v>
      </c>
      <c r="G910" s="48" t="str">
        <f aca="false">STACK!M910</f>
        <v/>
      </c>
      <c r="H910" s="1" t="str">
        <f aca="false">C910&amp;"|"&amp;IF(ISNUMBER(D910),TEXT(D910,"yyyy-mm-dd"),"no date")&amp;"|"&amp;E910&amp;"|"&amp;IF(ISNUMBER(F910),TEXT(F910,"0.00"),"blank")</f>
        <v>Grief Support Group|2025-10-17|Chaplain|2.00</v>
      </c>
      <c r="I910" s="1" t="n">
        <f aca="false">COUNTIF($H$5:$H$1624,H910)</f>
        <v>1</v>
      </c>
      <c r="J910" s="1" t="n">
        <f aca="false">COUNTIF($H$5:H910,H910)</f>
        <v>1</v>
      </c>
      <c r="K910" s="1" t="n">
        <f aca="false">COUNTIFS($H$5:$H$1624,H910,$B$5:$B$1624,"&lt;&gt;"&amp;B910)</f>
        <v>0</v>
      </c>
      <c r="L910" s="1" t="str">
        <f aca="false">IF(I910&gt;1,IF(K910&gt;0,"Cross-hospital match","Same-hospital match"),"")</f>
        <v/>
      </c>
      <c r="M910" s="52"/>
      <c r="N910" s="52"/>
      <c r="O910" s="1" t="n">
        <f aca="false">IF(M910="Exclude (duplicate)",0,1)</f>
        <v>1</v>
      </c>
      <c r="P910" s="1" t="str">
        <f aca="false">IF(AND(L910&lt;&gt;"",M910=""),"Needs decision","")</f>
        <v/>
      </c>
    </row>
    <row r="911" customFormat="false" ht="15" hidden="false" customHeight="false" outlineLevel="0" collapsed="false">
      <c r="A911" s="48" t="str">
        <f aca="false">COST!A911</f>
        <v>CBH-0083</v>
      </c>
      <c r="B911" s="48" t="str">
        <f aca="false">COST!B911</f>
        <v>CBH</v>
      </c>
      <c r="C911" s="48" t="str">
        <f aca="false">COST!D911</f>
        <v>Grief Support Group</v>
      </c>
      <c r="D911" s="62" t="n">
        <f aca="false">COST!M911</f>
        <v>45947</v>
      </c>
      <c r="E911" s="48" t="str">
        <f aca="false">COST!P911</f>
        <v>Social Worker</v>
      </c>
      <c r="F911" s="63" t="n">
        <f aca="false">COST!R911</f>
        <v>1.75</v>
      </c>
      <c r="G911" s="48" t="str">
        <f aca="false">STACK!M911</f>
        <v/>
      </c>
      <c r="H911" s="1" t="str">
        <f aca="false">C911&amp;"|"&amp;IF(ISNUMBER(D911),TEXT(D911,"yyyy-mm-dd"),"no date")&amp;"|"&amp;E911&amp;"|"&amp;IF(ISNUMBER(F911),TEXT(F911,"0.00"),"blank")</f>
        <v>Grief Support Group|2025-10-17|Social Worker|1.75</v>
      </c>
      <c r="I911" s="1" t="n">
        <f aca="false">COUNTIF($H$5:$H$1624,H911)</f>
        <v>1</v>
      </c>
      <c r="J911" s="1" t="n">
        <f aca="false">COUNTIF($H$5:H911,H911)</f>
        <v>1</v>
      </c>
      <c r="K911" s="1" t="n">
        <f aca="false">COUNTIFS($H$5:$H$1624,H911,$B$5:$B$1624,"&lt;&gt;"&amp;B911)</f>
        <v>0</v>
      </c>
      <c r="L911" s="1" t="str">
        <f aca="false">IF(I911&gt;1,IF(K911&gt;0,"Cross-hospital match","Same-hospital match"),"")</f>
        <v/>
      </c>
      <c r="M911" s="52"/>
      <c r="N911" s="52"/>
      <c r="O911" s="1" t="n">
        <f aca="false">IF(M911="Exclude (duplicate)",0,1)</f>
        <v>1</v>
      </c>
      <c r="P911" s="1" t="str">
        <f aca="false">IF(AND(L911&lt;&gt;"",M911=""),"Needs decision","")</f>
        <v/>
      </c>
    </row>
    <row r="912" customFormat="false" ht="15" hidden="false" customHeight="false" outlineLevel="0" collapsed="false">
      <c r="A912" s="48" t="str">
        <f aca="false">COST!A912</f>
        <v>CBH-0084</v>
      </c>
      <c r="B912" s="48" t="str">
        <f aca="false">COST!B912</f>
        <v>CBH</v>
      </c>
      <c r="C912" s="48" t="str">
        <f aca="false">COST!D912</f>
        <v>Regional Health Coalition</v>
      </c>
      <c r="D912" s="62" t="n">
        <f aca="false">COST!M912</f>
        <v>45950</v>
      </c>
      <c r="E912" s="48" t="str">
        <f aca="false">COST!P912</f>
        <v>Community Benefit Manager</v>
      </c>
      <c r="F912" s="63" t="n">
        <f aca="false">COST!R912</f>
        <v>2.5</v>
      </c>
      <c r="G912" s="48" t="str">
        <f aca="false">STACK!M912</f>
        <v/>
      </c>
      <c r="H912" s="1" t="str">
        <f aca="false">C912&amp;"|"&amp;IF(ISNUMBER(D912),TEXT(D912,"yyyy-mm-dd"),"no date")&amp;"|"&amp;E912&amp;"|"&amp;IF(ISNUMBER(F912),TEXT(F912,"0.00"),"blank")</f>
        <v>Regional Health Coalition|2025-10-20|Community Benefit Manager|2.50</v>
      </c>
      <c r="I912" s="1" t="n">
        <f aca="false">COUNTIF($H$5:$H$1624,H912)</f>
        <v>1</v>
      </c>
      <c r="J912" s="1" t="n">
        <f aca="false">COUNTIF($H$5:H912,H912)</f>
        <v>1</v>
      </c>
      <c r="K912" s="1" t="n">
        <f aca="false">COUNTIFS($H$5:$H$1624,H912,$B$5:$B$1624,"&lt;&gt;"&amp;B912)</f>
        <v>0</v>
      </c>
      <c r="L912" s="1" t="str">
        <f aca="false">IF(I912&gt;1,IF(K912&gt;0,"Cross-hospital match","Same-hospital match"),"")</f>
        <v/>
      </c>
      <c r="M912" s="52"/>
      <c r="N912" s="52"/>
      <c r="O912" s="1" t="n">
        <f aca="false">IF(M912="Exclude (duplicate)",0,1)</f>
        <v>1</v>
      </c>
      <c r="P912" s="1" t="str">
        <f aca="false">IF(AND(L912&lt;&gt;"",M912=""),"Needs decision","")</f>
        <v/>
      </c>
    </row>
    <row r="913" customFormat="false" ht="15" hidden="false" customHeight="false" outlineLevel="0" collapsed="false">
      <c r="A913" s="48" t="str">
        <f aca="false">COST!A913</f>
        <v>CBH-0085</v>
      </c>
      <c r="B913" s="48" t="str">
        <f aca="false">COST!B913</f>
        <v>CBH</v>
      </c>
      <c r="C913" s="48" t="str">
        <f aca="false">COST!D913</f>
        <v>Regional Health Coalition</v>
      </c>
      <c r="D913" s="62" t="n">
        <f aca="false">COST!M913</f>
        <v>45950</v>
      </c>
      <c r="E913" s="48" t="str">
        <f aca="false">COST!P913</f>
        <v>Director</v>
      </c>
      <c r="F913" s="63" t="n">
        <f aca="false">COST!R913</f>
        <v>2.5</v>
      </c>
      <c r="G913" s="48" t="str">
        <f aca="false">STACK!M913</f>
        <v/>
      </c>
      <c r="H913" s="1" t="str">
        <f aca="false">C913&amp;"|"&amp;IF(ISNUMBER(D913),TEXT(D913,"yyyy-mm-dd"),"no date")&amp;"|"&amp;E913&amp;"|"&amp;IF(ISNUMBER(F913),TEXT(F913,"0.00"),"blank")</f>
        <v>Regional Health Coalition|2025-10-20|Director|2.50</v>
      </c>
      <c r="I913" s="1" t="n">
        <f aca="false">COUNTIF($H$5:$H$1624,H913)</f>
        <v>1</v>
      </c>
      <c r="J913" s="1" t="n">
        <f aca="false">COUNTIF($H$5:H913,H913)</f>
        <v>1</v>
      </c>
      <c r="K913" s="1" t="n">
        <f aca="false">COUNTIFS($H$5:$H$1624,H913,$B$5:$B$1624,"&lt;&gt;"&amp;B913)</f>
        <v>0</v>
      </c>
      <c r="L913" s="1" t="str">
        <f aca="false">IF(I913&gt;1,IF(K913&gt;0,"Cross-hospital match","Same-hospital match"),"")</f>
        <v/>
      </c>
      <c r="M913" s="52"/>
      <c r="N913" s="52"/>
      <c r="O913" s="1" t="n">
        <f aca="false">IF(M913="Exclude (duplicate)",0,1)</f>
        <v>1</v>
      </c>
      <c r="P913" s="1" t="str">
        <f aca="false">IF(AND(L913&lt;&gt;"",M913=""),"Needs decision","")</f>
        <v/>
      </c>
    </row>
    <row r="914" customFormat="false" ht="15" hidden="false" customHeight="false" outlineLevel="0" collapsed="false">
      <c r="A914" s="48" t="str">
        <f aca="false">COST!A914</f>
        <v>CBH-0086</v>
      </c>
      <c r="B914" s="48" t="str">
        <f aca="false">COST!B914</f>
        <v>CBH</v>
      </c>
      <c r="C914" s="48" t="str">
        <f aca="false">COST!D914</f>
        <v>Fall Prevention Classes for Older Adults</v>
      </c>
      <c r="D914" s="62" t="n">
        <f aca="false">COST!M914</f>
        <v>45954</v>
      </c>
      <c r="E914" s="48" t="str">
        <f aca="false">COST!P914</f>
        <v>Licensed Therapist</v>
      </c>
      <c r="F914" s="63" t="n">
        <f aca="false">COST!R914</f>
        <v>2</v>
      </c>
      <c r="G914" s="48" t="str">
        <f aca="false">STACK!M914</f>
        <v/>
      </c>
      <c r="H914" s="1" t="str">
        <f aca="false">C914&amp;"|"&amp;IF(ISNUMBER(D914),TEXT(D914,"yyyy-mm-dd"),"no date")&amp;"|"&amp;E914&amp;"|"&amp;IF(ISNUMBER(F914),TEXT(F914,"0.00"),"blank")</f>
        <v>Fall Prevention Classes for Older Adults|2025-10-24|Licensed Therapist|2.00</v>
      </c>
      <c r="I914" s="1" t="n">
        <f aca="false">COUNTIF($H$5:$H$1624,H914)</f>
        <v>1</v>
      </c>
      <c r="J914" s="1" t="n">
        <f aca="false">COUNTIF($H$5:H914,H914)</f>
        <v>1</v>
      </c>
      <c r="K914" s="1" t="n">
        <f aca="false">COUNTIFS($H$5:$H$1624,H914,$B$5:$B$1624,"&lt;&gt;"&amp;B914)</f>
        <v>0</v>
      </c>
      <c r="L914" s="1" t="str">
        <f aca="false">IF(I914&gt;1,IF(K914&gt;0,"Cross-hospital match","Same-hospital match"),"")</f>
        <v/>
      </c>
      <c r="M914" s="52"/>
      <c r="N914" s="52"/>
      <c r="O914" s="1" t="n">
        <f aca="false">IF(M914="Exclude (duplicate)",0,1)</f>
        <v>1</v>
      </c>
      <c r="P914" s="1" t="str">
        <f aca="false">IF(AND(L914&lt;&gt;"",M914=""),"Needs decision","")</f>
        <v/>
      </c>
    </row>
    <row r="915" customFormat="false" ht="15" hidden="false" customHeight="false" outlineLevel="0" collapsed="false">
      <c r="A915" s="48" t="str">
        <f aca="false">COST!A915</f>
        <v>CBH-0087</v>
      </c>
      <c r="B915" s="48" t="str">
        <f aca="false">COST!B915</f>
        <v>CBH</v>
      </c>
      <c r="C915" s="48" t="str">
        <f aca="false">COST!D915</f>
        <v>Diabetes Prevention Classes</v>
      </c>
      <c r="D915" s="62" t="n">
        <f aca="false">COST!M915</f>
        <v>45955</v>
      </c>
      <c r="E915" s="48" t="str">
        <f aca="false">COST!P915</f>
        <v>Health Educator</v>
      </c>
      <c r="F915" s="63" t="n">
        <f aca="false">COST!R915</f>
        <v>2.5</v>
      </c>
      <c r="G915" s="48" t="str">
        <f aca="false">STACK!M915</f>
        <v/>
      </c>
      <c r="H915" s="1" t="str">
        <f aca="false">C915&amp;"|"&amp;IF(ISNUMBER(D915),TEXT(D915,"yyyy-mm-dd"),"no date")&amp;"|"&amp;E915&amp;"|"&amp;IF(ISNUMBER(F915),TEXT(F915,"0.00"),"blank")</f>
        <v>Diabetes Prevention Classes|2025-10-25|Health Educator|2.50</v>
      </c>
      <c r="I915" s="1" t="n">
        <f aca="false">COUNTIF($H$5:$H$1624,H915)</f>
        <v>1</v>
      </c>
      <c r="J915" s="1" t="n">
        <f aca="false">COUNTIF($H$5:H915,H915)</f>
        <v>1</v>
      </c>
      <c r="K915" s="1" t="n">
        <f aca="false">COUNTIFS($H$5:$H$1624,H915,$B$5:$B$1624,"&lt;&gt;"&amp;B915)</f>
        <v>0</v>
      </c>
      <c r="L915" s="1" t="str">
        <f aca="false">IF(I915&gt;1,IF(K915&gt;0,"Cross-hospital match","Same-hospital match"),"")</f>
        <v/>
      </c>
      <c r="M915" s="52"/>
      <c r="N915" s="52"/>
      <c r="O915" s="1" t="n">
        <f aca="false">IF(M915="Exclude (duplicate)",0,1)</f>
        <v>1</v>
      </c>
      <c r="P915" s="1" t="str">
        <f aca="false">IF(AND(L915&lt;&gt;"",M915=""),"Needs decision","")</f>
        <v/>
      </c>
    </row>
    <row r="916" customFormat="false" ht="15" hidden="false" customHeight="false" outlineLevel="0" collapsed="false">
      <c r="A916" s="48" t="str">
        <f aca="false">COST!A916</f>
        <v>CBH-0088</v>
      </c>
      <c r="B916" s="48" t="str">
        <f aca="false">COST!B916</f>
        <v>CBH</v>
      </c>
      <c r="C916" s="48" t="str">
        <f aca="false">COST!D916</f>
        <v>Diabetes Prevention Classes</v>
      </c>
      <c r="D916" s="62" t="n">
        <f aca="false">COST!M916</f>
        <v>45955</v>
      </c>
      <c r="E916" s="48" t="str">
        <f aca="false">COST!P916</f>
        <v>Registered Dietitian</v>
      </c>
      <c r="F916" s="63" t="n">
        <f aca="false">COST!R916</f>
        <v>2</v>
      </c>
      <c r="G916" s="48" t="str">
        <f aca="false">STACK!M916</f>
        <v/>
      </c>
      <c r="H916" s="1" t="str">
        <f aca="false">C916&amp;"|"&amp;IF(ISNUMBER(D916),TEXT(D916,"yyyy-mm-dd"),"no date")&amp;"|"&amp;E916&amp;"|"&amp;IF(ISNUMBER(F916),TEXT(F916,"0.00"),"blank")</f>
        <v>Diabetes Prevention Classes|2025-10-25|Registered Dietitian|2.00</v>
      </c>
      <c r="I916" s="1" t="n">
        <f aca="false">COUNTIF($H$5:$H$1624,H916)</f>
        <v>1</v>
      </c>
      <c r="J916" s="1" t="n">
        <f aca="false">COUNTIF($H$5:H916,H916)</f>
        <v>1</v>
      </c>
      <c r="K916" s="1" t="n">
        <f aca="false">COUNTIFS($H$5:$H$1624,H916,$B$5:$B$1624,"&lt;&gt;"&amp;B916)</f>
        <v>0</v>
      </c>
      <c r="L916" s="1" t="str">
        <f aca="false">IF(I916&gt;1,IF(K916&gt;0,"Cross-hospital match","Same-hospital match"),"")</f>
        <v/>
      </c>
      <c r="M916" s="52"/>
      <c r="N916" s="52"/>
      <c r="O916" s="1" t="n">
        <f aca="false">IF(M916="Exclude (duplicate)",0,1)</f>
        <v>1</v>
      </c>
      <c r="P916" s="1" t="str">
        <f aca="false">IF(AND(L916&lt;&gt;"",M916=""),"Needs decision","")</f>
        <v/>
      </c>
    </row>
    <row r="917" customFormat="false" ht="15" hidden="false" customHeight="false" outlineLevel="0" collapsed="false">
      <c r="A917" s="48" t="str">
        <f aca="false">COST!A917</f>
        <v>CBH-0089</v>
      </c>
      <c r="B917" s="48" t="str">
        <f aca="false">COST!B917</f>
        <v>CBH</v>
      </c>
      <c r="C917" s="48" t="str">
        <f aca="false">COST!D917</f>
        <v>Naloxone Training and Distribution</v>
      </c>
      <c r="D917" s="62" t="n">
        <f aca="false">COST!M917</f>
        <v>45955</v>
      </c>
      <c r="E917" s="48" t="str">
        <f aca="false">COST!P917</f>
        <v>Health Educator</v>
      </c>
      <c r="F917" s="63" t="n">
        <f aca="false">COST!R917</f>
        <v>2.75</v>
      </c>
      <c r="G917" s="48" t="str">
        <f aca="false">STACK!M917</f>
        <v/>
      </c>
      <c r="H917" s="1" t="str">
        <f aca="false">C917&amp;"|"&amp;IF(ISNUMBER(D917),TEXT(D917,"yyyy-mm-dd"),"no date")&amp;"|"&amp;E917&amp;"|"&amp;IF(ISNUMBER(F917),TEXT(F917,"0.00"),"blank")</f>
        <v>Naloxone Training and Distribution|2025-10-25|Health Educator|2.75</v>
      </c>
      <c r="I917" s="1" t="n">
        <f aca="false">COUNTIF($H$5:$H$1624,H917)</f>
        <v>1</v>
      </c>
      <c r="J917" s="1" t="n">
        <f aca="false">COUNTIF($H$5:H917,H917)</f>
        <v>1</v>
      </c>
      <c r="K917" s="1" t="n">
        <f aca="false">COUNTIFS($H$5:$H$1624,H917,$B$5:$B$1624,"&lt;&gt;"&amp;B917)</f>
        <v>0</v>
      </c>
      <c r="L917" s="1" t="str">
        <f aca="false">IF(I917&gt;1,IF(K917&gt;0,"Cross-hospital match","Same-hospital match"),"")</f>
        <v/>
      </c>
      <c r="M917" s="52"/>
      <c r="N917" s="52"/>
      <c r="O917" s="1" t="n">
        <f aca="false">IF(M917="Exclude (duplicate)",0,1)</f>
        <v>1</v>
      </c>
      <c r="P917" s="1" t="str">
        <f aca="false">IF(AND(L917&lt;&gt;"",M917=""),"Needs decision","")</f>
        <v/>
      </c>
    </row>
    <row r="918" customFormat="false" ht="15" hidden="false" customHeight="false" outlineLevel="0" collapsed="false">
      <c r="A918" s="48" t="str">
        <f aca="false">COST!A918</f>
        <v>CBH-0090</v>
      </c>
      <c r="B918" s="48" t="str">
        <f aca="false">COST!B918</f>
        <v>CBH</v>
      </c>
      <c r="C918" s="48" t="str">
        <f aca="false">COST!D918</f>
        <v>Naloxone Training and Distribution</v>
      </c>
      <c r="D918" s="62" t="n">
        <f aca="false">COST!M918</f>
        <v>45955</v>
      </c>
      <c r="E918" s="48" t="str">
        <f aca="false">COST!P918</f>
        <v>Pharmacist</v>
      </c>
      <c r="F918" s="63" t="n">
        <f aca="false">COST!R918</f>
        <v>2.5</v>
      </c>
      <c r="G918" s="48" t="str">
        <f aca="false">STACK!M918</f>
        <v/>
      </c>
      <c r="H918" s="1" t="str">
        <f aca="false">C918&amp;"|"&amp;IF(ISNUMBER(D918),TEXT(D918,"yyyy-mm-dd"),"no date")&amp;"|"&amp;E918&amp;"|"&amp;IF(ISNUMBER(F918),TEXT(F918,"0.00"),"blank")</f>
        <v>Naloxone Training and Distribution|2025-10-25|Pharmacist|2.50</v>
      </c>
      <c r="I918" s="1" t="n">
        <f aca="false">COUNTIF($H$5:$H$1624,H918)</f>
        <v>1</v>
      </c>
      <c r="J918" s="1" t="n">
        <f aca="false">COUNTIF($H$5:H918,H918)</f>
        <v>1</v>
      </c>
      <c r="K918" s="1" t="n">
        <f aca="false">COUNTIFS($H$5:$H$1624,H918,$B$5:$B$1624,"&lt;&gt;"&amp;B918)</f>
        <v>0</v>
      </c>
      <c r="L918" s="1" t="str">
        <f aca="false">IF(I918&gt;1,IF(K918&gt;0,"Cross-hospital match","Same-hospital match"),"")</f>
        <v/>
      </c>
      <c r="M918" s="52"/>
      <c r="N918" s="52"/>
      <c r="O918" s="1" t="n">
        <f aca="false">IF(M918="Exclude (duplicate)",0,1)</f>
        <v>1</v>
      </c>
      <c r="P918" s="1" t="str">
        <f aca="false">IF(AND(L918&lt;&gt;"",M918=""),"Needs decision","")</f>
        <v/>
      </c>
    </row>
    <row r="919" customFormat="false" ht="15" hidden="false" customHeight="false" outlineLevel="0" collapsed="false">
      <c r="A919" s="48" t="str">
        <f aca="false">COST!A919</f>
        <v>CBH-0091</v>
      </c>
      <c r="B919" s="48" t="str">
        <f aca="false">COST!B919</f>
        <v>CBH</v>
      </c>
      <c r="C919" s="48" t="str">
        <f aca="false">COST!D919</f>
        <v>Community Blood Pressure Checks</v>
      </c>
      <c r="D919" s="62" t="n">
        <f aca="false">COST!M919</f>
        <v>45958</v>
      </c>
      <c r="E919" s="48" t="str">
        <f aca="false">COST!P919</f>
        <v>Registered Nurse</v>
      </c>
      <c r="F919" s="63" t="n">
        <f aca="false">COST!R919</f>
        <v>3.75</v>
      </c>
      <c r="G919" s="48" t="str">
        <f aca="false">STACK!M919</f>
        <v/>
      </c>
      <c r="H919" s="1" t="str">
        <f aca="false">C919&amp;"|"&amp;IF(ISNUMBER(D919),TEXT(D919,"yyyy-mm-dd"),"no date")&amp;"|"&amp;E919&amp;"|"&amp;IF(ISNUMBER(F919),TEXT(F919,"0.00"),"blank")</f>
        <v>Community Blood Pressure Checks|2025-10-28|Registered Nurse|3.75</v>
      </c>
      <c r="I919" s="1" t="n">
        <f aca="false">COUNTIF($H$5:$H$1624,H919)</f>
        <v>1</v>
      </c>
      <c r="J919" s="1" t="n">
        <f aca="false">COUNTIF($H$5:H919,H919)</f>
        <v>1</v>
      </c>
      <c r="K919" s="1" t="n">
        <f aca="false">COUNTIFS($H$5:$H$1624,H919,$B$5:$B$1624,"&lt;&gt;"&amp;B919)</f>
        <v>0</v>
      </c>
      <c r="L919" s="1" t="str">
        <f aca="false">IF(I919&gt;1,IF(K919&gt;0,"Cross-hospital match","Same-hospital match"),"")</f>
        <v/>
      </c>
      <c r="M919" s="52"/>
      <c r="N919" s="52"/>
      <c r="O919" s="1" t="n">
        <f aca="false">IF(M919="Exclude (duplicate)",0,1)</f>
        <v>1</v>
      </c>
      <c r="P919" s="1" t="str">
        <f aca="false">IF(AND(L919&lt;&gt;"",M919=""),"Needs decision","")</f>
        <v/>
      </c>
    </row>
    <row r="920" customFormat="false" ht="15" hidden="false" customHeight="false" outlineLevel="0" collapsed="false">
      <c r="A920" s="48" t="str">
        <f aca="false">COST!A920</f>
        <v>CBH-0092</v>
      </c>
      <c r="B920" s="48" t="str">
        <f aca="false">COST!B920</f>
        <v>CBH</v>
      </c>
      <c r="C920" s="48" t="str">
        <f aca="false">COST!D920</f>
        <v>Free Clinic Provider Staffing</v>
      </c>
      <c r="D920" s="62" t="n">
        <f aca="false">COST!M920</f>
        <v>45961</v>
      </c>
      <c r="E920" s="48" t="str">
        <f aca="false">COST!P920</f>
        <v>Nurse Practitioner</v>
      </c>
      <c r="F920" s="63" t="n">
        <f aca="false">COST!R920</f>
        <v>43</v>
      </c>
      <c r="G920" s="48" t="str">
        <f aca="false">STACK!M920</f>
        <v/>
      </c>
      <c r="H920" s="1" t="str">
        <f aca="false">C920&amp;"|"&amp;IF(ISNUMBER(D920),TEXT(D920,"yyyy-mm-dd"),"no date")&amp;"|"&amp;E920&amp;"|"&amp;IF(ISNUMBER(F920),TEXT(F920,"0.00"),"blank")</f>
        <v>Free Clinic Provider Staffing|2025-10-31|Nurse Practitioner|43.00</v>
      </c>
      <c r="I920" s="1" t="n">
        <f aca="false">COUNTIF($H$5:$H$1624,H920)</f>
        <v>1</v>
      </c>
      <c r="J920" s="1" t="n">
        <f aca="false">COUNTIF($H$5:H920,H920)</f>
        <v>1</v>
      </c>
      <c r="K920" s="1" t="n">
        <f aca="false">COUNTIFS($H$5:$H$1624,H920,$B$5:$B$1624,"&lt;&gt;"&amp;B920)</f>
        <v>0</v>
      </c>
      <c r="L920" s="1" t="str">
        <f aca="false">IF(I920&gt;1,IF(K920&gt;0,"Cross-hospital match","Same-hospital match"),"")</f>
        <v/>
      </c>
      <c r="M920" s="52"/>
      <c r="N920" s="52"/>
      <c r="O920" s="1" t="n">
        <f aca="false">IF(M920="Exclude (duplicate)",0,1)</f>
        <v>1</v>
      </c>
      <c r="P920" s="1" t="str">
        <f aca="false">IF(AND(L920&lt;&gt;"",M920=""),"Needs decision","")</f>
        <v/>
      </c>
    </row>
    <row r="921" customFormat="false" ht="15" hidden="false" customHeight="false" outlineLevel="0" collapsed="false">
      <c r="A921" s="48" t="str">
        <f aca="false">COST!A921</f>
        <v>CBH-0093</v>
      </c>
      <c r="B921" s="48" t="str">
        <f aca="false">COST!B921</f>
        <v>CBH</v>
      </c>
      <c r="C921" s="48" t="str">
        <f aca="false">COST!D921</f>
        <v>Free Clinic Provider Staffing</v>
      </c>
      <c r="D921" s="62" t="n">
        <f aca="false">COST!M921</f>
        <v>45961</v>
      </c>
      <c r="E921" s="48" t="str">
        <f aca="false">COST!P921</f>
        <v>Pharmacist</v>
      </c>
      <c r="F921" s="63" t="n">
        <f aca="false">COST!R921</f>
        <v>13.75</v>
      </c>
      <c r="G921" s="48" t="str">
        <f aca="false">STACK!M921</f>
        <v/>
      </c>
      <c r="H921" s="1" t="str">
        <f aca="false">C921&amp;"|"&amp;IF(ISNUMBER(D921),TEXT(D921,"yyyy-mm-dd"),"no date")&amp;"|"&amp;E921&amp;"|"&amp;IF(ISNUMBER(F921),TEXT(F921,"0.00"),"blank")</f>
        <v>Free Clinic Provider Staffing|2025-10-31|Pharmacist|13.75</v>
      </c>
      <c r="I921" s="1" t="n">
        <f aca="false">COUNTIF($H$5:$H$1624,H921)</f>
        <v>1</v>
      </c>
      <c r="J921" s="1" t="n">
        <f aca="false">COUNTIF($H$5:H921,H921)</f>
        <v>1</v>
      </c>
      <c r="K921" s="1" t="n">
        <f aca="false">COUNTIFS($H$5:$H$1624,H921,$B$5:$B$1624,"&lt;&gt;"&amp;B921)</f>
        <v>0</v>
      </c>
      <c r="L921" s="1" t="str">
        <f aca="false">IF(I921&gt;1,IF(K921&gt;0,"Cross-hospital match","Same-hospital match"),"")</f>
        <v/>
      </c>
      <c r="M921" s="52"/>
      <c r="N921" s="52"/>
      <c r="O921" s="1" t="n">
        <f aca="false">IF(M921="Exclude (duplicate)",0,1)</f>
        <v>1</v>
      </c>
      <c r="P921" s="1" t="str">
        <f aca="false">IF(AND(L921&lt;&gt;"",M921=""),"Needs decision","")</f>
        <v/>
      </c>
    </row>
    <row r="922" customFormat="false" ht="15" hidden="false" customHeight="false" outlineLevel="0" collapsed="false">
      <c r="A922" s="48" t="str">
        <f aca="false">COST!A922</f>
        <v>CBH-0094</v>
      </c>
      <c r="B922" s="48" t="str">
        <f aca="false">COST!B922</f>
        <v>CBH</v>
      </c>
      <c r="C922" s="48" t="str">
        <f aca="false">COST!D922</f>
        <v>Free Clinic Provider Staffing</v>
      </c>
      <c r="D922" s="62" t="n">
        <f aca="false">COST!M922</f>
        <v>45961</v>
      </c>
      <c r="E922" s="48" t="str">
        <f aca="false">COST!P922</f>
        <v>Registered Nurse</v>
      </c>
      <c r="F922" s="63" t="n">
        <f aca="false">COST!R922</f>
        <v>33</v>
      </c>
      <c r="G922" s="48" t="str">
        <f aca="false">STACK!M922</f>
        <v/>
      </c>
      <c r="H922" s="1" t="str">
        <f aca="false">C922&amp;"|"&amp;IF(ISNUMBER(D922),TEXT(D922,"yyyy-mm-dd"),"no date")&amp;"|"&amp;E922&amp;"|"&amp;IF(ISNUMBER(F922),TEXT(F922,"0.00"),"blank")</f>
        <v>Free Clinic Provider Staffing|2025-10-31|Registered Nurse|33.00</v>
      </c>
      <c r="I922" s="1" t="n">
        <f aca="false">COUNTIF($H$5:$H$1624,H922)</f>
        <v>1</v>
      </c>
      <c r="J922" s="1" t="n">
        <f aca="false">COUNTIF($H$5:H922,H922)</f>
        <v>1</v>
      </c>
      <c r="K922" s="1" t="n">
        <f aca="false">COUNTIFS($H$5:$H$1624,H922,$B$5:$B$1624,"&lt;&gt;"&amp;B922)</f>
        <v>0</v>
      </c>
      <c r="L922" s="1" t="str">
        <f aca="false">IF(I922&gt;1,IF(K922&gt;0,"Cross-hospital match","Same-hospital match"),"")</f>
        <v/>
      </c>
      <c r="M922" s="52"/>
      <c r="N922" s="52"/>
      <c r="O922" s="1" t="n">
        <f aca="false">IF(M922="Exclude (duplicate)",0,1)</f>
        <v>1</v>
      </c>
      <c r="P922" s="1" t="str">
        <f aca="false">IF(AND(L922&lt;&gt;"",M922=""),"Needs decision","")</f>
        <v/>
      </c>
    </row>
    <row r="923" customFormat="false" ht="15" hidden="false" customHeight="false" outlineLevel="0" collapsed="false">
      <c r="A923" s="48" t="str">
        <f aca="false">COST!A923</f>
        <v>CBH-0095</v>
      </c>
      <c r="B923" s="48" t="str">
        <f aca="false">COST!B923</f>
        <v>CBH</v>
      </c>
      <c r="C923" s="48" t="str">
        <f aca="false">COST!D923</f>
        <v>Medication Assistance Program</v>
      </c>
      <c r="D923" s="62" t="n">
        <f aca="false">COST!M923</f>
        <v>45961</v>
      </c>
      <c r="E923" s="48" t="str">
        <f aca="false">COST!P923</f>
        <v>Patient Navigator</v>
      </c>
      <c r="F923" s="63" t="n">
        <f aca="false">COST!R923</f>
        <v>76.5</v>
      </c>
      <c r="G923" s="48" t="str">
        <f aca="false">STACK!M923</f>
        <v/>
      </c>
      <c r="H923" s="1" t="str">
        <f aca="false">C923&amp;"|"&amp;IF(ISNUMBER(D923),TEXT(D923,"yyyy-mm-dd"),"no date")&amp;"|"&amp;E923&amp;"|"&amp;IF(ISNUMBER(F923),TEXT(F923,"0.00"),"blank")</f>
        <v>Medication Assistance Program|2025-10-31|Patient Navigator|76.50</v>
      </c>
      <c r="I923" s="1" t="n">
        <f aca="false">COUNTIF($H$5:$H$1624,H923)</f>
        <v>1</v>
      </c>
      <c r="J923" s="1" t="n">
        <f aca="false">COUNTIF($H$5:H923,H923)</f>
        <v>1</v>
      </c>
      <c r="K923" s="1" t="n">
        <f aca="false">COUNTIFS($H$5:$H$1624,H923,$B$5:$B$1624,"&lt;&gt;"&amp;B923)</f>
        <v>0</v>
      </c>
      <c r="L923" s="1" t="str">
        <f aca="false">IF(I923&gt;1,IF(K923&gt;0,"Cross-hospital match","Same-hospital match"),"")</f>
        <v/>
      </c>
      <c r="M923" s="52"/>
      <c r="N923" s="52"/>
      <c r="O923" s="1" t="n">
        <f aca="false">IF(M923="Exclude (duplicate)",0,1)</f>
        <v>1</v>
      </c>
      <c r="P923" s="1" t="str">
        <f aca="false">IF(AND(L923&lt;&gt;"",M923=""),"Needs decision","")</f>
        <v/>
      </c>
    </row>
    <row r="924" customFormat="false" ht="15" hidden="false" customHeight="false" outlineLevel="0" collapsed="false">
      <c r="A924" s="48" t="str">
        <f aca="false">COST!A924</f>
        <v>CBH-0096</v>
      </c>
      <c r="B924" s="48" t="str">
        <f aca="false">COST!B924</f>
        <v>CBH</v>
      </c>
      <c r="C924" s="48" t="str">
        <f aca="false">COST!D924</f>
        <v>Medication Assistance Program</v>
      </c>
      <c r="D924" s="62" t="n">
        <f aca="false">COST!M924</f>
        <v>45961</v>
      </c>
      <c r="E924" s="48" t="str">
        <f aca="false">COST!P924</f>
        <v>Pharmacist</v>
      </c>
      <c r="F924" s="63" t="n">
        <f aca="false">COST!R924</f>
        <v>23</v>
      </c>
      <c r="G924" s="48" t="str">
        <f aca="false">STACK!M924</f>
        <v/>
      </c>
      <c r="H924" s="1" t="str">
        <f aca="false">C924&amp;"|"&amp;IF(ISNUMBER(D924),TEXT(D924,"yyyy-mm-dd"),"no date")&amp;"|"&amp;E924&amp;"|"&amp;IF(ISNUMBER(F924),TEXT(F924,"0.00"),"blank")</f>
        <v>Medication Assistance Program|2025-10-31|Pharmacist|23.00</v>
      </c>
      <c r="I924" s="1" t="n">
        <f aca="false">COUNTIF($H$5:$H$1624,H924)</f>
        <v>1</v>
      </c>
      <c r="J924" s="1" t="n">
        <f aca="false">COUNTIF($H$5:H924,H924)</f>
        <v>1</v>
      </c>
      <c r="K924" s="1" t="n">
        <f aca="false">COUNTIFS($H$5:$H$1624,H924,$B$5:$B$1624,"&lt;&gt;"&amp;B924)</f>
        <v>0</v>
      </c>
      <c r="L924" s="1" t="str">
        <f aca="false">IF(I924&gt;1,IF(K924&gt;0,"Cross-hospital match","Same-hospital match"),"")</f>
        <v/>
      </c>
      <c r="M924" s="52"/>
      <c r="N924" s="52"/>
      <c r="O924" s="1" t="n">
        <f aca="false">IF(M924="Exclude (duplicate)",0,1)</f>
        <v>1</v>
      </c>
      <c r="P924" s="1" t="str">
        <f aca="false">IF(AND(L924&lt;&gt;"",M924=""),"Needs decision","")</f>
        <v/>
      </c>
    </row>
    <row r="925" customFormat="false" ht="15" hidden="false" customHeight="false" outlineLevel="0" collapsed="false">
      <c r="A925" s="48" t="str">
        <f aca="false">COST!A925</f>
        <v>CBH-0097</v>
      </c>
      <c r="B925" s="48" t="str">
        <f aca="false">COST!B925</f>
        <v>CBH</v>
      </c>
      <c r="C925" s="48" t="str">
        <f aca="false">COST!D925</f>
        <v>Community Benefit Program Administration</v>
      </c>
      <c r="D925" s="62" t="n">
        <f aca="false">COST!M925</f>
        <v>45961</v>
      </c>
      <c r="E925" s="48" t="str">
        <f aca="false">COST!P925</f>
        <v>Administrative Assistant</v>
      </c>
      <c r="F925" s="63" t="n">
        <f aca="false">COST!R925</f>
        <v>56.25</v>
      </c>
      <c r="G925" s="48" t="str">
        <f aca="false">STACK!M925</f>
        <v/>
      </c>
      <c r="H925" s="1" t="str">
        <f aca="false">C925&amp;"|"&amp;IF(ISNUMBER(D925),TEXT(D925,"yyyy-mm-dd"),"no date")&amp;"|"&amp;E925&amp;"|"&amp;IF(ISNUMBER(F925),TEXT(F925,"0.00"),"blank")</f>
        <v>Community Benefit Program Administration|2025-10-31|Administrative Assistant|56.25</v>
      </c>
      <c r="I925" s="1" t="n">
        <f aca="false">COUNTIF($H$5:$H$1624,H925)</f>
        <v>1</v>
      </c>
      <c r="J925" s="1" t="n">
        <f aca="false">COUNTIF($H$5:H925,H925)</f>
        <v>1</v>
      </c>
      <c r="K925" s="1" t="n">
        <f aca="false">COUNTIFS($H$5:$H$1624,H925,$B$5:$B$1624,"&lt;&gt;"&amp;B925)</f>
        <v>0</v>
      </c>
      <c r="L925" s="1" t="str">
        <f aca="false">IF(I925&gt;1,IF(K925&gt;0,"Cross-hospital match","Same-hospital match"),"")</f>
        <v/>
      </c>
      <c r="M925" s="52"/>
      <c r="N925" s="52"/>
      <c r="O925" s="1" t="n">
        <f aca="false">IF(M925="Exclude (duplicate)",0,1)</f>
        <v>1</v>
      </c>
      <c r="P925" s="1" t="str">
        <f aca="false">IF(AND(L925&lt;&gt;"",M925=""),"Needs decision","")</f>
        <v/>
      </c>
    </row>
    <row r="926" customFormat="false" ht="15" hidden="false" customHeight="false" outlineLevel="0" collapsed="false">
      <c r="A926" s="48" t="str">
        <f aca="false">COST!A926</f>
        <v>CBH-0098</v>
      </c>
      <c r="B926" s="48" t="str">
        <f aca="false">COST!B926</f>
        <v>CBH</v>
      </c>
      <c r="C926" s="48" t="str">
        <f aca="false">COST!D926</f>
        <v>Community Benefit Program Administration</v>
      </c>
      <c r="D926" s="62" t="n">
        <f aca="false">COST!M926</f>
        <v>45961</v>
      </c>
      <c r="E926" s="48" t="str">
        <f aca="false">COST!P926</f>
        <v>Community Benefit Manager</v>
      </c>
      <c r="F926" s="63" t="n">
        <f aca="false">COST!R926</f>
        <v>57</v>
      </c>
      <c r="G926" s="48" t="str">
        <f aca="false">STACK!M926</f>
        <v/>
      </c>
      <c r="H926" s="1" t="str">
        <f aca="false">C926&amp;"|"&amp;IF(ISNUMBER(D926),TEXT(D926,"yyyy-mm-dd"),"no date")&amp;"|"&amp;E926&amp;"|"&amp;IF(ISNUMBER(F926),TEXT(F926,"0.00"),"blank")</f>
        <v>Community Benefit Program Administration|2025-10-31|Community Benefit Manager|57.00</v>
      </c>
      <c r="I926" s="1" t="n">
        <f aca="false">COUNTIF($H$5:$H$1624,H926)</f>
        <v>1</v>
      </c>
      <c r="J926" s="1" t="n">
        <f aca="false">COUNTIF($H$5:H926,H926)</f>
        <v>1</v>
      </c>
      <c r="K926" s="1" t="n">
        <f aca="false">COUNTIFS($H$5:$H$1624,H926,$B$5:$B$1624,"&lt;&gt;"&amp;B926)</f>
        <v>0</v>
      </c>
      <c r="L926" s="1" t="str">
        <f aca="false">IF(I926&gt;1,IF(K926&gt;0,"Cross-hospital match","Same-hospital match"),"")</f>
        <v/>
      </c>
      <c r="M926" s="52"/>
      <c r="N926" s="52"/>
      <c r="O926" s="1" t="n">
        <f aca="false">IF(M926="Exclude (duplicate)",0,1)</f>
        <v>1</v>
      </c>
      <c r="P926" s="1" t="str">
        <f aca="false">IF(AND(L926&lt;&gt;"",M926=""),"Needs decision","")</f>
        <v/>
      </c>
    </row>
    <row r="927" customFormat="false" ht="15" hidden="false" customHeight="false" outlineLevel="0" collapsed="false">
      <c r="A927" s="48" t="str">
        <f aca="false">COST!A927</f>
        <v>CBH-0099</v>
      </c>
      <c r="B927" s="48" t="str">
        <f aca="false">COST!B927</f>
        <v>CBH</v>
      </c>
      <c r="C927" s="48" t="str">
        <f aca="false">COST!D927</f>
        <v>Interpreter Services for Community Clinics</v>
      </c>
      <c r="D927" s="62" t="n">
        <f aca="false">COST!M927</f>
        <v>45961</v>
      </c>
      <c r="E927" s="48" t="str">
        <f aca="false">COST!P927</f>
        <v>Interpreter</v>
      </c>
      <c r="F927" s="63" t="n">
        <f aca="false">COST!R927</f>
        <v>62.75</v>
      </c>
      <c r="G927" s="48" t="str">
        <f aca="false">STACK!M927</f>
        <v/>
      </c>
      <c r="H927" s="1" t="str">
        <f aca="false">C927&amp;"|"&amp;IF(ISNUMBER(D927),TEXT(D927,"yyyy-mm-dd"),"no date")&amp;"|"&amp;E927&amp;"|"&amp;IF(ISNUMBER(F927),TEXT(F927,"0.00"),"blank")</f>
        <v>Interpreter Services for Community Clinics|2025-10-31|Interpreter|62.75</v>
      </c>
      <c r="I927" s="1" t="n">
        <f aca="false">COUNTIF($H$5:$H$1624,H927)</f>
        <v>1</v>
      </c>
      <c r="J927" s="1" t="n">
        <f aca="false">COUNTIF($H$5:H927,H927)</f>
        <v>1</v>
      </c>
      <c r="K927" s="1" t="n">
        <f aca="false">COUNTIFS($H$5:$H$1624,H927,$B$5:$B$1624,"&lt;&gt;"&amp;B927)</f>
        <v>0</v>
      </c>
      <c r="L927" s="1" t="str">
        <f aca="false">IF(I927&gt;1,IF(K927&gt;0,"Cross-hospital match","Same-hospital match"),"")</f>
        <v/>
      </c>
      <c r="M927" s="52"/>
      <c r="N927" s="52"/>
      <c r="O927" s="1" t="n">
        <f aca="false">IF(M927="Exclude (duplicate)",0,1)</f>
        <v>1</v>
      </c>
      <c r="P927" s="1" t="str">
        <f aca="false">IF(AND(L927&lt;&gt;"",M927=""),"Needs decision","")</f>
        <v/>
      </c>
    </row>
    <row r="928" customFormat="false" ht="15" hidden="false" customHeight="false" outlineLevel="0" collapsed="false">
      <c r="A928" s="48" t="str">
        <f aca="false">COST!A928</f>
        <v>CBH-0100</v>
      </c>
      <c r="B928" s="48" t="str">
        <f aca="false">COST!B928</f>
        <v>CBH</v>
      </c>
      <c r="C928" s="48" t="str">
        <f aca="false">COST!D928</f>
        <v>Nursing Student Clinical Rotations</v>
      </c>
      <c r="D928" s="62" t="n">
        <f aca="false">COST!M928</f>
        <v>45961</v>
      </c>
      <c r="E928" s="48" t="str">
        <f aca="false">COST!P928</f>
        <v>Clinical Nurse Educator</v>
      </c>
      <c r="F928" s="63" t="n">
        <f aca="false">COST!R928</f>
        <v>113.25</v>
      </c>
      <c r="G928" s="48" t="str">
        <f aca="false">STACK!M928</f>
        <v/>
      </c>
      <c r="H928" s="1" t="str">
        <f aca="false">C928&amp;"|"&amp;IF(ISNUMBER(D928),TEXT(D928,"yyyy-mm-dd"),"no date")&amp;"|"&amp;E928&amp;"|"&amp;IF(ISNUMBER(F928),TEXT(F928,"0.00"),"blank")</f>
        <v>Nursing Student Clinical Rotations|2025-10-31|Clinical Nurse Educator|113.25</v>
      </c>
      <c r="I928" s="1" t="n">
        <f aca="false">COUNTIF($H$5:$H$1624,H928)</f>
        <v>1</v>
      </c>
      <c r="J928" s="1" t="n">
        <f aca="false">COUNTIF($H$5:H928,H928)</f>
        <v>1</v>
      </c>
      <c r="K928" s="1" t="n">
        <f aca="false">COUNTIFS($H$5:$H$1624,H928,$B$5:$B$1624,"&lt;&gt;"&amp;B928)</f>
        <v>0</v>
      </c>
      <c r="L928" s="1" t="str">
        <f aca="false">IF(I928&gt;1,IF(K928&gt;0,"Cross-hospital match","Same-hospital match"),"")</f>
        <v/>
      </c>
      <c r="M928" s="52"/>
      <c r="N928" s="52"/>
      <c r="O928" s="1" t="n">
        <f aca="false">IF(M928="Exclude (duplicate)",0,1)</f>
        <v>1</v>
      </c>
      <c r="P928" s="1" t="str">
        <f aca="false">IF(AND(L928&lt;&gt;"",M928=""),"Needs decision","")</f>
        <v/>
      </c>
    </row>
    <row r="929" customFormat="false" ht="15" hidden="false" customHeight="false" outlineLevel="0" collapsed="false">
      <c r="A929" s="48" t="str">
        <f aca="false">COST!A929</f>
        <v>CBH-0101</v>
      </c>
      <c r="B929" s="48" t="str">
        <f aca="false">COST!B929</f>
        <v>CBH</v>
      </c>
      <c r="C929" s="48" t="str">
        <f aca="false">COST!D929</f>
        <v>Nursing Student Clinical Rotations</v>
      </c>
      <c r="D929" s="62" t="n">
        <f aca="false">COST!M929</f>
        <v>45961</v>
      </c>
      <c r="E929" s="48" t="str">
        <f aca="false">COST!P929</f>
        <v>Registered Nurse</v>
      </c>
      <c r="F929" s="63" t="n">
        <f aca="false">COST!R929</f>
        <v>220.75</v>
      </c>
      <c r="G929" s="48" t="str">
        <f aca="false">STACK!M929</f>
        <v/>
      </c>
      <c r="H929" s="1" t="str">
        <f aca="false">C929&amp;"|"&amp;IF(ISNUMBER(D929),TEXT(D929,"yyyy-mm-dd"),"no date")&amp;"|"&amp;E929&amp;"|"&amp;IF(ISNUMBER(F929),TEXT(F929,"0.00"),"blank")</f>
        <v>Nursing Student Clinical Rotations|2025-10-31|Registered Nurse|220.75</v>
      </c>
      <c r="I929" s="1" t="n">
        <f aca="false">COUNTIF($H$5:$H$1624,H929)</f>
        <v>1</v>
      </c>
      <c r="J929" s="1" t="n">
        <f aca="false">COUNTIF($H$5:H929,H929)</f>
        <v>1</v>
      </c>
      <c r="K929" s="1" t="n">
        <f aca="false">COUNTIFS($H$5:$H$1624,H929,$B$5:$B$1624,"&lt;&gt;"&amp;B929)</f>
        <v>0</v>
      </c>
      <c r="L929" s="1" t="str">
        <f aca="false">IF(I929&gt;1,IF(K929&gt;0,"Cross-hospital match","Same-hospital match"),"")</f>
        <v/>
      </c>
      <c r="M929" s="52"/>
      <c r="N929" s="52"/>
      <c r="O929" s="1" t="n">
        <f aca="false">IF(M929="Exclude (duplicate)",0,1)</f>
        <v>1</v>
      </c>
      <c r="P929" s="1" t="str">
        <f aca="false">IF(AND(L929&lt;&gt;"",M929=""),"Needs decision","")</f>
        <v/>
      </c>
    </row>
    <row r="930" customFormat="false" ht="15" hidden="false" customHeight="false" outlineLevel="0" collapsed="false">
      <c r="A930" s="48" t="str">
        <f aca="false">COST!A930</f>
        <v>CBH-0102</v>
      </c>
      <c r="B930" s="48" t="str">
        <f aca="false">COST!B930</f>
        <v>CBH</v>
      </c>
      <c r="C930" s="48" t="str">
        <f aca="false">COST!D930</f>
        <v>Pharmacy Student Rotations</v>
      </c>
      <c r="D930" s="62" t="n">
        <f aca="false">COST!M930</f>
        <v>45961</v>
      </c>
      <c r="E930" s="48" t="str">
        <f aca="false">COST!P930</f>
        <v>Pharmacist</v>
      </c>
      <c r="F930" s="63" t="n">
        <f aca="false">COST!R930</f>
        <v>58.5</v>
      </c>
      <c r="G930" s="48" t="str">
        <f aca="false">STACK!M930</f>
        <v/>
      </c>
      <c r="H930" s="1" t="str">
        <f aca="false">C930&amp;"|"&amp;IF(ISNUMBER(D930),TEXT(D930,"yyyy-mm-dd"),"no date")&amp;"|"&amp;E930&amp;"|"&amp;IF(ISNUMBER(F930),TEXT(F930,"0.00"),"blank")</f>
        <v>Pharmacy Student Rotations|2025-10-31|Pharmacist|58.50</v>
      </c>
      <c r="I930" s="1" t="n">
        <f aca="false">COUNTIF($H$5:$H$1624,H930)</f>
        <v>1</v>
      </c>
      <c r="J930" s="1" t="n">
        <f aca="false">COUNTIF($H$5:H930,H930)</f>
        <v>1</v>
      </c>
      <c r="K930" s="1" t="n">
        <f aca="false">COUNTIFS($H$5:$H$1624,H930,$B$5:$B$1624,"&lt;&gt;"&amp;B930)</f>
        <v>0</v>
      </c>
      <c r="L930" s="1" t="str">
        <f aca="false">IF(I930&gt;1,IF(K930&gt;0,"Cross-hospital match","Same-hospital match"),"")</f>
        <v/>
      </c>
      <c r="M930" s="52"/>
      <c r="N930" s="52"/>
      <c r="O930" s="1" t="n">
        <f aca="false">IF(M930="Exclude (duplicate)",0,1)</f>
        <v>1</v>
      </c>
      <c r="P930" s="1" t="str">
        <f aca="false">IF(AND(L930&lt;&gt;"",M930=""),"Needs decision","")</f>
        <v/>
      </c>
    </row>
    <row r="931" customFormat="false" ht="15" hidden="false" customHeight="false" outlineLevel="0" collapsed="false">
      <c r="A931" s="48" t="str">
        <f aca="false">COST!A931</f>
        <v>CBH-0103</v>
      </c>
      <c r="B931" s="48" t="str">
        <f aca="false">COST!B931</f>
        <v>CBH</v>
      </c>
      <c r="C931" s="48" t="str">
        <f aca="false">COST!D931</f>
        <v>Diabetes Prevention Classes</v>
      </c>
      <c r="D931" s="62" t="n">
        <f aca="false">COST!M931</f>
        <v>45971</v>
      </c>
      <c r="E931" s="48" t="str">
        <f aca="false">COST!P931</f>
        <v>Health Educator</v>
      </c>
      <c r="F931" s="63" t="n">
        <f aca="false">COST!R931</f>
        <v>2.5</v>
      </c>
      <c r="G931" s="48" t="str">
        <f aca="false">STACK!M931</f>
        <v/>
      </c>
      <c r="H931" s="1" t="str">
        <f aca="false">C931&amp;"|"&amp;IF(ISNUMBER(D931),TEXT(D931,"yyyy-mm-dd"),"no date")&amp;"|"&amp;E931&amp;"|"&amp;IF(ISNUMBER(F931),TEXT(F931,"0.00"),"blank")</f>
        <v>Diabetes Prevention Classes|2025-11-10|Health Educator|2.50</v>
      </c>
      <c r="I931" s="1" t="n">
        <f aca="false">COUNTIF($H$5:$H$1624,H931)</f>
        <v>1</v>
      </c>
      <c r="J931" s="1" t="n">
        <f aca="false">COUNTIF($H$5:H931,H931)</f>
        <v>1</v>
      </c>
      <c r="K931" s="1" t="n">
        <f aca="false">COUNTIFS($H$5:$H$1624,H931,$B$5:$B$1624,"&lt;&gt;"&amp;B931)</f>
        <v>0</v>
      </c>
      <c r="L931" s="1" t="str">
        <f aca="false">IF(I931&gt;1,IF(K931&gt;0,"Cross-hospital match","Same-hospital match"),"")</f>
        <v/>
      </c>
      <c r="M931" s="52"/>
      <c r="N931" s="52"/>
      <c r="O931" s="1" t="n">
        <f aca="false">IF(M931="Exclude (duplicate)",0,1)</f>
        <v>1</v>
      </c>
      <c r="P931" s="1" t="str">
        <f aca="false">IF(AND(L931&lt;&gt;"",M931=""),"Needs decision","")</f>
        <v/>
      </c>
    </row>
    <row r="932" customFormat="false" ht="15" hidden="false" customHeight="false" outlineLevel="0" collapsed="false">
      <c r="A932" s="48" t="str">
        <f aca="false">COST!A932</f>
        <v>CBH-0104</v>
      </c>
      <c r="B932" s="48" t="str">
        <f aca="false">COST!B932</f>
        <v>CBH</v>
      </c>
      <c r="C932" s="48" t="str">
        <f aca="false">COST!D932</f>
        <v>Diabetes Prevention Classes</v>
      </c>
      <c r="D932" s="62" t="n">
        <f aca="false">COST!M932</f>
        <v>45971</v>
      </c>
      <c r="E932" s="48" t="str">
        <f aca="false">COST!P932</f>
        <v>Registered Dietitian</v>
      </c>
      <c r="F932" s="63" t="n">
        <f aca="false">COST!R932</f>
        <v>1.75</v>
      </c>
      <c r="G932" s="48" t="str">
        <f aca="false">STACK!M932</f>
        <v/>
      </c>
      <c r="H932" s="1" t="str">
        <f aca="false">C932&amp;"|"&amp;IF(ISNUMBER(D932),TEXT(D932,"yyyy-mm-dd"),"no date")&amp;"|"&amp;E932&amp;"|"&amp;IF(ISNUMBER(F932),TEXT(F932,"0.00"),"blank")</f>
        <v>Diabetes Prevention Classes|2025-11-10|Registered Dietitian|1.75</v>
      </c>
      <c r="I932" s="1" t="n">
        <f aca="false">COUNTIF($H$5:$H$1624,H932)</f>
        <v>1</v>
      </c>
      <c r="J932" s="1" t="n">
        <f aca="false">COUNTIF($H$5:H932,H932)</f>
        <v>1</v>
      </c>
      <c r="K932" s="1" t="n">
        <f aca="false">COUNTIFS($H$5:$H$1624,H932,$B$5:$B$1624,"&lt;&gt;"&amp;B932)</f>
        <v>0</v>
      </c>
      <c r="L932" s="1" t="str">
        <f aca="false">IF(I932&gt;1,IF(K932&gt;0,"Cross-hospital match","Same-hospital match"),"")</f>
        <v/>
      </c>
      <c r="M932" s="52"/>
      <c r="N932" s="52"/>
      <c r="O932" s="1" t="n">
        <f aca="false">IF(M932="Exclude (duplicate)",0,1)</f>
        <v>1</v>
      </c>
      <c r="P932" s="1" t="str">
        <f aca="false">IF(AND(L932&lt;&gt;"",M932=""),"Needs decision","")</f>
        <v/>
      </c>
    </row>
    <row r="933" customFormat="false" ht="15" hidden="false" customHeight="false" outlineLevel="0" collapsed="false">
      <c r="A933" s="48" t="str">
        <f aca="false">COST!A933</f>
        <v>CBH-0105</v>
      </c>
      <c r="B933" s="48" t="str">
        <f aca="false">COST!B933</f>
        <v>CBH</v>
      </c>
      <c r="C933" s="48" t="str">
        <f aca="false">COST!D933</f>
        <v>Childbirth and Newborn Care Classes</v>
      </c>
      <c r="D933" s="62" t="n">
        <f aca="false">COST!M933</f>
        <v>45975</v>
      </c>
      <c r="E933" s="48" t="str">
        <f aca="false">COST!P933</f>
        <v>Clinical Nurse Educator</v>
      </c>
      <c r="F933" s="63" t="n">
        <f aca="false">COST!R933</f>
        <v>3.5</v>
      </c>
      <c r="G933" s="48" t="str">
        <f aca="false">STACK!M933</f>
        <v/>
      </c>
      <c r="H933" s="1" t="str">
        <f aca="false">C933&amp;"|"&amp;IF(ISNUMBER(D933),TEXT(D933,"yyyy-mm-dd"),"no date")&amp;"|"&amp;E933&amp;"|"&amp;IF(ISNUMBER(F933),TEXT(F933,"0.00"),"blank")</f>
        <v>Childbirth and Newborn Care Classes|2025-11-14|Clinical Nurse Educator|3.50</v>
      </c>
      <c r="I933" s="1" t="n">
        <f aca="false">COUNTIF($H$5:$H$1624,H933)</f>
        <v>1</v>
      </c>
      <c r="J933" s="1" t="n">
        <f aca="false">COUNTIF($H$5:H933,H933)</f>
        <v>1</v>
      </c>
      <c r="K933" s="1" t="n">
        <f aca="false">COUNTIFS($H$5:$H$1624,H933,$B$5:$B$1624,"&lt;&gt;"&amp;B933)</f>
        <v>0</v>
      </c>
      <c r="L933" s="1" t="str">
        <f aca="false">IF(I933&gt;1,IF(K933&gt;0,"Cross-hospital match","Same-hospital match"),"")</f>
        <v/>
      </c>
      <c r="M933" s="52"/>
      <c r="N933" s="52"/>
      <c r="O933" s="1" t="n">
        <f aca="false">IF(M933="Exclude (duplicate)",0,1)</f>
        <v>1</v>
      </c>
      <c r="P933" s="1" t="str">
        <f aca="false">IF(AND(L933&lt;&gt;"",M933=""),"Needs decision","")</f>
        <v/>
      </c>
    </row>
    <row r="934" customFormat="false" ht="15" hidden="false" customHeight="false" outlineLevel="0" collapsed="false">
      <c r="A934" s="48" t="str">
        <f aca="false">COST!A934</f>
        <v>CBH-0106</v>
      </c>
      <c r="B934" s="48" t="str">
        <f aca="false">COST!B934</f>
        <v>CBH</v>
      </c>
      <c r="C934" s="48" t="str">
        <f aca="false">COST!D934</f>
        <v>Community Blood Pressure Checks</v>
      </c>
      <c r="D934" s="62" t="n">
        <f aca="false">COST!M934</f>
        <v>45979</v>
      </c>
      <c r="E934" s="48" t="str">
        <f aca="false">COST!P934</f>
        <v>Registered Nurse</v>
      </c>
      <c r="F934" s="63" t="n">
        <f aca="false">COST!R934</f>
        <v>3.25</v>
      </c>
      <c r="G934" s="48" t="str">
        <f aca="false">STACK!M934</f>
        <v/>
      </c>
      <c r="H934" s="1" t="str">
        <f aca="false">C934&amp;"|"&amp;IF(ISNUMBER(D934),TEXT(D934,"yyyy-mm-dd"),"no date")&amp;"|"&amp;E934&amp;"|"&amp;IF(ISNUMBER(F934),TEXT(F934,"0.00"),"blank")</f>
        <v>Community Blood Pressure Checks|2025-11-18|Registered Nurse|3.25</v>
      </c>
      <c r="I934" s="1" t="n">
        <f aca="false">COUNTIF($H$5:$H$1624,H934)</f>
        <v>1</v>
      </c>
      <c r="J934" s="1" t="n">
        <f aca="false">COUNTIF($H$5:H934,H934)</f>
        <v>1</v>
      </c>
      <c r="K934" s="1" t="n">
        <f aca="false">COUNTIFS($H$5:$H$1624,H934,$B$5:$B$1624,"&lt;&gt;"&amp;B934)</f>
        <v>0</v>
      </c>
      <c r="L934" s="1" t="str">
        <f aca="false">IF(I934&gt;1,IF(K934&gt;0,"Cross-hospital match","Same-hospital match"),"")</f>
        <v/>
      </c>
      <c r="M934" s="52"/>
      <c r="N934" s="52"/>
      <c r="O934" s="1" t="n">
        <f aca="false">IF(M934="Exclude (duplicate)",0,1)</f>
        <v>1</v>
      </c>
      <c r="P934" s="1" t="str">
        <f aca="false">IF(AND(L934&lt;&gt;"",M934=""),"Needs decision","")</f>
        <v/>
      </c>
    </row>
    <row r="935" customFormat="false" ht="15" hidden="false" customHeight="false" outlineLevel="0" collapsed="false">
      <c r="A935" s="48" t="str">
        <f aca="false">COST!A935</f>
        <v>CBH-0107</v>
      </c>
      <c r="B935" s="48" t="str">
        <f aca="false">COST!B935</f>
        <v>CBH</v>
      </c>
      <c r="C935" s="48" t="str">
        <f aca="false">COST!D935</f>
        <v>Community Blood Pressure Checks</v>
      </c>
      <c r="D935" s="62" t="n">
        <f aca="false">COST!M935</f>
        <v>45983</v>
      </c>
      <c r="E935" s="48" t="str">
        <f aca="false">COST!P935</f>
        <v>Registered Nurse</v>
      </c>
      <c r="F935" s="63" t="n">
        <f aca="false">COST!R935</f>
        <v>3.25</v>
      </c>
      <c r="G935" s="48" t="str">
        <f aca="false">STACK!M935</f>
        <v/>
      </c>
      <c r="H935" s="1" t="str">
        <f aca="false">C935&amp;"|"&amp;IF(ISNUMBER(D935),TEXT(D935,"yyyy-mm-dd"),"no date")&amp;"|"&amp;E935&amp;"|"&amp;IF(ISNUMBER(F935),TEXT(F935,"0.00"),"blank")</f>
        <v>Community Blood Pressure Checks|2025-11-22|Registered Nurse|3.25</v>
      </c>
      <c r="I935" s="1" t="n">
        <f aca="false">COUNTIF($H$5:$H$1624,H935)</f>
        <v>1</v>
      </c>
      <c r="J935" s="1" t="n">
        <f aca="false">COUNTIF($H$5:H935,H935)</f>
        <v>1</v>
      </c>
      <c r="K935" s="1" t="n">
        <f aca="false">COUNTIFS($H$5:$H$1624,H935,$B$5:$B$1624,"&lt;&gt;"&amp;B935)</f>
        <v>0</v>
      </c>
      <c r="L935" s="1" t="str">
        <f aca="false">IF(I935&gt;1,IF(K935&gt;0,"Cross-hospital match","Same-hospital match"),"")</f>
        <v/>
      </c>
      <c r="M935" s="52"/>
      <c r="N935" s="52"/>
      <c r="O935" s="1" t="n">
        <f aca="false">IF(M935="Exclude (duplicate)",0,1)</f>
        <v>1</v>
      </c>
      <c r="P935" s="1" t="str">
        <f aca="false">IF(AND(L935&lt;&gt;"",M935=""),"Needs decision","")</f>
        <v/>
      </c>
    </row>
    <row r="936" customFormat="false" ht="15" hidden="false" customHeight="false" outlineLevel="0" collapsed="false">
      <c r="A936" s="48" t="str">
        <f aca="false">COST!A936</f>
        <v>CBH-0108</v>
      </c>
      <c r="B936" s="48" t="str">
        <f aca="false">COST!B936</f>
        <v>CBH</v>
      </c>
      <c r="C936" s="48" t="str">
        <f aca="false">COST!D936</f>
        <v>Naloxone Training and Distribution</v>
      </c>
      <c r="D936" s="62" t="n">
        <f aca="false">COST!M936</f>
        <v>45987</v>
      </c>
      <c r="E936" s="48" t="str">
        <f aca="false">COST!P936</f>
        <v>Health Educator</v>
      </c>
      <c r="F936" s="63" t="n">
        <f aca="false">COST!R936</f>
        <v>2.75</v>
      </c>
      <c r="G936" s="48" t="str">
        <f aca="false">STACK!M936</f>
        <v/>
      </c>
      <c r="H936" s="1" t="str">
        <f aca="false">C936&amp;"|"&amp;IF(ISNUMBER(D936),TEXT(D936,"yyyy-mm-dd"),"no date")&amp;"|"&amp;E936&amp;"|"&amp;IF(ISNUMBER(F936),TEXT(F936,"0.00"),"blank")</f>
        <v>Naloxone Training and Distribution|2025-11-26|Health Educator|2.75</v>
      </c>
      <c r="I936" s="1" t="n">
        <f aca="false">COUNTIF($H$5:$H$1624,H936)</f>
        <v>1</v>
      </c>
      <c r="J936" s="1" t="n">
        <f aca="false">COUNTIF($H$5:H936,H936)</f>
        <v>1</v>
      </c>
      <c r="K936" s="1" t="n">
        <f aca="false">COUNTIFS($H$5:$H$1624,H936,$B$5:$B$1624,"&lt;&gt;"&amp;B936)</f>
        <v>0</v>
      </c>
      <c r="L936" s="1" t="str">
        <f aca="false">IF(I936&gt;1,IF(K936&gt;0,"Cross-hospital match","Same-hospital match"),"")</f>
        <v/>
      </c>
      <c r="M936" s="52"/>
      <c r="N936" s="52"/>
      <c r="O936" s="1" t="n">
        <f aca="false">IF(M936="Exclude (duplicate)",0,1)</f>
        <v>1</v>
      </c>
      <c r="P936" s="1" t="str">
        <f aca="false">IF(AND(L936&lt;&gt;"",M936=""),"Needs decision","")</f>
        <v/>
      </c>
    </row>
    <row r="937" customFormat="false" ht="15" hidden="false" customHeight="false" outlineLevel="0" collapsed="false">
      <c r="A937" s="48" t="str">
        <f aca="false">COST!A937</f>
        <v>CBH-0109</v>
      </c>
      <c r="B937" s="48" t="str">
        <f aca="false">COST!B937</f>
        <v>CBH</v>
      </c>
      <c r="C937" s="48" t="str">
        <f aca="false">COST!D937</f>
        <v>Naloxone Training and Distribution</v>
      </c>
      <c r="D937" s="62" t="n">
        <f aca="false">COST!M937</f>
        <v>45987</v>
      </c>
      <c r="E937" s="48" t="str">
        <f aca="false">COST!P937</f>
        <v>Pharmacist</v>
      </c>
      <c r="F937" s="63" t="n">
        <f aca="false">COST!R937</f>
        <v>3</v>
      </c>
      <c r="G937" s="48" t="str">
        <f aca="false">STACK!M937</f>
        <v/>
      </c>
      <c r="H937" s="1" t="str">
        <f aca="false">C937&amp;"|"&amp;IF(ISNUMBER(D937),TEXT(D937,"yyyy-mm-dd"),"no date")&amp;"|"&amp;E937&amp;"|"&amp;IF(ISNUMBER(F937),TEXT(F937,"0.00"),"blank")</f>
        <v>Naloxone Training and Distribution|2025-11-26|Pharmacist|3.00</v>
      </c>
      <c r="I937" s="1" t="n">
        <f aca="false">COUNTIF($H$5:$H$1624,H937)</f>
        <v>1</v>
      </c>
      <c r="J937" s="1" t="n">
        <f aca="false">COUNTIF($H$5:H937,H937)</f>
        <v>1</v>
      </c>
      <c r="K937" s="1" t="n">
        <f aca="false">COUNTIFS($H$5:$H$1624,H937,$B$5:$B$1624,"&lt;&gt;"&amp;B937)</f>
        <v>0</v>
      </c>
      <c r="L937" s="1" t="str">
        <f aca="false">IF(I937&gt;1,IF(K937&gt;0,"Cross-hospital match","Same-hospital match"),"")</f>
        <v/>
      </c>
      <c r="M937" s="52"/>
      <c r="N937" s="52"/>
      <c r="O937" s="1" t="n">
        <f aca="false">IF(M937="Exclude (duplicate)",0,1)</f>
        <v>1</v>
      </c>
      <c r="P937" s="1" t="str">
        <f aca="false">IF(AND(L937&lt;&gt;"",M937=""),"Needs decision","")</f>
        <v/>
      </c>
    </row>
    <row r="938" customFormat="false" ht="15" hidden="false" customHeight="false" outlineLevel="0" collapsed="false">
      <c r="A938" s="48" t="str">
        <f aca="false">COST!A938</f>
        <v>CBH-0110</v>
      </c>
      <c r="B938" s="48" t="str">
        <f aca="false">COST!B938</f>
        <v>CBH</v>
      </c>
      <c r="C938" s="48" t="str">
        <f aca="false">COST!D938</f>
        <v>Childbirth and Newborn Care Classes</v>
      </c>
      <c r="D938" s="62" t="n">
        <f aca="false">COST!M938</f>
        <v>45989</v>
      </c>
      <c r="E938" s="48" t="str">
        <f aca="false">COST!P938</f>
        <v>Clinical Nurse Educator</v>
      </c>
      <c r="F938" s="63" t="n">
        <f aca="false">COST!R938</f>
        <v>3.25</v>
      </c>
      <c r="G938" s="48" t="str">
        <f aca="false">STACK!M938</f>
        <v/>
      </c>
      <c r="H938" s="1" t="str">
        <f aca="false">C938&amp;"|"&amp;IF(ISNUMBER(D938),TEXT(D938,"yyyy-mm-dd"),"no date")&amp;"|"&amp;E938&amp;"|"&amp;IF(ISNUMBER(F938),TEXT(F938,"0.00"),"blank")</f>
        <v>Childbirth and Newborn Care Classes|2025-11-28|Clinical Nurse Educator|3.25</v>
      </c>
      <c r="I938" s="1" t="n">
        <f aca="false">COUNTIF($H$5:$H$1624,H938)</f>
        <v>1</v>
      </c>
      <c r="J938" s="1" t="n">
        <f aca="false">COUNTIF($H$5:H938,H938)</f>
        <v>1</v>
      </c>
      <c r="K938" s="1" t="n">
        <f aca="false">COUNTIFS($H$5:$H$1624,H938,$B$5:$B$1624,"&lt;&gt;"&amp;B938)</f>
        <v>0</v>
      </c>
      <c r="L938" s="1" t="str">
        <f aca="false">IF(I938&gt;1,IF(K938&gt;0,"Cross-hospital match","Same-hospital match"),"")</f>
        <v/>
      </c>
      <c r="M938" s="52"/>
      <c r="N938" s="52"/>
      <c r="O938" s="1" t="n">
        <f aca="false">IF(M938="Exclude (duplicate)",0,1)</f>
        <v>1</v>
      </c>
      <c r="P938" s="1" t="str">
        <f aca="false">IF(AND(L938&lt;&gt;"",M938=""),"Needs decision","")</f>
        <v/>
      </c>
    </row>
    <row r="939" customFormat="false" ht="15" hidden="false" customHeight="false" outlineLevel="0" collapsed="false">
      <c r="A939" s="48" t="str">
        <f aca="false">COST!A939</f>
        <v>CBH-0111</v>
      </c>
      <c r="B939" s="48" t="str">
        <f aca="false">COST!B939</f>
        <v>CBH</v>
      </c>
      <c r="C939" s="48" t="str">
        <f aca="false">COST!D939</f>
        <v>Grief Support Group</v>
      </c>
      <c r="D939" s="62" t="n">
        <f aca="false">COST!M939</f>
        <v>45990</v>
      </c>
      <c r="E939" s="48" t="str">
        <f aca="false">COST!P939</f>
        <v>Chaplain</v>
      </c>
      <c r="F939" s="63" t="n">
        <f aca="false">COST!R939</f>
        <v>2.75</v>
      </c>
      <c r="G939" s="48" t="str">
        <f aca="false">STACK!M939</f>
        <v/>
      </c>
      <c r="H939" s="1" t="str">
        <f aca="false">C939&amp;"|"&amp;IF(ISNUMBER(D939),TEXT(D939,"yyyy-mm-dd"),"no date")&amp;"|"&amp;E939&amp;"|"&amp;IF(ISNUMBER(F939),TEXT(F939,"0.00"),"blank")</f>
        <v>Grief Support Group|2025-11-29|Chaplain|2.75</v>
      </c>
      <c r="I939" s="1" t="n">
        <f aca="false">COUNTIF($H$5:$H$1624,H939)</f>
        <v>1</v>
      </c>
      <c r="J939" s="1" t="n">
        <f aca="false">COUNTIF($H$5:H939,H939)</f>
        <v>1</v>
      </c>
      <c r="K939" s="1" t="n">
        <f aca="false">COUNTIFS($H$5:$H$1624,H939,$B$5:$B$1624,"&lt;&gt;"&amp;B939)</f>
        <v>0</v>
      </c>
      <c r="L939" s="1" t="str">
        <f aca="false">IF(I939&gt;1,IF(K939&gt;0,"Cross-hospital match","Same-hospital match"),"")</f>
        <v/>
      </c>
      <c r="M939" s="52"/>
      <c r="N939" s="52"/>
      <c r="O939" s="1" t="n">
        <f aca="false">IF(M939="Exclude (duplicate)",0,1)</f>
        <v>1</v>
      </c>
      <c r="P939" s="1" t="str">
        <f aca="false">IF(AND(L939&lt;&gt;"",M939=""),"Needs decision","")</f>
        <v/>
      </c>
    </row>
    <row r="940" customFormat="false" ht="15" hidden="false" customHeight="false" outlineLevel="0" collapsed="false">
      <c r="A940" s="48" t="str">
        <f aca="false">COST!A940</f>
        <v>CBH-0112</v>
      </c>
      <c r="B940" s="48" t="str">
        <f aca="false">COST!B940</f>
        <v>CBH</v>
      </c>
      <c r="C940" s="48" t="str">
        <f aca="false">COST!D940</f>
        <v>Grief Support Group</v>
      </c>
      <c r="D940" s="62" t="n">
        <f aca="false">COST!M940</f>
        <v>45990</v>
      </c>
      <c r="E940" s="48" t="str">
        <f aca="false">COST!P940</f>
        <v>Social Worker</v>
      </c>
      <c r="F940" s="63" t="n">
        <f aca="false">COST!R940</f>
        <v>2</v>
      </c>
      <c r="G940" s="48" t="str">
        <f aca="false">STACK!M940</f>
        <v/>
      </c>
      <c r="H940" s="1" t="str">
        <f aca="false">C940&amp;"|"&amp;IF(ISNUMBER(D940),TEXT(D940,"yyyy-mm-dd"),"no date")&amp;"|"&amp;E940&amp;"|"&amp;IF(ISNUMBER(F940),TEXT(F940,"0.00"),"blank")</f>
        <v>Grief Support Group|2025-11-29|Social Worker|2.00</v>
      </c>
      <c r="I940" s="1" t="n">
        <f aca="false">COUNTIF($H$5:$H$1624,H940)</f>
        <v>1</v>
      </c>
      <c r="J940" s="1" t="n">
        <f aca="false">COUNTIF($H$5:H940,H940)</f>
        <v>1</v>
      </c>
      <c r="K940" s="1" t="n">
        <f aca="false">COUNTIFS($H$5:$H$1624,H940,$B$5:$B$1624,"&lt;&gt;"&amp;B940)</f>
        <v>0</v>
      </c>
      <c r="L940" s="1" t="str">
        <f aca="false">IF(I940&gt;1,IF(K940&gt;0,"Cross-hospital match","Same-hospital match"),"")</f>
        <v/>
      </c>
      <c r="M940" s="52"/>
      <c r="N940" s="52"/>
      <c r="O940" s="1" t="n">
        <f aca="false">IF(M940="Exclude (duplicate)",0,1)</f>
        <v>1</v>
      </c>
      <c r="P940" s="1" t="str">
        <f aca="false">IF(AND(L940&lt;&gt;"",M940=""),"Needs decision","")</f>
        <v/>
      </c>
    </row>
    <row r="941" customFormat="false" ht="15" hidden="false" customHeight="false" outlineLevel="0" collapsed="false">
      <c r="A941" s="48" t="str">
        <f aca="false">COST!A941</f>
        <v>CBH-0113</v>
      </c>
      <c r="B941" s="48" t="str">
        <f aca="false">COST!B941</f>
        <v>CBH</v>
      </c>
      <c r="C941" s="48" t="str">
        <f aca="false">COST!D941</f>
        <v>Free Clinic Provider Staffing</v>
      </c>
      <c r="D941" s="62" t="n">
        <f aca="false">COST!M941</f>
        <v>45991</v>
      </c>
      <c r="E941" s="48" t="str">
        <f aca="false">COST!P941</f>
        <v>Nurse Practitioner</v>
      </c>
      <c r="F941" s="63" t="n">
        <f aca="false">COST!R941</f>
        <v>33.5</v>
      </c>
      <c r="G941" s="48" t="str">
        <f aca="false">STACK!M941</f>
        <v/>
      </c>
      <c r="H941" s="1" t="str">
        <f aca="false">C941&amp;"|"&amp;IF(ISNUMBER(D941),TEXT(D941,"yyyy-mm-dd"),"no date")&amp;"|"&amp;E941&amp;"|"&amp;IF(ISNUMBER(F941),TEXT(F941,"0.00"),"blank")</f>
        <v>Free Clinic Provider Staffing|2025-11-30|Nurse Practitioner|33.50</v>
      </c>
      <c r="I941" s="1" t="n">
        <f aca="false">COUNTIF($H$5:$H$1624,H941)</f>
        <v>1</v>
      </c>
      <c r="J941" s="1" t="n">
        <f aca="false">COUNTIF($H$5:H941,H941)</f>
        <v>1</v>
      </c>
      <c r="K941" s="1" t="n">
        <f aca="false">COUNTIFS($H$5:$H$1624,H941,$B$5:$B$1624,"&lt;&gt;"&amp;B941)</f>
        <v>0</v>
      </c>
      <c r="L941" s="1" t="str">
        <f aca="false">IF(I941&gt;1,IF(K941&gt;0,"Cross-hospital match","Same-hospital match"),"")</f>
        <v/>
      </c>
      <c r="M941" s="52"/>
      <c r="N941" s="52"/>
      <c r="O941" s="1" t="n">
        <f aca="false">IF(M941="Exclude (duplicate)",0,1)</f>
        <v>1</v>
      </c>
      <c r="P941" s="1" t="str">
        <f aca="false">IF(AND(L941&lt;&gt;"",M941=""),"Needs decision","")</f>
        <v/>
      </c>
    </row>
    <row r="942" customFormat="false" ht="15" hidden="false" customHeight="false" outlineLevel="0" collapsed="false">
      <c r="A942" s="48" t="str">
        <f aca="false">COST!A942</f>
        <v>CBH-0114</v>
      </c>
      <c r="B942" s="48" t="str">
        <f aca="false">COST!B942</f>
        <v>CBH</v>
      </c>
      <c r="C942" s="48" t="str">
        <f aca="false">COST!D942</f>
        <v>Free Clinic Provider Staffing</v>
      </c>
      <c r="D942" s="62" t="n">
        <f aca="false">COST!M942</f>
        <v>45991</v>
      </c>
      <c r="E942" s="48" t="str">
        <f aca="false">COST!P942</f>
        <v>Pharmacist</v>
      </c>
      <c r="F942" s="63" t="n">
        <f aca="false">COST!R942</f>
        <v>11.25</v>
      </c>
      <c r="G942" s="48" t="str">
        <f aca="false">STACK!M942</f>
        <v/>
      </c>
      <c r="H942" s="1" t="str">
        <f aca="false">C942&amp;"|"&amp;IF(ISNUMBER(D942),TEXT(D942,"yyyy-mm-dd"),"no date")&amp;"|"&amp;E942&amp;"|"&amp;IF(ISNUMBER(F942),TEXT(F942,"0.00"),"blank")</f>
        <v>Free Clinic Provider Staffing|2025-11-30|Pharmacist|11.25</v>
      </c>
      <c r="I942" s="1" t="n">
        <f aca="false">COUNTIF($H$5:$H$1624,H942)</f>
        <v>1</v>
      </c>
      <c r="J942" s="1" t="n">
        <f aca="false">COUNTIF($H$5:H942,H942)</f>
        <v>1</v>
      </c>
      <c r="K942" s="1" t="n">
        <f aca="false">COUNTIFS($H$5:$H$1624,H942,$B$5:$B$1624,"&lt;&gt;"&amp;B942)</f>
        <v>0</v>
      </c>
      <c r="L942" s="1" t="str">
        <f aca="false">IF(I942&gt;1,IF(K942&gt;0,"Cross-hospital match","Same-hospital match"),"")</f>
        <v/>
      </c>
      <c r="M942" s="52"/>
      <c r="N942" s="52"/>
      <c r="O942" s="1" t="n">
        <f aca="false">IF(M942="Exclude (duplicate)",0,1)</f>
        <v>1</v>
      </c>
      <c r="P942" s="1" t="str">
        <f aca="false">IF(AND(L942&lt;&gt;"",M942=""),"Needs decision","")</f>
        <v/>
      </c>
    </row>
    <row r="943" customFormat="false" ht="15" hidden="false" customHeight="false" outlineLevel="0" collapsed="false">
      <c r="A943" s="48" t="str">
        <f aca="false">COST!A943</f>
        <v>CBH-0115</v>
      </c>
      <c r="B943" s="48" t="str">
        <f aca="false">COST!B943</f>
        <v>CBH</v>
      </c>
      <c r="C943" s="48" t="str">
        <f aca="false">COST!D943</f>
        <v>Free Clinic Provider Staffing</v>
      </c>
      <c r="D943" s="62" t="n">
        <f aca="false">COST!M943</f>
        <v>45991</v>
      </c>
      <c r="E943" s="48" t="str">
        <f aca="false">COST!P943</f>
        <v>Registered Nurse</v>
      </c>
      <c r="F943" s="63" t="n">
        <f aca="false">COST!R943</f>
        <v>31</v>
      </c>
      <c r="G943" s="48" t="str">
        <f aca="false">STACK!M943</f>
        <v/>
      </c>
      <c r="H943" s="1" t="str">
        <f aca="false">C943&amp;"|"&amp;IF(ISNUMBER(D943),TEXT(D943,"yyyy-mm-dd"),"no date")&amp;"|"&amp;E943&amp;"|"&amp;IF(ISNUMBER(F943),TEXT(F943,"0.00"),"blank")</f>
        <v>Free Clinic Provider Staffing|2025-11-30|Registered Nurse|31.00</v>
      </c>
      <c r="I943" s="1" t="n">
        <f aca="false">COUNTIF($H$5:$H$1624,H943)</f>
        <v>1</v>
      </c>
      <c r="J943" s="1" t="n">
        <f aca="false">COUNTIF($H$5:H943,H943)</f>
        <v>1</v>
      </c>
      <c r="K943" s="1" t="n">
        <f aca="false">COUNTIFS($H$5:$H$1624,H943,$B$5:$B$1624,"&lt;&gt;"&amp;B943)</f>
        <v>0</v>
      </c>
      <c r="L943" s="1" t="str">
        <f aca="false">IF(I943&gt;1,IF(K943&gt;0,"Cross-hospital match","Same-hospital match"),"")</f>
        <v/>
      </c>
      <c r="M943" s="52"/>
      <c r="N943" s="52"/>
      <c r="O943" s="1" t="n">
        <f aca="false">IF(M943="Exclude (duplicate)",0,1)</f>
        <v>1</v>
      </c>
      <c r="P943" s="1" t="str">
        <f aca="false">IF(AND(L943&lt;&gt;"",M943=""),"Needs decision","")</f>
        <v/>
      </c>
    </row>
    <row r="944" customFormat="false" ht="15" hidden="false" customHeight="false" outlineLevel="0" collapsed="false">
      <c r="A944" s="48" t="str">
        <f aca="false">COST!A944</f>
        <v>CBH-0116</v>
      </c>
      <c r="B944" s="48" t="str">
        <f aca="false">COST!B944</f>
        <v>CBH</v>
      </c>
      <c r="C944" s="48" t="str">
        <f aca="false">COST!D944</f>
        <v>Medication Assistance Program</v>
      </c>
      <c r="D944" s="62" t="n">
        <f aca="false">COST!M944</f>
        <v>45991</v>
      </c>
      <c r="E944" s="48" t="str">
        <f aca="false">COST!P944</f>
        <v>Patient Navigator</v>
      </c>
      <c r="F944" s="63" t="n">
        <f aca="false">COST!R944</f>
        <v>73.5</v>
      </c>
      <c r="G944" s="48" t="str">
        <f aca="false">STACK!M944</f>
        <v/>
      </c>
      <c r="H944" s="1" t="str">
        <f aca="false">C944&amp;"|"&amp;IF(ISNUMBER(D944),TEXT(D944,"yyyy-mm-dd"),"no date")&amp;"|"&amp;E944&amp;"|"&amp;IF(ISNUMBER(F944),TEXT(F944,"0.00"),"blank")</f>
        <v>Medication Assistance Program|2025-11-30|Patient Navigator|73.50</v>
      </c>
      <c r="I944" s="1" t="n">
        <f aca="false">COUNTIF($H$5:$H$1624,H944)</f>
        <v>1</v>
      </c>
      <c r="J944" s="1" t="n">
        <f aca="false">COUNTIF($H$5:H944,H944)</f>
        <v>1</v>
      </c>
      <c r="K944" s="1" t="n">
        <f aca="false">COUNTIFS($H$5:$H$1624,H944,$B$5:$B$1624,"&lt;&gt;"&amp;B944)</f>
        <v>0</v>
      </c>
      <c r="L944" s="1" t="str">
        <f aca="false">IF(I944&gt;1,IF(K944&gt;0,"Cross-hospital match","Same-hospital match"),"")</f>
        <v/>
      </c>
      <c r="M944" s="52"/>
      <c r="N944" s="52"/>
      <c r="O944" s="1" t="n">
        <f aca="false">IF(M944="Exclude (duplicate)",0,1)</f>
        <v>1</v>
      </c>
      <c r="P944" s="1" t="str">
        <f aca="false">IF(AND(L944&lt;&gt;"",M944=""),"Needs decision","")</f>
        <v/>
      </c>
    </row>
    <row r="945" customFormat="false" ht="15" hidden="false" customHeight="false" outlineLevel="0" collapsed="false">
      <c r="A945" s="48" t="str">
        <f aca="false">COST!A945</f>
        <v>CBH-0117</v>
      </c>
      <c r="B945" s="48" t="str">
        <f aca="false">COST!B945</f>
        <v>CBH</v>
      </c>
      <c r="C945" s="48" t="str">
        <f aca="false">COST!D945</f>
        <v>Medication Assistance Program</v>
      </c>
      <c r="D945" s="62" t="n">
        <f aca="false">COST!M945</f>
        <v>45991</v>
      </c>
      <c r="E945" s="48" t="str">
        <f aca="false">COST!P945</f>
        <v>Pharmacist</v>
      </c>
      <c r="F945" s="63" t="n">
        <f aca="false">COST!R945</f>
        <v>22</v>
      </c>
      <c r="G945" s="48" t="str">
        <f aca="false">STACK!M945</f>
        <v/>
      </c>
      <c r="H945" s="1" t="str">
        <f aca="false">C945&amp;"|"&amp;IF(ISNUMBER(D945),TEXT(D945,"yyyy-mm-dd"),"no date")&amp;"|"&amp;E945&amp;"|"&amp;IF(ISNUMBER(F945),TEXT(F945,"0.00"),"blank")</f>
        <v>Medication Assistance Program|2025-11-30|Pharmacist|22.00</v>
      </c>
      <c r="I945" s="1" t="n">
        <f aca="false">COUNTIF($H$5:$H$1624,H945)</f>
        <v>1</v>
      </c>
      <c r="J945" s="1" t="n">
        <f aca="false">COUNTIF($H$5:H945,H945)</f>
        <v>1</v>
      </c>
      <c r="K945" s="1" t="n">
        <f aca="false">COUNTIFS($H$5:$H$1624,H945,$B$5:$B$1624,"&lt;&gt;"&amp;B945)</f>
        <v>0</v>
      </c>
      <c r="L945" s="1" t="str">
        <f aca="false">IF(I945&gt;1,IF(K945&gt;0,"Cross-hospital match","Same-hospital match"),"")</f>
        <v/>
      </c>
      <c r="M945" s="52"/>
      <c r="N945" s="52"/>
      <c r="O945" s="1" t="n">
        <f aca="false">IF(M945="Exclude (duplicate)",0,1)</f>
        <v>1</v>
      </c>
      <c r="P945" s="1" t="str">
        <f aca="false">IF(AND(L945&lt;&gt;"",M945=""),"Needs decision","")</f>
        <v/>
      </c>
    </row>
    <row r="946" customFormat="false" ht="15" hidden="false" customHeight="false" outlineLevel="0" collapsed="false">
      <c r="A946" s="48" t="str">
        <f aca="false">COST!A946</f>
        <v>CBH-0118</v>
      </c>
      <c r="B946" s="48" t="str">
        <f aca="false">COST!B946</f>
        <v>CBH</v>
      </c>
      <c r="C946" s="48" t="str">
        <f aca="false">COST!D946</f>
        <v>Community Benefit Program Administration</v>
      </c>
      <c r="D946" s="62" t="n">
        <f aca="false">COST!M946</f>
        <v>45991</v>
      </c>
      <c r="E946" s="48" t="str">
        <f aca="false">COST!P946</f>
        <v>Administrative Assistant</v>
      </c>
      <c r="F946" s="63" t="n">
        <f aca="false">COST!R946</f>
        <v>36.5</v>
      </c>
      <c r="G946" s="48" t="str">
        <f aca="false">STACK!M946</f>
        <v/>
      </c>
      <c r="H946" s="1" t="str">
        <f aca="false">C946&amp;"|"&amp;IF(ISNUMBER(D946),TEXT(D946,"yyyy-mm-dd"),"no date")&amp;"|"&amp;E946&amp;"|"&amp;IF(ISNUMBER(F946),TEXT(F946,"0.00"),"blank")</f>
        <v>Community Benefit Program Administration|2025-11-30|Administrative Assistant|36.50</v>
      </c>
      <c r="I946" s="1" t="n">
        <f aca="false">COUNTIF($H$5:$H$1624,H946)</f>
        <v>1</v>
      </c>
      <c r="J946" s="1" t="n">
        <f aca="false">COUNTIF($H$5:H946,H946)</f>
        <v>1</v>
      </c>
      <c r="K946" s="1" t="n">
        <f aca="false">COUNTIFS($H$5:$H$1624,H946,$B$5:$B$1624,"&lt;&gt;"&amp;B946)</f>
        <v>0</v>
      </c>
      <c r="L946" s="1" t="str">
        <f aca="false">IF(I946&gt;1,IF(K946&gt;0,"Cross-hospital match","Same-hospital match"),"")</f>
        <v/>
      </c>
      <c r="M946" s="52"/>
      <c r="N946" s="52"/>
      <c r="O946" s="1" t="n">
        <f aca="false">IF(M946="Exclude (duplicate)",0,1)</f>
        <v>1</v>
      </c>
      <c r="P946" s="1" t="str">
        <f aca="false">IF(AND(L946&lt;&gt;"",M946=""),"Needs decision","")</f>
        <v/>
      </c>
    </row>
    <row r="947" customFormat="false" ht="15" hidden="false" customHeight="false" outlineLevel="0" collapsed="false">
      <c r="A947" s="48" t="str">
        <f aca="false">COST!A947</f>
        <v>CBH-0119</v>
      </c>
      <c r="B947" s="48" t="str">
        <f aca="false">COST!B947</f>
        <v>CBH</v>
      </c>
      <c r="C947" s="48" t="str">
        <f aca="false">COST!D947</f>
        <v>Community Benefit Program Administration</v>
      </c>
      <c r="D947" s="62" t="n">
        <f aca="false">COST!M947</f>
        <v>45991</v>
      </c>
      <c r="E947" s="48" t="str">
        <f aca="false">COST!P947</f>
        <v>Community Benefit Manager</v>
      </c>
      <c r="F947" s="63" t="n">
        <f aca="false">COST!R947</f>
        <v>60.5</v>
      </c>
      <c r="G947" s="48" t="str">
        <f aca="false">STACK!M947</f>
        <v/>
      </c>
      <c r="H947" s="1" t="str">
        <f aca="false">C947&amp;"|"&amp;IF(ISNUMBER(D947),TEXT(D947,"yyyy-mm-dd"),"no date")&amp;"|"&amp;E947&amp;"|"&amp;IF(ISNUMBER(F947),TEXT(F947,"0.00"),"blank")</f>
        <v>Community Benefit Program Administration|2025-11-30|Community Benefit Manager|60.50</v>
      </c>
      <c r="I947" s="1" t="n">
        <f aca="false">COUNTIF($H$5:$H$1624,H947)</f>
        <v>1</v>
      </c>
      <c r="J947" s="1" t="n">
        <f aca="false">COUNTIF($H$5:H947,H947)</f>
        <v>1</v>
      </c>
      <c r="K947" s="1" t="n">
        <f aca="false">COUNTIFS($H$5:$H$1624,H947,$B$5:$B$1624,"&lt;&gt;"&amp;B947)</f>
        <v>0</v>
      </c>
      <c r="L947" s="1" t="str">
        <f aca="false">IF(I947&gt;1,IF(K947&gt;0,"Cross-hospital match","Same-hospital match"),"")</f>
        <v/>
      </c>
      <c r="M947" s="52"/>
      <c r="N947" s="52"/>
      <c r="O947" s="1" t="n">
        <f aca="false">IF(M947="Exclude (duplicate)",0,1)</f>
        <v>1</v>
      </c>
      <c r="P947" s="1" t="str">
        <f aca="false">IF(AND(L947&lt;&gt;"",M947=""),"Needs decision","")</f>
        <v/>
      </c>
    </row>
    <row r="948" customFormat="false" ht="15" hidden="false" customHeight="false" outlineLevel="0" collapsed="false">
      <c r="A948" s="48" t="str">
        <f aca="false">COST!A948</f>
        <v>CBH-0120</v>
      </c>
      <c r="B948" s="48" t="str">
        <f aca="false">COST!B948</f>
        <v>CBH</v>
      </c>
      <c r="C948" s="48" t="str">
        <f aca="false">COST!D948</f>
        <v>Interpreter Services for Community Clinics</v>
      </c>
      <c r="D948" s="62" t="n">
        <f aca="false">COST!M948</f>
        <v>45991</v>
      </c>
      <c r="E948" s="48" t="str">
        <f aca="false">COST!P948</f>
        <v>Interpreter</v>
      </c>
      <c r="F948" s="63" t="n">
        <f aca="false">COST!R948</f>
        <v>48.75</v>
      </c>
      <c r="G948" s="48" t="str">
        <f aca="false">STACK!M948</f>
        <v/>
      </c>
      <c r="H948" s="1" t="str">
        <f aca="false">C948&amp;"|"&amp;IF(ISNUMBER(D948),TEXT(D948,"yyyy-mm-dd"),"no date")&amp;"|"&amp;E948&amp;"|"&amp;IF(ISNUMBER(F948),TEXT(F948,"0.00"),"blank")</f>
        <v>Interpreter Services for Community Clinics|2025-11-30|Interpreter|48.75</v>
      </c>
      <c r="I948" s="1" t="n">
        <f aca="false">COUNTIF($H$5:$H$1624,H948)</f>
        <v>1</v>
      </c>
      <c r="J948" s="1" t="n">
        <f aca="false">COUNTIF($H$5:H948,H948)</f>
        <v>1</v>
      </c>
      <c r="K948" s="1" t="n">
        <f aca="false">COUNTIFS($H$5:$H$1624,H948,$B$5:$B$1624,"&lt;&gt;"&amp;B948)</f>
        <v>0</v>
      </c>
      <c r="L948" s="1" t="str">
        <f aca="false">IF(I948&gt;1,IF(K948&gt;0,"Cross-hospital match","Same-hospital match"),"")</f>
        <v/>
      </c>
      <c r="M948" s="52"/>
      <c r="N948" s="52"/>
      <c r="O948" s="1" t="n">
        <f aca="false">IF(M948="Exclude (duplicate)",0,1)</f>
        <v>1</v>
      </c>
      <c r="P948" s="1" t="str">
        <f aca="false">IF(AND(L948&lt;&gt;"",M948=""),"Needs decision","")</f>
        <v/>
      </c>
    </row>
    <row r="949" customFormat="false" ht="15" hidden="false" customHeight="false" outlineLevel="0" collapsed="false">
      <c r="A949" s="48" t="str">
        <f aca="false">COST!A949</f>
        <v>CBH-0121</v>
      </c>
      <c r="B949" s="48" t="str">
        <f aca="false">COST!B949</f>
        <v>CBH</v>
      </c>
      <c r="C949" s="48" t="str">
        <f aca="false">COST!D949</f>
        <v>Nursing Student Clinical Rotations</v>
      </c>
      <c r="D949" s="62" t="n">
        <f aca="false">COST!M949</f>
        <v>45991</v>
      </c>
      <c r="E949" s="48" t="str">
        <f aca="false">COST!P949</f>
        <v>Clinical Nurse Educator</v>
      </c>
      <c r="F949" s="63" t="n">
        <f aca="false">COST!R949</f>
        <v>140.5</v>
      </c>
      <c r="G949" s="48" t="str">
        <f aca="false">STACK!M949</f>
        <v/>
      </c>
      <c r="H949" s="1" t="str">
        <f aca="false">C949&amp;"|"&amp;IF(ISNUMBER(D949),TEXT(D949,"yyyy-mm-dd"),"no date")&amp;"|"&amp;E949&amp;"|"&amp;IF(ISNUMBER(F949),TEXT(F949,"0.00"),"blank")</f>
        <v>Nursing Student Clinical Rotations|2025-11-30|Clinical Nurse Educator|140.50</v>
      </c>
      <c r="I949" s="1" t="n">
        <f aca="false">COUNTIF($H$5:$H$1624,H949)</f>
        <v>1</v>
      </c>
      <c r="J949" s="1" t="n">
        <f aca="false">COUNTIF($H$5:H949,H949)</f>
        <v>1</v>
      </c>
      <c r="K949" s="1" t="n">
        <f aca="false">COUNTIFS($H$5:$H$1624,H949,$B$5:$B$1624,"&lt;&gt;"&amp;B949)</f>
        <v>0</v>
      </c>
      <c r="L949" s="1" t="str">
        <f aca="false">IF(I949&gt;1,IF(K949&gt;0,"Cross-hospital match","Same-hospital match"),"")</f>
        <v/>
      </c>
      <c r="M949" s="52"/>
      <c r="N949" s="52"/>
      <c r="O949" s="1" t="n">
        <f aca="false">IF(M949="Exclude (duplicate)",0,1)</f>
        <v>1</v>
      </c>
      <c r="P949" s="1" t="str">
        <f aca="false">IF(AND(L949&lt;&gt;"",M949=""),"Needs decision","")</f>
        <v/>
      </c>
    </row>
    <row r="950" customFormat="false" ht="15" hidden="false" customHeight="false" outlineLevel="0" collapsed="false">
      <c r="A950" s="48" t="str">
        <f aca="false">COST!A950</f>
        <v>CBH-0122</v>
      </c>
      <c r="B950" s="48" t="str">
        <f aca="false">COST!B950</f>
        <v>CBH</v>
      </c>
      <c r="C950" s="48" t="str">
        <f aca="false">COST!D950</f>
        <v>Nursing Student Clinical Rotations</v>
      </c>
      <c r="D950" s="62" t="n">
        <f aca="false">COST!M950</f>
        <v>45991</v>
      </c>
      <c r="E950" s="48" t="str">
        <f aca="false">COST!P950</f>
        <v>Registered Nurse</v>
      </c>
      <c r="F950" s="63" t="n">
        <f aca="false">COST!R950</f>
        <v>184.75</v>
      </c>
      <c r="G950" s="48" t="str">
        <f aca="false">STACK!M950</f>
        <v/>
      </c>
      <c r="H950" s="1" t="str">
        <f aca="false">C950&amp;"|"&amp;IF(ISNUMBER(D950),TEXT(D950,"yyyy-mm-dd"),"no date")&amp;"|"&amp;E950&amp;"|"&amp;IF(ISNUMBER(F950),TEXT(F950,"0.00"),"blank")</f>
        <v>Nursing Student Clinical Rotations|2025-11-30|Registered Nurse|184.75</v>
      </c>
      <c r="I950" s="1" t="n">
        <f aca="false">COUNTIF($H$5:$H$1624,H950)</f>
        <v>1</v>
      </c>
      <c r="J950" s="1" t="n">
        <f aca="false">COUNTIF($H$5:H950,H950)</f>
        <v>1</v>
      </c>
      <c r="K950" s="1" t="n">
        <f aca="false">COUNTIFS($H$5:$H$1624,H950,$B$5:$B$1624,"&lt;&gt;"&amp;B950)</f>
        <v>0</v>
      </c>
      <c r="L950" s="1" t="str">
        <f aca="false">IF(I950&gt;1,IF(K950&gt;0,"Cross-hospital match","Same-hospital match"),"")</f>
        <v/>
      </c>
      <c r="M950" s="52"/>
      <c r="N950" s="52"/>
      <c r="O950" s="1" t="n">
        <f aca="false">IF(M950="Exclude (duplicate)",0,1)</f>
        <v>1</v>
      </c>
      <c r="P950" s="1" t="str">
        <f aca="false">IF(AND(L950&lt;&gt;"",M950=""),"Needs decision","")</f>
        <v/>
      </c>
    </row>
    <row r="951" customFormat="false" ht="15" hidden="false" customHeight="false" outlineLevel="0" collapsed="false">
      <c r="A951" s="48" t="str">
        <f aca="false">COST!A951</f>
        <v>CBH-0123</v>
      </c>
      <c r="B951" s="48" t="str">
        <f aca="false">COST!B951</f>
        <v>CBH</v>
      </c>
      <c r="C951" s="48" t="str">
        <f aca="false">COST!D951</f>
        <v>Pharmacy Student Rotations</v>
      </c>
      <c r="D951" s="62" t="n">
        <f aca="false">COST!M951</f>
        <v>45991</v>
      </c>
      <c r="E951" s="48" t="str">
        <f aca="false">COST!P951</f>
        <v>Pharmacist</v>
      </c>
      <c r="F951" s="63" t="n">
        <f aca="false">COST!R951</f>
        <v>55.75</v>
      </c>
      <c r="G951" s="48" t="str">
        <f aca="false">STACK!M951</f>
        <v/>
      </c>
      <c r="H951" s="1" t="str">
        <f aca="false">C951&amp;"|"&amp;IF(ISNUMBER(D951),TEXT(D951,"yyyy-mm-dd"),"no date")&amp;"|"&amp;E951&amp;"|"&amp;IF(ISNUMBER(F951),TEXT(F951,"0.00"),"blank")</f>
        <v>Pharmacy Student Rotations|2025-11-30|Pharmacist|55.75</v>
      </c>
      <c r="I951" s="1" t="n">
        <f aca="false">COUNTIF($H$5:$H$1624,H951)</f>
        <v>1</v>
      </c>
      <c r="J951" s="1" t="n">
        <f aca="false">COUNTIF($H$5:H951,H951)</f>
        <v>1</v>
      </c>
      <c r="K951" s="1" t="n">
        <f aca="false">COUNTIFS($H$5:$H$1624,H951,$B$5:$B$1624,"&lt;&gt;"&amp;B951)</f>
        <v>0</v>
      </c>
      <c r="L951" s="1" t="str">
        <f aca="false">IF(I951&gt;1,IF(K951&gt;0,"Cross-hospital match","Same-hospital match"),"")</f>
        <v/>
      </c>
      <c r="M951" s="52"/>
      <c r="N951" s="52"/>
      <c r="O951" s="1" t="n">
        <f aca="false">IF(M951="Exclude (duplicate)",0,1)</f>
        <v>1</v>
      </c>
      <c r="P951" s="1" t="str">
        <f aca="false">IF(AND(L951&lt;&gt;"",M951=""),"Needs decision","")</f>
        <v/>
      </c>
    </row>
    <row r="952" customFormat="false" ht="15" hidden="false" customHeight="false" outlineLevel="0" collapsed="false">
      <c r="A952" s="48" t="str">
        <f aca="false">COST!A952</f>
        <v>CBH-0124</v>
      </c>
      <c r="B952" s="48" t="str">
        <f aca="false">COST!B952</f>
        <v>CBH</v>
      </c>
      <c r="C952" s="48" t="str">
        <f aca="false">COST!D952</f>
        <v>Fall Prevention Classes for Older Adults</v>
      </c>
      <c r="D952" s="62" t="n">
        <f aca="false">COST!M952</f>
        <v>45993</v>
      </c>
      <c r="E952" s="48" t="str">
        <f aca="false">COST!P952</f>
        <v>Licensed Therapist</v>
      </c>
      <c r="F952" s="63" t="n">
        <f aca="false">COST!R952</f>
        <v>2</v>
      </c>
      <c r="G952" s="48" t="str">
        <f aca="false">STACK!M952</f>
        <v/>
      </c>
      <c r="H952" s="1" t="str">
        <f aca="false">C952&amp;"|"&amp;IF(ISNUMBER(D952),TEXT(D952,"yyyy-mm-dd"),"no date")&amp;"|"&amp;E952&amp;"|"&amp;IF(ISNUMBER(F952),TEXT(F952,"0.00"),"blank")</f>
        <v>Fall Prevention Classes for Older Adults|2025-12-02|Licensed Therapist|2.00</v>
      </c>
      <c r="I952" s="1" t="n">
        <f aca="false">COUNTIF($H$5:$H$1624,H952)</f>
        <v>1</v>
      </c>
      <c r="J952" s="1" t="n">
        <f aca="false">COUNTIF($H$5:H952,H952)</f>
        <v>1</v>
      </c>
      <c r="K952" s="1" t="n">
        <f aca="false">COUNTIFS($H$5:$H$1624,H952,$B$5:$B$1624,"&lt;&gt;"&amp;B952)</f>
        <v>0</v>
      </c>
      <c r="L952" s="1" t="str">
        <f aca="false">IF(I952&gt;1,IF(K952&gt;0,"Cross-hospital match","Same-hospital match"),"")</f>
        <v/>
      </c>
      <c r="M952" s="52"/>
      <c r="N952" s="52"/>
      <c r="O952" s="1" t="n">
        <f aca="false">IF(M952="Exclude (duplicate)",0,1)</f>
        <v>1</v>
      </c>
      <c r="P952" s="1" t="str">
        <f aca="false">IF(AND(L952&lt;&gt;"",M952=""),"Needs decision","")</f>
        <v/>
      </c>
    </row>
    <row r="953" customFormat="false" ht="15" hidden="false" customHeight="false" outlineLevel="0" collapsed="false">
      <c r="A953" s="48" t="str">
        <f aca="false">COST!A953</f>
        <v>CBH-0125</v>
      </c>
      <c r="B953" s="48" t="str">
        <f aca="false">COST!B953</f>
        <v>CBH</v>
      </c>
      <c r="C953" s="48" t="str">
        <f aca="false">COST!D953</f>
        <v>Mental Health First Aid Training</v>
      </c>
      <c r="D953" s="62" t="n">
        <f aca="false">COST!M953</f>
        <v>46003</v>
      </c>
      <c r="E953" s="48" t="str">
        <f aca="false">COST!P953</f>
        <v>Health Educator</v>
      </c>
      <c r="F953" s="63" t="n">
        <f aca="false">COST!R953</f>
        <v>8</v>
      </c>
      <c r="G953" s="48" t="str">
        <f aca="false">STACK!M953</f>
        <v/>
      </c>
      <c r="H953" s="1" t="str">
        <f aca="false">C953&amp;"|"&amp;IF(ISNUMBER(D953),TEXT(D953,"yyyy-mm-dd"),"no date")&amp;"|"&amp;E953&amp;"|"&amp;IF(ISNUMBER(F953),TEXT(F953,"0.00"),"blank")</f>
        <v>Mental Health First Aid Training|2025-12-12|Health Educator|8.00</v>
      </c>
      <c r="I953" s="1" t="n">
        <f aca="false">COUNTIF($H$5:$H$1624,H953)</f>
        <v>1</v>
      </c>
      <c r="J953" s="1" t="n">
        <f aca="false">COUNTIF($H$5:H953,H953)</f>
        <v>1</v>
      </c>
      <c r="K953" s="1" t="n">
        <f aca="false">COUNTIFS($H$5:$H$1624,H953,$B$5:$B$1624,"&lt;&gt;"&amp;B953)</f>
        <v>0</v>
      </c>
      <c r="L953" s="1" t="str">
        <f aca="false">IF(I953&gt;1,IF(K953&gt;0,"Cross-hospital match","Same-hospital match"),"")</f>
        <v/>
      </c>
      <c r="M953" s="52"/>
      <c r="N953" s="52"/>
      <c r="O953" s="1" t="n">
        <f aca="false">IF(M953="Exclude (duplicate)",0,1)</f>
        <v>1</v>
      </c>
      <c r="P953" s="1" t="str">
        <f aca="false">IF(AND(L953&lt;&gt;"",M953=""),"Needs decision","")</f>
        <v/>
      </c>
    </row>
    <row r="954" customFormat="false" ht="15" hidden="false" customHeight="false" outlineLevel="0" collapsed="false">
      <c r="A954" s="48" t="str">
        <f aca="false">COST!A954</f>
        <v>CBH-0126</v>
      </c>
      <c r="B954" s="48" t="str">
        <f aca="false">COST!B954</f>
        <v>CBH</v>
      </c>
      <c r="C954" s="48" t="str">
        <f aca="false">COST!D954</f>
        <v>Mental Health First Aid Training</v>
      </c>
      <c r="D954" s="62" t="n">
        <f aca="false">COST!M954</f>
        <v>46003</v>
      </c>
      <c r="E954" s="48" t="str">
        <f aca="false">COST!P954</f>
        <v>Social Worker</v>
      </c>
      <c r="F954" s="63" t="n">
        <f aca="false">COST!R954</f>
        <v>8</v>
      </c>
      <c r="G954" s="48" t="str">
        <f aca="false">STACK!M954</f>
        <v/>
      </c>
      <c r="H954" s="1" t="str">
        <f aca="false">C954&amp;"|"&amp;IF(ISNUMBER(D954),TEXT(D954,"yyyy-mm-dd"),"no date")&amp;"|"&amp;E954&amp;"|"&amp;IF(ISNUMBER(F954),TEXT(F954,"0.00"),"blank")</f>
        <v>Mental Health First Aid Training|2025-12-12|Social Worker|8.00</v>
      </c>
      <c r="I954" s="1" t="n">
        <f aca="false">COUNTIF($H$5:$H$1624,H954)</f>
        <v>1</v>
      </c>
      <c r="J954" s="1" t="n">
        <f aca="false">COUNTIF($H$5:H954,H954)</f>
        <v>1</v>
      </c>
      <c r="K954" s="1" t="n">
        <f aca="false">COUNTIFS($H$5:$H$1624,H954,$B$5:$B$1624,"&lt;&gt;"&amp;B954)</f>
        <v>0</v>
      </c>
      <c r="L954" s="1" t="str">
        <f aca="false">IF(I954&gt;1,IF(K954&gt;0,"Cross-hospital match","Same-hospital match"),"")</f>
        <v/>
      </c>
      <c r="M954" s="52"/>
      <c r="N954" s="52"/>
      <c r="O954" s="1" t="n">
        <f aca="false">IF(M954="Exclude (duplicate)",0,1)</f>
        <v>1</v>
      </c>
      <c r="P954" s="1" t="str">
        <f aca="false">IF(AND(L954&lt;&gt;"",M954=""),"Needs decision","")</f>
        <v/>
      </c>
    </row>
    <row r="955" customFormat="false" ht="15" hidden="false" customHeight="false" outlineLevel="0" collapsed="false">
      <c r="A955" s="48" t="str">
        <f aca="false">COST!A955</f>
        <v>CBH-0127</v>
      </c>
      <c r="B955" s="48" t="str">
        <f aca="false">COST!B955</f>
        <v>CBH</v>
      </c>
      <c r="C955" s="48" t="str">
        <f aca="false">COST!D955</f>
        <v>Mental Health First Aid Training</v>
      </c>
      <c r="D955" s="62" t="n">
        <f aca="false">COST!M955</f>
        <v>46004</v>
      </c>
      <c r="E955" s="48" t="str">
        <f aca="false">COST!P955</f>
        <v>Health Educator</v>
      </c>
      <c r="F955" s="63" t="n">
        <f aca="false">COST!R955</f>
        <v>8</v>
      </c>
      <c r="G955" s="48" t="str">
        <f aca="false">STACK!M955</f>
        <v/>
      </c>
      <c r="H955" s="1" t="str">
        <f aca="false">C955&amp;"|"&amp;IF(ISNUMBER(D955),TEXT(D955,"yyyy-mm-dd"),"no date")&amp;"|"&amp;E955&amp;"|"&amp;IF(ISNUMBER(F955),TEXT(F955,"0.00"),"blank")</f>
        <v>Mental Health First Aid Training|2025-12-13|Health Educator|8.00</v>
      </c>
      <c r="I955" s="1" t="n">
        <f aca="false">COUNTIF($H$5:$H$1624,H955)</f>
        <v>1</v>
      </c>
      <c r="J955" s="1" t="n">
        <f aca="false">COUNTIF($H$5:H955,H955)</f>
        <v>1</v>
      </c>
      <c r="K955" s="1" t="n">
        <f aca="false">COUNTIFS($H$5:$H$1624,H955,$B$5:$B$1624,"&lt;&gt;"&amp;B955)</f>
        <v>0</v>
      </c>
      <c r="L955" s="1" t="str">
        <f aca="false">IF(I955&gt;1,IF(K955&gt;0,"Cross-hospital match","Same-hospital match"),"")</f>
        <v/>
      </c>
      <c r="M955" s="52"/>
      <c r="N955" s="52"/>
      <c r="O955" s="1" t="n">
        <f aca="false">IF(M955="Exclude (duplicate)",0,1)</f>
        <v>1</v>
      </c>
      <c r="P955" s="1" t="str">
        <f aca="false">IF(AND(L955&lt;&gt;"",M955=""),"Needs decision","")</f>
        <v/>
      </c>
    </row>
    <row r="956" customFormat="false" ht="15" hidden="false" customHeight="false" outlineLevel="0" collapsed="false">
      <c r="A956" s="48" t="str">
        <f aca="false">COST!A956</f>
        <v>CBH-0128</v>
      </c>
      <c r="B956" s="48" t="str">
        <f aca="false">COST!B956</f>
        <v>CBH</v>
      </c>
      <c r="C956" s="48" t="str">
        <f aca="false">COST!D956</f>
        <v>Mental Health First Aid Training</v>
      </c>
      <c r="D956" s="62" t="n">
        <f aca="false">COST!M956</f>
        <v>46004</v>
      </c>
      <c r="E956" s="48" t="str">
        <f aca="false">COST!P956</f>
        <v>Social Worker</v>
      </c>
      <c r="F956" s="63" t="n">
        <f aca="false">COST!R956</f>
        <v>8</v>
      </c>
      <c r="G956" s="48" t="str">
        <f aca="false">STACK!M956</f>
        <v/>
      </c>
      <c r="H956" s="1" t="str">
        <f aca="false">C956&amp;"|"&amp;IF(ISNUMBER(D956),TEXT(D956,"yyyy-mm-dd"),"no date")&amp;"|"&amp;E956&amp;"|"&amp;IF(ISNUMBER(F956),TEXT(F956,"0.00"),"blank")</f>
        <v>Mental Health First Aid Training|2025-12-13|Social Worker|8.00</v>
      </c>
      <c r="I956" s="1" t="n">
        <f aca="false">COUNTIF($H$5:$H$1624,H956)</f>
        <v>1</v>
      </c>
      <c r="J956" s="1" t="n">
        <f aca="false">COUNTIF($H$5:H956,H956)</f>
        <v>1</v>
      </c>
      <c r="K956" s="1" t="n">
        <f aca="false">COUNTIFS($H$5:$H$1624,H956,$B$5:$B$1624,"&lt;&gt;"&amp;B956)</f>
        <v>0</v>
      </c>
      <c r="L956" s="1" t="str">
        <f aca="false">IF(I956&gt;1,IF(K956&gt;0,"Cross-hospital match","Same-hospital match"),"")</f>
        <v/>
      </c>
      <c r="M956" s="52"/>
      <c r="N956" s="52"/>
      <c r="O956" s="1" t="n">
        <f aca="false">IF(M956="Exclude (duplicate)",0,1)</f>
        <v>1</v>
      </c>
      <c r="P956" s="1" t="str">
        <f aca="false">IF(AND(L956&lt;&gt;"",M956=""),"Needs decision","")</f>
        <v/>
      </c>
    </row>
    <row r="957" customFormat="false" ht="15" hidden="false" customHeight="false" outlineLevel="0" collapsed="false">
      <c r="A957" s="48" t="str">
        <f aca="false">COST!A957</f>
        <v>CBH-0129</v>
      </c>
      <c r="B957" s="48" t="str">
        <f aca="false">COST!B957</f>
        <v>CBH</v>
      </c>
      <c r="C957" s="48" t="str">
        <f aca="false">COST!D957</f>
        <v>Naloxone Training and Distribution</v>
      </c>
      <c r="D957" s="62" t="n">
        <f aca="false">COST!M957</f>
        <v>46010</v>
      </c>
      <c r="E957" s="48" t="str">
        <f aca="false">COST!P957</f>
        <v>Health Educator</v>
      </c>
      <c r="F957" s="63" t="n">
        <f aca="false">COST!R957</f>
        <v>3</v>
      </c>
      <c r="G957" s="48" t="str">
        <f aca="false">STACK!M957</f>
        <v/>
      </c>
      <c r="H957" s="1" t="str">
        <f aca="false">C957&amp;"|"&amp;IF(ISNUMBER(D957),TEXT(D957,"yyyy-mm-dd"),"no date")&amp;"|"&amp;E957&amp;"|"&amp;IF(ISNUMBER(F957),TEXT(F957,"0.00"),"blank")</f>
        <v>Naloxone Training and Distribution|2025-12-19|Health Educator|3.00</v>
      </c>
      <c r="I957" s="1" t="n">
        <f aca="false">COUNTIF($H$5:$H$1624,H957)</f>
        <v>1</v>
      </c>
      <c r="J957" s="1" t="n">
        <f aca="false">COUNTIF($H$5:H957,H957)</f>
        <v>1</v>
      </c>
      <c r="K957" s="1" t="n">
        <f aca="false">COUNTIFS($H$5:$H$1624,H957,$B$5:$B$1624,"&lt;&gt;"&amp;B957)</f>
        <v>0</v>
      </c>
      <c r="L957" s="1" t="str">
        <f aca="false">IF(I957&gt;1,IF(K957&gt;0,"Cross-hospital match","Same-hospital match"),"")</f>
        <v/>
      </c>
      <c r="M957" s="52"/>
      <c r="N957" s="52"/>
      <c r="O957" s="1" t="n">
        <f aca="false">IF(M957="Exclude (duplicate)",0,1)</f>
        <v>1</v>
      </c>
      <c r="P957" s="1" t="str">
        <f aca="false">IF(AND(L957&lt;&gt;"",M957=""),"Needs decision","")</f>
        <v/>
      </c>
    </row>
    <row r="958" customFormat="false" ht="15" hidden="false" customHeight="false" outlineLevel="0" collapsed="false">
      <c r="A958" s="48" t="str">
        <f aca="false">COST!A958</f>
        <v>CBH-0130</v>
      </c>
      <c r="B958" s="48" t="str">
        <f aca="false">COST!B958</f>
        <v>CBH</v>
      </c>
      <c r="C958" s="48" t="str">
        <f aca="false">COST!D958</f>
        <v>Naloxone Training and Distribution</v>
      </c>
      <c r="D958" s="62" t="n">
        <f aca="false">COST!M958</f>
        <v>46010</v>
      </c>
      <c r="E958" s="48" t="str">
        <f aca="false">COST!P958</f>
        <v>Pharmacist</v>
      </c>
      <c r="F958" s="63" t="n">
        <f aca="false">COST!R958</f>
        <v>2.5</v>
      </c>
      <c r="G958" s="48" t="str">
        <f aca="false">STACK!M958</f>
        <v/>
      </c>
      <c r="H958" s="1" t="str">
        <f aca="false">C958&amp;"|"&amp;IF(ISNUMBER(D958),TEXT(D958,"yyyy-mm-dd"),"no date")&amp;"|"&amp;E958&amp;"|"&amp;IF(ISNUMBER(F958),TEXT(F958,"0.00"),"blank")</f>
        <v>Naloxone Training and Distribution|2025-12-19|Pharmacist|2.50</v>
      </c>
      <c r="I958" s="1" t="n">
        <f aca="false">COUNTIF($H$5:$H$1624,H958)</f>
        <v>1</v>
      </c>
      <c r="J958" s="1" t="n">
        <f aca="false">COUNTIF($H$5:H958,H958)</f>
        <v>1</v>
      </c>
      <c r="K958" s="1" t="n">
        <f aca="false">COUNTIFS($H$5:$H$1624,H958,$B$5:$B$1624,"&lt;&gt;"&amp;B958)</f>
        <v>0</v>
      </c>
      <c r="L958" s="1" t="str">
        <f aca="false">IF(I958&gt;1,IF(K958&gt;0,"Cross-hospital match","Same-hospital match"),"")</f>
        <v/>
      </c>
      <c r="M958" s="52"/>
      <c r="N958" s="52"/>
      <c r="O958" s="1" t="n">
        <f aca="false">IF(M958="Exclude (duplicate)",0,1)</f>
        <v>1</v>
      </c>
      <c r="P958" s="1" t="str">
        <f aca="false">IF(AND(L958&lt;&gt;"",M958=""),"Needs decision","")</f>
        <v/>
      </c>
    </row>
    <row r="959" customFormat="false" ht="15" hidden="false" customHeight="false" outlineLevel="0" collapsed="false">
      <c r="A959" s="48" t="str">
        <f aca="false">COST!A959</f>
        <v>CBH-0131</v>
      </c>
      <c r="B959" s="48" t="str">
        <f aca="false">COST!B959</f>
        <v>CBH</v>
      </c>
      <c r="C959" s="48" t="str">
        <f aca="false">COST!D959</f>
        <v>Childbirth and Newborn Care Classes</v>
      </c>
      <c r="D959" s="62" t="n">
        <f aca="false">COST!M959</f>
        <v>46011</v>
      </c>
      <c r="E959" s="48" t="str">
        <f aca="false">COST!P959</f>
        <v>Clinical Nurse Educator</v>
      </c>
      <c r="F959" s="63" t="n">
        <f aca="false">COST!R959</f>
        <v>3.5</v>
      </c>
      <c r="G959" s="48" t="str">
        <f aca="false">STACK!M959</f>
        <v/>
      </c>
      <c r="H959" s="1" t="str">
        <f aca="false">C959&amp;"|"&amp;IF(ISNUMBER(D959),TEXT(D959,"yyyy-mm-dd"),"no date")&amp;"|"&amp;E959&amp;"|"&amp;IF(ISNUMBER(F959),TEXT(F959,"0.00"),"blank")</f>
        <v>Childbirth and Newborn Care Classes|2025-12-20|Clinical Nurse Educator|3.50</v>
      </c>
      <c r="I959" s="1" t="n">
        <f aca="false">COUNTIF($H$5:$H$1624,H959)</f>
        <v>1</v>
      </c>
      <c r="J959" s="1" t="n">
        <f aca="false">COUNTIF($H$5:H959,H959)</f>
        <v>1</v>
      </c>
      <c r="K959" s="1" t="n">
        <f aca="false">COUNTIFS($H$5:$H$1624,H959,$B$5:$B$1624,"&lt;&gt;"&amp;B959)</f>
        <v>0</v>
      </c>
      <c r="L959" s="1" t="str">
        <f aca="false">IF(I959&gt;1,IF(K959&gt;0,"Cross-hospital match","Same-hospital match"),"")</f>
        <v/>
      </c>
      <c r="M959" s="52"/>
      <c r="N959" s="52"/>
      <c r="O959" s="1" t="n">
        <f aca="false">IF(M959="Exclude (duplicate)",0,1)</f>
        <v>1</v>
      </c>
      <c r="P959" s="1" t="str">
        <f aca="false">IF(AND(L959&lt;&gt;"",M959=""),"Needs decision","")</f>
        <v/>
      </c>
    </row>
    <row r="960" customFormat="false" ht="15" hidden="false" customHeight="false" outlineLevel="0" collapsed="false">
      <c r="A960" s="48" t="str">
        <f aca="false">COST!A960</f>
        <v>CBH-0132</v>
      </c>
      <c r="B960" s="48" t="str">
        <f aca="false">COST!B960</f>
        <v>CBH</v>
      </c>
      <c r="C960" s="48" t="str">
        <f aca="false">COST!D960</f>
        <v>Naloxone Training and Distribution</v>
      </c>
      <c r="D960" s="62" t="n">
        <f aca="false">COST!M960</f>
        <v>46014</v>
      </c>
      <c r="E960" s="48" t="str">
        <f aca="false">COST!P960</f>
        <v>Health Educator</v>
      </c>
      <c r="F960" s="63" t="n">
        <f aca="false">COST!R960</f>
        <v>2.75</v>
      </c>
      <c r="G960" s="48" t="str">
        <f aca="false">STACK!M960</f>
        <v/>
      </c>
      <c r="H960" s="1" t="str">
        <f aca="false">C960&amp;"|"&amp;IF(ISNUMBER(D960),TEXT(D960,"yyyy-mm-dd"),"no date")&amp;"|"&amp;E960&amp;"|"&amp;IF(ISNUMBER(F960),TEXT(F960,"0.00"),"blank")</f>
        <v>Naloxone Training and Distribution|2025-12-23|Health Educator|2.75</v>
      </c>
      <c r="I960" s="1" t="n">
        <f aca="false">COUNTIF($H$5:$H$1624,H960)</f>
        <v>1</v>
      </c>
      <c r="J960" s="1" t="n">
        <f aca="false">COUNTIF($H$5:H960,H960)</f>
        <v>1</v>
      </c>
      <c r="K960" s="1" t="n">
        <f aca="false">COUNTIFS($H$5:$H$1624,H960,$B$5:$B$1624,"&lt;&gt;"&amp;B960)</f>
        <v>0</v>
      </c>
      <c r="L960" s="1" t="str">
        <f aca="false">IF(I960&gt;1,IF(K960&gt;0,"Cross-hospital match","Same-hospital match"),"")</f>
        <v/>
      </c>
      <c r="M960" s="52"/>
      <c r="N960" s="52"/>
      <c r="O960" s="1" t="n">
        <f aca="false">IF(M960="Exclude (duplicate)",0,1)</f>
        <v>1</v>
      </c>
      <c r="P960" s="1" t="str">
        <f aca="false">IF(AND(L960&lt;&gt;"",M960=""),"Needs decision","")</f>
        <v/>
      </c>
    </row>
    <row r="961" customFormat="false" ht="15" hidden="false" customHeight="false" outlineLevel="0" collapsed="false">
      <c r="A961" s="48" t="str">
        <f aca="false">COST!A961</f>
        <v>CBH-0133</v>
      </c>
      <c r="B961" s="48" t="str">
        <f aca="false">COST!B961</f>
        <v>CBH</v>
      </c>
      <c r="C961" s="48" t="str">
        <f aca="false">COST!D961</f>
        <v>Naloxone Training and Distribution</v>
      </c>
      <c r="D961" s="62" t="n">
        <f aca="false">COST!M961</f>
        <v>46014</v>
      </c>
      <c r="E961" s="48" t="str">
        <f aca="false">COST!P961</f>
        <v>Pharmacist</v>
      </c>
      <c r="F961" s="63" t="n">
        <f aca="false">COST!R961</f>
        <v>2.5</v>
      </c>
      <c r="G961" s="48" t="str">
        <f aca="false">STACK!M961</f>
        <v/>
      </c>
      <c r="H961" s="1" t="str">
        <f aca="false">C961&amp;"|"&amp;IF(ISNUMBER(D961),TEXT(D961,"yyyy-mm-dd"),"no date")&amp;"|"&amp;E961&amp;"|"&amp;IF(ISNUMBER(F961),TEXT(F961,"0.00"),"blank")</f>
        <v>Naloxone Training and Distribution|2025-12-23|Pharmacist|2.50</v>
      </c>
      <c r="I961" s="1" t="n">
        <f aca="false">COUNTIF($H$5:$H$1624,H961)</f>
        <v>1</v>
      </c>
      <c r="J961" s="1" t="n">
        <f aca="false">COUNTIF($H$5:H961,H961)</f>
        <v>1</v>
      </c>
      <c r="K961" s="1" t="n">
        <f aca="false">COUNTIFS($H$5:$H$1624,H961,$B$5:$B$1624,"&lt;&gt;"&amp;B961)</f>
        <v>0</v>
      </c>
      <c r="L961" s="1" t="str">
        <f aca="false">IF(I961&gt;1,IF(K961&gt;0,"Cross-hospital match","Same-hospital match"),"")</f>
        <v/>
      </c>
      <c r="M961" s="52"/>
      <c r="N961" s="52"/>
      <c r="O961" s="1" t="n">
        <f aca="false">IF(M961="Exclude (duplicate)",0,1)</f>
        <v>1</v>
      </c>
      <c r="P961" s="1" t="str">
        <f aca="false">IF(AND(L961&lt;&gt;"",M961=""),"Needs decision","")</f>
        <v/>
      </c>
    </row>
    <row r="962" customFormat="false" ht="15" hidden="false" customHeight="false" outlineLevel="0" collapsed="false">
      <c r="A962" s="48" t="str">
        <f aca="false">COST!A962</f>
        <v>CBH-0134</v>
      </c>
      <c r="B962" s="48" t="str">
        <f aca="false">COST!B962</f>
        <v>CBH</v>
      </c>
      <c r="C962" s="48" t="str">
        <f aca="false">COST!D962</f>
        <v>Fall Prevention Classes for Older Adults</v>
      </c>
      <c r="D962" s="62" t="n">
        <f aca="false">COST!M962</f>
        <v>46016</v>
      </c>
      <c r="E962" s="48" t="str">
        <f aca="false">COST!P962</f>
        <v>Licensed Therapist</v>
      </c>
      <c r="F962" s="63" t="n">
        <f aca="false">COST!R962</f>
        <v>2</v>
      </c>
      <c r="G962" s="48" t="str">
        <f aca="false">STACK!M962</f>
        <v/>
      </c>
      <c r="H962" s="1" t="str">
        <f aca="false">C962&amp;"|"&amp;IF(ISNUMBER(D962),TEXT(D962,"yyyy-mm-dd"),"no date")&amp;"|"&amp;E962&amp;"|"&amp;IF(ISNUMBER(F962),TEXT(F962,"0.00"),"blank")</f>
        <v>Fall Prevention Classes for Older Adults|2025-12-25|Licensed Therapist|2.00</v>
      </c>
      <c r="I962" s="1" t="n">
        <f aca="false">COUNTIF($H$5:$H$1624,H962)</f>
        <v>1</v>
      </c>
      <c r="J962" s="1" t="n">
        <f aca="false">COUNTIF($H$5:H962,H962)</f>
        <v>1</v>
      </c>
      <c r="K962" s="1" t="n">
        <f aca="false">COUNTIFS($H$5:$H$1624,H962,$B$5:$B$1624,"&lt;&gt;"&amp;B962)</f>
        <v>0</v>
      </c>
      <c r="L962" s="1" t="str">
        <f aca="false">IF(I962&gt;1,IF(K962&gt;0,"Cross-hospital match","Same-hospital match"),"")</f>
        <v/>
      </c>
      <c r="M962" s="52"/>
      <c r="N962" s="52"/>
      <c r="O962" s="1" t="n">
        <f aca="false">IF(M962="Exclude (duplicate)",0,1)</f>
        <v>1</v>
      </c>
      <c r="P962" s="1" t="str">
        <f aca="false">IF(AND(L962&lt;&gt;"",M962=""),"Needs decision","")</f>
        <v/>
      </c>
    </row>
    <row r="963" customFormat="false" ht="15" hidden="false" customHeight="false" outlineLevel="0" collapsed="false">
      <c r="A963" s="48" t="str">
        <f aca="false">COST!A963</f>
        <v>CBH-0135</v>
      </c>
      <c r="B963" s="48" t="str">
        <f aca="false">COST!B963</f>
        <v>CBH</v>
      </c>
      <c r="C963" s="48" t="str">
        <f aca="false">COST!D963</f>
        <v>Smoke-Free Parks Advocacy</v>
      </c>
      <c r="D963" s="62" t="n">
        <f aca="false">COST!M963</f>
        <v>46018</v>
      </c>
      <c r="E963" s="48" t="str">
        <f aca="false">COST!P963</f>
        <v>Director</v>
      </c>
      <c r="F963" s="63" t="n">
        <f aca="false">COST!R963</f>
        <v>1</v>
      </c>
      <c r="G963" s="48" t="str">
        <f aca="false">STACK!M963</f>
        <v/>
      </c>
      <c r="H963" s="1" t="str">
        <f aca="false">C963&amp;"|"&amp;IF(ISNUMBER(D963),TEXT(D963,"yyyy-mm-dd"),"no date")&amp;"|"&amp;E963&amp;"|"&amp;IF(ISNUMBER(F963),TEXT(F963,"0.00"),"blank")</f>
        <v>Smoke-Free Parks Advocacy|2025-12-27|Director|1.00</v>
      </c>
      <c r="I963" s="1" t="n">
        <f aca="false">COUNTIF($H$5:$H$1624,H963)</f>
        <v>1</v>
      </c>
      <c r="J963" s="1" t="n">
        <f aca="false">COUNTIF($H$5:H963,H963)</f>
        <v>1</v>
      </c>
      <c r="K963" s="1" t="n">
        <f aca="false">COUNTIFS($H$5:$H$1624,H963,$B$5:$B$1624,"&lt;&gt;"&amp;B963)</f>
        <v>0</v>
      </c>
      <c r="L963" s="1" t="str">
        <f aca="false">IF(I963&gt;1,IF(K963&gt;0,"Cross-hospital match","Same-hospital match"),"")</f>
        <v/>
      </c>
      <c r="M963" s="52"/>
      <c r="N963" s="52"/>
      <c r="O963" s="1" t="n">
        <f aca="false">IF(M963="Exclude (duplicate)",0,1)</f>
        <v>1</v>
      </c>
      <c r="P963" s="1" t="str">
        <f aca="false">IF(AND(L963&lt;&gt;"",M963=""),"Needs decision","")</f>
        <v/>
      </c>
    </row>
    <row r="964" customFormat="false" ht="15" hidden="false" customHeight="false" outlineLevel="0" collapsed="false">
      <c r="A964" s="48" t="str">
        <f aca="false">COST!A964</f>
        <v>CBH-0136</v>
      </c>
      <c r="B964" s="48" t="str">
        <f aca="false">COST!B964</f>
        <v>CBH</v>
      </c>
      <c r="C964" s="48" t="str">
        <f aca="false">COST!D964</f>
        <v>Smoke-Free Parks Advocacy</v>
      </c>
      <c r="D964" s="62" t="n">
        <f aca="false">COST!M964</f>
        <v>46018</v>
      </c>
      <c r="E964" s="48" t="str">
        <f aca="false">COST!P964</f>
        <v>Health Educator</v>
      </c>
      <c r="F964" s="63" t="n">
        <f aca="false">COST!R964</f>
        <v>4.75</v>
      </c>
      <c r="G964" s="48" t="str">
        <f aca="false">STACK!M964</f>
        <v/>
      </c>
      <c r="H964" s="1" t="str">
        <f aca="false">C964&amp;"|"&amp;IF(ISNUMBER(D964),TEXT(D964,"yyyy-mm-dd"),"no date")&amp;"|"&amp;E964&amp;"|"&amp;IF(ISNUMBER(F964),TEXT(F964,"0.00"),"blank")</f>
        <v>Smoke-Free Parks Advocacy|2025-12-27|Health Educator|4.75</v>
      </c>
      <c r="I964" s="1" t="n">
        <f aca="false">COUNTIF($H$5:$H$1624,H964)</f>
        <v>1</v>
      </c>
      <c r="J964" s="1" t="n">
        <f aca="false">COUNTIF($H$5:H964,H964)</f>
        <v>1</v>
      </c>
      <c r="K964" s="1" t="n">
        <f aca="false">COUNTIFS($H$5:$H$1624,H964,$B$5:$B$1624,"&lt;&gt;"&amp;B964)</f>
        <v>0</v>
      </c>
      <c r="L964" s="1" t="str">
        <f aca="false">IF(I964&gt;1,IF(K964&gt;0,"Cross-hospital match","Same-hospital match"),"")</f>
        <v/>
      </c>
      <c r="M964" s="52"/>
      <c r="N964" s="52"/>
      <c r="O964" s="1" t="n">
        <f aca="false">IF(M964="Exclude (duplicate)",0,1)</f>
        <v>1</v>
      </c>
      <c r="P964" s="1" t="str">
        <f aca="false">IF(AND(L964&lt;&gt;"",M964=""),"Needs decision","")</f>
        <v/>
      </c>
    </row>
    <row r="965" customFormat="false" ht="15" hidden="false" customHeight="false" outlineLevel="0" collapsed="false">
      <c r="A965" s="48" t="str">
        <f aca="false">COST!A965</f>
        <v>CBH-0137</v>
      </c>
      <c r="B965" s="48" t="str">
        <f aca="false">COST!B965</f>
        <v>CBH</v>
      </c>
      <c r="C965" s="48" t="str">
        <f aca="false">COST!D965</f>
        <v>Childbirth and Newborn Care Classes</v>
      </c>
      <c r="D965" s="62" t="n">
        <f aca="false">COST!M965</f>
        <v>46021</v>
      </c>
      <c r="E965" s="48" t="str">
        <f aca="false">COST!P965</f>
        <v>Clinical Nurse Educator</v>
      </c>
      <c r="F965" s="63" t="n">
        <f aca="false">COST!R965</f>
        <v>3.25</v>
      </c>
      <c r="G965" s="48" t="str">
        <f aca="false">STACK!M965</f>
        <v/>
      </c>
      <c r="H965" s="1" t="str">
        <f aca="false">C965&amp;"|"&amp;IF(ISNUMBER(D965),TEXT(D965,"yyyy-mm-dd"),"no date")&amp;"|"&amp;E965&amp;"|"&amp;IF(ISNUMBER(F965),TEXT(F965,"0.00"),"blank")</f>
        <v>Childbirth and Newborn Care Classes|2025-12-30|Clinical Nurse Educator|3.25</v>
      </c>
      <c r="I965" s="1" t="n">
        <f aca="false">COUNTIF($H$5:$H$1624,H965)</f>
        <v>1</v>
      </c>
      <c r="J965" s="1" t="n">
        <f aca="false">COUNTIF($H$5:H965,H965)</f>
        <v>1</v>
      </c>
      <c r="K965" s="1" t="n">
        <f aca="false">COUNTIFS($H$5:$H$1624,H965,$B$5:$B$1624,"&lt;&gt;"&amp;B965)</f>
        <v>0</v>
      </c>
      <c r="L965" s="1" t="str">
        <f aca="false">IF(I965&gt;1,IF(K965&gt;0,"Cross-hospital match","Same-hospital match"),"")</f>
        <v/>
      </c>
      <c r="M965" s="52"/>
      <c r="N965" s="52"/>
      <c r="O965" s="1" t="n">
        <f aca="false">IF(M965="Exclude (duplicate)",0,1)</f>
        <v>1</v>
      </c>
      <c r="P965" s="1" t="str">
        <f aca="false">IF(AND(L965&lt;&gt;"",M965=""),"Needs decision","")</f>
        <v/>
      </c>
    </row>
    <row r="966" customFormat="false" ht="15" hidden="false" customHeight="false" outlineLevel="0" collapsed="false">
      <c r="A966" s="48" t="str">
        <f aca="false">COST!A966</f>
        <v>CBH-0138</v>
      </c>
      <c r="B966" s="48" t="str">
        <f aca="false">COST!B966</f>
        <v>CBH</v>
      </c>
      <c r="C966" s="48" t="str">
        <f aca="false">COST!D966</f>
        <v>Diabetes Prevention Classes</v>
      </c>
      <c r="D966" s="62" t="n">
        <f aca="false">COST!M966</f>
        <v>46022</v>
      </c>
      <c r="E966" s="48" t="str">
        <f aca="false">COST!P966</f>
        <v>Health Educator</v>
      </c>
      <c r="F966" s="63" t="n">
        <f aca="false">COST!R966</f>
        <v>2.5</v>
      </c>
      <c r="G966" s="48" t="str">
        <f aca="false">STACK!M966</f>
        <v/>
      </c>
      <c r="H966" s="1" t="str">
        <f aca="false">C966&amp;"|"&amp;IF(ISNUMBER(D966),TEXT(D966,"yyyy-mm-dd"),"no date")&amp;"|"&amp;E966&amp;"|"&amp;IF(ISNUMBER(F966),TEXT(F966,"0.00"),"blank")</f>
        <v>Diabetes Prevention Classes|2025-12-31|Health Educator|2.50</v>
      </c>
      <c r="I966" s="1" t="n">
        <f aca="false">COUNTIF($H$5:$H$1624,H966)</f>
        <v>1</v>
      </c>
      <c r="J966" s="1" t="n">
        <f aca="false">COUNTIF($H$5:H966,H966)</f>
        <v>1</v>
      </c>
      <c r="K966" s="1" t="n">
        <f aca="false">COUNTIFS($H$5:$H$1624,H966,$B$5:$B$1624,"&lt;&gt;"&amp;B966)</f>
        <v>0</v>
      </c>
      <c r="L966" s="1" t="str">
        <f aca="false">IF(I966&gt;1,IF(K966&gt;0,"Cross-hospital match","Same-hospital match"),"")</f>
        <v/>
      </c>
      <c r="M966" s="52"/>
      <c r="N966" s="52"/>
      <c r="O966" s="1" t="n">
        <f aca="false">IF(M966="Exclude (duplicate)",0,1)</f>
        <v>1</v>
      </c>
      <c r="P966" s="1" t="str">
        <f aca="false">IF(AND(L966&lt;&gt;"",M966=""),"Needs decision","")</f>
        <v/>
      </c>
    </row>
    <row r="967" customFormat="false" ht="15" hidden="false" customHeight="false" outlineLevel="0" collapsed="false">
      <c r="A967" s="48" t="str">
        <f aca="false">COST!A967</f>
        <v>CBH-0139</v>
      </c>
      <c r="B967" s="48" t="str">
        <f aca="false">COST!B967</f>
        <v>CBH</v>
      </c>
      <c r="C967" s="48" t="str">
        <f aca="false">COST!D967</f>
        <v>Diabetes Prevention Classes</v>
      </c>
      <c r="D967" s="62" t="n">
        <f aca="false">COST!M967</f>
        <v>46022</v>
      </c>
      <c r="E967" s="48" t="str">
        <f aca="false">COST!P967</f>
        <v>Registered Dietitian</v>
      </c>
      <c r="F967" s="63" t="n">
        <f aca="false">COST!R967</f>
        <v>2</v>
      </c>
      <c r="G967" s="48" t="str">
        <f aca="false">STACK!M967</f>
        <v/>
      </c>
      <c r="H967" s="1" t="str">
        <f aca="false">C967&amp;"|"&amp;IF(ISNUMBER(D967),TEXT(D967,"yyyy-mm-dd"),"no date")&amp;"|"&amp;E967&amp;"|"&amp;IF(ISNUMBER(F967),TEXT(F967,"0.00"),"blank")</f>
        <v>Diabetes Prevention Classes|2025-12-31|Registered Dietitian|2.00</v>
      </c>
      <c r="I967" s="1" t="n">
        <f aca="false">COUNTIF($H$5:$H$1624,H967)</f>
        <v>1</v>
      </c>
      <c r="J967" s="1" t="n">
        <f aca="false">COUNTIF($H$5:H967,H967)</f>
        <v>1</v>
      </c>
      <c r="K967" s="1" t="n">
        <f aca="false">COUNTIFS($H$5:$H$1624,H967,$B$5:$B$1624,"&lt;&gt;"&amp;B967)</f>
        <v>0</v>
      </c>
      <c r="L967" s="1" t="str">
        <f aca="false">IF(I967&gt;1,IF(K967&gt;0,"Cross-hospital match","Same-hospital match"),"")</f>
        <v/>
      </c>
      <c r="M967" s="52"/>
      <c r="N967" s="52"/>
      <c r="O967" s="1" t="n">
        <f aca="false">IF(M967="Exclude (duplicate)",0,1)</f>
        <v>1</v>
      </c>
      <c r="P967" s="1" t="str">
        <f aca="false">IF(AND(L967&lt;&gt;"",M967=""),"Needs decision","")</f>
        <v/>
      </c>
    </row>
    <row r="968" customFormat="false" ht="15" hidden="false" customHeight="false" outlineLevel="0" collapsed="false">
      <c r="A968" s="48" t="str">
        <f aca="false">COST!A968</f>
        <v>CBH-0140</v>
      </c>
      <c r="B968" s="48" t="str">
        <f aca="false">COST!B968</f>
        <v>CBH</v>
      </c>
      <c r="C968" s="48" t="str">
        <f aca="false">COST!D968</f>
        <v>Free Clinic Provider Staffing</v>
      </c>
      <c r="D968" s="62" t="n">
        <f aca="false">COST!M968</f>
        <v>46022</v>
      </c>
      <c r="E968" s="48" t="str">
        <f aca="false">COST!P968</f>
        <v>Nurse Practitioner</v>
      </c>
      <c r="F968" s="63" t="n">
        <f aca="false">COST!R968</f>
        <v>42.75</v>
      </c>
      <c r="G968" s="48" t="str">
        <f aca="false">STACK!M968</f>
        <v/>
      </c>
      <c r="H968" s="1" t="str">
        <f aca="false">C968&amp;"|"&amp;IF(ISNUMBER(D968),TEXT(D968,"yyyy-mm-dd"),"no date")&amp;"|"&amp;E968&amp;"|"&amp;IF(ISNUMBER(F968),TEXT(F968,"0.00"),"blank")</f>
        <v>Free Clinic Provider Staffing|2025-12-31|Nurse Practitioner|42.75</v>
      </c>
      <c r="I968" s="1" t="n">
        <f aca="false">COUNTIF($H$5:$H$1624,H968)</f>
        <v>1</v>
      </c>
      <c r="J968" s="1" t="n">
        <f aca="false">COUNTIF($H$5:H968,H968)</f>
        <v>1</v>
      </c>
      <c r="K968" s="1" t="n">
        <f aca="false">COUNTIFS($H$5:$H$1624,H968,$B$5:$B$1624,"&lt;&gt;"&amp;B968)</f>
        <v>0</v>
      </c>
      <c r="L968" s="1" t="str">
        <f aca="false">IF(I968&gt;1,IF(K968&gt;0,"Cross-hospital match","Same-hospital match"),"")</f>
        <v/>
      </c>
      <c r="M968" s="52"/>
      <c r="N968" s="52"/>
      <c r="O968" s="1" t="n">
        <f aca="false">IF(M968="Exclude (duplicate)",0,1)</f>
        <v>1</v>
      </c>
      <c r="P968" s="1" t="str">
        <f aca="false">IF(AND(L968&lt;&gt;"",M968=""),"Needs decision","")</f>
        <v/>
      </c>
    </row>
    <row r="969" customFormat="false" ht="15" hidden="false" customHeight="false" outlineLevel="0" collapsed="false">
      <c r="A969" s="48" t="str">
        <f aca="false">COST!A969</f>
        <v>CBH-0141</v>
      </c>
      <c r="B969" s="48" t="str">
        <f aca="false">COST!B969</f>
        <v>CBH</v>
      </c>
      <c r="C969" s="48" t="str">
        <f aca="false">COST!D969</f>
        <v>Free Clinic Provider Staffing</v>
      </c>
      <c r="D969" s="62" t="n">
        <f aca="false">COST!M969</f>
        <v>46022</v>
      </c>
      <c r="E969" s="48" t="str">
        <f aca="false">COST!P969</f>
        <v>Pharmacist</v>
      </c>
      <c r="F969" s="63" t="n">
        <f aca="false">COST!R969</f>
        <v>16.5</v>
      </c>
      <c r="G969" s="48" t="str">
        <f aca="false">STACK!M969</f>
        <v/>
      </c>
      <c r="H969" s="1" t="str">
        <f aca="false">C969&amp;"|"&amp;IF(ISNUMBER(D969),TEXT(D969,"yyyy-mm-dd"),"no date")&amp;"|"&amp;E969&amp;"|"&amp;IF(ISNUMBER(F969),TEXT(F969,"0.00"),"blank")</f>
        <v>Free Clinic Provider Staffing|2025-12-31|Pharmacist|16.50</v>
      </c>
      <c r="I969" s="1" t="n">
        <f aca="false">COUNTIF($H$5:$H$1624,H969)</f>
        <v>1</v>
      </c>
      <c r="J969" s="1" t="n">
        <f aca="false">COUNTIF($H$5:H969,H969)</f>
        <v>1</v>
      </c>
      <c r="K969" s="1" t="n">
        <f aca="false">COUNTIFS($H$5:$H$1624,H969,$B$5:$B$1624,"&lt;&gt;"&amp;B969)</f>
        <v>0</v>
      </c>
      <c r="L969" s="1" t="str">
        <f aca="false">IF(I969&gt;1,IF(K969&gt;0,"Cross-hospital match","Same-hospital match"),"")</f>
        <v/>
      </c>
      <c r="M969" s="52"/>
      <c r="N969" s="52"/>
      <c r="O969" s="1" t="n">
        <f aca="false">IF(M969="Exclude (duplicate)",0,1)</f>
        <v>1</v>
      </c>
      <c r="P969" s="1" t="str">
        <f aca="false">IF(AND(L969&lt;&gt;"",M969=""),"Needs decision","")</f>
        <v/>
      </c>
    </row>
    <row r="970" customFormat="false" ht="15" hidden="false" customHeight="false" outlineLevel="0" collapsed="false">
      <c r="A970" s="48" t="str">
        <f aca="false">COST!A970</f>
        <v>CBH-0142</v>
      </c>
      <c r="B970" s="48" t="str">
        <f aca="false">COST!B970</f>
        <v>CBH</v>
      </c>
      <c r="C970" s="48" t="str">
        <f aca="false">COST!D970</f>
        <v>Free Clinic Provider Staffing</v>
      </c>
      <c r="D970" s="62" t="n">
        <f aca="false">COST!M970</f>
        <v>46022</v>
      </c>
      <c r="E970" s="48" t="str">
        <f aca="false">COST!P970</f>
        <v>Registered Nurse</v>
      </c>
      <c r="F970" s="63" t="n">
        <f aca="false">COST!R970</f>
        <v>30.5</v>
      </c>
      <c r="G970" s="48" t="str">
        <f aca="false">STACK!M970</f>
        <v/>
      </c>
      <c r="H970" s="1" t="str">
        <f aca="false">C970&amp;"|"&amp;IF(ISNUMBER(D970),TEXT(D970,"yyyy-mm-dd"),"no date")&amp;"|"&amp;E970&amp;"|"&amp;IF(ISNUMBER(F970),TEXT(F970,"0.00"),"blank")</f>
        <v>Free Clinic Provider Staffing|2025-12-31|Registered Nurse|30.50</v>
      </c>
      <c r="I970" s="1" t="n">
        <f aca="false">COUNTIF($H$5:$H$1624,H970)</f>
        <v>1</v>
      </c>
      <c r="J970" s="1" t="n">
        <f aca="false">COUNTIF($H$5:H970,H970)</f>
        <v>1</v>
      </c>
      <c r="K970" s="1" t="n">
        <f aca="false">COUNTIFS($H$5:$H$1624,H970,$B$5:$B$1624,"&lt;&gt;"&amp;B970)</f>
        <v>0</v>
      </c>
      <c r="L970" s="1" t="str">
        <f aca="false">IF(I970&gt;1,IF(K970&gt;0,"Cross-hospital match","Same-hospital match"),"")</f>
        <v/>
      </c>
      <c r="M970" s="52"/>
      <c r="N970" s="52"/>
      <c r="O970" s="1" t="n">
        <f aca="false">IF(M970="Exclude (duplicate)",0,1)</f>
        <v>1</v>
      </c>
      <c r="P970" s="1" t="str">
        <f aca="false">IF(AND(L970&lt;&gt;"",M970=""),"Needs decision","")</f>
        <v/>
      </c>
    </row>
    <row r="971" customFormat="false" ht="15" hidden="false" customHeight="false" outlineLevel="0" collapsed="false">
      <c r="A971" s="48" t="str">
        <f aca="false">COST!A971</f>
        <v>CBH-0143</v>
      </c>
      <c r="B971" s="48" t="str">
        <f aca="false">COST!B971</f>
        <v>CBH</v>
      </c>
      <c r="C971" s="48" t="str">
        <f aca="false">COST!D971</f>
        <v>Medication Assistance Program</v>
      </c>
      <c r="D971" s="62" t="n">
        <f aca="false">COST!M971</f>
        <v>46022</v>
      </c>
      <c r="E971" s="48" t="str">
        <f aca="false">COST!P971</f>
        <v>Patient Navigator</v>
      </c>
      <c r="F971" s="63" t="n">
        <f aca="false">COST!R971</f>
        <v>67</v>
      </c>
      <c r="G971" s="48" t="str">
        <f aca="false">STACK!M971</f>
        <v/>
      </c>
      <c r="H971" s="1" t="str">
        <f aca="false">C971&amp;"|"&amp;IF(ISNUMBER(D971),TEXT(D971,"yyyy-mm-dd"),"no date")&amp;"|"&amp;E971&amp;"|"&amp;IF(ISNUMBER(F971),TEXT(F971,"0.00"),"blank")</f>
        <v>Medication Assistance Program|2025-12-31|Patient Navigator|67.00</v>
      </c>
      <c r="I971" s="1" t="n">
        <f aca="false">COUNTIF($H$5:$H$1624,H971)</f>
        <v>1</v>
      </c>
      <c r="J971" s="1" t="n">
        <f aca="false">COUNTIF($H$5:H971,H971)</f>
        <v>1</v>
      </c>
      <c r="K971" s="1" t="n">
        <f aca="false">COUNTIFS($H$5:$H$1624,H971,$B$5:$B$1624,"&lt;&gt;"&amp;B971)</f>
        <v>0</v>
      </c>
      <c r="L971" s="1" t="str">
        <f aca="false">IF(I971&gt;1,IF(K971&gt;0,"Cross-hospital match","Same-hospital match"),"")</f>
        <v/>
      </c>
      <c r="M971" s="52"/>
      <c r="N971" s="52"/>
      <c r="O971" s="1" t="n">
        <f aca="false">IF(M971="Exclude (duplicate)",0,1)</f>
        <v>1</v>
      </c>
      <c r="P971" s="1" t="str">
        <f aca="false">IF(AND(L971&lt;&gt;"",M971=""),"Needs decision","")</f>
        <v/>
      </c>
    </row>
    <row r="972" customFormat="false" ht="15" hidden="false" customHeight="false" outlineLevel="0" collapsed="false">
      <c r="A972" s="48" t="str">
        <f aca="false">COST!A972</f>
        <v>CBH-0144</v>
      </c>
      <c r="B972" s="48" t="str">
        <f aca="false">COST!B972</f>
        <v>CBH</v>
      </c>
      <c r="C972" s="48" t="str">
        <f aca="false">COST!D972</f>
        <v>Medication Assistance Program</v>
      </c>
      <c r="D972" s="62" t="n">
        <f aca="false">COST!M972</f>
        <v>46022</v>
      </c>
      <c r="E972" s="48" t="str">
        <f aca="false">COST!P972</f>
        <v>Pharmacist</v>
      </c>
      <c r="F972" s="63" t="n">
        <f aca="false">COST!R972</f>
        <v>18</v>
      </c>
      <c r="G972" s="48" t="str">
        <f aca="false">STACK!M972</f>
        <v/>
      </c>
      <c r="H972" s="1" t="str">
        <f aca="false">C972&amp;"|"&amp;IF(ISNUMBER(D972),TEXT(D972,"yyyy-mm-dd"),"no date")&amp;"|"&amp;E972&amp;"|"&amp;IF(ISNUMBER(F972),TEXT(F972,"0.00"),"blank")</f>
        <v>Medication Assistance Program|2025-12-31|Pharmacist|18.00</v>
      </c>
      <c r="I972" s="1" t="n">
        <f aca="false">COUNTIF($H$5:$H$1624,H972)</f>
        <v>1</v>
      </c>
      <c r="J972" s="1" t="n">
        <f aca="false">COUNTIF($H$5:H972,H972)</f>
        <v>1</v>
      </c>
      <c r="K972" s="1" t="n">
        <f aca="false">COUNTIFS($H$5:$H$1624,H972,$B$5:$B$1624,"&lt;&gt;"&amp;B972)</f>
        <v>0</v>
      </c>
      <c r="L972" s="1" t="str">
        <f aca="false">IF(I972&gt;1,IF(K972&gt;0,"Cross-hospital match","Same-hospital match"),"")</f>
        <v/>
      </c>
      <c r="M972" s="52"/>
      <c r="N972" s="52"/>
      <c r="O972" s="1" t="n">
        <f aca="false">IF(M972="Exclude (duplicate)",0,1)</f>
        <v>1</v>
      </c>
      <c r="P972" s="1" t="str">
        <f aca="false">IF(AND(L972&lt;&gt;"",M972=""),"Needs decision","")</f>
        <v/>
      </c>
    </row>
    <row r="973" customFormat="false" ht="15" hidden="false" customHeight="false" outlineLevel="0" collapsed="false">
      <c r="A973" s="48" t="str">
        <f aca="false">COST!A973</f>
        <v>CBH-0145</v>
      </c>
      <c r="B973" s="48" t="str">
        <f aca="false">COST!B973</f>
        <v>CBH</v>
      </c>
      <c r="C973" s="48" t="str">
        <f aca="false">COST!D973</f>
        <v>Community Benefit Program Administration</v>
      </c>
      <c r="D973" s="62" t="n">
        <f aca="false">COST!M973</f>
        <v>46022</v>
      </c>
      <c r="E973" s="48" t="str">
        <f aca="false">COST!P973</f>
        <v>Administrative Assistant</v>
      </c>
      <c r="F973" s="63" t="n">
        <f aca="false">COST!R973</f>
        <v>48.25</v>
      </c>
      <c r="G973" s="48" t="str">
        <f aca="false">STACK!M973</f>
        <v/>
      </c>
      <c r="H973" s="1" t="str">
        <f aca="false">C973&amp;"|"&amp;IF(ISNUMBER(D973),TEXT(D973,"yyyy-mm-dd"),"no date")&amp;"|"&amp;E973&amp;"|"&amp;IF(ISNUMBER(F973),TEXT(F973,"0.00"),"blank")</f>
        <v>Community Benefit Program Administration|2025-12-31|Administrative Assistant|48.25</v>
      </c>
      <c r="I973" s="1" t="n">
        <f aca="false">COUNTIF($H$5:$H$1624,H973)</f>
        <v>1</v>
      </c>
      <c r="J973" s="1" t="n">
        <f aca="false">COUNTIF($H$5:H973,H973)</f>
        <v>1</v>
      </c>
      <c r="K973" s="1" t="n">
        <f aca="false">COUNTIFS($H$5:$H$1624,H973,$B$5:$B$1624,"&lt;&gt;"&amp;B973)</f>
        <v>0</v>
      </c>
      <c r="L973" s="1" t="str">
        <f aca="false">IF(I973&gt;1,IF(K973&gt;0,"Cross-hospital match","Same-hospital match"),"")</f>
        <v/>
      </c>
      <c r="M973" s="52"/>
      <c r="N973" s="52"/>
      <c r="O973" s="1" t="n">
        <f aca="false">IF(M973="Exclude (duplicate)",0,1)</f>
        <v>1</v>
      </c>
      <c r="P973" s="1" t="str">
        <f aca="false">IF(AND(L973&lt;&gt;"",M973=""),"Needs decision","")</f>
        <v/>
      </c>
    </row>
    <row r="974" customFormat="false" ht="15" hidden="false" customHeight="false" outlineLevel="0" collapsed="false">
      <c r="A974" s="48" t="str">
        <f aca="false">COST!A974</f>
        <v>CBH-0146</v>
      </c>
      <c r="B974" s="48" t="str">
        <f aca="false">COST!B974</f>
        <v>CBH</v>
      </c>
      <c r="C974" s="48" t="str">
        <f aca="false">COST!D974</f>
        <v>Community Benefit Program Administration</v>
      </c>
      <c r="D974" s="62" t="n">
        <f aca="false">COST!M974</f>
        <v>46022</v>
      </c>
      <c r="E974" s="48" t="str">
        <f aca="false">COST!P974</f>
        <v>Community Benefit Manager</v>
      </c>
      <c r="F974" s="63" t="n">
        <f aca="false">COST!R974</f>
        <v>66.5</v>
      </c>
      <c r="G974" s="48" t="str">
        <f aca="false">STACK!M974</f>
        <v/>
      </c>
      <c r="H974" s="1" t="str">
        <f aca="false">C974&amp;"|"&amp;IF(ISNUMBER(D974),TEXT(D974,"yyyy-mm-dd"),"no date")&amp;"|"&amp;E974&amp;"|"&amp;IF(ISNUMBER(F974),TEXT(F974,"0.00"),"blank")</f>
        <v>Community Benefit Program Administration|2025-12-31|Community Benefit Manager|66.50</v>
      </c>
      <c r="I974" s="1" t="n">
        <f aca="false">COUNTIF($H$5:$H$1624,H974)</f>
        <v>1</v>
      </c>
      <c r="J974" s="1" t="n">
        <f aca="false">COUNTIF($H$5:H974,H974)</f>
        <v>1</v>
      </c>
      <c r="K974" s="1" t="n">
        <f aca="false">COUNTIFS($H$5:$H$1624,H974,$B$5:$B$1624,"&lt;&gt;"&amp;B974)</f>
        <v>0</v>
      </c>
      <c r="L974" s="1" t="str">
        <f aca="false">IF(I974&gt;1,IF(K974&gt;0,"Cross-hospital match","Same-hospital match"),"")</f>
        <v/>
      </c>
      <c r="M974" s="52"/>
      <c r="N974" s="52"/>
      <c r="O974" s="1" t="n">
        <f aca="false">IF(M974="Exclude (duplicate)",0,1)</f>
        <v>1</v>
      </c>
      <c r="P974" s="1" t="str">
        <f aca="false">IF(AND(L974&lt;&gt;"",M974=""),"Needs decision","")</f>
        <v/>
      </c>
    </row>
    <row r="975" customFormat="false" ht="15" hidden="false" customHeight="false" outlineLevel="0" collapsed="false">
      <c r="A975" s="48" t="str">
        <f aca="false">COST!A975</f>
        <v>CBH-0147</v>
      </c>
      <c r="B975" s="48" t="str">
        <f aca="false">COST!B975</f>
        <v>CBH</v>
      </c>
      <c r="C975" s="48" t="str">
        <f aca="false">COST!D975</f>
        <v>Fall Prevention Classes for Older Adults</v>
      </c>
      <c r="D975" s="62" t="n">
        <f aca="false">COST!M975</f>
        <v>46022</v>
      </c>
      <c r="E975" s="48" t="str">
        <f aca="false">COST!P975</f>
        <v>Licensed Therapist</v>
      </c>
      <c r="F975" s="63" t="n">
        <f aca="false">COST!R975</f>
        <v>2</v>
      </c>
      <c r="G975" s="48" t="str">
        <f aca="false">STACK!M975</f>
        <v/>
      </c>
      <c r="H975" s="1" t="str">
        <f aca="false">C975&amp;"|"&amp;IF(ISNUMBER(D975),TEXT(D975,"yyyy-mm-dd"),"no date")&amp;"|"&amp;E975&amp;"|"&amp;IF(ISNUMBER(F975),TEXT(F975,"0.00"),"blank")</f>
        <v>Fall Prevention Classes for Older Adults|2025-12-31|Licensed Therapist|2.00</v>
      </c>
      <c r="I975" s="1" t="n">
        <f aca="false">COUNTIF($H$5:$H$1624,H975)</f>
        <v>1</v>
      </c>
      <c r="J975" s="1" t="n">
        <f aca="false">COUNTIF($H$5:H975,H975)</f>
        <v>1</v>
      </c>
      <c r="K975" s="1" t="n">
        <f aca="false">COUNTIFS($H$5:$H$1624,H975,$B$5:$B$1624,"&lt;&gt;"&amp;B975)</f>
        <v>0</v>
      </c>
      <c r="L975" s="1" t="str">
        <f aca="false">IF(I975&gt;1,IF(K975&gt;0,"Cross-hospital match","Same-hospital match"),"")</f>
        <v/>
      </c>
      <c r="M975" s="52"/>
      <c r="N975" s="52"/>
      <c r="O975" s="1" t="n">
        <f aca="false">IF(M975="Exclude (duplicate)",0,1)</f>
        <v>1</v>
      </c>
      <c r="P975" s="1" t="str">
        <f aca="false">IF(AND(L975&lt;&gt;"",M975=""),"Needs decision","")</f>
        <v/>
      </c>
    </row>
    <row r="976" customFormat="false" ht="15" hidden="false" customHeight="false" outlineLevel="0" collapsed="false">
      <c r="A976" s="48" t="str">
        <f aca="false">COST!A976</f>
        <v>CBH-0148</v>
      </c>
      <c r="B976" s="48" t="str">
        <f aca="false">COST!B976</f>
        <v>CBH</v>
      </c>
      <c r="C976" s="48" t="str">
        <f aca="false">COST!D976</f>
        <v>Interpreter Services for Community Clinics</v>
      </c>
      <c r="D976" s="62" t="n">
        <f aca="false">COST!M976</f>
        <v>46022</v>
      </c>
      <c r="E976" s="48" t="str">
        <f aca="false">COST!P976</f>
        <v>Interpreter</v>
      </c>
      <c r="F976" s="63" t="n">
        <f aca="false">COST!R976</f>
        <v>59</v>
      </c>
      <c r="G976" s="48" t="str">
        <f aca="false">STACK!M976</f>
        <v/>
      </c>
      <c r="H976" s="1" t="str">
        <f aca="false">C976&amp;"|"&amp;IF(ISNUMBER(D976),TEXT(D976,"yyyy-mm-dd"),"no date")&amp;"|"&amp;E976&amp;"|"&amp;IF(ISNUMBER(F976),TEXT(F976,"0.00"),"blank")</f>
        <v>Interpreter Services for Community Clinics|2025-12-31|Interpreter|59.00</v>
      </c>
      <c r="I976" s="1" t="n">
        <f aca="false">COUNTIF($H$5:$H$1624,H976)</f>
        <v>1</v>
      </c>
      <c r="J976" s="1" t="n">
        <f aca="false">COUNTIF($H$5:H976,H976)</f>
        <v>1</v>
      </c>
      <c r="K976" s="1" t="n">
        <f aca="false">COUNTIFS($H$5:$H$1624,H976,$B$5:$B$1624,"&lt;&gt;"&amp;B976)</f>
        <v>0</v>
      </c>
      <c r="L976" s="1" t="str">
        <f aca="false">IF(I976&gt;1,IF(K976&gt;0,"Cross-hospital match","Same-hospital match"),"")</f>
        <v/>
      </c>
      <c r="M976" s="52"/>
      <c r="N976" s="52"/>
      <c r="O976" s="1" t="n">
        <f aca="false">IF(M976="Exclude (duplicate)",0,1)</f>
        <v>1</v>
      </c>
      <c r="P976" s="1" t="str">
        <f aca="false">IF(AND(L976&lt;&gt;"",M976=""),"Needs decision","")</f>
        <v/>
      </c>
    </row>
    <row r="977" customFormat="false" ht="15" hidden="false" customHeight="false" outlineLevel="0" collapsed="false">
      <c r="A977" s="48" t="str">
        <f aca="false">COST!A977</f>
        <v>CBH-0149</v>
      </c>
      <c r="B977" s="48" t="str">
        <f aca="false">COST!B977</f>
        <v>CBH</v>
      </c>
      <c r="C977" s="48" t="str">
        <f aca="false">COST!D977</f>
        <v>Nursing Student Clinical Rotations</v>
      </c>
      <c r="D977" s="62" t="n">
        <f aca="false">COST!M977</f>
        <v>46022</v>
      </c>
      <c r="E977" s="48" t="str">
        <f aca="false">COST!P977</f>
        <v>Clinical Nurse Educator</v>
      </c>
      <c r="F977" s="63" t="n">
        <f aca="false">COST!R977</f>
        <v>54.75</v>
      </c>
      <c r="G977" s="48" t="str">
        <f aca="false">STACK!M977</f>
        <v/>
      </c>
      <c r="H977" s="1" t="str">
        <f aca="false">C977&amp;"|"&amp;IF(ISNUMBER(D977),TEXT(D977,"yyyy-mm-dd"),"no date")&amp;"|"&amp;E977&amp;"|"&amp;IF(ISNUMBER(F977),TEXT(F977,"0.00"),"blank")</f>
        <v>Nursing Student Clinical Rotations|2025-12-31|Clinical Nurse Educator|54.75</v>
      </c>
      <c r="I977" s="1" t="n">
        <f aca="false">COUNTIF($H$5:$H$1624,H977)</f>
        <v>1</v>
      </c>
      <c r="J977" s="1" t="n">
        <f aca="false">COUNTIF($H$5:H977,H977)</f>
        <v>1</v>
      </c>
      <c r="K977" s="1" t="n">
        <f aca="false">COUNTIFS($H$5:$H$1624,H977,$B$5:$B$1624,"&lt;&gt;"&amp;B977)</f>
        <v>0</v>
      </c>
      <c r="L977" s="1" t="str">
        <f aca="false">IF(I977&gt;1,IF(K977&gt;0,"Cross-hospital match","Same-hospital match"),"")</f>
        <v/>
      </c>
      <c r="M977" s="52"/>
      <c r="N977" s="52"/>
      <c r="O977" s="1" t="n">
        <f aca="false">IF(M977="Exclude (duplicate)",0,1)</f>
        <v>1</v>
      </c>
      <c r="P977" s="1" t="str">
        <f aca="false">IF(AND(L977&lt;&gt;"",M977=""),"Needs decision","")</f>
        <v/>
      </c>
    </row>
    <row r="978" customFormat="false" ht="15" hidden="false" customHeight="false" outlineLevel="0" collapsed="false">
      <c r="A978" s="48" t="str">
        <f aca="false">COST!A978</f>
        <v>CBH-0150</v>
      </c>
      <c r="B978" s="48" t="str">
        <f aca="false">COST!B978</f>
        <v>CBH</v>
      </c>
      <c r="C978" s="48" t="str">
        <f aca="false">COST!D978</f>
        <v>Nursing Student Clinical Rotations</v>
      </c>
      <c r="D978" s="62" t="n">
        <f aca="false">COST!M978</f>
        <v>46022</v>
      </c>
      <c r="E978" s="48" t="str">
        <f aca="false">COST!P978</f>
        <v>Registered Nurse</v>
      </c>
      <c r="F978" s="63" t="n">
        <f aca="false">COST!R978</f>
        <v>97</v>
      </c>
      <c r="G978" s="48" t="str">
        <f aca="false">STACK!M978</f>
        <v/>
      </c>
      <c r="H978" s="1" t="str">
        <f aca="false">C978&amp;"|"&amp;IF(ISNUMBER(D978),TEXT(D978,"yyyy-mm-dd"),"no date")&amp;"|"&amp;E978&amp;"|"&amp;IF(ISNUMBER(F978),TEXT(F978,"0.00"),"blank")</f>
        <v>Nursing Student Clinical Rotations|2025-12-31|Registered Nurse|97.00</v>
      </c>
      <c r="I978" s="1" t="n">
        <f aca="false">COUNTIF($H$5:$H$1624,H978)</f>
        <v>1</v>
      </c>
      <c r="J978" s="1" t="n">
        <f aca="false">COUNTIF($H$5:H978,H978)</f>
        <v>1</v>
      </c>
      <c r="K978" s="1" t="n">
        <f aca="false">COUNTIFS($H$5:$H$1624,H978,$B$5:$B$1624,"&lt;&gt;"&amp;B978)</f>
        <v>0</v>
      </c>
      <c r="L978" s="1" t="str">
        <f aca="false">IF(I978&gt;1,IF(K978&gt;0,"Cross-hospital match","Same-hospital match"),"")</f>
        <v/>
      </c>
      <c r="M978" s="52"/>
      <c r="N978" s="52"/>
      <c r="O978" s="1" t="n">
        <f aca="false">IF(M978="Exclude (duplicate)",0,1)</f>
        <v>1</v>
      </c>
      <c r="P978" s="1" t="str">
        <f aca="false">IF(AND(L978&lt;&gt;"",M978=""),"Needs decision","")</f>
        <v/>
      </c>
    </row>
    <row r="979" customFormat="false" ht="15" hidden="false" customHeight="false" outlineLevel="0" collapsed="false">
      <c r="A979" s="48" t="str">
        <f aca="false">COST!A979</f>
        <v>CBH-0151</v>
      </c>
      <c r="B979" s="48" t="str">
        <f aca="false">COST!B979</f>
        <v>CBH</v>
      </c>
      <c r="C979" s="48" t="str">
        <f aca="false">COST!D979</f>
        <v>Pharmacy Student Rotations</v>
      </c>
      <c r="D979" s="62" t="n">
        <f aca="false">COST!M979</f>
        <v>46022</v>
      </c>
      <c r="E979" s="48" t="str">
        <f aca="false">COST!P979</f>
        <v>Pharmacist</v>
      </c>
      <c r="F979" s="63" t="n">
        <f aca="false">COST!R979</f>
        <v>57.75</v>
      </c>
      <c r="G979" s="48" t="str">
        <f aca="false">STACK!M979</f>
        <v/>
      </c>
      <c r="H979" s="1" t="str">
        <f aca="false">C979&amp;"|"&amp;IF(ISNUMBER(D979),TEXT(D979,"yyyy-mm-dd"),"no date")&amp;"|"&amp;E979&amp;"|"&amp;IF(ISNUMBER(F979),TEXT(F979,"0.00"),"blank")</f>
        <v>Pharmacy Student Rotations|2025-12-31|Pharmacist|57.75</v>
      </c>
      <c r="I979" s="1" t="n">
        <f aca="false">COUNTIF($H$5:$H$1624,H979)</f>
        <v>1</v>
      </c>
      <c r="J979" s="1" t="n">
        <f aca="false">COUNTIF($H$5:H979,H979)</f>
        <v>1</v>
      </c>
      <c r="K979" s="1" t="n">
        <f aca="false">COUNTIFS($H$5:$H$1624,H979,$B$5:$B$1624,"&lt;&gt;"&amp;B979)</f>
        <v>0</v>
      </c>
      <c r="L979" s="1" t="str">
        <f aca="false">IF(I979&gt;1,IF(K979&gt;0,"Cross-hospital match","Same-hospital match"),"")</f>
        <v/>
      </c>
      <c r="M979" s="52"/>
      <c r="N979" s="52"/>
      <c r="O979" s="1" t="n">
        <f aca="false">IF(M979="Exclude (duplicate)",0,1)</f>
        <v>1</v>
      </c>
      <c r="P979" s="1" t="str">
        <f aca="false">IF(AND(L979&lt;&gt;"",M979=""),"Needs decision","")</f>
        <v/>
      </c>
    </row>
    <row r="980" customFormat="false" ht="15" hidden="false" customHeight="false" outlineLevel="0" collapsed="false">
      <c r="A980" s="48" t="str">
        <f aca="false">COST!A980</f>
        <v>CBH-0152</v>
      </c>
      <c r="B980" s="48" t="str">
        <f aca="false">COST!B980</f>
        <v>CBH</v>
      </c>
      <c r="C980" s="48" t="str">
        <f aca="false">COST!D980</f>
        <v>Naloxone Training and Distribution</v>
      </c>
      <c r="D980" s="62" t="n">
        <f aca="false">COST!M980</f>
        <v>46030</v>
      </c>
      <c r="E980" s="48" t="str">
        <f aca="false">COST!P980</f>
        <v>Health Educator</v>
      </c>
      <c r="F980" s="63" t="n">
        <f aca="false">COST!R980</f>
        <v>3</v>
      </c>
      <c r="G980" s="48" t="str">
        <f aca="false">STACK!M980</f>
        <v/>
      </c>
      <c r="H980" s="1" t="str">
        <f aca="false">C980&amp;"|"&amp;IF(ISNUMBER(D980),TEXT(D980,"yyyy-mm-dd"),"no date")&amp;"|"&amp;E980&amp;"|"&amp;IF(ISNUMBER(F980),TEXT(F980,"0.00"),"blank")</f>
        <v>Naloxone Training and Distribution|2026-01-08|Health Educator|3.00</v>
      </c>
      <c r="I980" s="1" t="n">
        <f aca="false">COUNTIF($H$5:$H$1624,H980)</f>
        <v>1</v>
      </c>
      <c r="J980" s="1" t="n">
        <f aca="false">COUNTIF($H$5:H980,H980)</f>
        <v>1</v>
      </c>
      <c r="K980" s="1" t="n">
        <f aca="false">COUNTIFS($H$5:$H$1624,H980,$B$5:$B$1624,"&lt;&gt;"&amp;B980)</f>
        <v>0</v>
      </c>
      <c r="L980" s="1" t="str">
        <f aca="false">IF(I980&gt;1,IF(K980&gt;0,"Cross-hospital match","Same-hospital match"),"")</f>
        <v/>
      </c>
      <c r="M980" s="52"/>
      <c r="N980" s="52"/>
      <c r="O980" s="1" t="n">
        <f aca="false">IF(M980="Exclude (duplicate)",0,1)</f>
        <v>1</v>
      </c>
      <c r="P980" s="1" t="str">
        <f aca="false">IF(AND(L980&lt;&gt;"",M980=""),"Needs decision","")</f>
        <v/>
      </c>
    </row>
    <row r="981" customFormat="false" ht="15" hidden="false" customHeight="false" outlineLevel="0" collapsed="false">
      <c r="A981" s="48" t="str">
        <f aca="false">COST!A981</f>
        <v>CBH-0153</v>
      </c>
      <c r="B981" s="48" t="str">
        <f aca="false">COST!B981</f>
        <v>CBH</v>
      </c>
      <c r="C981" s="48" t="str">
        <f aca="false">COST!D981</f>
        <v>Naloxone Training and Distribution</v>
      </c>
      <c r="D981" s="62" t="n">
        <f aca="false">COST!M981</f>
        <v>46030</v>
      </c>
      <c r="E981" s="48" t="str">
        <f aca="false">COST!P981</f>
        <v>Pharmacist</v>
      </c>
      <c r="F981" s="63" t="n">
        <f aca="false">COST!R981</f>
        <v>2.25</v>
      </c>
      <c r="G981" s="48" t="str">
        <f aca="false">STACK!M981</f>
        <v/>
      </c>
      <c r="H981" s="1" t="str">
        <f aca="false">C981&amp;"|"&amp;IF(ISNUMBER(D981),TEXT(D981,"yyyy-mm-dd"),"no date")&amp;"|"&amp;E981&amp;"|"&amp;IF(ISNUMBER(F981),TEXT(F981,"0.00"),"blank")</f>
        <v>Naloxone Training and Distribution|2026-01-08|Pharmacist|2.25</v>
      </c>
      <c r="I981" s="1" t="n">
        <f aca="false">COUNTIF($H$5:$H$1624,H981)</f>
        <v>1</v>
      </c>
      <c r="J981" s="1" t="n">
        <f aca="false">COUNTIF($H$5:H981,H981)</f>
        <v>1</v>
      </c>
      <c r="K981" s="1" t="n">
        <f aca="false">COUNTIFS($H$5:$H$1624,H981,$B$5:$B$1624,"&lt;&gt;"&amp;B981)</f>
        <v>0</v>
      </c>
      <c r="L981" s="1" t="str">
        <f aca="false">IF(I981&gt;1,IF(K981&gt;0,"Cross-hospital match","Same-hospital match"),"")</f>
        <v/>
      </c>
      <c r="M981" s="52"/>
      <c r="N981" s="52"/>
      <c r="O981" s="1" t="n">
        <f aca="false">IF(M981="Exclude (duplicate)",0,1)</f>
        <v>1</v>
      </c>
      <c r="P981" s="1" t="str">
        <f aca="false">IF(AND(L981&lt;&gt;"",M981=""),"Needs decision","")</f>
        <v/>
      </c>
    </row>
    <row r="982" customFormat="false" ht="15" hidden="false" customHeight="false" outlineLevel="0" collapsed="false">
      <c r="A982" s="48" t="str">
        <f aca="false">COST!A982</f>
        <v>CBH-0154</v>
      </c>
      <c r="B982" s="48" t="str">
        <f aca="false">COST!B982</f>
        <v>CBH</v>
      </c>
      <c r="C982" s="48" t="str">
        <f aca="false">COST!D982</f>
        <v>School-Based Health Center Support Grant</v>
      </c>
      <c r="D982" s="62" t="n">
        <f aca="false">COST!M982</f>
        <v>46030</v>
      </c>
      <c r="E982" s="48" t="str">
        <f aca="false">COST!P982</f>
        <v>No staff time</v>
      </c>
      <c r="F982" s="63" t="n">
        <f aca="false">COST!R982</f>
        <v>0</v>
      </c>
      <c r="G982" s="48" t="str">
        <f aca="false">STACK!M982</f>
        <v/>
      </c>
      <c r="H982" s="1" t="str">
        <f aca="false">C982&amp;"|"&amp;IF(ISNUMBER(D982),TEXT(D982,"yyyy-mm-dd"),"no date")&amp;"|"&amp;E982&amp;"|"&amp;IF(ISNUMBER(F982),TEXT(F982,"0.00"),"blank")</f>
        <v>School-Based Health Center Support Grant|2026-01-08|No staff time|0.00</v>
      </c>
      <c r="I982" s="1" t="n">
        <f aca="false">COUNTIF($H$5:$H$1624,H982)</f>
        <v>1</v>
      </c>
      <c r="J982" s="1" t="n">
        <f aca="false">COUNTIF($H$5:H982,H982)</f>
        <v>1</v>
      </c>
      <c r="K982" s="1" t="n">
        <f aca="false">COUNTIFS($H$5:$H$1624,H982,$B$5:$B$1624,"&lt;&gt;"&amp;B982)</f>
        <v>0</v>
      </c>
      <c r="L982" s="1" t="str">
        <f aca="false">IF(I982&gt;1,IF(K982&gt;0,"Cross-hospital match","Same-hospital match"),"")</f>
        <v/>
      </c>
      <c r="M982" s="52"/>
      <c r="N982" s="52"/>
      <c r="O982" s="1" t="n">
        <f aca="false">IF(M982="Exclude (duplicate)",0,1)</f>
        <v>1</v>
      </c>
      <c r="P982" s="1" t="str">
        <f aca="false">IF(AND(L982&lt;&gt;"",M982=""),"Needs decision","")</f>
        <v/>
      </c>
    </row>
    <row r="983" customFormat="false" ht="15" hidden="false" customHeight="false" outlineLevel="0" collapsed="false">
      <c r="A983" s="48" t="str">
        <f aca="false">COST!A983</f>
        <v>CBH-0155</v>
      </c>
      <c r="B983" s="48" t="str">
        <f aca="false">COST!B983</f>
        <v>CBH</v>
      </c>
      <c r="C983" s="48" t="str">
        <f aca="false">COST!D983</f>
        <v>Regional Health Coalition</v>
      </c>
      <c r="D983" s="62" t="n">
        <f aca="false">COST!M983</f>
        <v>46039</v>
      </c>
      <c r="E983" s="48" t="str">
        <f aca="false">COST!P983</f>
        <v>Community Benefit Manager</v>
      </c>
      <c r="F983" s="63" t="n">
        <f aca="false">COST!R983</f>
        <v>2.5</v>
      </c>
      <c r="G983" s="48" t="str">
        <f aca="false">STACK!M983</f>
        <v/>
      </c>
      <c r="H983" s="1" t="str">
        <f aca="false">C983&amp;"|"&amp;IF(ISNUMBER(D983),TEXT(D983,"yyyy-mm-dd"),"no date")&amp;"|"&amp;E983&amp;"|"&amp;IF(ISNUMBER(F983),TEXT(F983,"0.00"),"blank")</f>
        <v>Regional Health Coalition|2026-01-17|Community Benefit Manager|2.50</v>
      </c>
      <c r="I983" s="1" t="n">
        <f aca="false">COUNTIF($H$5:$H$1624,H983)</f>
        <v>1</v>
      </c>
      <c r="J983" s="1" t="n">
        <f aca="false">COUNTIF($H$5:H983,H983)</f>
        <v>1</v>
      </c>
      <c r="K983" s="1" t="n">
        <f aca="false">COUNTIFS($H$5:$H$1624,H983,$B$5:$B$1624,"&lt;&gt;"&amp;B983)</f>
        <v>0</v>
      </c>
      <c r="L983" s="1" t="str">
        <f aca="false">IF(I983&gt;1,IF(K983&gt;0,"Cross-hospital match","Same-hospital match"),"")</f>
        <v/>
      </c>
      <c r="M983" s="52"/>
      <c r="N983" s="52"/>
      <c r="O983" s="1" t="n">
        <f aca="false">IF(M983="Exclude (duplicate)",0,1)</f>
        <v>1</v>
      </c>
      <c r="P983" s="1" t="str">
        <f aca="false">IF(AND(L983&lt;&gt;"",M983=""),"Needs decision","")</f>
        <v/>
      </c>
    </row>
    <row r="984" customFormat="false" ht="15" hidden="false" customHeight="false" outlineLevel="0" collapsed="false">
      <c r="A984" s="48" t="str">
        <f aca="false">COST!A984</f>
        <v>CBH-0156</v>
      </c>
      <c r="B984" s="48" t="str">
        <f aca="false">COST!B984</f>
        <v>CBH</v>
      </c>
      <c r="C984" s="48" t="str">
        <f aca="false">COST!D984</f>
        <v>Regional Health Coalition</v>
      </c>
      <c r="D984" s="62" t="n">
        <f aca="false">COST!M984</f>
        <v>46039</v>
      </c>
      <c r="E984" s="48" t="str">
        <f aca="false">COST!P984</f>
        <v>Director</v>
      </c>
      <c r="F984" s="63" t="n">
        <f aca="false">COST!R984</f>
        <v>2.25</v>
      </c>
      <c r="G984" s="48" t="str">
        <f aca="false">STACK!M984</f>
        <v/>
      </c>
      <c r="H984" s="1" t="str">
        <f aca="false">C984&amp;"|"&amp;IF(ISNUMBER(D984),TEXT(D984,"yyyy-mm-dd"),"no date")&amp;"|"&amp;E984&amp;"|"&amp;IF(ISNUMBER(F984),TEXT(F984,"0.00"),"blank")</f>
        <v>Regional Health Coalition|2026-01-17|Director|2.25</v>
      </c>
      <c r="I984" s="1" t="n">
        <f aca="false">COUNTIF($H$5:$H$1624,H984)</f>
        <v>1</v>
      </c>
      <c r="J984" s="1" t="n">
        <f aca="false">COUNTIF($H$5:H984,H984)</f>
        <v>1</v>
      </c>
      <c r="K984" s="1" t="n">
        <f aca="false">COUNTIFS($H$5:$H$1624,H984,$B$5:$B$1624,"&lt;&gt;"&amp;B984)</f>
        <v>0</v>
      </c>
      <c r="L984" s="1" t="str">
        <f aca="false">IF(I984&gt;1,IF(K984&gt;0,"Cross-hospital match","Same-hospital match"),"")</f>
        <v/>
      </c>
      <c r="M984" s="52"/>
      <c r="N984" s="52"/>
      <c r="O984" s="1" t="n">
        <f aca="false">IF(M984="Exclude (duplicate)",0,1)</f>
        <v>1</v>
      </c>
      <c r="P984" s="1" t="str">
        <f aca="false">IF(AND(L984&lt;&gt;"",M984=""),"Needs decision","")</f>
        <v/>
      </c>
    </row>
    <row r="985" customFormat="false" ht="15" hidden="false" customHeight="false" outlineLevel="0" collapsed="false">
      <c r="A985" s="48" t="str">
        <f aca="false">COST!A985</f>
        <v>CBH-0157</v>
      </c>
      <c r="B985" s="48" t="str">
        <f aca="false">COST!B985</f>
        <v>CBH</v>
      </c>
      <c r="C985" s="48" t="str">
        <f aca="false">COST!D985</f>
        <v>Diabetes Prevention Classes</v>
      </c>
      <c r="D985" s="62" t="n">
        <f aca="false">COST!M985</f>
        <v>46045</v>
      </c>
      <c r="E985" s="48" t="str">
        <f aca="false">COST!P985</f>
        <v>Health Educator</v>
      </c>
      <c r="F985" s="63" t="n">
        <f aca="false">COST!R985</f>
        <v>2</v>
      </c>
      <c r="G985" s="48" t="str">
        <f aca="false">STACK!M985</f>
        <v/>
      </c>
      <c r="H985" s="1" t="str">
        <f aca="false">C985&amp;"|"&amp;IF(ISNUMBER(D985),TEXT(D985,"yyyy-mm-dd"),"no date")&amp;"|"&amp;E985&amp;"|"&amp;IF(ISNUMBER(F985),TEXT(F985,"0.00"),"blank")</f>
        <v>Diabetes Prevention Classes|2026-01-23|Health Educator|2.00</v>
      </c>
      <c r="I985" s="1" t="n">
        <f aca="false">COUNTIF($H$5:$H$1624,H985)</f>
        <v>1</v>
      </c>
      <c r="J985" s="1" t="n">
        <f aca="false">COUNTIF($H$5:H985,H985)</f>
        <v>1</v>
      </c>
      <c r="K985" s="1" t="n">
        <f aca="false">COUNTIFS($H$5:$H$1624,H985,$B$5:$B$1624,"&lt;&gt;"&amp;B985)</f>
        <v>0</v>
      </c>
      <c r="L985" s="1" t="str">
        <f aca="false">IF(I985&gt;1,IF(K985&gt;0,"Cross-hospital match","Same-hospital match"),"")</f>
        <v/>
      </c>
      <c r="M985" s="52"/>
      <c r="N985" s="52"/>
      <c r="O985" s="1" t="n">
        <f aca="false">IF(M985="Exclude (duplicate)",0,1)</f>
        <v>1</v>
      </c>
      <c r="P985" s="1" t="str">
        <f aca="false">IF(AND(L985&lt;&gt;"",M985=""),"Needs decision","")</f>
        <v/>
      </c>
    </row>
    <row r="986" customFormat="false" ht="15" hidden="false" customHeight="false" outlineLevel="0" collapsed="false">
      <c r="A986" s="48" t="str">
        <f aca="false">COST!A986</f>
        <v>CBH-0158</v>
      </c>
      <c r="B986" s="48" t="str">
        <f aca="false">COST!B986</f>
        <v>CBH</v>
      </c>
      <c r="C986" s="48" t="str">
        <f aca="false">COST!D986</f>
        <v>Diabetes Prevention Classes</v>
      </c>
      <c r="D986" s="62" t="n">
        <f aca="false">COST!M986</f>
        <v>46045</v>
      </c>
      <c r="E986" s="48" t="str">
        <f aca="false">COST!P986</f>
        <v>Registered Dietitian</v>
      </c>
      <c r="F986" s="63" t="n">
        <f aca="false">COST!R986</f>
        <v>1.75</v>
      </c>
      <c r="G986" s="48" t="str">
        <f aca="false">STACK!M986</f>
        <v/>
      </c>
      <c r="H986" s="1" t="str">
        <f aca="false">C986&amp;"|"&amp;IF(ISNUMBER(D986),TEXT(D986,"yyyy-mm-dd"),"no date")&amp;"|"&amp;E986&amp;"|"&amp;IF(ISNUMBER(F986),TEXT(F986,"0.00"),"blank")</f>
        <v>Diabetes Prevention Classes|2026-01-23|Registered Dietitian|1.75</v>
      </c>
      <c r="I986" s="1" t="n">
        <f aca="false">COUNTIF($H$5:$H$1624,H986)</f>
        <v>1</v>
      </c>
      <c r="J986" s="1" t="n">
        <f aca="false">COUNTIF($H$5:H986,H986)</f>
        <v>1</v>
      </c>
      <c r="K986" s="1" t="n">
        <f aca="false">COUNTIFS($H$5:$H$1624,H986,$B$5:$B$1624,"&lt;&gt;"&amp;B986)</f>
        <v>0</v>
      </c>
      <c r="L986" s="1" t="str">
        <f aca="false">IF(I986&gt;1,IF(K986&gt;0,"Cross-hospital match","Same-hospital match"),"")</f>
        <v/>
      </c>
      <c r="M986" s="52"/>
      <c r="N986" s="52"/>
      <c r="O986" s="1" t="n">
        <f aca="false">IF(M986="Exclude (duplicate)",0,1)</f>
        <v>1</v>
      </c>
      <c r="P986" s="1" t="str">
        <f aca="false">IF(AND(L986&lt;&gt;"",M986=""),"Needs decision","")</f>
        <v/>
      </c>
    </row>
    <row r="987" customFormat="false" ht="15" hidden="false" customHeight="false" outlineLevel="0" collapsed="false">
      <c r="A987" s="48" t="str">
        <f aca="false">COST!A987</f>
        <v>CBH-0159</v>
      </c>
      <c r="B987" s="48" t="str">
        <f aca="false">COST!B987</f>
        <v>CBH</v>
      </c>
      <c r="C987" s="48" t="str">
        <f aca="false">COST!D987</f>
        <v>Free Clinic Provider Staffing</v>
      </c>
      <c r="D987" s="62" t="n">
        <f aca="false">COST!M987</f>
        <v>46053</v>
      </c>
      <c r="E987" s="48" t="str">
        <f aca="false">COST!P987</f>
        <v>Nurse Practitioner</v>
      </c>
      <c r="F987" s="63" t="n">
        <f aca="false">COST!R987</f>
        <v>28.5</v>
      </c>
      <c r="G987" s="48" t="str">
        <f aca="false">STACK!M987</f>
        <v/>
      </c>
      <c r="H987" s="1" t="str">
        <f aca="false">C987&amp;"|"&amp;IF(ISNUMBER(D987),TEXT(D987,"yyyy-mm-dd"),"no date")&amp;"|"&amp;E987&amp;"|"&amp;IF(ISNUMBER(F987),TEXT(F987,"0.00"),"blank")</f>
        <v>Free Clinic Provider Staffing|2026-01-31|Nurse Practitioner|28.50</v>
      </c>
      <c r="I987" s="1" t="n">
        <f aca="false">COUNTIF($H$5:$H$1624,H987)</f>
        <v>1</v>
      </c>
      <c r="J987" s="1" t="n">
        <f aca="false">COUNTIF($H$5:H987,H987)</f>
        <v>1</v>
      </c>
      <c r="K987" s="1" t="n">
        <f aca="false">COUNTIFS($H$5:$H$1624,H987,$B$5:$B$1624,"&lt;&gt;"&amp;B987)</f>
        <v>0</v>
      </c>
      <c r="L987" s="1" t="str">
        <f aca="false">IF(I987&gt;1,IF(K987&gt;0,"Cross-hospital match","Same-hospital match"),"")</f>
        <v/>
      </c>
      <c r="M987" s="52"/>
      <c r="N987" s="52"/>
      <c r="O987" s="1" t="n">
        <f aca="false">IF(M987="Exclude (duplicate)",0,1)</f>
        <v>1</v>
      </c>
      <c r="P987" s="1" t="str">
        <f aca="false">IF(AND(L987&lt;&gt;"",M987=""),"Needs decision","")</f>
        <v/>
      </c>
    </row>
    <row r="988" customFormat="false" ht="15" hidden="false" customHeight="false" outlineLevel="0" collapsed="false">
      <c r="A988" s="48" t="str">
        <f aca="false">COST!A988</f>
        <v>CBH-0160</v>
      </c>
      <c r="B988" s="48" t="str">
        <f aca="false">COST!B988</f>
        <v>CBH</v>
      </c>
      <c r="C988" s="48" t="str">
        <f aca="false">COST!D988</f>
        <v>Free Clinic Provider Staffing</v>
      </c>
      <c r="D988" s="62" t="n">
        <f aca="false">COST!M988</f>
        <v>46053</v>
      </c>
      <c r="E988" s="48" t="str">
        <f aca="false">COST!P988</f>
        <v>Pharmacist</v>
      </c>
      <c r="F988" s="63" t="n">
        <f aca="false">COST!R988</f>
        <v>14.75</v>
      </c>
      <c r="G988" s="48" t="str">
        <f aca="false">STACK!M988</f>
        <v/>
      </c>
      <c r="H988" s="1" t="str">
        <f aca="false">C988&amp;"|"&amp;IF(ISNUMBER(D988),TEXT(D988,"yyyy-mm-dd"),"no date")&amp;"|"&amp;E988&amp;"|"&amp;IF(ISNUMBER(F988),TEXT(F988,"0.00"),"blank")</f>
        <v>Free Clinic Provider Staffing|2026-01-31|Pharmacist|14.75</v>
      </c>
      <c r="I988" s="1" t="n">
        <f aca="false">COUNTIF($H$5:$H$1624,H988)</f>
        <v>1</v>
      </c>
      <c r="J988" s="1" t="n">
        <f aca="false">COUNTIF($H$5:H988,H988)</f>
        <v>1</v>
      </c>
      <c r="K988" s="1" t="n">
        <f aca="false">COUNTIFS($H$5:$H$1624,H988,$B$5:$B$1624,"&lt;&gt;"&amp;B988)</f>
        <v>0</v>
      </c>
      <c r="L988" s="1" t="str">
        <f aca="false">IF(I988&gt;1,IF(K988&gt;0,"Cross-hospital match","Same-hospital match"),"")</f>
        <v/>
      </c>
      <c r="M988" s="52"/>
      <c r="N988" s="52"/>
      <c r="O988" s="1" t="n">
        <f aca="false">IF(M988="Exclude (duplicate)",0,1)</f>
        <v>1</v>
      </c>
      <c r="P988" s="1" t="str">
        <f aca="false">IF(AND(L988&lt;&gt;"",M988=""),"Needs decision","")</f>
        <v/>
      </c>
    </row>
    <row r="989" customFormat="false" ht="15" hidden="false" customHeight="false" outlineLevel="0" collapsed="false">
      <c r="A989" s="48" t="str">
        <f aca="false">COST!A989</f>
        <v>CBH-0161</v>
      </c>
      <c r="B989" s="48" t="str">
        <f aca="false">COST!B989</f>
        <v>CBH</v>
      </c>
      <c r="C989" s="48" t="str">
        <f aca="false">COST!D989</f>
        <v>Free Clinic Provider Staffing</v>
      </c>
      <c r="D989" s="62" t="n">
        <f aca="false">COST!M989</f>
        <v>46053</v>
      </c>
      <c r="E989" s="48" t="str">
        <f aca="false">COST!P989</f>
        <v>Registered Nurse</v>
      </c>
      <c r="F989" s="63" t="n">
        <f aca="false">COST!R989</f>
        <v>30.25</v>
      </c>
      <c r="G989" s="48" t="str">
        <f aca="false">STACK!M989</f>
        <v/>
      </c>
      <c r="H989" s="1" t="str">
        <f aca="false">C989&amp;"|"&amp;IF(ISNUMBER(D989),TEXT(D989,"yyyy-mm-dd"),"no date")&amp;"|"&amp;E989&amp;"|"&amp;IF(ISNUMBER(F989),TEXT(F989,"0.00"),"blank")</f>
        <v>Free Clinic Provider Staffing|2026-01-31|Registered Nurse|30.25</v>
      </c>
      <c r="I989" s="1" t="n">
        <f aca="false">COUNTIF($H$5:$H$1624,H989)</f>
        <v>1</v>
      </c>
      <c r="J989" s="1" t="n">
        <f aca="false">COUNTIF($H$5:H989,H989)</f>
        <v>1</v>
      </c>
      <c r="K989" s="1" t="n">
        <f aca="false">COUNTIFS($H$5:$H$1624,H989,$B$5:$B$1624,"&lt;&gt;"&amp;B989)</f>
        <v>0</v>
      </c>
      <c r="L989" s="1" t="str">
        <f aca="false">IF(I989&gt;1,IF(K989&gt;0,"Cross-hospital match","Same-hospital match"),"")</f>
        <v/>
      </c>
      <c r="M989" s="52"/>
      <c r="N989" s="52"/>
      <c r="O989" s="1" t="n">
        <f aca="false">IF(M989="Exclude (duplicate)",0,1)</f>
        <v>1</v>
      </c>
      <c r="P989" s="1" t="str">
        <f aca="false">IF(AND(L989&lt;&gt;"",M989=""),"Needs decision","")</f>
        <v/>
      </c>
    </row>
    <row r="990" customFormat="false" ht="15" hidden="false" customHeight="false" outlineLevel="0" collapsed="false">
      <c r="A990" s="48" t="str">
        <f aca="false">COST!A990</f>
        <v>CBH-0162</v>
      </c>
      <c r="B990" s="48" t="str">
        <f aca="false">COST!B990</f>
        <v>CBH</v>
      </c>
      <c r="C990" s="48" t="str">
        <f aca="false">COST!D990</f>
        <v>Medication Assistance Program</v>
      </c>
      <c r="D990" s="62" t="n">
        <f aca="false">COST!M990</f>
        <v>46053</v>
      </c>
      <c r="E990" s="48" t="str">
        <f aca="false">COST!P990</f>
        <v>Patient Navigator</v>
      </c>
      <c r="F990" s="63" t="n">
        <f aca="false">COST!R990</f>
        <v>81</v>
      </c>
      <c r="G990" s="48" t="str">
        <f aca="false">STACK!M990</f>
        <v/>
      </c>
      <c r="H990" s="1" t="str">
        <f aca="false">C990&amp;"|"&amp;IF(ISNUMBER(D990),TEXT(D990,"yyyy-mm-dd"),"no date")&amp;"|"&amp;E990&amp;"|"&amp;IF(ISNUMBER(F990),TEXT(F990,"0.00"),"blank")</f>
        <v>Medication Assistance Program|2026-01-31|Patient Navigator|81.00</v>
      </c>
      <c r="I990" s="1" t="n">
        <f aca="false">COUNTIF($H$5:$H$1624,H990)</f>
        <v>1</v>
      </c>
      <c r="J990" s="1" t="n">
        <f aca="false">COUNTIF($H$5:H990,H990)</f>
        <v>1</v>
      </c>
      <c r="K990" s="1" t="n">
        <f aca="false">COUNTIFS($H$5:$H$1624,H990,$B$5:$B$1624,"&lt;&gt;"&amp;B990)</f>
        <v>0</v>
      </c>
      <c r="L990" s="1" t="str">
        <f aca="false">IF(I990&gt;1,IF(K990&gt;0,"Cross-hospital match","Same-hospital match"),"")</f>
        <v/>
      </c>
      <c r="M990" s="52"/>
      <c r="N990" s="52"/>
      <c r="O990" s="1" t="n">
        <f aca="false">IF(M990="Exclude (duplicate)",0,1)</f>
        <v>1</v>
      </c>
      <c r="P990" s="1" t="str">
        <f aca="false">IF(AND(L990&lt;&gt;"",M990=""),"Needs decision","")</f>
        <v/>
      </c>
    </row>
    <row r="991" customFormat="false" ht="15" hidden="false" customHeight="false" outlineLevel="0" collapsed="false">
      <c r="A991" s="48" t="str">
        <f aca="false">COST!A991</f>
        <v>CBH-0163</v>
      </c>
      <c r="B991" s="48" t="str">
        <f aca="false">COST!B991</f>
        <v>CBH</v>
      </c>
      <c r="C991" s="48" t="str">
        <f aca="false">COST!D991</f>
        <v>Medication Assistance Program</v>
      </c>
      <c r="D991" s="62" t="n">
        <f aca="false">COST!M991</f>
        <v>46053</v>
      </c>
      <c r="E991" s="48" t="str">
        <f aca="false">COST!P991</f>
        <v>Pharmacist</v>
      </c>
      <c r="F991" s="63" t="n">
        <f aca="false">COST!R991</f>
        <v>23.25</v>
      </c>
      <c r="G991" s="48" t="str">
        <f aca="false">STACK!M991</f>
        <v/>
      </c>
      <c r="H991" s="1" t="str">
        <f aca="false">C991&amp;"|"&amp;IF(ISNUMBER(D991),TEXT(D991,"yyyy-mm-dd"),"no date")&amp;"|"&amp;E991&amp;"|"&amp;IF(ISNUMBER(F991),TEXT(F991,"0.00"),"blank")</f>
        <v>Medication Assistance Program|2026-01-31|Pharmacist|23.25</v>
      </c>
      <c r="I991" s="1" t="n">
        <f aca="false">COUNTIF($H$5:$H$1624,H991)</f>
        <v>1</v>
      </c>
      <c r="J991" s="1" t="n">
        <f aca="false">COUNTIF($H$5:H991,H991)</f>
        <v>1</v>
      </c>
      <c r="K991" s="1" t="n">
        <f aca="false">COUNTIFS($H$5:$H$1624,H991,$B$5:$B$1624,"&lt;&gt;"&amp;B991)</f>
        <v>0</v>
      </c>
      <c r="L991" s="1" t="str">
        <f aca="false">IF(I991&gt;1,IF(K991&gt;0,"Cross-hospital match","Same-hospital match"),"")</f>
        <v/>
      </c>
      <c r="M991" s="52"/>
      <c r="N991" s="52"/>
      <c r="O991" s="1" t="n">
        <f aca="false">IF(M991="Exclude (duplicate)",0,1)</f>
        <v>1</v>
      </c>
      <c r="P991" s="1" t="str">
        <f aca="false">IF(AND(L991&lt;&gt;"",M991=""),"Needs decision","")</f>
        <v/>
      </c>
    </row>
    <row r="992" customFormat="false" ht="15" hidden="false" customHeight="false" outlineLevel="0" collapsed="false">
      <c r="A992" s="48" t="str">
        <f aca="false">COST!A992</f>
        <v>CBH-0164</v>
      </c>
      <c r="B992" s="48" t="str">
        <f aca="false">COST!B992</f>
        <v>CBH</v>
      </c>
      <c r="C992" s="48" t="str">
        <f aca="false">COST!D992</f>
        <v>Community Benefit Program Administration</v>
      </c>
      <c r="D992" s="62" t="n">
        <f aca="false">COST!M992</f>
        <v>46053</v>
      </c>
      <c r="E992" s="48" t="str">
        <f aca="false">COST!P992</f>
        <v>Administrative Assistant</v>
      </c>
      <c r="F992" s="63" t="n">
        <f aca="false">COST!R992</f>
        <v>51.75</v>
      </c>
      <c r="G992" s="48" t="str">
        <f aca="false">STACK!M992</f>
        <v/>
      </c>
      <c r="H992" s="1" t="str">
        <f aca="false">C992&amp;"|"&amp;IF(ISNUMBER(D992),TEXT(D992,"yyyy-mm-dd"),"no date")&amp;"|"&amp;E992&amp;"|"&amp;IF(ISNUMBER(F992),TEXT(F992,"0.00"),"blank")</f>
        <v>Community Benefit Program Administration|2026-01-31|Administrative Assistant|51.75</v>
      </c>
      <c r="I992" s="1" t="n">
        <f aca="false">COUNTIF($H$5:$H$1624,H992)</f>
        <v>1</v>
      </c>
      <c r="J992" s="1" t="n">
        <f aca="false">COUNTIF($H$5:H992,H992)</f>
        <v>1</v>
      </c>
      <c r="K992" s="1" t="n">
        <f aca="false">COUNTIFS($H$5:$H$1624,H992,$B$5:$B$1624,"&lt;&gt;"&amp;B992)</f>
        <v>0</v>
      </c>
      <c r="L992" s="1" t="str">
        <f aca="false">IF(I992&gt;1,IF(K992&gt;0,"Cross-hospital match","Same-hospital match"),"")</f>
        <v/>
      </c>
      <c r="M992" s="52"/>
      <c r="N992" s="52"/>
      <c r="O992" s="1" t="n">
        <f aca="false">IF(M992="Exclude (duplicate)",0,1)</f>
        <v>1</v>
      </c>
      <c r="P992" s="1" t="str">
        <f aca="false">IF(AND(L992&lt;&gt;"",M992=""),"Needs decision","")</f>
        <v/>
      </c>
    </row>
    <row r="993" customFormat="false" ht="15" hidden="false" customHeight="false" outlineLevel="0" collapsed="false">
      <c r="A993" s="48" t="str">
        <f aca="false">COST!A993</f>
        <v>CBH-0165</v>
      </c>
      <c r="B993" s="48" t="str">
        <f aca="false">COST!B993</f>
        <v>CBH</v>
      </c>
      <c r="C993" s="48" t="str">
        <f aca="false">COST!D993</f>
        <v>Community Benefit Program Administration</v>
      </c>
      <c r="D993" s="62" t="n">
        <f aca="false">COST!M993</f>
        <v>46053</v>
      </c>
      <c r="E993" s="48" t="str">
        <f aca="false">COST!P993</f>
        <v>Community Benefit Manager</v>
      </c>
      <c r="F993" s="63" t="n">
        <f aca="false">COST!R993</f>
        <v>66</v>
      </c>
      <c r="G993" s="48" t="str">
        <f aca="false">STACK!M993</f>
        <v/>
      </c>
      <c r="H993" s="1" t="str">
        <f aca="false">C993&amp;"|"&amp;IF(ISNUMBER(D993),TEXT(D993,"yyyy-mm-dd"),"no date")&amp;"|"&amp;E993&amp;"|"&amp;IF(ISNUMBER(F993),TEXT(F993,"0.00"),"blank")</f>
        <v>Community Benefit Program Administration|2026-01-31|Community Benefit Manager|66.00</v>
      </c>
      <c r="I993" s="1" t="n">
        <f aca="false">COUNTIF($H$5:$H$1624,H993)</f>
        <v>1</v>
      </c>
      <c r="J993" s="1" t="n">
        <f aca="false">COUNTIF($H$5:H993,H993)</f>
        <v>1</v>
      </c>
      <c r="K993" s="1" t="n">
        <f aca="false">COUNTIFS($H$5:$H$1624,H993,$B$5:$B$1624,"&lt;&gt;"&amp;B993)</f>
        <v>0</v>
      </c>
      <c r="L993" s="1" t="str">
        <f aca="false">IF(I993&gt;1,IF(K993&gt;0,"Cross-hospital match","Same-hospital match"),"")</f>
        <v/>
      </c>
      <c r="M993" s="52"/>
      <c r="N993" s="52"/>
      <c r="O993" s="1" t="n">
        <f aca="false">IF(M993="Exclude (duplicate)",0,1)</f>
        <v>1</v>
      </c>
      <c r="P993" s="1" t="str">
        <f aca="false">IF(AND(L993&lt;&gt;"",M993=""),"Needs decision","")</f>
        <v/>
      </c>
    </row>
    <row r="994" customFormat="false" ht="15" hidden="false" customHeight="false" outlineLevel="0" collapsed="false">
      <c r="A994" s="48" t="str">
        <f aca="false">COST!A994</f>
        <v>CBH-0166</v>
      </c>
      <c r="B994" s="48" t="str">
        <f aca="false">COST!B994</f>
        <v>CBH</v>
      </c>
      <c r="C994" s="48" t="str">
        <f aca="false">COST!D994</f>
        <v>Interpreter Services for Community Clinics</v>
      </c>
      <c r="D994" s="62" t="n">
        <f aca="false">COST!M994</f>
        <v>46053</v>
      </c>
      <c r="E994" s="48" t="str">
        <f aca="false">COST!P994</f>
        <v>Interpreter</v>
      </c>
      <c r="F994" s="63" t="n">
        <f aca="false">COST!R994</f>
        <v>55.75</v>
      </c>
      <c r="G994" s="48" t="str">
        <f aca="false">STACK!M994</f>
        <v/>
      </c>
      <c r="H994" s="1" t="str">
        <f aca="false">C994&amp;"|"&amp;IF(ISNUMBER(D994),TEXT(D994,"yyyy-mm-dd"),"no date")&amp;"|"&amp;E994&amp;"|"&amp;IF(ISNUMBER(F994),TEXT(F994,"0.00"),"blank")</f>
        <v>Interpreter Services for Community Clinics|2026-01-31|Interpreter|55.75</v>
      </c>
      <c r="I994" s="1" t="n">
        <f aca="false">COUNTIF($H$5:$H$1624,H994)</f>
        <v>1</v>
      </c>
      <c r="J994" s="1" t="n">
        <f aca="false">COUNTIF($H$5:H994,H994)</f>
        <v>1</v>
      </c>
      <c r="K994" s="1" t="n">
        <f aca="false">COUNTIFS($H$5:$H$1624,H994,$B$5:$B$1624,"&lt;&gt;"&amp;B994)</f>
        <v>0</v>
      </c>
      <c r="L994" s="1" t="str">
        <f aca="false">IF(I994&gt;1,IF(K994&gt;0,"Cross-hospital match","Same-hospital match"),"")</f>
        <v/>
      </c>
      <c r="M994" s="52"/>
      <c r="N994" s="52"/>
      <c r="O994" s="1" t="n">
        <f aca="false">IF(M994="Exclude (duplicate)",0,1)</f>
        <v>1</v>
      </c>
      <c r="P994" s="1" t="str">
        <f aca="false">IF(AND(L994&lt;&gt;"",M994=""),"Needs decision","")</f>
        <v/>
      </c>
    </row>
    <row r="995" customFormat="false" ht="15" hidden="false" customHeight="false" outlineLevel="0" collapsed="false">
      <c r="A995" s="48" t="str">
        <f aca="false">COST!A995</f>
        <v>CBH-0167</v>
      </c>
      <c r="B995" s="48" t="str">
        <f aca="false">COST!B995</f>
        <v>CBH</v>
      </c>
      <c r="C995" s="48" t="str">
        <f aca="false">COST!D995</f>
        <v>Nursing Student Clinical Rotations</v>
      </c>
      <c r="D995" s="62" t="n">
        <f aca="false">COST!M995</f>
        <v>46053</v>
      </c>
      <c r="E995" s="48" t="str">
        <f aca="false">COST!P995</f>
        <v>Clinical Nurse Educator</v>
      </c>
      <c r="F995" s="63" t="n">
        <f aca="false">COST!R995</f>
        <v>104.25</v>
      </c>
      <c r="G995" s="48" t="str">
        <f aca="false">STACK!M995</f>
        <v/>
      </c>
      <c r="H995" s="1" t="str">
        <f aca="false">C995&amp;"|"&amp;IF(ISNUMBER(D995),TEXT(D995,"yyyy-mm-dd"),"no date")&amp;"|"&amp;E995&amp;"|"&amp;IF(ISNUMBER(F995),TEXT(F995,"0.00"),"blank")</f>
        <v>Nursing Student Clinical Rotations|2026-01-31|Clinical Nurse Educator|104.25</v>
      </c>
      <c r="I995" s="1" t="n">
        <f aca="false">COUNTIF($H$5:$H$1624,H995)</f>
        <v>1</v>
      </c>
      <c r="J995" s="1" t="n">
        <f aca="false">COUNTIF($H$5:H995,H995)</f>
        <v>1</v>
      </c>
      <c r="K995" s="1" t="n">
        <f aca="false">COUNTIFS($H$5:$H$1624,H995,$B$5:$B$1624,"&lt;&gt;"&amp;B995)</f>
        <v>0</v>
      </c>
      <c r="L995" s="1" t="str">
        <f aca="false">IF(I995&gt;1,IF(K995&gt;0,"Cross-hospital match","Same-hospital match"),"")</f>
        <v/>
      </c>
      <c r="M995" s="52"/>
      <c r="N995" s="52"/>
      <c r="O995" s="1" t="n">
        <f aca="false">IF(M995="Exclude (duplicate)",0,1)</f>
        <v>1</v>
      </c>
      <c r="P995" s="1" t="str">
        <f aca="false">IF(AND(L995&lt;&gt;"",M995=""),"Needs decision","")</f>
        <v/>
      </c>
    </row>
    <row r="996" customFormat="false" ht="15" hidden="false" customHeight="false" outlineLevel="0" collapsed="false">
      <c r="A996" s="48" t="str">
        <f aca="false">COST!A996</f>
        <v>CBH-0168</v>
      </c>
      <c r="B996" s="48" t="str">
        <f aca="false">COST!B996</f>
        <v>CBH</v>
      </c>
      <c r="C996" s="48" t="str">
        <f aca="false">COST!D996</f>
        <v>Nursing Student Clinical Rotations</v>
      </c>
      <c r="D996" s="62" t="n">
        <f aca="false">COST!M996</f>
        <v>46053</v>
      </c>
      <c r="E996" s="48" t="str">
        <f aca="false">COST!P996</f>
        <v>Registered Nurse</v>
      </c>
      <c r="F996" s="63" t="n">
        <f aca="false">COST!R996</f>
        <v>243</v>
      </c>
      <c r="G996" s="48" t="str">
        <f aca="false">STACK!M996</f>
        <v/>
      </c>
      <c r="H996" s="1" t="str">
        <f aca="false">C996&amp;"|"&amp;IF(ISNUMBER(D996),TEXT(D996,"yyyy-mm-dd"),"no date")&amp;"|"&amp;E996&amp;"|"&amp;IF(ISNUMBER(F996),TEXT(F996,"0.00"),"blank")</f>
        <v>Nursing Student Clinical Rotations|2026-01-31|Registered Nurse|243.00</v>
      </c>
      <c r="I996" s="1" t="n">
        <f aca="false">COUNTIF($H$5:$H$1624,H996)</f>
        <v>1</v>
      </c>
      <c r="J996" s="1" t="n">
        <f aca="false">COUNTIF($H$5:H996,H996)</f>
        <v>1</v>
      </c>
      <c r="K996" s="1" t="n">
        <f aca="false">COUNTIFS($H$5:$H$1624,H996,$B$5:$B$1624,"&lt;&gt;"&amp;B996)</f>
        <v>0</v>
      </c>
      <c r="L996" s="1" t="str">
        <f aca="false">IF(I996&gt;1,IF(K996&gt;0,"Cross-hospital match","Same-hospital match"),"")</f>
        <v/>
      </c>
      <c r="M996" s="52"/>
      <c r="N996" s="52"/>
      <c r="O996" s="1" t="n">
        <f aca="false">IF(M996="Exclude (duplicate)",0,1)</f>
        <v>1</v>
      </c>
      <c r="P996" s="1" t="str">
        <f aca="false">IF(AND(L996&lt;&gt;"",M996=""),"Needs decision","")</f>
        <v/>
      </c>
    </row>
    <row r="997" customFormat="false" ht="15" hidden="false" customHeight="false" outlineLevel="0" collapsed="false">
      <c r="A997" s="48" t="str">
        <f aca="false">COST!A997</f>
        <v>CBH-0169</v>
      </c>
      <c r="B997" s="48" t="str">
        <f aca="false">COST!B997</f>
        <v>CBH</v>
      </c>
      <c r="C997" s="48" t="str">
        <f aca="false">COST!D997</f>
        <v>Pharmacy Student Rotations</v>
      </c>
      <c r="D997" s="62" t="n">
        <f aca="false">COST!M997</f>
        <v>46053</v>
      </c>
      <c r="E997" s="48" t="str">
        <f aca="false">COST!P997</f>
        <v>Pharmacist</v>
      </c>
      <c r="F997" s="63" t="n">
        <f aca="false">COST!R997</f>
        <v>41.5</v>
      </c>
      <c r="G997" s="48" t="str">
        <f aca="false">STACK!M997</f>
        <v/>
      </c>
      <c r="H997" s="1" t="str">
        <f aca="false">C997&amp;"|"&amp;IF(ISNUMBER(D997),TEXT(D997,"yyyy-mm-dd"),"no date")&amp;"|"&amp;E997&amp;"|"&amp;IF(ISNUMBER(F997),TEXT(F997,"0.00"),"blank")</f>
        <v>Pharmacy Student Rotations|2026-01-31|Pharmacist|41.50</v>
      </c>
      <c r="I997" s="1" t="n">
        <f aca="false">COUNTIF($H$5:$H$1624,H997)</f>
        <v>1</v>
      </c>
      <c r="J997" s="1" t="n">
        <f aca="false">COUNTIF($H$5:H997,H997)</f>
        <v>1</v>
      </c>
      <c r="K997" s="1" t="n">
        <f aca="false">COUNTIFS($H$5:$H$1624,H997,$B$5:$B$1624,"&lt;&gt;"&amp;B997)</f>
        <v>0</v>
      </c>
      <c r="L997" s="1" t="str">
        <f aca="false">IF(I997&gt;1,IF(K997&gt;0,"Cross-hospital match","Same-hospital match"),"")</f>
        <v/>
      </c>
      <c r="M997" s="52"/>
      <c r="N997" s="52"/>
      <c r="O997" s="1" t="n">
        <f aca="false">IF(M997="Exclude (duplicate)",0,1)</f>
        <v>1</v>
      </c>
      <c r="P997" s="1" t="str">
        <f aca="false">IF(AND(L997&lt;&gt;"",M997=""),"Needs decision","")</f>
        <v/>
      </c>
    </row>
    <row r="998" customFormat="false" ht="15" hidden="false" customHeight="false" outlineLevel="0" collapsed="false">
      <c r="A998" s="48" t="str">
        <f aca="false">COST!A998</f>
        <v>CBH-0170</v>
      </c>
      <c r="B998" s="48" t="str">
        <f aca="false">COST!B998</f>
        <v>CBH</v>
      </c>
      <c r="C998" s="48" t="str">
        <f aca="false">COST!D998</f>
        <v>Smoke-Free Parks Advocacy</v>
      </c>
      <c r="D998" s="62" t="n">
        <f aca="false">COST!M998</f>
        <v>46057</v>
      </c>
      <c r="E998" s="48" t="str">
        <f aca="false">COST!P998</f>
        <v>Director</v>
      </c>
      <c r="F998" s="63" t="n">
        <f aca="false">COST!R998</f>
        <v>1.25</v>
      </c>
      <c r="G998" s="48" t="str">
        <f aca="false">STACK!M998</f>
        <v/>
      </c>
      <c r="H998" s="1" t="str">
        <f aca="false">C998&amp;"|"&amp;IF(ISNUMBER(D998),TEXT(D998,"yyyy-mm-dd"),"no date")&amp;"|"&amp;E998&amp;"|"&amp;IF(ISNUMBER(F998),TEXT(F998,"0.00"),"blank")</f>
        <v>Smoke-Free Parks Advocacy|2026-02-04|Director|1.25</v>
      </c>
      <c r="I998" s="1" t="n">
        <f aca="false">COUNTIF($H$5:$H$1624,H998)</f>
        <v>1</v>
      </c>
      <c r="J998" s="1" t="n">
        <f aca="false">COUNTIF($H$5:H998,H998)</f>
        <v>1</v>
      </c>
      <c r="K998" s="1" t="n">
        <f aca="false">COUNTIFS($H$5:$H$1624,H998,$B$5:$B$1624,"&lt;&gt;"&amp;B998)</f>
        <v>0</v>
      </c>
      <c r="L998" s="1" t="str">
        <f aca="false">IF(I998&gt;1,IF(K998&gt;0,"Cross-hospital match","Same-hospital match"),"")</f>
        <v/>
      </c>
      <c r="M998" s="52"/>
      <c r="N998" s="52"/>
      <c r="O998" s="1" t="n">
        <f aca="false">IF(M998="Exclude (duplicate)",0,1)</f>
        <v>1</v>
      </c>
      <c r="P998" s="1" t="str">
        <f aca="false">IF(AND(L998&lt;&gt;"",M998=""),"Needs decision","")</f>
        <v/>
      </c>
    </row>
    <row r="999" customFormat="false" ht="15" hidden="false" customHeight="false" outlineLevel="0" collapsed="false">
      <c r="A999" s="48" t="str">
        <f aca="false">COST!A999</f>
        <v>CBH-0171</v>
      </c>
      <c r="B999" s="48" t="str">
        <f aca="false">COST!B999</f>
        <v>CBH</v>
      </c>
      <c r="C999" s="48" t="str">
        <f aca="false">COST!D999</f>
        <v>Smoke-Free Parks Advocacy</v>
      </c>
      <c r="D999" s="62" t="n">
        <f aca="false">COST!M999</f>
        <v>46057</v>
      </c>
      <c r="E999" s="48" t="str">
        <f aca="false">COST!P999</f>
        <v>Health Educator</v>
      </c>
      <c r="F999" s="63" t="n">
        <f aca="false">COST!R999</f>
        <v>4.75</v>
      </c>
      <c r="G999" s="48" t="str">
        <f aca="false">STACK!M999</f>
        <v/>
      </c>
      <c r="H999" s="1" t="str">
        <f aca="false">C999&amp;"|"&amp;IF(ISNUMBER(D999),TEXT(D999,"yyyy-mm-dd"),"no date")&amp;"|"&amp;E999&amp;"|"&amp;IF(ISNUMBER(F999),TEXT(F999,"0.00"),"blank")</f>
        <v>Smoke-Free Parks Advocacy|2026-02-04|Health Educator|4.75</v>
      </c>
      <c r="I999" s="1" t="n">
        <f aca="false">COUNTIF($H$5:$H$1624,H999)</f>
        <v>1</v>
      </c>
      <c r="J999" s="1" t="n">
        <f aca="false">COUNTIF($H$5:H999,H999)</f>
        <v>1</v>
      </c>
      <c r="K999" s="1" t="n">
        <f aca="false">COUNTIFS($H$5:$H$1624,H999,$B$5:$B$1624,"&lt;&gt;"&amp;B999)</f>
        <v>0</v>
      </c>
      <c r="L999" s="1" t="str">
        <f aca="false">IF(I999&gt;1,IF(K999&gt;0,"Cross-hospital match","Same-hospital match"),"")</f>
        <v/>
      </c>
      <c r="M999" s="52"/>
      <c r="N999" s="52"/>
      <c r="O999" s="1" t="n">
        <f aca="false">IF(M999="Exclude (duplicate)",0,1)</f>
        <v>1</v>
      </c>
      <c r="P999" s="1" t="str">
        <f aca="false">IF(AND(L999&lt;&gt;"",M999=""),"Needs decision","")</f>
        <v/>
      </c>
    </row>
    <row r="1000" customFormat="false" ht="15" hidden="false" customHeight="false" outlineLevel="0" collapsed="false">
      <c r="A1000" s="48" t="str">
        <f aca="false">COST!A1000</f>
        <v>CBH-0172</v>
      </c>
      <c r="B1000" s="48" t="str">
        <f aca="false">COST!B1000</f>
        <v>CBH</v>
      </c>
      <c r="C1000" s="48" t="str">
        <f aca="false">COST!D1000</f>
        <v>Fall Prevention Classes for Older Adults</v>
      </c>
      <c r="D1000" s="62" t="n">
        <f aca="false">COST!M1000</f>
        <v>46058</v>
      </c>
      <c r="E1000" s="48" t="str">
        <f aca="false">COST!P1000</f>
        <v>Licensed Therapist</v>
      </c>
      <c r="F1000" s="63" t="n">
        <f aca="false">COST!R1000</f>
        <v>2</v>
      </c>
      <c r="G1000" s="48" t="str">
        <f aca="false">STACK!M1000</f>
        <v/>
      </c>
      <c r="H1000" s="1" t="str">
        <f aca="false">C1000&amp;"|"&amp;IF(ISNUMBER(D1000),TEXT(D1000,"yyyy-mm-dd"),"no date")&amp;"|"&amp;E1000&amp;"|"&amp;IF(ISNUMBER(F1000),TEXT(F1000,"0.00"),"blank")</f>
        <v>Fall Prevention Classes for Older Adults|2026-02-05|Licensed Therapist|2.00</v>
      </c>
      <c r="I1000" s="1" t="n">
        <f aca="false">COUNTIF($H$5:$H$1624,H1000)</f>
        <v>1</v>
      </c>
      <c r="J1000" s="1" t="n">
        <f aca="false">COUNTIF($H$5:H1000,H1000)</f>
        <v>1</v>
      </c>
      <c r="K1000" s="1" t="n">
        <f aca="false">COUNTIFS($H$5:$H$1624,H1000,$B$5:$B$1624,"&lt;&gt;"&amp;B1000)</f>
        <v>0</v>
      </c>
      <c r="L1000" s="1" t="str">
        <f aca="false">IF(I1000&gt;1,IF(K1000&gt;0,"Cross-hospital match","Same-hospital match"),"")</f>
        <v/>
      </c>
      <c r="M1000" s="52"/>
      <c r="N1000" s="52"/>
      <c r="O1000" s="1" t="n">
        <f aca="false">IF(M1000="Exclude (duplicate)",0,1)</f>
        <v>1</v>
      </c>
      <c r="P1000" s="1" t="str">
        <f aca="false">IF(AND(L1000&lt;&gt;"",M1000=""),"Needs decision","")</f>
        <v/>
      </c>
    </row>
    <row r="1001" customFormat="false" ht="15" hidden="false" customHeight="false" outlineLevel="0" collapsed="false">
      <c r="A1001" s="48" t="str">
        <f aca="false">COST!A1001</f>
        <v>CBH-0173</v>
      </c>
      <c r="B1001" s="48" t="str">
        <f aca="false">COST!B1001</f>
        <v>CBH</v>
      </c>
      <c r="C1001" s="48" t="str">
        <f aca="false">COST!D1001</f>
        <v>Community Garden and Green Space Project</v>
      </c>
      <c r="D1001" s="62" t="n">
        <f aca="false">COST!M1001</f>
        <v>46063</v>
      </c>
      <c r="E1001" s="48" t="str">
        <f aca="false">COST!P1001</f>
        <v>Program Coordinator</v>
      </c>
      <c r="F1001" s="63" t="n">
        <f aca="false">COST!R1001</f>
        <v>5.75</v>
      </c>
      <c r="G1001" s="48" t="str">
        <f aca="false">STACK!M1001</f>
        <v/>
      </c>
      <c r="H1001" s="1" t="str">
        <f aca="false">C1001&amp;"|"&amp;IF(ISNUMBER(D1001),TEXT(D1001,"yyyy-mm-dd"),"no date")&amp;"|"&amp;E1001&amp;"|"&amp;IF(ISNUMBER(F1001),TEXT(F1001,"0.00"),"blank")</f>
        <v>Community Garden and Green Space Project|2026-02-10|Program Coordinator|5.75</v>
      </c>
      <c r="I1001" s="1" t="n">
        <f aca="false">COUNTIF($H$5:$H$1624,H1001)</f>
        <v>1</v>
      </c>
      <c r="J1001" s="1" t="n">
        <f aca="false">COUNTIF($H$5:H1001,H1001)</f>
        <v>1</v>
      </c>
      <c r="K1001" s="1" t="n">
        <f aca="false">COUNTIFS($H$5:$H$1624,H1001,$B$5:$B$1624,"&lt;&gt;"&amp;B1001)</f>
        <v>0</v>
      </c>
      <c r="L1001" s="1" t="str">
        <f aca="false">IF(I1001&gt;1,IF(K1001&gt;0,"Cross-hospital match","Same-hospital match"),"")</f>
        <v/>
      </c>
      <c r="M1001" s="52"/>
      <c r="N1001" s="52"/>
      <c r="O1001" s="1" t="n">
        <f aca="false">IF(M1001="Exclude (duplicate)",0,1)</f>
        <v>1</v>
      </c>
      <c r="P1001" s="1" t="str">
        <f aca="false">IF(AND(L1001&lt;&gt;"",M1001=""),"Needs decision","")</f>
        <v/>
      </c>
    </row>
    <row r="1002" customFormat="false" ht="15" hidden="false" customHeight="false" outlineLevel="0" collapsed="false">
      <c r="A1002" s="48" t="str">
        <f aca="false">COST!A1002</f>
        <v>CBH-0174</v>
      </c>
      <c r="B1002" s="48" t="str">
        <f aca="false">COST!B1002</f>
        <v>CBH</v>
      </c>
      <c r="C1002" s="48" t="str">
        <f aca="false">COST!D1002</f>
        <v>Fall Prevention Classes for Older Adults</v>
      </c>
      <c r="D1002" s="62" t="n">
        <f aca="false">COST!M1002</f>
        <v>46067</v>
      </c>
      <c r="E1002" s="48" t="str">
        <f aca="false">COST!P1002</f>
        <v>Licensed Therapist</v>
      </c>
      <c r="F1002" s="63" t="n">
        <f aca="false">COST!R1002</f>
        <v>2</v>
      </c>
      <c r="G1002" s="48" t="str">
        <f aca="false">STACK!M1002</f>
        <v/>
      </c>
      <c r="H1002" s="1" t="str">
        <f aca="false">C1002&amp;"|"&amp;IF(ISNUMBER(D1002),TEXT(D1002,"yyyy-mm-dd"),"no date")&amp;"|"&amp;E1002&amp;"|"&amp;IF(ISNUMBER(F1002),TEXT(F1002,"0.00"),"blank")</f>
        <v>Fall Prevention Classes for Older Adults|2026-02-14|Licensed Therapist|2.00</v>
      </c>
      <c r="I1002" s="1" t="n">
        <f aca="false">COUNTIF($H$5:$H$1624,H1002)</f>
        <v>1</v>
      </c>
      <c r="J1002" s="1" t="n">
        <f aca="false">COUNTIF($H$5:H1002,H1002)</f>
        <v>1</v>
      </c>
      <c r="K1002" s="1" t="n">
        <f aca="false">COUNTIFS($H$5:$H$1624,H1002,$B$5:$B$1624,"&lt;&gt;"&amp;B1002)</f>
        <v>0</v>
      </c>
      <c r="L1002" s="1" t="str">
        <f aca="false">IF(I1002&gt;1,IF(K1002&gt;0,"Cross-hospital match","Same-hospital match"),"")</f>
        <v/>
      </c>
      <c r="M1002" s="52"/>
      <c r="N1002" s="52"/>
      <c r="O1002" s="1" t="n">
        <f aca="false">IF(M1002="Exclude (duplicate)",0,1)</f>
        <v>1</v>
      </c>
      <c r="P1002" s="1" t="str">
        <f aca="false">IF(AND(L1002&lt;&gt;"",M1002=""),"Needs decision","")</f>
        <v/>
      </c>
    </row>
    <row r="1003" customFormat="false" ht="15" hidden="false" customHeight="false" outlineLevel="0" collapsed="false">
      <c r="A1003" s="48" t="str">
        <f aca="false">COST!A1003</f>
        <v>CBH-0175</v>
      </c>
      <c r="B1003" s="48" t="str">
        <f aca="false">COST!B1003</f>
        <v>CBH</v>
      </c>
      <c r="C1003" s="48" t="str">
        <f aca="false">COST!D1003</f>
        <v>Fall Prevention Classes for Older Adults</v>
      </c>
      <c r="D1003" s="62" t="n">
        <f aca="false">COST!M1003</f>
        <v>46072</v>
      </c>
      <c r="E1003" s="48" t="str">
        <f aca="false">COST!P1003</f>
        <v>Licensed Therapist</v>
      </c>
      <c r="F1003" s="63" t="n">
        <f aca="false">COST!R1003</f>
        <v>2</v>
      </c>
      <c r="G1003" s="48" t="str">
        <f aca="false">STACK!M1003</f>
        <v/>
      </c>
      <c r="H1003" s="1" t="str">
        <f aca="false">C1003&amp;"|"&amp;IF(ISNUMBER(D1003),TEXT(D1003,"yyyy-mm-dd"),"no date")&amp;"|"&amp;E1003&amp;"|"&amp;IF(ISNUMBER(F1003),TEXT(F1003,"0.00"),"blank")</f>
        <v>Fall Prevention Classes for Older Adults|2026-02-19|Licensed Therapist|2.00</v>
      </c>
      <c r="I1003" s="1" t="n">
        <f aca="false">COUNTIF($H$5:$H$1624,H1003)</f>
        <v>1</v>
      </c>
      <c r="J1003" s="1" t="n">
        <f aca="false">COUNTIF($H$5:H1003,H1003)</f>
        <v>1</v>
      </c>
      <c r="K1003" s="1" t="n">
        <f aca="false">COUNTIFS($H$5:$H$1624,H1003,$B$5:$B$1624,"&lt;&gt;"&amp;B1003)</f>
        <v>0</v>
      </c>
      <c r="L1003" s="1" t="str">
        <f aca="false">IF(I1003&gt;1,IF(K1003&gt;0,"Cross-hospital match","Same-hospital match"),"")</f>
        <v/>
      </c>
      <c r="M1003" s="52"/>
      <c r="N1003" s="52"/>
      <c r="O1003" s="1" t="n">
        <f aca="false">IF(M1003="Exclude (duplicate)",0,1)</f>
        <v>1</v>
      </c>
      <c r="P1003" s="1" t="str">
        <f aca="false">IF(AND(L1003&lt;&gt;"",M1003=""),"Needs decision","")</f>
        <v/>
      </c>
    </row>
    <row r="1004" customFormat="false" ht="15" hidden="false" customHeight="false" outlineLevel="0" collapsed="false">
      <c r="A1004" s="48" t="str">
        <f aca="false">COST!A1004</f>
        <v>CBH-0176</v>
      </c>
      <c r="B1004" s="48" t="str">
        <f aca="false">COST!B1004</f>
        <v>CBH</v>
      </c>
      <c r="C1004" s="48" t="str">
        <f aca="false">COST!D1004</f>
        <v>Childbirth and Newborn Care Classes</v>
      </c>
      <c r="D1004" s="62" t="n">
        <f aca="false">COST!M1004</f>
        <v>46074</v>
      </c>
      <c r="E1004" s="48" t="str">
        <f aca="false">COST!P1004</f>
        <v>Clinical Nurse Educator</v>
      </c>
      <c r="F1004" s="63" t="n">
        <f aca="false">COST!R1004</f>
        <v>3.5</v>
      </c>
      <c r="G1004" s="48" t="str">
        <f aca="false">STACK!M1004</f>
        <v/>
      </c>
      <c r="H1004" s="1" t="str">
        <f aca="false">C1004&amp;"|"&amp;IF(ISNUMBER(D1004),TEXT(D1004,"yyyy-mm-dd"),"no date")&amp;"|"&amp;E1004&amp;"|"&amp;IF(ISNUMBER(F1004),TEXT(F1004,"0.00"),"blank")</f>
        <v>Childbirth and Newborn Care Classes|2026-02-21|Clinical Nurse Educator|3.50</v>
      </c>
      <c r="I1004" s="1" t="n">
        <f aca="false">COUNTIF($H$5:$H$1624,H1004)</f>
        <v>1</v>
      </c>
      <c r="J1004" s="1" t="n">
        <f aca="false">COUNTIF($H$5:H1004,H1004)</f>
        <v>1</v>
      </c>
      <c r="K1004" s="1" t="n">
        <f aca="false">COUNTIFS($H$5:$H$1624,H1004,$B$5:$B$1624,"&lt;&gt;"&amp;B1004)</f>
        <v>0</v>
      </c>
      <c r="L1004" s="1" t="str">
        <f aca="false">IF(I1004&gt;1,IF(K1004&gt;0,"Cross-hospital match","Same-hospital match"),"")</f>
        <v/>
      </c>
      <c r="M1004" s="52"/>
      <c r="N1004" s="52"/>
      <c r="O1004" s="1" t="n">
        <f aca="false">IF(M1004="Exclude (duplicate)",0,1)</f>
        <v>1</v>
      </c>
      <c r="P1004" s="1" t="str">
        <f aca="false">IF(AND(L1004&lt;&gt;"",M1004=""),"Needs decision","")</f>
        <v/>
      </c>
    </row>
    <row r="1005" customFormat="false" ht="15" hidden="false" customHeight="false" outlineLevel="0" collapsed="false">
      <c r="A1005" s="48" t="str">
        <f aca="false">COST!A1005</f>
        <v>CBH-0177</v>
      </c>
      <c r="B1005" s="48" t="str">
        <f aca="false">COST!B1005</f>
        <v>CBH</v>
      </c>
      <c r="C1005" s="48" t="str">
        <f aca="false">COST!D1005</f>
        <v>Free Clinic Provider Staffing</v>
      </c>
      <c r="D1005" s="62" t="n">
        <f aca="false">COST!M1005</f>
        <v>46081</v>
      </c>
      <c r="E1005" s="48" t="str">
        <f aca="false">COST!P1005</f>
        <v>Nurse Practitioner</v>
      </c>
      <c r="F1005" s="63" t="n">
        <f aca="false">COST!R1005</f>
        <v>38.5</v>
      </c>
      <c r="G1005" s="48" t="str">
        <f aca="false">STACK!M1005</f>
        <v/>
      </c>
      <c r="H1005" s="1" t="str">
        <f aca="false">C1005&amp;"|"&amp;IF(ISNUMBER(D1005),TEXT(D1005,"yyyy-mm-dd"),"no date")&amp;"|"&amp;E1005&amp;"|"&amp;IF(ISNUMBER(F1005),TEXT(F1005,"0.00"),"blank")</f>
        <v>Free Clinic Provider Staffing|2026-02-28|Nurse Practitioner|38.50</v>
      </c>
      <c r="I1005" s="1" t="n">
        <f aca="false">COUNTIF($H$5:$H$1624,H1005)</f>
        <v>1</v>
      </c>
      <c r="J1005" s="1" t="n">
        <f aca="false">COUNTIF($H$5:H1005,H1005)</f>
        <v>1</v>
      </c>
      <c r="K1005" s="1" t="n">
        <f aca="false">COUNTIFS($H$5:$H$1624,H1005,$B$5:$B$1624,"&lt;&gt;"&amp;B1005)</f>
        <v>0</v>
      </c>
      <c r="L1005" s="1" t="str">
        <f aca="false">IF(I1005&gt;1,IF(K1005&gt;0,"Cross-hospital match","Same-hospital match"),"")</f>
        <v/>
      </c>
      <c r="M1005" s="52"/>
      <c r="N1005" s="52"/>
      <c r="O1005" s="1" t="n">
        <f aca="false">IF(M1005="Exclude (duplicate)",0,1)</f>
        <v>1</v>
      </c>
      <c r="P1005" s="1" t="str">
        <f aca="false">IF(AND(L1005&lt;&gt;"",M1005=""),"Needs decision","")</f>
        <v/>
      </c>
    </row>
    <row r="1006" customFormat="false" ht="15" hidden="false" customHeight="false" outlineLevel="0" collapsed="false">
      <c r="A1006" s="48" t="str">
        <f aca="false">COST!A1006</f>
        <v>CBH-0178</v>
      </c>
      <c r="B1006" s="48" t="str">
        <f aca="false">COST!B1006</f>
        <v>CBH</v>
      </c>
      <c r="C1006" s="48" t="str">
        <f aca="false">COST!D1006</f>
        <v>Free Clinic Provider Staffing</v>
      </c>
      <c r="D1006" s="62" t="n">
        <f aca="false">COST!M1006</f>
        <v>46081</v>
      </c>
      <c r="E1006" s="48" t="str">
        <f aca="false">COST!P1006</f>
        <v>Pharmacist</v>
      </c>
      <c r="F1006" s="63" t="n">
        <f aca="false">COST!R1006</f>
        <v>10</v>
      </c>
      <c r="G1006" s="48" t="str">
        <f aca="false">STACK!M1006</f>
        <v/>
      </c>
      <c r="H1006" s="1" t="str">
        <f aca="false">C1006&amp;"|"&amp;IF(ISNUMBER(D1006),TEXT(D1006,"yyyy-mm-dd"),"no date")&amp;"|"&amp;E1006&amp;"|"&amp;IF(ISNUMBER(F1006),TEXT(F1006,"0.00"),"blank")</f>
        <v>Free Clinic Provider Staffing|2026-02-28|Pharmacist|10.00</v>
      </c>
      <c r="I1006" s="1" t="n">
        <f aca="false">COUNTIF($H$5:$H$1624,H1006)</f>
        <v>1</v>
      </c>
      <c r="J1006" s="1" t="n">
        <f aca="false">COUNTIF($H$5:H1006,H1006)</f>
        <v>1</v>
      </c>
      <c r="K1006" s="1" t="n">
        <f aca="false">COUNTIFS($H$5:$H$1624,H1006,$B$5:$B$1624,"&lt;&gt;"&amp;B1006)</f>
        <v>0</v>
      </c>
      <c r="L1006" s="1" t="str">
        <f aca="false">IF(I1006&gt;1,IF(K1006&gt;0,"Cross-hospital match","Same-hospital match"),"")</f>
        <v/>
      </c>
      <c r="M1006" s="52"/>
      <c r="N1006" s="52"/>
      <c r="O1006" s="1" t="n">
        <f aca="false">IF(M1006="Exclude (duplicate)",0,1)</f>
        <v>1</v>
      </c>
      <c r="P1006" s="1" t="str">
        <f aca="false">IF(AND(L1006&lt;&gt;"",M1006=""),"Needs decision","")</f>
        <v/>
      </c>
    </row>
    <row r="1007" customFormat="false" ht="15" hidden="false" customHeight="false" outlineLevel="0" collapsed="false">
      <c r="A1007" s="48" t="str">
        <f aca="false">COST!A1007</f>
        <v>CBH-0179</v>
      </c>
      <c r="B1007" s="48" t="str">
        <f aca="false">COST!B1007</f>
        <v>CBH</v>
      </c>
      <c r="C1007" s="48" t="str">
        <f aca="false">COST!D1007</f>
        <v>Free Clinic Provider Staffing</v>
      </c>
      <c r="D1007" s="62" t="n">
        <f aca="false">COST!M1007</f>
        <v>46081</v>
      </c>
      <c r="E1007" s="48" t="str">
        <f aca="false">COST!P1007</f>
        <v>Registered Nurse</v>
      </c>
      <c r="F1007" s="63" t="n">
        <f aca="false">COST!R1007</f>
        <v>28.5</v>
      </c>
      <c r="G1007" s="48" t="str">
        <f aca="false">STACK!M1007</f>
        <v/>
      </c>
      <c r="H1007" s="1" t="str">
        <f aca="false">C1007&amp;"|"&amp;IF(ISNUMBER(D1007),TEXT(D1007,"yyyy-mm-dd"),"no date")&amp;"|"&amp;E1007&amp;"|"&amp;IF(ISNUMBER(F1007),TEXT(F1007,"0.00"),"blank")</f>
        <v>Free Clinic Provider Staffing|2026-02-28|Registered Nurse|28.50</v>
      </c>
      <c r="I1007" s="1" t="n">
        <f aca="false">COUNTIF($H$5:$H$1624,H1007)</f>
        <v>1</v>
      </c>
      <c r="J1007" s="1" t="n">
        <f aca="false">COUNTIF($H$5:H1007,H1007)</f>
        <v>1</v>
      </c>
      <c r="K1007" s="1" t="n">
        <f aca="false">COUNTIFS($H$5:$H$1624,H1007,$B$5:$B$1624,"&lt;&gt;"&amp;B1007)</f>
        <v>0</v>
      </c>
      <c r="L1007" s="1" t="str">
        <f aca="false">IF(I1007&gt;1,IF(K1007&gt;0,"Cross-hospital match","Same-hospital match"),"")</f>
        <v/>
      </c>
      <c r="M1007" s="52"/>
      <c r="N1007" s="52"/>
      <c r="O1007" s="1" t="n">
        <f aca="false">IF(M1007="Exclude (duplicate)",0,1)</f>
        <v>1</v>
      </c>
      <c r="P1007" s="1" t="str">
        <f aca="false">IF(AND(L1007&lt;&gt;"",M1007=""),"Needs decision","")</f>
        <v/>
      </c>
    </row>
    <row r="1008" customFormat="false" ht="15" hidden="false" customHeight="false" outlineLevel="0" collapsed="false">
      <c r="A1008" s="48" t="str">
        <f aca="false">COST!A1008</f>
        <v>CBH-0180</v>
      </c>
      <c r="B1008" s="48" t="str">
        <f aca="false">COST!B1008</f>
        <v>CBH</v>
      </c>
      <c r="C1008" s="48" t="str">
        <f aca="false">COST!D1008</f>
        <v>Medication Assistance Program</v>
      </c>
      <c r="D1008" s="62" t="n">
        <f aca="false">COST!M1008</f>
        <v>46081</v>
      </c>
      <c r="E1008" s="48" t="str">
        <f aca="false">COST!P1008</f>
        <v>Patient Navigator</v>
      </c>
      <c r="F1008" s="63" t="n">
        <f aca="false">COST!R1008</f>
        <v>80</v>
      </c>
      <c r="G1008" s="48" t="str">
        <f aca="false">STACK!M1008</f>
        <v/>
      </c>
      <c r="H1008" s="1" t="str">
        <f aca="false">C1008&amp;"|"&amp;IF(ISNUMBER(D1008),TEXT(D1008,"yyyy-mm-dd"),"no date")&amp;"|"&amp;E1008&amp;"|"&amp;IF(ISNUMBER(F1008),TEXT(F1008,"0.00"),"blank")</f>
        <v>Medication Assistance Program|2026-02-28|Patient Navigator|80.00</v>
      </c>
      <c r="I1008" s="1" t="n">
        <f aca="false">COUNTIF($H$5:$H$1624,H1008)</f>
        <v>1</v>
      </c>
      <c r="J1008" s="1" t="n">
        <f aca="false">COUNTIF($H$5:H1008,H1008)</f>
        <v>1</v>
      </c>
      <c r="K1008" s="1" t="n">
        <f aca="false">COUNTIFS($H$5:$H$1624,H1008,$B$5:$B$1624,"&lt;&gt;"&amp;B1008)</f>
        <v>0</v>
      </c>
      <c r="L1008" s="1" t="str">
        <f aca="false">IF(I1008&gt;1,IF(K1008&gt;0,"Cross-hospital match","Same-hospital match"),"")</f>
        <v/>
      </c>
      <c r="M1008" s="52"/>
      <c r="N1008" s="52"/>
      <c r="O1008" s="1" t="n">
        <f aca="false">IF(M1008="Exclude (duplicate)",0,1)</f>
        <v>1</v>
      </c>
      <c r="P1008" s="1" t="str">
        <f aca="false">IF(AND(L1008&lt;&gt;"",M1008=""),"Needs decision","")</f>
        <v/>
      </c>
    </row>
    <row r="1009" customFormat="false" ht="15" hidden="false" customHeight="false" outlineLevel="0" collapsed="false">
      <c r="A1009" s="48" t="str">
        <f aca="false">COST!A1009</f>
        <v>CBH-0181</v>
      </c>
      <c r="B1009" s="48" t="str">
        <f aca="false">COST!B1009</f>
        <v>CBH</v>
      </c>
      <c r="C1009" s="48" t="str">
        <f aca="false">COST!D1009</f>
        <v>Medication Assistance Program</v>
      </c>
      <c r="D1009" s="62" t="n">
        <f aca="false">COST!M1009</f>
        <v>46081</v>
      </c>
      <c r="E1009" s="48" t="str">
        <f aca="false">COST!P1009</f>
        <v>Pharmacist</v>
      </c>
      <c r="F1009" s="63" t="n">
        <f aca="false">COST!R1009</f>
        <v>23.75</v>
      </c>
      <c r="G1009" s="48" t="str">
        <f aca="false">STACK!M1009</f>
        <v/>
      </c>
      <c r="H1009" s="1" t="str">
        <f aca="false">C1009&amp;"|"&amp;IF(ISNUMBER(D1009),TEXT(D1009,"yyyy-mm-dd"),"no date")&amp;"|"&amp;E1009&amp;"|"&amp;IF(ISNUMBER(F1009),TEXT(F1009,"0.00"),"blank")</f>
        <v>Medication Assistance Program|2026-02-28|Pharmacist|23.75</v>
      </c>
      <c r="I1009" s="1" t="n">
        <f aca="false">COUNTIF($H$5:$H$1624,H1009)</f>
        <v>1</v>
      </c>
      <c r="J1009" s="1" t="n">
        <f aca="false">COUNTIF($H$5:H1009,H1009)</f>
        <v>1</v>
      </c>
      <c r="K1009" s="1" t="n">
        <f aca="false">COUNTIFS($H$5:$H$1624,H1009,$B$5:$B$1624,"&lt;&gt;"&amp;B1009)</f>
        <v>0</v>
      </c>
      <c r="L1009" s="1" t="str">
        <f aca="false">IF(I1009&gt;1,IF(K1009&gt;0,"Cross-hospital match","Same-hospital match"),"")</f>
        <v/>
      </c>
      <c r="M1009" s="52"/>
      <c r="N1009" s="52"/>
      <c r="O1009" s="1" t="n">
        <f aca="false">IF(M1009="Exclude (duplicate)",0,1)</f>
        <v>1</v>
      </c>
      <c r="P1009" s="1" t="str">
        <f aca="false">IF(AND(L1009&lt;&gt;"",M1009=""),"Needs decision","")</f>
        <v/>
      </c>
    </row>
    <row r="1010" customFormat="false" ht="15" hidden="false" customHeight="false" outlineLevel="0" collapsed="false">
      <c r="A1010" s="48" t="str">
        <f aca="false">COST!A1010</f>
        <v>CBH-0182</v>
      </c>
      <c r="B1010" s="48" t="str">
        <f aca="false">COST!B1010</f>
        <v>CBH</v>
      </c>
      <c r="C1010" s="48" t="str">
        <f aca="false">COST!D1010</f>
        <v>Community Benefit Program Administration</v>
      </c>
      <c r="D1010" s="62" t="n">
        <f aca="false">COST!M1010</f>
        <v>46081</v>
      </c>
      <c r="E1010" s="48" t="str">
        <f aca="false">COST!P1010</f>
        <v>Administrative Assistant</v>
      </c>
      <c r="F1010" s="63" t="n">
        <f aca="false">COST!R1010</f>
        <v>47.5</v>
      </c>
      <c r="G1010" s="48" t="str">
        <f aca="false">STACK!M1010</f>
        <v/>
      </c>
      <c r="H1010" s="1" t="str">
        <f aca="false">C1010&amp;"|"&amp;IF(ISNUMBER(D1010),TEXT(D1010,"yyyy-mm-dd"),"no date")&amp;"|"&amp;E1010&amp;"|"&amp;IF(ISNUMBER(F1010),TEXT(F1010,"0.00"),"blank")</f>
        <v>Community Benefit Program Administration|2026-02-28|Administrative Assistant|47.50</v>
      </c>
      <c r="I1010" s="1" t="n">
        <f aca="false">COUNTIF($H$5:$H$1624,H1010)</f>
        <v>1</v>
      </c>
      <c r="J1010" s="1" t="n">
        <f aca="false">COUNTIF($H$5:H1010,H1010)</f>
        <v>1</v>
      </c>
      <c r="K1010" s="1" t="n">
        <f aca="false">COUNTIFS($H$5:$H$1624,H1010,$B$5:$B$1624,"&lt;&gt;"&amp;B1010)</f>
        <v>0</v>
      </c>
      <c r="L1010" s="1" t="str">
        <f aca="false">IF(I1010&gt;1,IF(K1010&gt;0,"Cross-hospital match","Same-hospital match"),"")</f>
        <v/>
      </c>
      <c r="M1010" s="52"/>
      <c r="N1010" s="52"/>
      <c r="O1010" s="1" t="n">
        <f aca="false">IF(M1010="Exclude (duplicate)",0,1)</f>
        <v>1</v>
      </c>
      <c r="P1010" s="1" t="str">
        <f aca="false">IF(AND(L1010&lt;&gt;"",M1010=""),"Needs decision","")</f>
        <v/>
      </c>
    </row>
    <row r="1011" customFormat="false" ht="15" hidden="false" customHeight="false" outlineLevel="0" collapsed="false">
      <c r="A1011" s="48" t="str">
        <f aca="false">COST!A1011</f>
        <v>CBH-0183</v>
      </c>
      <c r="B1011" s="48" t="str">
        <f aca="false">COST!B1011</f>
        <v>CBH</v>
      </c>
      <c r="C1011" s="48" t="str">
        <f aca="false">COST!D1011</f>
        <v>Community Benefit Program Administration</v>
      </c>
      <c r="D1011" s="62" t="n">
        <f aca="false">COST!M1011</f>
        <v>46081</v>
      </c>
      <c r="E1011" s="48" t="str">
        <f aca="false">COST!P1011</f>
        <v>Community Benefit Manager</v>
      </c>
      <c r="F1011" s="63" t="n">
        <f aca="false">COST!R1011</f>
        <v>53</v>
      </c>
      <c r="G1011" s="48" t="str">
        <f aca="false">STACK!M1011</f>
        <v/>
      </c>
      <c r="H1011" s="1" t="str">
        <f aca="false">C1011&amp;"|"&amp;IF(ISNUMBER(D1011),TEXT(D1011,"yyyy-mm-dd"),"no date")&amp;"|"&amp;E1011&amp;"|"&amp;IF(ISNUMBER(F1011),TEXT(F1011,"0.00"),"blank")</f>
        <v>Community Benefit Program Administration|2026-02-28|Community Benefit Manager|53.00</v>
      </c>
      <c r="I1011" s="1" t="n">
        <f aca="false">COUNTIF($H$5:$H$1624,H1011)</f>
        <v>1</v>
      </c>
      <c r="J1011" s="1" t="n">
        <f aca="false">COUNTIF($H$5:H1011,H1011)</f>
        <v>1</v>
      </c>
      <c r="K1011" s="1" t="n">
        <f aca="false">COUNTIFS($H$5:$H$1624,H1011,$B$5:$B$1624,"&lt;&gt;"&amp;B1011)</f>
        <v>0</v>
      </c>
      <c r="L1011" s="1" t="str">
        <f aca="false">IF(I1011&gt;1,IF(K1011&gt;0,"Cross-hospital match","Same-hospital match"),"")</f>
        <v/>
      </c>
      <c r="M1011" s="52"/>
      <c r="N1011" s="52"/>
      <c r="O1011" s="1" t="n">
        <f aca="false">IF(M1011="Exclude (duplicate)",0,1)</f>
        <v>1</v>
      </c>
      <c r="P1011" s="1" t="str">
        <f aca="false">IF(AND(L1011&lt;&gt;"",M1011=""),"Needs decision","")</f>
        <v/>
      </c>
    </row>
    <row r="1012" customFormat="false" ht="15" hidden="false" customHeight="false" outlineLevel="0" collapsed="false">
      <c r="A1012" s="48" t="str">
        <f aca="false">COST!A1012</f>
        <v>CBH-0184</v>
      </c>
      <c r="B1012" s="48" t="str">
        <f aca="false">COST!B1012</f>
        <v>CBH</v>
      </c>
      <c r="C1012" s="48" t="str">
        <f aca="false">COST!D1012</f>
        <v>Interpreter Services for Community Clinics</v>
      </c>
      <c r="D1012" s="62" t="n">
        <f aca="false">COST!M1012</f>
        <v>46081</v>
      </c>
      <c r="E1012" s="48" t="str">
        <f aca="false">COST!P1012</f>
        <v>Interpreter</v>
      </c>
      <c r="F1012" s="63" t="n">
        <f aca="false">COST!R1012</f>
        <v>60.25</v>
      </c>
      <c r="G1012" s="48" t="str">
        <f aca="false">STACK!M1012</f>
        <v/>
      </c>
      <c r="H1012" s="1" t="str">
        <f aca="false">C1012&amp;"|"&amp;IF(ISNUMBER(D1012),TEXT(D1012,"yyyy-mm-dd"),"no date")&amp;"|"&amp;E1012&amp;"|"&amp;IF(ISNUMBER(F1012),TEXT(F1012,"0.00"),"blank")</f>
        <v>Interpreter Services for Community Clinics|2026-02-28|Interpreter|60.25</v>
      </c>
      <c r="I1012" s="1" t="n">
        <f aca="false">COUNTIF($H$5:$H$1624,H1012)</f>
        <v>1</v>
      </c>
      <c r="J1012" s="1" t="n">
        <f aca="false">COUNTIF($H$5:H1012,H1012)</f>
        <v>1</v>
      </c>
      <c r="K1012" s="1" t="n">
        <f aca="false">COUNTIFS($H$5:$H$1624,H1012,$B$5:$B$1624,"&lt;&gt;"&amp;B1012)</f>
        <v>0</v>
      </c>
      <c r="L1012" s="1" t="str">
        <f aca="false">IF(I1012&gt;1,IF(K1012&gt;0,"Cross-hospital match","Same-hospital match"),"")</f>
        <v/>
      </c>
      <c r="M1012" s="52"/>
      <c r="N1012" s="52"/>
      <c r="O1012" s="1" t="n">
        <f aca="false">IF(M1012="Exclude (duplicate)",0,1)</f>
        <v>1</v>
      </c>
      <c r="P1012" s="1" t="str">
        <f aca="false">IF(AND(L1012&lt;&gt;"",M1012=""),"Needs decision","")</f>
        <v/>
      </c>
    </row>
    <row r="1013" customFormat="false" ht="15" hidden="false" customHeight="false" outlineLevel="0" collapsed="false">
      <c r="A1013" s="48" t="str">
        <f aca="false">COST!A1013</f>
        <v>CBH-0185</v>
      </c>
      <c r="B1013" s="48" t="str">
        <f aca="false">COST!B1013</f>
        <v>CBH</v>
      </c>
      <c r="C1013" s="48" t="str">
        <f aca="false">COST!D1013</f>
        <v>Nursing Student Clinical Rotations</v>
      </c>
      <c r="D1013" s="62" t="n">
        <f aca="false">COST!M1013</f>
        <v>46081</v>
      </c>
      <c r="E1013" s="48" t="str">
        <f aca="false">COST!P1013</f>
        <v>Clinical Nurse Educator</v>
      </c>
      <c r="F1013" s="63" t="n">
        <f aca="false">COST!R1013</f>
        <v>134.75</v>
      </c>
      <c r="G1013" s="48" t="str">
        <f aca="false">STACK!M1013</f>
        <v/>
      </c>
      <c r="H1013" s="1" t="str">
        <f aca="false">C1013&amp;"|"&amp;IF(ISNUMBER(D1013),TEXT(D1013,"yyyy-mm-dd"),"no date")&amp;"|"&amp;E1013&amp;"|"&amp;IF(ISNUMBER(F1013),TEXT(F1013,"0.00"),"blank")</f>
        <v>Nursing Student Clinical Rotations|2026-02-28|Clinical Nurse Educator|134.75</v>
      </c>
      <c r="I1013" s="1" t="n">
        <f aca="false">COUNTIF($H$5:$H$1624,H1013)</f>
        <v>1</v>
      </c>
      <c r="J1013" s="1" t="n">
        <f aca="false">COUNTIF($H$5:H1013,H1013)</f>
        <v>1</v>
      </c>
      <c r="K1013" s="1" t="n">
        <f aca="false">COUNTIFS($H$5:$H$1624,H1013,$B$5:$B$1624,"&lt;&gt;"&amp;B1013)</f>
        <v>0</v>
      </c>
      <c r="L1013" s="1" t="str">
        <f aca="false">IF(I1013&gt;1,IF(K1013&gt;0,"Cross-hospital match","Same-hospital match"),"")</f>
        <v/>
      </c>
      <c r="M1013" s="52"/>
      <c r="N1013" s="52"/>
      <c r="O1013" s="1" t="n">
        <f aca="false">IF(M1013="Exclude (duplicate)",0,1)</f>
        <v>1</v>
      </c>
      <c r="P1013" s="1" t="str">
        <f aca="false">IF(AND(L1013&lt;&gt;"",M1013=""),"Needs decision","")</f>
        <v/>
      </c>
    </row>
    <row r="1014" customFormat="false" ht="15" hidden="false" customHeight="false" outlineLevel="0" collapsed="false">
      <c r="A1014" s="48" t="str">
        <f aca="false">COST!A1014</f>
        <v>CBH-0186</v>
      </c>
      <c r="B1014" s="48" t="str">
        <f aca="false">COST!B1014</f>
        <v>CBH</v>
      </c>
      <c r="C1014" s="48" t="str">
        <f aca="false">COST!D1014</f>
        <v>Nursing Student Clinical Rotations</v>
      </c>
      <c r="D1014" s="62" t="n">
        <f aca="false">COST!M1014</f>
        <v>46081</v>
      </c>
      <c r="E1014" s="48" t="str">
        <f aca="false">COST!P1014</f>
        <v>Registered Nurse</v>
      </c>
      <c r="F1014" s="63" t="n">
        <f aca="false">COST!R1014</f>
        <v>240.25</v>
      </c>
      <c r="G1014" s="48" t="str">
        <f aca="false">STACK!M1014</f>
        <v/>
      </c>
      <c r="H1014" s="1" t="str">
        <f aca="false">C1014&amp;"|"&amp;IF(ISNUMBER(D1014),TEXT(D1014,"yyyy-mm-dd"),"no date")&amp;"|"&amp;E1014&amp;"|"&amp;IF(ISNUMBER(F1014),TEXT(F1014,"0.00"),"blank")</f>
        <v>Nursing Student Clinical Rotations|2026-02-28|Registered Nurse|240.25</v>
      </c>
      <c r="I1014" s="1" t="n">
        <f aca="false">COUNTIF($H$5:$H$1624,H1014)</f>
        <v>1</v>
      </c>
      <c r="J1014" s="1" t="n">
        <f aca="false">COUNTIF($H$5:H1014,H1014)</f>
        <v>1</v>
      </c>
      <c r="K1014" s="1" t="n">
        <f aca="false">COUNTIFS($H$5:$H$1624,H1014,$B$5:$B$1624,"&lt;&gt;"&amp;B1014)</f>
        <v>0</v>
      </c>
      <c r="L1014" s="1" t="str">
        <f aca="false">IF(I1014&gt;1,IF(K1014&gt;0,"Cross-hospital match","Same-hospital match"),"")</f>
        <v/>
      </c>
      <c r="M1014" s="52"/>
      <c r="N1014" s="52"/>
      <c r="O1014" s="1" t="n">
        <f aca="false">IF(M1014="Exclude (duplicate)",0,1)</f>
        <v>1</v>
      </c>
      <c r="P1014" s="1" t="str">
        <f aca="false">IF(AND(L1014&lt;&gt;"",M1014=""),"Needs decision","")</f>
        <v/>
      </c>
    </row>
    <row r="1015" customFormat="false" ht="15" hidden="false" customHeight="false" outlineLevel="0" collapsed="false">
      <c r="A1015" s="48" t="str">
        <f aca="false">COST!A1015</f>
        <v>CBH-0187</v>
      </c>
      <c r="B1015" s="48" t="str">
        <f aca="false">COST!B1015</f>
        <v>CBH</v>
      </c>
      <c r="C1015" s="48" t="str">
        <f aca="false">COST!D1015</f>
        <v>Pharmacy Student Rotations</v>
      </c>
      <c r="D1015" s="62" t="n">
        <f aca="false">COST!M1015</f>
        <v>46081</v>
      </c>
      <c r="E1015" s="48" t="str">
        <f aca="false">COST!P1015</f>
        <v>Pharmacist</v>
      </c>
      <c r="F1015" s="63" t="n">
        <f aca="false">COST!R1015</f>
        <v>52</v>
      </c>
      <c r="G1015" s="48" t="str">
        <f aca="false">STACK!M1015</f>
        <v/>
      </c>
      <c r="H1015" s="1" t="str">
        <f aca="false">C1015&amp;"|"&amp;IF(ISNUMBER(D1015),TEXT(D1015,"yyyy-mm-dd"),"no date")&amp;"|"&amp;E1015&amp;"|"&amp;IF(ISNUMBER(F1015),TEXT(F1015,"0.00"),"blank")</f>
        <v>Pharmacy Student Rotations|2026-02-28|Pharmacist|52.00</v>
      </c>
      <c r="I1015" s="1" t="n">
        <f aca="false">COUNTIF($H$5:$H$1624,H1015)</f>
        <v>1</v>
      </c>
      <c r="J1015" s="1" t="n">
        <f aca="false">COUNTIF($H$5:H1015,H1015)</f>
        <v>1</v>
      </c>
      <c r="K1015" s="1" t="n">
        <f aca="false">COUNTIFS($H$5:$H$1624,H1015,$B$5:$B$1624,"&lt;&gt;"&amp;B1015)</f>
        <v>0</v>
      </c>
      <c r="L1015" s="1" t="str">
        <f aca="false">IF(I1015&gt;1,IF(K1015&gt;0,"Cross-hospital match","Same-hospital match"),"")</f>
        <v/>
      </c>
      <c r="M1015" s="52"/>
      <c r="N1015" s="52"/>
      <c r="O1015" s="1" t="n">
        <f aca="false">IF(M1015="Exclude (duplicate)",0,1)</f>
        <v>1</v>
      </c>
      <c r="P1015" s="1" t="str">
        <f aca="false">IF(AND(L1015&lt;&gt;"",M1015=""),"Needs decision","")</f>
        <v/>
      </c>
    </row>
    <row r="1016" customFormat="false" ht="15" hidden="false" customHeight="false" outlineLevel="0" collapsed="false">
      <c r="A1016" s="48" t="str">
        <f aca="false">COST!A1016</f>
        <v>CBH-0188</v>
      </c>
      <c r="B1016" s="48" t="str">
        <f aca="false">COST!B1016</f>
        <v>CBH</v>
      </c>
      <c r="C1016" s="48" t="str">
        <f aca="false">COST!D1016</f>
        <v>Grief Support Group</v>
      </c>
      <c r="D1016" s="62" t="n">
        <f aca="false">COST!M1016</f>
        <v>46091</v>
      </c>
      <c r="E1016" s="48" t="str">
        <f aca="false">COST!P1016</f>
        <v>Chaplain</v>
      </c>
      <c r="F1016" s="63" t="n">
        <f aca="false">COST!R1016</f>
        <v>2.25</v>
      </c>
      <c r="G1016" s="48" t="str">
        <f aca="false">STACK!M1016</f>
        <v/>
      </c>
      <c r="H1016" s="1" t="str">
        <f aca="false">C1016&amp;"|"&amp;IF(ISNUMBER(D1016),TEXT(D1016,"yyyy-mm-dd"),"no date")&amp;"|"&amp;E1016&amp;"|"&amp;IF(ISNUMBER(F1016),TEXT(F1016,"0.00"),"blank")</f>
        <v>Grief Support Group|2026-03-10|Chaplain|2.25</v>
      </c>
      <c r="I1016" s="1" t="n">
        <f aca="false">COUNTIF($H$5:$H$1624,H1016)</f>
        <v>1</v>
      </c>
      <c r="J1016" s="1" t="n">
        <f aca="false">COUNTIF($H$5:H1016,H1016)</f>
        <v>1</v>
      </c>
      <c r="K1016" s="1" t="n">
        <f aca="false">COUNTIFS($H$5:$H$1624,H1016,$B$5:$B$1624,"&lt;&gt;"&amp;B1016)</f>
        <v>0</v>
      </c>
      <c r="L1016" s="1" t="str">
        <f aca="false">IF(I1016&gt;1,IF(K1016&gt;0,"Cross-hospital match","Same-hospital match"),"")</f>
        <v/>
      </c>
      <c r="M1016" s="52"/>
      <c r="N1016" s="52"/>
      <c r="O1016" s="1" t="n">
        <f aca="false">IF(M1016="Exclude (duplicate)",0,1)</f>
        <v>1</v>
      </c>
      <c r="P1016" s="1" t="str">
        <f aca="false">IF(AND(L1016&lt;&gt;"",M1016=""),"Needs decision","")</f>
        <v/>
      </c>
    </row>
    <row r="1017" customFormat="false" ht="15" hidden="false" customHeight="false" outlineLevel="0" collapsed="false">
      <c r="A1017" s="48" t="str">
        <f aca="false">COST!A1017</f>
        <v>CBH-0189</v>
      </c>
      <c r="B1017" s="48" t="str">
        <f aca="false">COST!B1017</f>
        <v>CBH</v>
      </c>
      <c r="C1017" s="48" t="str">
        <f aca="false">COST!D1017</f>
        <v>Grief Support Group</v>
      </c>
      <c r="D1017" s="62" t="n">
        <f aca="false">COST!M1017</f>
        <v>46091</v>
      </c>
      <c r="E1017" s="48" t="str">
        <f aca="false">COST!P1017</f>
        <v>Social Worker</v>
      </c>
      <c r="F1017" s="63" t="n">
        <f aca="false">COST!R1017</f>
        <v>1.75</v>
      </c>
      <c r="G1017" s="48" t="str">
        <f aca="false">STACK!M1017</f>
        <v/>
      </c>
      <c r="H1017" s="1" t="str">
        <f aca="false">C1017&amp;"|"&amp;IF(ISNUMBER(D1017),TEXT(D1017,"yyyy-mm-dd"),"no date")&amp;"|"&amp;E1017&amp;"|"&amp;IF(ISNUMBER(F1017),TEXT(F1017,"0.00"),"blank")</f>
        <v>Grief Support Group|2026-03-10|Social Worker|1.75</v>
      </c>
      <c r="I1017" s="1" t="n">
        <f aca="false">COUNTIF($H$5:$H$1624,H1017)</f>
        <v>1</v>
      </c>
      <c r="J1017" s="1" t="n">
        <f aca="false">COUNTIF($H$5:H1017,H1017)</f>
        <v>1</v>
      </c>
      <c r="K1017" s="1" t="n">
        <f aca="false">COUNTIFS($H$5:$H$1624,H1017,$B$5:$B$1624,"&lt;&gt;"&amp;B1017)</f>
        <v>0</v>
      </c>
      <c r="L1017" s="1" t="str">
        <f aca="false">IF(I1017&gt;1,IF(K1017&gt;0,"Cross-hospital match","Same-hospital match"),"")</f>
        <v/>
      </c>
      <c r="M1017" s="52"/>
      <c r="N1017" s="52"/>
      <c r="O1017" s="1" t="n">
        <f aca="false">IF(M1017="Exclude (duplicate)",0,1)</f>
        <v>1</v>
      </c>
      <c r="P1017" s="1" t="str">
        <f aca="false">IF(AND(L1017&lt;&gt;"",M1017=""),"Needs decision","")</f>
        <v/>
      </c>
    </row>
    <row r="1018" customFormat="false" ht="15" hidden="false" customHeight="false" outlineLevel="0" collapsed="false">
      <c r="A1018" s="48" t="str">
        <f aca="false">COST!A1018</f>
        <v>CBH-0190</v>
      </c>
      <c r="B1018" s="48" t="str">
        <f aca="false">COST!B1018</f>
        <v>CBH</v>
      </c>
      <c r="C1018" s="48" t="str">
        <f aca="false">COST!D1018</f>
        <v>Community Blood Pressure Checks</v>
      </c>
      <c r="D1018" s="62" t="n">
        <f aca="false">COST!M1018</f>
        <v>46094</v>
      </c>
      <c r="E1018" s="48" t="str">
        <f aca="false">COST!P1018</f>
        <v>Registered Nurse</v>
      </c>
      <c r="F1018" s="63" t="n">
        <f aca="false">COST!R1018</f>
        <v>3.25</v>
      </c>
      <c r="G1018" s="48" t="str">
        <f aca="false">STACK!M1018</f>
        <v/>
      </c>
      <c r="H1018" s="1" t="str">
        <f aca="false">C1018&amp;"|"&amp;IF(ISNUMBER(D1018),TEXT(D1018,"yyyy-mm-dd"),"no date")&amp;"|"&amp;E1018&amp;"|"&amp;IF(ISNUMBER(F1018),TEXT(F1018,"0.00"),"blank")</f>
        <v>Community Blood Pressure Checks|2026-03-13|Registered Nurse|3.25</v>
      </c>
      <c r="I1018" s="1" t="n">
        <f aca="false">COUNTIF($H$5:$H$1624,H1018)</f>
        <v>1</v>
      </c>
      <c r="J1018" s="1" t="n">
        <f aca="false">COUNTIF($H$5:H1018,H1018)</f>
        <v>1</v>
      </c>
      <c r="K1018" s="1" t="n">
        <f aca="false">COUNTIFS($H$5:$H$1624,H1018,$B$5:$B$1624,"&lt;&gt;"&amp;B1018)</f>
        <v>0</v>
      </c>
      <c r="L1018" s="1" t="str">
        <f aca="false">IF(I1018&gt;1,IF(K1018&gt;0,"Cross-hospital match","Same-hospital match"),"")</f>
        <v/>
      </c>
      <c r="M1018" s="52"/>
      <c r="N1018" s="52"/>
      <c r="O1018" s="1" t="n">
        <f aca="false">IF(M1018="Exclude (duplicate)",0,1)</f>
        <v>1</v>
      </c>
      <c r="P1018" s="1" t="str">
        <f aca="false">IF(AND(L1018&lt;&gt;"",M1018=""),"Needs decision","")</f>
        <v/>
      </c>
    </row>
    <row r="1019" customFormat="false" ht="15" hidden="false" customHeight="false" outlineLevel="0" collapsed="false">
      <c r="A1019" s="48" t="str">
        <f aca="false">COST!A1019</f>
        <v>CBH-0191</v>
      </c>
      <c r="B1019" s="48" t="str">
        <f aca="false">COST!B1019</f>
        <v>CBH</v>
      </c>
      <c r="C1019" s="48" t="str">
        <f aca="false">COST!D1019</f>
        <v>Childbirth and Newborn Care Classes</v>
      </c>
      <c r="D1019" s="62" t="n">
        <f aca="false">COST!M1019</f>
        <v>46094</v>
      </c>
      <c r="E1019" s="48" t="str">
        <f aca="false">COST!P1019</f>
        <v>Clinical Nurse Educator</v>
      </c>
      <c r="F1019" s="63" t="str">
        <f aca="false">COST!R1019</f>
        <v/>
      </c>
      <c r="G1019" s="48" t="str">
        <f aca="false">STACK!M1019</f>
        <v/>
      </c>
      <c r="H1019" s="1" t="str">
        <f aca="false">C1019&amp;"|"&amp;IF(ISNUMBER(D1019),TEXT(D1019,"yyyy-mm-dd"),"no date")&amp;"|"&amp;E1019&amp;"|"&amp;IF(ISNUMBER(F1019),TEXT(F1019,"0.00"),"blank")</f>
        <v>Childbirth and Newborn Care Classes|2026-03-13|Clinical Nurse Educator|blank</v>
      </c>
      <c r="I1019" s="1" t="n">
        <f aca="false">COUNTIF($H$5:$H$1624,H1019)</f>
        <v>1</v>
      </c>
      <c r="J1019" s="1" t="n">
        <f aca="false">COUNTIF($H$5:H1019,H1019)</f>
        <v>1</v>
      </c>
      <c r="K1019" s="1" t="n">
        <f aca="false">COUNTIFS($H$5:$H$1624,H1019,$B$5:$B$1624,"&lt;&gt;"&amp;B1019)</f>
        <v>0</v>
      </c>
      <c r="L1019" s="1" t="str">
        <f aca="false">IF(I1019&gt;1,IF(K1019&gt;0,"Cross-hospital match","Same-hospital match"),"")</f>
        <v/>
      </c>
      <c r="M1019" s="52"/>
      <c r="N1019" s="52"/>
      <c r="O1019" s="1" t="n">
        <f aca="false">IF(M1019="Exclude (duplicate)",0,1)</f>
        <v>1</v>
      </c>
      <c r="P1019" s="1" t="str">
        <f aca="false">IF(AND(L1019&lt;&gt;"",M1019=""),"Needs decision","")</f>
        <v/>
      </c>
    </row>
    <row r="1020" customFormat="false" ht="15" hidden="false" customHeight="false" outlineLevel="0" collapsed="false">
      <c r="A1020" s="48" t="str">
        <f aca="false">COST!A1020</f>
        <v>CBH-0192</v>
      </c>
      <c r="B1020" s="48" t="str">
        <f aca="false">COST!B1020</f>
        <v>CBH</v>
      </c>
      <c r="C1020" s="48" t="str">
        <f aca="false">COST!D1020</f>
        <v>Grief Support Group</v>
      </c>
      <c r="D1020" s="62" t="n">
        <f aca="false">COST!M1020</f>
        <v>46099</v>
      </c>
      <c r="E1020" s="48" t="str">
        <f aca="false">COST!P1020</f>
        <v>Chaplain</v>
      </c>
      <c r="F1020" s="63" t="n">
        <f aca="false">COST!R1020</f>
        <v>2.25</v>
      </c>
      <c r="G1020" s="48" t="str">
        <f aca="false">STACK!M1020</f>
        <v/>
      </c>
      <c r="H1020" s="1" t="str">
        <f aca="false">C1020&amp;"|"&amp;IF(ISNUMBER(D1020),TEXT(D1020,"yyyy-mm-dd"),"no date")&amp;"|"&amp;E1020&amp;"|"&amp;IF(ISNUMBER(F1020),TEXT(F1020,"0.00"),"blank")</f>
        <v>Grief Support Group|2026-03-18|Chaplain|2.25</v>
      </c>
      <c r="I1020" s="1" t="n">
        <f aca="false">COUNTIF($H$5:$H$1624,H1020)</f>
        <v>1</v>
      </c>
      <c r="J1020" s="1" t="n">
        <f aca="false">COUNTIF($H$5:H1020,H1020)</f>
        <v>1</v>
      </c>
      <c r="K1020" s="1" t="n">
        <f aca="false">COUNTIFS($H$5:$H$1624,H1020,$B$5:$B$1624,"&lt;&gt;"&amp;B1020)</f>
        <v>0</v>
      </c>
      <c r="L1020" s="1" t="str">
        <f aca="false">IF(I1020&gt;1,IF(K1020&gt;0,"Cross-hospital match","Same-hospital match"),"")</f>
        <v/>
      </c>
      <c r="M1020" s="52"/>
      <c r="N1020" s="52"/>
      <c r="O1020" s="1" t="n">
        <f aca="false">IF(M1020="Exclude (duplicate)",0,1)</f>
        <v>1</v>
      </c>
      <c r="P1020" s="1" t="str">
        <f aca="false">IF(AND(L1020&lt;&gt;"",M1020=""),"Needs decision","")</f>
        <v/>
      </c>
    </row>
    <row r="1021" customFormat="false" ht="15" hidden="false" customHeight="false" outlineLevel="0" collapsed="false">
      <c r="A1021" s="48" t="str">
        <f aca="false">COST!A1021</f>
        <v>CBH-0193</v>
      </c>
      <c r="B1021" s="48" t="str">
        <f aca="false">COST!B1021</f>
        <v>CBH</v>
      </c>
      <c r="C1021" s="48" t="str">
        <f aca="false">COST!D1021</f>
        <v>Grief Support Group</v>
      </c>
      <c r="D1021" s="62" t="n">
        <f aca="false">COST!M1021</f>
        <v>46099</v>
      </c>
      <c r="E1021" s="48" t="str">
        <f aca="false">COST!P1021</f>
        <v>Social Worker</v>
      </c>
      <c r="F1021" s="63" t="n">
        <f aca="false">COST!R1021</f>
        <v>1.75</v>
      </c>
      <c r="G1021" s="48" t="str">
        <f aca="false">STACK!M1021</f>
        <v/>
      </c>
      <c r="H1021" s="1" t="str">
        <f aca="false">C1021&amp;"|"&amp;IF(ISNUMBER(D1021),TEXT(D1021,"yyyy-mm-dd"),"no date")&amp;"|"&amp;E1021&amp;"|"&amp;IF(ISNUMBER(F1021),TEXT(F1021,"0.00"),"blank")</f>
        <v>Grief Support Group|2026-03-18|Social Worker|1.75</v>
      </c>
      <c r="I1021" s="1" t="n">
        <f aca="false">COUNTIF($H$5:$H$1624,H1021)</f>
        <v>1</v>
      </c>
      <c r="J1021" s="1" t="n">
        <f aca="false">COUNTIF($H$5:H1021,H1021)</f>
        <v>1</v>
      </c>
      <c r="K1021" s="1" t="n">
        <f aca="false">COUNTIFS($H$5:$H$1624,H1021,$B$5:$B$1624,"&lt;&gt;"&amp;B1021)</f>
        <v>0</v>
      </c>
      <c r="L1021" s="1" t="str">
        <f aca="false">IF(I1021&gt;1,IF(K1021&gt;0,"Cross-hospital match","Same-hospital match"),"")</f>
        <v/>
      </c>
      <c r="M1021" s="52"/>
      <c r="N1021" s="52"/>
      <c r="O1021" s="1" t="n">
        <f aca="false">IF(M1021="Exclude (duplicate)",0,1)</f>
        <v>1</v>
      </c>
      <c r="P1021" s="1" t="str">
        <f aca="false">IF(AND(L1021&lt;&gt;"",M1021=""),"Needs decision","")</f>
        <v/>
      </c>
    </row>
    <row r="1022" customFormat="false" ht="15" hidden="false" customHeight="false" outlineLevel="0" collapsed="false">
      <c r="A1022" s="48" t="str">
        <f aca="false">COST!A1022</f>
        <v>CBH-0194</v>
      </c>
      <c r="B1022" s="48" t="str">
        <f aca="false">COST!B1022</f>
        <v>CBH</v>
      </c>
      <c r="C1022" s="48" t="str">
        <f aca="false">COST!D1022</f>
        <v>Naloxone Training and Distribution</v>
      </c>
      <c r="D1022" s="62" t="n">
        <f aca="false">COST!M1022</f>
        <v>46099</v>
      </c>
      <c r="E1022" s="48" t="str">
        <f aca="false">COST!P1022</f>
        <v>Health Educator</v>
      </c>
      <c r="F1022" s="63" t="n">
        <f aca="false">COST!R1022</f>
        <v>2.75</v>
      </c>
      <c r="G1022" s="48" t="str">
        <f aca="false">STACK!M1022</f>
        <v/>
      </c>
      <c r="H1022" s="1" t="str">
        <f aca="false">C1022&amp;"|"&amp;IF(ISNUMBER(D1022),TEXT(D1022,"yyyy-mm-dd"),"no date")&amp;"|"&amp;E1022&amp;"|"&amp;IF(ISNUMBER(F1022),TEXT(F1022,"0.00"),"blank")</f>
        <v>Naloxone Training and Distribution|2026-03-18|Health Educator|2.75</v>
      </c>
      <c r="I1022" s="1" t="n">
        <f aca="false">COUNTIF($H$5:$H$1624,H1022)</f>
        <v>1</v>
      </c>
      <c r="J1022" s="1" t="n">
        <f aca="false">COUNTIF($H$5:H1022,H1022)</f>
        <v>1</v>
      </c>
      <c r="K1022" s="1" t="n">
        <f aca="false">COUNTIFS($H$5:$H$1624,H1022,$B$5:$B$1624,"&lt;&gt;"&amp;B1022)</f>
        <v>0</v>
      </c>
      <c r="L1022" s="1" t="str">
        <f aca="false">IF(I1022&gt;1,IF(K1022&gt;0,"Cross-hospital match","Same-hospital match"),"")</f>
        <v/>
      </c>
      <c r="M1022" s="52"/>
      <c r="N1022" s="52"/>
      <c r="O1022" s="1" t="n">
        <f aca="false">IF(M1022="Exclude (duplicate)",0,1)</f>
        <v>1</v>
      </c>
      <c r="P1022" s="1" t="str">
        <f aca="false">IF(AND(L1022&lt;&gt;"",M1022=""),"Needs decision","")</f>
        <v/>
      </c>
    </row>
    <row r="1023" customFormat="false" ht="15" hidden="false" customHeight="false" outlineLevel="0" collapsed="false">
      <c r="A1023" s="48" t="str">
        <f aca="false">COST!A1023</f>
        <v>CBH-0195</v>
      </c>
      <c r="B1023" s="48" t="str">
        <f aca="false">COST!B1023</f>
        <v>CBH</v>
      </c>
      <c r="C1023" s="48" t="str">
        <f aca="false">COST!D1023</f>
        <v>Naloxone Training and Distribution</v>
      </c>
      <c r="D1023" s="62" t="n">
        <f aca="false">COST!M1023</f>
        <v>46099</v>
      </c>
      <c r="E1023" s="48" t="str">
        <f aca="false">COST!P1023</f>
        <v>Pharmacist</v>
      </c>
      <c r="F1023" s="63" t="n">
        <f aca="false">COST!R1023</f>
        <v>2.5</v>
      </c>
      <c r="G1023" s="48" t="str">
        <f aca="false">STACK!M1023</f>
        <v/>
      </c>
      <c r="H1023" s="1" t="str">
        <f aca="false">C1023&amp;"|"&amp;IF(ISNUMBER(D1023),TEXT(D1023,"yyyy-mm-dd"),"no date")&amp;"|"&amp;E1023&amp;"|"&amp;IF(ISNUMBER(F1023),TEXT(F1023,"0.00"),"blank")</f>
        <v>Naloxone Training and Distribution|2026-03-18|Pharmacist|2.50</v>
      </c>
      <c r="I1023" s="1" t="n">
        <f aca="false">COUNTIF($H$5:$H$1624,H1023)</f>
        <v>1</v>
      </c>
      <c r="J1023" s="1" t="n">
        <f aca="false">COUNTIF($H$5:H1023,H1023)</f>
        <v>1</v>
      </c>
      <c r="K1023" s="1" t="n">
        <f aca="false">COUNTIFS($H$5:$H$1624,H1023,$B$5:$B$1624,"&lt;&gt;"&amp;B1023)</f>
        <v>0</v>
      </c>
      <c r="L1023" s="1" t="str">
        <f aca="false">IF(I1023&gt;1,IF(K1023&gt;0,"Cross-hospital match","Same-hospital match"),"")</f>
        <v/>
      </c>
      <c r="M1023" s="52"/>
      <c r="N1023" s="52"/>
      <c r="O1023" s="1" t="n">
        <f aca="false">IF(M1023="Exclude (duplicate)",0,1)</f>
        <v>1</v>
      </c>
      <c r="P1023" s="1" t="str">
        <f aca="false">IF(AND(L1023&lt;&gt;"",M1023=""),"Needs decision","")</f>
        <v/>
      </c>
    </row>
    <row r="1024" customFormat="false" ht="15" hidden="false" customHeight="false" outlineLevel="0" collapsed="false">
      <c r="A1024" s="48" t="str">
        <f aca="false">COST!A1024</f>
        <v>CBH-0196</v>
      </c>
      <c r="B1024" s="48" t="str">
        <f aca="false">COST!B1024</f>
        <v>CBH</v>
      </c>
      <c r="C1024" s="48" t="str">
        <f aca="false">COST!D1024</f>
        <v>Free Clinic Operating Grant</v>
      </c>
      <c r="D1024" s="62" t="n">
        <f aca="false">COST!M1024</f>
        <v>46110</v>
      </c>
      <c r="E1024" s="48" t="str">
        <f aca="false">COST!P1024</f>
        <v>No staff time</v>
      </c>
      <c r="F1024" s="63" t="n">
        <f aca="false">COST!R1024</f>
        <v>0</v>
      </c>
      <c r="G1024" s="48" t="str">
        <f aca="false">STACK!M1024</f>
        <v/>
      </c>
      <c r="H1024" s="1" t="str">
        <f aca="false">C1024&amp;"|"&amp;IF(ISNUMBER(D1024),TEXT(D1024,"yyyy-mm-dd"),"no date")&amp;"|"&amp;E1024&amp;"|"&amp;IF(ISNUMBER(F1024),TEXT(F1024,"0.00"),"blank")</f>
        <v>Free Clinic Operating Grant|2026-03-29|No staff time|0.00</v>
      </c>
      <c r="I1024" s="1" t="n">
        <f aca="false">COUNTIF($H$5:$H$1624,H1024)</f>
        <v>1</v>
      </c>
      <c r="J1024" s="1" t="n">
        <f aca="false">COUNTIF($H$5:H1024,H1024)</f>
        <v>1</v>
      </c>
      <c r="K1024" s="1" t="n">
        <f aca="false">COUNTIFS($H$5:$H$1624,H1024,$B$5:$B$1624,"&lt;&gt;"&amp;B1024)</f>
        <v>0</v>
      </c>
      <c r="L1024" s="1" t="str">
        <f aca="false">IF(I1024&gt;1,IF(K1024&gt;0,"Cross-hospital match","Same-hospital match"),"")</f>
        <v/>
      </c>
      <c r="M1024" s="52"/>
      <c r="N1024" s="52"/>
      <c r="O1024" s="1" t="n">
        <f aca="false">IF(M1024="Exclude (duplicate)",0,1)</f>
        <v>1</v>
      </c>
      <c r="P1024" s="1" t="str">
        <f aca="false">IF(AND(L1024&lt;&gt;"",M1024=""),"Needs decision","")</f>
        <v/>
      </c>
    </row>
    <row r="1025" customFormat="false" ht="15" hidden="false" customHeight="false" outlineLevel="0" collapsed="false">
      <c r="A1025" s="48" t="str">
        <f aca="false">COST!A1025</f>
        <v>CBH-0197</v>
      </c>
      <c r="B1025" s="48" t="str">
        <f aca="false">COST!B1025</f>
        <v>CBH</v>
      </c>
      <c r="C1025" s="48" t="str">
        <f aca="false">COST!D1025</f>
        <v>Community Garden and Green Space Project</v>
      </c>
      <c r="D1025" s="62" t="n">
        <f aca="false">COST!M1025</f>
        <v>46111</v>
      </c>
      <c r="E1025" s="48" t="str">
        <f aca="false">COST!P1025</f>
        <v>Program Coordinator</v>
      </c>
      <c r="F1025" s="63" t="n">
        <f aca="false">COST!R1025</f>
        <v>7</v>
      </c>
      <c r="G1025" s="48" t="str">
        <f aca="false">STACK!M1025</f>
        <v/>
      </c>
      <c r="H1025" s="1" t="str">
        <f aca="false">C1025&amp;"|"&amp;IF(ISNUMBER(D1025),TEXT(D1025,"yyyy-mm-dd"),"no date")&amp;"|"&amp;E1025&amp;"|"&amp;IF(ISNUMBER(F1025),TEXT(F1025,"0.00"),"blank")</f>
        <v>Community Garden and Green Space Project|2026-03-30|Program Coordinator|7.00</v>
      </c>
      <c r="I1025" s="1" t="n">
        <f aca="false">COUNTIF($H$5:$H$1624,H1025)</f>
        <v>1</v>
      </c>
      <c r="J1025" s="1" t="n">
        <f aca="false">COUNTIF($H$5:H1025,H1025)</f>
        <v>1</v>
      </c>
      <c r="K1025" s="1" t="n">
        <f aca="false">COUNTIFS($H$5:$H$1624,H1025,$B$5:$B$1624,"&lt;&gt;"&amp;B1025)</f>
        <v>0</v>
      </c>
      <c r="L1025" s="1" t="str">
        <f aca="false">IF(I1025&gt;1,IF(K1025&gt;0,"Cross-hospital match","Same-hospital match"),"")</f>
        <v/>
      </c>
      <c r="M1025" s="52"/>
      <c r="N1025" s="52"/>
      <c r="O1025" s="1" t="n">
        <f aca="false">IF(M1025="Exclude (duplicate)",0,1)</f>
        <v>1</v>
      </c>
      <c r="P1025" s="1" t="str">
        <f aca="false">IF(AND(L1025&lt;&gt;"",M1025=""),"Needs decision","")</f>
        <v/>
      </c>
    </row>
    <row r="1026" customFormat="false" ht="15" hidden="false" customHeight="false" outlineLevel="0" collapsed="false">
      <c r="A1026" s="48" t="str">
        <f aca="false">COST!A1026</f>
        <v>CBH-0198</v>
      </c>
      <c r="B1026" s="48" t="str">
        <f aca="false">COST!B1026</f>
        <v>CBH</v>
      </c>
      <c r="C1026" s="48" t="str">
        <f aca="false">COST!D1026</f>
        <v>Mental Health First Aid Training</v>
      </c>
      <c r="D1026" s="62" t="n">
        <f aca="false">COST!M1026</f>
        <v>46112</v>
      </c>
      <c r="E1026" s="48" t="str">
        <f aca="false">COST!P1026</f>
        <v>Health Educator</v>
      </c>
      <c r="F1026" s="63" t="n">
        <f aca="false">COST!R1026</f>
        <v>8</v>
      </c>
      <c r="G1026" s="48" t="str">
        <f aca="false">STACK!M1026</f>
        <v/>
      </c>
      <c r="H1026" s="1" t="str">
        <f aca="false">C1026&amp;"|"&amp;IF(ISNUMBER(D1026),TEXT(D1026,"yyyy-mm-dd"),"no date")&amp;"|"&amp;E1026&amp;"|"&amp;IF(ISNUMBER(F1026),TEXT(F1026,"0.00"),"blank")</f>
        <v>Mental Health First Aid Training|2026-03-31|Health Educator|8.00</v>
      </c>
      <c r="I1026" s="1" t="n">
        <f aca="false">COUNTIF($H$5:$H$1624,H1026)</f>
        <v>1</v>
      </c>
      <c r="J1026" s="1" t="n">
        <f aca="false">COUNTIF($H$5:H1026,H1026)</f>
        <v>1</v>
      </c>
      <c r="K1026" s="1" t="n">
        <f aca="false">COUNTIFS($H$5:$H$1624,H1026,$B$5:$B$1624,"&lt;&gt;"&amp;B1026)</f>
        <v>0</v>
      </c>
      <c r="L1026" s="1" t="str">
        <f aca="false">IF(I1026&gt;1,IF(K1026&gt;0,"Cross-hospital match","Same-hospital match"),"")</f>
        <v/>
      </c>
      <c r="M1026" s="52"/>
      <c r="N1026" s="52"/>
      <c r="O1026" s="1" t="n">
        <f aca="false">IF(M1026="Exclude (duplicate)",0,1)</f>
        <v>1</v>
      </c>
      <c r="P1026" s="1" t="str">
        <f aca="false">IF(AND(L1026&lt;&gt;"",M1026=""),"Needs decision","")</f>
        <v/>
      </c>
    </row>
    <row r="1027" customFormat="false" ht="15" hidden="false" customHeight="false" outlineLevel="0" collapsed="false">
      <c r="A1027" s="48" t="str">
        <f aca="false">COST!A1027</f>
        <v>CBH-0199</v>
      </c>
      <c r="B1027" s="48" t="str">
        <f aca="false">COST!B1027</f>
        <v>CBH</v>
      </c>
      <c r="C1027" s="48" t="str">
        <f aca="false">COST!D1027</f>
        <v>Mental Health First Aid Training</v>
      </c>
      <c r="D1027" s="62" t="n">
        <f aca="false">COST!M1027</f>
        <v>46112</v>
      </c>
      <c r="E1027" s="48" t="str">
        <f aca="false">COST!P1027</f>
        <v>Social Worker</v>
      </c>
      <c r="F1027" s="63" t="n">
        <f aca="false">COST!R1027</f>
        <v>8</v>
      </c>
      <c r="G1027" s="48" t="str">
        <f aca="false">STACK!M1027</f>
        <v/>
      </c>
      <c r="H1027" s="1" t="str">
        <f aca="false">C1027&amp;"|"&amp;IF(ISNUMBER(D1027),TEXT(D1027,"yyyy-mm-dd"),"no date")&amp;"|"&amp;E1027&amp;"|"&amp;IF(ISNUMBER(F1027),TEXT(F1027,"0.00"),"blank")</f>
        <v>Mental Health First Aid Training|2026-03-31|Social Worker|8.00</v>
      </c>
      <c r="I1027" s="1" t="n">
        <f aca="false">COUNTIF($H$5:$H$1624,H1027)</f>
        <v>1</v>
      </c>
      <c r="J1027" s="1" t="n">
        <f aca="false">COUNTIF($H$5:H1027,H1027)</f>
        <v>1</v>
      </c>
      <c r="K1027" s="1" t="n">
        <f aca="false">COUNTIFS($H$5:$H$1624,H1027,$B$5:$B$1624,"&lt;&gt;"&amp;B1027)</f>
        <v>0</v>
      </c>
      <c r="L1027" s="1" t="str">
        <f aca="false">IF(I1027&gt;1,IF(K1027&gt;0,"Cross-hospital match","Same-hospital match"),"")</f>
        <v/>
      </c>
      <c r="M1027" s="52"/>
      <c r="N1027" s="52"/>
      <c r="O1027" s="1" t="n">
        <f aca="false">IF(M1027="Exclude (duplicate)",0,1)</f>
        <v>1</v>
      </c>
      <c r="P1027" s="1" t="str">
        <f aca="false">IF(AND(L1027&lt;&gt;"",M1027=""),"Needs decision","")</f>
        <v/>
      </c>
    </row>
    <row r="1028" customFormat="false" ht="15" hidden="false" customHeight="false" outlineLevel="0" collapsed="false">
      <c r="A1028" s="48" t="str">
        <f aca="false">COST!A1028</f>
        <v>CBH-0200</v>
      </c>
      <c r="B1028" s="48" t="str">
        <f aca="false">COST!B1028</f>
        <v>CBH</v>
      </c>
      <c r="C1028" s="48" t="str">
        <f aca="false">COST!D1028</f>
        <v>Free Clinic Provider Staffing</v>
      </c>
      <c r="D1028" s="62" t="n">
        <f aca="false">COST!M1028</f>
        <v>46112</v>
      </c>
      <c r="E1028" s="48" t="str">
        <f aca="false">COST!P1028</f>
        <v>Nurse Practitioner</v>
      </c>
      <c r="F1028" s="63" t="n">
        <f aca="false">COST!R1028</f>
        <v>40.25</v>
      </c>
      <c r="G1028" s="48" t="str">
        <f aca="false">STACK!M1028</f>
        <v/>
      </c>
      <c r="H1028" s="1" t="str">
        <f aca="false">C1028&amp;"|"&amp;IF(ISNUMBER(D1028),TEXT(D1028,"yyyy-mm-dd"),"no date")&amp;"|"&amp;E1028&amp;"|"&amp;IF(ISNUMBER(F1028),TEXT(F1028,"0.00"),"blank")</f>
        <v>Free Clinic Provider Staffing|2026-03-31|Nurse Practitioner|40.25</v>
      </c>
      <c r="I1028" s="1" t="n">
        <f aca="false">COUNTIF($H$5:$H$1624,H1028)</f>
        <v>1</v>
      </c>
      <c r="J1028" s="1" t="n">
        <f aca="false">COUNTIF($H$5:H1028,H1028)</f>
        <v>1</v>
      </c>
      <c r="K1028" s="1" t="n">
        <f aca="false">COUNTIFS($H$5:$H$1624,H1028,$B$5:$B$1624,"&lt;&gt;"&amp;B1028)</f>
        <v>0</v>
      </c>
      <c r="L1028" s="1" t="str">
        <f aca="false">IF(I1028&gt;1,IF(K1028&gt;0,"Cross-hospital match","Same-hospital match"),"")</f>
        <v/>
      </c>
      <c r="M1028" s="52"/>
      <c r="N1028" s="52"/>
      <c r="O1028" s="1" t="n">
        <f aca="false">IF(M1028="Exclude (duplicate)",0,1)</f>
        <v>1</v>
      </c>
      <c r="P1028" s="1" t="str">
        <f aca="false">IF(AND(L1028&lt;&gt;"",M1028=""),"Needs decision","")</f>
        <v/>
      </c>
    </row>
    <row r="1029" customFormat="false" ht="15" hidden="false" customHeight="false" outlineLevel="0" collapsed="false">
      <c r="A1029" s="48" t="str">
        <f aca="false">COST!A1029</f>
        <v>CBH-0201</v>
      </c>
      <c r="B1029" s="48" t="str">
        <f aca="false">COST!B1029</f>
        <v>CBH</v>
      </c>
      <c r="C1029" s="48" t="str">
        <f aca="false">COST!D1029</f>
        <v>Free Clinic Provider Staffing</v>
      </c>
      <c r="D1029" s="62" t="n">
        <f aca="false">COST!M1029</f>
        <v>46112</v>
      </c>
      <c r="E1029" s="48" t="str">
        <f aca="false">COST!P1029</f>
        <v>Pharmacist</v>
      </c>
      <c r="F1029" s="63" t="n">
        <f aca="false">COST!R1029</f>
        <v>12</v>
      </c>
      <c r="G1029" s="48" t="str">
        <f aca="false">STACK!M1029</f>
        <v/>
      </c>
      <c r="H1029" s="1" t="str">
        <f aca="false">C1029&amp;"|"&amp;IF(ISNUMBER(D1029),TEXT(D1029,"yyyy-mm-dd"),"no date")&amp;"|"&amp;E1029&amp;"|"&amp;IF(ISNUMBER(F1029),TEXT(F1029,"0.00"),"blank")</f>
        <v>Free Clinic Provider Staffing|2026-03-31|Pharmacist|12.00</v>
      </c>
      <c r="I1029" s="1" t="n">
        <f aca="false">COUNTIF($H$5:$H$1624,H1029)</f>
        <v>1</v>
      </c>
      <c r="J1029" s="1" t="n">
        <f aca="false">COUNTIF($H$5:H1029,H1029)</f>
        <v>1</v>
      </c>
      <c r="K1029" s="1" t="n">
        <f aca="false">COUNTIFS($H$5:$H$1624,H1029,$B$5:$B$1624,"&lt;&gt;"&amp;B1029)</f>
        <v>0</v>
      </c>
      <c r="L1029" s="1" t="str">
        <f aca="false">IF(I1029&gt;1,IF(K1029&gt;0,"Cross-hospital match","Same-hospital match"),"")</f>
        <v/>
      </c>
      <c r="M1029" s="52"/>
      <c r="N1029" s="52"/>
      <c r="O1029" s="1" t="n">
        <f aca="false">IF(M1029="Exclude (duplicate)",0,1)</f>
        <v>1</v>
      </c>
      <c r="P1029" s="1" t="str">
        <f aca="false">IF(AND(L1029&lt;&gt;"",M1029=""),"Needs decision","")</f>
        <v/>
      </c>
    </row>
    <row r="1030" customFormat="false" ht="15" hidden="false" customHeight="false" outlineLevel="0" collapsed="false">
      <c r="A1030" s="48" t="str">
        <f aca="false">COST!A1030</f>
        <v>CBH-0202</v>
      </c>
      <c r="B1030" s="48" t="str">
        <f aca="false">COST!B1030</f>
        <v>CBH</v>
      </c>
      <c r="C1030" s="48" t="str">
        <f aca="false">COST!D1030</f>
        <v>Free Clinic Provider Staffing</v>
      </c>
      <c r="D1030" s="62" t="n">
        <f aca="false">COST!M1030</f>
        <v>46112</v>
      </c>
      <c r="E1030" s="48" t="str">
        <f aca="false">COST!P1030</f>
        <v>Registered Nurse</v>
      </c>
      <c r="F1030" s="63" t="n">
        <f aca="false">COST!R1030</f>
        <v>38.75</v>
      </c>
      <c r="G1030" s="48" t="str">
        <f aca="false">STACK!M1030</f>
        <v/>
      </c>
      <c r="H1030" s="1" t="str">
        <f aca="false">C1030&amp;"|"&amp;IF(ISNUMBER(D1030),TEXT(D1030,"yyyy-mm-dd"),"no date")&amp;"|"&amp;E1030&amp;"|"&amp;IF(ISNUMBER(F1030),TEXT(F1030,"0.00"),"blank")</f>
        <v>Free Clinic Provider Staffing|2026-03-31|Registered Nurse|38.75</v>
      </c>
      <c r="I1030" s="1" t="n">
        <f aca="false">COUNTIF($H$5:$H$1624,H1030)</f>
        <v>1</v>
      </c>
      <c r="J1030" s="1" t="n">
        <f aca="false">COUNTIF($H$5:H1030,H1030)</f>
        <v>1</v>
      </c>
      <c r="K1030" s="1" t="n">
        <f aca="false">COUNTIFS($H$5:$H$1624,H1030,$B$5:$B$1624,"&lt;&gt;"&amp;B1030)</f>
        <v>0</v>
      </c>
      <c r="L1030" s="1" t="str">
        <f aca="false">IF(I1030&gt;1,IF(K1030&gt;0,"Cross-hospital match","Same-hospital match"),"")</f>
        <v/>
      </c>
      <c r="M1030" s="52"/>
      <c r="N1030" s="52"/>
      <c r="O1030" s="1" t="n">
        <f aca="false">IF(M1030="Exclude (duplicate)",0,1)</f>
        <v>1</v>
      </c>
      <c r="P1030" s="1" t="str">
        <f aca="false">IF(AND(L1030&lt;&gt;"",M1030=""),"Needs decision","")</f>
        <v/>
      </c>
    </row>
    <row r="1031" customFormat="false" ht="15" hidden="false" customHeight="false" outlineLevel="0" collapsed="false">
      <c r="A1031" s="48" t="str">
        <f aca="false">COST!A1031</f>
        <v>CBH-0203</v>
      </c>
      <c r="B1031" s="48" t="str">
        <f aca="false">COST!B1031</f>
        <v>CBH</v>
      </c>
      <c r="C1031" s="48" t="str">
        <f aca="false">COST!D1031</f>
        <v>Medication Assistance Program</v>
      </c>
      <c r="D1031" s="62" t="n">
        <f aca="false">COST!M1031</f>
        <v>46112</v>
      </c>
      <c r="E1031" s="48" t="str">
        <f aca="false">COST!P1031</f>
        <v>Patient Navigator</v>
      </c>
      <c r="F1031" s="63" t="n">
        <f aca="false">COST!R1031</f>
        <v>81.25</v>
      </c>
      <c r="G1031" s="48" t="str">
        <f aca="false">STACK!M1031</f>
        <v/>
      </c>
      <c r="H1031" s="1" t="str">
        <f aca="false">C1031&amp;"|"&amp;IF(ISNUMBER(D1031),TEXT(D1031,"yyyy-mm-dd"),"no date")&amp;"|"&amp;E1031&amp;"|"&amp;IF(ISNUMBER(F1031),TEXT(F1031,"0.00"),"blank")</f>
        <v>Medication Assistance Program|2026-03-31|Patient Navigator|81.25</v>
      </c>
      <c r="I1031" s="1" t="n">
        <f aca="false">COUNTIF($H$5:$H$1624,H1031)</f>
        <v>1</v>
      </c>
      <c r="J1031" s="1" t="n">
        <f aca="false">COUNTIF($H$5:H1031,H1031)</f>
        <v>1</v>
      </c>
      <c r="K1031" s="1" t="n">
        <f aca="false">COUNTIFS($H$5:$H$1624,H1031,$B$5:$B$1624,"&lt;&gt;"&amp;B1031)</f>
        <v>0</v>
      </c>
      <c r="L1031" s="1" t="str">
        <f aca="false">IF(I1031&gt;1,IF(K1031&gt;0,"Cross-hospital match","Same-hospital match"),"")</f>
        <v/>
      </c>
      <c r="M1031" s="52"/>
      <c r="N1031" s="52"/>
      <c r="O1031" s="1" t="n">
        <f aca="false">IF(M1031="Exclude (duplicate)",0,1)</f>
        <v>1</v>
      </c>
      <c r="P1031" s="1" t="str">
        <f aca="false">IF(AND(L1031&lt;&gt;"",M1031=""),"Needs decision","")</f>
        <v/>
      </c>
    </row>
    <row r="1032" customFormat="false" ht="15" hidden="false" customHeight="false" outlineLevel="0" collapsed="false">
      <c r="A1032" s="48" t="str">
        <f aca="false">COST!A1032</f>
        <v>CBH-0204</v>
      </c>
      <c r="B1032" s="48" t="str">
        <f aca="false">COST!B1032</f>
        <v>CBH</v>
      </c>
      <c r="C1032" s="48" t="str">
        <f aca="false">COST!D1032</f>
        <v>Medication Assistance Program</v>
      </c>
      <c r="D1032" s="62" t="n">
        <f aca="false">COST!M1032</f>
        <v>46112</v>
      </c>
      <c r="E1032" s="48" t="str">
        <f aca="false">COST!P1032</f>
        <v>Pharmacist</v>
      </c>
      <c r="F1032" s="63" t="n">
        <f aca="false">COST!R1032</f>
        <v>19</v>
      </c>
      <c r="G1032" s="48" t="str">
        <f aca="false">STACK!M1032</f>
        <v/>
      </c>
      <c r="H1032" s="1" t="str">
        <f aca="false">C1032&amp;"|"&amp;IF(ISNUMBER(D1032),TEXT(D1032,"yyyy-mm-dd"),"no date")&amp;"|"&amp;E1032&amp;"|"&amp;IF(ISNUMBER(F1032),TEXT(F1032,"0.00"),"blank")</f>
        <v>Medication Assistance Program|2026-03-31|Pharmacist|19.00</v>
      </c>
      <c r="I1032" s="1" t="n">
        <f aca="false">COUNTIF($H$5:$H$1624,H1032)</f>
        <v>1</v>
      </c>
      <c r="J1032" s="1" t="n">
        <f aca="false">COUNTIF($H$5:H1032,H1032)</f>
        <v>1</v>
      </c>
      <c r="K1032" s="1" t="n">
        <f aca="false">COUNTIFS($H$5:$H$1624,H1032,$B$5:$B$1624,"&lt;&gt;"&amp;B1032)</f>
        <v>0</v>
      </c>
      <c r="L1032" s="1" t="str">
        <f aca="false">IF(I1032&gt;1,IF(K1032&gt;0,"Cross-hospital match","Same-hospital match"),"")</f>
        <v/>
      </c>
      <c r="M1032" s="52"/>
      <c r="N1032" s="52"/>
      <c r="O1032" s="1" t="n">
        <f aca="false">IF(M1032="Exclude (duplicate)",0,1)</f>
        <v>1</v>
      </c>
      <c r="P1032" s="1" t="str">
        <f aca="false">IF(AND(L1032&lt;&gt;"",M1032=""),"Needs decision","")</f>
        <v/>
      </c>
    </row>
    <row r="1033" customFormat="false" ht="15" hidden="false" customHeight="false" outlineLevel="0" collapsed="false">
      <c r="A1033" s="48" t="str">
        <f aca="false">COST!A1033</f>
        <v>CBH-0205</v>
      </c>
      <c r="B1033" s="48" t="str">
        <f aca="false">COST!B1033</f>
        <v>CBH</v>
      </c>
      <c r="C1033" s="48" t="str">
        <f aca="false">COST!D1033</f>
        <v>Community Benefit Program Administration</v>
      </c>
      <c r="D1033" s="62" t="n">
        <f aca="false">COST!M1033</f>
        <v>46112</v>
      </c>
      <c r="E1033" s="48" t="str">
        <f aca="false">COST!P1033</f>
        <v>Administrative Assistant</v>
      </c>
      <c r="F1033" s="63" t="n">
        <f aca="false">COST!R1033</f>
        <v>44.25</v>
      </c>
      <c r="G1033" s="48" t="str">
        <f aca="false">STACK!M1033</f>
        <v/>
      </c>
      <c r="H1033" s="1" t="str">
        <f aca="false">C1033&amp;"|"&amp;IF(ISNUMBER(D1033),TEXT(D1033,"yyyy-mm-dd"),"no date")&amp;"|"&amp;E1033&amp;"|"&amp;IF(ISNUMBER(F1033),TEXT(F1033,"0.00"),"blank")</f>
        <v>Community Benefit Program Administration|2026-03-31|Administrative Assistant|44.25</v>
      </c>
      <c r="I1033" s="1" t="n">
        <f aca="false">COUNTIF($H$5:$H$1624,H1033)</f>
        <v>1</v>
      </c>
      <c r="J1033" s="1" t="n">
        <f aca="false">COUNTIF($H$5:H1033,H1033)</f>
        <v>1</v>
      </c>
      <c r="K1033" s="1" t="n">
        <f aca="false">COUNTIFS($H$5:$H$1624,H1033,$B$5:$B$1624,"&lt;&gt;"&amp;B1033)</f>
        <v>0</v>
      </c>
      <c r="L1033" s="1" t="str">
        <f aca="false">IF(I1033&gt;1,IF(K1033&gt;0,"Cross-hospital match","Same-hospital match"),"")</f>
        <v/>
      </c>
      <c r="M1033" s="52"/>
      <c r="N1033" s="52"/>
      <c r="O1033" s="1" t="n">
        <f aca="false">IF(M1033="Exclude (duplicate)",0,1)</f>
        <v>1</v>
      </c>
      <c r="P1033" s="1" t="str">
        <f aca="false">IF(AND(L1033&lt;&gt;"",M1033=""),"Needs decision","")</f>
        <v/>
      </c>
    </row>
    <row r="1034" customFormat="false" ht="15" hidden="false" customHeight="false" outlineLevel="0" collapsed="false">
      <c r="A1034" s="48" t="str">
        <f aca="false">COST!A1034</f>
        <v>CBH-0206</v>
      </c>
      <c r="B1034" s="48" t="str">
        <f aca="false">COST!B1034</f>
        <v>CBH</v>
      </c>
      <c r="C1034" s="48" t="str">
        <f aca="false">COST!D1034</f>
        <v>Community Benefit Program Administration</v>
      </c>
      <c r="D1034" s="62" t="n">
        <f aca="false">COST!M1034</f>
        <v>46112</v>
      </c>
      <c r="E1034" s="48" t="str">
        <f aca="false">COST!P1034</f>
        <v>Community Benefit Manager</v>
      </c>
      <c r="F1034" s="63" t="n">
        <f aca="false">COST!R1034</f>
        <v>53.5</v>
      </c>
      <c r="G1034" s="48" t="str">
        <f aca="false">STACK!M1034</f>
        <v/>
      </c>
      <c r="H1034" s="1" t="str">
        <f aca="false">C1034&amp;"|"&amp;IF(ISNUMBER(D1034),TEXT(D1034,"yyyy-mm-dd"),"no date")&amp;"|"&amp;E1034&amp;"|"&amp;IF(ISNUMBER(F1034),TEXT(F1034,"0.00"),"blank")</f>
        <v>Community Benefit Program Administration|2026-03-31|Community Benefit Manager|53.50</v>
      </c>
      <c r="I1034" s="1" t="n">
        <f aca="false">COUNTIF($H$5:$H$1624,H1034)</f>
        <v>1</v>
      </c>
      <c r="J1034" s="1" t="n">
        <f aca="false">COUNTIF($H$5:H1034,H1034)</f>
        <v>1</v>
      </c>
      <c r="K1034" s="1" t="n">
        <f aca="false">COUNTIFS($H$5:$H$1624,H1034,$B$5:$B$1624,"&lt;&gt;"&amp;B1034)</f>
        <v>0</v>
      </c>
      <c r="L1034" s="1" t="str">
        <f aca="false">IF(I1034&gt;1,IF(K1034&gt;0,"Cross-hospital match","Same-hospital match"),"")</f>
        <v/>
      </c>
      <c r="M1034" s="52"/>
      <c r="N1034" s="52"/>
      <c r="O1034" s="1" t="n">
        <f aca="false">IF(M1034="Exclude (duplicate)",0,1)</f>
        <v>1</v>
      </c>
      <c r="P1034" s="1" t="str">
        <f aca="false">IF(AND(L1034&lt;&gt;"",M1034=""),"Needs decision","")</f>
        <v/>
      </c>
    </row>
    <row r="1035" customFormat="false" ht="15" hidden="false" customHeight="false" outlineLevel="0" collapsed="false">
      <c r="A1035" s="48" t="str">
        <f aca="false">COST!A1035</f>
        <v>CBH-0207</v>
      </c>
      <c r="B1035" s="48" t="str">
        <f aca="false">COST!B1035</f>
        <v>CBH</v>
      </c>
      <c r="C1035" s="48" t="str">
        <f aca="false">COST!D1035</f>
        <v>Interpreter Services for Community Clinics</v>
      </c>
      <c r="D1035" s="62" t="n">
        <f aca="false">COST!M1035</f>
        <v>46112</v>
      </c>
      <c r="E1035" s="48" t="str">
        <f aca="false">COST!P1035</f>
        <v>Interpreter</v>
      </c>
      <c r="F1035" s="63" t="n">
        <f aca="false">COST!R1035</f>
        <v>55.75</v>
      </c>
      <c r="G1035" s="48" t="str">
        <f aca="false">STACK!M1035</f>
        <v/>
      </c>
      <c r="H1035" s="1" t="str">
        <f aca="false">C1035&amp;"|"&amp;IF(ISNUMBER(D1035),TEXT(D1035,"yyyy-mm-dd"),"no date")&amp;"|"&amp;E1035&amp;"|"&amp;IF(ISNUMBER(F1035),TEXT(F1035,"0.00"),"blank")</f>
        <v>Interpreter Services for Community Clinics|2026-03-31|Interpreter|55.75</v>
      </c>
      <c r="I1035" s="1" t="n">
        <f aca="false">COUNTIF($H$5:$H$1624,H1035)</f>
        <v>1</v>
      </c>
      <c r="J1035" s="1" t="n">
        <f aca="false">COUNTIF($H$5:H1035,H1035)</f>
        <v>1</v>
      </c>
      <c r="K1035" s="1" t="n">
        <f aca="false">COUNTIFS($H$5:$H$1624,H1035,$B$5:$B$1624,"&lt;&gt;"&amp;B1035)</f>
        <v>0</v>
      </c>
      <c r="L1035" s="1" t="str">
        <f aca="false">IF(I1035&gt;1,IF(K1035&gt;0,"Cross-hospital match","Same-hospital match"),"")</f>
        <v/>
      </c>
      <c r="M1035" s="52"/>
      <c r="N1035" s="52"/>
      <c r="O1035" s="1" t="n">
        <f aca="false">IF(M1035="Exclude (duplicate)",0,1)</f>
        <v>1</v>
      </c>
      <c r="P1035" s="1" t="str">
        <f aca="false">IF(AND(L1035&lt;&gt;"",M1035=""),"Needs decision","")</f>
        <v/>
      </c>
    </row>
    <row r="1036" customFormat="false" ht="15" hidden="false" customHeight="false" outlineLevel="0" collapsed="false">
      <c r="A1036" s="48" t="str">
        <f aca="false">COST!A1036</f>
        <v>CBH-0208</v>
      </c>
      <c r="B1036" s="48" t="str">
        <f aca="false">COST!B1036</f>
        <v>CBH</v>
      </c>
      <c r="C1036" s="48" t="str">
        <f aca="false">COST!D1036</f>
        <v>Nursing Student Clinical Rotations</v>
      </c>
      <c r="D1036" s="62" t="n">
        <f aca="false">COST!M1036</f>
        <v>46112</v>
      </c>
      <c r="E1036" s="48" t="str">
        <f aca="false">COST!P1036</f>
        <v>Clinical Nurse Educator</v>
      </c>
      <c r="F1036" s="63" t="n">
        <f aca="false">COST!R1036</f>
        <v>89.25</v>
      </c>
      <c r="G1036" s="48" t="str">
        <f aca="false">STACK!M1036</f>
        <v/>
      </c>
      <c r="H1036" s="1" t="str">
        <f aca="false">C1036&amp;"|"&amp;IF(ISNUMBER(D1036),TEXT(D1036,"yyyy-mm-dd"),"no date")&amp;"|"&amp;E1036&amp;"|"&amp;IF(ISNUMBER(F1036),TEXT(F1036,"0.00"),"blank")</f>
        <v>Nursing Student Clinical Rotations|2026-03-31|Clinical Nurse Educator|89.25</v>
      </c>
      <c r="I1036" s="1" t="n">
        <f aca="false">COUNTIF($H$5:$H$1624,H1036)</f>
        <v>1</v>
      </c>
      <c r="J1036" s="1" t="n">
        <f aca="false">COUNTIF($H$5:H1036,H1036)</f>
        <v>1</v>
      </c>
      <c r="K1036" s="1" t="n">
        <f aca="false">COUNTIFS($H$5:$H$1624,H1036,$B$5:$B$1624,"&lt;&gt;"&amp;B1036)</f>
        <v>0</v>
      </c>
      <c r="L1036" s="1" t="str">
        <f aca="false">IF(I1036&gt;1,IF(K1036&gt;0,"Cross-hospital match","Same-hospital match"),"")</f>
        <v/>
      </c>
      <c r="M1036" s="52"/>
      <c r="N1036" s="52"/>
      <c r="O1036" s="1" t="n">
        <f aca="false">IF(M1036="Exclude (duplicate)",0,1)</f>
        <v>1</v>
      </c>
      <c r="P1036" s="1" t="str">
        <f aca="false">IF(AND(L1036&lt;&gt;"",M1036=""),"Needs decision","")</f>
        <v/>
      </c>
    </row>
    <row r="1037" customFormat="false" ht="15" hidden="false" customHeight="false" outlineLevel="0" collapsed="false">
      <c r="A1037" s="48" t="str">
        <f aca="false">COST!A1037</f>
        <v>CBH-0209</v>
      </c>
      <c r="B1037" s="48" t="str">
        <f aca="false">COST!B1037</f>
        <v>CBH</v>
      </c>
      <c r="C1037" s="48" t="str">
        <f aca="false">COST!D1037</f>
        <v>Nursing Student Clinical Rotations</v>
      </c>
      <c r="D1037" s="62" t="n">
        <f aca="false">COST!M1037</f>
        <v>46112</v>
      </c>
      <c r="E1037" s="48" t="str">
        <f aca="false">COST!P1037</f>
        <v>Registered Nurse</v>
      </c>
      <c r="F1037" s="63" t="n">
        <f aca="false">COST!R1037</f>
        <v>217.75</v>
      </c>
      <c r="G1037" s="48" t="str">
        <f aca="false">STACK!M1037</f>
        <v/>
      </c>
      <c r="H1037" s="1" t="str">
        <f aca="false">C1037&amp;"|"&amp;IF(ISNUMBER(D1037),TEXT(D1037,"yyyy-mm-dd"),"no date")&amp;"|"&amp;E1037&amp;"|"&amp;IF(ISNUMBER(F1037),TEXT(F1037,"0.00"),"blank")</f>
        <v>Nursing Student Clinical Rotations|2026-03-31|Registered Nurse|217.75</v>
      </c>
      <c r="I1037" s="1" t="n">
        <f aca="false">COUNTIF($H$5:$H$1624,H1037)</f>
        <v>1</v>
      </c>
      <c r="J1037" s="1" t="n">
        <f aca="false">COUNTIF($H$5:H1037,H1037)</f>
        <v>1</v>
      </c>
      <c r="K1037" s="1" t="n">
        <f aca="false">COUNTIFS($H$5:$H$1624,H1037,$B$5:$B$1624,"&lt;&gt;"&amp;B1037)</f>
        <v>0</v>
      </c>
      <c r="L1037" s="1" t="str">
        <f aca="false">IF(I1037&gt;1,IF(K1037&gt;0,"Cross-hospital match","Same-hospital match"),"")</f>
        <v/>
      </c>
      <c r="M1037" s="52"/>
      <c r="N1037" s="52"/>
      <c r="O1037" s="1" t="n">
        <f aca="false">IF(M1037="Exclude (duplicate)",0,1)</f>
        <v>1</v>
      </c>
      <c r="P1037" s="1" t="str">
        <f aca="false">IF(AND(L1037&lt;&gt;"",M1037=""),"Needs decision","")</f>
        <v/>
      </c>
    </row>
    <row r="1038" customFormat="false" ht="15" hidden="false" customHeight="false" outlineLevel="0" collapsed="false">
      <c r="A1038" s="48" t="str">
        <f aca="false">COST!A1038</f>
        <v>CBH-0210</v>
      </c>
      <c r="B1038" s="48" t="str">
        <f aca="false">COST!B1038</f>
        <v>CBH</v>
      </c>
      <c r="C1038" s="48" t="str">
        <f aca="false">COST!D1038</f>
        <v>Pharmacy Student Rotations</v>
      </c>
      <c r="D1038" s="62" t="n">
        <f aca="false">COST!M1038</f>
        <v>46112</v>
      </c>
      <c r="E1038" s="48" t="str">
        <f aca="false">COST!P1038</f>
        <v>Pharmacist</v>
      </c>
      <c r="F1038" s="63" t="n">
        <f aca="false">COST!R1038</f>
        <v>62.25</v>
      </c>
      <c r="G1038" s="48" t="str">
        <f aca="false">STACK!M1038</f>
        <v/>
      </c>
      <c r="H1038" s="1" t="str">
        <f aca="false">C1038&amp;"|"&amp;IF(ISNUMBER(D1038),TEXT(D1038,"yyyy-mm-dd"),"no date")&amp;"|"&amp;E1038&amp;"|"&amp;IF(ISNUMBER(F1038),TEXT(F1038,"0.00"),"blank")</f>
        <v>Pharmacy Student Rotations|2026-03-31|Pharmacist|62.25</v>
      </c>
      <c r="I1038" s="1" t="n">
        <f aca="false">COUNTIF($H$5:$H$1624,H1038)</f>
        <v>1</v>
      </c>
      <c r="J1038" s="1" t="n">
        <f aca="false">COUNTIF($H$5:H1038,H1038)</f>
        <v>1</v>
      </c>
      <c r="K1038" s="1" t="n">
        <f aca="false">COUNTIFS($H$5:$H$1624,H1038,$B$5:$B$1624,"&lt;&gt;"&amp;B1038)</f>
        <v>0</v>
      </c>
      <c r="L1038" s="1" t="str">
        <f aca="false">IF(I1038&gt;1,IF(K1038&gt;0,"Cross-hospital match","Same-hospital match"),"")</f>
        <v/>
      </c>
      <c r="M1038" s="52"/>
      <c r="N1038" s="52"/>
      <c r="O1038" s="1" t="n">
        <f aca="false">IF(M1038="Exclude (duplicate)",0,1)</f>
        <v>1</v>
      </c>
      <c r="P1038" s="1" t="str">
        <f aca="false">IF(AND(L1038&lt;&gt;"",M1038=""),"Needs decision","")</f>
        <v/>
      </c>
    </row>
    <row r="1039" customFormat="false" ht="15" hidden="false" customHeight="false" outlineLevel="0" collapsed="false">
      <c r="A1039" s="48" t="str">
        <f aca="false">COST!A1039</f>
        <v>CBH-0211</v>
      </c>
      <c r="B1039" s="48" t="str">
        <f aca="false">COST!B1039</f>
        <v>CBH</v>
      </c>
      <c r="C1039" s="48" t="str">
        <f aca="false">COST!D1039</f>
        <v>Community Blood Pressure Checks</v>
      </c>
      <c r="D1039" s="62" t="n">
        <f aca="false">COST!M1039</f>
        <v>46113</v>
      </c>
      <c r="E1039" s="48" t="str">
        <f aca="false">COST!P1039</f>
        <v>Registered Nurse</v>
      </c>
      <c r="F1039" s="63" t="n">
        <f aca="false">COST!R1039</f>
        <v>4.25</v>
      </c>
      <c r="G1039" s="48" t="str">
        <f aca="false">STACK!M1039</f>
        <v/>
      </c>
      <c r="H1039" s="1" t="str">
        <f aca="false">C1039&amp;"|"&amp;IF(ISNUMBER(D1039),TEXT(D1039,"yyyy-mm-dd"),"no date")&amp;"|"&amp;E1039&amp;"|"&amp;IF(ISNUMBER(F1039),TEXT(F1039,"0.00"),"blank")</f>
        <v>Community Blood Pressure Checks|2026-04-01|Registered Nurse|4.25</v>
      </c>
      <c r="I1039" s="1" t="n">
        <f aca="false">COUNTIF($H$5:$H$1624,H1039)</f>
        <v>1</v>
      </c>
      <c r="J1039" s="1" t="n">
        <f aca="false">COUNTIF($H$5:H1039,H1039)</f>
        <v>1</v>
      </c>
      <c r="K1039" s="1" t="n">
        <f aca="false">COUNTIFS($H$5:$H$1624,H1039,$B$5:$B$1624,"&lt;&gt;"&amp;B1039)</f>
        <v>0</v>
      </c>
      <c r="L1039" s="1" t="str">
        <f aca="false">IF(I1039&gt;1,IF(K1039&gt;0,"Cross-hospital match","Same-hospital match"),"")</f>
        <v/>
      </c>
      <c r="M1039" s="52"/>
      <c r="N1039" s="52"/>
      <c r="O1039" s="1" t="n">
        <f aca="false">IF(M1039="Exclude (duplicate)",0,1)</f>
        <v>1</v>
      </c>
      <c r="P1039" s="1" t="str">
        <f aca="false">IF(AND(L1039&lt;&gt;"",M1039=""),"Needs decision","")</f>
        <v/>
      </c>
    </row>
    <row r="1040" customFormat="false" ht="15" hidden="false" customHeight="false" outlineLevel="0" collapsed="false">
      <c r="A1040" s="48" t="str">
        <f aca="false">COST!A1040</f>
        <v>CBH-0212</v>
      </c>
      <c r="B1040" s="48" t="str">
        <f aca="false">COST!B1040</f>
        <v>CBH</v>
      </c>
      <c r="C1040" s="48" t="str">
        <f aca="false">COST!D1040</f>
        <v>Grief Support Group</v>
      </c>
      <c r="D1040" s="62" t="n">
        <f aca="false">COST!M1040</f>
        <v>46114</v>
      </c>
      <c r="E1040" s="48" t="str">
        <f aca="false">COST!P1040</f>
        <v>Chaplain</v>
      </c>
      <c r="F1040" s="63" t="n">
        <f aca="false">COST!R1040</f>
        <v>2.25</v>
      </c>
      <c r="G1040" s="48" t="str">
        <f aca="false">STACK!M1040</f>
        <v/>
      </c>
      <c r="H1040" s="1" t="str">
        <f aca="false">C1040&amp;"|"&amp;IF(ISNUMBER(D1040),TEXT(D1040,"yyyy-mm-dd"),"no date")&amp;"|"&amp;E1040&amp;"|"&amp;IF(ISNUMBER(F1040),TEXT(F1040,"0.00"),"blank")</f>
        <v>Grief Support Group|2026-04-02|Chaplain|2.25</v>
      </c>
      <c r="I1040" s="1" t="n">
        <f aca="false">COUNTIF($H$5:$H$1624,H1040)</f>
        <v>1</v>
      </c>
      <c r="J1040" s="1" t="n">
        <f aca="false">COUNTIF($H$5:H1040,H1040)</f>
        <v>1</v>
      </c>
      <c r="K1040" s="1" t="n">
        <f aca="false">COUNTIFS($H$5:$H$1624,H1040,$B$5:$B$1624,"&lt;&gt;"&amp;B1040)</f>
        <v>0</v>
      </c>
      <c r="L1040" s="1" t="str">
        <f aca="false">IF(I1040&gt;1,IF(K1040&gt;0,"Cross-hospital match","Same-hospital match"),"")</f>
        <v/>
      </c>
      <c r="M1040" s="52"/>
      <c r="N1040" s="52"/>
      <c r="O1040" s="1" t="n">
        <f aca="false">IF(M1040="Exclude (duplicate)",0,1)</f>
        <v>1</v>
      </c>
      <c r="P1040" s="1" t="str">
        <f aca="false">IF(AND(L1040&lt;&gt;"",M1040=""),"Needs decision","")</f>
        <v/>
      </c>
    </row>
    <row r="1041" customFormat="false" ht="15" hidden="false" customHeight="false" outlineLevel="0" collapsed="false">
      <c r="A1041" s="48" t="str">
        <f aca="false">COST!A1041</f>
        <v>CBH-0213</v>
      </c>
      <c r="B1041" s="48" t="str">
        <f aca="false">COST!B1041</f>
        <v>CBH</v>
      </c>
      <c r="C1041" s="48" t="str">
        <f aca="false">COST!D1041</f>
        <v>Grief Support Group</v>
      </c>
      <c r="D1041" s="62" t="n">
        <f aca="false">COST!M1041</f>
        <v>46114</v>
      </c>
      <c r="E1041" s="48" t="str">
        <f aca="false">COST!P1041</f>
        <v>Social Worker</v>
      </c>
      <c r="F1041" s="63" t="n">
        <f aca="false">COST!R1041</f>
        <v>1.5</v>
      </c>
      <c r="G1041" s="48" t="str">
        <f aca="false">STACK!M1041</f>
        <v/>
      </c>
      <c r="H1041" s="1" t="str">
        <f aca="false">C1041&amp;"|"&amp;IF(ISNUMBER(D1041),TEXT(D1041,"yyyy-mm-dd"),"no date")&amp;"|"&amp;E1041&amp;"|"&amp;IF(ISNUMBER(F1041),TEXT(F1041,"0.00"),"blank")</f>
        <v>Grief Support Group|2026-04-02|Social Worker|1.50</v>
      </c>
      <c r="I1041" s="1" t="n">
        <f aca="false">COUNTIF($H$5:$H$1624,H1041)</f>
        <v>1</v>
      </c>
      <c r="J1041" s="1" t="n">
        <f aca="false">COUNTIF($H$5:H1041,H1041)</f>
        <v>1</v>
      </c>
      <c r="K1041" s="1" t="n">
        <f aca="false">COUNTIFS($H$5:$H$1624,H1041,$B$5:$B$1624,"&lt;&gt;"&amp;B1041)</f>
        <v>0</v>
      </c>
      <c r="L1041" s="1" t="str">
        <f aca="false">IF(I1041&gt;1,IF(K1041&gt;0,"Cross-hospital match","Same-hospital match"),"")</f>
        <v/>
      </c>
      <c r="M1041" s="52"/>
      <c r="N1041" s="52"/>
      <c r="O1041" s="1" t="n">
        <f aca="false">IF(M1041="Exclude (duplicate)",0,1)</f>
        <v>1</v>
      </c>
      <c r="P1041" s="1" t="str">
        <f aca="false">IF(AND(L1041&lt;&gt;"",M1041=""),"Needs decision","")</f>
        <v/>
      </c>
    </row>
    <row r="1042" customFormat="false" ht="15" hidden="false" customHeight="false" outlineLevel="0" collapsed="false">
      <c r="A1042" s="48" t="str">
        <f aca="false">COST!A1042</f>
        <v>CBH-0214</v>
      </c>
      <c r="B1042" s="48" t="str">
        <f aca="false">COST!B1042</f>
        <v>CBH</v>
      </c>
      <c r="C1042" s="48" t="str">
        <f aca="false">COST!D1042</f>
        <v>Grief Support Group</v>
      </c>
      <c r="D1042" s="62" t="n">
        <f aca="false">COST!M1042</f>
        <v>46127</v>
      </c>
      <c r="E1042" s="48" t="str">
        <f aca="false">COST!P1042</f>
        <v>Chaplain</v>
      </c>
      <c r="F1042" s="63" t="n">
        <f aca="false">COST!R1042</f>
        <v>2.5</v>
      </c>
      <c r="G1042" s="48" t="str">
        <f aca="false">STACK!M1042</f>
        <v/>
      </c>
      <c r="H1042" s="1" t="str">
        <f aca="false">C1042&amp;"|"&amp;IF(ISNUMBER(D1042),TEXT(D1042,"yyyy-mm-dd"),"no date")&amp;"|"&amp;E1042&amp;"|"&amp;IF(ISNUMBER(F1042),TEXT(F1042,"0.00"),"blank")</f>
        <v>Grief Support Group|2026-04-15|Chaplain|2.50</v>
      </c>
      <c r="I1042" s="1" t="n">
        <f aca="false">COUNTIF($H$5:$H$1624,H1042)</f>
        <v>1</v>
      </c>
      <c r="J1042" s="1" t="n">
        <f aca="false">COUNTIF($H$5:H1042,H1042)</f>
        <v>1</v>
      </c>
      <c r="K1042" s="1" t="n">
        <f aca="false">COUNTIFS($H$5:$H$1624,H1042,$B$5:$B$1624,"&lt;&gt;"&amp;B1042)</f>
        <v>0</v>
      </c>
      <c r="L1042" s="1" t="str">
        <f aca="false">IF(I1042&gt;1,IF(K1042&gt;0,"Cross-hospital match","Same-hospital match"),"")</f>
        <v/>
      </c>
      <c r="M1042" s="52"/>
      <c r="N1042" s="52"/>
      <c r="O1042" s="1" t="n">
        <f aca="false">IF(M1042="Exclude (duplicate)",0,1)</f>
        <v>1</v>
      </c>
      <c r="P1042" s="1" t="str">
        <f aca="false">IF(AND(L1042&lt;&gt;"",M1042=""),"Needs decision","")</f>
        <v/>
      </c>
    </row>
    <row r="1043" customFormat="false" ht="15" hidden="false" customHeight="false" outlineLevel="0" collapsed="false">
      <c r="A1043" s="48" t="str">
        <f aca="false">COST!A1043</f>
        <v>CBH-0215</v>
      </c>
      <c r="B1043" s="48" t="str">
        <f aca="false">COST!B1043</f>
        <v>CBH</v>
      </c>
      <c r="C1043" s="48" t="str">
        <f aca="false">COST!D1043</f>
        <v>Grief Support Group</v>
      </c>
      <c r="D1043" s="62" t="n">
        <f aca="false">COST!M1043</f>
        <v>46127</v>
      </c>
      <c r="E1043" s="48" t="str">
        <f aca="false">COST!P1043</f>
        <v>Social Worker</v>
      </c>
      <c r="F1043" s="63" t="n">
        <f aca="false">COST!R1043</f>
        <v>1.5</v>
      </c>
      <c r="G1043" s="48" t="str">
        <f aca="false">STACK!M1043</f>
        <v/>
      </c>
      <c r="H1043" s="1" t="str">
        <f aca="false">C1043&amp;"|"&amp;IF(ISNUMBER(D1043),TEXT(D1043,"yyyy-mm-dd"),"no date")&amp;"|"&amp;E1043&amp;"|"&amp;IF(ISNUMBER(F1043),TEXT(F1043,"0.00"),"blank")</f>
        <v>Grief Support Group|2026-04-15|Social Worker|1.50</v>
      </c>
      <c r="I1043" s="1" t="n">
        <f aca="false">COUNTIF($H$5:$H$1624,H1043)</f>
        <v>1</v>
      </c>
      <c r="J1043" s="1" t="n">
        <f aca="false">COUNTIF($H$5:H1043,H1043)</f>
        <v>1</v>
      </c>
      <c r="K1043" s="1" t="n">
        <f aca="false">COUNTIFS($H$5:$H$1624,H1043,$B$5:$B$1624,"&lt;&gt;"&amp;B1043)</f>
        <v>0</v>
      </c>
      <c r="L1043" s="1" t="str">
        <f aca="false">IF(I1043&gt;1,IF(K1043&gt;0,"Cross-hospital match","Same-hospital match"),"")</f>
        <v/>
      </c>
      <c r="M1043" s="52"/>
      <c r="N1043" s="52"/>
      <c r="O1043" s="1" t="n">
        <f aca="false">IF(M1043="Exclude (duplicate)",0,1)</f>
        <v>1</v>
      </c>
      <c r="P1043" s="1" t="str">
        <f aca="false">IF(AND(L1043&lt;&gt;"",M1043=""),"Needs decision","")</f>
        <v/>
      </c>
    </row>
    <row r="1044" customFormat="false" ht="15" hidden="false" customHeight="false" outlineLevel="0" collapsed="false">
      <c r="A1044" s="48" t="str">
        <f aca="false">COST!A1044</f>
        <v>CBH-0216</v>
      </c>
      <c r="B1044" s="48" t="str">
        <f aca="false">COST!B1044</f>
        <v>CBH</v>
      </c>
      <c r="C1044" s="48" t="str">
        <f aca="false">COST!D1044</f>
        <v>Community Garden and Green Space Project</v>
      </c>
      <c r="D1044" s="62" t="n">
        <f aca="false">COST!M1044</f>
        <v>46128</v>
      </c>
      <c r="E1044" s="48" t="str">
        <f aca="false">COST!P1044</f>
        <v>Program Coordinator</v>
      </c>
      <c r="F1044" s="63" t="n">
        <f aca="false">COST!R1044</f>
        <v>7.25</v>
      </c>
      <c r="G1044" s="48" t="str">
        <f aca="false">STACK!M1044</f>
        <v/>
      </c>
      <c r="H1044" s="1" t="str">
        <f aca="false">C1044&amp;"|"&amp;IF(ISNUMBER(D1044),TEXT(D1044,"yyyy-mm-dd"),"no date")&amp;"|"&amp;E1044&amp;"|"&amp;IF(ISNUMBER(F1044),TEXT(F1044,"0.00"),"blank")</f>
        <v>Community Garden and Green Space Project|2026-04-16|Program Coordinator|7.25</v>
      </c>
      <c r="I1044" s="1" t="n">
        <f aca="false">COUNTIF($H$5:$H$1624,H1044)</f>
        <v>1</v>
      </c>
      <c r="J1044" s="1" t="n">
        <f aca="false">COUNTIF($H$5:H1044,H1044)</f>
        <v>1</v>
      </c>
      <c r="K1044" s="1" t="n">
        <f aca="false">COUNTIFS($H$5:$H$1624,H1044,$B$5:$B$1624,"&lt;&gt;"&amp;B1044)</f>
        <v>0</v>
      </c>
      <c r="L1044" s="1" t="str">
        <f aca="false">IF(I1044&gt;1,IF(K1044&gt;0,"Cross-hospital match","Same-hospital match"),"")</f>
        <v/>
      </c>
      <c r="M1044" s="52"/>
      <c r="N1044" s="52"/>
      <c r="O1044" s="1" t="n">
        <f aca="false">IF(M1044="Exclude (duplicate)",0,1)</f>
        <v>1</v>
      </c>
      <c r="P1044" s="1" t="str">
        <f aca="false">IF(AND(L1044&lt;&gt;"",M1044=""),"Needs decision","")</f>
        <v/>
      </c>
    </row>
    <row r="1045" customFormat="false" ht="15" hidden="false" customHeight="false" outlineLevel="0" collapsed="false">
      <c r="A1045" s="48" t="str">
        <f aca="false">COST!A1045</f>
        <v>CBH-0217</v>
      </c>
      <c r="B1045" s="48" t="str">
        <f aca="false">COST!B1045</f>
        <v>CBH</v>
      </c>
      <c r="C1045" s="48" t="str">
        <f aca="false">COST!D1045</f>
        <v>Diabetes Prevention Classes</v>
      </c>
      <c r="D1045" s="62" t="n">
        <f aca="false">COST!M1045</f>
        <v>46140</v>
      </c>
      <c r="E1045" s="48" t="str">
        <f aca="false">COST!P1045</f>
        <v>Health Educator</v>
      </c>
      <c r="F1045" s="63" t="n">
        <f aca="false">COST!R1045</f>
        <v>2.75</v>
      </c>
      <c r="G1045" s="48" t="str">
        <f aca="false">STACK!M1045</f>
        <v/>
      </c>
      <c r="H1045" s="1" t="str">
        <f aca="false">C1045&amp;"|"&amp;IF(ISNUMBER(D1045),TEXT(D1045,"yyyy-mm-dd"),"no date")&amp;"|"&amp;E1045&amp;"|"&amp;IF(ISNUMBER(F1045),TEXT(F1045,"0.00"),"blank")</f>
        <v>Diabetes Prevention Classes|2026-04-28|Health Educator|2.75</v>
      </c>
      <c r="I1045" s="1" t="n">
        <f aca="false">COUNTIF($H$5:$H$1624,H1045)</f>
        <v>1</v>
      </c>
      <c r="J1045" s="1" t="n">
        <f aca="false">COUNTIF($H$5:H1045,H1045)</f>
        <v>1</v>
      </c>
      <c r="K1045" s="1" t="n">
        <f aca="false">COUNTIFS($H$5:$H$1624,H1045,$B$5:$B$1624,"&lt;&gt;"&amp;B1045)</f>
        <v>0</v>
      </c>
      <c r="L1045" s="1" t="str">
        <f aca="false">IF(I1045&gt;1,IF(K1045&gt;0,"Cross-hospital match","Same-hospital match"),"")</f>
        <v/>
      </c>
      <c r="M1045" s="52"/>
      <c r="N1045" s="52"/>
      <c r="O1045" s="1" t="n">
        <f aca="false">IF(M1045="Exclude (duplicate)",0,1)</f>
        <v>1</v>
      </c>
      <c r="P1045" s="1" t="str">
        <f aca="false">IF(AND(L1045&lt;&gt;"",M1045=""),"Needs decision","")</f>
        <v/>
      </c>
    </row>
    <row r="1046" customFormat="false" ht="15" hidden="false" customHeight="false" outlineLevel="0" collapsed="false">
      <c r="A1046" s="48" t="str">
        <f aca="false">COST!A1046</f>
        <v>CBH-0218</v>
      </c>
      <c r="B1046" s="48" t="str">
        <f aca="false">COST!B1046</f>
        <v>CBH</v>
      </c>
      <c r="C1046" s="48" t="str">
        <f aca="false">COST!D1046</f>
        <v>Diabetes Prevention Classes</v>
      </c>
      <c r="D1046" s="62" t="n">
        <f aca="false">COST!M1046</f>
        <v>46140</v>
      </c>
      <c r="E1046" s="48" t="str">
        <f aca="false">COST!P1046</f>
        <v>Registered Dietitian</v>
      </c>
      <c r="F1046" s="63" t="n">
        <f aca="false">COST!R1046</f>
        <v>1.75</v>
      </c>
      <c r="G1046" s="48" t="str">
        <f aca="false">STACK!M1046</f>
        <v/>
      </c>
      <c r="H1046" s="1" t="str">
        <f aca="false">C1046&amp;"|"&amp;IF(ISNUMBER(D1046),TEXT(D1046,"yyyy-mm-dd"),"no date")&amp;"|"&amp;E1046&amp;"|"&amp;IF(ISNUMBER(F1046),TEXT(F1046,"0.00"),"blank")</f>
        <v>Diabetes Prevention Classes|2026-04-28|Registered Dietitian|1.75</v>
      </c>
      <c r="I1046" s="1" t="n">
        <f aca="false">COUNTIF($H$5:$H$1624,H1046)</f>
        <v>1</v>
      </c>
      <c r="J1046" s="1" t="n">
        <f aca="false">COUNTIF($H$5:H1046,H1046)</f>
        <v>1</v>
      </c>
      <c r="K1046" s="1" t="n">
        <f aca="false">COUNTIFS($H$5:$H$1624,H1046,$B$5:$B$1624,"&lt;&gt;"&amp;B1046)</f>
        <v>0</v>
      </c>
      <c r="L1046" s="1" t="str">
        <f aca="false">IF(I1046&gt;1,IF(K1046&gt;0,"Cross-hospital match","Same-hospital match"),"")</f>
        <v/>
      </c>
      <c r="M1046" s="52"/>
      <c r="N1046" s="52"/>
      <c r="O1046" s="1" t="n">
        <f aca="false">IF(M1046="Exclude (duplicate)",0,1)</f>
        <v>1</v>
      </c>
      <c r="P1046" s="1" t="str">
        <f aca="false">IF(AND(L1046&lt;&gt;"",M1046=""),"Needs decision","")</f>
        <v/>
      </c>
    </row>
    <row r="1047" customFormat="false" ht="15" hidden="false" customHeight="false" outlineLevel="0" collapsed="false">
      <c r="A1047" s="48" t="str">
        <f aca="false">COST!A1047</f>
        <v>CBH-0219</v>
      </c>
      <c r="B1047" s="48" t="str">
        <f aca="false">COST!B1047</f>
        <v>CBH</v>
      </c>
      <c r="C1047" s="48" t="str">
        <f aca="false">COST!D1047</f>
        <v>Naloxone Training and Distribution</v>
      </c>
      <c r="D1047" s="62" t="n">
        <f aca="false">COST!M1047</f>
        <v>46140</v>
      </c>
      <c r="E1047" s="48" t="str">
        <f aca="false">COST!P1047</f>
        <v>Health Educator</v>
      </c>
      <c r="F1047" s="63" t="n">
        <f aca="false">COST!R1047</f>
        <v>2.75</v>
      </c>
      <c r="G1047" s="48" t="str">
        <f aca="false">STACK!M1047</f>
        <v/>
      </c>
      <c r="H1047" s="1" t="str">
        <f aca="false">C1047&amp;"|"&amp;IF(ISNUMBER(D1047),TEXT(D1047,"yyyy-mm-dd"),"no date")&amp;"|"&amp;E1047&amp;"|"&amp;IF(ISNUMBER(F1047),TEXT(F1047,"0.00"),"blank")</f>
        <v>Naloxone Training and Distribution|2026-04-28|Health Educator|2.75</v>
      </c>
      <c r="I1047" s="1" t="n">
        <f aca="false">COUNTIF($H$5:$H$1624,H1047)</f>
        <v>1</v>
      </c>
      <c r="J1047" s="1" t="n">
        <f aca="false">COUNTIF($H$5:H1047,H1047)</f>
        <v>1</v>
      </c>
      <c r="K1047" s="1" t="n">
        <f aca="false">COUNTIFS($H$5:$H$1624,H1047,$B$5:$B$1624,"&lt;&gt;"&amp;B1047)</f>
        <v>0</v>
      </c>
      <c r="L1047" s="1" t="str">
        <f aca="false">IF(I1047&gt;1,IF(K1047&gt;0,"Cross-hospital match","Same-hospital match"),"")</f>
        <v/>
      </c>
      <c r="M1047" s="52"/>
      <c r="N1047" s="52"/>
      <c r="O1047" s="1" t="n">
        <f aca="false">IF(M1047="Exclude (duplicate)",0,1)</f>
        <v>1</v>
      </c>
      <c r="P1047" s="1" t="str">
        <f aca="false">IF(AND(L1047&lt;&gt;"",M1047=""),"Needs decision","")</f>
        <v/>
      </c>
    </row>
    <row r="1048" customFormat="false" ht="15" hidden="false" customHeight="false" outlineLevel="0" collapsed="false">
      <c r="A1048" s="48" t="str">
        <f aca="false">COST!A1048</f>
        <v>CBH-0220</v>
      </c>
      <c r="B1048" s="48" t="str">
        <f aca="false">COST!B1048</f>
        <v>CBH</v>
      </c>
      <c r="C1048" s="48" t="str">
        <f aca="false">COST!D1048</f>
        <v>Naloxone Training and Distribution</v>
      </c>
      <c r="D1048" s="62" t="n">
        <f aca="false">COST!M1048</f>
        <v>46140</v>
      </c>
      <c r="E1048" s="48" t="str">
        <f aca="false">COST!P1048</f>
        <v>Pharmacist</v>
      </c>
      <c r="F1048" s="63" t="n">
        <f aca="false">COST!R1048</f>
        <v>2.75</v>
      </c>
      <c r="G1048" s="48" t="str">
        <f aca="false">STACK!M1048</f>
        <v/>
      </c>
      <c r="H1048" s="1" t="str">
        <f aca="false">C1048&amp;"|"&amp;IF(ISNUMBER(D1048),TEXT(D1048,"yyyy-mm-dd"),"no date")&amp;"|"&amp;E1048&amp;"|"&amp;IF(ISNUMBER(F1048),TEXT(F1048,"0.00"),"blank")</f>
        <v>Naloxone Training and Distribution|2026-04-28|Pharmacist|2.75</v>
      </c>
      <c r="I1048" s="1" t="n">
        <f aca="false">COUNTIF($H$5:$H$1624,H1048)</f>
        <v>1</v>
      </c>
      <c r="J1048" s="1" t="n">
        <f aca="false">COUNTIF($H$5:H1048,H1048)</f>
        <v>1</v>
      </c>
      <c r="K1048" s="1" t="n">
        <f aca="false">COUNTIFS($H$5:$H$1624,H1048,$B$5:$B$1624,"&lt;&gt;"&amp;B1048)</f>
        <v>0</v>
      </c>
      <c r="L1048" s="1" t="str">
        <f aca="false">IF(I1048&gt;1,IF(K1048&gt;0,"Cross-hospital match","Same-hospital match"),"")</f>
        <v/>
      </c>
      <c r="M1048" s="52"/>
      <c r="N1048" s="52"/>
      <c r="O1048" s="1" t="n">
        <f aca="false">IF(M1048="Exclude (duplicate)",0,1)</f>
        <v>1</v>
      </c>
      <c r="P1048" s="1" t="str">
        <f aca="false">IF(AND(L1048&lt;&gt;"",M1048=""),"Needs decision","")</f>
        <v/>
      </c>
    </row>
    <row r="1049" customFormat="false" ht="15" hidden="false" customHeight="false" outlineLevel="0" collapsed="false">
      <c r="A1049" s="48" t="str">
        <f aca="false">COST!A1049</f>
        <v>CBH-0221</v>
      </c>
      <c r="B1049" s="48" t="str">
        <f aca="false">COST!B1049</f>
        <v>CBH</v>
      </c>
      <c r="C1049" s="48" t="str">
        <f aca="false">COST!D1049</f>
        <v>Free Clinic Provider Staffing</v>
      </c>
      <c r="D1049" s="62" t="n">
        <f aca="false">COST!M1049</f>
        <v>46142</v>
      </c>
      <c r="E1049" s="48" t="str">
        <f aca="false">COST!P1049</f>
        <v>Nurse Practitioner</v>
      </c>
      <c r="F1049" s="63" t="n">
        <f aca="false">COST!R1049</f>
        <v>35.75</v>
      </c>
      <c r="G1049" s="48" t="str">
        <f aca="false">STACK!M1049</f>
        <v/>
      </c>
      <c r="H1049" s="1" t="str">
        <f aca="false">C1049&amp;"|"&amp;IF(ISNUMBER(D1049),TEXT(D1049,"yyyy-mm-dd"),"no date")&amp;"|"&amp;E1049&amp;"|"&amp;IF(ISNUMBER(F1049),TEXT(F1049,"0.00"),"blank")</f>
        <v>Free Clinic Provider Staffing|2026-04-30|Nurse Practitioner|35.75</v>
      </c>
      <c r="I1049" s="1" t="n">
        <f aca="false">COUNTIF($H$5:$H$1624,H1049)</f>
        <v>1</v>
      </c>
      <c r="J1049" s="1" t="n">
        <f aca="false">COUNTIF($H$5:H1049,H1049)</f>
        <v>1</v>
      </c>
      <c r="K1049" s="1" t="n">
        <f aca="false">COUNTIFS($H$5:$H$1624,H1049,$B$5:$B$1624,"&lt;&gt;"&amp;B1049)</f>
        <v>0</v>
      </c>
      <c r="L1049" s="1" t="str">
        <f aca="false">IF(I1049&gt;1,IF(K1049&gt;0,"Cross-hospital match","Same-hospital match"),"")</f>
        <v/>
      </c>
      <c r="M1049" s="52"/>
      <c r="N1049" s="52"/>
      <c r="O1049" s="1" t="n">
        <f aca="false">IF(M1049="Exclude (duplicate)",0,1)</f>
        <v>1</v>
      </c>
      <c r="P1049" s="1" t="str">
        <f aca="false">IF(AND(L1049&lt;&gt;"",M1049=""),"Needs decision","")</f>
        <v/>
      </c>
    </row>
    <row r="1050" customFormat="false" ht="15" hidden="false" customHeight="false" outlineLevel="0" collapsed="false">
      <c r="A1050" s="48" t="str">
        <f aca="false">COST!A1050</f>
        <v>CBH-0222</v>
      </c>
      <c r="B1050" s="48" t="str">
        <f aca="false">COST!B1050</f>
        <v>CBH</v>
      </c>
      <c r="C1050" s="48" t="str">
        <f aca="false">COST!D1050</f>
        <v>Free Clinic Provider Staffing</v>
      </c>
      <c r="D1050" s="62" t="n">
        <f aca="false">COST!M1050</f>
        <v>46142</v>
      </c>
      <c r="E1050" s="48" t="str">
        <f aca="false">COST!P1050</f>
        <v>Pharmacist</v>
      </c>
      <c r="F1050" s="63" t="n">
        <f aca="false">COST!R1050</f>
        <v>14</v>
      </c>
      <c r="G1050" s="48" t="str">
        <f aca="false">STACK!M1050</f>
        <v/>
      </c>
      <c r="H1050" s="1" t="str">
        <f aca="false">C1050&amp;"|"&amp;IF(ISNUMBER(D1050),TEXT(D1050,"yyyy-mm-dd"),"no date")&amp;"|"&amp;E1050&amp;"|"&amp;IF(ISNUMBER(F1050),TEXT(F1050,"0.00"),"blank")</f>
        <v>Free Clinic Provider Staffing|2026-04-30|Pharmacist|14.00</v>
      </c>
      <c r="I1050" s="1" t="n">
        <f aca="false">COUNTIF($H$5:$H$1624,H1050)</f>
        <v>1</v>
      </c>
      <c r="J1050" s="1" t="n">
        <f aca="false">COUNTIF($H$5:H1050,H1050)</f>
        <v>1</v>
      </c>
      <c r="K1050" s="1" t="n">
        <f aca="false">COUNTIFS($H$5:$H$1624,H1050,$B$5:$B$1624,"&lt;&gt;"&amp;B1050)</f>
        <v>0</v>
      </c>
      <c r="L1050" s="1" t="str">
        <f aca="false">IF(I1050&gt;1,IF(K1050&gt;0,"Cross-hospital match","Same-hospital match"),"")</f>
        <v/>
      </c>
      <c r="M1050" s="52"/>
      <c r="N1050" s="52"/>
      <c r="O1050" s="1" t="n">
        <f aca="false">IF(M1050="Exclude (duplicate)",0,1)</f>
        <v>1</v>
      </c>
      <c r="P1050" s="1" t="str">
        <f aca="false">IF(AND(L1050&lt;&gt;"",M1050=""),"Needs decision","")</f>
        <v/>
      </c>
    </row>
    <row r="1051" customFormat="false" ht="15" hidden="false" customHeight="false" outlineLevel="0" collapsed="false">
      <c r="A1051" s="48" t="str">
        <f aca="false">COST!A1051</f>
        <v>CBH-0223</v>
      </c>
      <c r="B1051" s="48" t="str">
        <f aca="false">COST!B1051</f>
        <v>CBH</v>
      </c>
      <c r="C1051" s="48" t="str">
        <f aca="false">COST!D1051</f>
        <v>Free Clinic Provider Staffing</v>
      </c>
      <c r="D1051" s="62" t="n">
        <f aca="false">COST!M1051</f>
        <v>46142</v>
      </c>
      <c r="E1051" s="48" t="str">
        <f aca="false">COST!P1051</f>
        <v>Registered Nurse</v>
      </c>
      <c r="F1051" s="63" t="n">
        <f aca="false">COST!R1051</f>
        <v>37.75</v>
      </c>
      <c r="G1051" s="48" t="str">
        <f aca="false">STACK!M1051</f>
        <v/>
      </c>
      <c r="H1051" s="1" t="str">
        <f aca="false">C1051&amp;"|"&amp;IF(ISNUMBER(D1051),TEXT(D1051,"yyyy-mm-dd"),"no date")&amp;"|"&amp;E1051&amp;"|"&amp;IF(ISNUMBER(F1051),TEXT(F1051,"0.00"),"blank")</f>
        <v>Free Clinic Provider Staffing|2026-04-30|Registered Nurse|37.75</v>
      </c>
      <c r="I1051" s="1" t="n">
        <f aca="false">COUNTIF($H$5:$H$1624,H1051)</f>
        <v>1</v>
      </c>
      <c r="J1051" s="1" t="n">
        <f aca="false">COUNTIF($H$5:H1051,H1051)</f>
        <v>1</v>
      </c>
      <c r="K1051" s="1" t="n">
        <f aca="false">COUNTIFS($H$5:$H$1624,H1051,$B$5:$B$1624,"&lt;&gt;"&amp;B1051)</f>
        <v>0</v>
      </c>
      <c r="L1051" s="1" t="str">
        <f aca="false">IF(I1051&gt;1,IF(K1051&gt;0,"Cross-hospital match","Same-hospital match"),"")</f>
        <v/>
      </c>
      <c r="M1051" s="52"/>
      <c r="N1051" s="52"/>
      <c r="O1051" s="1" t="n">
        <f aca="false">IF(M1051="Exclude (duplicate)",0,1)</f>
        <v>1</v>
      </c>
      <c r="P1051" s="1" t="str">
        <f aca="false">IF(AND(L1051&lt;&gt;"",M1051=""),"Needs decision","")</f>
        <v/>
      </c>
    </row>
    <row r="1052" customFormat="false" ht="15" hidden="false" customHeight="false" outlineLevel="0" collapsed="false">
      <c r="A1052" s="48" t="str">
        <f aca="false">COST!A1052</f>
        <v>CBH-0224</v>
      </c>
      <c r="B1052" s="48" t="str">
        <f aca="false">COST!B1052</f>
        <v>CBH</v>
      </c>
      <c r="C1052" s="48" t="str">
        <f aca="false">COST!D1052</f>
        <v>Medication Assistance Program</v>
      </c>
      <c r="D1052" s="62" t="n">
        <f aca="false">COST!M1052</f>
        <v>46142</v>
      </c>
      <c r="E1052" s="48" t="str">
        <f aca="false">COST!P1052</f>
        <v>Patient Navigator</v>
      </c>
      <c r="F1052" s="63" t="n">
        <f aca="false">COST!R1052</f>
        <v>64.75</v>
      </c>
      <c r="G1052" s="48" t="str">
        <f aca="false">STACK!M1052</f>
        <v/>
      </c>
      <c r="H1052" s="1" t="str">
        <f aca="false">C1052&amp;"|"&amp;IF(ISNUMBER(D1052),TEXT(D1052,"yyyy-mm-dd"),"no date")&amp;"|"&amp;E1052&amp;"|"&amp;IF(ISNUMBER(F1052),TEXT(F1052,"0.00"),"blank")</f>
        <v>Medication Assistance Program|2026-04-30|Patient Navigator|64.75</v>
      </c>
      <c r="I1052" s="1" t="n">
        <f aca="false">COUNTIF($H$5:$H$1624,H1052)</f>
        <v>1</v>
      </c>
      <c r="J1052" s="1" t="n">
        <f aca="false">COUNTIF($H$5:H1052,H1052)</f>
        <v>1</v>
      </c>
      <c r="K1052" s="1" t="n">
        <f aca="false">COUNTIFS($H$5:$H$1624,H1052,$B$5:$B$1624,"&lt;&gt;"&amp;B1052)</f>
        <v>0</v>
      </c>
      <c r="L1052" s="1" t="str">
        <f aca="false">IF(I1052&gt;1,IF(K1052&gt;0,"Cross-hospital match","Same-hospital match"),"")</f>
        <v/>
      </c>
      <c r="M1052" s="52"/>
      <c r="N1052" s="52"/>
      <c r="O1052" s="1" t="n">
        <f aca="false">IF(M1052="Exclude (duplicate)",0,1)</f>
        <v>1</v>
      </c>
      <c r="P1052" s="1" t="str">
        <f aca="false">IF(AND(L1052&lt;&gt;"",M1052=""),"Needs decision","")</f>
        <v/>
      </c>
    </row>
    <row r="1053" customFormat="false" ht="15" hidden="false" customHeight="false" outlineLevel="0" collapsed="false">
      <c r="A1053" s="48" t="str">
        <f aca="false">COST!A1053</f>
        <v>CBH-0225</v>
      </c>
      <c r="B1053" s="48" t="str">
        <f aca="false">COST!B1053</f>
        <v>CBH</v>
      </c>
      <c r="C1053" s="48" t="str">
        <f aca="false">COST!D1053</f>
        <v>Medication Assistance Program</v>
      </c>
      <c r="D1053" s="62" t="n">
        <f aca="false">COST!M1053</f>
        <v>46142</v>
      </c>
      <c r="E1053" s="48" t="str">
        <f aca="false">COST!P1053</f>
        <v>Pharmacist</v>
      </c>
      <c r="F1053" s="63" t="n">
        <f aca="false">COST!R1053</f>
        <v>19.5</v>
      </c>
      <c r="G1053" s="48" t="str">
        <f aca="false">STACK!M1053</f>
        <v/>
      </c>
      <c r="H1053" s="1" t="str">
        <f aca="false">C1053&amp;"|"&amp;IF(ISNUMBER(D1053),TEXT(D1053,"yyyy-mm-dd"),"no date")&amp;"|"&amp;E1053&amp;"|"&amp;IF(ISNUMBER(F1053),TEXT(F1053,"0.00"),"blank")</f>
        <v>Medication Assistance Program|2026-04-30|Pharmacist|19.50</v>
      </c>
      <c r="I1053" s="1" t="n">
        <f aca="false">COUNTIF($H$5:$H$1624,H1053)</f>
        <v>1</v>
      </c>
      <c r="J1053" s="1" t="n">
        <f aca="false">COUNTIF($H$5:H1053,H1053)</f>
        <v>1</v>
      </c>
      <c r="K1053" s="1" t="n">
        <f aca="false">COUNTIFS($H$5:$H$1624,H1053,$B$5:$B$1624,"&lt;&gt;"&amp;B1053)</f>
        <v>0</v>
      </c>
      <c r="L1053" s="1" t="str">
        <f aca="false">IF(I1053&gt;1,IF(K1053&gt;0,"Cross-hospital match","Same-hospital match"),"")</f>
        <v/>
      </c>
      <c r="M1053" s="52"/>
      <c r="N1053" s="52"/>
      <c r="O1053" s="1" t="n">
        <f aca="false">IF(M1053="Exclude (duplicate)",0,1)</f>
        <v>1</v>
      </c>
      <c r="P1053" s="1" t="str">
        <f aca="false">IF(AND(L1053&lt;&gt;"",M1053=""),"Needs decision","")</f>
        <v/>
      </c>
    </row>
    <row r="1054" customFormat="false" ht="15" hidden="false" customHeight="false" outlineLevel="0" collapsed="false">
      <c r="A1054" s="48" t="str">
        <f aca="false">COST!A1054</f>
        <v>CBH-0226</v>
      </c>
      <c r="B1054" s="48" t="str">
        <f aca="false">COST!B1054</f>
        <v>CBH</v>
      </c>
      <c r="C1054" s="48" t="str">
        <f aca="false">COST!D1054</f>
        <v>Community Benefit Program Administration</v>
      </c>
      <c r="D1054" s="62" t="n">
        <f aca="false">COST!M1054</f>
        <v>46142</v>
      </c>
      <c r="E1054" s="48" t="str">
        <f aca="false">COST!P1054</f>
        <v>Administrative Assistant</v>
      </c>
      <c r="F1054" s="63" t="n">
        <f aca="false">COST!R1054</f>
        <v>33</v>
      </c>
      <c r="G1054" s="48" t="str">
        <f aca="false">STACK!M1054</f>
        <v/>
      </c>
      <c r="H1054" s="1" t="str">
        <f aca="false">C1054&amp;"|"&amp;IF(ISNUMBER(D1054),TEXT(D1054,"yyyy-mm-dd"),"no date")&amp;"|"&amp;E1054&amp;"|"&amp;IF(ISNUMBER(F1054),TEXT(F1054,"0.00"),"blank")</f>
        <v>Community Benefit Program Administration|2026-04-30|Administrative Assistant|33.00</v>
      </c>
      <c r="I1054" s="1" t="n">
        <f aca="false">COUNTIF($H$5:$H$1624,H1054)</f>
        <v>1</v>
      </c>
      <c r="J1054" s="1" t="n">
        <f aca="false">COUNTIF($H$5:H1054,H1054)</f>
        <v>1</v>
      </c>
      <c r="K1054" s="1" t="n">
        <f aca="false">COUNTIFS($H$5:$H$1624,H1054,$B$5:$B$1624,"&lt;&gt;"&amp;B1054)</f>
        <v>0</v>
      </c>
      <c r="L1054" s="1" t="str">
        <f aca="false">IF(I1054&gt;1,IF(K1054&gt;0,"Cross-hospital match","Same-hospital match"),"")</f>
        <v/>
      </c>
      <c r="M1054" s="52"/>
      <c r="N1054" s="52"/>
      <c r="O1054" s="1" t="n">
        <f aca="false">IF(M1054="Exclude (duplicate)",0,1)</f>
        <v>1</v>
      </c>
      <c r="P1054" s="1" t="str">
        <f aca="false">IF(AND(L1054&lt;&gt;"",M1054=""),"Needs decision","")</f>
        <v/>
      </c>
    </row>
    <row r="1055" customFormat="false" ht="15" hidden="false" customHeight="false" outlineLevel="0" collapsed="false">
      <c r="A1055" s="48" t="str">
        <f aca="false">COST!A1055</f>
        <v>CBH-0227</v>
      </c>
      <c r="B1055" s="48" t="str">
        <f aca="false">COST!B1055</f>
        <v>CBH</v>
      </c>
      <c r="C1055" s="48" t="str">
        <f aca="false">COST!D1055</f>
        <v>Community Benefit Program Administration</v>
      </c>
      <c r="D1055" s="62" t="n">
        <f aca="false">COST!M1055</f>
        <v>46142</v>
      </c>
      <c r="E1055" s="48" t="str">
        <f aca="false">COST!P1055</f>
        <v>Community Benefit Manager</v>
      </c>
      <c r="F1055" s="63" t="n">
        <f aca="false">COST!R1055</f>
        <v>72.5</v>
      </c>
      <c r="G1055" s="48" t="str">
        <f aca="false">STACK!M1055</f>
        <v/>
      </c>
      <c r="H1055" s="1" t="str">
        <f aca="false">C1055&amp;"|"&amp;IF(ISNUMBER(D1055),TEXT(D1055,"yyyy-mm-dd"),"no date")&amp;"|"&amp;E1055&amp;"|"&amp;IF(ISNUMBER(F1055),TEXT(F1055,"0.00"),"blank")</f>
        <v>Community Benefit Program Administration|2026-04-30|Community Benefit Manager|72.50</v>
      </c>
      <c r="I1055" s="1" t="n">
        <f aca="false">COUNTIF($H$5:$H$1624,H1055)</f>
        <v>1</v>
      </c>
      <c r="J1055" s="1" t="n">
        <f aca="false">COUNTIF($H$5:H1055,H1055)</f>
        <v>1</v>
      </c>
      <c r="K1055" s="1" t="n">
        <f aca="false">COUNTIFS($H$5:$H$1624,H1055,$B$5:$B$1624,"&lt;&gt;"&amp;B1055)</f>
        <v>0</v>
      </c>
      <c r="L1055" s="1" t="str">
        <f aca="false">IF(I1055&gt;1,IF(K1055&gt;0,"Cross-hospital match","Same-hospital match"),"")</f>
        <v/>
      </c>
      <c r="M1055" s="52"/>
      <c r="N1055" s="52"/>
      <c r="O1055" s="1" t="n">
        <f aca="false">IF(M1055="Exclude (duplicate)",0,1)</f>
        <v>1</v>
      </c>
      <c r="P1055" s="1" t="str">
        <f aca="false">IF(AND(L1055&lt;&gt;"",M1055=""),"Needs decision","")</f>
        <v/>
      </c>
    </row>
    <row r="1056" customFormat="false" ht="15" hidden="false" customHeight="false" outlineLevel="0" collapsed="false">
      <c r="A1056" s="48" t="str">
        <f aca="false">COST!A1056</f>
        <v>CBH-0228</v>
      </c>
      <c r="B1056" s="48" t="str">
        <f aca="false">COST!B1056</f>
        <v>CBH</v>
      </c>
      <c r="C1056" s="48" t="str">
        <f aca="false">COST!D1056</f>
        <v>Interpreter Services for Community Clinics</v>
      </c>
      <c r="D1056" s="62" t="n">
        <f aca="false">COST!M1056</f>
        <v>46142</v>
      </c>
      <c r="E1056" s="48" t="str">
        <f aca="false">COST!P1056</f>
        <v>Interpreter</v>
      </c>
      <c r="F1056" s="63" t="n">
        <f aca="false">COST!R1056</f>
        <v>65</v>
      </c>
      <c r="G1056" s="48" t="str">
        <f aca="false">STACK!M1056</f>
        <v/>
      </c>
      <c r="H1056" s="1" t="str">
        <f aca="false">C1056&amp;"|"&amp;IF(ISNUMBER(D1056),TEXT(D1056,"yyyy-mm-dd"),"no date")&amp;"|"&amp;E1056&amp;"|"&amp;IF(ISNUMBER(F1056),TEXT(F1056,"0.00"),"blank")</f>
        <v>Interpreter Services for Community Clinics|2026-04-30|Interpreter|65.00</v>
      </c>
      <c r="I1056" s="1" t="n">
        <f aca="false">COUNTIF($H$5:$H$1624,H1056)</f>
        <v>1</v>
      </c>
      <c r="J1056" s="1" t="n">
        <f aca="false">COUNTIF($H$5:H1056,H1056)</f>
        <v>1</v>
      </c>
      <c r="K1056" s="1" t="n">
        <f aca="false">COUNTIFS($H$5:$H$1624,H1056,$B$5:$B$1624,"&lt;&gt;"&amp;B1056)</f>
        <v>0</v>
      </c>
      <c r="L1056" s="1" t="str">
        <f aca="false">IF(I1056&gt;1,IF(K1056&gt;0,"Cross-hospital match","Same-hospital match"),"")</f>
        <v/>
      </c>
      <c r="M1056" s="52"/>
      <c r="N1056" s="52"/>
      <c r="O1056" s="1" t="n">
        <f aca="false">IF(M1056="Exclude (duplicate)",0,1)</f>
        <v>1</v>
      </c>
      <c r="P1056" s="1" t="str">
        <f aca="false">IF(AND(L1056&lt;&gt;"",M1056=""),"Needs decision","")</f>
        <v/>
      </c>
    </row>
    <row r="1057" customFormat="false" ht="15" hidden="false" customHeight="false" outlineLevel="0" collapsed="false">
      <c r="A1057" s="48" t="str">
        <f aca="false">COST!A1057</f>
        <v>CBH-0229</v>
      </c>
      <c r="B1057" s="48" t="str">
        <f aca="false">COST!B1057</f>
        <v>CBH</v>
      </c>
      <c r="C1057" s="48" t="str">
        <f aca="false">COST!D1057</f>
        <v>Nursing Student Clinical Rotations</v>
      </c>
      <c r="D1057" s="62" t="n">
        <f aca="false">COST!M1057</f>
        <v>46142</v>
      </c>
      <c r="E1057" s="48" t="str">
        <f aca="false">COST!P1057</f>
        <v>Clinical Nurse Educator</v>
      </c>
      <c r="F1057" s="63" t="n">
        <f aca="false">COST!R1057</f>
        <v>97.75</v>
      </c>
      <c r="G1057" s="48" t="str">
        <f aca="false">STACK!M1057</f>
        <v/>
      </c>
      <c r="H1057" s="1" t="str">
        <f aca="false">C1057&amp;"|"&amp;IF(ISNUMBER(D1057),TEXT(D1057,"yyyy-mm-dd"),"no date")&amp;"|"&amp;E1057&amp;"|"&amp;IF(ISNUMBER(F1057),TEXT(F1057,"0.00"),"blank")</f>
        <v>Nursing Student Clinical Rotations|2026-04-30|Clinical Nurse Educator|97.75</v>
      </c>
      <c r="I1057" s="1" t="n">
        <f aca="false">COUNTIF($H$5:$H$1624,H1057)</f>
        <v>1</v>
      </c>
      <c r="J1057" s="1" t="n">
        <f aca="false">COUNTIF($H$5:H1057,H1057)</f>
        <v>1</v>
      </c>
      <c r="K1057" s="1" t="n">
        <f aca="false">COUNTIFS($H$5:$H$1624,H1057,$B$5:$B$1624,"&lt;&gt;"&amp;B1057)</f>
        <v>0</v>
      </c>
      <c r="L1057" s="1" t="str">
        <f aca="false">IF(I1057&gt;1,IF(K1057&gt;0,"Cross-hospital match","Same-hospital match"),"")</f>
        <v/>
      </c>
      <c r="M1057" s="52"/>
      <c r="N1057" s="52"/>
      <c r="O1057" s="1" t="n">
        <f aca="false">IF(M1057="Exclude (duplicate)",0,1)</f>
        <v>1</v>
      </c>
      <c r="P1057" s="1" t="str">
        <f aca="false">IF(AND(L1057&lt;&gt;"",M1057=""),"Needs decision","")</f>
        <v/>
      </c>
    </row>
    <row r="1058" customFormat="false" ht="15" hidden="false" customHeight="false" outlineLevel="0" collapsed="false">
      <c r="A1058" s="48" t="str">
        <f aca="false">COST!A1058</f>
        <v>CBH-0230</v>
      </c>
      <c r="B1058" s="48" t="str">
        <f aca="false">COST!B1058</f>
        <v>CBH</v>
      </c>
      <c r="C1058" s="48" t="str">
        <f aca="false">COST!D1058</f>
        <v>Nursing Student Clinical Rotations</v>
      </c>
      <c r="D1058" s="62" t="n">
        <f aca="false">COST!M1058</f>
        <v>46142</v>
      </c>
      <c r="E1058" s="48" t="str">
        <f aca="false">COST!P1058</f>
        <v>Registered Nurse</v>
      </c>
      <c r="F1058" s="63" t="n">
        <f aca="false">COST!R1058</f>
        <v>194.5</v>
      </c>
      <c r="G1058" s="48" t="str">
        <f aca="false">STACK!M1058</f>
        <v/>
      </c>
      <c r="H1058" s="1" t="str">
        <f aca="false">C1058&amp;"|"&amp;IF(ISNUMBER(D1058),TEXT(D1058,"yyyy-mm-dd"),"no date")&amp;"|"&amp;E1058&amp;"|"&amp;IF(ISNUMBER(F1058),TEXT(F1058,"0.00"),"blank")</f>
        <v>Nursing Student Clinical Rotations|2026-04-30|Registered Nurse|194.50</v>
      </c>
      <c r="I1058" s="1" t="n">
        <f aca="false">COUNTIF($H$5:$H$1624,H1058)</f>
        <v>1</v>
      </c>
      <c r="J1058" s="1" t="n">
        <f aca="false">COUNTIF($H$5:H1058,H1058)</f>
        <v>1</v>
      </c>
      <c r="K1058" s="1" t="n">
        <f aca="false">COUNTIFS($H$5:$H$1624,H1058,$B$5:$B$1624,"&lt;&gt;"&amp;B1058)</f>
        <v>0</v>
      </c>
      <c r="L1058" s="1" t="str">
        <f aca="false">IF(I1058&gt;1,IF(K1058&gt;0,"Cross-hospital match","Same-hospital match"),"")</f>
        <v/>
      </c>
      <c r="M1058" s="52"/>
      <c r="N1058" s="52"/>
      <c r="O1058" s="1" t="n">
        <f aca="false">IF(M1058="Exclude (duplicate)",0,1)</f>
        <v>1</v>
      </c>
      <c r="P1058" s="1" t="str">
        <f aca="false">IF(AND(L1058&lt;&gt;"",M1058=""),"Needs decision","")</f>
        <v/>
      </c>
    </row>
    <row r="1059" customFormat="false" ht="15" hidden="false" customHeight="false" outlineLevel="0" collapsed="false">
      <c r="A1059" s="48" t="str">
        <f aca="false">COST!A1059</f>
        <v>CBH-0231</v>
      </c>
      <c r="B1059" s="48" t="str">
        <f aca="false">COST!B1059</f>
        <v>CBH</v>
      </c>
      <c r="C1059" s="48" t="str">
        <f aca="false">COST!D1059</f>
        <v>Pharmacy Student Rotations</v>
      </c>
      <c r="D1059" s="62" t="n">
        <f aca="false">COST!M1059</f>
        <v>46142</v>
      </c>
      <c r="E1059" s="48" t="str">
        <f aca="false">COST!P1059</f>
        <v>Pharmacist</v>
      </c>
      <c r="F1059" s="63" t="n">
        <f aca="false">COST!R1059</f>
        <v>45.5</v>
      </c>
      <c r="G1059" s="48" t="str">
        <f aca="false">STACK!M1059</f>
        <v/>
      </c>
      <c r="H1059" s="1" t="str">
        <f aca="false">C1059&amp;"|"&amp;IF(ISNUMBER(D1059),TEXT(D1059,"yyyy-mm-dd"),"no date")&amp;"|"&amp;E1059&amp;"|"&amp;IF(ISNUMBER(F1059),TEXT(F1059,"0.00"),"blank")</f>
        <v>Pharmacy Student Rotations|2026-04-30|Pharmacist|45.50</v>
      </c>
      <c r="I1059" s="1" t="n">
        <f aca="false">COUNTIF($H$5:$H$1624,H1059)</f>
        <v>1</v>
      </c>
      <c r="J1059" s="1" t="n">
        <f aca="false">COUNTIF($H$5:H1059,H1059)</f>
        <v>1</v>
      </c>
      <c r="K1059" s="1" t="n">
        <f aca="false">COUNTIFS($H$5:$H$1624,H1059,$B$5:$B$1624,"&lt;&gt;"&amp;B1059)</f>
        <v>0</v>
      </c>
      <c r="L1059" s="1" t="str">
        <f aca="false">IF(I1059&gt;1,IF(K1059&gt;0,"Cross-hospital match","Same-hospital match"),"")</f>
        <v/>
      </c>
      <c r="M1059" s="52"/>
      <c r="N1059" s="52"/>
      <c r="O1059" s="1" t="n">
        <f aca="false">IF(M1059="Exclude (duplicate)",0,1)</f>
        <v>1</v>
      </c>
      <c r="P1059" s="1" t="str">
        <f aca="false">IF(AND(L1059&lt;&gt;"",M1059=""),"Needs decision","")</f>
        <v/>
      </c>
    </row>
    <row r="1060" customFormat="false" ht="15" hidden="false" customHeight="false" outlineLevel="0" collapsed="false">
      <c r="A1060" s="48" t="str">
        <f aca="false">COST!A1060</f>
        <v>CBH-0232</v>
      </c>
      <c r="B1060" s="48" t="str">
        <f aca="false">COST!B1060</f>
        <v>CBH</v>
      </c>
      <c r="C1060" s="48" t="str">
        <f aca="false">COST!D1060</f>
        <v>Childbirth and Newborn Care Classes</v>
      </c>
      <c r="D1060" s="62" t="n">
        <f aca="false">COST!M1060</f>
        <v>46150</v>
      </c>
      <c r="E1060" s="48" t="str">
        <f aca="false">COST!P1060</f>
        <v>Clinical Nurse Educator</v>
      </c>
      <c r="F1060" s="63" t="n">
        <f aca="false">COST!R1060</f>
        <v>3.25</v>
      </c>
      <c r="G1060" s="48" t="str">
        <f aca="false">STACK!M1060</f>
        <v/>
      </c>
      <c r="H1060" s="1" t="str">
        <f aca="false">C1060&amp;"|"&amp;IF(ISNUMBER(D1060),TEXT(D1060,"yyyy-mm-dd"),"no date")&amp;"|"&amp;E1060&amp;"|"&amp;IF(ISNUMBER(F1060),TEXT(F1060,"0.00"),"blank")</f>
        <v>Childbirth and Newborn Care Classes|2026-05-08|Clinical Nurse Educator|3.25</v>
      </c>
      <c r="I1060" s="1" t="n">
        <f aca="false">COUNTIF($H$5:$H$1624,H1060)</f>
        <v>1</v>
      </c>
      <c r="J1060" s="1" t="n">
        <f aca="false">COUNTIF($H$5:H1060,H1060)</f>
        <v>1</v>
      </c>
      <c r="K1060" s="1" t="n">
        <f aca="false">COUNTIFS($H$5:$H$1624,H1060,$B$5:$B$1624,"&lt;&gt;"&amp;B1060)</f>
        <v>0</v>
      </c>
      <c r="L1060" s="1" t="str">
        <f aca="false">IF(I1060&gt;1,IF(K1060&gt;0,"Cross-hospital match","Same-hospital match"),"")</f>
        <v/>
      </c>
      <c r="M1060" s="52"/>
      <c r="N1060" s="52"/>
      <c r="O1060" s="1" t="n">
        <f aca="false">IF(M1060="Exclude (duplicate)",0,1)</f>
        <v>1</v>
      </c>
      <c r="P1060" s="1" t="str">
        <f aca="false">IF(AND(L1060&lt;&gt;"",M1060=""),"Needs decision","")</f>
        <v/>
      </c>
    </row>
    <row r="1061" customFormat="false" ht="15" hidden="false" customHeight="false" outlineLevel="0" collapsed="false">
      <c r="A1061" s="48" t="str">
        <f aca="false">COST!A1061</f>
        <v>CBH-0233</v>
      </c>
      <c r="B1061" s="48" t="str">
        <f aca="false">COST!B1061</f>
        <v>CBH</v>
      </c>
      <c r="C1061" s="48" t="str">
        <f aca="false">COST!D1061</f>
        <v>Fall Prevention Classes for Older Adults</v>
      </c>
      <c r="D1061" s="62" t="n">
        <f aca="false">COST!M1061</f>
        <v>46151</v>
      </c>
      <c r="E1061" s="48" t="str">
        <f aca="false">COST!P1061</f>
        <v>Licensed Therapist</v>
      </c>
      <c r="F1061" s="63" t="n">
        <f aca="false">COST!R1061</f>
        <v>2</v>
      </c>
      <c r="G1061" s="48" t="str">
        <f aca="false">STACK!M1061</f>
        <v/>
      </c>
      <c r="H1061" s="1" t="str">
        <f aca="false">C1061&amp;"|"&amp;IF(ISNUMBER(D1061),TEXT(D1061,"yyyy-mm-dd"),"no date")&amp;"|"&amp;E1061&amp;"|"&amp;IF(ISNUMBER(F1061),TEXT(F1061,"0.00"),"blank")</f>
        <v>Fall Prevention Classes for Older Adults|2026-05-09|Licensed Therapist|2.00</v>
      </c>
      <c r="I1061" s="1" t="n">
        <f aca="false">COUNTIF($H$5:$H$1624,H1061)</f>
        <v>1</v>
      </c>
      <c r="J1061" s="1" t="n">
        <f aca="false">COUNTIF($H$5:H1061,H1061)</f>
        <v>1</v>
      </c>
      <c r="K1061" s="1" t="n">
        <f aca="false">COUNTIFS($H$5:$H$1624,H1061,$B$5:$B$1624,"&lt;&gt;"&amp;B1061)</f>
        <v>0</v>
      </c>
      <c r="L1061" s="1" t="str">
        <f aca="false">IF(I1061&gt;1,IF(K1061&gt;0,"Cross-hospital match","Same-hospital match"),"")</f>
        <v/>
      </c>
      <c r="M1061" s="52"/>
      <c r="N1061" s="52"/>
      <c r="O1061" s="1" t="n">
        <f aca="false">IF(M1061="Exclude (duplicate)",0,1)</f>
        <v>1</v>
      </c>
      <c r="P1061" s="1" t="str">
        <f aca="false">IF(AND(L1061&lt;&gt;"",M1061=""),"Needs decision","")</f>
        <v/>
      </c>
    </row>
    <row r="1062" customFormat="false" ht="15" hidden="false" customHeight="false" outlineLevel="0" collapsed="false">
      <c r="A1062" s="48" t="str">
        <f aca="false">COST!A1062</f>
        <v>CBH-0234</v>
      </c>
      <c r="B1062" s="48" t="str">
        <f aca="false">COST!B1062</f>
        <v>CBH</v>
      </c>
      <c r="C1062" s="48" t="str">
        <f aca="false">COST!D1062</f>
        <v>Smoke-Free Parks Advocacy</v>
      </c>
      <c r="D1062" s="62" t="n">
        <f aca="false">COST!M1062</f>
        <v>46158</v>
      </c>
      <c r="E1062" s="48" t="str">
        <f aca="false">COST!P1062</f>
        <v>Director</v>
      </c>
      <c r="F1062" s="63" t="n">
        <f aca="false">COST!R1062</f>
        <v>1.5</v>
      </c>
      <c r="G1062" s="48" t="str">
        <f aca="false">STACK!M1062</f>
        <v/>
      </c>
      <c r="H1062" s="1" t="str">
        <f aca="false">C1062&amp;"|"&amp;IF(ISNUMBER(D1062),TEXT(D1062,"yyyy-mm-dd"),"no date")&amp;"|"&amp;E1062&amp;"|"&amp;IF(ISNUMBER(F1062),TEXT(F1062,"0.00"),"blank")</f>
        <v>Smoke-Free Parks Advocacy|2026-05-16|Director|1.50</v>
      </c>
      <c r="I1062" s="1" t="n">
        <f aca="false">COUNTIF($H$5:$H$1624,H1062)</f>
        <v>1</v>
      </c>
      <c r="J1062" s="1" t="n">
        <f aca="false">COUNTIF($H$5:H1062,H1062)</f>
        <v>1</v>
      </c>
      <c r="K1062" s="1" t="n">
        <f aca="false">COUNTIFS($H$5:$H$1624,H1062,$B$5:$B$1624,"&lt;&gt;"&amp;B1062)</f>
        <v>0</v>
      </c>
      <c r="L1062" s="1" t="str">
        <f aca="false">IF(I1062&gt;1,IF(K1062&gt;0,"Cross-hospital match","Same-hospital match"),"")</f>
        <v/>
      </c>
      <c r="M1062" s="52"/>
      <c r="N1062" s="52"/>
      <c r="O1062" s="1" t="n">
        <f aca="false">IF(M1062="Exclude (duplicate)",0,1)</f>
        <v>1</v>
      </c>
      <c r="P1062" s="1" t="str">
        <f aca="false">IF(AND(L1062&lt;&gt;"",M1062=""),"Needs decision","")</f>
        <v/>
      </c>
    </row>
    <row r="1063" customFormat="false" ht="15" hidden="false" customHeight="false" outlineLevel="0" collapsed="false">
      <c r="A1063" s="48" t="str">
        <f aca="false">COST!A1063</f>
        <v>CBH-0235</v>
      </c>
      <c r="B1063" s="48" t="str">
        <f aca="false">COST!B1063</f>
        <v>CBH</v>
      </c>
      <c r="C1063" s="48" t="str">
        <f aca="false">COST!D1063</f>
        <v>Smoke-Free Parks Advocacy</v>
      </c>
      <c r="D1063" s="62" t="n">
        <f aca="false">COST!M1063</f>
        <v>46158</v>
      </c>
      <c r="E1063" s="48" t="str">
        <f aca="false">COST!P1063</f>
        <v>Health Educator</v>
      </c>
      <c r="F1063" s="63" t="n">
        <f aca="false">COST!R1063</f>
        <v>4.5</v>
      </c>
      <c r="G1063" s="48" t="str">
        <f aca="false">STACK!M1063</f>
        <v/>
      </c>
      <c r="H1063" s="1" t="str">
        <f aca="false">C1063&amp;"|"&amp;IF(ISNUMBER(D1063),TEXT(D1063,"yyyy-mm-dd"),"no date")&amp;"|"&amp;E1063&amp;"|"&amp;IF(ISNUMBER(F1063),TEXT(F1063,"0.00"),"blank")</f>
        <v>Smoke-Free Parks Advocacy|2026-05-16|Health Educator|4.50</v>
      </c>
      <c r="I1063" s="1" t="n">
        <f aca="false">COUNTIF($H$5:$H$1624,H1063)</f>
        <v>1</v>
      </c>
      <c r="J1063" s="1" t="n">
        <f aca="false">COUNTIF($H$5:H1063,H1063)</f>
        <v>1</v>
      </c>
      <c r="K1063" s="1" t="n">
        <f aca="false">COUNTIFS($H$5:$H$1624,H1063,$B$5:$B$1624,"&lt;&gt;"&amp;B1063)</f>
        <v>0</v>
      </c>
      <c r="L1063" s="1" t="str">
        <f aca="false">IF(I1063&gt;1,IF(K1063&gt;0,"Cross-hospital match","Same-hospital match"),"")</f>
        <v/>
      </c>
      <c r="M1063" s="52"/>
      <c r="N1063" s="52"/>
      <c r="O1063" s="1" t="n">
        <f aca="false">IF(M1063="Exclude (duplicate)",0,1)</f>
        <v>1</v>
      </c>
      <c r="P1063" s="1" t="str">
        <f aca="false">IF(AND(L1063&lt;&gt;"",M1063=""),"Needs decision","")</f>
        <v/>
      </c>
    </row>
    <row r="1064" customFormat="false" ht="15" hidden="false" customHeight="false" outlineLevel="0" collapsed="false">
      <c r="A1064" s="48" t="str">
        <f aca="false">COST!A1064</f>
        <v>CBH-0236</v>
      </c>
      <c r="B1064" s="48" t="str">
        <f aca="false">COST!B1064</f>
        <v>CBH</v>
      </c>
      <c r="C1064" s="48" t="str">
        <f aca="false">COST!D1064</f>
        <v>Childbirth and Newborn Care Classes</v>
      </c>
      <c r="D1064" s="62" t="n">
        <f aca="false">COST!M1064</f>
        <v>46160</v>
      </c>
      <c r="E1064" s="48" t="str">
        <f aca="false">COST!P1064</f>
        <v>Clinical Nurse Educator</v>
      </c>
      <c r="F1064" s="63" t="n">
        <f aca="false">COST!R1064</f>
        <v>3.5</v>
      </c>
      <c r="G1064" s="48" t="str">
        <f aca="false">STACK!M1064</f>
        <v/>
      </c>
      <c r="H1064" s="1" t="str">
        <f aca="false">C1064&amp;"|"&amp;IF(ISNUMBER(D1064),TEXT(D1064,"yyyy-mm-dd"),"no date")&amp;"|"&amp;E1064&amp;"|"&amp;IF(ISNUMBER(F1064),TEXT(F1064,"0.00"),"blank")</f>
        <v>Childbirth and Newborn Care Classes|2026-05-18|Clinical Nurse Educator|3.50</v>
      </c>
      <c r="I1064" s="1" t="n">
        <f aca="false">COUNTIF($H$5:$H$1624,H1064)</f>
        <v>1</v>
      </c>
      <c r="J1064" s="1" t="n">
        <f aca="false">COUNTIF($H$5:H1064,H1064)</f>
        <v>1</v>
      </c>
      <c r="K1064" s="1" t="n">
        <f aca="false">COUNTIFS($H$5:$H$1624,H1064,$B$5:$B$1624,"&lt;&gt;"&amp;B1064)</f>
        <v>0</v>
      </c>
      <c r="L1064" s="1" t="str">
        <f aca="false">IF(I1064&gt;1,IF(K1064&gt;0,"Cross-hospital match","Same-hospital match"),"")</f>
        <v/>
      </c>
      <c r="M1064" s="52"/>
      <c r="N1064" s="52"/>
      <c r="O1064" s="1" t="n">
        <f aca="false">IF(M1064="Exclude (duplicate)",0,1)</f>
        <v>1</v>
      </c>
      <c r="P1064" s="1" t="str">
        <f aca="false">IF(AND(L1064&lt;&gt;"",M1064=""),"Needs decision","")</f>
        <v/>
      </c>
    </row>
    <row r="1065" customFormat="false" ht="15" hidden="false" customHeight="false" outlineLevel="0" collapsed="false">
      <c r="A1065" s="48" t="str">
        <f aca="false">COST!A1065</f>
        <v>CBH-0237</v>
      </c>
      <c r="B1065" s="48" t="str">
        <f aca="false">COST!B1065</f>
        <v>CBH</v>
      </c>
      <c r="C1065" s="48" t="str">
        <f aca="false">COST!D1065</f>
        <v>Grief Support Group</v>
      </c>
      <c r="D1065" s="62" t="n">
        <f aca="false">COST!M1065</f>
        <v>46161</v>
      </c>
      <c r="E1065" s="48" t="str">
        <f aca="false">COST!P1065</f>
        <v>Chaplain</v>
      </c>
      <c r="F1065" s="63" t="n">
        <f aca="false">COST!R1065</f>
        <v>2</v>
      </c>
      <c r="G1065" s="48" t="str">
        <f aca="false">STACK!M1065</f>
        <v/>
      </c>
      <c r="H1065" s="1" t="str">
        <f aca="false">C1065&amp;"|"&amp;IF(ISNUMBER(D1065),TEXT(D1065,"yyyy-mm-dd"),"no date")&amp;"|"&amp;E1065&amp;"|"&amp;IF(ISNUMBER(F1065),TEXT(F1065,"0.00"),"blank")</f>
        <v>Grief Support Group|2026-05-19|Chaplain|2.00</v>
      </c>
      <c r="I1065" s="1" t="n">
        <f aca="false">COUNTIF($H$5:$H$1624,H1065)</f>
        <v>1</v>
      </c>
      <c r="J1065" s="1" t="n">
        <f aca="false">COUNTIF($H$5:H1065,H1065)</f>
        <v>1</v>
      </c>
      <c r="K1065" s="1" t="n">
        <f aca="false">COUNTIFS($H$5:$H$1624,H1065,$B$5:$B$1624,"&lt;&gt;"&amp;B1065)</f>
        <v>0</v>
      </c>
      <c r="L1065" s="1" t="str">
        <f aca="false">IF(I1065&gt;1,IF(K1065&gt;0,"Cross-hospital match","Same-hospital match"),"")</f>
        <v/>
      </c>
      <c r="M1065" s="52"/>
      <c r="N1065" s="52"/>
      <c r="O1065" s="1" t="n">
        <f aca="false">IF(M1065="Exclude (duplicate)",0,1)</f>
        <v>1</v>
      </c>
      <c r="P1065" s="1" t="str">
        <f aca="false">IF(AND(L1065&lt;&gt;"",M1065=""),"Needs decision","")</f>
        <v/>
      </c>
    </row>
    <row r="1066" customFormat="false" ht="15" hidden="false" customHeight="false" outlineLevel="0" collapsed="false">
      <c r="A1066" s="48" t="str">
        <f aca="false">COST!A1066</f>
        <v>CBH-0238</v>
      </c>
      <c r="B1066" s="48" t="str">
        <f aca="false">COST!B1066</f>
        <v>CBH</v>
      </c>
      <c r="C1066" s="48" t="str">
        <f aca="false">COST!D1066</f>
        <v>Grief Support Group</v>
      </c>
      <c r="D1066" s="62" t="n">
        <f aca="false">COST!M1066</f>
        <v>46161</v>
      </c>
      <c r="E1066" s="48" t="str">
        <f aca="false">COST!P1066</f>
        <v>Social Worker</v>
      </c>
      <c r="F1066" s="63" t="n">
        <f aca="false">COST!R1066</f>
        <v>1.75</v>
      </c>
      <c r="G1066" s="48" t="str">
        <f aca="false">STACK!M1066</f>
        <v/>
      </c>
      <c r="H1066" s="1" t="str">
        <f aca="false">C1066&amp;"|"&amp;IF(ISNUMBER(D1066),TEXT(D1066,"yyyy-mm-dd"),"no date")&amp;"|"&amp;E1066&amp;"|"&amp;IF(ISNUMBER(F1066),TEXT(F1066,"0.00"),"blank")</f>
        <v>Grief Support Group|2026-05-19|Social Worker|1.75</v>
      </c>
      <c r="I1066" s="1" t="n">
        <f aca="false">COUNTIF($H$5:$H$1624,H1066)</f>
        <v>1</v>
      </c>
      <c r="J1066" s="1" t="n">
        <f aca="false">COUNTIF($H$5:H1066,H1066)</f>
        <v>1</v>
      </c>
      <c r="K1066" s="1" t="n">
        <f aca="false">COUNTIFS($H$5:$H$1624,H1066,$B$5:$B$1624,"&lt;&gt;"&amp;B1066)</f>
        <v>0</v>
      </c>
      <c r="L1066" s="1" t="str">
        <f aca="false">IF(I1066&gt;1,IF(K1066&gt;0,"Cross-hospital match","Same-hospital match"),"")</f>
        <v/>
      </c>
      <c r="M1066" s="52"/>
      <c r="N1066" s="52"/>
      <c r="O1066" s="1" t="n">
        <f aca="false">IF(M1066="Exclude (duplicate)",0,1)</f>
        <v>1</v>
      </c>
      <c r="P1066" s="1" t="str">
        <f aca="false">IF(AND(L1066&lt;&gt;"",M1066=""),"Needs decision","")</f>
        <v/>
      </c>
    </row>
    <row r="1067" customFormat="false" ht="15" hidden="false" customHeight="false" outlineLevel="0" collapsed="false">
      <c r="A1067" s="48" t="str">
        <f aca="false">COST!A1067</f>
        <v>CBH-0239</v>
      </c>
      <c r="B1067" s="48" t="str">
        <f aca="false">COST!B1067</f>
        <v>CBH</v>
      </c>
      <c r="C1067" s="48" t="str">
        <f aca="false">COST!D1067</f>
        <v>Community Blood Pressure Checks</v>
      </c>
      <c r="D1067" s="62" t="n">
        <f aca="false">COST!M1067</f>
        <v>46162</v>
      </c>
      <c r="E1067" s="48" t="str">
        <f aca="false">COST!P1067</f>
        <v>Registered Nurse</v>
      </c>
      <c r="F1067" s="63" t="n">
        <f aca="false">COST!R1067</f>
        <v>3.75</v>
      </c>
      <c r="G1067" s="48" t="str">
        <f aca="false">STACK!M1067</f>
        <v/>
      </c>
      <c r="H1067" s="1" t="str">
        <f aca="false">C1067&amp;"|"&amp;IF(ISNUMBER(D1067),TEXT(D1067,"yyyy-mm-dd"),"no date")&amp;"|"&amp;E1067&amp;"|"&amp;IF(ISNUMBER(F1067),TEXT(F1067,"0.00"),"blank")</f>
        <v>Community Blood Pressure Checks|2026-05-20|Registered Nurse|3.75</v>
      </c>
      <c r="I1067" s="1" t="n">
        <f aca="false">COUNTIF($H$5:$H$1624,H1067)</f>
        <v>1</v>
      </c>
      <c r="J1067" s="1" t="n">
        <f aca="false">COUNTIF($H$5:H1067,H1067)</f>
        <v>1</v>
      </c>
      <c r="K1067" s="1" t="n">
        <f aca="false">COUNTIFS($H$5:$H$1624,H1067,$B$5:$B$1624,"&lt;&gt;"&amp;B1067)</f>
        <v>0</v>
      </c>
      <c r="L1067" s="1" t="str">
        <f aca="false">IF(I1067&gt;1,IF(K1067&gt;0,"Cross-hospital match","Same-hospital match"),"")</f>
        <v/>
      </c>
      <c r="M1067" s="52"/>
      <c r="N1067" s="52"/>
      <c r="O1067" s="1" t="n">
        <f aca="false">IF(M1067="Exclude (duplicate)",0,1)</f>
        <v>1</v>
      </c>
      <c r="P1067" s="1" t="str">
        <f aca="false">IF(AND(L1067&lt;&gt;"",M1067=""),"Needs decision","")</f>
        <v/>
      </c>
    </row>
    <row r="1068" customFormat="false" ht="15" hidden="false" customHeight="false" outlineLevel="0" collapsed="false">
      <c r="A1068" s="48" t="str">
        <f aca="false">COST!A1068</f>
        <v>CBH-0240</v>
      </c>
      <c r="B1068" s="48" t="str">
        <f aca="false">COST!B1068</f>
        <v>CBH</v>
      </c>
      <c r="C1068" s="48" t="str">
        <f aca="false">COST!D1068</f>
        <v>Regional Health Coalition</v>
      </c>
      <c r="D1068" s="62" t="n">
        <f aca="false">COST!M1068</f>
        <v>46162</v>
      </c>
      <c r="E1068" s="48" t="str">
        <f aca="false">COST!P1068</f>
        <v>Community Benefit Manager</v>
      </c>
      <c r="F1068" s="63" t="n">
        <f aca="false">COST!R1068</f>
        <v>2.5</v>
      </c>
      <c r="G1068" s="48" t="str">
        <f aca="false">STACK!M1068</f>
        <v/>
      </c>
      <c r="H1068" s="1" t="str">
        <f aca="false">C1068&amp;"|"&amp;IF(ISNUMBER(D1068),TEXT(D1068,"yyyy-mm-dd"),"no date")&amp;"|"&amp;E1068&amp;"|"&amp;IF(ISNUMBER(F1068),TEXT(F1068,"0.00"),"blank")</f>
        <v>Regional Health Coalition|2026-05-20|Community Benefit Manager|2.50</v>
      </c>
      <c r="I1068" s="1" t="n">
        <f aca="false">COUNTIF($H$5:$H$1624,H1068)</f>
        <v>1</v>
      </c>
      <c r="J1068" s="1" t="n">
        <f aca="false">COUNTIF($H$5:H1068,H1068)</f>
        <v>1</v>
      </c>
      <c r="K1068" s="1" t="n">
        <f aca="false">COUNTIFS($H$5:$H$1624,H1068,$B$5:$B$1624,"&lt;&gt;"&amp;B1068)</f>
        <v>0</v>
      </c>
      <c r="L1068" s="1" t="str">
        <f aca="false">IF(I1068&gt;1,IF(K1068&gt;0,"Cross-hospital match","Same-hospital match"),"")</f>
        <v/>
      </c>
      <c r="M1068" s="52"/>
      <c r="N1068" s="52"/>
      <c r="O1068" s="1" t="n">
        <f aca="false">IF(M1068="Exclude (duplicate)",0,1)</f>
        <v>1</v>
      </c>
      <c r="P1068" s="1" t="str">
        <f aca="false">IF(AND(L1068&lt;&gt;"",M1068=""),"Needs decision","")</f>
        <v/>
      </c>
    </row>
    <row r="1069" customFormat="false" ht="15" hidden="false" customHeight="false" outlineLevel="0" collapsed="false">
      <c r="A1069" s="48" t="str">
        <f aca="false">COST!A1069</f>
        <v>CBH-0241</v>
      </c>
      <c r="B1069" s="48" t="str">
        <f aca="false">COST!B1069</f>
        <v>CBH</v>
      </c>
      <c r="C1069" s="48" t="str">
        <f aca="false">COST!D1069</f>
        <v>Regional Health Coalition</v>
      </c>
      <c r="D1069" s="62" t="n">
        <f aca="false">COST!M1069</f>
        <v>46162</v>
      </c>
      <c r="E1069" s="48" t="str">
        <f aca="false">COST!P1069</f>
        <v>Director</v>
      </c>
      <c r="F1069" s="63" t="n">
        <f aca="false">COST!R1069</f>
        <v>2.5</v>
      </c>
      <c r="G1069" s="48" t="str">
        <f aca="false">STACK!M1069</f>
        <v/>
      </c>
      <c r="H1069" s="1" t="str">
        <f aca="false">C1069&amp;"|"&amp;IF(ISNUMBER(D1069),TEXT(D1069,"yyyy-mm-dd"),"no date")&amp;"|"&amp;E1069&amp;"|"&amp;IF(ISNUMBER(F1069),TEXT(F1069,"0.00"),"blank")</f>
        <v>Regional Health Coalition|2026-05-20|Director|2.50</v>
      </c>
      <c r="I1069" s="1" t="n">
        <f aca="false">COUNTIF($H$5:$H$1624,H1069)</f>
        <v>1</v>
      </c>
      <c r="J1069" s="1" t="n">
        <f aca="false">COUNTIF($H$5:H1069,H1069)</f>
        <v>1</v>
      </c>
      <c r="K1069" s="1" t="n">
        <f aca="false">COUNTIFS($H$5:$H$1624,H1069,$B$5:$B$1624,"&lt;&gt;"&amp;B1069)</f>
        <v>0</v>
      </c>
      <c r="L1069" s="1" t="str">
        <f aca="false">IF(I1069&gt;1,IF(K1069&gt;0,"Cross-hospital match","Same-hospital match"),"")</f>
        <v/>
      </c>
      <c r="M1069" s="52"/>
      <c r="N1069" s="52"/>
      <c r="O1069" s="1" t="n">
        <f aca="false">IF(M1069="Exclude (duplicate)",0,1)</f>
        <v>1</v>
      </c>
      <c r="P1069" s="1" t="str">
        <f aca="false">IF(AND(L1069&lt;&gt;"",M1069=""),"Needs decision","")</f>
        <v/>
      </c>
    </row>
    <row r="1070" customFormat="false" ht="15" hidden="false" customHeight="false" outlineLevel="0" collapsed="false">
      <c r="A1070" s="48" t="str">
        <f aca="false">COST!A1070</f>
        <v>CBH-0242</v>
      </c>
      <c r="B1070" s="48" t="str">
        <f aca="false">COST!B1070</f>
        <v>CBH</v>
      </c>
      <c r="C1070" s="48" t="str">
        <f aca="false">COST!D1070</f>
        <v>Naloxone Training and Distribution</v>
      </c>
      <c r="D1070" s="62" t="n">
        <f aca="false">COST!M1070</f>
        <v>46164</v>
      </c>
      <c r="E1070" s="48" t="str">
        <f aca="false">COST!P1070</f>
        <v>Health Educator</v>
      </c>
      <c r="F1070" s="63" t="n">
        <f aca="false">COST!R1070</f>
        <v>2.25</v>
      </c>
      <c r="G1070" s="48" t="str">
        <f aca="false">STACK!M1070</f>
        <v/>
      </c>
      <c r="H1070" s="1" t="str">
        <f aca="false">C1070&amp;"|"&amp;IF(ISNUMBER(D1070),TEXT(D1070,"yyyy-mm-dd"),"no date")&amp;"|"&amp;E1070&amp;"|"&amp;IF(ISNUMBER(F1070),TEXT(F1070,"0.00"),"blank")</f>
        <v>Naloxone Training and Distribution|2026-05-22|Health Educator|2.25</v>
      </c>
      <c r="I1070" s="1" t="n">
        <f aca="false">COUNTIF($H$5:$H$1624,H1070)</f>
        <v>1</v>
      </c>
      <c r="J1070" s="1" t="n">
        <f aca="false">COUNTIF($H$5:H1070,H1070)</f>
        <v>1</v>
      </c>
      <c r="K1070" s="1" t="n">
        <f aca="false">COUNTIFS($H$5:$H$1624,H1070,$B$5:$B$1624,"&lt;&gt;"&amp;B1070)</f>
        <v>0</v>
      </c>
      <c r="L1070" s="1" t="str">
        <f aca="false">IF(I1070&gt;1,IF(K1070&gt;0,"Cross-hospital match","Same-hospital match"),"")</f>
        <v/>
      </c>
      <c r="M1070" s="52"/>
      <c r="N1070" s="52"/>
      <c r="O1070" s="1" t="n">
        <f aca="false">IF(M1070="Exclude (duplicate)",0,1)</f>
        <v>1</v>
      </c>
      <c r="P1070" s="1" t="str">
        <f aca="false">IF(AND(L1070&lt;&gt;"",M1070=""),"Needs decision","")</f>
        <v/>
      </c>
    </row>
    <row r="1071" customFormat="false" ht="15" hidden="false" customHeight="false" outlineLevel="0" collapsed="false">
      <c r="A1071" s="48" t="str">
        <f aca="false">COST!A1071</f>
        <v>CBH-0243</v>
      </c>
      <c r="B1071" s="48" t="str">
        <f aca="false">COST!B1071</f>
        <v>CBH</v>
      </c>
      <c r="C1071" s="48" t="str">
        <f aca="false">COST!D1071</f>
        <v>Naloxone Training and Distribution</v>
      </c>
      <c r="D1071" s="62" t="n">
        <f aca="false">COST!M1071</f>
        <v>46164</v>
      </c>
      <c r="E1071" s="48" t="str">
        <f aca="false">COST!P1071</f>
        <v>Pharmacist</v>
      </c>
      <c r="F1071" s="63" t="n">
        <f aca="false">COST!R1071</f>
        <v>2</v>
      </c>
      <c r="G1071" s="48" t="str">
        <f aca="false">STACK!M1071</f>
        <v/>
      </c>
      <c r="H1071" s="1" t="str">
        <f aca="false">C1071&amp;"|"&amp;IF(ISNUMBER(D1071),TEXT(D1071,"yyyy-mm-dd"),"no date")&amp;"|"&amp;E1071&amp;"|"&amp;IF(ISNUMBER(F1071),TEXT(F1071,"0.00"),"blank")</f>
        <v>Naloxone Training and Distribution|2026-05-22|Pharmacist|2.00</v>
      </c>
      <c r="I1071" s="1" t="n">
        <f aca="false">COUNTIF($H$5:$H$1624,H1071)</f>
        <v>1</v>
      </c>
      <c r="J1071" s="1" t="n">
        <f aca="false">COUNTIF($H$5:H1071,H1071)</f>
        <v>1</v>
      </c>
      <c r="K1071" s="1" t="n">
        <f aca="false">COUNTIFS($H$5:$H$1624,H1071,$B$5:$B$1624,"&lt;&gt;"&amp;B1071)</f>
        <v>0</v>
      </c>
      <c r="L1071" s="1" t="str">
        <f aca="false">IF(I1071&gt;1,IF(K1071&gt;0,"Cross-hospital match","Same-hospital match"),"")</f>
        <v/>
      </c>
      <c r="M1071" s="52"/>
      <c r="N1071" s="52"/>
      <c r="O1071" s="1" t="n">
        <f aca="false">IF(M1071="Exclude (duplicate)",0,1)</f>
        <v>1</v>
      </c>
      <c r="P1071" s="1" t="str">
        <f aca="false">IF(AND(L1071&lt;&gt;"",M1071=""),"Needs decision","")</f>
        <v/>
      </c>
    </row>
    <row r="1072" customFormat="false" ht="15" hidden="false" customHeight="false" outlineLevel="0" collapsed="false">
      <c r="A1072" s="48" t="str">
        <f aca="false">COST!A1072</f>
        <v>CBH-0244</v>
      </c>
      <c r="B1072" s="48" t="str">
        <f aca="false">COST!B1072</f>
        <v>CBH</v>
      </c>
      <c r="C1072" s="48" t="str">
        <f aca="false">COST!D1072</f>
        <v>Diabetes Prevention Classes</v>
      </c>
      <c r="D1072" s="62" t="n">
        <f aca="false">COST!M1072</f>
        <v>46170</v>
      </c>
      <c r="E1072" s="48" t="str">
        <f aca="false">COST!P1072</f>
        <v>Health Educator</v>
      </c>
      <c r="F1072" s="63" t="n">
        <f aca="false">COST!R1072</f>
        <v>2</v>
      </c>
      <c r="G1072" s="48" t="str">
        <f aca="false">STACK!M1072</f>
        <v/>
      </c>
      <c r="H1072" s="1" t="str">
        <f aca="false">C1072&amp;"|"&amp;IF(ISNUMBER(D1072),TEXT(D1072,"yyyy-mm-dd"),"no date")&amp;"|"&amp;E1072&amp;"|"&amp;IF(ISNUMBER(F1072),TEXT(F1072,"0.00"),"blank")</f>
        <v>Diabetes Prevention Classes|2026-05-28|Health Educator|2.00</v>
      </c>
      <c r="I1072" s="1" t="n">
        <f aca="false">COUNTIF($H$5:$H$1624,H1072)</f>
        <v>1</v>
      </c>
      <c r="J1072" s="1" t="n">
        <f aca="false">COUNTIF($H$5:H1072,H1072)</f>
        <v>1</v>
      </c>
      <c r="K1072" s="1" t="n">
        <f aca="false">COUNTIFS($H$5:$H$1624,H1072,$B$5:$B$1624,"&lt;&gt;"&amp;B1072)</f>
        <v>0</v>
      </c>
      <c r="L1072" s="1" t="str">
        <f aca="false">IF(I1072&gt;1,IF(K1072&gt;0,"Cross-hospital match","Same-hospital match"),"")</f>
        <v/>
      </c>
      <c r="M1072" s="52"/>
      <c r="N1072" s="52"/>
      <c r="O1072" s="1" t="n">
        <f aca="false">IF(M1072="Exclude (duplicate)",0,1)</f>
        <v>1</v>
      </c>
      <c r="P1072" s="1" t="str">
        <f aca="false">IF(AND(L1072&lt;&gt;"",M1072=""),"Needs decision","")</f>
        <v/>
      </c>
    </row>
    <row r="1073" customFormat="false" ht="15" hidden="false" customHeight="false" outlineLevel="0" collapsed="false">
      <c r="A1073" s="48" t="str">
        <f aca="false">COST!A1073</f>
        <v>CBH-0245</v>
      </c>
      <c r="B1073" s="48" t="str">
        <f aca="false">COST!B1073</f>
        <v>CBH</v>
      </c>
      <c r="C1073" s="48" t="str">
        <f aca="false">COST!D1073</f>
        <v>Diabetes Prevention Classes</v>
      </c>
      <c r="D1073" s="62" t="n">
        <f aca="false">COST!M1073</f>
        <v>46170</v>
      </c>
      <c r="E1073" s="48" t="str">
        <f aca="false">COST!P1073</f>
        <v>Registered Dietitian</v>
      </c>
      <c r="F1073" s="63" t="n">
        <f aca="false">COST!R1073</f>
        <v>1.75</v>
      </c>
      <c r="G1073" s="48" t="str">
        <f aca="false">STACK!M1073</f>
        <v/>
      </c>
      <c r="H1073" s="1" t="str">
        <f aca="false">C1073&amp;"|"&amp;IF(ISNUMBER(D1073),TEXT(D1073,"yyyy-mm-dd"),"no date")&amp;"|"&amp;E1073&amp;"|"&amp;IF(ISNUMBER(F1073),TEXT(F1073,"0.00"),"blank")</f>
        <v>Diabetes Prevention Classes|2026-05-28|Registered Dietitian|1.75</v>
      </c>
      <c r="I1073" s="1" t="n">
        <f aca="false">COUNTIF($H$5:$H$1624,H1073)</f>
        <v>1</v>
      </c>
      <c r="J1073" s="1" t="n">
        <f aca="false">COUNTIF($H$5:H1073,H1073)</f>
        <v>1</v>
      </c>
      <c r="K1073" s="1" t="n">
        <f aca="false">COUNTIFS($H$5:$H$1624,H1073,$B$5:$B$1624,"&lt;&gt;"&amp;B1073)</f>
        <v>0</v>
      </c>
      <c r="L1073" s="1" t="str">
        <f aca="false">IF(I1073&gt;1,IF(K1073&gt;0,"Cross-hospital match","Same-hospital match"),"")</f>
        <v/>
      </c>
      <c r="M1073" s="52"/>
      <c r="N1073" s="52"/>
      <c r="O1073" s="1" t="n">
        <f aca="false">IF(M1073="Exclude (duplicate)",0,1)</f>
        <v>1</v>
      </c>
      <c r="P1073" s="1" t="str">
        <f aca="false">IF(AND(L1073&lt;&gt;"",M1073=""),"Needs decision","")</f>
        <v/>
      </c>
    </row>
    <row r="1074" customFormat="false" ht="15" hidden="false" customHeight="false" outlineLevel="0" collapsed="false">
      <c r="A1074" s="48" t="str">
        <f aca="false">COST!A1074</f>
        <v>CBH-0246</v>
      </c>
      <c r="B1074" s="48" t="str">
        <f aca="false">COST!B1074</f>
        <v>CBH</v>
      </c>
      <c r="C1074" s="48" t="str">
        <f aca="false">COST!D1074</f>
        <v>Fall Prevention Classes for Older Adults</v>
      </c>
      <c r="D1074" s="62" t="n">
        <f aca="false">COST!M1074</f>
        <v>46171</v>
      </c>
      <c r="E1074" s="48" t="str">
        <f aca="false">COST!P1074</f>
        <v>Licensed Therapist</v>
      </c>
      <c r="F1074" s="63" t="n">
        <f aca="false">COST!R1074</f>
        <v>2</v>
      </c>
      <c r="G1074" s="48" t="str">
        <f aca="false">STACK!M1074</f>
        <v/>
      </c>
      <c r="H1074" s="1" t="str">
        <f aca="false">C1074&amp;"|"&amp;IF(ISNUMBER(D1074),TEXT(D1074,"yyyy-mm-dd"),"no date")&amp;"|"&amp;E1074&amp;"|"&amp;IF(ISNUMBER(F1074),TEXT(F1074,"0.00"),"blank")</f>
        <v>Fall Prevention Classes for Older Adults|2026-05-29|Licensed Therapist|2.00</v>
      </c>
      <c r="I1074" s="1" t="n">
        <f aca="false">COUNTIF($H$5:$H$1624,H1074)</f>
        <v>1</v>
      </c>
      <c r="J1074" s="1" t="n">
        <f aca="false">COUNTIF($H$5:H1074,H1074)</f>
        <v>1</v>
      </c>
      <c r="K1074" s="1" t="n">
        <f aca="false">COUNTIFS($H$5:$H$1624,H1074,$B$5:$B$1624,"&lt;&gt;"&amp;B1074)</f>
        <v>0</v>
      </c>
      <c r="L1074" s="1" t="str">
        <f aca="false">IF(I1074&gt;1,IF(K1074&gt;0,"Cross-hospital match","Same-hospital match"),"")</f>
        <v/>
      </c>
      <c r="M1074" s="52"/>
      <c r="N1074" s="52"/>
      <c r="O1074" s="1" t="n">
        <f aca="false">IF(M1074="Exclude (duplicate)",0,1)</f>
        <v>1</v>
      </c>
      <c r="P1074" s="1" t="str">
        <f aca="false">IF(AND(L1074&lt;&gt;"",M1074=""),"Needs decision","")</f>
        <v/>
      </c>
    </row>
    <row r="1075" customFormat="false" ht="15" hidden="false" customHeight="false" outlineLevel="0" collapsed="false">
      <c r="A1075" s="48" t="str">
        <f aca="false">COST!A1075</f>
        <v>CBH-0247</v>
      </c>
      <c r="B1075" s="48" t="str">
        <f aca="false">COST!B1075</f>
        <v>CBH</v>
      </c>
      <c r="C1075" s="48" t="str">
        <f aca="false">COST!D1075</f>
        <v>Free Clinic Provider Staffing</v>
      </c>
      <c r="D1075" s="62" t="n">
        <f aca="false">COST!M1075</f>
        <v>46173</v>
      </c>
      <c r="E1075" s="48" t="str">
        <f aca="false">COST!P1075</f>
        <v>Nurse Practitioner</v>
      </c>
      <c r="F1075" s="63" t="n">
        <f aca="false">COST!R1075</f>
        <v>44.25</v>
      </c>
      <c r="G1075" s="48" t="str">
        <f aca="false">STACK!M1075</f>
        <v/>
      </c>
      <c r="H1075" s="1" t="str">
        <f aca="false">C1075&amp;"|"&amp;IF(ISNUMBER(D1075),TEXT(D1075,"yyyy-mm-dd"),"no date")&amp;"|"&amp;E1075&amp;"|"&amp;IF(ISNUMBER(F1075),TEXT(F1075,"0.00"),"blank")</f>
        <v>Free Clinic Provider Staffing|2026-05-31|Nurse Practitioner|44.25</v>
      </c>
      <c r="I1075" s="1" t="n">
        <f aca="false">COUNTIF($H$5:$H$1624,H1075)</f>
        <v>1</v>
      </c>
      <c r="J1075" s="1" t="n">
        <f aca="false">COUNTIF($H$5:H1075,H1075)</f>
        <v>1</v>
      </c>
      <c r="K1075" s="1" t="n">
        <f aca="false">COUNTIFS($H$5:$H$1624,H1075,$B$5:$B$1624,"&lt;&gt;"&amp;B1075)</f>
        <v>0</v>
      </c>
      <c r="L1075" s="1" t="str">
        <f aca="false">IF(I1075&gt;1,IF(K1075&gt;0,"Cross-hospital match","Same-hospital match"),"")</f>
        <v/>
      </c>
      <c r="M1075" s="52"/>
      <c r="N1075" s="52"/>
      <c r="O1075" s="1" t="n">
        <f aca="false">IF(M1075="Exclude (duplicate)",0,1)</f>
        <v>1</v>
      </c>
      <c r="P1075" s="1" t="str">
        <f aca="false">IF(AND(L1075&lt;&gt;"",M1075=""),"Needs decision","")</f>
        <v/>
      </c>
    </row>
    <row r="1076" customFormat="false" ht="15" hidden="false" customHeight="false" outlineLevel="0" collapsed="false">
      <c r="A1076" s="48" t="str">
        <f aca="false">COST!A1076</f>
        <v>CBH-0248</v>
      </c>
      <c r="B1076" s="48" t="str">
        <f aca="false">COST!B1076</f>
        <v>CBH</v>
      </c>
      <c r="C1076" s="48" t="str">
        <f aca="false">COST!D1076</f>
        <v>Free Clinic Provider Staffing</v>
      </c>
      <c r="D1076" s="62" t="n">
        <f aca="false">COST!M1076</f>
        <v>46173</v>
      </c>
      <c r="E1076" s="48" t="str">
        <f aca="false">COST!P1076</f>
        <v>Pharmacist</v>
      </c>
      <c r="F1076" s="63" t="n">
        <f aca="false">COST!R1076</f>
        <v>16.25</v>
      </c>
      <c r="G1076" s="48" t="str">
        <f aca="false">STACK!M1076</f>
        <v/>
      </c>
      <c r="H1076" s="1" t="str">
        <f aca="false">C1076&amp;"|"&amp;IF(ISNUMBER(D1076),TEXT(D1076,"yyyy-mm-dd"),"no date")&amp;"|"&amp;E1076&amp;"|"&amp;IF(ISNUMBER(F1076),TEXT(F1076,"0.00"),"blank")</f>
        <v>Free Clinic Provider Staffing|2026-05-31|Pharmacist|16.25</v>
      </c>
      <c r="I1076" s="1" t="n">
        <f aca="false">COUNTIF($H$5:$H$1624,H1076)</f>
        <v>1</v>
      </c>
      <c r="J1076" s="1" t="n">
        <f aca="false">COUNTIF($H$5:H1076,H1076)</f>
        <v>1</v>
      </c>
      <c r="K1076" s="1" t="n">
        <f aca="false">COUNTIFS($H$5:$H$1624,H1076,$B$5:$B$1624,"&lt;&gt;"&amp;B1076)</f>
        <v>0</v>
      </c>
      <c r="L1076" s="1" t="str">
        <f aca="false">IF(I1076&gt;1,IF(K1076&gt;0,"Cross-hospital match","Same-hospital match"),"")</f>
        <v/>
      </c>
      <c r="M1076" s="52"/>
      <c r="N1076" s="52"/>
      <c r="O1076" s="1" t="n">
        <f aca="false">IF(M1076="Exclude (duplicate)",0,1)</f>
        <v>1</v>
      </c>
      <c r="P1076" s="1" t="str">
        <f aca="false">IF(AND(L1076&lt;&gt;"",M1076=""),"Needs decision","")</f>
        <v/>
      </c>
    </row>
    <row r="1077" customFormat="false" ht="15" hidden="false" customHeight="false" outlineLevel="0" collapsed="false">
      <c r="A1077" s="48" t="str">
        <f aca="false">COST!A1077</f>
        <v>CBH-0249</v>
      </c>
      <c r="B1077" s="48" t="str">
        <f aca="false">COST!B1077</f>
        <v>CBH</v>
      </c>
      <c r="C1077" s="48" t="str">
        <f aca="false">COST!D1077</f>
        <v>Free Clinic Provider Staffing</v>
      </c>
      <c r="D1077" s="62" t="n">
        <f aca="false">COST!M1077</f>
        <v>46173</v>
      </c>
      <c r="E1077" s="48" t="str">
        <f aca="false">COST!P1077</f>
        <v>Registered Nurse</v>
      </c>
      <c r="F1077" s="63" t="n">
        <f aca="false">COST!R1077</f>
        <v>40.75</v>
      </c>
      <c r="G1077" s="48" t="str">
        <f aca="false">STACK!M1077</f>
        <v/>
      </c>
      <c r="H1077" s="1" t="str">
        <f aca="false">C1077&amp;"|"&amp;IF(ISNUMBER(D1077),TEXT(D1077,"yyyy-mm-dd"),"no date")&amp;"|"&amp;E1077&amp;"|"&amp;IF(ISNUMBER(F1077),TEXT(F1077,"0.00"),"blank")</f>
        <v>Free Clinic Provider Staffing|2026-05-31|Registered Nurse|40.75</v>
      </c>
      <c r="I1077" s="1" t="n">
        <f aca="false">COUNTIF($H$5:$H$1624,H1077)</f>
        <v>1</v>
      </c>
      <c r="J1077" s="1" t="n">
        <f aca="false">COUNTIF($H$5:H1077,H1077)</f>
        <v>1</v>
      </c>
      <c r="K1077" s="1" t="n">
        <f aca="false">COUNTIFS($H$5:$H$1624,H1077,$B$5:$B$1624,"&lt;&gt;"&amp;B1077)</f>
        <v>0</v>
      </c>
      <c r="L1077" s="1" t="str">
        <f aca="false">IF(I1077&gt;1,IF(K1077&gt;0,"Cross-hospital match","Same-hospital match"),"")</f>
        <v/>
      </c>
      <c r="M1077" s="52"/>
      <c r="N1077" s="52"/>
      <c r="O1077" s="1" t="n">
        <f aca="false">IF(M1077="Exclude (duplicate)",0,1)</f>
        <v>1</v>
      </c>
      <c r="P1077" s="1" t="str">
        <f aca="false">IF(AND(L1077&lt;&gt;"",M1077=""),"Needs decision","")</f>
        <v/>
      </c>
    </row>
    <row r="1078" customFormat="false" ht="15" hidden="false" customHeight="false" outlineLevel="0" collapsed="false">
      <c r="A1078" s="48" t="str">
        <f aca="false">COST!A1078</f>
        <v>CBH-0250</v>
      </c>
      <c r="B1078" s="48" t="str">
        <f aca="false">COST!B1078</f>
        <v>CBH</v>
      </c>
      <c r="C1078" s="48" t="str">
        <f aca="false">COST!D1078</f>
        <v>Medication Assistance Program</v>
      </c>
      <c r="D1078" s="62" t="n">
        <f aca="false">COST!M1078</f>
        <v>46173</v>
      </c>
      <c r="E1078" s="48" t="str">
        <f aca="false">COST!P1078</f>
        <v>Patient Navigator</v>
      </c>
      <c r="F1078" s="63" t="n">
        <f aca="false">COST!R1078</f>
        <v>73.5</v>
      </c>
      <c r="G1078" s="48" t="str">
        <f aca="false">STACK!M1078</f>
        <v/>
      </c>
      <c r="H1078" s="1" t="str">
        <f aca="false">C1078&amp;"|"&amp;IF(ISNUMBER(D1078),TEXT(D1078,"yyyy-mm-dd"),"no date")&amp;"|"&amp;E1078&amp;"|"&amp;IF(ISNUMBER(F1078),TEXT(F1078,"0.00"),"blank")</f>
        <v>Medication Assistance Program|2026-05-31|Patient Navigator|73.50</v>
      </c>
      <c r="I1078" s="1" t="n">
        <f aca="false">COUNTIF($H$5:$H$1624,H1078)</f>
        <v>1</v>
      </c>
      <c r="J1078" s="1" t="n">
        <f aca="false">COUNTIF($H$5:H1078,H1078)</f>
        <v>1</v>
      </c>
      <c r="K1078" s="1" t="n">
        <f aca="false">COUNTIFS($H$5:$H$1624,H1078,$B$5:$B$1624,"&lt;&gt;"&amp;B1078)</f>
        <v>0</v>
      </c>
      <c r="L1078" s="1" t="str">
        <f aca="false">IF(I1078&gt;1,IF(K1078&gt;0,"Cross-hospital match","Same-hospital match"),"")</f>
        <v/>
      </c>
      <c r="M1078" s="52"/>
      <c r="N1078" s="52"/>
      <c r="O1078" s="1" t="n">
        <f aca="false">IF(M1078="Exclude (duplicate)",0,1)</f>
        <v>1</v>
      </c>
      <c r="P1078" s="1" t="str">
        <f aca="false">IF(AND(L1078&lt;&gt;"",M1078=""),"Needs decision","")</f>
        <v/>
      </c>
    </row>
    <row r="1079" customFormat="false" ht="15" hidden="false" customHeight="false" outlineLevel="0" collapsed="false">
      <c r="A1079" s="48" t="str">
        <f aca="false">COST!A1079</f>
        <v>CBH-0251</v>
      </c>
      <c r="B1079" s="48" t="str">
        <f aca="false">COST!B1079</f>
        <v>CBH</v>
      </c>
      <c r="C1079" s="48" t="str">
        <f aca="false">COST!D1079</f>
        <v>Medication Assistance Program</v>
      </c>
      <c r="D1079" s="62" t="n">
        <f aca="false">COST!M1079</f>
        <v>46173</v>
      </c>
      <c r="E1079" s="48" t="str">
        <f aca="false">COST!P1079</f>
        <v>Pharmacist</v>
      </c>
      <c r="F1079" s="63" t="n">
        <f aca="false">COST!R1079</f>
        <v>16.5</v>
      </c>
      <c r="G1079" s="48" t="str">
        <f aca="false">STACK!M1079</f>
        <v/>
      </c>
      <c r="H1079" s="1" t="str">
        <f aca="false">C1079&amp;"|"&amp;IF(ISNUMBER(D1079),TEXT(D1079,"yyyy-mm-dd"),"no date")&amp;"|"&amp;E1079&amp;"|"&amp;IF(ISNUMBER(F1079),TEXT(F1079,"0.00"),"blank")</f>
        <v>Medication Assistance Program|2026-05-31|Pharmacist|16.50</v>
      </c>
      <c r="I1079" s="1" t="n">
        <f aca="false">COUNTIF($H$5:$H$1624,H1079)</f>
        <v>1</v>
      </c>
      <c r="J1079" s="1" t="n">
        <f aca="false">COUNTIF($H$5:H1079,H1079)</f>
        <v>1</v>
      </c>
      <c r="K1079" s="1" t="n">
        <f aca="false">COUNTIFS($H$5:$H$1624,H1079,$B$5:$B$1624,"&lt;&gt;"&amp;B1079)</f>
        <v>0</v>
      </c>
      <c r="L1079" s="1" t="str">
        <f aca="false">IF(I1079&gt;1,IF(K1079&gt;0,"Cross-hospital match","Same-hospital match"),"")</f>
        <v/>
      </c>
      <c r="M1079" s="52"/>
      <c r="N1079" s="52"/>
      <c r="O1079" s="1" t="n">
        <f aca="false">IF(M1079="Exclude (duplicate)",0,1)</f>
        <v>1</v>
      </c>
      <c r="P1079" s="1" t="str">
        <f aca="false">IF(AND(L1079&lt;&gt;"",M1079=""),"Needs decision","")</f>
        <v/>
      </c>
    </row>
    <row r="1080" customFormat="false" ht="15" hidden="false" customHeight="false" outlineLevel="0" collapsed="false">
      <c r="A1080" s="48" t="str">
        <f aca="false">COST!A1080</f>
        <v>CBH-0252</v>
      </c>
      <c r="B1080" s="48" t="str">
        <f aca="false">COST!B1080</f>
        <v>CBH</v>
      </c>
      <c r="C1080" s="48" t="str">
        <f aca="false">COST!D1080</f>
        <v>Community Benefit Program Administration</v>
      </c>
      <c r="D1080" s="62" t="n">
        <f aca="false">COST!M1080</f>
        <v>46173</v>
      </c>
      <c r="E1080" s="48" t="str">
        <f aca="false">COST!P1080</f>
        <v>Administrative Assistant</v>
      </c>
      <c r="F1080" s="63" t="n">
        <f aca="false">COST!R1080</f>
        <v>53</v>
      </c>
      <c r="G1080" s="48" t="str">
        <f aca="false">STACK!M1080</f>
        <v/>
      </c>
      <c r="H1080" s="1" t="str">
        <f aca="false">C1080&amp;"|"&amp;IF(ISNUMBER(D1080),TEXT(D1080,"yyyy-mm-dd"),"no date")&amp;"|"&amp;E1080&amp;"|"&amp;IF(ISNUMBER(F1080),TEXT(F1080,"0.00"),"blank")</f>
        <v>Community Benefit Program Administration|2026-05-31|Administrative Assistant|53.00</v>
      </c>
      <c r="I1080" s="1" t="n">
        <f aca="false">COUNTIF($H$5:$H$1624,H1080)</f>
        <v>1</v>
      </c>
      <c r="J1080" s="1" t="n">
        <f aca="false">COUNTIF($H$5:H1080,H1080)</f>
        <v>1</v>
      </c>
      <c r="K1080" s="1" t="n">
        <f aca="false">COUNTIFS($H$5:$H$1624,H1080,$B$5:$B$1624,"&lt;&gt;"&amp;B1080)</f>
        <v>0</v>
      </c>
      <c r="L1080" s="1" t="str">
        <f aca="false">IF(I1080&gt;1,IF(K1080&gt;0,"Cross-hospital match","Same-hospital match"),"")</f>
        <v/>
      </c>
      <c r="M1080" s="52"/>
      <c r="N1080" s="52"/>
      <c r="O1080" s="1" t="n">
        <f aca="false">IF(M1080="Exclude (duplicate)",0,1)</f>
        <v>1</v>
      </c>
      <c r="P1080" s="1" t="str">
        <f aca="false">IF(AND(L1080&lt;&gt;"",M1080=""),"Needs decision","")</f>
        <v/>
      </c>
    </row>
    <row r="1081" customFormat="false" ht="15" hidden="false" customHeight="false" outlineLevel="0" collapsed="false">
      <c r="A1081" s="48" t="str">
        <f aca="false">COST!A1081</f>
        <v>CBH-0253</v>
      </c>
      <c r="B1081" s="48" t="str">
        <f aca="false">COST!B1081</f>
        <v>CBH</v>
      </c>
      <c r="C1081" s="48" t="str">
        <f aca="false">COST!D1081</f>
        <v>Community Benefit Program Administration</v>
      </c>
      <c r="D1081" s="62" t="n">
        <f aca="false">COST!M1081</f>
        <v>46173</v>
      </c>
      <c r="E1081" s="48" t="str">
        <f aca="false">COST!P1081</f>
        <v>Community Benefit Manager</v>
      </c>
      <c r="F1081" s="63" t="n">
        <f aca="false">COST!R1081</f>
        <v>74</v>
      </c>
      <c r="G1081" s="48" t="str">
        <f aca="false">STACK!M1081</f>
        <v/>
      </c>
      <c r="H1081" s="1" t="str">
        <f aca="false">C1081&amp;"|"&amp;IF(ISNUMBER(D1081),TEXT(D1081,"yyyy-mm-dd"),"no date")&amp;"|"&amp;E1081&amp;"|"&amp;IF(ISNUMBER(F1081),TEXT(F1081,"0.00"),"blank")</f>
        <v>Community Benefit Program Administration|2026-05-31|Community Benefit Manager|74.00</v>
      </c>
      <c r="I1081" s="1" t="n">
        <f aca="false">COUNTIF($H$5:$H$1624,H1081)</f>
        <v>1</v>
      </c>
      <c r="J1081" s="1" t="n">
        <f aca="false">COUNTIF($H$5:H1081,H1081)</f>
        <v>1</v>
      </c>
      <c r="K1081" s="1" t="n">
        <f aca="false">COUNTIFS($H$5:$H$1624,H1081,$B$5:$B$1624,"&lt;&gt;"&amp;B1081)</f>
        <v>0</v>
      </c>
      <c r="L1081" s="1" t="str">
        <f aca="false">IF(I1081&gt;1,IF(K1081&gt;0,"Cross-hospital match","Same-hospital match"),"")</f>
        <v/>
      </c>
      <c r="M1081" s="52"/>
      <c r="N1081" s="52"/>
      <c r="O1081" s="1" t="n">
        <f aca="false">IF(M1081="Exclude (duplicate)",0,1)</f>
        <v>1</v>
      </c>
      <c r="P1081" s="1" t="str">
        <f aca="false">IF(AND(L1081&lt;&gt;"",M1081=""),"Needs decision","")</f>
        <v/>
      </c>
    </row>
    <row r="1082" customFormat="false" ht="15" hidden="false" customHeight="false" outlineLevel="0" collapsed="false">
      <c r="A1082" s="48" t="str">
        <f aca="false">COST!A1082</f>
        <v>CBH-0254</v>
      </c>
      <c r="B1082" s="48" t="str">
        <f aca="false">COST!B1082</f>
        <v>CBH</v>
      </c>
      <c r="C1082" s="48" t="str">
        <f aca="false">COST!D1082</f>
        <v>Interpreter Services for Community Clinics</v>
      </c>
      <c r="D1082" s="62" t="n">
        <f aca="false">COST!M1082</f>
        <v>46173</v>
      </c>
      <c r="E1082" s="48" t="str">
        <f aca="false">COST!P1082</f>
        <v>Interpreter</v>
      </c>
      <c r="F1082" s="63" t="n">
        <f aca="false">COST!R1082</f>
        <v>47.5</v>
      </c>
      <c r="G1082" s="48" t="str">
        <f aca="false">STACK!M1082</f>
        <v/>
      </c>
      <c r="H1082" s="1" t="str">
        <f aca="false">C1082&amp;"|"&amp;IF(ISNUMBER(D1082),TEXT(D1082,"yyyy-mm-dd"),"no date")&amp;"|"&amp;E1082&amp;"|"&amp;IF(ISNUMBER(F1082),TEXT(F1082,"0.00"),"blank")</f>
        <v>Interpreter Services for Community Clinics|2026-05-31|Interpreter|47.50</v>
      </c>
      <c r="I1082" s="1" t="n">
        <f aca="false">COUNTIF($H$5:$H$1624,H1082)</f>
        <v>1</v>
      </c>
      <c r="J1082" s="1" t="n">
        <f aca="false">COUNTIF($H$5:H1082,H1082)</f>
        <v>1</v>
      </c>
      <c r="K1082" s="1" t="n">
        <f aca="false">COUNTIFS($H$5:$H$1624,H1082,$B$5:$B$1624,"&lt;&gt;"&amp;B1082)</f>
        <v>0</v>
      </c>
      <c r="L1082" s="1" t="str">
        <f aca="false">IF(I1082&gt;1,IF(K1082&gt;0,"Cross-hospital match","Same-hospital match"),"")</f>
        <v/>
      </c>
      <c r="M1082" s="52"/>
      <c r="N1082" s="52"/>
      <c r="O1082" s="1" t="n">
        <f aca="false">IF(M1082="Exclude (duplicate)",0,1)</f>
        <v>1</v>
      </c>
      <c r="P1082" s="1" t="str">
        <f aca="false">IF(AND(L1082&lt;&gt;"",M1082=""),"Needs decision","")</f>
        <v/>
      </c>
    </row>
    <row r="1083" customFormat="false" ht="15" hidden="false" customHeight="false" outlineLevel="0" collapsed="false">
      <c r="A1083" s="48" t="str">
        <f aca="false">COST!A1083</f>
        <v>CBH-0255</v>
      </c>
      <c r="B1083" s="48" t="str">
        <f aca="false">COST!B1083</f>
        <v>CBH</v>
      </c>
      <c r="C1083" s="48" t="str">
        <f aca="false">COST!D1083</f>
        <v>Nursing Student Clinical Rotations</v>
      </c>
      <c r="D1083" s="62" t="n">
        <f aca="false">COST!M1083</f>
        <v>46173</v>
      </c>
      <c r="E1083" s="48" t="str">
        <f aca="false">COST!P1083</f>
        <v>Clinical Nurse Educator</v>
      </c>
      <c r="F1083" s="63" t="n">
        <f aca="false">COST!R1083</f>
        <v>124.5</v>
      </c>
      <c r="G1083" s="48" t="str">
        <f aca="false">STACK!M1083</f>
        <v/>
      </c>
      <c r="H1083" s="1" t="str">
        <f aca="false">C1083&amp;"|"&amp;IF(ISNUMBER(D1083),TEXT(D1083,"yyyy-mm-dd"),"no date")&amp;"|"&amp;E1083&amp;"|"&amp;IF(ISNUMBER(F1083),TEXT(F1083,"0.00"),"blank")</f>
        <v>Nursing Student Clinical Rotations|2026-05-31|Clinical Nurse Educator|124.50</v>
      </c>
      <c r="I1083" s="1" t="n">
        <f aca="false">COUNTIF($H$5:$H$1624,H1083)</f>
        <v>1</v>
      </c>
      <c r="J1083" s="1" t="n">
        <f aca="false">COUNTIF($H$5:H1083,H1083)</f>
        <v>1</v>
      </c>
      <c r="K1083" s="1" t="n">
        <f aca="false">COUNTIFS($H$5:$H$1624,H1083,$B$5:$B$1624,"&lt;&gt;"&amp;B1083)</f>
        <v>0</v>
      </c>
      <c r="L1083" s="1" t="str">
        <f aca="false">IF(I1083&gt;1,IF(K1083&gt;0,"Cross-hospital match","Same-hospital match"),"")</f>
        <v/>
      </c>
      <c r="M1083" s="52"/>
      <c r="N1083" s="52"/>
      <c r="O1083" s="1" t="n">
        <f aca="false">IF(M1083="Exclude (duplicate)",0,1)</f>
        <v>1</v>
      </c>
      <c r="P1083" s="1" t="str">
        <f aca="false">IF(AND(L1083&lt;&gt;"",M1083=""),"Needs decision","")</f>
        <v/>
      </c>
    </row>
    <row r="1084" customFormat="false" ht="15" hidden="false" customHeight="false" outlineLevel="0" collapsed="false">
      <c r="A1084" s="48" t="str">
        <f aca="false">COST!A1084</f>
        <v>CBH-0256</v>
      </c>
      <c r="B1084" s="48" t="str">
        <f aca="false">COST!B1084</f>
        <v>CBH</v>
      </c>
      <c r="C1084" s="48" t="str">
        <f aca="false">COST!D1084</f>
        <v>Nursing Student Clinical Rotations</v>
      </c>
      <c r="D1084" s="62" t="n">
        <f aca="false">COST!M1084</f>
        <v>46173</v>
      </c>
      <c r="E1084" s="48" t="str">
        <f aca="false">COST!P1084</f>
        <v>Registered Nurse</v>
      </c>
      <c r="F1084" s="63" t="n">
        <f aca="false">COST!R1084</f>
        <v>166.75</v>
      </c>
      <c r="G1084" s="48" t="str">
        <f aca="false">STACK!M1084</f>
        <v/>
      </c>
      <c r="H1084" s="1" t="str">
        <f aca="false">C1084&amp;"|"&amp;IF(ISNUMBER(D1084),TEXT(D1084,"yyyy-mm-dd"),"no date")&amp;"|"&amp;E1084&amp;"|"&amp;IF(ISNUMBER(F1084),TEXT(F1084,"0.00"),"blank")</f>
        <v>Nursing Student Clinical Rotations|2026-05-31|Registered Nurse|166.75</v>
      </c>
      <c r="I1084" s="1" t="n">
        <f aca="false">COUNTIF($H$5:$H$1624,H1084)</f>
        <v>1</v>
      </c>
      <c r="J1084" s="1" t="n">
        <f aca="false">COUNTIF($H$5:H1084,H1084)</f>
        <v>1</v>
      </c>
      <c r="K1084" s="1" t="n">
        <f aca="false">COUNTIFS($H$5:$H$1624,H1084,$B$5:$B$1624,"&lt;&gt;"&amp;B1084)</f>
        <v>0</v>
      </c>
      <c r="L1084" s="1" t="str">
        <f aca="false">IF(I1084&gt;1,IF(K1084&gt;0,"Cross-hospital match","Same-hospital match"),"")</f>
        <v/>
      </c>
      <c r="M1084" s="52"/>
      <c r="N1084" s="52"/>
      <c r="O1084" s="1" t="n">
        <f aca="false">IF(M1084="Exclude (duplicate)",0,1)</f>
        <v>1</v>
      </c>
      <c r="P1084" s="1" t="str">
        <f aca="false">IF(AND(L1084&lt;&gt;"",M1084=""),"Needs decision","")</f>
        <v/>
      </c>
    </row>
    <row r="1085" customFormat="false" ht="15" hidden="false" customHeight="false" outlineLevel="0" collapsed="false">
      <c r="A1085" s="48" t="str">
        <f aca="false">COST!A1085</f>
        <v>CBH-0257</v>
      </c>
      <c r="B1085" s="48" t="str">
        <f aca="false">COST!B1085</f>
        <v>CBH</v>
      </c>
      <c r="C1085" s="48" t="str">
        <f aca="false">COST!D1085</f>
        <v>Pharmacy Student Rotations</v>
      </c>
      <c r="D1085" s="62" t="n">
        <f aca="false">COST!M1085</f>
        <v>46173</v>
      </c>
      <c r="E1085" s="48" t="str">
        <f aca="false">COST!P1085</f>
        <v>Pharmacist</v>
      </c>
      <c r="F1085" s="63" t="n">
        <f aca="false">COST!R1085</f>
        <v>40.75</v>
      </c>
      <c r="G1085" s="48" t="str">
        <f aca="false">STACK!M1085</f>
        <v/>
      </c>
      <c r="H1085" s="1" t="str">
        <f aca="false">C1085&amp;"|"&amp;IF(ISNUMBER(D1085),TEXT(D1085,"yyyy-mm-dd"),"no date")&amp;"|"&amp;E1085&amp;"|"&amp;IF(ISNUMBER(F1085),TEXT(F1085,"0.00"),"blank")</f>
        <v>Pharmacy Student Rotations|2026-05-31|Pharmacist|40.75</v>
      </c>
      <c r="I1085" s="1" t="n">
        <f aca="false">COUNTIF($H$5:$H$1624,H1085)</f>
        <v>1</v>
      </c>
      <c r="J1085" s="1" t="n">
        <f aca="false">COUNTIF($H$5:H1085,H1085)</f>
        <v>1</v>
      </c>
      <c r="K1085" s="1" t="n">
        <f aca="false">COUNTIFS($H$5:$H$1624,H1085,$B$5:$B$1624,"&lt;&gt;"&amp;B1085)</f>
        <v>0</v>
      </c>
      <c r="L1085" s="1" t="str">
        <f aca="false">IF(I1085&gt;1,IF(K1085&gt;0,"Cross-hospital match","Same-hospital match"),"")</f>
        <v/>
      </c>
      <c r="M1085" s="52"/>
      <c r="N1085" s="52"/>
      <c r="O1085" s="1" t="n">
        <f aca="false">IF(M1085="Exclude (duplicate)",0,1)</f>
        <v>1</v>
      </c>
      <c r="P1085" s="1" t="str">
        <f aca="false">IF(AND(L1085&lt;&gt;"",M1085=""),"Needs decision","")</f>
        <v/>
      </c>
    </row>
    <row r="1086" customFormat="false" ht="15" hidden="false" customHeight="false" outlineLevel="0" collapsed="false">
      <c r="A1086" s="48" t="str">
        <f aca="false">COST!A1086</f>
        <v>CBH-0258</v>
      </c>
      <c r="B1086" s="48" t="str">
        <f aca="false">COST!B1086</f>
        <v>CBH</v>
      </c>
      <c r="C1086" s="48" t="str">
        <f aca="false">COST!D1086</f>
        <v>Community Blood Pressure Checks</v>
      </c>
      <c r="D1086" s="62" t="n">
        <f aca="false">COST!M1086</f>
        <v>46174</v>
      </c>
      <c r="E1086" s="48" t="str">
        <f aca="false">COST!P1086</f>
        <v>Registered Nurse</v>
      </c>
      <c r="F1086" s="63" t="n">
        <f aca="false">COST!R1086</f>
        <v>4.25</v>
      </c>
      <c r="G1086" s="48" t="str">
        <f aca="false">STACK!M1086</f>
        <v/>
      </c>
      <c r="H1086" s="1" t="str">
        <f aca="false">C1086&amp;"|"&amp;IF(ISNUMBER(D1086),TEXT(D1086,"yyyy-mm-dd"),"no date")&amp;"|"&amp;E1086&amp;"|"&amp;IF(ISNUMBER(F1086),TEXT(F1086,"0.00"),"blank")</f>
        <v>Community Blood Pressure Checks|2026-06-01|Registered Nurse|4.25</v>
      </c>
      <c r="I1086" s="1" t="n">
        <f aca="false">COUNTIF($H$5:$H$1624,H1086)</f>
        <v>1</v>
      </c>
      <c r="J1086" s="1" t="n">
        <f aca="false">COUNTIF($H$5:H1086,H1086)</f>
        <v>1</v>
      </c>
      <c r="K1086" s="1" t="n">
        <f aca="false">COUNTIFS($H$5:$H$1624,H1086,$B$5:$B$1624,"&lt;&gt;"&amp;B1086)</f>
        <v>0</v>
      </c>
      <c r="L1086" s="1" t="str">
        <f aca="false">IF(I1086&gt;1,IF(K1086&gt;0,"Cross-hospital match","Same-hospital match"),"")</f>
        <v/>
      </c>
      <c r="M1086" s="52"/>
      <c r="N1086" s="52"/>
      <c r="O1086" s="1" t="n">
        <f aca="false">IF(M1086="Exclude (duplicate)",0,1)</f>
        <v>1</v>
      </c>
      <c r="P1086" s="1" t="str">
        <f aca="false">IF(AND(L1086&lt;&gt;"",M1086=""),"Needs decision","")</f>
        <v/>
      </c>
    </row>
    <row r="1087" customFormat="false" ht="15" hidden="false" customHeight="false" outlineLevel="0" collapsed="false">
      <c r="A1087" s="48" t="str">
        <f aca="false">COST!A1087</f>
        <v>CBH-0259</v>
      </c>
      <c r="B1087" s="48" t="str">
        <f aca="false">COST!B1087</f>
        <v>CBH</v>
      </c>
      <c r="C1087" s="48" t="str">
        <f aca="false">COST!D1087</f>
        <v>Grief Support Group</v>
      </c>
      <c r="D1087" s="62" t="n">
        <f aca="false">COST!M1087</f>
        <v>46176</v>
      </c>
      <c r="E1087" s="48" t="str">
        <f aca="false">COST!P1087</f>
        <v>Chaplain</v>
      </c>
      <c r="F1087" s="63" t="n">
        <f aca="false">COST!R1087</f>
        <v>2.25</v>
      </c>
      <c r="G1087" s="48" t="str">
        <f aca="false">STACK!M1087</f>
        <v/>
      </c>
      <c r="H1087" s="1" t="str">
        <f aca="false">C1087&amp;"|"&amp;IF(ISNUMBER(D1087),TEXT(D1087,"yyyy-mm-dd"),"no date")&amp;"|"&amp;E1087&amp;"|"&amp;IF(ISNUMBER(F1087),TEXT(F1087,"0.00"),"blank")</f>
        <v>Grief Support Group|2026-06-03|Chaplain|2.25</v>
      </c>
      <c r="I1087" s="1" t="n">
        <f aca="false">COUNTIF($H$5:$H$1624,H1087)</f>
        <v>1</v>
      </c>
      <c r="J1087" s="1" t="n">
        <f aca="false">COUNTIF($H$5:H1087,H1087)</f>
        <v>1</v>
      </c>
      <c r="K1087" s="1" t="n">
        <f aca="false">COUNTIFS($H$5:$H$1624,H1087,$B$5:$B$1624,"&lt;&gt;"&amp;B1087)</f>
        <v>0</v>
      </c>
      <c r="L1087" s="1" t="str">
        <f aca="false">IF(I1087&gt;1,IF(K1087&gt;0,"Cross-hospital match","Same-hospital match"),"")</f>
        <v/>
      </c>
      <c r="M1087" s="52"/>
      <c r="N1087" s="52"/>
      <c r="O1087" s="1" t="n">
        <f aca="false">IF(M1087="Exclude (duplicate)",0,1)</f>
        <v>1</v>
      </c>
      <c r="P1087" s="1" t="str">
        <f aca="false">IF(AND(L1087&lt;&gt;"",M1087=""),"Needs decision","")</f>
        <v/>
      </c>
    </row>
    <row r="1088" customFormat="false" ht="15" hidden="false" customHeight="false" outlineLevel="0" collapsed="false">
      <c r="A1088" s="48" t="str">
        <f aca="false">COST!A1088</f>
        <v>CBH-0260</v>
      </c>
      <c r="B1088" s="48" t="str">
        <f aca="false">COST!B1088</f>
        <v>CBH</v>
      </c>
      <c r="C1088" s="48" t="str">
        <f aca="false">COST!D1088</f>
        <v>Grief Support Group</v>
      </c>
      <c r="D1088" s="62" t="n">
        <f aca="false">COST!M1088</f>
        <v>46176</v>
      </c>
      <c r="E1088" s="48" t="str">
        <f aca="false">COST!P1088</f>
        <v>Social Worker</v>
      </c>
      <c r="F1088" s="63" t="n">
        <f aca="false">COST!R1088</f>
        <v>2</v>
      </c>
      <c r="G1088" s="48" t="str">
        <f aca="false">STACK!M1088</f>
        <v/>
      </c>
      <c r="H1088" s="1" t="str">
        <f aca="false">C1088&amp;"|"&amp;IF(ISNUMBER(D1088),TEXT(D1088,"yyyy-mm-dd"),"no date")&amp;"|"&amp;E1088&amp;"|"&amp;IF(ISNUMBER(F1088),TEXT(F1088,"0.00"),"blank")</f>
        <v>Grief Support Group|2026-06-03|Social Worker|2.00</v>
      </c>
      <c r="I1088" s="1" t="n">
        <f aca="false">COUNTIF($H$5:$H$1624,H1088)</f>
        <v>1</v>
      </c>
      <c r="J1088" s="1" t="n">
        <f aca="false">COUNTIF($H$5:H1088,H1088)</f>
        <v>1</v>
      </c>
      <c r="K1088" s="1" t="n">
        <f aca="false">COUNTIFS($H$5:$H$1624,H1088,$B$5:$B$1624,"&lt;&gt;"&amp;B1088)</f>
        <v>0</v>
      </c>
      <c r="L1088" s="1" t="str">
        <f aca="false">IF(I1088&gt;1,IF(K1088&gt;0,"Cross-hospital match","Same-hospital match"),"")</f>
        <v/>
      </c>
      <c r="M1088" s="52"/>
      <c r="N1088" s="52"/>
      <c r="O1088" s="1" t="n">
        <f aca="false">IF(M1088="Exclude (duplicate)",0,1)</f>
        <v>1</v>
      </c>
      <c r="P1088" s="1" t="str">
        <f aca="false">IF(AND(L1088&lt;&gt;"",M1088=""),"Needs decision","")</f>
        <v/>
      </c>
    </row>
    <row r="1089" customFormat="false" ht="15" hidden="false" customHeight="false" outlineLevel="0" collapsed="false">
      <c r="A1089" s="48" t="str">
        <f aca="false">COST!A1089</f>
        <v>CBH-0261</v>
      </c>
      <c r="B1089" s="48" t="str">
        <f aca="false">COST!B1089</f>
        <v>CBH</v>
      </c>
      <c r="C1089" s="48" t="str">
        <f aca="false">COST!D1089</f>
        <v>Fall Prevention Classes for Older Adults</v>
      </c>
      <c r="D1089" s="62" t="n">
        <f aca="false">COST!M1089</f>
        <v>46176</v>
      </c>
      <c r="E1089" s="48" t="str">
        <f aca="false">COST!P1089</f>
        <v>Licensed Therapist</v>
      </c>
      <c r="F1089" s="63" t="n">
        <f aca="false">COST!R1089</f>
        <v>2</v>
      </c>
      <c r="G1089" s="48" t="str">
        <f aca="false">STACK!M1089</f>
        <v/>
      </c>
      <c r="H1089" s="1" t="str">
        <f aca="false">C1089&amp;"|"&amp;IF(ISNUMBER(D1089),TEXT(D1089,"yyyy-mm-dd"),"no date")&amp;"|"&amp;E1089&amp;"|"&amp;IF(ISNUMBER(F1089),TEXT(F1089,"0.00"),"blank")</f>
        <v>Fall Prevention Classes for Older Adults|2026-06-03|Licensed Therapist|2.00</v>
      </c>
      <c r="I1089" s="1" t="n">
        <f aca="false">COUNTIF($H$5:$H$1624,H1089)</f>
        <v>1</v>
      </c>
      <c r="J1089" s="1" t="n">
        <f aca="false">COUNTIF($H$5:H1089,H1089)</f>
        <v>1</v>
      </c>
      <c r="K1089" s="1" t="n">
        <f aca="false">COUNTIFS($H$5:$H$1624,H1089,$B$5:$B$1624,"&lt;&gt;"&amp;B1089)</f>
        <v>0</v>
      </c>
      <c r="L1089" s="1" t="str">
        <f aca="false">IF(I1089&gt;1,IF(K1089&gt;0,"Cross-hospital match","Same-hospital match"),"")</f>
        <v/>
      </c>
      <c r="M1089" s="52"/>
      <c r="N1089" s="52"/>
      <c r="O1089" s="1" t="n">
        <f aca="false">IF(M1089="Exclude (duplicate)",0,1)</f>
        <v>1</v>
      </c>
      <c r="P1089" s="1" t="str">
        <f aca="false">IF(AND(L1089&lt;&gt;"",M1089=""),"Needs decision","")</f>
        <v/>
      </c>
    </row>
    <row r="1090" customFormat="false" ht="15" hidden="false" customHeight="false" outlineLevel="0" collapsed="false">
      <c r="A1090" s="48" t="str">
        <f aca="false">COST!A1090</f>
        <v>CBH-0262</v>
      </c>
      <c r="B1090" s="48" t="str">
        <f aca="false">COST!B1090</f>
        <v>CBH</v>
      </c>
      <c r="C1090" s="48" t="str">
        <f aca="false">COST!D1090</f>
        <v>Naloxone Training and Distribution</v>
      </c>
      <c r="D1090" s="62" t="n">
        <f aca="false">COST!M1090</f>
        <v>46191</v>
      </c>
      <c r="E1090" s="48" t="str">
        <f aca="false">COST!P1090</f>
        <v>Health Educator</v>
      </c>
      <c r="F1090" s="63" t="n">
        <f aca="false">COST!R1090</f>
        <v>2.75</v>
      </c>
      <c r="G1090" s="48" t="str">
        <f aca="false">STACK!M1090</f>
        <v/>
      </c>
      <c r="H1090" s="1" t="str">
        <f aca="false">C1090&amp;"|"&amp;IF(ISNUMBER(D1090),TEXT(D1090,"yyyy-mm-dd"),"no date")&amp;"|"&amp;E1090&amp;"|"&amp;IF(ISNUMBER(F1090),TEXT(F1090,"0.00"),"blank")</f>
        <v>Naloxone Training and Distribution|2026-06-18|Health Educator|2.75</v>
      </c>
      <c r="I1090" s="1" t="n">
        <f aca="false">COUNTIF($H$5:$H$1624,H1090)</f>
        <v>1</v>
      </c>
      <c r="J1090" s="1" t="n">
        <f aca="false">COUNTIF($H$5:H1090,H1090)</f>
        <v>1</v>
      </c>
      <c r="K1090" s="1" t="n">
        <f aca="false">COUNTIFS($H$5:$H$1624,H1090,$B$5:$B$1624,"&lt;&gt;"&amp;B1090)</f>
        <v>0</v>
      </c>
      <c r="L1090" s="1" t="str">
        <f aca="false">IF(I1090&gt;1,IF(K1090&gt;0,"Cross-hospital match","Same-hospital match"),"")</f>
        <v/>
      </c>
      <c r="M1090" s="52"/>
      <c r="N1090" s="52"/>
      <c r="O1090" s="1" t="n">
        <f aca="false">IF(M1090="Exclude (duplicate)",0,1)</f>
        <v>1</v>
      </c>
      <c r="P1090" s="1" t="str">
        <f aca="false">IF(AND(L1090&lt;&gt;"",M1090=""),"Needs decision","")</f>
        <v/>
      </c>
    </row>
    <row r="1091" customFormat="false" ht="15" hidden="false" customHeight="false" outlineLevel="0" collapsed="false">
      <c r="A1091" s="48" t="str">
        <f aca="false">COST!A1091</f>
        <v>CBH-0263</v>
      </c>
      <c r="B1091" s="48" t="str">
        <f aca="false">COST!B1091</f>
        <v>CBH</v>
      </c>
      <c r="C1091" s="48" t="str">
        <f aca="false">COST!D1091</f>
        <v>Naloxone Training and Distribution</v>
      </c>
      <c r="D1091" s="62" t="n">
        <f aca="false">COST!M1091</f>
        <v>46191</v>
      </c>
      <c r="E1091" s="48" t="str">
        <f aca="false">COST!P1091</f>
        <v>Pharmacist</v>
      </c>
      <c r="F1091" s="63" t="n">
        <f aca="false">COST!R1091</f>
        <v>2.5</v>
      </c>
      <c r="G1091" s="48" t="str">
        <f aca="false">STACK!M1091</f>
        <v/>
      </c>
      <c r="H1091" s="1" t="str">
        <f aca="false">C1091&amp;"|"&amp;IF(ISNUMBER(D1091),TEXT(D1091,"yyyy-mm-dd"),"no date")&amp;"|"&amp;E1091&amp;"|"&amp;IF(ISNUMBER(F1091),TEXT(F1091,"0.00"),"blank")</f>
        <v>Naloxone Training and Distribution|2026-06-18|Pharmacist|2.50</v>
      </c>
      <c r="I1091" s="1" t="n">
        <f aca="false">COUNTIF($H$5:$H$1624,H1091)</f>
        <v>1</v>
      </c>
      <c r="J1091" s="1" t="n">
        <f aca="false">COUNTIF($H$5:H1091,H1091)</f>
        <v>1</v>
      </c>
      <c r="K1091" s="1" t="n">
        <f aca="false">COUNTIFS($H$5:$H$1624,H1091,$B$5:$B$1624,"&lt;&gt;"&amp;B1091)</f>
        <v>0</v>
      </c>
      <c r="L1091" s="1" t="str">
        <f aca="false">IF(I1091&gt;1,IF(K1091&gt;0,"Cross-hospital match","Same-hospital match"),"")</f>
        <v/>
      </c>
      <c r="M1091" s="52"/>
      <c r="N1091" s="52"/>
      <c r="O1091" s="1" t="n">
        <f aca="false">IF(M1091="Exclude (duplicate)",0,1)</f>
        <v>1</v>
      </c>
      <c r="P1091" s="1" t="str">
        <f aca="false">IF(AND(L1091&lt;&gt;"",M1091=""),"Needs decision","")</f>
        <v/>
      </c>
    </row>
    <row r="1092" customFormat="false" ht="15" hidden="false" customHeight="false" outlineLevel="0" collapsed="false">
      <c r="A1092" s="48" t="str">
        <f aca="false">COST!A1092</f>
        <v>CBH-0264</v>
      </c>
      <c r="B1092" s="48" t="str">
        <f aca="false">COST!B1092</f>
        <v>CBH</v>
      </c>
      <c r="C1092" s="48" t="str">
        <f aca="false">COST!D1092</f>
        <v>Diabetes Prevention Classes</v>
      </c>
      <c r="D1092" s="62" t="n">
        <f aca="false">COST!M1092</f>
        <v>46192</v>
      </c>
      <c r="E1092" s="48" t="str">
        <f aca="false">COST!P1092</f>
        <v>Health Educator</v>
      </c>
      <c r="F1092" s="63" t="n">
        <f aca="false">COST!R1092</f>
        <v>2</v>
      </c>
      <c r="G1092" s="48" t="str">
        <f aca="false">STACK!M1092</f>
        <v/>
      </c>
      <c r="H1092" s="1" t="str">
        <f aca="false">C1092&amp;"|"&amp;IF(ISNUMBER(D1092),TEXT(D1092,"yyyy-mm-dd"),"no date")&amp;"|"&amp;E1092&amp;"|"&amp;IF(ISNUMBER(F1092),TEXT(F1092,"0.00"),"blank")</f>
        <v>Diabetes Prevention Classes|2026-06-19|Health Educator|2.00</v>
      </c>
      <c r="I1092" s="1" t="n">
        <f aca="false">COUNTIF($H$5:$H$1624,H1092)</f>
        <v>1</v>
      </c>
      <c r="J1092" s="1" t="n">
        <f aca="false">COUNTIF($H$5:H1092,H1092)</f>
        <v>1</v>
      </c>
      <c r="K1092" s="1" t="n">
        <f aca="false">COUNTIFS($H$5:$H$1624,H1092,$B$5:$B$1624,"&lt;&gt;"&amp;B1092)</f>
        <v>0</v>
      </c>
      <c r="L1092" s="1" t="str">
        <f aca="false">IF(I1092&gt;1,IF(K1092&gt;0,"Cross-hospital match","Same-hospital match"),"")</f>
        <v/>
      </c>
      <c r="M1092" s="52"/>
      <c r="N1092" s="52"/>
      <c r="O1092" s="1" t="n">
        <f aca="false">IF(M1092="Exclude (duplicate)",0,1)</f>
        <v>1</v>
      </c>
      <c r="P1092" s="1" t="str">
        <f aca="false">IF(AND(L1092&lt;&gt;"",M1092=""),"Needs decision","")</f>
        <v/>
      </c>
    </row>
    <row r="1093" customFormat="false" ht="15" hidden="false" customHeight="false" outlineLevel="0" collapsed="false">
      <c r="A1093" s="48" t="str">
        <f aca="false">COST!A1093</f>
        <v>CBH-0265</v>
      </c>
      <c r="B1093" s="48" t="str">
        <f aca="false">COST!B1093</f>
        <v>CBH</v>
      </c>
      <c r="C1093" s="48" t="str">
        <f aca="false">COST!D1093</f>
        <v>Diabetes Prevention Classes</v>
      </c>
      <c r="D1093" s="62" t="n">
        <f aca="false">COST!M1093</f>
        <v>46192</v>
      </c>
      <c r="E1093" s="48" t="str">
        <f aca="false">COST!P1093</f>
        <v>Registered Dietitian</v>
      </c>
      <c r="F1093" s="63" t="n">
        <f aca="false">COST!R1093</f>
        <v>1.5</v>
      </c>
      <c r="G1093" s="48" t="str">
        <f aca="false">STACK!M1093</f>
        <v/>
      </c>
      <c r="H1093" s="1" t="str">
        <f aca="false">C1093&amp;"|"&amp;IF(ISNUMBER(D1093),TEXT(D1093,"yyyy-mm-dd"),"no date")&amp;"|"&amp;E1093&amp;"|"&amp;IF(ISNUMBER(F1093),TEXT(F1093,"0.00"),"blank")</f>
        <v>Diabetes Prevention Classes|2026-06-19|Registered Dietitian|1.50</v>
      </c>
      <c r="I1093" s="1" t="n">
        <f aca="false">COUNTIF($H$5:$H$1624,H1093)</f>
        <v>1</v>
      </c>
      <c r="J1093" s="1" t="n">
        <f aca="false">COUNTIF($H$5:H1093,H1093)</f>
        <v>1</v>
      </c>
      <c r="K1093" s="1" t="n">
        <f aca="false">COUNTIFS($H$5:$H$1624,H1093,$B$5:$B$1624,"&lt;&gt;"&amp;B1093)</f>
        <v>0</v>
      </c>
      <c r="L1093" s="1" t="str">
        <f aca="false">IF(I1093&gt;1,IF(K1093&gt;0,"Cross-hospital match","Same-hospital match"),"")</f>
        <v/>
      </c>
      <c r="M1093" s="52"/>
      <c r="N1093" s="52"/>
      <c r="O1093" s="1" t="n">
        <f aca="false">IF(M1093="Exclude (duplicate)",0,1)</f>
        <v>1</v>
      </c>
      <c r="P1093" s="1" t="str">
        <f aca="false">IF(AND(L1093&lt;&gt;"",M1093=""),"Needs decision","")</f>
        <v/>
      </c>
    </row>
    <row r="1094" customFormat="false" ht="15" hidden="false" customHeight="false" outlineLevel="0" collapsed="false">
      <c r="A1094" s="48" t="str">
        <f aca="false">COST!A1094</f>
        <v>CBH-0266</v>
      </c>
      <c r="B1094" s="48" t="str">
        <f aca="false">COST!B1094</f>
        <v>CBH</v>
      </c>
      <c r="C1094" s="48" t="str">
        <f aca="false">COST!D1094</f>
        <v>Fall Prevention Classes for Older Adults</v>
      </c>
      <c r="D1094" s="62" t="n">
        <f aca="false">COST!M1094</f>
        <v>46193</v>
      </c>
      <c r="E1094" s="48" t="str">
        <f aca="false">COST!P1094</f>
        <v>Licensed Therapist</v>
      </c>
      <c r="F1094" s="63" t="n">
        <f aca="false">COST!R1094</f>
        <v>2</v>
      </c>
      <c r="G1094" s="48" t="str">
        <f aca="false">STACK!M1094</f>
        <v/>
      </c>
      <c r="H1094" s="1" t="str">
        <f aca="false">C1094&amp;"|"&amp;IF(ISNUMBER(D1094),TEXT(D1094,"yyyy-mm-dd"),"no date")&amp;"|"&amp;E1094&amp;"|"&amp;IF(ISNUMBER(F1094),TEXT(F1094,"0.00"),"blank")</f>
        <v>Fall Prevention Classes for Older Adults|2026-06-20|Licensed Therapist|2.00</v>
      </c>
      <c r="I1094" s="1" t="n">
        <f aca="false">COUNTIF($H$5:$H$1624,H1094)</f>
        <v>1</v>
      </c>
      <c r="J1094" s="1" t="n">
        <f aca="false">COUNTIF($H$5:H1094,H1094)</f>
        <v>1</v>
      </c>
      <c r="K1094" s="1" t="n">
        <f aca="false">COUNTIFS($H$5:$H$1624,H1094,$B$5:$B$1624,"&lt;&gt;"&amp;B1094)</f>
        <v>0</v>
      </c>
      <c r="L1094" s="1" t="str">
        <f aca="false">IF(I1094&gt;1,IF(K1094&gt;0,"Cross-hospital match","Same-hospital match"),"")</f>
        <v/>
      </c>
      <c r="M1094" s="52"/>
      <c r="N1094" s="52"/>
      <c r="O1094" s="1" t="n">
        <f aca="false">IF(M1094="Exclude (duplicate)",0,1)</f>
        <v>1</v>
      </c>
      <c r="P1094" s="1" t="str">
        <f aca="false">IF(AND(L1094&lt;&gt;"",M1094=""),"Needs decision","")</f>
        <v/>
      </c>
    </row>
    <row r="1095" customFormat="false" ht="15" hidden="false" customHeight="false" outlineLevel="0" collapsed="false">
      <c r="A1095" s="48" t="str">
        <f aca="false">COST!A1095</f>
        <v>CBH-0267</v>
      </c>
      <c r="B1095" s="48" t="str">
        <f aca="false">COST!B1095</f>
        <v>CBH</v>
      </c>
      <c r="C1095" s="48" t="str">
        <f aca="false">COST!D1095</f>
        <v>Grief Support Group</v>
      </c>
      <c r="D1095" s="62" t="n">
        <f aca="false">COST!M1095</f>
        <v>46202</v>
      </c>
      <c r="E1095" s="48" t="str">
        <f aca="false">COST!P1095</f>
        <v>Chaplain</v>
      </c>
      <c r="F1095" s="63" t="n">
        <f aca="false">COST!R1095</f>
        <v>2.5</v>
      </c>
      <c r="G1095" s="48" t="str">
        <f aca="false">STACK!M1095</f>
        <v/>
      </c>
      <c r="H1095" s="1" t="str">
        <f aca="false">C1095&amp;"|"&amp;IF(ISNUMBER(D1095),TEXT(D1095,"yyyy-mm-dd"),"no date")&amp;"|"&amp;E1095&amp;"|"&amp;IF(ISNUMBER(F1095),TEXT(F1095,"0.00"),"blank")</f>
        <v>Grief Support Group|2026-06-29|Chaplain|2.50</v>
      </c>
      <c r="I1095" s="1" t="n">
        <f aca="false">COUNTIF($H$5:$H$1624,H1095)</f>
        <v>1</v>
      </c>
      <c r="J1095" s="1" t="n">
        <f aca="false">COUNTIF($H$5:H1095,H1095)</f>
        <v>1</v>
      </c>
      <c r="K1095" s="1" t="n">
        <f aca="false">COUNTIFS($H$5:$H$1624,H1095,$B$5:$B$1624,"&lt;&gt;"&amp;B1095)</f>
        <v>0</v>
      </c>
      <c r="L1095" s="1" t="str">
        <f aca="false">IF(I1095&gt;1,IF(K1095&gt;0,"Cross-hospital match","Same-hospital match"),"")</f>
        <v/>
      </c>
      <c r="M1095" s="52"/>
      <c r="N1095" s="52"/>
      <c r="O1095" s="1" t="n">
        <f aca="false">IF(M1095="Exclude (duplicate)",0,1)</f>
        <v>1</v>
      </c>
      <c r="P1095" s="1" t="str">
        <f aca="false">IF(AND(L1095&lt;&gt;"",M1095=""),"Needs decision","")</f>
        <v/>
      </c>
    </row>
    <row r="1096" customFormat="false" ht="15" hidden="false" customHeight="false" outlineLevel="0" collapsed="false">
      <c r="A1096" s="48" t="str">
        <f aca="false">COST!A1096</f>
        <v>CBH-0268</v>
      </c>
      <c r="B1096" s="48" t="str">
        <f aca="false">COST!B1096</f>
        <v>CBH</v>
      </c>
      <c r="C1096" s="48" t="str">
        <f aca="false">COST!D1096</f>
        <v>Grief Support Group</v>
      </c>
      <c r="D1096" s="62" t="n">
        <f aca="false">COST!M1096</f>
        <v>46202</v>
      </c>
      <c r="E1096" s="48" t="str">
        <f aca="false">COST!P1096</f>
        <v>Social Worker</v>
      </c>
      <c r="F1096" s="63" t="n">
        <f aca="false">COST!R1096</f>
        <v>1.75</v>
      </c>
      <c r="G1096" s="48" t="str">
        <f aca="false">STACK!M1096</f>
        <v/>
      </c>
      <c r="H1096" s="1" t="str">
        <f aca="false">C1096&amp;"|"&amp;IF(ISNUMBER(D1096),TEXT(D1096,"yyyy-mm-dd"),"no date")&amp;"|"&amp;E1096&amp;"|"&amp;IF(ISNUMBER(F1096),TEXT(F1096,"0.00"),"blank")</f>
        <v>Grief Support Group|2026-06-29|Social Worker|1.75</v>
      </c>
      <c r="I1096" s="1" t="n">
        <f aca="false">COUNTIF($H$5:$H$1624,H1096)</f>
        <v>1</v>
      </c>
      <c r="J1096" s="1" t="n">
        <f aca="false">COUNTIF($H$5:H1096,H1096)</f>
        <v>1</v>
      </c>
      <c r="K1096" s="1" t="n">
        <f aca="false">COUNTIFS($H$5:$H$1624,H1096,$B$5:$B$1624,"&lt;&gt;"&amp;B1096)</f>
        <v>0</v>
      </c>
      <c r="L1096" s="1" t="str">
        <f aca="false">IF(I1096&gt;1,IF(K1096&gt;0,"Cross-hospital match","Same-hospital match"),"")</f>
        <v/>
      </c>
      <c r="M1096" s="52"/>
      <c r="N1096" s="52"/>
      <c r="O1096" s="1" t="n">
        <f aca="false">IF(M1096="Exclude (duplicate)",0,1)</f>
        <v>1</v>
      </c>
      <c r="P1096" s="1" t="str">
        <f aca="false">IF(AND(L1096&lt;&gt;"",M1096=""),"Needs decision","")</f>
        <v/>
      </c>
    </row>
    <row r="1097" customFormat="false" ht="15" hidden="false" customHeight="false" outlineLevel="0" collapsed="false">
      <c r="A1097" s="48" t="str">
        <f aca="false">COST!A1097</f>
        <v>CBH-0269</v>
      </c>
      <c r="B1097" s="48" t="str">
        <f aca="false">COST!B1097</f>
        <v>CBH</v>
      </c>
      <c r="C1097" s="48" t="str">
        <f aca="false">COST!D1097</f>
        <v>Free Clinic Provider Staffing</v>
      </c>
      <c r="D1097" s="62" t="n">
        <f aca="false">COST!M1097</f>
        <v>46203</v>
      </c>
      <c r="E1097" s="48" t="str">
        <f aca="false">COST!P1097</f>
        <v>Nurse Practitioner</v>
      </c>
      <c r="F1097" s="63" t="n">
        <f aca="false">COST!R1097</f>
        <v>41.75</v>
      </c>
      <c r="G1097" s="48" t="str">
        <f aca="false">STACK!M1097</f>
        <v/>
      </c>
      <c r="H1097" s="1" t="str">
        <f aca="false">C1097&amp;"|"&amp;IF(ISNUMBER(D1097),TEXT(D1097,"yyyy-mm-dd"),"no date")&amp;"|"&amp;E1097&amp;"|"&amp;IF(ISNUMBER(F1097),TEXT(F1097,"0.00"),"blank")</f>
        <v>Free Clinic Provider Staffing|2026-06-30|Nurse Practitioner|41.75</v>
      </c>
      <c r="I1097" s="1" t="n">
        <f aca="false">COUNTIF($H$5:$H$1624,H1097)</f>
        <v>1</v>
      </c>
      <c r="J1097" s="1" t="n">
        <f aca="false">COUNTIF($H$5:H1097,H1097)</f>
        <v>1</v>
      </c>
      <c r="K1097" s="1" t="n">
        <f aca="false">COUNTIFS($H$5:$H$1624,H1097,$B$5:$B$1624,"&lt;&gt;"&amp;B1097)</f>
        <v>0</v>
      </c>
      <c r="L1097" s="1" t="str">
        <f aca="false">IF(I1097&gt;1,IF(K1097&gt;0,"Cross-hospital match","Same-hospital match"),"")</f>
        <v/>
      </c>
      <c r="M1097" s="52"/>
      <c r="N1097" s="52"/>
      <c r="O1097" s="1" t="n">
        <f aca="false">IF(M1097="Exclude (duplicate)",0,1)</f>
        <v>1</v>
      </c>
      <c r="P1097" s="1" t="str">
        <f aca="false">IF(AND(L1097&lt;&gt;"",M1097=""),"Needs decision","")</f>
        <v/>
      </c>
    </row>
    <row r="1098" customFormat="false" ht="15" hidden="false" customHeight="false" outlineLevel="0" collapsed="false">
      <c r="A1098" s="48" t="str">
        <f aca="false">COST!A1098</f>
        <v>CBH-0270</v>
      </c>
      <c r="B1098" s="48" t="str">
        <f aca="false">COST!B1098</f>
        <v>CBH</v>
      </c>
      <c r="C1098" s="48" t="str">
        <f aca="false">COST!D1098</f>
        <v>Free Clinic Provider Staffing</v>
      </c>
      <c r="D1098" s="62" t="n">
        <f aca="false">COST!M1098</f>
        <v>46203</v>
      </c>
      <c r="E1098" s="48" t="str">
        <f aca="false">COST!P1098</f>
        <v>Pharmacist</v>
      </c>
      <c r="F1098" s="63" t="n">
        <f aca="false">COST!R1098</f>
        <v>11.25</v>
      </c>
      <c r="G1098" s="48" t="str">
        <f aca="false">STACK!M1098</f>
        <v/>
      </c>
      <c r="H1098" s="1" t="str">
        <f aca="false">C1098&amp;"|"&amp;IF(ISNUMBER(D1098),TEXT(D1098,"yyyy-mm-dd"),"no date")&amp;"|"&amp;E1098&amp;"|"&amp;IF(ISNUMBER(F1098),TEXT(F1098,"0.00"),"blank")</f>
        <v>Free Clinic Provider Staffing|2026-06-30|Pharmacist|11.25</v>
      </c>
      <c r="I1098" s="1" t="n">
        <f aca="false">COUNTIF($H$5:$H$1624,H1098)</f>
        <v>1</v>
      </c>
      <c r="J1098" s="1" t="n">
        <f aca="false">COUNTIF($H$5:H1098,H1098)</f>
        <v>1</v>
      </c>
      <c r="K1098" s="1" t="n">
        <f aca="false">COUNTIFS($H$5:$H$1624,H1098,$B$5:$B$1624,"&lt;&gt;"&amp;B1098)</f>
        <v>0</v>
      </c>
      <c r="L1098" s="1" t="str">
        <f aca="false">IF(I1098&gt;1,IF(K1098&gt;0,"Cross-hospital match","Same-hospital match"),"")</f>
        <v/>
      </c>
      <c r="M1098" s="52"/>
      <c r="N1098" s="52"/>
      <c r="O1098" s="1" t="n">
        <f aca="false">IF(M1098="Exclude (duplicate)",0,1)</f>
        <v>1</v>
      </c>
      <c r="P1098" s="1" t="str">
        <f aca="false">IF(AND(L1098&lt;&gt;"",M1098=""),"Needs decision","")</f>
        <v/>
      </c>
    </row>
    <row r="1099" customFormat="false" ht="15" hidden="false" customHeight="false" outlineLevel="0" collapsed="false">
      <c r="A1099" s="48" t="str">
        <f aca="false">COST!A1099</f>
        <v>CBH-0271</v>
      </c>
      <c r="B1099" s="48" t="str">
        <f aca="false">COST!B1099</f>
        <v>CBH</v>
      </c>
      <c r="C1099" s="48" t="str">
        <f aca="false">COST!D1099</f>
        <v>Free Clinic Provider Staffing</v>
      </c>
      <c r="D1099" s="62" t="n">
        <f aca="false">COST!M1099</f>
        <v>46203</v>
      </c>
      <c r="E1099" s="48" t="str">
        <f aca="false">COST!P1099</f>
        <v>Registered Nurse</v>
      </c>
      <c r="F1099" s="63" t="n">
        <f aca="false">COST!R1099</f>
        <v>35</v>
      </c>
      <c r="G1099" s="48" t="str">
        <f aca="false">STACK!M1099</f>
        <v/>
      </c>
      <c r="H1099" s="1" t="str">
        <f aca="false">C1099&amp;"|"&amp;IF(ISNUMBER(D1099),TEXT(D1099,"yyyy-mm-dd"),"no date")&amp;"|"&amp;E1099&amp;"|"&amp;IF(ISNUMBER(F1099),TEXT(F1099,"0.00"),"blank")</f>
        <v>Free Clinic Provider Staffing|2026-06-30|Registered Nurse|35.00</v>
      </c>
      <c r="I1099" s="1" t="n">
        <f aca="false">COUNTIF($H$5:$H$1624,H1099)</f>
        <v>1</v>
      </c>
      <c r="J1099" s="1" t="n">
        <f aca="false">COUNTIF($H$5:H1099,H1099)</f>
        <v>1</v>
      </c>
      <c r="K1099" s="1" t="n">
        <f aca="false">COUNTIFS($H$5:$H$1624,H1099,$B$5:$B$1624,"&lt;&gt;"&amp;B1099)</f>
        <v>0</v>
      </c>
      <c r="L1099" s="1" t="str">
        <f aca="false">IF(I1099&gt;1,IF(K1099&gt;0,"Cross-hospital match","Same-hospital match"),"")</f>
        <v/>
      </c>
      <c r="M1099" s="52"/>
      <c r="N1099" s="52"/>
      <c r="O1099" s="1" t="n">
        <f aca="false">IF(M1099="Exclude (duplicate)",0,1)</f>
        <v>1</v>
      </c>
      <c r="P1099" s="1" t="str">
        <f aca="false">IF(AND(L1099&lt;&gt;"",M1099=""),"Needs decision","")</f>
        <v/>
      </c>
    </row>
    <row r="1100" customFormat="false" ht="15" hidden="false" customHeight="false" outlineLevel="0" collapsed="false">
      <c r="A1100" s="48" t="str">
        <f aca="false">COST!A1100</f>
        <v>CBH-0272</v>
      </c>
      <c r="B1100" s="48" t="str">
        <f aca="false">COST!B1100</f>
        <v>CBH</v>
      </c>
      <c r="C1100" s="48" t="str">
        <f aca="false">COST!D1100</f>
        <v>Medication Assistance Program</v>
      </c>
      <c r="D1100" s="62" t="n">
        <f aca="false">COST!M1100</f>
        <v>46203</v>
      </c>
      <c r="E1100" s="48" t="str">
        <f aca="false">COST!P1100</f>
        <v>Patient Navigator</v>
      </c>
      <c r="F1100" s="63" t="n">
        <f aca="false">COST!R1100</f>
        <v>70</v>
      </c>
      <c r="G1100" s="48" t="str">
        <f aca="false">STACK!M1100</f>
        <v/>
      </c>
      <c r="H1100" s="1" t="str">
        <f aca="false">C1100&amp;"|"&amp;IF(ISNUMBER(D1100),TEXT(D1100,"yyyy-mm-dd"),"no date")&amp;"|"&amp;E1100&amp;"|"&amp;IF(ISNUMBER(F1100),TEXT(F1100,"0.00"),"blank")</f>
        <v>Medication Assistance Program|2026-06-30|Patient Navigator|70.00</v>
      </c>
      <c r="I1100" s="1" t="n">
        <f aca="false">COUNTIF($H$5:$H$1624,H1100)</f>
        <v>1</v>
      </c>
      <c r="J1100" s="1" t="n">
        <f aca="false">COUNTIF($H$5:H1100,H1100)</f>
        <v>1</v>
      </c>
      <c r="K1100" s="1" t="n">
        <f aca="false">COUNTIFS($H$5:$H$1624,H1100,$B$5:$B$1624,"&lt;&gt;"&amp;B1100)</f>
        <v>0</v>
      </c>
      <c r="L1100" s="1" t="str">
        <f aca="false">IF(I1100&gt;1,IF(K1100&gt;0,"Cross-hospital match","Same-hospital match"),"")</f>
        <v/>
      </c>
      <c r="M1100" s="52"/>
      <c r="N1100" s="52"/>
      <c r="O1100" s="1" t="n">
        <f aca="false">IF(M1100="Exclude (duplicate)",0,1)</f>
        <v>1</v>
      </c>
      <c r="P1100" s="1" t="str">
        <f aca="false">IF(AND(L1100&lt;&gt;"",M1100=""),"Needs decision","")</f>
        <v/>
      </c>
    </row>
    <row r="1101" customFormat="false" ht="15" hidden="false" customHeight="false" outlineLevel="0" collapsed="false">
      <c r="A1101" s="48" t="str">
        <f aca="false">COST!A1101</f>
        <v>CBH-0273</v>
      </c>
      <c r="B1101" s="48" t="str">
        <f aca="false">COST!B1101</f>
        <v>CBH</v>
      </c>
      <c r="C1101" s="48" t="str">
        <f aca="false">COST!D1101</f>
        <v>Medication Assistance Program</v>
      </c>
      <c r="D1101" s="62" t="n">
        <f aca="false">COST!M1101</f>
        <v>46203</v>
      </c>
      <c r="E1101" s="48" t="str">
        <f aca="false">COST!P1101</f>
        <v>Pharmacist</v>
      </c>
      <c r="F1101" s="63" t="n">
        <f aca="false">COST!R1101</f>
        <v>23.75</v>
      </c>
      <c r="G1101" s="48" t="str">
        <f aca="false">STACK!M1101</f>
        <v/>
      </c>
      <c r="H1101" s="1" t="str">
        <f aca="false">C1101&amp;"|"&amp;IF(ISNUMBER(D1101),TEXT(D1101,"yyyy-mm-dd"),"no date")&amp;"|"&amp;E1101&amp;"|"&amp;IF(ISNUMBER(F1101),TEXT(F1101,"0.00"),"blank")</f>
        <v>Medication Assistance Program|2026-06-30|Pharmacist|23.75</v>
      </c>
      <c r="I1101" s="1" t="n">
        <f aca="false">COUNTIF($H$5:$H$1624,H1101)</f>
        <v>1</v>
      </c>
      <c r="J1101" s="1" t="n">
        <f aca="false">COUNTIF($H$5:H1101,H1101)</f>
        <v>1</v>
      </c>
      <c r="K1101" s="1" t="n">
        <f aca="false">COUNTIFS($H$5:$H$1624,H1101,$B$5:$B$1624,"&lt;&gt;"&amp;B1101)</f>
        <v>0</v>
      </c>
      <c r="L1101" s="1" t="str">
        <f aca="false">IF(I1101&gt;1,IF(K1101&gt;0,"Cross-hospital match","Same-hospital match"),"")</f>
        <v/>
      </c>
      <c r="M1101" s="52"/>
      <c r="N1101" s="52"/>
      <c r="O1101" s="1" t="n">
        <f aca="false">IF(M1101="Exclude (duplicate)",0,1)</f>
        <v>1</v>
      </c>
      <c r="P1101" s="1" t="str">
        <f aca="false">IF(AND(L1101&lt;&gt;"",M1101=""),"Needs decision","")</f>
        <v/>
      </c>
    </row>
    <row r="1102" customFormat="false" ht="15" hidden="false" customHeight="false" outlineLevel="0" collapsed="false">
      <c r="A1102" s="48" t="str">
        <f aca="false">COST!A1102</f>
        <v>CBH-0274</v>
      </c>
      <c r="B1102" s="48" t="str">
        <f aca="false">COST!B1102</f>
        <v>CBH</v>
      </c>
      <c r="C1102" s="48" t="str">
        <f aca="false">COST!D1102</f>
        <v>Community Benefit Program Administration</v>
      </c>
      <c r="D1102" s="62" t="n">
        <f aca="false">COST!M1102</f>
        <v>46203</v>
      </c>
      <c r="E1102" s="48" t="str">
        <f aca="false">COST!P1102</f>
        <v>Administrative Assistant</v>
      </c>
      <c r="F1102" s="63" t="n">
        <f aca="false">COST!R1102</f>
        <v>42.5</v>
      </c>
      <c r="G1102" s="48" t="str">
        <f aca="false">STACK!M1102</f>
        <v/>
      </c>
      <c r="H1102" s="1" t="str">
        <f aca="false">C1102&amp;"|"&amp;IF(ISNUMBER(D1102),TEXT(D1102,"yyyy-mm-dd"),"no date")&amp;"|"&amp;E1102&amp;"|"&amp;IF(ISNUMBER(F1102),TEXT(F1102,"0.00"),"blank")</f>
        <v>Community Benefit Program Administration|2026-06-30|Administrative Assistant|42.50</v>
      </c>
      <c r="I1102" s="1" t="n">
        <f aca="false">COUNTIF($H$5:$H$1624,H1102)</f>
        <v>1</v>
      </c>
      <c r="J1102" s="1" t="n">
        <f aca="false">COUNTIF($H$5:H1102,H1102)</f>
        <v>1</v>
      </c>
      <c r="K1102" s="1" t="n">
        <f aca="false">COUNTIFS($H$5:$H$1624,H1102,$B$5:$B$1624,"&lt;&gt;"&amp;B1102)</f>
        <v>0</v>
      </c>
      <c r="L1102" s="1" t="str">
        <f aca="false">IF(I1102&gt;1,IF(K1102&gt;0,"Cross-hospital match","Same-hospital match"),"")</f>
        <v/>
      </c>
      <c r="M1102" s="52"/>
      <c r="N1102" s="52"/>
      <c r="O1102" s="1" t="n">
        <f aca="false">IF(M1102="Exclude (duplicate)",0,1)</f>
        <v>1</v>
      </c>
      <c r="P1102" s="1" t="str">
        <f aca="false">IF(AND(L1102&lt;&gt;"",M1102=""),"Needs decision","")</f>
        <v/>
      </c>
    </row>
    <row r="1103" customFormat="false" ht="15" hidden="false" customHeight="false" outlineLevel="0" collapsed="false">
      <c r="A1103" s="48" t="str">
        <f aca="false">COST!A1103</f>
        <v>CBH-0275</v>
      </c>
      <c r="B1103" s="48" t="str">
        <f aca="false">COST!B1103</f>
        <v>CBH</v>
      </c>
      <c r="C1103" s="48" t="str">
        <f aca="false">COST!D1103</f>
        <v>Community Benefit Program Administration</v>
      </c>
      <c r="D1103" s="62" t="n">
        <f aca="false">COST!M1103</f>
        <v>46203</v>
      </c>
      <c r="E1103" s="48" t="str">
        <f aca="false">COST!P1103</f>
        <v>Community Benefit Manager</v>
      </c>
      <c r="F1103" s="63" t="n">
        <f aca="false">COST!R1103</f>
        <v>71.5</v>
      </c>
      <c r="G1103" s="48" t="str">
        <f aca="false">STACK!M1103</f>
        <v/>
      </c>
      <c r="H1103" s="1" t="str">
        <f aca="false">C1103&amp;"|"&amp;IF(ISNUMBER(D1103),TEXT(D1103,"yyyy-mm-dd"),"no date")&amp;"|"&amp;E1103&amp;"|"&amp;IF(ISNUMBER(F1103),TEXT(F1103,"0.00"),"blank")</f>
        <v>Community Benefit Program Administration|2026-06-30|Community Benefit Manager|71.50</v>
      </c>
      <c r="I1103" s="1" t="n">
        <f aca="false">COUNTIF($H$5:$H$1624,H1103)</f>
        <v>1</v>
      </c>
      <c r="J1103" s="1" t="n">
        <f aca="false">COUNTIF($H$5:H1103,H1103)</f>
        <v>1</v>
      </c>
      <c r="K1103" s="1" t="n">
        <f aca="false">COUNTIFS($H$5:$H$1624,H1103,$B$5:$B$1624,"&lt;&gt;"&amp;B1103)</f>
        <v>0</v>
      </c>
      <c r="L1103" s="1" t="str">
        <f aca="false">IF(I1103&gt;1,IF(K1103&gt;0,"Cross-hospital match","Same-hospital match"),"")</f>
        <v/>
      </c>
      <c r="M1103" s="52"/>
      <c r="N1103" s="52"/>
      <c r="O1103" s="1" t="n">
        <f aca="false">IF(M1103="Exclude (duplicate)",0,1)</f>
        <v>1</v>
      </c>
      <c r="P1103" s="1" t="str">
        <f aca="false">IF(AND(L1103&lt;&gt;"",M1103=""),"Needs decision","")</f>
        <v/>
      </c>
    </row>
    <row r="1104" customFormat="false" ht="15" hidden="false" customHeight="false" outlineLevel="0" collapsed="false">
      <c r="A1104" s="48" t="str">
        <f aca="false">COST!A1104</f>
        <v>CBH-0276</v>
      </c>
      <c r="B1104" s="48" t="str">
        <f aca="false">COST!B1104</f>
        <v>CBH</v>
      </c>
      <c r="C1104" s="48" t="str">
        <f aca="false">COST!D1104</f>
        <v>Interpreter Services for Community Clinics</v>
      </c>
      <c r="D1104" s="62" t="n">
        <f aca="false">COST!M1104</f>
        <v>46203</v>
      </c>
      <c r="E1104" s="48" t="str">
        <f aca="false">COST!P1104</f>
        <v>Interpreter</v>
      </c>
      <c r="F1104" s="63" t="n">
        <f aca="false">COST!R1104</f>
        <v>45.75</v>
      </c>
      <c r="G1104" s="48" t="str">
        <f aca="false">STACK!M1104</f>
        <v/>
      </c>
      <c r="H1104" s="1" t="str">
        <f aca="false">C1104&amp;"|"&amp;IF(ISNUMBER(D1104),TEXT(D1104,"yyyy-mm-dd"),"no date")&amp;"|"&amp;E1104&amp;"|"&amp;IF(ISNUMBER(F1104),TEXT(F1104,"0.00"),"blank")</f>
        <v>Interpreter Services for Community Clinics|2026-06-30|Interpreter|45.75</v>
      </c>
      <c r="I1104" s="1" t="n">
        <f aca="false">COUNTIF($H$5:$H$1624,H1104)</f>
        <v>1</v>
      </c>
      <c r="J1104" s="1" t="n">
        <f aca="false">COUNTIF($H$5:H1104,H1104)</f>
        <v>1</v>
      </c>
      <c r="K1104" s="1" t="n">
        <f aca="false">COUNTIFS($H$5:$H$1624,H1104,$B$5:$B$1624,"&lt;&gt;"&amp;B1104)</f>
        <v>0</v>
      </c>
      <c r="L1104" s="1" t="str">
        <f aca="false">IF(I1104&gt;1,IF(K1104&gt;0,"Cross-hospital match","Same-hospital match"),"")</f>
        <v/>
      </c>
      <c r="M1104" s="52"/>
      <c r="N1104" s="52"/>
      <c r="O1104" s="1" t="n">
        <f aca="false">IF(M1104="Exclude (duplicate)",0,1)</f>
        <v>1</v>
      </c>
      <c r="P1104" s="1" t="str">
        <f aca="false">IF(AND(L1104&lt;&gt;"",M1104=""),"Needs decision","")</f>
        <v/>
      </c>
    </row>
    <row r="1105" customFormat="false" ht="15" hidden="false" customHeight="false" outlineLevel="0" collapsed="false">
      <c r="A1105" s="48" t="str">
        <f aca="false">COST!A1105</f>
        <v>CBH-0277</v>
      </c>
      <c r="B1105" s="48" t="str">
        <f aca="false">COST!B1105</f>
        <v>CBH</v>
      </c>
      <c r="C1105" s="48" t="str">
        <f aca="false">COST!D1105</f>
        <v>Nursing Student Clinical Rotations</v>
      </c>
      <c r="D1105" s="62" t="n">
        <f aca="false">COST!M1105</f>
        <v>46203</v>
      </c>
      <c r="E1105" s="48" t="str">
        <f aca="false">COST!P1105</f>
        <v>Clinical Nurse Educator</v>
      </c>
      <c r="F1105" s="63" t="n">
        <f aca="false">COST!R1105</f>
        <v>35</v>
      </c>
      <c r="G1105" s="48" t="str">
        <f aca="false">STACK!M1105</f>
        <v/>
      </c>
      <c r="H1105" s="1" t="str">
        <f aca="false">C1105&amp;"|"&amp;IF(ISNUMBER(D1105),TEXT(D1105,"yyyy-mm-dd"),"no date")&amp;"|"&amp;E1105&amp;"|"&amp;IF(ISNUMBER(F1105),TEXT(F1105,"0.00"),"blank")</f>
        <v>Nursing Student Clinical Rotations|2026-06-30|Clinical Nurse Educator|35.00</v>
      </c>
      <c r="I1105" s="1" t="n">
        <f aca="false">COUNTIF($H$5:$H$1624,H1105)</f>
        <v>1</v>
      </c>
      <c r="J1105" s="1" t="n">
        <f aca="false">COUNTIF($H$5:H1105,H1105)</f>
        <v>1</v>
      </c>
      <c r="K1105" s="1" t="n">
        <f aca="false">COUNTIFS($H$5:$H$1624,H1105,$B$5:$B$1624,"&lt;&gt;"&amp;B1105)</f>
        <v>0</v>
      </c>
      <c r="L1105" s="1" t="str">
        <f aca="false">IF(I1105&gt;1,IF(K1105&gt;0,"Cross-hospital match","Same-hospital match"),"")</f>
        <v/>
      </c>
      <c r="M1105" s="52"/>
      <c r="N1105" s="52"/>
      <c r="O1105" s="1" t="n">
        <f aca="false">IF(M1105="Exclude (duplicate)",0,1)</f>
        <v>1</v>
      </c>
      <c r="P1105" s="1" t="str">
        <f aca="false">IF(AND(L1105&lt;&gt;"",M1105=""),"Needs decision","")</f>
        <v/>
      </c>
    </row>
    <row r="1106" customFormat="false" ht="15" hidden="false" customHeight="false" outlineLevel="0" collapsed="false">
      <c r="A1106" s="48" t="str">
        <f aca="false">COST!A1106</f>
        <v>CBH-0278</v>
      </c>
      <c r="B1106" s="48" t="str">
        <f aca="false">COST!B1106</f>
        <v>CBH</v>
      </c>
      <c r="C1106" s="48" t="str">
        <f aca="false">COST!D1106</f>
        <v>Nursing Student Clinical Rotations</v>
      </c>
      <c r="D1106" s="62" t="n">
        <f aca="false">COST!M1106</f>
        <v>46203</v>
      </c>
      <c r="E1106" s="48" t="str">
        <f aca="false">COST!P1106</f>
        <v>Registered Nurse</v>
      </c>
      <c r="F1106" s="63" t="n">
        <f aca="false">COST!R1106</f>
        <v>80.25</v>
      </c>
      <c r="G1106" s="48" t="str">
        <f aca="false">STACK!M1106</f>
        <v/>
      </c>
      <c r="H1106" s="1" t="str">
        <f aca="false">C1106&amp;"|"&amp;IF(ISNUMBER(D1106),TEXT(D1106,"yyyy-mm-dd"),"no date")&amp;"|"&amp;E1106&amp;"|"&amp;IF(ISNUMBER(F1106),TEXT(F1106,"0.00"),"blank")</f>
        <v>Nursing Student Clinical Rotations|2026-06-30|Registered Nurse|80.25</v>
      </c>
      <c r="I1106" s="1" t="n">
        <f aca="false">COUNTIF($H$5:$H$1624,H1106)</f>
        <v>1</v>
      </c>
      <c r="J1106" s="1" t="n">
        <f aca="false">COUNTIF($H$5:H1106,H1106)</f>
        <v>1</v>
      </c>
      <c r="K1106" s="1" t="n">
        <f aca="false">COUNTIFS($H$5:$H$1624,H1106,$B$5:$B$1624,"&lt;&gt;"&amp;B1106)</f>
        <v>0</v>
      </c>
      <c r="L1106" s="1" t="str">
        <f aca="false">IF(I1106&gt;1,IF(K1106&gt;0,"Cross-hospital match","Same-hospital match"),"")</f>
        <v/>
      </c>
      <c r="M1106" s="52"/>
      <c r="N1106" s="52"/>
      <c r="O1106" s="1" t="n">
        <f aca="false">IF(M1106="Exclude (duplicate)",0,1)</f>
        <v>1</v>
      </c>
      <c r="P1106" s="1" t="str">
        <f aca="false">IF(AND(L1106&lt;&gt;"",M1106=""),"Needs decision","")</f>
        <v/>
      </c>
    </row>
    <row r="1107" customFormat="false" ht="15" hidden="false" customHeight="false" outlineLevel="0" collapsed="false">
      <c r="A1107" s="48" t="str">
        <f aca="false">COST!A1107</f>
        <v>CBH-0279</v>
      </c>
      <c r="B1107" s="48" t="str">
        <f aca="false">COST!B1107</f>
        <v>CBH</v>
      </c>
      <c r="C1107" s="48" t="str">
        <f aca="false">COST!D1107</f>
        <v>Pharmacy Student Rotations</v>
      </c>
      <c r="D1107" s="62" t="n">
        <f aca="false">COST!M1107</f>
        <v>46203</v>
      </c>
      <c r="E1107" s="48" t="str">
        <f aca="false">COST!P1107</f>
        <v>Pharmacist</v>
      </c>
      <c r="F1107" s="63" t="n">
        <f aca="false">COST!R1107</f>
        <v>44.25</v>
      </c>
      <c r="G1107" s="48" t="str">
        <f aca="false">STACK!M1107</f>
        <v/>
      </c>
      <c r="H1107" s="1" t="str">
        <f aca="false">C1107&amp;"|"&amp;IF(ISNUMBER(D1107),TEXT(D1107,"yyyy-mm-dd"),"no date")&amp;"|"&amp;E1107&amp;"|"&amp;IF(ISNUMBER(F1107),TEXT(F1107,"0.00"),"blank")</f>
        <v>Pharmacy Student Rotations|2026-06-30|Pharmacist|44.25</v>
      </c>
      <c r="I1107" s="1" t="n">
        <f aca="false">COUNTIF($H$5:$H$1624,H1107)</f>
        <v>1</v>
      </c>
      <c r="J1107" s="1" t="n">
        <f aca="false">COUNTIF($H$5:H1107,H1107)</f>
        <v>1</v>
      </c>
      <c r="K1107" s="1" t="n">
        <f aca="false">COUNTIFS($H$5:$H$1624,H1107,$B$5:$B$1624,"&lt;&gt;"&amp;B1107)</f>
        <v>0</v>
      </c>
      <c r="L1107" s="1" t="str">
        <f aca="false">IF(I1107&gt;1,IF(K1107&gt;0,"Cross-hospital match","Same-hospital match"),"")</f>
        <v/>
      </c>
      <c r="M1107" s="52"/>
      <c r="N1107" s="52"/>
      <c r="O1107" s="1" t="n">
        <f aca="false">IF(M1107="Exclude (duplicate)",0,1)</f>
        <v>1</v>
      </c>
      <c r="P1107" s="1" t="str">
        <f aca="false">IF(AND(L1107&lt;&gt;"",M1107=""),"Needs decision","")</f>
        <v/>
      </c>
    </row>
    <row r="1108" customFormat="false" ht="15" hidden="false" customHeight="false" outlineLevel="0" collapsed="false">
      <c r="A1108" s="48" t="str">
        <f aca="false">COST!A1108</f>
        <v>WCH-0001</v>
      </c>
      <c r="B1108" s="48" t="str">
        <f aca="false">COST!B1108</f>
        <v>WCH</v>
      </c>
      <c r="C1108" s="48" t="str">
        <f aca="false">COST!D1108</f>
        <v>Community Blood Pressure Checks</v>
      </c>
      <c r="D1108" s="62" t="n">
        <f aca="false">COST!M1108</f>
        <v>45832</v>
      </c>
      <c r="E1108" s="48" t="str">
        <f aca="false">COST!P1108</f>
        <v>Registered Nurse</v>
      </c>
      <c r="F1108" s="63" t="n">
        <f aca="false">COST!R1108</f>
        <v>4.25</v>
      </c>
      <c r="G1108" s="48" t="str">
        <f aca="false">STACK!M1108</f>
        <v/>
      </c>
      <c r="H1108" s="1" t="str">
        <f aca="false">C1108&amp;"|"&amp;IF(ISNUMBER(D1108),TEXT(D1108,"yyyy-mm-dd"),"no date")&amp;"|"&amp;E1108&amp;"|"&amp;IF(ISNUMBER(F1108),TEXT(F1108,"0.00"),"blank")</f>
        <v>Community Blood Pressure Checks|2025-06-24|Registered Nurse|4.25</v>
      </c>
      <c r="I1108" s="1" t="n">
        <f aca="false">COUNTIF($H$5:$H$1624,H1108)</f>
        <v>1</v>
      </c>
      <c r="J1108" s="1" t="n">
        <f aca="false">COUNTIF($H$5:H1108,H1108)</f>
        <v>1</v>
      </c>
      <c r="K1108" s="1" t="n">
        <f aca="false">COUNTIFS($H$5:$H$1624,H1108,$B$5:$B$1624,"&lt;&gt;"&amp;B1108)</f>
        <v>0</v>
      </c>
      <c r="L1108" s="1" t="str">
        <f aca="false">IF(I1108&gt;1,IF(K1108&gt;0,"Cross-hospital match","Same-hospital match"),"")</f>
        <v/>
      </c>
      <c r="M1108" s="52"/>
      <c r="N1108" s="52"/>
      <c r="O1108" s="1" t="n">
        <f aca="false">IF(M1108="Exclude (duplicate)",0,1)</f>
        <v>1</v>
      </c>
      <c r="P1108" s="1" t="str">
        <f aca="false">IF(AND(L1108&lt;&gt;"",M1108=""),"Needs decision","")</f>
        <v/>
      </c>
    </row>
    <row r="1109" customFormat="false" ht="15" hidden="false" customHeight="false" outlineLevel="0" collapsed="false">
      <c r="A1109" s="48" t="str">
        <f aca="false">COST!A1109</f>
        <v>WCH-0002</v>
      </c>
      <c r="B1109" s="48" t="str">
        <f aca="false">COST!B1109</f>
        <v>WCH</v>
      </c>
      <c r="C1109" s="48" t="str">
        <f aca="false">COST!D1109</f>
        <v>Grief Support Group</v>
      </c>
      <c r="D1109" s="62" t="n">
        <f aca="false">COST!M1109</f>
        <v>45860</v>
      </c>
      <c r="E1109" s="48" t="str">
        <f aca="false">COST!P1109</f>
        <v>Chaplain</v>
      </c>
      <c r="F1109" s="63" t="n">
        <f aca="false">COST!R1109</f>
        <v>2.25</v>
      </c>
      <c r="G1109" s="48" t="str">
        <f aca="false">STACK!M1109</f>
        <v/>
      </c>
      <c r="H1109" s="1" t="str">
        <f aca="false">C1109&amp;"|"&amp;IF(ISNUMBER(D1109),TEXT(D1109,"yyyy-mm-dd"),"no date")&amp;"|"&amp;E1109&amp;"|"&amp;IF(ISNUMBER(F1109),TEXT(F1109,"0.00"),"blank")</f>
        <v>Grief Support Group|2025-07-22|Chaplain|2.25</v>
      </c>
      <c r="I1109" s="1" t="n">
        <f aca="false">COUNTIF($H$5:$H$1624,H1109)</f>
        <v>1</v>
      </c>
      <c r="J1109" s="1" t="n">
        <f aca="false">COUNTIF($H$5:H1109,H1109)</f>
        <v>1</v>
      </c>
      <c r="K1109" s="1" t="n">
        <f aca="false">COUNTIFS($H$5:$H$1624,H1109,$B$5:$B$1624,"&lt;&gt;"&amp;B1109)</f>
        <v>0</v>
      </c>
      <c r="L1109" s="1" t="str">
        <f aca="false">IF(I1109&gt;1,IF(K1109&gt;0,"Cross-hospital match","Same-hospital match"),"")</f>
        <v/>
      </c>
      <c r="M1109" s="52"/>
      <c r="N1109" s="52"/>
      <c r="O1109" s="1" t="n">
        <f aca="false">IF(M1109="Exclude (duplicate)",0,1)</f>
        <v>1</v>
      </c>
      <c r="P1109" s="1" t="str">
        <f aca="false">IF(AND(L1109&lt;&gt;"",M1109=""),"Needs decision","")</f>
        <v/>
      </c>
    </row>
    <row r="1110" customFormat="false" ht="15" hidden="false" customHeight="false" outlineLevel="0" collapsed="false">
      <c r="A1110" s="48" t="str">
        <f aca="false">COST!A1110</f>
        <v>WCH-0003</v>
      </c>
      <c r="B1110" s="48" t="str">
        <f aca="false">COST!B1110</f>
        <v>WCH</v>
      </c>
      <c r="C1110" s="48" t="str">
        <f aca="false">COST!D1110</f>
        <v>Grief Support Group</v>
      </c>
      <c r="D1110" s="62" t="n">
        <f aca="false">COST!M1110</f>
        <v>45860</v>
      </c>
      <c r="E1110" s="48" t="str">
        <f aca="false">COST!P1110</f>
        <v>Social Worker</v>
      </c>
      <c r="F1110" s="63" t="n">
        <f aca="false">COST!R1110</f>
        <v>1.75</v>
      </c>
      <c r="G1110" s="48" t="str">
        <f aca="false">STACK!M1110</f>
        <v/>
      </c>
      <c r="H1110" s="1" t="str">
        <f aca="false">C1110&amp;"|"&amp;IF(ISNUMBER(D1110),TEXT(D1110,"yyyy-mm-dd"),"no date")&amp;"|"&amp;E1110&amp;"|"&amp;IF(ISNUMBER(F1110),TEXT(F1110,"0.00"),"blank")</f>
        <v>Grief Support Group|2025-07-22|Social Worker|1.75</v>
      </c>
      <c r="I1110" s="1" t="n">
        <f aca="false">COUNTIF($H$5:$H$1624,H1110)</f>
        <v>1</v>
      </c>
      <c r="J1110" s="1" t="n">
        <f aca="false">COUNTIF($H$5:H1110,H1110)</f>
        <v>1</v>
      </c>
      <c r="K1110" s="1" t="n">
        <f aca="false">COUNTIFS($H$5:$H$1624,H1110,$B$5:$B$1624,"&lt;&gt;"&amp;B1110)</f>
        <v>0</v>
      </c>
      <c r="L1110" s="1" t="str">
        <f aca="false">IF(I1110&gt;1,IF(K1110&gt;0,"Cross-hospital match","Same-hospital match"),"")</f>
        <v/>
      </c>
      <c r="M1110" s="52"/>
      <c r="N1110" s="52"/>
      <c r="O1110" s="1" t="n">
        <f aca="false">IF(M1110="Exclude (duplicate)",0,1)</f>
        <v>1</v>
      </c>
      <c r="P1110" s="1" t="str">
        <f aca="false">IF(AND(L1110&lt;&gt;"",M1110=""),"Needs decision","")</f>
        <v/>
      </c>
    </row>
    <row r="1111" customFormat="false" ht="15" hidden="false" customHeight="false" outlineLevel="0" collapsed="false">
      <c r="A1111" s="48" t="str">
        <f aca="false">COST!A1111</f>
        <v>WCH-0004</v>
      </c>
      <c r="B1111" s="48" t="str">
        <f aca="false">COST!B1111</f>
        <v>WCH</v>
      </c>
      <c r="C1111" s="48" t="str">
        <f aca="false">COST!D1111</f>
        <v>Regional Health Coalition</v>
      </c>
      <c r="D1111" s="62" t="n">
        <f aca="false">COST!M1111</f>
        <v>45863</v>
      </c>
      <c r="E1111" s="48" t="str">
        <f aca="false">COST!P1111</f>
        <v>Community Benefit Manager</v>
      </c>
      <c r="F1111" s="63" t="n">
        <f aca="false">COST!R1111</f>
        <v>2.25</v>
      </c>
      <c r="G1111" s="48" t="str">
        <f aca="false">STACK!M1111</f>
        <v/>
      </c>
      <c r="H1111" s="1" t="str">
        <f aca="false">C1111&amp;"|"&amp;IF(ISNUMBER(D1111),TEXT(D1111,"yyyy-mm-dd"),"no date")&amp;"|"&amp;E1111&amp;"|"&amp;IF(ISNUMBER(F1111),TEXT(F1111,"0.00"),"blank")</f>
        <v>Regional Health Coalition|2025-07-25|Community Benefit Manager|2.25</v>
      </c>
      <c r="I1111" s="1" t="n">
        <f aca="false">COUNTIF($H$5:$H$1624,H1111)</f>
        <v>1</v>
      </c>
      <c r="J1111" s="1" t="n">
        <f aca="false">COUNTIF($H$5:H1111,H1111)</f>
        <v>1</v>
      </c>
      <c r="K1111" s="1" t="n">
        <f aca="false">COUNTIFS($H$5:$H$1624,H1111,$B$5:$B$1624,"&lt;&gt;"&amp;B1111)</f>
        <v>0</v>
      </c>
      <c r="L1111" s="1" t="str">
        <f aca="false">IF(I1111&gt;1,IF(K1111&gt;0,"Cross-hospital match","Same-hospital match"),"")</f>
        <v/>
      </c>
      <c r="M1111" s="52"/>
      <c r="N1111" s="52"/>
      <c r="O1111" s="1" t="n">
        <f aca="false">IF(M1111="Exclude (duplicate)",0,1)</f>
        <v>1</v>
      </c>
      <c r="P1111" s="1" t="str">
        <f aca="false">IF(AND(L1111&lt;&gt;"",M1111=""),"Needs decision","")</f>
        <v/>
      </c>
    </row>
    <row r="1112" customFormat="false" ht="15" hidden="false" customHeight="false" outlineLevel="0" collapsed="false">
      <c r="A1112" s="48" t="str">
        <f aca="false">COST!A1112</f>
        <v>WCH-0005</v>
      </c>
      <c r="B1112" s="48" t="str">
        <f aca="false">COST!B1112</f>
        <v>WCH</v>
      </c>
      <c r="C1112" s="48" t="str">
        <f aca="false">COST!D1112</f>
        <v>Regional Health Coalition</v>
      </c>
      <c r="D1112" s="62" t="n">
        <f aca="false">COST!M1112</f>
        <v>45863</v>
      </c>
      <c r="E1112" s="48" t="str">
        <f aca="false">COST!P1112</f>
        <v>Director</v>
      </c>
      <c r="F1112" s="63" t="n">
        <f aca="false">COST!R1112</f>
        <v>2</v>
      </c>
      <c r="G1112" s="48" t="str">
        <f aca="false">STACK!M1112</f>
        <v/>
      </c>
      <c r="H1112" s="1" t="str">
        <f aca="false">C1112&amp;"|"&amp;IF(ISNUMBER(D1112),TEXT(D1112,"yyyy-mm-dd"),"no date")&amp;"|"&amp;E1112&amp;"|"&amp;IF(ISNUMBER(F1112),TEXT(F1112,"0.00"),"blank")</f>
        <v>Regional Health Coalition|2025-07-25|Director|2.00</v>
      </c>
      <c r="I1112" s="1" t="n">
        <f aca="false">COUNTIF($H$5:$H$1624,H1112)</f>
        <v>1</v>
      </c>
      <c r="J1112" s="1" t="n">
        <f aca="false">COUNTIF($H$5:H1112,H1112)</f>
        <v>1</v>
      </c>
      <c r="K1112" s="1" t="n">
        <f aca="false">COUNTIFS($H$5:$H$1624,H1112,$B$5:$B$1624,"&lt;&gt;"&amp;B1112)</f>
        <v>0</v>
      </c>
      <c r="L1112" s="1" t="str">
        <f aca="false">IF(I1112&gt;1,IF(K1112&gt;0,"Cross-hospital match","Same-hospital match"),"")</f>
        <v/>
      </c>
      <c r="M1112" s="52"/>
      <c r="N1112" s="52"/>
      <c r="O1112" s="1" t="n">
        <f aca="false">IF(M1112="Exclude (duplicate)",0,1)</f>
        <v>1</v>
      </c>
      <c r="P1112" s="1" t="str">
        <f aca="false">IF(AND(L1112&lt;&gt;"",M1112=""),"Needs decision","")</f>
        <v/>
      </c>
    </row>
    <row r="1113" customFormat="false" ht="15" hidden="false" customHeight="false" outlineLevel="0" collapsed="false">
      <c r="A1113" s="48" t="str">
        <f aca="false">COST!A1113</f>
        <v>WCH-0006</v>
      </c>
      <c r="B1113" s="48" t="str">
        <f aca="false">COST!B1113</f>
        <v>WCH</v>
      </c>
      <c r="C1113" s="48" t="str">
        <f aca="false">COST!D1113</f>
        <v>Youth Health Careers Pathway</v>
      </c>
      <c r="D1113" s="62" t="n">
        <f aca="false">COST!M1113</f>
        <v>45867</v>
      </c>
      <c r="E1113" s="48" t="str">
        <f aca="false">COST!P1113</f>
        <v>Clinical Nurse Educator</v>
      </c>
      <c r="F1113" s="63" t="n">
        <f aca="false">COST!R1113</f>
        <v>3.25</v>
      </c>
      <c r="G1113" s="48" t="str">
        <f aca="false">STACK!M1113</f>
        <v/>
      </c>
      <c r="H1113" s="1" t="str">
        <f aca="false">C1113&amp;"|"&amp;IF(ISNUMBER(D1113),TEXT(D1113,"yyyy-mm-dd"),"no date")&amp;"|"&amp;E1113&amp;"|"&amp;IF(ISNUMBER(F1113),TEXT(F1113,"0.00"),"blank")</f>
        <v>Youth Health Careers Pathway|2025-07-29|Clinical Nurse Educator|3.25</v>
      </c>
      <c r="I1113" s="1" t="n">
        <f aca="false">COUNTIF($H$5:$H$1624,H1113)</f>
        <v>1</v>
      </c>
      <c r="J1113" s="1" t="n">
        <f aca="false">COUNTIF($H$5:H1113,H1113)</f>
        <v>1</v>
      </c>
      <c r="K1113" s="1" t="n">
        <f aca="false">COUNTIFS($H$5:$H$1624,H1113,$B$5:$B$1624,"&lt;&gt;"&amp;B1113)</f>
        <v>0</v>
      </c>
      <c r="L1113" s="1" t="str">
        <f aca="false">IF(I1113&gt;1,IF(K1113&gt;0,"Cross-hospital match","Same-hospital match"),"")</f>
        <v/>
      </c>
      <c r="M1113" s="52"/>
      <c r="N1113" s="52"/>
      <c r="O1113" s="1" t="n">
        <f aca="false">IF(M1113="Exclude (duplicate)",0,1)</f>
        <v>1</v>
      </c>
      <c r="P1113" s="1" t="str">
        <f aca="false">IF(AND(L1113&lt;&gt;"",M1113=""),"Needs decision","")</f>
        <v/>
      </c>
    </row>
    <row r="1114" customFormat="false" ht="15" hidden="false" customHeight="false" outlineLevel="0" collapsed="false">
      <c r="A1114" s="48" t="str">
        <f aca="false">COST!A1114</f>
        <v>WCH-0007</v>
      </c>
      <c r="B1114" s="48" t="str">
        <f aca="false">COST!B1114</f>
        <v>WCH</v>
      </c>
      <c r="C1114" s="48" t="str">
        <f aca="false">COST!D1114</f>
        <v>Youth Health Careers Pathway</v>
      </c>
      <c r="D1114" s="62" t="n">
        <f aca="false">COST!M1114</f>
        <v>45867</v>
      </c>
      <c r="E1114" s="48" t="str">
        <f aca="false">COST!P1114</f>
        <v>Program Coordinator</v>
      </c>
      <c r="F1114" s="63" t="n">
        <f aca="false">COST!R1114</f>
        <v>7.25</v>
      </c>
      <c r="G1114" s="48" t="str">
        <f aca="false">STACK!M1114</f>
        <v/>
      </c>
      <c r="H1114" s="1" t="str">
        <f aca="false">C1114&amp;"|"&amp;IF(ISNUMBER(D1114),TEXT(D1114,"yyyy-mm-dd"),"no date")&amp;"|"&amp;E1114&amp;"|"&amp;IF(ISNUMBER(F1114),TEXT(F1114,"0.00"),"blank")</f>
        <v>Youth Health Careers Pathway|2025-07-29|Program Coordinator|7.25</v>
      </c>
      <c r="I1114" s="1" t="n">
        <f aca="false">COUNTIF($H$5:$H$1624,H1114)</f>
        <v>1</v>
      </c>
      <c r="J1114" s="1" t="n">
        <f aca="false">COUNTIF($H$5:H1114,H1114)</f>
        <v>1</v>
      </c>
      <c r="K1114" s="1" t="n">
        <f aca="false">COUNTIFS($H$5:$H$1624,H1114,$B$5:$B$1624,"&lt;&gt;"&amp;B1114)</f>
        <v>0</v>
      </c>
      <c r="L1114" s="1" t="str">
        <f aca="false">IF(I1114&gt;1,IF(K1114&gt;0,"Cross-hospital match","Same-hospital match"),"")</f>
        <v/>
      </c>
      <c r="M1114" s="52"/>
      <c r="N1114" s="52"/>
      <c r="O1114" s="1" t="n">
        <f aca="false">IF(M1114="Exclude (duplicate)",0,1)</f>
        <v>1</v>
      </c>
      <c r="P1114" s="1" t="str">
        <f aca="false">IF(AND(L1114&lt;&gt;"",M1114=""),"Needs decision","")</f>
        <v/>
      </c>
    </row>
    <row r="1115" customFormat="false" ht="15" hidden="false" customHeight="false" outlineLevel="0" collapsed="false">
      <c r="A1115" s="48" t="str">
        <f aca="false">COST!A1115</f>
        <v>WCH-0008</v>
      </c>
      <c r="B1115" s="48" t="str">
        <f aca="false">COST!B1115</f>
        <v>WCH</v>
      </c>
      <c r="C1115" s="48" t="str">
        <f aca="false">COST!D1115</f>
        <v>Mobile Health Screening Unit</v>
      </c>
      <c r="D1115" s="62" t="n">
        <f aca="false">COST!M1115</f>
        <v>45869</v>
      </c>
      <c r="E1115" s="48" t="str">
        <f aca="false">COST!P1115</f>
        <v>Community Health Worker</v>
      </c>
      <c r="F1115" s="63" t="n">
        <f aca="false">COST!R1115</f>
        <v>59.25</v>
      </c>
      <c r="G1115" s="48" t="str">
        <f aca="false">STACK!M1115</f>
        <v/>
      </c>
      <c r="H1115" s="1" t="str">
        <f aca="false">C1115&amp;"|"&amp;IF(ISNUMBER(D1115),TEXT(D1115,"yyyy-mm-dd"),"no date")&amp;"|"&amp;E1115&amp;"|"&amp;IF(ISNUMBER(F1115),TEXT(F1115,"0.00"),"blank")</f>
        <v>Mobile Health Screening Unit|2025-07-31|Community Health Worker|59.25</v>
      </c>
      <c r="I1115" s="1" t="n">
        <f aca="false">COUNTIF($H$5:$H$1624,H1115)</f>
        <v>1</v>
      </c>
      <c r="J1115" s="1" t="n">
        <f aca="false">COUNTIF($H$5:H1115,H1115)</f>
        <v>1</v>
      </c>
      <c r="K1115" s="1" t="n">
        <f aca="false">COUNTIFS($H$5:$H$1624,H1115,$B$5:$B$1624,"&lt;&gt;"&amp;B1115)</f>
        <v>0</v>
      </c>
      <c r="L1115" s="1" t="str">
        <f aca="false">IF(I1115&gt;1,IF(K1115&gt;0,"Cross-hospital match","Same-hospital match"),"")</f>
        <v/>
      </c>
      <c r="M1115" s="52"/>
      <c r="N1115" s="52"/>
      <c r="O1115" s="1" t="n">
        <f aca="false">IF(M1115="Exclude (duplicate)",0,1)</f>
        <v>1</v>
      </c>
      <c r="P1115" s="1" t="str">
        <f aca="false">IF(AND(L1115&lt;&gt;"",M1115=""),"Needs decision","")</f>
        <v/>
      </c>
    </row>
    <row r="1116" customFormat="false" ht="15" hidden="false" customHeight="false" outlineLevel="0" collapsed="false">
      <c r="A1116" s="48" t="str">
        <f aca="false">COST!A1116</f>
        <v>WCH-0009</v>
      </c>
      <c r="B1116" s="48" t="str">
        <f aca="false">COST!B1116</f>
        <v>WCH</v>
      </c>
      <c r="C1116" s="48" t="str">
        <f aca="false">COST!D1116</f>
        <v>Mobile Health Screening Unit</v>
      </c>
      <c r="D1116" s="62" t="n">
        <f aca="false">COST!M1116</f>
        <v>45869</v>
      </c>
      <c r="E1116" s="48" t="str">
        <f aca="false">COST!P1116</f>
        <v>Medical Assistant</v>
      </c>
      <c r="F1116" s="63" t="n">
        <f aca="false">COST!R1116</f>
        <v>72</v>
      </c>
      <c r="G1116" s="48" t="str">
        <f aca="false">STACK!M1116</f>
        <v/>
      </c>
      <c r="H1116" s="1" t="str">
        <f aca="false">C1116&amp;"|"&amp;IF(ISNUMBER(D1116),TEXT(D1116,"yyyy-mm-dd"),"no date")&amp;"|"&amp;E1116&amp;"|"&amp;IF(ISNUMBER(F1116),TEXT(F1116,"0.00"),"blank")</f>
        <v>Mobile Health Screening Unit|2025-07-31|Medical Assistant|72.00</v>
      </c>
      <c r="I1116" s="1" t="n">
        <f aca="false">COUNTIF($H$5:$H$1624,H1116)</f>
        <v>1</v>
      </c>
      <c r="J1116" s="1" t="n">
        <f aca="false">COUNTIF($H$5:H1116,H1116)</f>
        <v>1</v>
      </c>
      <c r="K1116" s="1" t="n">
        <f aca="false">COUNTIFS($H$5:$H$1624,H1116,$B$5:$B$1624,"&lt;&gt;"&amp;B1116)</f>
        <v>0</v>
      </c>
      <c r="L1116" s="1" t="str">
        <f aca="false">IF(I1116&gt;1,IF(K1116&gt;0,"Cross-hospital match","Same-hospital match"),"")</f>
        <v/>
      </c>
      <c r="M1116" s="52"/>
      <c r="N1116" s="52"/>
      <c r="O1116" s="1" t="n">
        <f aca="false">IF(M1116="Exclude (duplicate)",0,1)</f>
        <v>1</v>
      </c>
      <c r="P1116" s="1" t="str">
        <f aca="false">IF(AND(L1116&lt;&gt;"",M1116=""),"Needs decision","")</f>
        <v/>
      </c>
    </row>
    <row r="1117" customFormat="false" ht="15" hidden="false" customHeight="false" outlineLevel="0" collapsed="false">
      <c r="A1117" s="48" t="str">
        <f aca="false">COST!A1117</f>
        <v>WCH-0010</v>
      </c>
      <c r="B1117" s="48" t="str">
        <f aca="false">COST!B1117</f>
        <v>WCH</v>
      </c>
      <c r="C1117" s="48" t="str">
        <f aca="false">COST!D1117</f>
        <v>Mobile Health Screening Unit</v>
      </c>
      <c r="D1117" s="62" t="n">
        <f aca="false">COST!M1117</f>
        <v>45869</v>
      </c>
      <c r="E1117" s="48" t="str">
        <f aca="false">COST!P1117</f>
        <v>Registered Nurse</v>
      </c>
      <c r="F1117" s="63" t="n">
        <f aca="false">COST!R1117</f>
        <v>68</v>
      </c>
      <c r="G1117" s="48" t="str">
        <f aca="false">STACK!M1117</f>
        <v/>
      </c>
      <c r="H1117" s="1" t="str">
        <f aca="false">C1117&amp;"|"&amp;IF(ISNUMBER(D1117),TEXT(D1117,"yyyy-mm-dd"),"no date")&amp;"|"&amp;E1117&amp;"|"&amp;IF(ISNUMBER(F1117),TEXT(F1117,"0.00"),"blank")</f>
        <v>Mobile Health Screening Unit|2025-07-31|Registered Nurse|68.00</v>
      </c>
      <c r="I1117" s="1" t="n">
        <f aca="false">COUNTIF($H$5:$H$1624,H1117)</f>
        <v>1</v>
      </c>
      <c r="J1117" s="1" t="n">
        <f aca="false">COUNTIF($H$5:H1117,H1117)</f>
        <v>1</v>
      </c>
      <c r="K1117" s="1" t="n">
        <f aca="false">COUNTIFS($H$5:$H$1624,H1117,$B$5:$B$1624,"&lt;&gt;"&amp;B1117)</f>
        <v>0</v>
      </c>
      <c r="L1117" s="1" t="str">
        <f aca="false">IF(I1117&gt;1,IF(K1117&gt;0,"Cross-hospital match","Same-hospital match"),"")</f>
        <v/>
      </c>
      <c r="M1117" s="52"/>
      <c r="N1117" s="52"/>
      <c r="O1117" s="1" t="n">
        <f aca="false">IF(M1117="Exclude (duplicate)",0,1)</f>
        <v>1</v>
      </c>
      <c r="P1117" s="1" t="str">
        <f aca="false">IF(AND(L1117&lt;&gt;"",M1117=""),"Needs decision","")</f>
        <v/>
      </c>
    </row>
    <row r="1118" customFormat="false" ht="15" hidden="false" customHeight="false" outlineLevel="0" collapsed="false">
      <c r="A1118" s="48" t="str">
        <f aca="false">COST!A1118</f>
        <v>WCH-0011</v>
      </c>
      <c r="B1118" s="48" t="str">
        <f aca="false">COST!B1118</f>
        <v>WCH</v>
      </c>
      <c r="C1118" s="48" t="str">
        <f aca="false">COST!D1118</f>
        <v>Community Health Worker Outreach</v>
      </c>
      <c r="D1118" s="62" t="n">
        <f aca="false">COST!M1118</f>
        <v>45869</v>
      </c>
      <c r="E1118" s="48" t="str">
        <f aca="false">COST!P1118</f>
        <v>Community Health Worker</v>
      </c>
      <c r="F1118" s="63" t="n">
        <f aca="false">COST!R1118</f>
        <v>251.25</v>
      </c>
      <c r="G1118" s="48" t="str">
        <f aca="false">STACK!M1118</f>
        <v/>
      </c>
      <c r="H1118" s="1" t="str">
        <f aca="false">C1118&amp;"|"&amp;IF(ISNUMBER(D1118),TEXT(D1118,"yyyy-mm-dd"),"no date")&amp;"|"&amp;E1118&amp;"|"&amp;IF(ISNUMBER(F1118),TEXT(F1118,"0.00"),"blank")</f>
        <v>Community Health Worker Outreach|2025-07-31|Community Health Worker|251.25</v>
      </c>
      <c r="I1118" s="1" t="n">
        <f aca="false">COUNTIF($H$5:$H$1624,H1118)</f>
        <v>1</v>
      </c>
      <c r="J1118" s="1" t="n">
        <f aca="false">COUNTIF($H$5:H1118,H1118)</f>
        <v>1</v>
      </c>
      <c r="K1118" s="1" t="n">
        <f aca="false">COUNTIFS($H$5:$H$1624,H1118,$B$5:$B$1624,"&lt;&gt;"&amp;B1118)</f>
        <v>0</v>
      </c>
      <c r="L1118" s="1" t="str">
        <f aca="false">IF(I1118&gt;1,IF(K1118&gt;0,"Cross-hospital match","Same-hospital match"),"")</f>
        <v/>
      </c>
      <c r="M1118" s="52"/>
      <c r="N1118" s="52"/>
      <c r="O1118" s="1" t="n">
        <f aca="false">IF(M1118="Exclude (duplicate)",0,1)</f>
        <v>1</v>
      </c>
      <c r="P1118" s="1" t="str">
        <f aca="false">IF(AND(L1118&lt;&gt;"",M1118=""),"Needs decision","")</f>
        <v/>
      </c>
    </row>
    <row r="1119" customFormat="false" ht="15" hidden="false" customHeight="false" outlineLevel="0" collapsed="false">
      <c r="A1119" s="48" t="str">
        <f aca="false">COST!A1119</f>
        <v>WCH-0012</v>
      </c>
      <c r="B1119" s="48" t="str">
        <f aca="false">COST!B1119</f>
        <v>WCH</v>
      </c>
      <c r="C1119" s="48" t="str">
        <f aca="false">COST!D1119</f>
        <v>Community Health Worker Outreach</v>
      </c>
      <c r="D1119" s="62" t="n">
        <f aca="false">COST!M1119</f>
        <v>45869</v>
      </c>
      <c r="E1119" s="48" t="str">
        <f aca="false">COST!P1119</f>
        <v>Patient Navigator</v>
      </c>
      <c r="F1119" s="63" t="n">
        <f aca="false">COST!R1119</f>
        <v>105.25</v>
      </c>
      <c r="G1119" s="48" t="str">
        <f aca="false">STACK!M1119</f>
        <v/>
      </c>
      <c r="H1119" s="1" t="str">
        <f aca="false">C1119&amp;"|"&amp;IF(ISNUMBER(D1119),TEXT(D1119,"yyyy-mm-dd"),"no date")&amp;"|"&amp;E1119&amp;"|"&amp;IF(ISNUMBER(F1119),TEXT(F1119,"0.00"),"blank")</f>
        <v>Community Health Worker Outreach|2025-07-31|Patient Navigator|105.25</v>
      </c>
      <c r="I1119" s="1" t="n">
        <f aca="false">COUNTIF($H$5:$H$1624,H1119)</f>
        <v>1</v>
      </c>
      <c r="J1119" s="1" t="n">
        <f aca="false">COUNTIF($H$5:H1119,H1119)</f>
        <v>1</v>
      </c>
      <c r="K1119" s="1" t="n">
        <f aca="false">COUNTIFS($H$5:$H$1624,H1119,$B$5:$B$1624,"&lt;&gt;"&amp;B1119)</f>
        <v>0</v>
      </c>
      <c r="L1119" s="1" t="str">
        <f aca="false">IF(I1119&gt;1,IF(K1119&gt;0,"Cross-hospital match","Same-hospital match"),"")</f>
        <v/>
      </c>
      <c r="M1119" s="52"/>
      <c r="N1119" s="52"/>
      <c r="O1119" s="1" t="n">
        <f aca="false">IF(M1119="Exclude (duplicate)",0,1)</f>
        <v>1</v>
      </c>
      <c r="P1119" s="1" t="str">
        <f aca="false">IF(AND(L1119&lt;&gt;"",M1119=""),"Needs decision","")</f>
        <v/>
      </c>
    </row>
    <row r="1120" customFormat="false" ht="15" hidden="false" customHeight="false" outlineLevel="0" collapsed="false">
      <c r="A1120" s="48" t="str">
        <f aca="false">COST!A1120</f>
        <v>WCH-0013</v>
      </c>
      <c r="B1120" s="48" t="str">
        <f aca="false">COST!B1120</f>
        <v>WCH</v>
      </c>
      <c r="C1120" s="48" t="str">
        <f aca="false">COST!D1120</f>
        <v>Produce Prescription Program</v>
      </c>
      <c r="D1120" s="62" t="n">
        <f aca="false">COST!M1120</f>
        <v>45869</v>
      </c>
      <c r="E1120" s="48" t="str">
        <f aca="false">COST!P1120</f>
        <v>Community Health Worker</v>
      </c>
      <c r="F1120" s="63" t="n">
        <f aca="false">COST!R1120</f>
        <v>30</v>
      </c>
      <c r="G1120" s="48" t="str">
        <f aca="false">STACK!M1120</f>
        <v/>
      </c>
      <c r="H1120" s="1" t="str">
        <f aca="false">C1120&amp;"|"&amp;IF(ISNUMBER(D1120),TEXT(D1120,"yyyy-mm-dd"),"no date")&amp;"|"&amp;E1120&amp;"|"&amp;IF(ISNUMBER(F1120),TEXT(F1120,"0.00"),"blank")</f>
        <v>Produce Prescription Program|2025-07-31|Community Health Worker|30.00</v>
      </c>
      <c r="I1120" s="1" t="n">
        <f aca="false">COUNTIF($H$5:$H$1624,H1120)</f>
        <v>1</v>
      </c>
      <c r="J1120" s="1" t="n">
        <f aca="false">COUNTIF($H$5:H1120,H1120)</f>
        <v>1</v>
      </c>
      <c r="K1120" s="1" t="n">
        <f aca="false">COUNTIFS($H$5:$H$1624,H1120,$B$5:$B$1624,"&lt;&gt;"&amp;B1120)</f>
        <v>0</v>
      </c>
      <c r="L1120" s="1" t="str">
        <f aca="false">IF(I1120&gt;1,IF(K1120&gt;0,"Cross-hospital match","Same-hospital match"),"")</f>
        <v/>
      </c>
      <c r="M1120" s="52"/>
      <c r="N1120" s="52"/>
      <c r="O1120" s="1" t="n">
        <f aca="false">IF(M1120="Exclude (duplicate)",0,1)</f>
        <v>1</v>
      </c>
      <c r="P1120" s="1" t="str">
        <f aca="false">IF(AND(L1120&lt;&gt;"",M1120=""),"Needs decision","")</f>
        <v/>
      </c>
    </row>
    <row r="1121" customFormat="false" ht="15" hidden="false" customHeight="false" outlineLevel="0" collapsed="false">
      <c r="A1121" s="48" t="str">
        <f aca="false">COST!A1121</f>
        <v>WCH-0014</v>
      </c>
      <c r="B1121" s="48" t="str">
        <f aca="false">COST!B1121</f>
        <v>WCH</v>
      </c>
      <c r="C1121" s="48" t="str">
        <f aca="false">COST!D1121</f>
        <v>Produce Prescription Program</v>
      </c>
      <c r="D1121" s="62" t="n">
        <f aca="false">COST!M1121</f>
        <v>45869</v>
      </c>
      <c r="E1121" s="48" t="str">
        <f aca="false">COST!P1121</f>
        <v>Registered Dietitian</v>
      </c>
      <c r="F1121" s="63" t="n">
        <f aca="false">COST!R1121</f>
        <v>17.5</v>
      </c>
      <c r="G1121" s="48" t="str">
        <f aca="false">STACK!M1121</f>
        <v/>
      </c>
      <c r="H1121" s="1" t="str">
        <f aca="false">C1121&amp;"|"&amp;IF(ISNUMBER(D1121),TEXT(D1121,"yyyy-mm-dd"),"no date")&amp;"|"&amp;E1121&amp;"|"&amp;IF(ISNUMBER(F1121),TEXT(F1121,"0.00"),"blank")</f>
        <v>Produce Prescription Program|2025-07-31|Registered Dietitian|17.50</v>
      </c>
      <c r="I1121" s="1" t="n">
        <f aca="false">COUNTIF($H$5:$H$1624,H1121)</f>
        <v>1</v>
      </c>
      <c r="J1121" s="1" t="n">
        <f aca="false">COUNTIF($H$5:H1121,H1121)</f>
        <v>1</v>
      </c>
      <c r="K1121" s="1" t="n">
        <f aca="false">COUNTIFS($H$5:$H$1624,H1121,$B$5:$B$1624,"&lt;&gt;"&amp;B1121)</f>
        <v>0</v>
      </c>
      <c r="L1121" s="1" t="str">
        <f aca="false">IF(I1121&gt;1,IF(K1121&gt;0,"Cross-hospital match","Same-hospital match"),"")</f>
        <v/>
      </c>
      <c r="M1121" s="52"/>
      <c r="N1121" s="52"/>
      <c r="O1121" s="1" t="n">
        <f aca="false">IF(M1121="Exclude (duplicate)",0,1)</f>
        <v>1</v>
      </c>
      <c r="P1121" s="1" t="str">
        <f aca="false">IF(AND(L1121&lt;&gt;"",M1121=""),"Needs decision","")</f>
        <v/>
      </c>
    </row>
    <row r="1122" customFormat="false" ht="15" hidden="false" customHeight="false" outlineLevel="0" collapsed="false">
      <c r="A1122" s="48" t="str">
        <f aca="false">COST!A1122</f>
        <v>WCH-0015</v>
      </c>
      <c r="B1122" s="48" t="str">
        <f aca="false">COST!B1122</f>
        <v>WCH</v>
      </c>
      <c r="C1122" s="48" t="str">
        <f aca="false">COST!D1122</f>
        <v>Community Benefit Program Administration</v>
      </c>
      <c r="D1122" s="62" t="n">
        <f aca="false">COST!M1122</f>
        <v>45869</v>
      </c>
      <c r="E1122" s="48" t="str">
        <f aca="false">COST!P1122</f>
        <v>Administrative Assistant</v>
      </c>
      <c r="F1122" s="63" t="n">
        <f aca="false">COST!R1122</f>
        <v>22.25</v>
      </c>
      <c r="G1122" s="48" t="str">
        <f aca="false">STACK!M1122</f>
        <v/>
      </c>
      <c r="H1122" s="1" t="str">
        <f aca="false">C1122&amp;"|"&amp;IF(ISNUMBER(D1122),TEXT(D1122,"yyyy-mm-dd"),"no date")&amp;"|"&amp;E1122&amp;"|"&amp;IF(ISNUMBER(F1122),TEXT(F1122,"0.00"),"blank")</f>
        <v>Community Benefit Program Administration|2025-07-31|Administrative Assistant|22.25</v>
      </c>
      <c r="I1122" s="1" t="n">
        <f aca="false">COUNTIF($H$5:$H$1624,H1122)</f>
        <v>1</v>
      </c>
      <c r="J1122" s="1" t="n">
        <f aca="false">COUNTIF($H$5:H1122,H1122)</f>
        <v>1</v>
      </c>
      <c r="K1122" s="1" t="n">
        <f aca="false">COUNTIFS($H$5:$H$1624,H1122,$B$5:$B$1624,"&lt;&gt;"&amp;B1122)</f>
        <v>0</v>
      </c>
      <c r="L1122" s="1" t="str">
        <f aca="false">IF(I1122&gt;1,IF(K1122&gt;0,"Cross-hospital match","Same-hospital match"),"")</f>
        <v/>
      </c>
      <c r="M1122" s="52"/>
      <c r="N1122" s="52"/>
      <c r="O1122" s="1" t="n">
        <f aca="false">IF(M1122="Exclude (duplicate)",0,1)</f>
        <v>1</v>
      </c>
      <c r="P1122" s="1" t="str">
        <f aca="false">IF(AND(L1122&lt;&gt;"",M1122=""),"Needs decision","")</f>
        <v/>
      </c>
    </row>
    <row r="1123" customFormat="false" ht="15" hidden="false" customHeight="false" outlineLevel="0" collapsed="false">
      <c r="A1123" s="48" t="str">
        <f aca="false">COST!A1123</f>
        <v>WCH-0016</v>
      </c>
      <c r="B1123" s="48" t="str">
        <f aca="false">COST!B1123</f>
        <v>WCH</v>
      </c>
      <c r="C1123" s="48" t="str">
        <f aca="false">COST!D1123</f>
        <v>Community Benefit Program Administration</v>
      </c>
      <c r="D1123" s="62" t="n">
        <f aca="false">COST!M1123</f>
        <v>45869</v>
      </c>
      <c r="E1123" s="48" t="str">
        <f aca="false">COST!P1123</f>
        <v>Community Benefit Manager</v>
      </c>
      <c r="F1123" s="63" t="n">
        <f aca="false">COST!R1123</f>
        <v>50.5</v>
      </c>
      <c r="G1123" s="48" t="str">
        <f aca="false">STACK!M1123</f>
        <v/>
      </c>
      <c r="H1123" s="1" t="str">
        <f aca="false">C1123&amp;"|"&amp;IF(ISNUMBER(D1123),TEXT(D1123,"yyyy-mm-dd"),"no date")&amp;"|"&amp;E1123&amp;"|"&amp;IF(ISNUMBER(F1123),TEXT(F1123,"0.00"),"blank")</f>
        <v>Community Benefit Program Administration|2025-07-31|Community Benefit Manager|50.50</v>
      </c>
      <c r="I1123" s="1" t="n">
        <f aca="false">COUNTIF($H$5:$H$1624,H1123)</f>
        <v>1</v>
      </c>
      <c r="J1123" s="1" t="n">
        <f aca="false">COUNTIF($H$5:H1123,H1123)</f>
        <v>1</v>
      </c>
      <c r="K1123" s="1" t="n">
        <f aca="false">COUNTIFS($H$5:$H$1624,H1123,$B$5:$B$1624,"&lt;&gt;"&amp;B1123)</f>
        <v>0</v>
      </c>
      <c r="L1123" s="1" t="str">
        <f aca="false">IF(I1123&gt;1,IF(K1123&gt;0,"Cross-hospital match","Same-hospital match"),"")</f>
        <v/>
      </c>
      <c r="M1123" s="52"/>
      <c r="N1123" s="52"/>
      <c r="O1123" s="1" t="n">
        <f aca="false">IF(M1123="Exclude (duplicate)",0,1)</f>
        <v>1</v>
      </c>
      <c r="P1123" s="1" t="str">
        <f aca="false">IF(AND(L1123&lt;&gt;"",M1123=""),"Needs decision","")</f>
        <v/>
      </c>
    </row>
    <row r="1124" customFormat="false" ht="15" hidden="false" customHeight="false" outlineLevel="0" collapsed="false">
      <c r="A1124" s="48" t="str">
        <f aca="false">COST!A1124</f>
        <v>WCH-0017</v>
      </c>
      <c r="B1124" s="48" t="str">
        <f aca="false">COST!B1124</f>
        <v>WCH</v>
      </c>
      <c r="C1124" s="48" t="str">
        <f aca="false">COST!D1124</f>
        <v>Community Paramedic Home Visits</v>
      </c>
      <c r="D1124" s="62" t="n">
        <f aca="false">COST!M1124</f>
        <v>45869</v>
      </c>
      <c r="E1124" s="48" t="str">
        <f aca="false">COST!P1124</f>
        <v>Paramedic</v>
      </c>
      <c r="F1124" s="63" t="n">
        <f aca="false">COST!R1124</f>
        <v>61.25</v>
      </c>
      <c r="G1124" s="48" t="str">
        <f aca="false">STACK!M1124</f>
        <v/>
      </c>
      <c r="H1124" s="1" t="str">
        <f aca="false">C1124&amp;"|"&amp;IF(ISNUMBER(D1124),TEXT(D1124,"yyyy-mm-dd"),"no date")&amp;"|"&amp;E1124&amp;"|"&amp;IF(ISNUMBER(F1124),TEXT(F1124,"0.00"),"blank")</f>
        <v>Community Paramedic Home Visits|2025-07-31|Paramedic|61.25</v>
      </c>
      <c r="I1124" s="1" t="n">
        <f aca="false">COUNTIF($H$5:$H$1624,H1124)</f>
        <v>1</v>
      </c>
      <c r="J1124" s="1" t="n">
        <f aca="false">COUNTIF($H$5:H1124,H1124)</f>
        <v>1</v>
      </c>
      <c r="K1124" s="1" t="n">
        <f aca="false">COUNTIFS($H$5:$H$1624,H1124,$B$5:$B$1624,"&lt;&gt;"&amp;B1124)</f>
        <v>0</v>
      </c>
      <c r="L1124" s="1" t="str">
        <f aca="false">IF(I1124&gt;1,IF(K1124&gt;0,"Cross-hospital match","Same-hospital match"),"")</f>
        <v/>
      </c>
      <c r="M1124" s="52"/>
      <c r="N1124" s="52"/>
      <c r="O1124" s="1" t="n">
        <f aca="false">IF(M1124="Exclude (duplicate)",0,1)</f>
        <v>1</v>
      </c>
      <c r="P1124" s="1" t="str">
        <f aca="false">IF(AND(L1124&lt;&gt;"",M1124=""),"Needs decision","")</f>
        <v/>
      </c>
    </row>
    <row r="1125" customFormat="false" ht="15" hidden="false" customHeight="false" outlineLevel="0" collapsed="false">
      <c r="A1125" s="48" t="str">
        <f aca="false">COST!A1125</f>
        <v>WCH-0018</v>
      </c>
      <c r="B1125" s="48" t="str">
        <f aca="false">COST!B1125</f>
        <v>WCH</v>
      </c>
      <c r="C1125" s="48" t="str">
        <f aca="false">COST!D1125</f>
        <v>Nursing Student Clinical Rotations</v>
      </c>
      <c r="D1125" s="62" t="n">
        <f aca="false">COST!M1125</f>
        <v>45869</v>
      </c>
      <c r="E1125" s="48" t="str">
        <f aca="false">COST!P1125</f>
        <v>Clinical Nurse Educator</v>
      </c>
      <c r="F1125" s="63" t="n">
        <f aca="false">COST!R1125</f>
        <v>35.5</v>
      </c>
      <c r="G1125" s="48" t="str">
        <f aca="false">STACK!M1125</f>
        <v/>
      </c>
      <c r="H1125" s="1" t="str">
        <f aca="false">C1125&amp;"|"&amp;IF(ISNUMBER(D1125),TEXT(D1125,"yyyy-mm-dd"),"no date")&amp;"|"&amp;E1125&amp;"|"&amp;IF(ISNUMBER(F1125),TEXT(F1125,"0.00"),"blank")</f>
        <v>Nursing Student Clinical Rotations|2025-07-31|Clinical Nurse Educator|35.50</v>
      </c>
      <c r="I1125" s="1" t="n">
        <f aca="false">COUNTIF($H$5:$H$1624,H1125)</f>
        <v>1</v>
      </c>
      <c r="J1125" s="1" t="n">
        <f aca="false">COUNTIF($H$5:H1125,H1125)</f>
        <v>1</v>
      </c>
      <c r="K1125" s="1" t="n">
        <f aca="false">COUNTIFS($H$5:$H$1624,H1125,$B$5:$B$1624,"&lt;&gt;"&amp;B1125)</f>
        <v>0</v>
      </c>
      <c r="L1125" s="1" t="str">
        <f aca="false">IF(I1125&gt;1,IF(K1125&gt;0,"Cross-hospital match","Same-hospital match"),"")</f>
        <v/>
      </c>
      <c r="M1125" s="52"/>
      <c r="N1125" s="52"/>
      <c r="O1125" s="1" t="n">
        <f aca="false">IF(M1125="Exclude (duplicate)",0,1)</f>
        <v>1</v>
      </c>
      <c r="P1125" s="1" t="str">
        <f aca="false">IF(AND(L1125&lt;&gt;"",M1125=""),"Needs decision","")</f>
        <v/>
      </c>
    </row>
    <row r="1126" customFormat="false" ht="15" hidden="false" customHeight="false" outlineLevel="0" collapsed="false">
      <c r="A1126" s="48" t="str">
        <f aca="false">COST!A1126</f>
        <v>WCH-0019</v>
      </c>
      <c r="B1126" s="48" t="str">
        <f aca="false">COST!B1126</f>
        <v>WCH</v>
      </c>
      <c r="C1126" s="48" t="str">
        <f aca="false">COST!D1126</f>
        <v>Nursing Student Clinical Rotations</v>
      </c>
      <c r="D1126" s="62" t="n">
        <f aca="false">COST!M1126</f>
        <v>45869</v>
      </c>
      <c r="E1126" s="48" t="str">
        <f aca="false">COST!P1126</f>
        <v>Registered Nurse</v>
      </c>
      <c r="F1126" s="63" t="n">
        <f aca="false">COST!R1126</f>
        <v>51.75</v>
      </c>
      <c r="G1126" s="48" t="str">
        <f aca="false">STACK!M1126</f>
        <v/>
      </c>
      <c r="H1126" s="1" t="str">
        <f aca="false">C1126&amp;"|"&amp;IF(ISNUMBER(D1126),TEXT(D1126,"yyyy-mm-dd"),"no date")&amp;"|"&amp;E1126&amp;"|"&amp;IF(ISNUMBER(F1126),TEXT(F1126,"0.00"),"blank")</f>
        <v>Nursing Student Clinical Rotations|2025-07-31|Registered Nurse|51.75</v>
      </c>
      <c r="I1126" s="1" t="n">
        <f aca="false">COUNTIF($H$5:$H$1624,H1126)</f>
        <v>1</v>
      </c>
      <c r="J1126" s="1" t="n">
        <f aca="false">COUNTIF($H$5:H1126,H1126)</f>
        <v>1</v>
      </c>
      <c r="K1126" s="1" t="n">
        <f aca="false">COUNTIFS($H$5:$H$1624,H1126,$B$5:$B$1624,"&lt;&gt;"&amp;B1126)</f>
        <v>0</v>
      </c>
      <c r="L1126" s="1" t="str">
        <f aca="false">IF(I1126&gt;1,IF(K1126&gt;0,"Cross-hospital match","Same-hospital match"),"")</f>
        <v/>
      </c>
      <c r="M1126" s="52"/>
      <c r="N1126" s="52"/>
      <c r="O1126" s="1" t="n">
        <f aca="false">IF(M1126="Exclude (duplicate)",0,1)</f>
        <v>1</v>
      </c>
      <c r="P1126" s="1" t="str">
        <f aca="false">IF(AND(L1126&lt;&gt;"",M1126=""),"Needs decision","")</f>
        <v/>
      </c>
    </row>
    <row r="1127" customFormat="false" ht="15" hidden="false" customHeight="false" outlineLevel="0" collapsed="false">
      <c r="A1127" s="48" t="str">
        <f aca="false">COST!A1127</f>
        <v>WCH-0020</v>
      </c>
      <c r="B1127" s="48" t="str">
        <f aca="false">COST!B1127</f>
        <v>WCH</v>
      </c>
      <c r="C1127" s="48" t="str">
        <f aca="false">COST!D1127</f>
        <v>Paramedic Student Field Training</v>
      </c>
      <c r="D1127" s="62" t="n">
        <f aca="false">COST!M1127</f>
        <v>45869</v>
      </c>
      <c r="E1127" s="48" t="str">
        <f aca="false">COST!P1127</f>
        <v>Paramedic</v>
      </c>
      <c r="F1127" s="63" t="n">
        <f aca="false">COST!R1127</f>
        <v>52.5</v>
      </c>
      <c r="G1127" s="48" t="str">
        <f aca="false">STACK!M1127</f>
        <v/>
      </c>
      <c r="H1127" s="1" t="str">
        <f aca="false">C1127&amp;"|"&amp;IF(ISNUMBER(D1127),TEXT(D1127,"yyyy-mm-dd"),"no date")&amp;"|"&amp;E1127&amp;"|"&amp;IF(ISNUMBER(F1127),TEXT(F1127,"0.00"),"blank")</f>
        <v>Paramedic Student Field Training|2025-07-31|Paramedic|52.50</v>
      </c>
      <c r="I1127" s="1" t="n">
        <f aca="false">COUNTIF($H$5:$H$1624,H1127)</f>
        <v>1</v>
      </c>
      <c r="J1127" s="1" t="n">
        <f aca="false">COUNTIF($H$5:H1127,H1127)</f>
        <v>1</v>
      </c>
      <c r="K1127" s="1" t="n">
        <f aca="false">COUNTIFS($H$5:$H$1624,H1127,$B$5:$B$1624,"&lt;&gt;"&amp;B1127)</f>
        <v>0</v>
      </c>
      <c r="L1127" s="1" t="str">
        <f aca="false">IF(I1127&gt;1,IF(K1127&gt;0,"Cross-hospital match","Same-hospital match"),"")</f>
        <v/>
      </c>
      <c r="M1127" s="52"/>
      <c r="N1127" s="52"/>
      <c r="O1127" s="1" t="n">
        <f aca="false">IF(M1127="Exclude (duplicate)",0,1)</f>
        <v>1</v>
      </c>
      <c r="P1127" s="1" t="str">
        <f aca="false">IF(AND(L1127&lt;&gt;"",M1127=""),"Needs decision","")</f>
        <v/>
      </c>
    </row>
    <row r="1128" customFormat="false" ht="15" hidden="false" customHeight="false" outlineLevel="0" collapsed="false">
      <c r="A1128" s="48" t="str">
        <f aca="false">COST!A1128</f>
        <v>WCH-0021</v>
      </c>
      <c r="B1128" s="48" t="str">
        <f aca="false">COST!B1128</f>
        <v>WCH</v>
      </c>
      <c r="C1128" s="48" t="str">
        <f aca="false">COST!D1128</f>
        <v>Rural Maternal Outcomes Study</v>
      </c>
      <c r="D1128" s="62" t="n">
        <f aca="false">COST!M1128</f>
        <v>45869</v>
      </c>
      <c r="E1128" s="48" t="str">
        <f aca="false">COST!P1128</f>
        <v>Data Analyst</v>
      </c>
      <c r="F1128" s="63" t="n">
        <f aca="false">COST!R1128</f>
        <v>7.25</v>
      </c>
      <c r="G1128" s="48" t="str">
        <f aca="false">STACK!M1128</f>
        <v/>
      </c>
      <c r="H1128" s="1" t="str">
        <f aca="false">C1128&amp;"|"&amp;IF(ISNUMBER(D1128),TEXT(D1128,"yyyy-mm-dd"),"no date")&amp;"|"&amp;E1128&amp;"|"&amp;IF(ISNUMBER(F1128),TEXT(F1128,"0.00"),"blank")</f>
        <v>Rural Maternal Outcomes Study|2025-07-31|Data Analyst|7.25</v>
      </c>
      <c r="I1128" s="1" t="n">
        <f aca="false">COUNTIF($H$5:$H$1624,H1128)</f>
        <v>1</v>
      </c>
      <c r="J1128" s="1" t="n">
        <f aca="false">COUNTIF($H$5:H1128,H1128)</f>
        <v>1</v>
      </c>
      <c r="K1128" s="1" t="n">
        <f aca="false">COUNTIFS($H$5:$H$1624,H1128,$B$5:$B$1624,"&lt;&gt;"&amp;B1128)</f>
        <v>0</v>
      </c>
      <c r="L1128" s="1" t="str">
        <f aca="false">IF(I1128&gt;1,IF(K1128&gt;0,"Cross-hospital match","Same-hospital match"),"")</f>
        <v/>
      </c>
      <c r="M1128" s="52"/>
      <c r="N1128" s="52"/>
      <c r="O1128" s="1" t="n">
        <f aca="false">IF(M1128="Exclude (duplicate)",0,1)</f>
        <v>1</v>
      </c>
      <c r="P1128" s="1" t="str">
        <f aca="false">IF(AND(L1128&lt;&gt;"",M1128=""),"Needs decision","")</f>
        <v/>
      </c>
    </row>
    <row r="1129" customFormat="false" ht="15" hidden="false" customHeight="false" outlineLevel="0" collapsed="false">
      <c r="A1129" s="48" t="str">
        <f aca="false">COST!A1129</f>
        <v>WCH-0022</v>
      </c>
      <c r="B1129" s="48" t="str">
        <f aca="false">COST!B1129</f>
        <v>WCH</v>
      </c>
      <c r="C1129" s="48" t="str">
        <f aca="false">COST!D1129</f>
        <v>Rural Maternal Outcomes Study</v>
      </c>
      <c r="D1129" s="62" t="n">
        <f aca="false">COST!M1129</f>
        <v>45869</v>
      </c>
      <c r="E1129" s="48" t="str">
        <f aca="false">COST!P1129</f>
        <v>Research Coordinator</v>
      </c>
      <c r="F1129" s="63" t="n">
        <f aca="false">COST!R1129</f>
        <v>47</v>
      </c>
      <c r="G1129" s="48" t="str">
        <f aca="false">STACK!M1129</f>
        <v/>
      </c>
      <c r="H1129" s="1" t="str">
        <f aca="false">C1129&amp;"|"&amp;IF(ISNUMBER(D1129),TEXT(D1129,"yyyy-mm-dd"),"no date")&amp;"|"&amp;E1129&amp;"|"&amp;IF(ISNUMBER(F1129),TEXT(F1129,"0.00"),"blank")</f>
        <v>Rural Maternal Outcomes Study|2025-07-31|Research Coordinator|47.00</v>
      </c>
      <c r="I1129" s="1" t="n">
        <f aca="false">COUNTIF($H$5:$H$1624,H1129)</f>
        <v>1</v>
      </c>
      <c r="J1129" s="1" t="n">
        <f aca="false">COUNTIF($H$5:H1129,H1129)</f>
        <v>1</v>
      </c>
      <c r="K1129" s="1" t="n">
        <f aca="false">COUNTIFS($H$5:$H$1624,H1129,$B$5:$B$1624,"&lt;&gt;"&amp;B1129)</f>
        <v>0</v>
      </c>
      <c r="L1129" s="1" t="str">
        <f aca="false">IF(I1129&gt;1,IF(K1129&gt;0,"Cross-hospital match","Same-hospital match"),"")</f>
        <v/>
      </c>
      <c r="M1129" s="52"/>
      <c r="N1129" s="52"/>
      <c r="O1129" s="1" t="n">
        <f aca="false">IF(M1129="Exclude (duplicate)",0,1)</f>
        <v>1</v>
      </c>
      <c r="P1129" s="1" t="str">
        <f aca="false">IF(AND(L1129&lt;&gt;"",M1129=""),"Needs decision","")</f>
        <v/>
      </c>
    </row>
    <row r="1130" customFormat="false" ht="15" hidden="false" customHeight="false" outlineLevel="0" collapsed="false">
      <c r="A1130" s="48" t="str">
        <f aca="false">COST!A1130</f>
        <v>WCH-0023</v>
      </c>
      <c r="B1130" s="48" t="str">
        <f aca="false">COST!B1130</f>
        <v>WCH</v>
      </c>
      <c r="C1130" s="48" t="str">
        <f aca="false">COST!D1130</f>
        <v>Grief Support Group</v>
      </c>
      <c r="D1130" s="62" t="n">
        <f aca="false">COST!M1130</f>
        <v>45871</v>
      </c>
      <c r="E1130" s="48" t="str">
        <f aca="false">COST!P1130</f>
        <v>Chaplain</v>
      </c>
      <c r="F1130" s="63" t="n">
        <f aca="false">COST!R1130</f>
        <v>2.5</v>
      </c>
      <c r="G1130" s="48" t="str">
        <f aca="false">STACK!M1130</f>
        <v/>
      </c>
      <c r="H1130" s="1" t="str">
        <f aca="false">C1130&amp;"|"&amp;IF(ISNUMBER(D1130),TEXT(D1130,"yyyy-mm-dd"),"no date")&amp;"|"&amp;E1130&amp;"|"&amp;IF(ISNUMBER(F1130),TEXT(F1130,"0.00"),"blank")</f>
        <v>Grief Support Group|2025-08-02|Chaplain|2.50</v>
      </c>
      <c r="I1130" s="1" t="n">
        <f aca="false">COUNTIF($H$5:$H$1624,H1130)</f>
        <v>1</v>
      </c>
      <c r="J1130" s="1" t="n">
        <f aca="false">COUNTIF($H$5:H1130,H1130)</f>
        <v>1</v>
      </c>
      <c r="K1130" s="1" t="n">
        <f aca="false">COUNTIFS($H$5:$H$1624,H1130,$B$5:$B$1624,"&lt;&gt;"&amp;B1130)</f>
        <v>0</v>
      </c>
      <c r="L1130" s="1" t="str">
        <f aca="false">IF(I1130&gt;1,IF(K1130&gt;0,"Cross-hospital match","Same-hospital match"),"")</f>
        <v/>
      </c>
      <c r="M1130" s="52"/>
      <c r="N1130" s="52"/>
      <c r="O1130" s="1" t="n">
        <f aca="false">IF(M1130="Exclude (duplicate)",0,1)</f>
        <v>1</v>
      </c>
      <c r="P1130" s="1" t="str">
        <f aca="false">IF(AND(L1130&lt;&gt;"",M1130=""),"Needs decision","")</f>
        <v/>
      </c>
    </row>
    <row r="1131" customFormat="false" ht="15" hidden="false" customHeight="false" outlineLevel="0" collapsed="false">
      <c r="A1131" s="48" t="str">
        <f aca="false">COST!A1131</f>
        <v>WCH-0024</v>
      </c>
      <c r="B1131" s="48" t="str">
        <f aca="false">COST!B1131</f>
        <v>WCH</v>
      </c>
      <c r="C1131" s="48" t="str">
        <f aca="false">COST!D1131</f>
        <v>Grief Support Group</v>
      </c>
      <c r="D1131" s="62" t="n">
        <f aca="false">COST!M1131</f>
        <v>45871</v>
      </c>
      <c r="E1131" s="48" t="str">
        <f aca="false">COST!P1131</f>
        <v>Social Worker</v>
      </c>
      <c r="F1131" s="63" t="n">
        <f aca="false">COST!R1131</f>
        <v>1.75</v>
      </c>
      <c r="G1131" s="48" t="str">
        <f aca="false">STACK!M1131</f>
        <v/>
      </c>
      <c r="H1131" s="1" t="str">
        <f aca="false">C1131&amp;"|"&amp;IF(ISNUMBER(D1131),TEXT(D1131,"yyyy-mm-dd"),"no date")&amp;"|"&amp;E1131&amp;"|"&amp;IF(ISNUMBER(F1131),TEXT(F1131,"0.00"),"blank")</f>
        <v>Grief Support Group|2025-08-02|Social Worker|1.75</v>
      </c>
      <c r="I1131" s="1" t="n">
        <f aca="false">COUNTIF($H$5:$H$1624,H1131)</f>
        <v>1</v>
      </c>
      <c r="J1131" s="1" t="n">
        <f aca="false">COUNTIF($H$5:H1131,H1131)</f>
        <v>1</v>
      </c>
      <c r="K1131" s="1" t="n">
        <f aca="false">COUNTIFS($H$5:$H$1624,H1131,$B$5:$B$1624,"&lt;&gt;"&amp;B1131)</f>
        <v>0</v>
      </c>
      <c r="L1131" s="1" t="str">
        <f aca="false">IF(I1131&gt;1,IF(K1131&gt;0,"Cross-hospital match","Same-hospital match"),"")</f>
        <v/>
      </c>
      <c r="M1131" s="52"/>
      <c r="N1131" s="52"/>
      <c r="O1131" s="1" t="n">
        <f aca="false">IF(M1131="Exclude (duplicate)",0,1)</f>
        <v>1</v>
      </c>
      <c r="P1131" s="1" t="str">
        <f aca="false">IF(AND(L1131&lt;&gt;"",M1131=""),"Needs decision","")</f>
        <v/>
      </c>
    </row>
    <row r="1132" customFormat="false" ht="15" hidden="false" customHeight="false" outlineLevel="0" collapsed="false">
      <c r="A1132" s="48" t="str">
        <f aca="false">COST!A1132</f>
        <v>WCH-0025</v>
      </c>
      <c r="B1132" s="48" t="str">
        <f aca="false">COST!B1132</f>
        <v>WCH</v>
      </c>
      <c r="C1132" s="48" t="str">
        <f aca="false">COST!D1132</f>
        <v>Car Seat Safety Checks</v>
      </c>
      <c r="D1132" s="62" t="n">
        <f aca="false">COST!M1132</f>
        <v>45873</v>
      </c>
      <c r="E1132" s="48" t="str">
        <f aca="false">COST!P1132</f>
        <v>Paramedic</v>
      </c>
      <c r="F1132" s="63" t="n">
        <f aca="false">COST!R1132</f>
        <v>3.5</v>
      </c>
      <c r="G1132" s="48" t="str">
        <f aca="false">STACK!M1132</f>
        <v/>
      </c>
      <c r="H1132" s="1" t="str">
        <f aca="false">C1132&amp;"|"&amp;IF(ISNUMBER(D1132),TEXT(D1132,"yyyy-mm-dd"),"no date")&amp;"|"&amp;E1132&amp;"|"&amp;IF(ISNUMBER(F1132),TEXT(F1132,"0.00"),"blank")</f>
        <v>Car Seat Safety Checks|2025-08-04|Paramedic|3.50</v>
      </c>
      <c r="I1132" s="1" t="n">
        <f aca="false">COUNTIF($H$5:$H$1624,H1132)</f>
        <v>1</v>
      </c>
      <c r="J1132" s="1" t="n">
        <f aca="false">COUNTIF($H$5:H1132,H1132)</f>
        <v>1</v>
      </c>
      <c r="K1132" s="1" t="n">
        <f aca="false">COUNTIFS($H$5:$H$1624,H1132,$B$5:$B$1624,"&lt;&gt;"&amp;B1132)</f>
        <v>0</v>
      </c>
      <c r="L1132" s="1" t="str">
        <f aca="false">IF(I1132&gt;1,IF(K1132&gt;0,"Cross-hospital match","Same-hospital match"),"")</f>
        <v/>
      </c>
      <c r="M1132" s="52"/>
      <c r="N1132" s="52"/>
      <c r="O1132" s="1" t="n">
        <f aca="false">IF(M1132="Exclude (duplicate)",0,1)</f>
        <v>1</v>
      </c>
      <c r="P1132" s="1" t="str">
        <f aca="false">IF(AND(L1132&lt;&gt;"",M1132=""),"Needs decision","")</f>
        <v/>
      </c>
    </row>
    <row r="1133" customFormat="false" ht="15" hidden="false" customHeight="false" outlineLevel="0" collapsed="false">
      <c r="A1133" s="48" t="str">
        <f aca="false">COST!A1133</f>
        <v>WCH-0026</v>
      </c>
      <c r="B1133" s="48" t="str">
        <f aca="false">COST!B1133</f>
        <v>WCH</v>
      </c>
      <c r="C1133" s="48" t="str">
        <f aca="false">COST!D1133</f>
        <v>Car Seat Safety Checks</v>
      </c>
      <c r="D1133" s="62" t="n">
        <f aca="false">COST!M1133</f>
        <v>45873</v>
      </c>
      <c r="E1133" s="48" t="str">
        <f aca="false">COST!P1133</f>
        <v>Registered Nurse</v>
      </c>
      <c r="F1133" s="63" t="n">
        <f aca="false">COST!R1133</f>
        <v>3.25</v>
      </c>
      <c r="G1133" s="48" t="str">
        <f aca="false">STACK!M1133</f>
        <v/>
      </c>
      <c r="H1133" s="1" t="str">
        <f aca="false">C1133&amp;"|"&amp;IF(ISNUMBER(D1133),TEXT(D1133,"yyyy-mm-dd"),"no date")&amp;"|"&amp;E1133&amp;"|"&amp;IF(ISNUMBER(F1133),TEXT(F1133,"0.00"),"blank")</f>
        <v>Car Seat Safety Checks|2025-08-04|Registered Nurse|3.25</v>
      </c>
      <c r="I1133" s="1" t="n">
        <f aca="false">COUNTIF($H$5:$H$1624,H1133)</f>
        <v>1</v>
      </c>
      <c r="J1133" s="1" t="n">
        <f aca="false">COUNTIF($H$5:H1133,H1133)</f>
        <v>1</v>
      </c>
      <c r="K1133" s="1" t="n">
        <f aca="false">COUNTIFS($H$5:$H$1624,H1133,$B$5:$B$1624,"&lt;&gt;"&amp;B1133)</f>
        <v>0</v>
      </c>
      <c r="L1133" s="1" t="str">
        <f aca="false">IF(I1133&gt;1,IF(K1133&gt;0,"Cross-hospital match","Same-hospital match"),"")</f>
        <v/>
      </c>
      <c r="M1133" s="52"/>
      <c r="N1133" s="52"/>
      <c r="O1133" s="1" t="n">
        <f aca="false">IF(M1133="Exclude (duplicate)",0,1)</f>
        <v>1</v>
      </c>
      <c r="P1133" s="1" t="str">
        <f aca="false">IF(AND(L1133&lt;&gt;"",M1133=""),"Needs decision","")</f>
        <v/>
      </c>
    </row>
    <row r="1134" customFormat="false" ht="15" hidden="false" customHeight="false" outlineLevel="0" collapsed="false">
      <c r="A1134" s="48" t="str">
        <f aca="false">COST!A1134</f>
        <v>WCH-0027</v>
      </c>
      <c r="B1134" s="48" t="str">
        <f aca="false">COST!B1134</f>
        <v>WCH</v>
      </c>
      <c r="C1134" s="48" t="str">
        <f aca="false">COST!D1134</f>
        <v>Diabetes Prevention Classes</v>
      </c>
      <c r="D1134" s="62" t="n">
        <f aca="false">COST!M1134</f>
        <v>45876</v>
      </c>
      <c r="E1134" s="48" t="str">
        <f aca="false">COST!P1134</f>
        <v>Health Educator</v>
      </c>
      <c r="F1134" s="63" t="n">
        <f aca="false">COST!R1134</f>
        <v>2.75</v>
      </c>
      <c r="G1134" s="48" t="str">
        <f aca="false">STACK!M1134</f>
        <v/>
      </c>
      <c r="H1134" s="1" t="str">
        <f aca="false">C1134&amp;"|"&amp;IF(ISNUMBER(D1134),TEXT(D1134,"yyyy-mm-dd"),"no date")&amp;"|"&amp;E1134&amp;"|"&amp;IF(ISNUMBER(F1134),TEXT(F1134,"0.00"),"blank")</f>
        <v>Diabetes Prevention Classes|2025-08-07|Health Educator|2.75</v>
      </c>
      <c r="I1134" s="1" t="n">
        <f aca="false">COUNTIF($H$5:$H$1624,H1134)</f>
        <v>1</v>
      </c>
      <c r="J1134" s="1" t="n">
        <f aca="false">COUNTIF($H$5:H1134,H1134)</f>
        <v>1</v>
      </c>
      <c r="K1134" s="1" t="n">
        <f aca="false">COUNTIFS($H$5:$H$1624,H1134,$B$5:$B$1624,"&lt;&gt;"&amp;B1134)</f>
        <v>0</v>
      </c>
      <c r="L1134" s="1" t="str">
        <f aca="false">IF(I1134&gt;1,IF(K1134&gt;0,"Cross-hospital match","Same-hospital match"),"")</f>
        <v/>
      </c>
      <c r="M1134" s="52"/>
      <c r="N1134" s="52"/>
      <c r="O1134" s="1" t="n">
        <f aca="false">IF(M1134="Exclude (duplicate)",0,1)</f>
        <v>1</v>
      </c>
      <c r="P1134" s="1" t="str">
        <f aca="false">IF(AND(L1134&lt;&gt;"",M1134=""),"Needs decision","")</f>
        <v/>
      </c>
    </row>
    <row r="1135" customFormat="false" ht="15" hidden="false" customHeight="false" outlineLevel="0" collapsed="false">
      <c r="A1135" s="48" t="str">
        <f aca="false">COST!A1135</f>
        <v>WCH-0028</v>
      </c>
      <c r="B1135" s="48" t="str">
        <f aca="false">COST!B1135</f>
        <v>WCH</v>
      </c>
      <c r="C1135" s="48" t="str">
        <f aca="false">COST!D1135</f>
        <v>Diabetes Prevention Classes</v>
      </c>
      <c r="D1135" s="62" t="n">
        <f aca="false">COST!M1135</f>
        <v>45876</v>
      </c>
      <c r="E1135" s="48" t="str">
        <f aca="false">COST!P1135</f>
        <v>Registered Dietitian</v>
      </c>
      <c r="F1135" s="63" t="n">
        <f aca="false">COST!R1135</f>
        <v>1.5</v>
      </c>
      <c r="G1135" s="48" t="str">
        <f aca="false">STACK!M1135</f>
        <v/>
      </c>
      <c r="H1135" s="1" t="str">
        <f aca="false">C1135&amp;"|"&amp;IF(ISNUMBER(D1135),TEXT(D1135,"yyyy-mm-dd"),"no date")&amp;"|"&amp;E1135&amp;"|"&amp;IF(ISNUMBER(F1135),TEXT(F1135,"0.00"),"blank")</f>
        <v>Diabetes Prevention Classes|2025-08-07|Registered Dietitian|1.50</v>
      </c>
      <c r="I1135" s="1" t="n">
        <f aca="false">COUNTIF($H$5:$H$1624,H1135)</f>
        <v>1</v>
      </c>
      <c r="J1135" s="1" t="n">
        <f aca="false">COUNTIF($H$5:H1135,H1135)</f>
        <v>1</v>
      </c>
      <c r="K1135" s="1" t="n">
        <f aca="false">COUNTIFS($H$5:$H$1624,H1135,$B$5:$B$1624,"&lt;&gt;"&amp;B1135)</f>
        <v>0</v>
      </c>
      <c r="L1135" s="1" t="str">
        <f aca="false">IF(I1135&gt;1,IF(K1135&gt;0,"Cross-hospital match","Same-hospital match"),"")</f>
        <v/>
      </c>
      <c r="M1135" s="52"/>
      <c r="N1135" s="52"/>
      <c r="O1135" s="1" t="n">
        <f aca="false">IF(M1135="Exclude (duplicate)",0,1)</f>
        <v>1</v>
      </c>
      <c r="P1135" s="1" t="str">
        <f aca="false">IF(AND(L1135&lt;&gt;"",M1135=""),"Needs decision","")</f>
        <v/>
      </c>
    </row>
    <row r="1136" customFormat="false" ht="15" hidden="false" customHeight="false" outlineLevel="0" collapsed="false">
      <c r="A1136" s="48" t="str">
        <f aca="false">COST!A1136</f>
        <v>WCH-0029</v>
      </c>
      <c r="B1136" s="48" t="str">
        <f aca="false">COST!B1136</f>
        <v>WCH</v>
      </c>
      <c r="C1136" s="48" t="str">
        <f aca="false">COST!D1136</f>
        <v>Grief Support Group</v>
      </c>
      <c r="D1136" s="62" t="n">
        <f aca="false">COST!M1136</f>
        <v>45882</v>
      </c>
      <c r="E1136" s="48" t="str">
        <f aca="false">COST!P1136</f>
        <v>Chaplain</v>
      </c>
      <c r="F1136" s="63" t="n">
        <f aca="false">COST!R1136</f>
        <v>2</v>
      </c>
      <c r="G1136" s="48" t="str">
        <f aca="false">STACK!M1136</f>
        <v/>
      </c>
      <c r="H1136" s="1" t="str">
        <f aca="false">C1136&amp;"|"&amp;IF(ISNUMBER(D1136),TEXT(D1136,"yyyy-mm-dd"),"no date")&amp;"|"&amp;E1136&amp;"|"&amp;IF(ISNUMBER(F1136),TEXT(F1136,"0.00"),"blank")</f>
        <v>Grief Support Group|2025-08-13|Chaplain|2.00</v>
      </c>
      <c r="I1136" s="1" t="n">
        <f aca="false">COUNTIF($H$5:$H$1624,H1136)</f>
        <v>1</v>
      </c>
      <c r="J1136" s="1" t="n">
        <f aca="false">COUNTIF($H$5:H1136,H1136)</f>
        <v>1</v>
      </c>
      <c r="K1136" s="1" t="n">
        <f aca="false">COUNTIFS($H$5:$H$1624,H1136,$B$5:$B$1624,"&lt;&gt;"&amp;B1136)</f>
        <v>0</v>
      </c>
      <c r="L1136" s="1" t="str">
        <f aca="false">IF(I1136&gt;1,IF(K1136&gt;0,"Cross-hospital match","Same-hospital match"),"")</f>
        <v/>
      </c>
      <c r="M1136" s="52"/>
      <c r="N1136" s="52"/>
      <c r="O1136" s="1" t="n">
        <f aca="false">IF(M1136="Exclude (duplicate)",0,1)</f>
        <v>1</v>
      </c>
      <c r="P1136" s="1" t="str">
        <f aca="false">IF(AND(L1136&lt;&gt;"",M1136=""),"Needs decision","")</f>
        <v/>
      </c>
    </row>
    <row r="1137" customFormat="false" ht="15" hidden="false" customHeight="false" outlineLevel="0" collapsed="false">
      <c r="A1137" s="48" t="str">
        <f aca="false">COST!A1137</f>
        <v>WCH-0030</v>
      </c>
      <c r="B1137" s="48" t="str">
        <f aca="false">COST!B1137</f>
        <v>WCH</v>
      </c>
      <c r="C1137" s="48" t="str">
        <f aca="false">COST!D1137</f>
        <v>Grief Support Group</v>
      </c>
      <c r="D1137" s="62" t="n">
        <f aca="false">COST!M1137</f>
        <v>45882</v>
      </c>
      <c r="E1137" s="48" t="str">
        <f aca="false">COST!P1137</f>
        <v>Social Worker</v>
      </c>
      <c r="F1137" s="63" t="n">
        <f aca="false">COST!R1137</f>
        <v>1.5</v>
      </c>
      <c r="G1137" s="48" t="str">
        <f aca="false">STACK!M1137</f>
        <v/>
      </c>
      <c r="H1137" s="1" t="str">
        <f aca="false">C1137&amp;"|"&amp;IF(ISNUMBER(D1137),TEXT(D1137,"yyyy-mm-dd"),"no date")&amp;"|"&amp;E1137&amp;"|"&amp;IF(ISNUMBER(F1137),TEXT(F1137,"0.00"),"blank")</f>
        <v>Grief Support Group|2025-08-13|Social Worker|1.50</v>
      </c>
      <c r="I1137" s="1" t="n">
        <f aca="false">COUNTIF($H$5:$H$1624,H1137)</f>
        <v>1</v>
      </c>
      <c r="J1137" s="1" t="n">
        <f aca="false">COUNTIF($H$5:H1137,H1137)</f>
        <v>1</v>
      </c>
      <c r="K1137" s="1" t="n">
        <f aca="false">COUNTIFS($H$5:$H$1624,H1137,$B$5:$B$1624,"&lt;&gt;"&amp;B1137)</f>
        <v>0</v>
      </c>
      <c r="L1137" s="1" t="str">
        <f aca="false">IF(I1137&gt;1,IF(K1137&gt;0,"Cross-hospital match","Same-hospital match"),"")</f>
        <v/>
      </c>
      <c r="M1137" s="52"/>
      <c r="N1137" s="52"/>
      <c r="O1137" s="1" t="n">
        <f aca="false">IF(M1137="Exclude (duplicate)",0,1)</f>
        <v>1</v>
      </c>
      <c r="P1137" s="1" t="str">
        <f aca="false">IF(AND(L1137&lt;&gt;"",M1137=""),"Needs decision","")</f>
        <v/>
      </c>
    </row>
    <row r="1138" customFormat="false" ht="15" hidden="false" customHeight="false" outlineLevel="0" collapsed="false">
      <c r="A1138" s="48" t="str">
        <f aca="false">COST!A1138</f>
        <v>WCH-0031</v>
      </c>
      <c r="B1138" s="48" t="str">
        <f aca="false">COST!B1138</f>
        <v>WCH</v>
      </c>
      <c r="C1138" s="48" t="str">
        <f aca="false">COST!D1138</f>
        <v>Free Sports Physicals</v>
      </c>
      <c r="D1138" s="62" t="n">
        <f aca="false">COST!M1138</f>
        <v>45882</v>
      </c>
      <c r="E1138" s="48" t="str">
        <f aca="false">COST!P1138</f>
        <v>Medical Assistant</v>
      </c>
      <c r="F1138" s="63" t="n">
        <f aca="false">COST!R1138</f>
        <v>4</v>
      </c>
      <c r="G1138" s="48" t="str">
        <f aca="false">STACK!M1138</f>
        <v/>
      </c>
      <c r="H1138" s="1" t="str">
        <f aca="false">C1138&amp;"|"&amp;IF(ISNUMBER(D1138),TEXT(D1138,"yyyy-mm-dd"),"no date")&amp;"|"&amp;E1138&amp;"|"&amp;IF(ISNUMBER(F1138),TEXT(F1138,"0.00"),"blank")</f>
        <v>Free Sports Physicals|2025-08-13|Medical Assistant|4.00</v>
      </c>
      <c r="I1138" s="1" t="n">
        <f aca="false">COUNTIF($H$5:$H$1624,H1138)</f>
        <v>1</v>
      </c>
      <c r="J1138" s="1" t="n">
        <f aca="false">COUNTIF($H$5:H1138,H1138)</f>
        <v>1</v>
      </c>
      <c r="K1138" s="1" t="n">
        <f aca="false">COUNTIFS($H$5:$H$1624,H1138,$B$5:$B$1624,"&lt;&gt;"&amp;B1138)</f>
        <v>0</v>
      </c>
      <c r="L1138" s="1" t="str">
        <f aca="false">IF(I1138&gt;1,IF(K1138&gt;0,"Cross-hospital match","Same-hospital match"),"")</f>
        <v/>
      </c>
      <c r="M1138" s="52"/>
      <c r="N1138" s="52"/>
      <c r="O1138" s="1" t="n">
        <f aca="false">IF(M1138="Exclude (duplicate)",0,1)</f>
        <v>1</v>
      </c>
      <c r="P1138" s="1" t="str">
        <f aca="false">IF(AND(L1138&lt;&gt;"",M1138=""),"Needs decision","")</f>
        <v/>
      </c>
    </row>
    <row r="1139" customFormat="false" ht="15" hidden="false" customHeight="false" outlineLevel="0" collapsed="false">
      <c r="A1139" s="48" t="str">
        <f aca="false">COST!A1139</f>
        <v>WCH-0032</v>
      </c>
      <c r="B1139" s="48" t="str">
        <f aca="false">COST!B1139</f>
        <v>WCH</v>
      </c>
      <c r="C1139" s="48" t="str">
        <f aca="false">COST!D1139</f>
        <v>Free Sports Physicals</v>
      </c>
      <c r="D1139" s="62" t="n">
        <f aca="false">COST!M1139</f>
        <v>45882</v>
      </c>
      <c r="E1139" s="48" t="str">
        <f aca="false">COST!P1139</f>
        <v>Nurse Practitioner</v>
      </c>
      <c r="F1139" s="63" t="n">
        <f aca="false">COST!R1139</f>
        <v>4.5</v>
      </c>
      <c r="G1139" s="48" t="str">
        <f aca="false">STACK!M1139</f>
        <v/>
      </c>
      <c r="H1139" s="1" t="str">
        <f aca="false">C1139&amp;"|"&amp;IF(ISNUMBER(D1139),TEXT(D1139,"yyyy-mm-dd"),"no date")&amp;"|"&amp;E1139&amp;"|"&amp;IF(ISNUMBER(F1139),TEXT(F1139,"0.00"),"blank")</f>
        <v>Free Sports Physicals|2025-08-13|Nurse Practitioner|4.50</v>
      </c>
      <c r="I1139" s="1" t="n">
        <f aca="false">COUNTIF($H$5:$H$1624,H1139)</f>
        <v>1</v>
      </c>
      <c r="J1139" s="1" t="n">
        <f aca="false">COUNTIF($H$5:H1139,H1139)</f>
        <v>1</v>
      </c>
      <c r="K1139" s="1" t="n">
        <f aca="false">COUNTIFS($H$5:$H$1624,H1139,$B$5:$B$1624,"&lt;&gt;"&amp;B1139)</f>
        <v>0</v>
      </c>
      <c r="L1139" s="1" t="str">
        <f aca="false">IF(I1139&gt;1,IF(K1139&gt;0,"Cross-hospital match","Same-hospital match"),"")</f>
        <v/>
      </c>
      <c r="M1139" s="52"/>
      <c r="N1139" s="52"/>
      <c r="O1139" s="1" t="n">
        <f aca="false">IF(M1139="Exclude (duplicate)",0,1)</f>
        <v>1</v>
      </c>
      <c r="P1139" s="1" t="str">
        <f aca="false">IF(AND(L1139&lt;&gt;"",M1139=""),"Needs decision","")</f>
        <v/>
      </c>
    </row>
    <row r="1140" customFormat="false" ht="15" hidden="false" customHeight="false" outlineLevel="0" collapsed="false">
      <c r="A1140" s="48" t="str">
        <f aca="false">COST!A1140</f>
        <v>WCH-0033</v>
      </c>
      <c r="B1140" s="48" t="str">
        <f aca="false">COST!B1140</f>
        <v>WCH</v>
      </c>
      <c r="C1140" s="48" t="str">
        <f aca="false">COST!D1140</f>
        <v>Free Sports Physicals</v>
      </c>
      <c r="D1140" s="62" t="n">
        <f aca="false">COST!M1140</f>
        <v>45882</v>
      </c>
      <c r="E1140" s="48" t="str">
        <f aca="false">COST!P1140</f>
        <v>Physician</v>
      </c>
      <c r="F1140" s="63" t="n">
        <f aca="false">COST!R1140</f>
        <v>5</v>
      </c>
      <c r="G1140" s="48" t="str">
        <f aca="false">STACK!M1140</f>
        <v/>
      </c>
      <c r="H1140" s="1" t="str">
        <f aca="false">C1140&amp;"|"&amp;IF(ISNUMBER(D1140),TEXT(D1140,"yyyy-mm-dd"),"no date")&amp;"|"&amp;E1140&amp;"|"&amp;IF(ISNUMBER(F1140),TEXT(F1140,"0.00"),"blank")</f>
        <v>Free Sports Physicals|2025-08-13|Physician|5.00</v>
      </c>
      <c r="I1140" s="1" t="n">
        <f aca="false">COUNTIF($H$5:$H$1624,H1140)</f>
        <v>1</v>
      </c>
      <c r="J1140" s="1" t="n">
        <f aca="false">COUNTIF($H$5:H1140,H1140)</f>
        <v>1</v>
      </c>
      <c r="K1140" s="1" t="n">
        <f aca="false">COUNTIFS($H$5:$H$1624,H1140,$B$5:$B$1624,"&lt;&gt;"&amp;B1140)</f>
        <v>0</v>
      </c>
      <c r="L1140" s="1" t="str">
        <f aca="false">IF(I1140&gt;1,IF(K1140&gt;0,"Cross-hospital match","Same-hospital match"),"")</f>
        <v/>
      </c>
      <c r="M1140" s="52"/>
      <c r="N1140" s="52"/>
      <c r="O1140" s="1" t="n">
        <f aca="false">IF(M1140="Exclude (duplicate)",0,1)</f>
        <v>1</v>
      </c>
      <c r="P1140" s="1" t="str">
        <f aca="false">IF(AND(L1140&lt;&gt;"",M1140=""),"Needs decision","")</f>
        <v/>
      </c>
    </row>
    <row r="1141" customFormat="false" ht="15" hidden="false" customHeight="false" outlineLevel="0" collapsed="false">
      <c r="A1141" s="48" t="str">
        <f aca="false">COST!A1141</f>
        <v>WCH-0034</v>
      </c>
      <c r="B1141" s="48" t="str">
        <f aca="false">COST!B1141</f>
        <v>WCH</v>
      </c>
      <c r="C1141" s="48" t="str">
        <f aca="false">COST!D1141</f>
        <v>Community Blood Pressure Checks</v>
      </c>
      <c r="D1141" s="62" t="n">
        <f aca="false">COST!M1141</f>
        <v>45890</v>
      </c>
      <c r="E1141" s="48" t="str">
        <f aca="false">COST!P1141</f>
        <v>Registered Nurse</v>
      </c>
      <c r="F1141" s="63" t="n">
        <f aca="false">COST!R1141</f>
        <v>4</v>
      </c>
      <c r="G1141" s="48" t="str">
        <f aca="false">STACK!M1141</f>
        <v/>
      </c>
      <c r="H1141" s="1" t="str">
        <f aca="false">C1141&amp;"|"&amp;IF(ISNUMBER(D1141),TEXT(D1141,"yyyy-mm-dd"),"no date")&amp;"|"&amp;E1141&amp;"|"&amp;IF(ISNUMBER(F1141),TEXT(F1141,"0.00"),"blank")</f>
        <v>Community Blood Pressure Checks|2025-08-21|Registered Nurse|4.00</v>
      </c>
      <c r="I1141" s="1" t="n">
        <f aca="false">COUNTIF($H$5:$H$1624,H1141)</f>
        <v>1</v>
      </c>
      <c r="J1141" s="1" t="n">
        <f aca="false">COUNTIF($H$5:H1141,H1141)</f>
        <v>1</v>
      </c>
      <c r="K1141" s="1" t="n">
        <f aca="false">COUNTIFS($H$5:$H$1624,H1141,$B$5:$B$1624,"&lt;&gt;"&amp;B1141)</f>
        <v>0</v>
      </c>
      <c r="L1141" s="1" t="str">
        <f aca="false">IF(I1141&gt;1,IF(K1141&gt;0,"Cross-hospital match","Same-hospital match"),"")</f>
        <v/>
      </c>
      <c r="M1141" s="52"/>
      <c r="N1141" s="52"/>
      <c r="O1141" s="1" t="n">
        <f aca="false">IF(M1141="Exclude (duplicate)",0,1)</f>
        <v>1</v>
      </c>
      <c r="P1141" s="1" t="str">
        <f aca="false">IF(AND(L1141&lt;&gt;"",M1141=""),"Needs decision","")</f>
        <v/>
      </c>
    </row>
    <row r="1142" customFormat="false" ht="15" hidden="false" customHeight="false" outlineLevel="0" collapsed="false">
      <c r="A1142" s="48" t="str">
        <f aca="false">COST!A1142</f>
        <v>WCH-0035</v>
      </c>
      <c r="B1142" s="48" t="str">
        <f aca="false">COST!B1142</f>
        <v>WCH</v>
      </c>
      <c r="C1142" s="48" t="str">
        <f aca="false">COST!D1142</f>
        <v>Car Seat Safety Checks</v>
      </c>
      <c r="D1142" s="62" t="n">
        <f aca="false">COST!M1142</f>
        <v>45890</v>
      </c>
      <c r="E1142" s="48" t="str">
        <f aca="false">COST!P1142</f>
        <v>Paramedic</v>
      </c>
      <c r="F1142" s="63" t="n">
        <f aca="false">COST!R1142</f>
        <v>3.5</v>
      </c>
      <c r="G1142" s="48" t="str">
        <f aca="false">STACK!M1142</f>
        <v/>
      </c>
      <c r="H1142" s="1" t="str">
        <f aca="false">C1142&amp;"|"&amp;IF(ISNUMBER(D1142),TEXT(D1142,"yyyy-mm-dd"),"no date")&amp;"|"&amp;E1142&amp;"|"&amp;IF(ISNUMBER(F1142),TEXT(F1142,"0.00"),"blank")</f>
        <v>Car Seat Safety Checks|2025-08-21|Paramedic|3.50</v>
      </c>
      <c r="I1142" s="1" t="n">
        <f aca="false">COUNTIF($H$5:$H$1624,H1142)</f>
        <v>1</v>
      </c>
      <c r="J1142" s="1" t="n">
        <f aca="false">COUNTIF($H$5:H1142,H1142)</f>
        <v>1</v>
      </c>
      <c r="K1142" s="1" t="n">
        <f aca="false">COUNTIFS($H$5:$H$1624,H1142,$B$5:$B$1624,"&lt;&gt;"&amp;B1142)</f>
        <v>0</v>
      </c>
      <c r="L1142" s="1" t="str">
        <f aca="false">IF(I1142&gt;1,IF(K1142&gt;0,"Cross-hospital match","Same-hospital match"),"")</f>
        <v/>
      </c>
      <c r="M1142" s="52"/>
      <c r="N1142" s="52"/>
      <c r="O1142" s="1" t="n">
        <f aca="false">IF(M1142="Exclude (duplicate)",0,1)</f>
        <v>1</v>
      </c>
      <c r="P1142" s="1" t="str">
        <f aca="false">IF(AND(L1142&lt;&gt;"",M1142=""),"Needs decision","")</f>
        <v/>
      </c>
    </row>
    <row r="1143" customFormat="false" ht="15" hidden="false" customHeight="false" outlineLevel="0" collapsed="false">
      <c r="A1143" s="48" t="str">
        <f aca="false">COST!A1143</f>
        <v>WCH-0036</v>
      </c>
      <c r="B1143" s="48" t="str">
        <f aca="false">COST!B1143</f>
        <v>WCH</v>
      </c>
      <c r="C1143" s="48" t="str">
        <f aca="false">COST!D1143</f>
        <v>Car Seat Safety Checks</v>
      </c>
      <c r="D1143" s="62" t="n">
        <f aca="false">COST!M1143</f>
        <v>45890</v>
      </c>
      <c r="E1143" s="48" t="str">
        <f aca="false">COST!P1143</f>
        <v>Registered Nurse</v>
      </c>
      <c r="F1143" s="63" t="n">
        <f aca="false">COST!R1143</f>
        <v>4</v>
      </c>
      <c r="G1143" s="48" t="str">
        <f aca="false">STACK!M1143</f>
        <v/>
      </c>
      <c r="H1143" s="1" t="str">
        <f aca="false">C1143&amp;"|"&amp;IF(ISNUMBER(D1143),TEXT(D1143,"yyyy-mm-dd"),"no date")&amp;"|"&amp;E1143&amp;"|"&amp;IF(ISNUMBER(F1143),TEXT(F1143,"0.00"),"blank")</f>
        <v>Car Seat Safety Checks|2025-08-21|Registered Nurse|4.00</v>
      </c>
      <c r="I1143" s="1" t="n">
        <f aca="false">COUNTIF($H$5:$H$1624,H1143)</f>
        <v>1</v>
      </c>
      <c r="J1143" s="1" t="n">
        <f aca="false">COUNTIF($H$5:H1143,H1143)</f>
        <v>1</v>
      </c>
      <c r="K1143" s="1" t="n">
        <f aca="false">COUNTIFS($H$5:$H$1624,H1143,$B$5:$B$1624,"&lt;&gt;"&amp;B1143)</f>
        <v>0</v>
      </c>
      <c r="L1143" s="1" t="str">
        <f aca="false">IF(I1143&gt;1,IF(K1143&gt;0,"Cross-hospital match","Same-hospital match"),"")</f>
        <v/>
      </c>
      <c r="M1143" s="52"/>
      <c r="N1143" s="52"/>
      <c r="O1143" s="1" t="n">
        <f aca="false">IF(M1143="Exclude (duplicate)",0,1)</f>
        <v>1</v>
      </c>
      <c r="P1143" s="1" t="str">
        <f aca="false">IF(AND(L1143&lt;&gt;"",M1143=""),"Needs decision","")</f>
        <v/>
      </c>
    </row>
    <row r="1144" customFormat="false" ht="15" hidden="false" customHeight="false" outlineLevel="0" collapsed="false">
      <c r="A1144" s="48" t="str">
        <f aca="false">COST!A1144</f>
        <v>WCH-0037</v>
      </c>
      <c r="B1144" s="48" t="str">
        <f aca="false">COST!B1144</f>
        <v>WCH</v>
      </c>
      <c r="C1144" s="48" t="str">
        <f aca="false">COST!D1144</f>
        <v>Naloxone Training and Distribution</v>
      </c>
      <c r="D1144" s="62" t="n">
        <f aca="false">COST!M1144</f>
        <v>45899</v>
      </c>
      <c r="E1144" s="48" t="str">
        <f aca="false">COST!P1144</f>
        <v>Health Educator</v>
      </c>
      <c r="F1144" s="63" t="n">
        <f aca="false">COST!R1144</f>
        <v>2.75</v>
      </c>
      <c r="G1144" s="48" t="str">
        <f aca="false">STACK!M1144</f>
        <v/>
      </c>
      <c r="H1144" s="1" t="str">
        <f aca="false">C1144&amp;"|"&amp;IF(ISNUMBER(D1144),TEXT(D1144,"yyyy-mm-dd"),"no date")&amp;"|"&amp;E1144&amp;"|"&amp;IF(ISNUMBER(F1144),TEXT(F1144,"0.00"),"blank")</f>
        <v>Naloxone Training and Distribution|2025-08-30|Health Educator|2.75</v>
      </c>
      <c r="I1144" s="1" t="n">
        <f aca="false">COUNTIF($H$5:$H$1624,H1144)</f>
        <v>1</v>
      </c>
      <c r="J1144" s="1" t="n">
        <f aca="false">COUNTIF($H$5:H1144,H1144)</f>
        <v>1</v>
      </c>
      <c r="K1144" s="1" t="n">
        <f aca="false">COUNTIFS($H$5:$H$1624,H1144,$B$5:$B$1624,"&lt;&gt;"&amp;B1144)</f>
        <v>0</v>
      </c>
      <c r="L1144" s="1" t="str">
        <f aca="false">IF(I1144&gt;1,IF(K1144&gt;0,"Cross-hospital match","Same-hospital match"),"")</f>
        <v/>
      </c>
      <c r="M1144" s="52"/>
      <c r="N1144" s="52"/>
      <c r="O1144" s="1" t="n">
        <f aca="false">IF(M1144="Exclude (duplicate)",0,1)</f>
        <v>1</v>
      </c>
      <c r="P1144" s="1" t="str">
        <f aca="false">IF(AND(L1144&lt;&gt;"",M1144=""),"Needs decision","")</f>
        <v/>
      </c>
    </row>
    <row r="1145" customFormat="false" ht="15" hidden="false" customHeight="false" outlineLevel="0" collapsed="false">
      <c r="A1145" s="48" t="str">
        <f aca="false">COST!A1145</f>
        <v>WCH-0038</v>
      </c>
      <c r="B1145" s="48" t="str">
        <f aca="false">COST!B1145</f>
        <v>WCH</v>
      </c>
      <c r="C1145" s="48" t="str">
        <f aca="false">COST!D1145</f>
        <v>Naloxone Training and Distribution</v>
      </c>
      <c r="D1145" s="62" t="n">
        <f aca="false">COST!M1145</f>
        <v>45899</v>
      </c>
      <c r="E1145" s="48" t="str">
        <f aca="false">COST!P1145</f>
        <v>Pharmacist</v>
      </c>
      <c r="F1145" s="63" t="n">
        <f aca="false">COST!R1145</f>
        <v>2</v>
      </c>
      <c r="G1145" s="48" t="str">
        <f aca="false">STACK!M1145</f>
        <v/>
      </c>
      <c r="H1145" s="1" t="str">
        <f aca="false">C1145&amp;"|"&amp;IF(ISNUMBER(D1145),TEXT(D1145,"yyyy-mm-dd"),"no date")&amp;"|"&amp;E1145&amp;"|"&amp;IF(ISNUMBER(F1145),TEXT(F1145,"0.00"),"blank")</f>
        <v>Naloxone Training and Distribution|2025-08-30|Pharmacist|2.00</v>
      </c>
      <c r="I1145" s="1" t="n">
        <f aca="false">COUNTIF($H$5:$H$1624,H1145)</f>
        <v>1</v>
      </c>
      <c r="J1145" s="1" t="n">
        <f aca="false">COUNTIF($H$5:H1145,H1145)</f>
        <v>1</v>
      </c>
      <c r="K1145" s="1" t="n">
        <f aca="false">COUNTIFS($H$5:$H$1624,H1145,$B$5:$B$1624,"&lt;&gt;"&amp;B1145)</f>
        <v>0</v>
      </c>
      <c r="L1145" s="1" t="str">
        <f aca="false">IF(I1145&gt;1,IF(K1145&gt;0,"Cross-hospital match","Same-hospital match"),"")</f>
        <v/>
      </c>
      <c r="M1145" s="52"/>
      <c r="N1145" s="52"/>
      <c r="O1145" s="1" t="n">
        <f aca="false">IF(M1145="Exclude (duplicate)",0,1)</f>
        <v>1</v>
      </c>
      <c r="P1145" s="1" t="str">
        <f aca="false">IF(AND(L1145&lt;&gt;"",M1145=""),"Needs decision","")</f>
        <v/>
      </c>
    </row>
    <row r="1146" customFormat="false" ht="15" hidden="false" customHeight="false" outlineLevel="0" collapsed="false">
      <c r="A1146" s="48" t="str">
        <f aca="false">COST!A1146</f>
        <v>WCH-0039</v>
      </c>
      <c r="B1146" s="48" t="str">
        <f aca="false">COST!B1146</f>
        <v>WCH</v>
      </c>
      <c r="C1146" s="48" t="str">
        <f aca="false">COST!D1146</f>
        <v>Mobile Health Screening Unit</v>
      </c>
      <c r="D1146" s="62" t="n">
        <f aca="false">COST!M1146</f>
        <v>45900</v>
      </c>
      <c r="E1146" s="48" t="str">
        <f aca="false">COST!P1146</f>
        <v>Community Health Worker</v>
      </c>
      <c r="F1146" s="63" t="n">
        <f aca="false">COST!R1146</f>
        <v>70.25</v>
      </c>
      <c r="G1146" s="48" t="str">
        <f aca="false">STACK!M1146</f>
        <v/>
      </c>
      <c r="H1146" s="1" t="str">
        <f aca="false">C1146&amp;"|"&amp;IF(ISNUMBER(D1146),TEXT(D1146,"yyyy-mm-dd"),"no date")&amp;"|"&amp;E1146&amp;"|"&amp;IF(ISNUMBER(F1146),TEXT(F1146,"0.00"),"blank")</f>
        <v>Mobile Health Screening Unit|2025-08-31|Community Health Worker|70.25</v>
      </c>
      <c r="I1146" s="1" t="n">
        <f aca="false">COUNTIF($H$5:$H$1624,H1146)</f>
        <v>1</v>
      </c>
      <c r="J1146" s="1" t="n">
        <f aca="false">COUNTIF($H$5:H1146,H1146)</f>
        <v>1</v>
      </c>
      <c r="K1146" s="1" t="n">
        <f aca="false">COUNTIFS($H$5:$H$1624,H1146,$B$5:$B$1624,"&lt;&gt;"&amp;B1146)</f>
        <v>0</v>
      </c>
      <c r="L1146" s="1" t="str">
        <f aca="false">IF(I1146&gt;1,IF(K1146&gt;0,"Cross-hospital match","Same-hospital match"),"")</f>
        <v/>
      </c>
      <c r="M1146" s="52"/>
      <c r="N1146" s="52"/>
      <c r="O1146" s="1" t="n">
        <f aca="false">IF(M1146="Exclude (duplicate)",0,1)</f>
        <v>1</v>
      </c>
      <c r="P1146" s="1" t="str">
        <f aca="false">IF(AND(L1146&lt;&gt;"",M1146=""),"Needs decision","")</f>
        <v/>
      </c>
    </row>
    <row r="1147" customFormat="false" ht="15" hidden="false" customHeight="false" outlineLevel="0" collapsed="false">
      <c r="A1147" s="48" t="str">
        <f aca="false">COST!A1147</f>
        <v>WCH-0040</v>
      </c>
      <c r="B1147" s="48" t="str">
        <f aca="false">COST!B1147</f>
        <v>WCH</v>
      </c>
      <c r="C1147" s="48" t="str">
        <f aca="false">COST!D1147</f>
        <v>Mobile Health Screening Unit</v>
      </c>
      <c r="D1147" s="62" t="n">
        <f aca="false">COST!M1147</f>
        <v>45900</v>
      </c>
      <c r="E1147" s="48" t="str">
        <f aca="false">COST!P1147</f>
        <v>Medical Assistant</v>
      </c>
      <c r="F1147" s="63" t="n">
        <f aca="false">COST!R1147</f>
        <v>69</v>
      </c>
      <c r="G1147" s="48" t="str">
        <f aca="false">STACK!M1147</f>
        <v/>
      </c>
      <c r="H1147" s="1" t="str">
        <f aca="false">C1147&amp;"|"&amp;IF(ISNUMBER(D1147),TEXT(D1147,"yyyy-mm-dd"),"no date")&amp;"|"&amp;E1147&amp;"|"&amp;IF(ISNUMBER(F1147),TEXT(F1147,"0.00"),"blank")</f>
        <v>Mobile Health Screening Unit|2025-08-31|Medical Assistant|69.00</v>
      </c>
      <c r="I1147" s="1" t="n">
        <f aca="false">COUNTIF($H$5:$H$1624,H1147)</f>
        <v>1</v>
      </c>
      <c r="J1147" s="1" t="n">
        <f aca="false">COUNTIF($H$5:H1147,H1147)</f>
        <v>1</v>
      </c>
      <c r="K1147" s="1" t="n">
        <f aca="false">COUNTIFS($H$5:$H$1624,H1147,$B$5:$B$1624,"&lt;&gt;"&amp;B1147)</f>
        <v>0</v>
      </c>
      <c r="L1147" s="1" t="str">
        <f aca="false">IF(I1147&gt;1,IF(K1147&gt;0,"Cross-hospital match","Same-hospital match"),"")</f>
        <v/>
      </c>
      <c r="M1147" s="52"/>
      <c r="N1147" s="52"/>
      <c r="O1147" s="1" t="n">
        <f aca="false">IF(M1147="Exclude (duplicate)",0,1)</f>
        <v>1</v>
      </c>
      <c r="P1147" s="1" t="str">
        <f aca="false">IF(AND(L1147&lt;&gt;"",M1147=""),"Needs decision","")</f>
        <v/>
      </c>
    </row>
    <row r="1148" customFormat="false" ht="15" hidden="false" customHeight="false" outlineLevel="0" collapsed="false">
      <c r="A1148" s="48" t="str">
        <f aca="false">COST!A1148</f>
        <v>WCH-0041</v>
      </c>
      <c r="B1148" s="48" t="str">
        <f aca="false">COST!B1148</f>
        <v>WCH</v>
      </c>
      <c r="C1148" s="48" t="str">
        <f aca="false">COST!D1148</f>
        <v>Mobile Health Screening Unit</v>
      </c>
      <c r="D1148" s="62" t="n">
        <f aca="false">COST!M1148</f>
        <v>45900</v>
      </c>
      <c r="E1148" s="48" t="str">
        <f aca="false">COST!P1148</f>
        <v>Registered Nurse</v>
      </c>
      <c r="F1148" s="63" t="n">
        <f aca="false">COST!R1148</f>
        <v>73.75</v>
      </c>
      <c r="G1148" s="48" t="str">
        <f aca="false">STACK!M1148</f>
        <v/>
      </c>
      <c r="H1148" s="1" t="str">
        <f aca="false">C1148&amp;"|"&amp;IF(ISNUMBER(D1148),TEXT(D1148,"yyyy-mm-dd"),"no date")&amp;"|"&amp;E1148&amp;"|"&amp;IF(ISNUMBER(F1148),TEXT(F1148,"0.00"),"blank")</f>
        <v>Mobile Health Screening Unit|2025-08-31|Registered Nurse|73.75</v>
      </c>
      <c r="I1148" s="1" t="n">
        <f aca="false">COUNTIF($H$5:$H$1624,H1148)</f>
        <v>1</v>
      </c>
      <c r="J1148" s="1" t="n">
        <f aca="false">COUNTIF($H$5:H1148,H1148)</f>
        <v>1</v>
      </c>
      <c r="K1148" s="1" t="n">
        <f aca="false">COUNTIFS($H$5:$H$1624,H1148,$B$5:$B$1624,"&lt;&gt;"&amp;B1148)</f>
        <v>0</v>
      </c>
      <c r="L1148" s="1" t="str">
        <f aca="false">IF(I1148&gt;1,IF(K1148&gt;0,"Cross-hospital match","Same-hospital match"),"")</f>
        <v/>
      </c>
      <c r="M1148" s="52"/>
      <c r="N1148" s="52"/>
      <c r="O1148" s="1" t="n">
        <f aca="false">IF(M1148="Exclude (duplicate)",0,1)</f>
        <v>1</v>
      </c>
      <c r="P1148" s="1" t="str">
        <f aca="false">IF(AND(L1148&lt;&gt;"",M1148=""),"Needs decision","")</f>
        <v/>
      </c>
    </row>
    <row r="1149" customFormat="false" ht="15" hidden="false" customHeight="false" outlineLevel="0" collapsed="false">
      <c r="A1149" s="48" t="str">
        <f aca="false">COST!A1149</f>
        <v>WCH-0042</v>
      </c>
      <c r="B1149" s="48" t="str">
        <f aca="false">COST!B1149</f>
        <v>WCH</v>
      </c>
      <c r="C1149" s="48" t="str">
        <f aca="false">COST!D1149</f>
        <v>Community Health Worker Outreach</v>
      </c>
      <c r="D1149" s="62" t="n">
        <f aca="false">COST!M1149</f>
        <v>45900</v>
      </c>
      <c r="E1149" s="48" t="str">
        <f aca="false">COST!P1149</f>
        <v>Community Health Worker</v>
      </c>
      <c r="F1149" s="63" t="n">
        <f aca="false">COST!R1149</f>
        <v>261</v>
      </c>
      <c r="G1149" s="48" t="str">
        <f aca="false">STACK!M1149</f>
        <v/>
      </c>
      <c r="H1149" s="1" t="str">
        <f aca="false">C1149&amp;"|"&amp;IF(ISNUMBER(D1149),TEXT(D1149,"yyyy-mm-dd"),"no date")&amp;"|"&amp;E1149&amp;"|"&amp;IF(ISNUMBER(F1149),TEXT(F1149,"0.00"),"blank")</f>
        <v>Community Health Worker Outreach|2025-08-31|Community Health Worker|261.00</v>
      </c>
      <c r="I1149" s="1" t="n">
        <f aca="false">COUNTIF($H$5:$H$1624,H1149)</f>
        <v>1</v>
      </c>
      <c r="J1149" s="1" t="n">
        <f aca="false">COUNTIF($H$5:H1149,H1149)</f>
        <v>1</v>
      </c>
      <c r="K1149" s="1" t="n">
        <f aca="false">COUNTIFS($H$5:$H$1624,H1149,$B$5:$B$1624,"&lt;&gt;"&amp;B1149)</f>
        <v>0</v>
      </c>
      <c r="L1149" s="1" t="str">
        <f aca="false">IF(I1149&gt;1,IF(K1149&gt;0,"Cross-hospital match","Same-hospital match"),"")</f>
        <v/>
      </c>
      <c r="M1149" s="52"/>
      <c r="N1149" s="52"/>
      <c r="O1149" s="1" t="n">
        <f aca="false">IF(M1149="Exclude (duplicate)",0,1)</f>
        <v>1</v>
      </c>
      <c r="P1149" s="1" t="str">
        <f aca="false">IF(AND(L1149&lt;&gt;"",M1149=""),"Needs decision","")</f>
        <v/>
      </c>
    </row>
    <row r="1150" customFormat="false" ht="15" hidden="false" customHeight="false" outlineLevel="0" collapsed="false">
      <c r="A1150" s="48" t="str">
        <f aca="false">COST!A1150</f>
        <v>WCH-0043</v>
      </c>
      <c r="B1150" s="48" t="str">
        <f aca="false">COST!B1150</f>
        <v>WCH</v>
      </c>
      <c r="C1150" s="48" t="str">
        <f aca="false">COST!D1150</f>
        <v>Community Health Worker Outreach</v>
      </c>
      <c r="D1150" s="62" t="n">
        <f aca="false">COST!M1150</f>
        <v>45900</v>
      </c>
      <c r="E1150" s="48" t="str">
        <f aca="false">COST!P1150</f>
        <v>Patient Navigator</v>
      </c>
      <c r="F1150" s="63" t="n">
        <f aca="false">COST!R1150</f>
        <v>117.5</v>
      </c>
      <c r="G1150" s="48" t="str">
        <f aca="false">STACK!M1150</f>
        <v/>
      </c>
      <c r="H1150" s="1" t="str">
        <f aca="false">C1150&amp;"|"&amp;IF(ISNUMBER(D1150),TEXT(D1150,"yyyy-mm-dd"),"no date")&amp;"|"&amp;E1150&amp;"|"&amp;IF(ISNUMBER(F1150),TEXT(F1150,"0.00"),"blank")</f>
        <v>Community Health Worker Outreach|2025-08-31|Patient Navigator|117.50</v>
      </c>
      <c r="I1150" s="1" t="n">
        <f aca="false">COUNTIF($H$5:$H$1624,H1150)</f>
        <v>1</v>
      </c>
      <c r="J1150" s="1" t="n">
        <f aca="false">COUNTIF($H$5:H1150,H1150)</f>
        <v>1</v>
      </c>
      <c r="K1150" s="1" t="n">
        <f aca="false">COUNTIFS($H$5:$H$1624,H1150,$B$5:$B$1624,"&lt;&gt;"&amp;B1150)</f>
        <v>0</v>
      </c>
      <c r="L1150" s="1" t="str">
        <f aca="false">IF(I1150&gt;1,IF(K1150&gt;0,"Cross-hospital match","Same-hospital match"),"")</f>
        <v/>
      </c>
      <c r="M1150" s="52"/>
      <c r="N1150" s="52"/>
      <c r="O1150" s="1" t="n">
        <f aca="false">IF(M1150="Exclude (duplicate)",0,1)</f>
        <v>1</v>
      </c>
      <c r="P1150" s="1" t="str">
        <f aca="false">IF(AND(L1150&lt;&gt;"",M1150=""),"Needs decision","")</f>
        <v/>
      </c>
    </row>
    <row r="1151" customFormat="false" ht="15" hidden="false" customHeight="false" outlineLevel="0" collapsed="false">
      <c r="A1151" s="48" t="str">
        <f aca="false">COST!A1151</f>
        <v>WCH-0044</v>
      </c>
      <c r="B1151" s="48" t="str">
        <f aca="false">COST!B1151</f>
        <v>WCH</v>
      </c>
      <c r="C1151" s="48" t="str">
        <f aca="false">COST!D1151</f>
        <v>Produce Prescription Program</v>
      </c>
      <c r="D1151" s="62" t="n">
        <f aca="false">COST!M1151</f>
        <v>45900</v>
      </c>
      <c r="E1151" s="48" t="str">
        <f aca="false">COST!P1151</f>
        <v>Community Health Worker</v>
      </c>
      <c r="F1151" s="63" t="n">
        <f aca="false">COST!R1151</f>
        <v>31.5</v>
      </c>
      <c r="G1151" s="48" t="str">
        <f aca="false">STACK!M1151</f>
        <v/>
      </c>
      <c r="H1151" s="1" t="str">
        <f aca="false">C1151&amp;"|"&amp;IF(ISNUMBER(D1151),TEXT(D1151,"yyyy-mm-dd"),"no date")&amp;"|"&amp;E1151&amp;"|"&amp;IF(ISNUMBER(F1151),TEXT(F1151,"0.00"),"blank")</f>
        <v>Produce Prescription Program|2025-08-31|Community Health Worker|31.50</v>
      </c>
      <c r="I1151" s="1" t="n">
        <f aca="false">COUNTIF($H$5:$H$1624,H1151)</f>
        <v>1</v>
      </c>
      <c r="J1151" s="1" t="n">
        <f aca="false">COUNTIF($H$5:H1151,H1151)</f>
        <v>1</v>
      </c>
      <c r="K1151" s="1" t="n">
        <f aca="false">COUNTIFS($H$5:$H$1624,H1151,$B$5:$B$1624,"&lt;&gt;"&amp;B1151)</f>
        <v>0</v>
      </c>
      <c r="L1151" s="1" t="str">
        <f aca="false">IF(I1151&gt;1,IF(K1151&gt;0,"Cross-hospital match","Same-hospital match"),"")</f>
        <v/>
      </c>
      <c r="M1151" s="52"/>
      <c r="N1151" s="52"/>
      <c r="O1151" s="1" t="n">
        <f aca="false">IF(M1151="Exclude (duplicate)",0,1)</f>
        <v>1</v>
      </c>
      <c r="P1151" s="1" t="str">
        <f aca="false">IF(AND(L1151&lt;&gt;"",M1151=""),"Needs decision","")</f>
        <v/>
      </c>
    </row>
    <row r="1152" customFormat="false" ht="15" hidden="false" customHeight="false" outlineLevel="0" collapsed="false">
      <c r="A1152" s="48" t="str">
        <f aca="false">COST!A1152</f>
        <v>WCH-0045</v>
      </c>
      <c r="B1152" s="48" t="str">
        <f aca="false">COST!B1152</f>
        <v>WCH</v>
      </c>
      <c r="C1152" s="48" t="str">
        <f aca="false">COST!D1152</f>
        <v>Produce Prescription Program</v>
      </c>
      <c r="D1152" s="62" t="n">
        <f aca="false">COST!M1152</f>
        <v>45900</v>
      </c>
      <c r="E1152" s="48" t="str">
        <f aca="false">COST!P1152</f>
        <v>Registered Dietitian</v>
      </c>
      <c r="F1152" s="63" t="n">
        <f aca="false">COST!R1152</f>
        <v>16</v>
      </c>
      <c r="G1152" s="48" t="str">
        <f aca="false">STACK!M1152</f>
        <v/>
      </c>
      <c r="H1152" s="1" t="str">
        <f aca="false">C1152&amp;"|"&amp;IF(ISNUMBER(D1152),TEXT(D1152,"yyyy-mm-dd"),"no date")&amp;"|"&amp;E1152&amp;"|"&amp;IF(ISNUMBER(F1152),TEXT(F1152,"0.00"),"blank")</f>
        <v>Produce Prescription Program|2025-08-31|Registered Dietitian|16.00</v>
      </c>
      <c r="I1152" s="1" t="n">
        <f aca="false">COUNTIF($H$5:$H$1624,H1152)</f>
        <v>1</v>
      </c>
      <c r="J1152" s="1" t="n">
        <f aca="false">COUNTIF($H$5:H1152,H1152)</f>
        <v>1</v>
      </c>
      <c r="K1152" s="1" t="n">
        <f aca="false">COUNTIFS($H$5:$H$1624,H1152,$B$5:$B$1624,"&lt;&gt;"&amp;B1152)</f>
        <v>0</v>
      </c>
      <c r="L1152" s="1" t="str">
        <f aca="false">IF(I1152&gt;1,IF(K1152&gt;0,"Cross-hospital match","Same-hospital match"),"")</f>
        <v/>
      </c>
      <c r="M1152" s="52"/>
      <c r="N1152" s="52"/>
      <c r="O1152" s="1" t="n">
        <f aca="false">IF(M1152="Exclude (duplicate)",0,1)</f>
        <v>1</v>
      </c>
      <c r="P1152" s="1" t="str">
        <f aca="false">IF(AND(L1152&lt;&gt;"",M1152=""),"Needs decision","")</f>
        <v/>
      </c>
    </row>
    <row r="1153" customFormat="false" ht="15" hidden="false" customHeight="false" outlineLevel="0" collapsed="false">
      <c r="A1153" s="48" t="str">
        <f aca="false">COST!A1153</f>
        <v>WCH-0046</v>
      </c>
      <c r="B1153" s="48" t="str">
        <f aca="false">COST!B1153</f>
        <v>WCH</v>
      </c>
      <c r="C1153" s="48" t="str">
        <f aca="false">COST!D1153</f>
        <v>Community Benefit Program Administration</v>
      </c>
      <c r="D1153" s="62" t="n">
        <f aca="false">COST!M1153</f>
        <v>45900</v>
      </c>
      <c r="E1153" s="48" t="str">
        <f aca="false">COST!P1153</f>
        <v>Administrative Assistant</v>
      </c>
      <c r="F1153" s="63" t="n">
        <f aca="false">COST!R1153</f>
        <v>30.75</v>
      </c>
      <c r="G1153" s="48" t="str">
        <f aca="false">STACK!M1153</f>
        <v/>
      </c>
      <c r="H1153" s="1" t="str">
        <f aca="false">C1153&amp;"|"&amp;IF(ISNUMBER(D1153),TEXT(D1153,"yyyy-mm-dd"),"no date")&amp;"|"&amp;E1153&amp;"|"&amp;IF(ISNUMBER(F1153),TEXT(F1153,"0.00"),"blank")</f>
        <v>Community Benefit Program Administration|2025-08-31|Administrative Assistant|30.75</v>
      </c>
      <c r="I1153" s="1" t="n">
        <f aca="false">COUNTIF($H$5:$H$1624,H1153)</f>
        <v>1</v>
      </c>
      <c r="J1153" s="1" t="n">
        <f aca="false">COUNTIF($H$5:H1153,H1153)</f>
        <v>1</v>
      </c>
      <c r="K1153" s="1" t="n">
        <f aca="false">COUNTIFS($H$5:$H$1624,H1153,$B$5:$B$1624,"&lt;&gt;"&amp;B1153)</f>
        <v>0</v>
      </c>
      <c r="L1153" s="1" t="str">
        <f aca="false">IF(I1153&gt;1,IF(K1153&gt;0,"Cross-hospital match","Same-hospital match"),"")</f>
        <v/>
      </c>
      <c r="M1153" s="52"/>
      <c r="N1153" s="52"/>
      <c r="O1153" s="1" t="n">
        <f aca="false">IF(M1153="Exclude (duplicate)",0,1)</f>
        <v>1</v>
      </c>
      <c r="P1153" s="1" t="str">
        <f aca="false">IF(AND(L1153&lt;&gt;"",M1153=""),"Needs decision","")</f>
        <v/>
      </c>
    </row>
    <row r="1154" customFormat="false" ht="15" hidden="false" customHeight="false" outlineLevel="0" collapsed="false">
      <c r="A1154" s="48" t="str">
        <f aca="false">COST!A1154</f>
        <v>WCH-0047</v>
      </c>
      <c r="B1154" s="48" t="str">
        <f aca="false">COST!B1154</f>
        <v>WCH</v>
      </c>
      <c r="C1154" s="48" t="str">
        <f aca="false">COST!D1154</f>
        <v>Community Benefit Program Administration</v>
      </c>
      <c r="D1154" s="62" t="n">
        <f aca="false">COST!M1154</f>
        <v>45900</v>
      </c>
      <c r="E1154" s="48" t="str">
        <f aca="false">COST!P1154</f>
        <v>Community Benefit Manager</v>
      </c>
      <c r="F1154" s="63" t="n">
        <f aca="false">COST!R1154</f>
        <v>53.5</v>
      </c>
      <c r="G1154" s="48" t="str">
        <f aca="false">STACK!M1154</f>
        <v/>
      </c>
      <c r="H1154" s="1" t="str">
        <f aca="false">C1154&amp;"|"&amp;IF(ISNUMBER(D1154),TEXT(D1154,"yyyy-mm-dd"),"no date")&amp;"|"&amp;E1154&amp;"|"&amp;IF(ISNUMBER(F1154),TEXT(F1154,"0.00"),"blank")</f>
        <v>Community Benefit Program Administration|2025-08-31|Community Benefit Manager|53.50</v>
      </c>
      <c r="I1154" s="1" t="n">
        <f aca="false">COUNTIF($H$5:$H$1624,H1154)</f>
        <v>1</v>
      </c>
      <c r="J1154" s="1" t="n">
        <f aca="false">COUNTIF($H$5:H1154,H1154)</f>
        <v>1</v>
      </c>
      <c r="K1154" s="1" t="n">
        <f aca="false">COUNTIFS($H$5:$H$1624,H1154,$B$5:$B$1624,"&lt;&gt;"&amp;B1154)</f>
        <v>0</v>
      </c>
      <c r="L1154" s="1" t="str">
        <f aca="false">IF(I1154&gt;1,IF(K1154&gt;0,"Cross-hospital match","Same-hospital match"),"")</f>
        <v/>
      </c>
      <c r="M1154" s="52"/>
      <c r="N1154" s="52"/>
      <c r="O1154" s="1" t="n">
        <f aca="false">IF(M1154="Exclude (duplicate)",0,1)</f>
        <v>1</v>
      </c>
      <c r="P1154" s="1" t="str">
        <f aca="false">IF(AND(L1154&lt;&gt;"",M1154=""),"Needs decision","")</f>
        <v/>
      </c>
    </row>
    <row r="1155" customFormat="false" ht="15" hidden="false" customHeight="false" outlineLevel="0" collapsed="false">
      <c r="A1155" s="48" t="str">
        <f aca="false">COST!A1155</f>
        <v>WCH-0048</v>
      </c>
      <c r="B1155" s="48" t="str">
        <f aca="false">COST!B1155</f>
        <v>WCH</v>
      </c>
      <c r="C1155" s="48" t="str">
        <f aca="false">COST!D1155</f>
        <v>Community Paramedic Home Visits</v>
      </c>
      <c r="D1155" s="62" t="n">
        <f aca="false">COST!M1155</f>
        <v>45900</v>
      </c>
      <c r="E1155" s="48" t="str">
        <f aca="false">COST!P1155</f>
        <v>Paramedic</v>
      </c>
      <c r="F1155" s="63" t="n">
        <f aca="false">COST!R1155</f>
        <v>83.75</v>
      </c>
      <c r="G1155" s="48" t="str">
        <f aca="false">STACK!M1155</f>
        <v/>
      </c>
      <c r="H1155" s="1" t="str">
        <f aca="false">C1155&amp;"|"&amp;IF(ISNUMBER(D1155),TEXT(D1155,"yyyy-mm-dd"),"no date")&amp;"|"&amp;E1155&amp;"|"&amp;IF(ISNUMBER(F1155),TEXT(F1155,"0.00"),"blank")</f>
        <v>Community Paramedic Home Visits|2025-08-31|Paramedic|83.75</v>
      </c>
      <c r="I1155" s="1" t="n">
        <f aca="false">COUNTIF($H$5:$H$1624,H1155)</f>
        <v>1</v>
      </c>
      <c r="J1155" s="1" t="n">
        <f aca="false">COUNTIF($H$5:H1155,H1155)</f>
        <v>1</v>
      </c>
      <c r="K1155" s="1" t="n">
        <f aca="false">COUNTIFS($H$5:$H$1624,H1155,$B$5:$B$1624,"&lt;&gt;"&amp;B1155)</f>
        <v>0</v>
      </c>
      <c r="L1155" s="1" t="str">
        <f aca="false">IF(I1155&gt;1,IF(K1155&gt;0,"Cross-hospital match","Same-hospital match"),"")</f>
        <v/>
      </c>
      <c r="M1155" s="52"/>
      <c r="N1155" s="52"/>
      <c r="O1155" s="1" t="n">
        <f aca="false">IF(M1155="Exclude (duplicate)",0,1)</f>
        <v>1</v>
      </c>
      <c r="P1155" s="1" t="str">
        <f aca="false">IF(AND(L1155&lt;&gt;"",M1155=""),"Needs decision","")</f>
        <v/>
      </c>
    </row>
    <row r="1156" customFormat="false" ht="15" hidden="false" customHeight="false" outlineLevel="0" collapsed="false">
      <c r="A1156" s="48" t="str">
        <f aca="false">COST!A1156</f>
        <v>WCH-0049</v>
      </c>
      <c r="B1156" s="48" t="str">
        <f aca="false">COST!B1156</f>
        <v>WCH</v>
      </c>
      <c r="C1156" s="48" t="str">
        <f aca="false">COST!D1156</f>
        <v>Nursing Student Clinical Rotations</v>
      </c>
      <c r="D1156" s="62" t="n">
        <f aca="false">COST!M1156</f>
        <v>45900</v>
      </c>
      <c r="E1156" s="48" t="str">
        <f aca="false">COST!P1156</f>
        <v>Clinical Nurse Educator</v>
      </c>
      <c r="F1156" s="63" t="n">
        <f aca="false">COST!R1156</f>
        <v>68.25</v>
      </c>
      <c r="G1156" s="48" t="str">
        <f aca="false">STACK!M1156</f>
        <v/>
      </c>
      <c r="H1156" s="1" t="str">
        <f aca="false">C1156&amp;"|"&amp;IF(ISNUMBER(D1156),TEXT(D1156,"yyyy-mm-dd"),"no date")&amp;"|"&amp;E1156&amp;"|"&amp;IF(ISNUMBER(F1156),TEXT(F1156,"0.00"),"blank")</f>
        <v>Nursing Student Clinical Rotations|2025-08-31|Clinical Nurse Educator|68.25</v>
      </c>
      <c r="I1156" s="1" t="n">
        <f aca="false">COUNTIF($H$5:$H$1624,H1156)</f>
        <v>1</v>
      </c>
      <c r="J1156" s="1" t="n">
        <f aca="false">COUNTIF($H$5:H1156,H1156)</f>
        <v>1</v>
      </c>
      <c r="K1156" s="1" t="n">
        <f aca="false">COUNTIFS($H$5:$H$1624,H1156,$B$5:$B$1624,"&lt;&gt;"&amp;B1156)</f>
        <v>0</v>
      </c>
      <c r="L1156" s="1" t="str">
        <f aca="false">IF(I1156&gt;1,IF(K1156&gt;0,"Cross-hospital match","Same-hospital match"),"")</f>
        <v/>
      </c>
      <c r="M1156" s="52"/>
      <c r="N1156" s="52"/>
      <c r="O1156" s="1" t="n">
        <f aca="false">IF(M1156="Exclude (duplicate)",0,1)</f>
        <v>1</v>
      </c>
      <c r="P1156" s="1" t="str">
        <f aca="false">IF(AND(L1156&lt;&gt;"",M1156=""),"Needs decision","")</f>
        <v/>
      </c>
    </row>
    <row r="1157" customFormat="false" ht="15" hidden="false" customHeight="false" outlineLevel="0" collapsed="false">
      <c r="A1157" s="48" t="str">
        <f aca="false">COST!A1157</f>
        <v>WCH-0050</v>
      </c>
      <c r="B1157" s="48" t="str">
        <f aca="false">COST!B1157</f>
        <v>WCH</v>
      </c>
      <c r="C1157" s="48" t="str">
        <f aca="false">COST!D1157</f>
        <v>Nursing Student Clinical Rotations</v>
      </c>
      <c r="D1157" s="62" t="n">
        <f aca="false">COST!M1157</f>
        <v>45900</v>
      </c>
      <c r="E1157" s="48" t="str">
        <f aca="false">COST!P1157</f>
        <v>Registered Nurse</v>
      </c>
      <c r="F1157" s="63" t="n">
        <f aca="false">COST!R1157</f>
        <v>181</v>
      </c>
      <c r="G1157" s="48" t="str">
        <f aca="false">STACK!M1157</f>
        <v/>
      </c>
      <c r="H1157" s="1" t="str">
        <f aca="false">C1157&amp;"|"&amp;IF(ISNUMBER(D1157),TEXT(D1157,"yyyy-mm-dd"),"no date")&amp;"|"&amp;E1157&amp;"|"&amp;IF(ISNUMBER(F1157),TEXT(F1157,"0.00"),"blank")</f>
        <v>Nursing Student Clinical Rotations|2025-08-31|Registered Nurse|181.00</v>
      </c>
      <c r="I1157" s="1" t="n">
        <f aca="false">COUNTIF($H$5:$H$1624,H1157)</f>
        <v>1</v>
      </c>
      <c r="J1157" s="1" t="n">
        <f aca="false">COUNTIF($H$5:H1157,H1157)</f>
        <v>1</v>
      </c>
      <c r="K1157" s="1" t="n">
        <f aca="false">COUNTIFS($H$5:$H$1624,H1157,$B$5:$B$1624,"&lt;&gt;"&amp;B1157)</f>
        <v>0</v>
      </c>
      <c r="L1157" s="1" t="str">
        <f aca="false">IF(I1157&gt;1,IF(K1157&gt;0,"Cross-hospital match","Same-hospital match"),"")</f>
        <v/>
      </c>
      <c r="M1157" s="52"/>
      <c r="N1157" s="52"/>
      <c r="O1157" s="1" t="n">
        <f aca="false">IF(M1157="Exclude (duplicate)",0,1)</f>
        <v>1</v>
      </c>
      <c r="P1157" s="1" t="str">
        <f aca="false">IF(AND(L1157&lt;&gt;"",M1157=""),"Needs decision","")</f>
        <v/>
      </c>
    </row>
    <row r="1158" customFormat="false" ht="15" hidden="false" customHeight="false" outlineLevel="0" collapsed="false">
      <c r="A1158" s="48" t="str">
        <f aca="false">COST!A1158</f>
        <v>WCH-0051</v>
      </c>
      <c r="B1158" s="48" t="str">
        <f aca="false">COST!B1158</f>
        <v>WCH</v>
      </c>
      <c r="C1158" s="48" t="str">
        <f aca="false">COST!D1158</f>
        <v>Paramedic Student Field Training</v>
      </c>
      <c r="D1158" s="62" t="n">
        <f aca="false">COST!M1158</f>
        <v>45900</v>
      </c>
      <c r="E1158" s="48" t="str">
        <f aca="false">COST!P1158</f>
        <v>Paramedic</v>
      </c>
      <c r="F1158" s="63" t="n">
        <f aca="false">COST!R1158</f>
        <v>50.5</v>
      </c>
      <c r="G1158" s="48" t="str">
        <f aca="false">STACK!M1158</f>
        <v/>
      </c>
      <c r="H1158" s="1" t="str">
        <f aca="false">C1158&amp;"|"&amp;IF(ISNUMBER(D1158),TEXT(D1158,"yyyy-mm-dd"),"no date")&amp;"|"&amp;E1158&amp;"|"&amp;IF(ISNUMBER(F1158),TEXT(F1158,"0.00"),"blank")</f>
        <v>Paramedic Student Field Training|2025-08-31|Paramedic|50.50</v>
      </c>
      <c r="I1158" s="1" t="n">
        <f aca="false">COUNTIF($H$5:$H$1624,H1158)</f>
        <v>1</v>
      </c>
      <c r="J1158" s="1" t="n">
        <f aca="false">COUNTIF($H$5:H1158,H1158)</f>
        <v>1</v>
      </c>
      <c r="K1158" s="1" t="n">
        <f aca="false">COUNTIFS($H$5:$H$1624,H1158,$B$5:$B$1624,"&lt;&gt;"&amp;B1158)</f>
        <v>0</v>
      </c>
      <c r="L1158" s="1" t="str">
        <f aca="false">IF(I1158&gt;1,IF(K1158&gt;0,"Cross-hospital match","Same-hospital match"),"")</f>
        <v/>
      </c>
      <c r="M1158" s="52"/>
      <c r="N1158" s="52"/>
      <c r="O1158" s="1" t="n">
        <f aca="false">IF(M1158="Exclude (duplicate)",0,1)</f>
        <v>1</v>
      </c>
      <c r="P1158" s="1" t="str">
        <f aca="false">IF(AND(L1158&lt;&gt;"",M1158=""),"Needs decision","")</f>
        <v/>
      </c>
    </row>
    <row r="1159" customFormat="false" ht="15" hidden="false" customHeight="false" outlineLevel="0" collapsed="false">
      <c r="A1159" s="48" t="str">
        <f aca="false">COST!A1159</f>
        <v>WCH-0052</v>
      </c>
      <c r="B1159" s="48" t="str">
        <f aca="false">COST!B1159</f>
        <v>WCH</v>
      </c>
      <c r="C1159" s="48" t="str">
        <f aca="false">COST!D1159</f>
        <v>Rural Maternal Outcomes Study</v>
      </c>
      <c r="D1159" s="62" t="n">
        <f aca="false">COST!M1159</f>
        <v>45900</v>
      </c>
      <c r="E1159" s="48" t="str">
        <f aca="false">COST!P1159</f>
        <v>Data Analyst</v>
      </c>
      <c r="F1159" s="63" t="n">
        <f aca="false">COST!R1159</f>
        <v>11.5</v>
      </c>
      <c r="G1159" s="48" t="str">
        <f aca="false">STACK!M1159</f>
        <v/>
      </c>
      <c r="H1159" s="1" t="str">
        <f aca="false">C1159&amp;"|"&amp;IF(ISNUMBER(D1159),TEXT(D1159,"yyyy-mm-dd"),"no date")&amp;"|"&amp;E1159&amp;"|"&amp;IF(ISNUMBER(F1159),TEXT(F1159,"0.00"),"blank")</f>
        <v>Rural Maternal Outcomes Study|2025-08-31|Data Analyst|11.50</v>
      </c>
      <c r="I1159" s="1" t="n">
        <f aca="false">COUNTIF($H$5:$H$1624,H1159)</f>
        <v>1</v>
      </c>
      <c r="J1159" s="1" t="n">
        <f aca="false">COUNTIF($H$5:H1159,H1159)</f>
        <v>1</v>
      </c>
      <c r="K1159" s="1" t="n">
        <f aca="false">COUNTIFS($H$5:$H$1624,H1159,$B$5:$B$1624,"&lt;&gt;"&amp;B1159)</f>
        <v>0</v>
      </c>
      <c r="L1159" s="1" t="str">
        <f aca="false">IF(I1159&gt;1,IF(K1159&gt;0,"Cross-hospital match","Same-hospital match"),"")</f>
        <v/>
      </c>
      <c r="M1159" s="52"/>
      <c r="N1159" s="52"/>
      <c r="O1159" s="1" t="n">
        <f aca="false">IF(M1159="Exclude (duplicate)",0,1)</f>
        <v>1</v>
      </c>
      <c r="P1159" s="1" t="str">
        <f aca="false">IF(AND(L1159&lt;&gt;"",M1159=""),"Needs decision","")</f>
        <v/>
      </c>
    </row>
    <row r="1160" customFormat="false" ht="15" hidden="false" customHeight="false" outlineLevel="0" collapsed="false">
      <c r="A1160" s="48" t="str">
        <f aca="false">COST!A1160</f>
        <v>WCH-0053</v>
      </c>
      <c r="B1160" s="48" t="str">
        <f aca="false">COST!B1160</f>
        <v>WCH</v>
      </c>
      <c r="C1160" s="48" t="str">
        <f aca="false">COST!D1160</f>
        <v>Rural Maternal Outcomes Study</v>
      </c>
      <c r="D1160" s="62" t="n">
        <f aca="false">COST!M1160</f>
        <v>45900</v>
      </c>
      <c r="E1160" s="48" t="str">
        <f aca="false">COST!P1160</f>
        <v>Research Coordinator</v>
      </c>
      <c r="F1160" s="63" t="n">
        <f aca="false">COST!R1160</f>
        <v>51.25</v>
      </c>
      <c r="G1160" s="48" t="str">
        <f aca="false">STACK!M1160</f>
        <v/>
      </c>
      <c r="H1160" s="1" t="str">
        <f aca="false">C1160&amp;"|"&amp;IF(ISNUMBER(D1160),TEXT(D1160,"yyyy-mm-dd"),"no date")&amp;"|"&amp;E1160&amp;"|"&amp;IF(ISNUMBER(F1160),TEXT(F1160,"0.00"),"blank")</f>
        <v>Rural Maternal Outcomes Study|2025-08-31|Research Coordinator|51.25</v>
      </c>
      <c r="I1160" s="1" t="n">
        <f aca="false">COUNTIF($H$5:$H$1624,H1160)</f>
        <v>1</v>
      </c>
      <c r="J1160" s="1" t="n">
        <f aca="false">COUNTIF($H$5:H1160,H1160)</f>
        <v>1</v>
      </c>
      <c r="K1160" s="1" t="n">
        <f aca="false">COUNTIFS($H$5:$H$1624,H1160,$B$5:$B$1624,"&lt;&gt;"&amp;B1160)</f>
        <v>0</v>
      </c>
      <c r="L1160" s="1" t="str">
        <f aca="false">IF(I1160&gt;1,IF(K1160&gt;0,"Cross-hospital match","Same-hospital match"),"")</f>
        <v/>
      </c>
      <c r="M1160" s="52"/>
      <c r="N1160" s="52"/>
      <c r="O1160" s="1" t="n">
        <f aca="false">IF(M1160="Exclude (duplicate)",0,1)</f>
        <v>1</v>
      </c>
      <c r="P1160" s="1" t="str">
        <f aca="false">IF(AND(L1160&lt;&gt;"",M1160=""),"Needs decision","")</f>
        <v/>
      </c>
    </row>
    <row r="1161" customFormat="false" ht="15" hidden="false" customHeight="false" outlineLevel="0" collapsed="false">
      <c r="A1161" s="48" t="str">
        <f aca="false">COST!A1161</f>
        <v>WCH-0054</v>
      </c>
      <c r="B1161" s="48" t="str">
        <f aca="false">COST!B1161</f>
        <v>WCH</v>
      </c>
      <c r="C1161" s="48" t="str">
        <f aca="false">COST!D1161</f>
        <v>Regional Health Coalition</v>
      </c>
      <c r="D1161" s="62" t="n">
        <f aca="false">COST!M1161</f>
        <v>45902</v>
      </c>
      <c r="E1161" s="48" t="str">
        <f aca="false">COST!P1161</f>
        <v>Community Benefit Manager</v>
      </c>
      <c r="F1161" s="63" t="n">
        <f aca="false">COST!R1161</f>
        <v>2</v>
      </c>
      <c r="G1161" s="48" t="str">
        <f aca="false">STACK!M1161</f>
        <v/>
      </c>
      <c r="H1161" s="1" t="str">
        <f aca="false">C1161&amp;"|"&amp;IF(ISNUMBER(D1161),TEXT(D1161,"yyyy-mm-dd"),"no date")&amp;"|"&amp;E1161&amp;"|"&amp;IF(ISNUMBER(F1161),TEXT(F1161,"0.00"),"blank")</f>
        <v>Regional Health Coalition|2025-09-02|Community Benefit Manager|2.00</v>
      </c>
      <c r="I1161" s="1" t="n">
        <f aca="false">COUNTIF($H$5:$H$1624,H1161)</f>
        <v>1</v>
      </c>
      <c r="J1161" s="1" t="n">
        <f aca="false">COUNTIF($H$5:H1161,H1161)</f>
        <v>1</v>
      </c>
      <c r="K1161" s="1" t="n">
        <f aca="false">COUNTIFS($H$5:$H$1624,H1161,$B$5:$B$1624,"&lt;&gt;"&amp;B1161)</f>
        <v>0</v>
      </c>
      <c r="L1161" s="1" t="str">
        <f aca="false">IF(I1161&gt;1,IF(K1161&gt;0,"Cross-hospital match","Same-hospital match"),"")</f>
        <v/>
      </c>
      <c r="M1161" s="52"/>
      <c r="N1161" s="52"/>
      <c r="O1161" s="1" t="n">
        <f aca="false">IF(M1161="Exclude (duplicate)",0,1)</f>
        <v>1</v>
      </c>
      <c r="P1161" s="1" t="str">
        <f aca="false">IF(AND(L1161&lt;&gt;"",M1161=""),"Needs decision","")</f>
        <v/>
      </c>
    </row>
    <row r="1162" customFormat="false" ht="15" hidden="false" customHeight="false" outlineLevel="0" collapsed="false">
      <c r="A1162" s="48" t="str">
        <f aca="false">COST!A1162</f>
        <v>WCH-0055</v>
      </c>
      <c r="B1162" s="48" t="str">
        <f aca="false">COST!B1162</f>
        <v>WCH</v>
      </c>
      <c r="C1162" s="48" t="str">
        <f aca="false">COST!D1162</f>
        <v>Regional Health Coalition</v>
      </c>
      <c r="D1162" s="62" t="n">
        <f aca="false">COST!M1162</f>
        <v>45902</v>
      </c>
      <c r="E1162" s="48" t="str">
        <f aca="false">COST!P1162</f>
        <v>Director</v>
      </c>
      <c r="F1162" s="63" t="n">
        <f aca="false">COST!R1162</f>
        <v>3</v>
      </c>
      <c r="G1162" s="48" t="str">
        <f aca="false">STACK!M1162</f>
        <v/>
      </c>
      <c r="H1162" s="1" t="str">
        <f aca="false">C1162&amp;"|"&amp;IF(ISNUMBER(D1162),TEXT(D1162,"yyyy-mm-dd"),"no date")&amp;"|"&amp;E1162&amp;"|"&amp;IF(ISNUMBER(F1162),TEXT(F1162,"0.00"),"blank")</f>
        <v>Regional Health Coalition|2025-09-02|Director|3.00</v>
      </c>
      <c r="I1162" s="1" t="n">
        <f aca="false">COUNTIF($H$5:$H$1624,H1162)</f>
        <v>1</v>
      </c>
      <c r="J1162" s="1" t="n">
        <f aca="false">COUNTIF($H$5:H1162,H1162)</f>
        <v>1</v>
      </c>
      <c r="K1162" s="1" t="n">
        <f aca="false">COUNTIFS($H$5:$H$1624,H1162,$B$5:$B$1624,"&lt;&gt;"&amp;B1162)</f>
        <v>0</v>
      </c>
      <c r="L1162" s="1" t="str">
        <f aca="false">IF(I1162&gt;1,IF(K1162&gt;0,"Cross-hospital match","Same-hospital match"),"")</f>
        <v/>
      </c>
      <c r="M1162" s="52"/>
      <c r="N1162" s="52"/>
      <c r="O1162" s="1" t="n">
        <f aca="false">IF(M1162="Exclude (duplicate)",0,1)</f>
        <v>1</v>
      </c>
      <c r="P1162" s="1" t="str">
        <f aca="false">IF(AND(L1162&lt;&gt;"",M1162=""),"Needs decision","")</f>
        <v/>
      </c>
    </row>
    <row r="1163" customFormat="false" ht="15" hidden="false" customHeight="false" outlineLevel="0" collapsed="false">
      <c r="A1163" s="48" t="str">
        <f aca="false">COST!A1163</f>
        <v>WCH-0056</v>
      </c>
      <c r="B1163" s="48" t="str">
        <f aca="false">COST!B1163</f>
        <v>WCH</v>
      </c>
      <c r="C1163" s="48" t="str">
        <f aca="false">COST!D1163</f>
        <v>Regional Health Coalition</v>
      </c>
      <c r="D1163" s="62" t="n">
        <f aca="false">COST!M1163</f>
        <v>45903</v>
      </c>
      <c r="E1163" s="48" t="str">
        <f aca="false">COST!P1163</f>
        <v>Community Benefit Manager</v>
      </c>
      <c r="F1163" s="63" t="n">
        <f aca="false">COST!R1163</f>
        <v>2.75</v>
      </c>
      <c r="G1163" s="48" t="str">
        <f aca="false">STACK!M1163</f>
        <v/>
      </c>
      <c r="H1163" s="1" t="str">
        <f aca="false">C1163&amp;"|"&amp;IF(ISNUMBER(D1163),TEXT(D1163,"yyyy-mm-dd"),"no date")&amp;"|"&amp;E1163&amp;"|"&amp;IF(ISNUMBER(F1163),TEXT(F1163,"0.00"),"blank")</f>
        <v>Regional Health Coalition|2025-09-03|Community Benefit Manager|2.75</v>
      </c>
      <c r="I1163" s="1" t="n">
        <f aca="false">COUNTIF($H$5:$H$1624,H1163)</f>
        <v>1</v>
      </c>
      <c r="J1163" s="1" t="n">
        <f aca="false">COUNTIF($H$5:H1163,H1163)</f>
        <v>1</v>
      </c>
      <c r="K1163" s="1" t="n">
        <f aca="false">COUNTIFS($H$5:$H$1624,H1163,$B$5:$B$1624,"&lt;&gt;"&amp;B1163)</f>
        <v>0</v>
      </c>
      <c r="L1163" s="1" t="str">
        <f aca="false">IF(I1163&gt;1,IF(K1163&gt;0,"Cross-hospital match","Same-hospital match"),"")</f>
        <v/>
      </c>
      <c r="M1163" s="52"/>
      <c r="N1163" s="52"/>
      <c r="O1163" s="1" t="n">
        <f aca="false">IF(M1163="Exclude (duplicate)",0,1)</f>
        <v>1</v>
      </c>
      <c r="P1163" s="1" t="str">
        <f aca="false">IF(AND(L1163&lt;&gt;"",M1163=""),"Needs decision","")</f>
        <v/>
      </c>
    </row>
    <row r="1164" customFormat="false" ht="15" hidden="false" customHeight="false" outlineLevel="0" collapsed="false">
      <c r="A1164" s="48" t="str">
        <f aca="false">COST!A1164</f>
        <v>WCH-0057</v>
      </c>
      <c r="B1164" s="48" t="str">
        <f aca="false">COST!B1164</f>
        <v>WCH</v>
      </c>
      <c r="C1164" s="48" t="str">
        <f aca="false">COST!D1164</f>
        <v>Regional Health Coalition</v>
      </c>
      <c r="D1164" s="62" t="n">
        <f aca="false">COST!M1164</f>
        <v>45903</v>
      </c>
      <c r="E1164" s="48" t="str">
        <f aca="false">COST!P1164</f>
        <v>Director</v>
      </c>
      <c r="F1164" s="63" t="n">
        <f aca="false">COST!R1164</f>
        <v>2.75</v>
      </c>
      <c r="G1164" s="48" t="str">
        <f aca="false">STACK!M1164</f>
        <v/>
      </c>
      <c r="H1164" s="1" t="str">
        <f aca="false">C1164&amp;"|"&amp;IF(ISNUMBER(D1164),TEXT(D1164,"yyyy-mm-dd"),"no date")&amp;"|"&amp;E1164&amp;"|"&amp;IF(ISNUMBER(F1164),TEXT(F1164,"0.00"),"blank")</f>
        <v>Regional Health Coalition|2025-09-03|Director|2.75</v>
      </c>
      <c r="I1164" s="1" t="n">
        <f aca="false">COUNTIF($H$5:$H$1624,H1164)</f>
        <v>1</v>
      </c>
      <c r="J1164" s="1" t="n">
        <f aca="false">COUNTIF($H$5:H1164,H1164)</f>
        <v>1</v>
      </c>
      <c r="K1164" s="1" t="n">
        <f aca="false">COUNTIFS($H$5:$H$1624,H1164,$B$5:$B$1624,"&lt;&gt;"&amp;B1164)</f>
        <v>0</v>
      </c>
      <c r="L1164" s="1" t="str">
        <f aca="false">IF(I1164&gt;1,IF(K1164&gt;0,"Cross-hospital match","Same-hospital match"),"")</f>
        <v/>
      </c>
      <c r="M1164" s="52"/>
      <c r="N1164" s="52"/>
      <c r="O1164" s="1" t="n">
        <f aca="false">IF(M1164="Exclude (duplicate)",0,1)</f>
        <v>1</v>
      </c>
      <c r="P1164" s="1" t="str">
        <f aca="false">IF(AND(L1164&lt;&gt;"",M1164=""),"Needs decision","")</f>
        <v/>
      </c>
    </row>
    <row r="1165" customFormat="false" ht="15" hidden="false" customHeight="false" outlineLevel="0" collapsed="false">
      <c r="A1165" s="48" t="str">
        <f aca="false">COST!A1165</f>
        <v>WCH-0058</v>
      </c>
      <c r="B1165" s="48" t="str">
        <f aca="false">COST!B1165</f>
        <v>WCH</v>
      </c>
      <c r="C1165" s="48" t="str">
        <f aca="false">COST!D1165</f>
        <v>Diabetes Prevention Classes</v>
      </c>
      <c r="D1165" s="62" t="n">
        <f aca="false">COST!M1165</f>
        <v>45917</v>
      </c>
      <c r="E1165" s="48" t="str">
        <f aca="false">COST!P1165</f>
        <v>Health Educator</v>
      </c>
      <c r="F1165" s="63" t="n">
        <f aca="false">COST!R1165</f>
        <v>2.5</v>
      </c>
      <c r="G1165" s="48" t="str">
        <f aca="false">STACK!M1165</f>
        <v/>
      </c>
      <c r="H1165" s="1" t="str">
        <f aca="false">C1165&amp;"|"&amp;IF(ISNUMBER(D1165),TEXT(D1165,"yyyy-mm-dd"),"no date")&amp;"|"&amp;E1165&amp;"|"&amp;IF(ISNUMBER(F1165),TEXT(F1165,"0.00"),"blank")</f>
        <v>Diabetes Prevention Classes|2025-09-17|Health Educator|2.50</v>
      </c>
      <c r="I1165" s="1" t="n">
        <f aca="false">COUNTIF($H$5:$H$1624,H1165)</f>
        <v>1</v>
      </c>
      <c r="J1165" s="1" t="n">
        <f aca="false">COUNTIF($H$5:H1165,H1165)</f>
        <v>1</v>
      </c>
      <c r="K1165" s="1" t="n">
        <f aca="false">COUNTIFS($H$5:$H$1624,H1165,$B$5:$B$1624,"&lt;&gt;"&amp;B1165)</f>
        <v>0</v>
      </c>
      <c r="L1165" s="1" t="str">
        <f aca="false">IF(I1165&gt;1,IF(K1165&gt;0,"Cross-hospital match","Same-hospital match"),"")</f>
        <v/>
      </c>
      <c r="M1165" s="52"/>
      <c r="N1165" s="52"/>
      <c r="O1165" s="1" t="n">
        <f aca="false">IF(M1165="Exclude (duplicate)",0,1)</f>
        <v>1</v>
      </c>
      <c r="P1165" s="1" t="str">
        <f aca="false">IF(AND(L1165&lt;&gt;"",M1165=""),"Needs decision","")</f>
        <v/>
      </c>
    </row>
    <row r="1166" customFormat="false" ht="15" hidden="false" customHeight="false" outlineLevel="0" collapsed="false">
      <c r="A1166" s="48" t="str">
        <f aca="false">COST!A1166</f>
        <v>WCH-0059</v>
      </c>
      <c r="B1166" s="48" t="str">
        <f aca="false">COST!B1166</f>
        <v>WCH</v>
      </c>
      <c r="C1166" s="48" t="str">
        <f aca="false">COST!D1166</f>
        <v>Diabetes Prevention Classes</v>
      </c>
      <c r="D1166" s="62" t="n">
        <f aca="false">COST!M1166</f>
        <v>45917</v>
      </c>
      <c r="E1166" s="48" t="str">
        <f aca="false">COST!P1166</f>
        <v>Registered Dietitian</v>
      </c>
      <c r="F1166" s="63" t="n">
        <f aca="false">COST!R1166</f>
        <v>1.5</v>
      </c>
      <c r="G1166" s="48" t="str">
        <f aca="false">STACK!M1166</f>
        <v/>
      </c>
      <c r="H1166" s="1" t="str">
        <f aca="false">C1166&amp;"|"&amp;IF(ISNUMBER(D1166),TEXT(D1166,"yyyy-mm-dd"),"no date")&amp;"|"&amp;E1166&amp;"|"&amp;IF(ISNUMBER(F1166),TEXT(F1166,"0.00"),"blank")</f>
        <v>Diabetes Prevention Classes|2025-09-17|Registered Dietitian|1.50</v>
      </c>
      <c r="I1166" s="1" t="n">
        <f aca="false">COUNTIF($H$5:$H$1624,H1166)</f>
        <v>1</v>
      </c>
      <c r="J1166" s="1" t="n">
        <f aca="false">COUNTIF($H$5:H1166,H1166)</f>
        <v>1</v>
      </c>
      <c r="K1166" s="1" t="n">
        <f aca="false">COUNTIFS($H$5:$H$1624,H1166,$B$5:$B$1624,"&lt;&gt;"&amp;B1166)</f>
        <v>0</v>
      </c>
      <c r="L1166" s="1" t="str">
        <f aca="false">IF(I1166&gt;1,IF(K1166&gt;0,"Cross-hospital match","Same-hospital match"),"")</f>
        <v/>
      </c>
      <c r="M1166" s="52"/>
      <c r="N1166" s="52"/>
      <c r="O1166" s="1" t="n">
        <f aca="false">IF(M1166="Exclude (duplicate)",0,1)</f>
        <v>1</v>
      </c>
      <c r="P1166" s="1" t="str">
        <f aca="false">IF(AND(L1166&lt;&gt;"",M1166=""),"Needs decision","")</f>
        <v/>
      </c>
    </row>
    <row r="1167" customFormat="false" ht="15" hidden="false" customHeight="false" outlineLevel="0" collapsed="false">
      <c r="A1167" s="48" t="str">
        <f aca="false">COST!A1167</f>
        <v>WCH-0060</v>
      </c>
      <c r="B1167" s="48" t="str">
        <f aca="false">COST!B1167</f>
        <v>WCH</v>
      </c>
      <c r="C1167" s="48" t="str">
        <f aca="false">COST!D1167</f>
        <v>Naloxone Training and Distribution</v>
      </c>
      <c r="D1167" s="62" t="n">
        <f aca="false">COST!M1167</f>
        <v>45917</v>
      </c>
      <c r="E1167" s="48" t="str">
        <f aca="false">COST!P1167</f>
        <v>Health Educator</v>
      </c>
      <c r="F1167" s="63" t="n">
        <f aca="false">COST!R1167</f>
        <v>2</v>
      </c>
      <c r="G1167" s="48" t="str">
        <f aca="false">STACK!M1167</f>
        <v/>
      </c>
      <c r="H1167" s="1" t="str">
        <f aca="false">C1167&amp;"|"&amp;IF(ISNUMBER(D1167),TEXT(D1167,"yyyy-mm-dd"),"no date")&amp;"|"&amp;E1167&amp;"|"&amp;IF(ISNUMBER(F1167),TEXT(F1167,"0.00"),"blank")</f>
        <v>Naloxone Training and Distribution|2025-09-17|Health Educator|2.00</v>
      </c>
      <c r="I1167" s="1" t="n">
        <f aca="false">COUNTIF($H$5:$H$1624,H1167)</f>
        <v>1</v>
      </c>
      <c r="J1167" s="1" t="n">
        <f aca="false">COUNTIF($H$5:H1167,H1167)</f>
        <v>1</v>
      </c>
      <c r="K1167" s="1" t="n">
        <f aca="false">COUNTIFS($H$5:$H$1624,H1167,$B$5:$B$1624,"&lt;&gt;"&amp;B1167)</f>
        <v>0</v>
      </c>
      <c r="L1167" s="1" t="str">
        <f aca="false">IF(I1167&gt;1,IF(K1167&gt;0,"Cross-hospital match","Same-hospital match"),"")</f>
        <v/>
      </c>
      <c r="M1167" s="52"/>
      <c r="N1167" s="52"/>
      <c r="O1167" s="1" t="n">
        <f aca="false">IF(M1167="Exclude (duplicate)",0,1)</f>
        <v>1</v>
      </c>
      <c r="P1167" s="1" t="str">
        <f aca="false">IF(AND(L1167&lt;&gt;"",M1167=""),"Needs decision","")</f>
        <v/>
      </c>
    </row>
    <row r="1168" customFormat="false" ht="15" hidden="false" customHeight="false" outlineLevel="0" collapsed="false">
      <c r="A1168" s="48" t="str">
        <f aca="false">COST!A1168</f>
        <v>WCH-0061</v>
      </c>
      <c r="B1168" s="48" t="str">
        <f aca="false">COST!B1168</f>
        <v>WCH</v>
      </c>
      <c r="C1168" s="48" t="str">
        <f aca="false">COST!D1168</f>
        <v>Naloxone Training and Distribution</v>
      </c>
      <c r="D1168" s="62" t="n">
        <f aca="false">COST!M1168</f>
        <v>45917</v>
      </c>
      <c r="E1168" s="48" t="str">
        <f aca="false">COST!P1168</f>
        <v>Pharmacist</v>
      </c>
      <c r="F1168" s="63" t="n">
        <f aca="false">COST!R1168</f>
        <v>2.5</v>
      </c>
      <c r="G1168" s="48" t="str">
        <f aca="false">STACK!M1168</f>
        <v/>
      </c>
      <c r="H1168" s="1" t="str">
        <f aca="false">C1168&amp;"|"&amp;IF(ISNUMBER(D1168),TEXT(D1168,"yyyy-mm-dd"),"no date")&amp;"|"&amp;E1168&amp;"|"&amp;IF(ISNUMBER(F1168),TEXT(F1168,"0.00"),"blank")</f>
        <v>Naloxone Training and Distribution|2025-09-17|Pharmacist|2.50</v>
      </c>
      <c r="I1168" s="1" t="n">
        <f aca="false">COUNTIF($H$5:$H$1624,H1168)</f>
        <v>1</v>
      </c>
      <c r="J1168" s="1" t="n">
        <f aca="false">COUNTIF($H$5:H1168,H1168)</f>
        <v>1</v>
      </c>
      <c r="K1168" s="1" t="n">
        <f aca="false">COUNTIFS($H$5:$H$1624,H1168,$B$5:$B$1624,"&lt;&gt;"&amp;B1168)</f>
        <v>0</v>
      </c>
      <c r="L1168" s="1" t="str">
        <f aca="false">IF(I1168&gt;1,IF(K1168&gt;0,"Cross-hospital match","Same-hospital match"),"")</f>
        <v/>
      </c>
      <c r="M1168" s="52"/>
      <c r="N1168" s="52"/>
      <c r="O1168" s="1" t="n">
        <f aca="false">IF(M1168="Exclude (duplicate)",0,1)</f>
        <v>1</v>
      </c>
      <c r="P1168" s="1" t="str">
        <f aca="false">IF(AND(L1168&lt;&gt;"",M1168=""),"Needs decision","")</f>
        <v/>
      </c>
    </row>
    <row r="1169" customFormat="false" ht="15" hidden="false" customHeight="false" outlineLevel="0" collapsed="false">
      <c r="A1169" s="48" t="str">
        <f aca="false">COST!A1169</f>
        <v>WCH-0062</v>
      </c>
      <c r="B1169" s="48" t="str">
        <f aca="false">COST!B1169</f>
        <v>WCH</v>
      </c>
      <c r="C1169" s="48" t="str">
        <f aca="false">COST!D1169</f>
        <v>Diabetes Prevention Classes</v>
      </c>
      <c r="D1169" s="62" t="n">
        <f aca="false">COST!M1169</f>
        <v>45927</v>
      </c>
      <c r="E1169" s="48" t="str">
        <f aca="false">COST!P1169</f>
        <v>Health Educator</v>
      </c>
      <c r="F1169" s="63" t="n">
        <f aca="false">COST!R1169</f>
        <v>2.5</v>
      </c>
      <c r="G1169" s="48" t="str">
        <f aca="false">STACK!M1169</f>
        <v/>
      </c>
      <c r="H1169" s="1" t="str">
        <f aca="false">C1169&amp;"|"&amp;IF(ISNUMBER(D1169),TEXT(D1169,"yyyy-mm-dd"),"no date")&amp;"|"&amp;E1169&amp;"|"&amp;IF(ISNUMBER(F1169),TEXT(F1169,"0.00"),"blank")</f>
        <v>Diabetes Prevention Classes|2025-09-27|Health Educator|2.50</v>
      </c>
      <c r="I1169" s="1" t="n">
        <f aca="false">COUNTIF($H$5:$H$1624,H1169)</f>
        <v>1</v>
      </c>
      <c r="J1169" s="1" t="n">
        <f aca="false">COUNTIF($H$5:H1169,H1169)</f>
        <v>1</v>
      </c>
      <c r="K1169" s="1" t="n">
        <f aca="false">COUNTIFS($H$5:$H$1624,H1169,$B$5:$B$1624,"&lt;&gt;"&amp;B1169)</f>
        <v>0</v>
      </c>
      <c r="L1169" s="1" t="str">
        <f aca="false">IF(I1169&gt;1,IF(K1169&gt;0,"Cross-hospital match","Same-hospital match"),"")</f>
        <v/>
      </c>
      <c r="M1169" s="52"/>
      <c r="N1169" s="52"/>
      <c r="O1169" s="1" t="n">
        <f aca="false">IF(M1169="Exclude (duplicate)",0,1)</f>
        <v>1</v>
      </c>
      <c r="P1169" s="1" t="str">
        <f aca="false">IF(AND(L1169&lt;&gt;"",M1169=""),"Needs decision","")</f>
        <v/>
      </c>
    </row>
    <row r="1170" customFormat="false" ht="15" hidden="false" customHeight="false" outlineLevel="0" collapsed="false">
      <c r="A1170" s="48" t="str">
        <f aca="false">COST!A1170</f>
        <v>WCH-0063</v>
      </c>
      <c r="B1170" s="48" t="str">
        <f aca="false">COST!B1170</f>
        <v>WCH</v>
      </c>
      <c r="C1170" s="48" t="str">
        <f aca="false">COST!D1170</f>
        <v>Diabetes Prevention Classes</v>
      </c>
      <c r="D1170" s="62" t="n">
        <f aca="false">COST!M1170</f>
        <v>45927</v>
      </c>
      <c r="E1170" s="48" t="str">
        <f aca="false">COST!P1170</f>
        <v>Registered Dietitian</v>
      </c>
      <c r="F1170" s="63" t="n">
        <f aca="false">COST!R1170</f>
        <v>1.5</v>
      </c>
      <c r="G1170" s="48" t="str">
        <f aca="false">STACK!M1170</f>
        <v/>
      </c>
      <c r="H1170" s="1" t="str">
        <f aca="false">C1170&amp;"|"&amp;IF(ISNUMBER(D1170),TEXT(D1170,"yyyy-mm-dd"),"no date")&amp;"|"&amp;E1170&amp;"|"&amp;IF(ISNUMBER(F1170),TEXT(F1170,"0.00"),"blank")</f>
        <v>Diabetes Prevention Classes|2025-09-27|Registered Dietitian|1.50</v>
      </c>
      <c r="I1170" s="1" t="n">
        <f aca="false">COUNTIF($H$5:$H$1624,H1170)</f>
        <v>1</v>
      </c>
      <c r="J1170" s="1" t="n">
        <f aca="false">COUNTIF($H$5:H1170,H1170)</f>
        <v>1</v>
      </c>
      <c r="K1170" s="1" t="n">
        <f aca="false">COUNTIFS($H$5:$H$1624,H1170,$B$5:$B$1624,"&lt;&gt;"&amp;B1170)</f>
        <v>0</v>
      </c>
      <c r="L1170" s="1" t="str">
        <f aca="false">IF(I1170&gt;1,IF(K1170&gt;0,"Cross-hospital match","Same-hospital match"),"")</f>
        <v/>
      </c>
      <c r="M1170" s="52"/>
      <c r="N1170" s="52"/>
      <c r="O1170" s="1" t="n">
        <f aca="false">IF(M1170="Exclude (duplicate)",0,1)</f>
        <v>1</v>
      </c>
      <c r="P1170" s="1" t="str">
        <f aca="false">IF(AND(L1170&lt;&gt;"",M1170=""),"Needs decision","")</f>
        <v/>
      </c>
    </row>
    <row r="1171" customFormat="false" ht="15" hidden="false" customHeight="false" outlineLevel="0" collapsed="false">
      <c r="A1171" s="48" t="str">
        <f aca="false">COST!A1171</f>
        <v>WCH-0064</v>
      </c>
      <c r="B1171" s="48" t="str">
        <f aca="false">COST!B1171</f>
        <v>WCH</v>
      </c>
      <c r="C1171" s="48" t="str">
        <f aca="false">COST!D1171</f>
        <v>Car Seat Safety Checks</v>
      </c>
      <c r="D1171" s="62" t="n">
        <f aca="false">COST!M1171</f>
        <v>45927</v>
      </c>
      <c r="E1171" s="48" t="str">
        <f aca="false">COST!P1171</f>
        <v>Paramedic</v>
      </c>
      <c r="F1171" s="63" t="n">
        <f aca="false">COST!R1171</f>
        <v>4</v>
      </c>
      <c r="G1171" s="48" t="str">
        <f aca="false">STACK!M1171</f>
        <v/>
      </c>
      <c r="H1171" s="1" t="str">
        <f aca="false">C1171&amp;"|"&amp;IF(ISNUMBER(D1171),TEXT(D1171,"yyyy-mm-dd"),"no date")&amp;"|"&amp;E1171&amp;"|"&amp;IF(ISNUMBER(F1171),TEXT(F1171,"0.00"),"blank")</f>
        <v>Car Seat Safety Checks|2025-09-27|Paramedic|4.00</v>
      </c>
      <c r="I1171" s="1" t="n">
        <f aca="false">COUNTIF($H$5:$H$1624,H1171)</f>
        <v>1</v>
      </c>
      <c r="J1171" s="1" t="n">
        <f aca="false">COUNTIF($H$5:H1171,H1171)</f>
        <v>1</v>
      </c>
      <c r="K1171" s="1" t="n">
        <f aca="false">COUNTIFS($H$5:$H$1624,H1171,$B$5:$B$1624,"&lt;&gt;"&amp;B1171)</f>
        <v>0</v>
      </c>
      <c r="L1171" s="1" t="str">
        <f aca="false">IF(I1171&gt;1,IF(K1171&gt;0,"Cross-hospital match","Same-hospital match"),"")</f>
        <v/>
      </c>
      <c r="M1171" s="52"/>
      <c r="N1171" s="52"/>
      <c r="O1171" s="1" t="n">
        <f aca="false">IF(M1171="Exclude (duplicate)",0,1)</f>
        <v>1</v>
      </c>
      <c r="P1171" s="1" t="str">
        <f aca="false">IF(AND(L1171&lt;&gt;"",M1171=""),"Needs decision","")</f>
        <v/>
      </c>
    </row>
    <row r="1172" customFormat="false" ht="15" hidden="false" customHeight="false" outlineLevel="0" collapsed="false">
      <c r="A1172" s="48" t="str">
        <f aca="false">COST!A1172</f>
        <v>WCH-0065</v>
      </c>
      <c r="B1172" s="48" t="str">
        <f aca="false">COST!B1172</f>
        <v>WCH</v>
      </c>
      <c r="C1172" s="48" t="str">
        <f aca="false">COST!D1172</f>
        <v>Car Seat Safety Checks</v>
      </c>
      <c r="D1172" s="62" t="n">
        <f aca="false">COST!M1172</f>
        <v>45927</v>
      </c>
      <c r="E1172" s="48" t="str">
        <f aca="false">COST!P1172</f>
        <v>Registered Nurse</v>
      </c>
      <c r="F1172" s="63" t="n">
        <f aca="false">COST!R1172</f>
        <v>3.75</v>
      </c>
      <c r="G1172" s="48" t="str">
        <f aca="false">STACK!M1172</f>
        <v/>
      </c>
      <c r="H1172" s="1" t="str">
        <f aca="false">C1172&amp;"|"&amp;IF(ISNUMBER(D1172),TEXT(D1172,"yyyy-mm-dd"),"no date")&amp;"|"&amp;E1172&amp;"|"&amp;IF(ISNUMBER(F1172),TEXT(F1172,"0.00"),"blank")</f>
        <v>Car Seat Safety Checks|2025-09-27|Registered Nurse|3.75</v>
      </c>
      <c r="I1172" s="1" t="n">
        <f aca="false">COUNTIF($H$5:$H$1624,H1172)</f>
        <v>1</v>
      </c>
      <c r="J1172" s="1" t="n">
        <f aca="false">COUNTIF($H$5:H1172,H1172)</f>
        <v>1</v>
      </c>
      <c r="K1172" s="1" t="n">
        <f aca="false">COUNTIFS($H$5:$H$1624,H1172,$B$5:$B$1624,"&lt;&gt;"&amp;B1172)</f>
        <v>0</v>
      </c>
      <c r="L1172" s="1" t="str">
        <f aca="false">IF(I1172&gt;1,IF(K1172&gt;0,"Cross-hospital match","Same-hospital match"),"")</f>
        <v/>
      </c>
      <c r="M1172" s="52"/>
      <c r="N1172" s="52"/>
      <c r="O1172" s="1" t="n">
        <f aca="false">IF(M1172="Exclude (duplicate)",0,1)</f>
        <v>1</v>
      </c>
      <c r="P1172" s="1" t="str">
        <f aca="false">IF(AND(L1172&lt;&gt;"",M1172=""),"Needs decision","")</f>
        <v/>
      </c>
    </row>
    <row r="1173" customFormat="false" ht="15" hidden="false" customHeight="false" outlineLevel="0" collapsed="false">
      <c r="A1173" s="48" t="str">
        <f aca="false">COST!A1173</f>
        <v>WCH-0066</v>
      </c>
      <c r="B1173" s="48" t="str">
        <f aca="false">COST!B1173</f>
        <v>WCH</v>
      </c>
      <c r="C1173" s="48" t="str">
        <f aca="false">COST!D1173</f>
        <v>Mobile Health Screening Unit</v>
      </c>
      <c r="D1173" s="62" t="n">
        <f aca="false">COST!M1173</f>
        <v>45930</v>
      </c>
      <c r="E1173" s="48" t="str">
        <f aca="false">COST!P1173</f>
        <v>Community Health Worker</v>
      </c>
      <c r="F1173" s="63" t="n">
        <f aca="false">COST!R1173</f>
        <v>45</v>
      </c>
      <c r="G1173" s="48" t="str">
        <f aca="false">STACK!M1173</f>
        <v/>
      </c>
      <c r="H1173" s="1" t="str">
        <f aca="false">C1173&amp;"|"&amp;IF(ISNUMBER(D1173),TEXT(D1173,"yyyy-mm-dd"),"no date")&amp;"|"&amp;E1173&amp;"|"&amp;IF(ISNUMBER(F1173),TEXT(F1173,"0.00"),"blank")</f>
        <v>Mobile Health Screening Unit|2025-09-30|Community Health Worker|45.00</v>
      </c>
      <c r="I1173" s="1" t="n">
        <f aca="false">COUNTIF($H$5:$H$1624,H1173)</f>
        <v>1</v>
      </c>
      <c r="J1173" s="1" t="n">
        <f aca="false">COUNTIF($H$5:H1173,H1173)</f>
        <v>1</v>
      </c>
      <c r="K1173" s="1" t="n">
        <f aca="false">COUNTIFS($H$5:$H$1624,H1173,$B$5:$B$1624,"&lt;&gt;"&amp;B1173)</f>
        <v>0</v>
      </c>
      <c r="L1173" s="1" t="str">
        <f aca="false">IF(I1173&gt;1,IF(K1173&gt;0,"Cross-hospital match","Same-hospital match"),"")</f>
        <v/>
      </c>
      <c r="M1173" s="52"/>
      <c r="N1173" s="52"/>
      <c r="O1173" s="1" t="n">
        <f aca="false">IF(M1173="Exclude (duplicate)",0,1)</f>
        <v>1</v>
      </c>
      <c r="P1173" s="1" t="str">
        <f aca="false">IF(AND(L1173&lt;&gt;"",M1173=""),"Needs decision","")</f>
        <v/>
      </c>
    </row>
    <row r="1174" customFormat="false" ht="15" hidden="false" customHeight="false" outlineLevel="0" collapsed="false">
      <c r="A1174" s="48" t="str">
        <f aca="false">COST!A1174</f>
        <v>WCH-0067</v>
      </c>
      <c r="B1174" s="48" t="str">
        <f aca="false">COST!B1174</f>
        <v>WCH</v>
      </c>
      <c r="C1174" s="48" t="str">
        <f aca="false">COST!D1174</f>
        <v>Mobile Health Screening Unit</v>
      </c>
      <c r="D1174" s="62" t="n">
        <f aca="false">COST!M1174</f>
        <v>45930</v>
      </c>
      <c r="E1174" s="48" t="str">
        <f aca="false">COST!P1174</f>
        <v>Medical Assistant</v>
      </c>
      <c r="F1174" s="63" t="n">
        <f aca="false">COST!R1174</f>
        <v>71.5</v>
      </c>
      <c r="G1174" s="48" t="str">
        <f aca="false">STACK!M1174</f>
        <v/>
      </c>
      <c r="H1174" s="1" t="str">
        <f aca="false">C1174&amp;"|"&amp;IF(ISNUMBER(D1174),TEXT(D1174,"yyyy-mm-dd"),"no date")&amp;"|"&amp;E1174&amp;"|"&amp;IF(ISNUMBER(F1174),TEXT(F1174,"0.00"),"blank")</f>
        <v>Mobile Health Screening Unit|2025-09-30|Medical Assistant|71.50</v>
      </c>
      <c r="I1174" s="1" t="n">
        <f aca="false">COUNTIF($H$5:$H$1624,H1174)</f>
        <v>1</v>
      </c>
      <c r="J1174" s="1" t="n">
        <f aca="false">COUNTIF($H$5:H1174,H1174)</f>
        <v>1</v>
      </c>
      <c r="K1174" s="1" t="n">
        <f aca="false">COUNTIFS($H$5:$H$1624,H1174,$B$5:$B$1624,"&lt;&gt;"&amp;B1174)</f>
        <v>0</v>
      </c>
      <c r="L1174" s="1" t="str">
        <f aca="false">IF(I1174&gt;1,IF(K1174&gt;0,"Cross-hospital match","Same-hospital match"),"")</f>
        <v/>
      </c>
      <c r="M1174" s="52"/>
      <c r="N1174" s="52"/>
      <c r="O1174" s="1" t="n">
        <f aca="false">IF(M1174="Exclude (duplicate)",0,1)</f>
        <v>1</v>
      </c>
      <c r="P1174" s="1" t="str">
        <f aca="false">IF(AND(L1174&lt;&gt;"",M1174=""),"Needs decision","")</f>
        <v/>
      </c>
    </row>
    <row r="1175" customFormat="false" ht="15" hidden="false" customHeight="false" outlineLevel="0" collapsed="false">
      <c r="A1175" s="48" t="str">
        <f aca="false">COST!A1175</f>
        <v>WCH-0068</v>
      </c>
      <c r="B1175" s="48" t="str">
        <f aca="false">COST!B1175</f>
        <v>WCH</v>
      </c>
      <c r="C1175" s="48" t="str">
        <f aca="false">COST!D1175</f>
        <v>Mobile Health Screening Unit</v>
      </c>
      <c r="D1175" s="62" t="n">
        <f aca="false">COST!M1175</f>
        <v>45930</v>
      </c>
      <c r="E1175" s="48" t="str">
        <f aca="false">COST!P1175</f>
        <v>Registered Nurse</v>
      </c>
      <c r="F1175" s="63" t="n">
        <f aca="false">COST!R1175</f>
        <v>76</v>
      </c>
      <c r="G1175" s="48" t="str">
        <f aca="false">STACK!M1175</f>
        <v/>
      </c>
      <c r="H1175" s="1" t="str">
        <f aca="false">C1175&amp;"|"&amp;IF(ISNUMBER(D1175),TEXT(D1175,"yyyy-mm-dd"),"no date")&amp;"|"&amp;E1175&amp;"|"&amp;IF(ISNUMBER(F1175),TEXT(F1175,"0.00"),"blank")</f>
        <v>Mobile Health Screening Unit|2025-09-30|Registered Nurse|76.00</v>
      </c>
      <c r="I1175" s="1" t="n">
        <f aca="false">COUNTIF($H$5:$H$1624,H1175)</f>
        <v>1</v>
      </c>
      <c r="J1175" s="1" t="n">
        <f aca="false">COUNTIF($H$5:H1175,H1175)</f>
        <v>1</v>
      </c>
      <c r="K1175" s="1" t="n">
        <f aca="false">COUNTIFS($H$5:$H$1624,H1175,$B$5:$B$1624,"&lt;&gt;"&amp;B1175)</f>
        <v>0</v>
      </c>
      <c r="L1175" s="1" t="str">
        <f aca="false">IF(I1175&gt;1,IF(K1175&gt;0,"Cross-hospital match","Same-hospital match"),"")</f>
        <v/>
      </c>
      <c r="M1175" s="52"/>
      <c r="N1175" s="52"/>
      <c r="O1175" s="1" t="n">
        <f aca="false">IF(M1175="Exclude (duplicate)",0,1)</f>
        <v>1</v>
      </c>
      <c r="P1175" s="1" t="str">
        <f aca="false">IF(AND(L1175&lt;&gt;"",M1175=""),"Needs decision","")</f>
        <v/>
      </c>
    </row>
    <row r="1176" customFormat="false" ht="15" hidden="false" customHeight="false" outlineLevel="0" collapsed="false">
      <c r="A1176" s="48" t="str">
        <f aca="false">COST!A1176</f>
        <v>WCH-0069</v>
      </c>
      <c r="B1176" s="48" t="str">
        <f aca="false">COST!B1176</f>
        <v>WCH</v>
      </c>
      <c r="C1176" s="48" t="str">
        <f aca="false">COST!D1176</f>
        <v>Community Health Worker Outreach</v>
      </c>
      <c r="D1176" s="62" t="n">
        <f aca="false">COST!M1176</f>
        <v>45930</v>
      </c>
      <c r="E1176" s="48" t="str">
        <f aca="false">COST!P1176</f>
        <v>Community Health Worker</v>
      </c>
      <c r="F1176" s="63" t="n">
        <f aca="false">COST!R1176</f>
        <v>274</v>
      </c>
      <c r="G1176" s="48" t="str">
        <f aca="false">STACK!M1176</f>
        <v/>
      </c>
      <c r="H1176" s="1" t="str">
        <f aca="false">C1176&amp;"|"&amp;IF(ISNUMBER(D1176),TEXT(D1176,"yyyy-mm-dd"),"no date")&amp;"|"&amp;E1176&amp;"|"&amp;IF(ISNUMBER(F1176),TEXT(F1176,"0.00"),"blank")</f>
        <v>Community Health Worker Outreach|2025-09-30|Community Health Worker|274.00</v>
      </c>
      <c r="I1176" s="1" t="n">
        <f aca="false">COUNTIF($H$5:$H$1624,H1176)</f>
        <v>1</v>
      </c>
      <c r="J1176" s="1" t="n">
        <f aca="false">COUNTIF($H$5:H1176,H1176)</f>
        <v>1</v>
      </c>
      <c r="K1176" s="1" t="n">
        <f aca="false">COUNTIFS($H$5:$H$1624,H1176,$B$5:$B$1624,"&lt;&gt;"&amp;B1176)</f>
        <v>0</v>
      </c>
      <c r="L1176" s="1" t="str">
        <f aca="false">IF(I1176&gt;1,IF(K1176&gt;0,"Cross-hospital match","Same-hospital match"),"")</f>
        <v/>
      </c>
      <c r="M1176" s="52"/>
      <c r="N1176" s="52"/>
      <c r="O1176" s="1" t="n">
        <f aca="false">IF(M1176="Exclude (duplicate)",0,1)</f>
        <v>1</v>
      </c>
      <c r="P1176" s="1" t="str">
        <f aca="false">IF(AND(L1176&lt;&gt;"",M1176=""),"Needs decision","")</f>
        <v/>
      </c>
    </row>
    <row r="1177" customFormat="false" ht="15" hidden="false" customHeight="false" outlineLevel="0" collapsed="false">
      <c r="A1177" s="48" t="str">
        <f aca="false">COST!A1177</f>
        <v>WCH-0070</v>
      </c>
      <c r="B1177" s="48" t="str">
        <f aca="false">COST!B1177</f>
        <v>WCH</v>
      </c>
      <c r="C1177" s="48" t="str">
        <f aca="false">COST!D1177</f>
        <v>Community Health Worker Outreach</v>
      </c>
      <c r="D1177" s="62" t="n">
        <f aca="false">COST!M1177</f>
        <v>45930</v>
      </c>
      <c r="E1177" s="48" t="str">
        <f aca="false">COST!P1177</f>
        <v>Patient Navigator</v>
      </c>
      <c r="F1177" s="63" t="n">
        <f aca="false">COST!R1177</f>
        <v>114.75</v>
      </c>
      <c r="G1177" s="48" t="str">
        <f aca="false">STACK!M1177</f>
        <v/>
      </c>
      <c r="H1177" s="1" t="str">
        <f aca="false">C1177&amp;"|"&amp;IF(ISNUMBER(D1177),TEXT(D1177,"yyyy-mm-dd"),"no date")&amp;"|"&amp;E1177&amp;"|"&amp;IF(ISNUMBER(F1177),TEXT(F1177,"0.00"),"blank")</f>
        <v>Community Health Worker Outreach|2025-09-30|Patient Navigator|114.75</v>
      </c>
      <c r="I1177" s="1" t="n">
        <f aca="false">COUNTIF($H$5:$H$1624,H1177)</f>
        <v>1</v>
      </c>
      <c r="J1177" s="1" t="n">
        <f aca="false">COUNTIF($H$5:H1177,H1177)</f>
        <v>1</v>
      </c>
      <c r="K1177" s="1" t="n">
        <f aca="false">COUNTIFS($H$5:$H$1624,H1177,$B$5:$B$1624,"&lt;&gt;"&amp;B1177)</f>
        <v>0</v>
      </c>
      <c r="L1177" s="1" t="str">
        <f aca="false">IF(I1177&gt;1,IF(K1177&gt;0,"Cross-hospital match","Same-hospital match"),"")</f>
        <v/>
      </c>
      <c r="M1177" s="52"/>
      <c r="N1177" s="52"/>
      <c r="O1177" s="1" t="n">
        <f aca="false">IF(M1177="Exclude (duplicate)",0,1)</f>
        <v>1</v>
      </c>
      <c r="P1177" s="1" t="str">
        <f aca="false">IF(AND(L1177&lt;&gt;"",M1177=""),"Needs decision","")</f>
        <v/>
      </c>
    </row>
    <row r="1178" customFormat="false" ht="15" hidden="false" customHeight="false" outlineLevel="0" collapsed="false">
      <c r="A1178" s="48" t="str">
        <f aca="false">COST!A1178</f>
        <v>WCH-0071</v>
      </c>
      <c r="B1178" s="48" t="str">
        <f aca="false">COST!B1178</f>
        <v>WCH</v>
      </c>
      <c r="C1178" s="48" t="str">
        <f aca="false">COST!D1178</f>
        <v>Produce Prescription Program</v>
      </c>
      <c r="D1178" s="62" t="n">
        <f aca="false">COST!M1178</f>
        <v>45930</v>
      </c>
      <c r="E1178" s="48" t="str">
        <f aca="false">COST!P1178</f>
        <v>Community Health Worker</v>
      </c>
      <c r="F1178" s="63" t="n">
        <f aca="false">COST!R1178</f>
        <v>46.25</v>
      </c>
      <c r="G1178" s="48" t="str">
        <f aca="false">STACK!M1178</f>
        <v/>
      </c>
      <c r="H1178" s="1" t="str">
        <f aca="false">C1178&amp;"|"&amp;IF(ISNUMBER(D1178),TEXT(D1178,"yyyy-mm-dd"),"no date")&amp;"|"&amp;E1178&amp;"|"&amp;IF(ISNUMBER(F1178),TEXT(F1178,"0.00"),"blank")</f>
        <v>Produce Prescription Program|2025-09-30|Community Health Worker|46.25</v>
      </c>
      <c r="I1178" s="1" t="n">
        <f aca="false">COUNTIF($H$5:$H$1624,H1178)</f>
        <v>1</v>
      </c>
      <c r="J1178" s="1" t="n">
        <f aca="false">COUNTIF($H$5:H1178,H1178)</f>
        <v>1</v>
      </c>
      <c r="K1178" s="1" t="n">
        <f aca="false">COUNTIFS($H$5:$H$1624,H1178,$B$5:$B$1624,"&lt;&gt;"&amp;B1178)</f>
        <v>0</v>
      </c>
      <c r="L1178" s="1" t="str">
        <f aca="false">IF(I1178&gt;1,IF(K1178&gt;0,"Cross-hospital match","Same-hospital match"),"")</f>
        <v/>
      </c>
      <c r="M1178" s="52"/>
      <c r="N1178" s="52"/>
      <c r="O1178" s="1" t="n">
        <f aca="false">IF(M1178="Exclude (duplicate)",0,1)</f>
        <v>1</v>
      </c>
      <c r="P1178" s="1" t="str">
        <f aca="false">IF(AND(L1178&lt;&gt;"",M1178=""),"Needs decision","")</f>
        <v/>
      </c>
    </row>
    <row r="1179" customFormat="false" ht="15" hidden="false" customHeight="false" outlineLevel="0" collapsed="false">
      <c r="A1179" s="48" t="str">
        <f aca="false">COST!A1179</f>
        <v>WCH-0072</v>
      </c>
      <c r="B1179" s="48" t="str">
        <f aca="false">COST!B1179</f>
        <v>WCH</v>
      </c>
      <c r="C1179" s="48" t="str">
        <f aca="false">COST!D1179</f>
        <v>Produce Prescription Program</v>
      </c>
      <c r="D1179" s="62" t="n">
        <f aca="false">COST!M1179</f>
        <v>45930</v>
      </c>
      <c r="E1179" s="48" t="str">
        <f aca="false">COST!P1179</f>
        <v>Registered Dietitian</v>
      </c>
      <c r="F1179" s="63" t="n">
        <f aca="false">COST!R1179</f>
        <v>20</v>
      </c>
      <c r="G1179" s="48" t="str">
        <f aca="false">STACK!M1179</f>
        <v/>
      </c>
      <c r="H1179" s="1" t="str">
        <f aca="false">C1179&amp;"|"&amp;IF(ISNUMBER(D1179),TEXT(D1179,"yyyy-mm-dd"),"no date")&amp;"|"&amp;E1179&amp;"|"&amp;IF(ISNUMBER(F1179),TEXT(F1179,"0.00"),"blank")</f>
        <v>Produce Prescription Program|2025-09-30|Registered Dietitian|20.00</v>
      </c>
      <c r="I1179" s="1" t="n">
        <f aca="false">COUNTIF($H$5:$H$1624,H1179)</f>
        <v>1</v>
      </c>
      <c r="J1179" s="1" t="n">
        <f aca="false">COUNTIF($H$5:H1179,H1179)</f>
        <v>1</v>
      </c>
      <c r="K1179" s="1" t="n">
        <f aca="false">COUNTIFS($H$5:$H$1624,H1179,$B$5:$B$1624,"&lt;&gt;"&amp;B1179)</f>
        <v>0</v>
      </c>
      <c r="L1179" s="1" t="str">
        <f aca="false">IF(I1179&gt;1,IF(K1179&gt;0,"Cross-hospital match","Same-hospital match"),"")</f>
        <v/>
      </c>
      <c r="M1179" s="52"/>
      <c r="N1179" s="52"/>
      <c r="O1179" s="1" t="n">
        <f aca="false">IF(M1179="Exclude (duplicate)",0,1)</f>
        <v>1</v>
      </c>
      <c r="P1179" s="1" t="str">
        <f aca="false">IF(AND(L1179&lt;&gt;"",M1179=""),"Needs decision","")</f>
        <v/>
      </c>
    </row>
    <row r="1180" customFormat="false" ht="15" hidden="false" customHeight="false" outlineLevel="0" collapsed="false">
      <c r="A1180" s="48" t="str">
        <f aca="false">COST!A1180</f>
        <v>WCH-0073</v>
      </c>
      <c r="B1180" s="48" t="str">
        <f aca="false">COST!B1180</f>
        <v>WCH</v>
      </c>
      <c r="C1180" s="48" t="str">
        <f aca="false">COST!D1180</f>
        <v>Community Benefit Program Administration</v>
      </c>
      <c r="D1180" s="62" t="n">
        <f aca="false">COST!M1180</f>
        <v>45930</v>
      </c>
      <c r="E1180" s="48" t="str">
        <f aca="false">COST!P1180</f>
        <v>Administrative Assistant</v>
      </c>
      <c r="F1180" s="63" t="n">
        <f aca="false">COST!R1180</f>
        <v>36.75</v>
      </c>
      <c r="G1180" s="48" t="str">
        <f aca="false">STACK!M1180</f>
        <v/>
      </c>
      <c r="H1180" s="1" t="str">
        <f aca="false">C1180&amp;"|"&amp;IF(ISNUMBER(D1180),TEXT(D1180,"yyyy-mm-dd"),"no date")&amp;"|"&amp;E1180&amp;"|"&amp;IF(ISNUMBER(F1180),TEXT(F1180,"0.00"),"blank")</f>
        <v>Community Benefit Program Administration|2025-09-30|Administrative Assistant|36.75</v>
      </c>
      <c r="I1180" s="1" t="n">
        <f aca="false">COUNTIF($H$5:$H$1624,H1180)</f>
        <v>1</v>
      </c>
      <c r="J1180" s="1" t="n">
        <f aca="false">COUNTIF($H$5:H1180,H1180)</f>
        <v>1</v>
      </c>
      <c r="K1180" s="1" t="n">
        <f aca="false">COUNTIFS($H$5:$H$1624,H1180,$B$5:$B$1624,"&lt;&gt;"&amp;B1180)</f>
        <v>0</v>
      </c>
      <c r="L1180" s="1" t="str">
        <f aca="false">IF(I1180&gt;1,IF(K1180&gt;0,"Cross-hospital match","Same-hospital match"),"")</f>
        <v/>
      </c>
      <c r="M1180" s="52"/>
      <c r="N1180" s="52"/>
      <c r="O1180" s="1" t="n">
        <f aca="false">IF(M1180="Exclude (duplicate)",0,1)</f>
        <v>1</v>
      </c>
      <c r="P1180" s="1" t="str">
        <f aca="false">IF(AND(L1180&lt;&gt;"",M1180=""),"Needs decision","")</f>
        <v/>
      </c>
    </row>
    <row r="1181" customFormat="false" ht="15" hidden="false" customHeight="false" outlineLevel="0" collapsed="false">
      <c r="A1181" s="48" t="str">
        <f aca="false">COST!A1181</f>
        <v>WCH-0074</v>
      </c>
      <c r="B1181" s="48" t="str">
        <f aca="false">COST!B1181</f>
        <v>WCH</v>
      </c>
      <c r="C1181" s="48" t="str">
        <f aca="false">COST!D1181</f>
        <v>Community Benefit Program Administration</v>
      </c>
      <c r="D1181" s="62" t="n">
        <f aca="false">COST!M1181</f>
        <v>45930</v>
      </c>
      <c r="E1181" s="48" t="str">
        <f aca="false">COST!P1181</f>
        <v>Community Benefit Manager</v>
      </c>
      <c r="F1181" s="63" t="n">
        <f aca="false">COST!R1181</f>
        <v>40.25</v>
      </c>
      <c r="G1181" s="48" t="str">
        <f aca="false">STACK!M1181</f>
        <v/>
      </c>
      <c r="H1181" s="1" t="str">
        <f aca="false">C1181&amp;"|"&amp;IF(ISNUMBER(D1181),TEXT(D1181,"yyyy-mm-dd"),"no date")&amp;"|"&amp;E1181&amp;"|"&amp;IF(ISNUMBER(F1181),TEXT(F1181,"0.00"),"blank")</f>
        <v>Community Benefit Program Administration|2025-09-30|Community Benefit Manager|40.25</v>
      </c>
      <c r="I1181" s="1" t="n">
        <f aca="false">COUNTIF($H$5:$H$1624,H1181)</f>
        <v>1</v>
      </c>
      <c r="J1181" s="1" t="n">
        <f aca="false">COUNTIF($H$5:H1181,H1181)</f>
        <v>1</v>
      </c>
      <c r="K1181" s="1" t="n">
        <f aca="false">COUNTIFS($H$5:$H$1624,H1181,$B$5:$B$1624,"&lt;&gt;"&amp;B1181)</f>
        <v>0</v>
      </c>
      <c r="L1181" s="1" t="str">
        <f aca="false">IF(I1181&gt;1,IF(K1181&gt;0,"Cross-hospital match","Same-hospital match"),"")</f>
        <v/>
      </c>
      <c r="M1181" s="52"/>
      <c r="N1181" s="52"/>
      <c r="O1181" s="1" t="n">
        <f aca="false">IF(M1181="Exclude (duplicate)",0,1)</f>
        <v>1</v>
      </c>
      <c r="P1181" s="1" t="str">
        <f aca="false">IF(AND(L1181&lt;&gt;"",M1181=""),"Needs decision","")</f>
        <v/>
      </c>
    </row>
    <row r="1182" customFormat="false" ht="15" hidden="false" customHeight="false" outlineLevel="0" collapsed="false">
      <c r="A1182" s="48" t="str">
        <f aca="false">COST!A1182</f>
        <v>WCH-0075</v>
      </c>
      <c r="B1182" s="48" t="str">
        <f aca="false">COST!B1182</f>
        <v>WCH</v>
      </c>
      <c r="C1182" s="48" t="str">
        <f aca="false">COST!D1182</f>
        <v>Community Paramedic Home Visits</v>
      </c>
      <c r="D1182" s="62" t="n">
        <f aca="false">COST!M1182</f>
        <v>45930</v>
      </c>
      <c r="E1182" s="48" t="str">
        <f aca="false">COST!P1182</f>
        <v>Paramedic</v>
      </c>
      <c r="F1182" s="63" t="n">
        <f aca="false">COST!R1182</f>
        <v>75.75</v>
      </c>
      <c r="G1182" s="48" t="str">
        <f aca="false">STACK!M1182</f>
        <v/>
      </c>
      <c r="H1182" s="1" t="str">
        <f aca="false">C1182&amp;"|"&amp;IF(ISNUMBER(D1182),TEXT(D1182,"yyyy-mm-dd"),"no date")&amp;"|"&amp;E1182&amp;"|"&amp;IF(ISNUMBER(F1182),TEXT(F1182,"0.00"),"blank")</f>
        <v>Community Paramedic Home Visits|2025-09-30|Paramedic|75.75</v>
      </c>
      <c r="I1182" s="1" t="n">
        <f aca="false">COUNTIF($H$5:$H$1624,H1182)</f>
        <v>1</v>
      </c>
      <c r="J1182" s="1" t="n">
        <f aca="false">COUNTIF($H$5:H1182,H1182)</f>
        <v>1</v>
      </c>
      <c r="K1182" s="1" t="n">
        <f aca="false">COUNTIFS($H$5:$H$1624,H1182,$B$5:$B$1624,"&lt;&gt;"&amp;B1182)</f>
        <v>0</v>
      </c>
      <c r="L1182" s="1" t="str">
        <f aca="false">IF(I1182&gt;1,IF(K1182&gt;0,"Cross-hospital match","Same-hospital match"),"")</f>
        <v/>
      </c>
      <c r="M1182" s="52"/>
      <c r="N1182" s="52"/>
      <c r="O1182" s="1" t="n">
        <f aca="false">IF(M1182="Exclude (duplicate)",0,1)</f>
        <v>1</v>
      </c>
      <c r="P1182" s="1" t="str">
        <f aca="false">IF(AND(L1182&lt;&gt;"",M1182=""),"Needs decision","")</f>
        <v/>
      </c>
    </row>
    <row r="1183" customFormat="false" ht="15" hidden="false" customHeight="false" outlineLevel="0" collapsed="false">
      <c r="A1183" s="48" t="str">
        <f aca="false">COST!A1183</f>
        <v>WCH-0076</v>
      </c>
      <c r="B1183" s="48" t="str">
        <f aca="false">COST!B1183</f>
        <v>WCH</v>
      </c>
      <c r="C1183" s="48" t="str">
        <f aca="false">COST!D1183</f>
        <v>Nursing Student Clinical Rotations</v>
      </c>
      <c r="D1183" s="62" t="n">
        <f aca="false">COST!M1183</f>
        <v>45930</v>
      </c>
      <c r="E1183" s="48" t="str">
        <f aca="false">COST!P1183</f>
        <v>Clinical Nurse Educator</v>
      </c>
      <c r="F1183" s="63" t="n">
        <f aca="false">COST!R1183</f>
        <v>80.75</v>
      </c>
      <c r="G1183" s="48" t="str">
        <f aca="false">STACK!M1183</f>
        <v/>
      </c>
      <c r="H1183" s="1" t="str">
        <f aca="false">C1183&amp;"|"&amp;IF(ISNUMBER(D1183),TEXT(D1183,"yyyy-mm-dd"),"no date")&amp;"|"&amp;E1183&amp;"|"&amp;IF(ISNUMBER(F1183),TEXT(F1183,"0.00"),"blank")</f>
        <v>Nursing Student Clinical Rotations|2025-09-30|Clinical Nurse Educator|80.75</v>
      </c>
      <c r="I1183" s="1" t="n">
        <f aca="false">COUNTIF($H$5:$H$1624,H1183)</f>
        <v>1</v>
      </c>
      <c r="J1183" s="1" t="n">
        <f aca="false">COUNTIF($H$5:H1183,H1183)</f>
        <v>1</v>
      </c>
      <c r="K1183" s="1" t="n">
        <f aca="false">COUNTIFS($H$5:$H$1624,H1183,$B$5:$B$1624,"&lt;&gt;"&amp;B1183)</f>
        <v>0</v>
      </c>
      <c r="L1183" s="1" t="str">
        <f aca="false">IF(I1183&gt;1,IF(K1183&gt;0,"Cross-hospital match","Same-hospital match"),"")</f>
        <v/>
      </c>
      <c r="M1183" s="52"/>
      <c r="N1183" s="52"/>
      <c r="O1183" s="1" t="n">
        <f aca="false">IF(M1183="Exclude (duplicate)",0,1)</f>
        <v>1</v>
      </c>
      <c r="P1183" s="1" t="str">
        <f aca="false">IF(AND(L1183&lt;&gt;"",M1183=""),"Needs decision","")</f>
        <v/>
      </c>
    </row>
    <row r="1184" customFormat="false" ht="15" hidden="false" customHeight="false" outlineLevel="0" collapsed="false">
      <c r="A1184" s="48" t="str">
        <f aca="false">COST!A1184</f>
        <v>WCH-0077</v>
      </c>
      <c r="B1184" s="48" t="str">
        <f aca="false">COST!B1184</f>
        <v>WCH</v>
      </c>
      <c r="C1184" s="48" t="str">
        <f aca="false">COST!D1184</f>
        <v>Nursing Student Clinical Rotations</v>
      </c>
      <c r="D1184" s="62" t="n">
        <f aca="false">COST!M1184</f>
        <v>45930</v>
      </c>
      <c r="E1184" s="48" t="str">
        <f aca="false">COST!P1184</f>
        <v>Registered Nurse</v>
      </c>
      <c r="F1184" s="63" t="n">
        <f aca="false">COST!R1184</f>
        <v>118.5</v>
      </c>
      <c r="G1184" s="48" t="str">
        <f aca="false">STACK!M1184</f>
        <v/>
      </c>
      <c r="H1184" s="1" t="str">
        <f aca="false">C1184&amp;"|"&amp;IF(ISNUMBER(D1184),TEXT(D1184,"yyyy-mm-dd"),"no date")&amp;"|"&amp;E1184&amp;"|"&amp;IF(ISNUMBER(F1184),TEXT(F1184,"0.00"),"blank")</f>
        <v>Nursing Student Clinical Rotations|2025-09-30|Registered Nurse|118.50</v>
      </c>
      <c r="I1184" s="1" t="n">
        <f aca="false">COUNTIF($H$5:$H$1624,H1184)</f>
        <v>1</v>
      </c>
      <c r="J1184" s="1" t="n">
        <f aca="false">COUNTIF($H$5:H1184,H1184)</f>
        <v>1</v>
      </c>
      <c r="K1184" s="1" t="n">
        <f aca="false">COUNTIFS($H$5:$H$1624,H1184,$B$5:$B$1624,"&lt;&gt;"&amp;B1184)</f>
        <v>0</v>
      </c>
      <c r="L1184" s="1" t="str">
        <f aca="false">IF(I1184&gt;1,IF(K1184&gt;0,"Cross-hospital match","Same-hospital match"),"")</f>
        <v/>
      </c>
      <c r="M1184" s="52"/>
      <c r="N1184" s="52"/>
      <c r="O1184" s="1" t="n">
        <f aca="false">IF(M1184="Exclude (duplicate)",0,1)</f>
        <v>1</v>
      </c>
      <c r="P1184" s="1" t="str">
        <f aca="false">IF(AND(L1184&lt;&gt;"",M1184=""),"Needs decision","")</f>
        <v/>
      </c>
    </row>
    <row r="1185" customFormat="false" ht="15" hidden="false" customHeight="false" outlineLevel="0" collapsed="false">
      <c r="A1185" s="48" t="str">
        <f aca="false">COST!A1185</f>
        <v>WCH-0078</v>
      </c>
      <c r="B1185" s="48" t="str">
        <f aca="false">COST!B1185</f>
        <v>WCH</v>
      </c>
      <c r="C1185" s="48" t="str">
        <f aca="false">COST!D1185</f>
        <v>Paramedic Student Field Training</v>
      </c>
      <c r="D1185" s="62" t="n">
        <f aca="false">COST!M1185</f>
        <v>45930</v>
      </c>
      <c r="E1185" s="48" t="str">
        <f aca="false">COST!P1185</f>
        <v>Paramedic</v>
      </c>
      <c r="F1185" s="63" t="n">
        <f aca="false">COST!R1185</f>
        <v>45.75</v>
      </c>
      <c r="G1185" s="48" t="str">
        <f aca="false">STACK!M1185</f>
        <v/>
      </c>
      <c r="H1185" s="1" t="str">
        <f aca="false">C1185&amp;"|"&amp;IF(ISNUMBER(D1185),TEXT(D1185,"yyyy-mm-dd"),"no date")&amp;"|"&amp;E1185&amp;"|"&amp;IF(ISNUMBER(F1185),TEXT(F1185,"0.00"),"blank")</f>
        <v>Paramedic Student Field Training|2025-09-30|Paramedic|45.75</v>
      </c>
      <c r="I1185" s="1" t="n">
        <f aca="false">COUNTIF($H$5:$H$1624,H1185)</f>
        <v>1</v>
      </c>
      <c r="J1185" s="1" t="n">
        <f aca="false">COUNTIF($H$5:H1185,H1185)</f>
        <v>1</v>
      </c>
      <c r="K1185" s="1" t="n">
        <f aca="false">COUNTIFS($H$5:$H$1624,H1185,$B$5:$B$1624,"&lt;&gt;"&amp;B1185)</f>
        <v>0</v>
      </c>
      <c r="L1185" s="1" t="str">
        <f aca="false">IF(I1185&gt;1,IF(K1185&gt;0,"Cross-hospital match","Same-hospital match"),"")</f>
        <v/>
      </c>
      <c r="M1185" s="52"/>
      <c r="N1185" s="52"/>
      <c r="O1185" s="1" t="n">
        <f aca="false">IF(M1185="Exclude (duplicate)",0,1)</f>
        <v>1</v>
      </c>
      <c r="P1185" s="1" t="str">
        <f aca="false">IF(AND(L1185&lt;&gt;"",M1185=""),"Needs decision","")</f>
        <v/>
      </c>
    </row>
    <row r="1186" customFormat="false" ht="15" hidden="false" customHeight="false" outlineLevel="0" collapsed="false">
      <c r="A1186" s="48" t="str">
        <f aca="false">COST!A1186</f>
        <v>WCH-0079</v>
      </c>
      <c r="B1186" s="48" t="str">
        <f aca="false">COST!B1186</f>
        <v>WCH</v>
      </c>
      <c r="C1186" s="48" t="str">
        <f aca="false">COST!D1186</f>
        <v>Rural Maternal Outcomes Study</v>
      </c>
      <c r="D1186" s="62" t="n">
        <f aca="false">COST!M1186</f>
        <v>45930</v>
      </c>
      <c r="E1186" s="48" t="str">
        <f aca="false">COST!P1186</f>
        <v>Data Analyst</v>
      </c>
      <c r="F1186" s="63" t="n">
        <f aca="false">COST!R1186</f>
        <v>8.5</v>
      </c>
      <c r="G1186" s="48" t="str">
        <f aca="false">STACK!M1186</f>
        <v/>
      </c>
      <c r="H1186" s="1" t="str">
        <f aca="false">C1186&amp;"|"&amp;IF(ISNUMBER(D1186),TEXT(D1186,"yyyy-mm-dd"),"no date")&amp;"|"&amp;E1186&amp;"|"&amp;IF(ISNUMBER(F1186),TEXT(F1186,"0.00"),"blank")</f>
        <v>Rural Maternal Outcomes Study|2025-09-30|Data Analyst|8.50</v>
      </c>
      <c r="I1186" s="1" t="n">
        <f aca="false">COUNTIF($H$5:$H$1624,H1186)</f>
        <v>1</v>
      </c>
      <c r="J1186" s="1" t="n">
        <f aca="false">COUNTIF($H$5:H1186,H1186)</f>
        <v>1</v>
      </c>
      <c r="K1186" s="1" t="n">
        <f aca="false">COUNTIFS($H$5:$H$1624,H1186,$B$5:$B$1624,"&lt;&gt;"&amp;B1186)</f>
        <v>0</v>
      </c>
      <c r="L1186" s="1" t="str">
        <f aca="false">IF(I1186&gt;1,IF(K1186&gt;0,"Cross-hospital match","Same-hospital match"),"")</f>
        <v/>
      </c>
      <c r="M1186" s="52"/>
      <c r="N1186" s="52"/>
      <c r="O1186" s="1" t="n">
        <f aca="false">IF(M1186="Exclude (duplicate)",0,1)</f>
        <v>1</v>
      </c>
      <c r="P1186" s="1" t="str">
        <f aca="false">IF(AND(L1186&lt;&gt;"",M1186=""),"Needs decision","")</f>
        <v/>
      </c>
    </row>
    <row r="1187" customFormat="false" ht="15" hidden="false" customHeight="false" outlineLevel="0" collapsed="false">
      <c r="A1187" s="48" t="str">
        <f aca="false">COST!A1187</f>
        <v>WCH-0080</v>
      </c>
      <c r="B1187" s="48" t="str">
        <f aca="false">COST!B1187</f>
        <v>WCH</v>
      </c>
      <c r="C1187" s="48" t="str">
        <f aca="false">COST!D1187</f>
        <v>Rural Maternal Outcomes Study</v>
      </c>
      <c r="D1187" s="62" t="n">
        <f aca="false">COST!M1187</f>
        <v>45930</v>
      </c>
      <c r="E1187" s="48" t="str">
        <f aca="false">COST!P1187</f>
        <v>Research Coordinator</v>
      </c>
      <c r="F1187" s="63" t="n">
        <f aca="false">COST!R1187</f>
        <v>40</v>
      </c>
      <c r="G1187" s="48" t="str">
        <f aca="false">STACK!M1187</f>
        <v/>
      </c>
      <c r="H1187" s="1" t="str">
        <f aca="false">C1187&amp;"|"&amp;IF(ISNUMBER(D1187),TEXT(D1187,"yyyy-mm-dd"),"no date")&amp;"|"&amp;E1187&amp;"|"&amp;IF(ISNUMBER(F1187),TEXT(F1187,"0.00"),"blank")</f>
        <v>Rural Maternal Outcomes Study|2025-09-30|Research Coordinator|40.00</v>
      </c>
      <c r="I1187" s="1" t="n">
        <f aca="false">COUNTIF($H$5:$H$1624,H1187)</f>
        <v>1</v>
      </c>
      <c r="J1187" s="1" t="n">
        <f aca="false">COUNTIF($H$5:H1187,H1187)</f>
        <v>1</v>
      </c>
      <c r="K1187" s="1" t="n">
        <f aca="false">COUNTIFS($H$5:$H$1624,H1187,$B$5:$B$1624,"&lt;&gt;"&amp;B1187)</f>
        <v>0</v>
      </c>
      <c r="L1187" s="1" t="str">
        <f aca="false">IF(I1187&gt;1,IF(K1187&gt;0,"Cross-hospital match","Same-hospital match"),"")</f>
        <v/>
      </c>
      <c r="M1187" s="52"/>
      <c r="N1187" s="52"/>
      <c r="O1187" s="1" t="n">
        <f aca="false">IF(M1187="Exclude (duplicate)",0,1)</f>
        <v>1</v>
      </c>
      <c r="P1187" s="1" t="str">
        <f aca="false">IF(AND(L1187&lt;&gt;"",M1187=""),"Needs decision","")</f>
        <v/>
      </c>
    </row>
    <row r="1188" customFormat="false" ht="15" hidden="false" customHeight="false" outlineLevel="0" collapsed="false">
      <c r="A1188" s="48" t="str">
        <f aca="false">COST!A1188</f>
        <v>WCH-0081</v>
      </c>
      <c r="B1188" s="48" t="str">
        <f aca="false">COST!B1188</f>
        <v>WCH</v>
      </c>
      <c r="C1188" s="48" t="str">
        <f aca="false">COST!D1188</f>
        <v>Free Sports Physicals</v>
      </c>
      <c r="D1188" s="62" t="n">
        <f aca="false">COST!M1188</f>
        <v>45934</v>
      </c>
      <c r="E1188" s="48" t="str">
        <f aca="false">COST!P1188</f>
        <v>Medical Assistant</v>
      </c>
      <c r="F1188" s="63" t="n">
        <f aca="false">COST!R1188</f>
        <v>4.25</v>
      </c>
      <c r="G1188" s="48" t="str">
        <f aca="false">STACK!M1188</f>
        <v/>
      </c>
      <c r="H1188" s="1" t="str">
        <f aca="false">C1188&amp;"|"&amp;IF(ISNUMBER(D1188),TEXT(D1188,"yyyy-mm-dd"),"no date")&amp;"|"&amp;E1188&amp;"|"&amp;IF(ISNUMBER(F1188),TEXT(F1188,"0.00"),"blank")</f>
        <v>Free Sports Physicals|2025-10-04|Medical Assistant|4.25</v>
      </c>
      <c r="I1188" s="1" t="n">
        <f aca="false">COUNTIF($H$5:$H$1624,H1188)</f>
        <v>1</v>
      </c>
      <c r="J1188" s="1" t="n">
        <f aca="false">COUNTIF($H$5:H1188,H1188)</f>
        <v>1</v>
      </c>
      <c r="K1188" s="1" t="n">
        <f aca="false">COUNTIFS($H$5:$H$1624,H1188,$B$5:$B$1624,"&lt;&gt;"&amp;B1188)</f>
        <v>0</v>
      </c>
      <c r="L1188" s="1" t="str">
        <f aca="false">IF(I1188&gt;1,IF(K1188&gt;0,"Cross-hospital match","Same-hospital match"),"")</f>
        <v/>
      </c>
      <c r="M1188" s="52"/>
      <c r="N1188" s="52"/>
      <c r="O1188" s="1" t="n">
        <f aca="false">IF(M1188="Exclude (duplicate)",0,1)</f>
        <v>1</v>
      </c>
      <c r="P1188" s="1" t="str">
        <f aca="false">IF(AND(L1188&lt;&gt;"",M1188=""),"Needs decision","")</f>
        <v/>
      </c>
    </row>
    <row r="1189" customFormat="false" ht="15" hidden="false" customHeight="false" outlineLevel="0" collapsed="false">
      <c r="A1189" s="48" t="str">
        <f aca="false">COST!A1189</f>
        <v>WCH-0082</v>
      </c>
      <c r="B1189" s="48" t="str">
        <f aca="false">COST!B1189</f>
        <v>WCH</v>
      </c>
      <c r="C1189" s="48" t="str">
        <f aca="false">COST!D1189</f>
        <v>Free Sports Physicals</v>
      </c>
      <c r="D1189" s="62" t="n">
        <f aca="false">COST!M1189</f>
        <v>45934</v>
      </c>
      <c r="E1189" s="48" t="str">
        <f aca="false">COST!P1189</f>
        <v>Nurse Practitioner</v>
      </c>
      <c r="F1189" s="63" t="n">
        <f aca="false">COST!R1189</f>
        <v>4.75</v>
      </c>
      <c r="G1189" s="48" t="str">
        <f aca="false">STACK!M1189</f>
        <v/>
      </c>
      <c r="H1189" s="1" t="str">
        <f aca="false">C1189&amp;"|"&amp;IF(ISNUMBER(D1189),TEXT(D1189,"yyyy-mm-dd"),"no date")&amp;"|"&amp;E1189&amp;"|"&amp;IF(ISNUMBER(F1189),TEXT(F1189,"0.00"),"blank")</f>
        <v>Free Sports Physicals|2025-10-04|Nurse Practitioner|4.75</v>
      </c>
      <c r="I1189" s="1" t="n">
        <f aca="false">COUNTIF($H$5:$H$1624,H1189)</f>
        <v>1</v>
      </c>
      <c r="J1189" s="1" t="n">
        <f aca="false">COUNTIF($H$5:H1189,H1189)</f>
        <v>1</v>
      </c>
      <c r="K1189" s="1" t="n">
        <f aca="false">COUNTIFS($H$5:$H$1624,H1189,$B$5:$B$1624,"&lt;&gt;"&amp;B1189)</f>
        <v>0</v>
      </c>
      <c r="L1189" s="1" t="str">
        <f aca="false">IF(I1189&gt;1,IF(K1189&gt;0,"Cross-hospital match","Same-hospital match"),"")</f>
        <v/>
      </c>
      <c r="M1189" s="52"/>
      <c r="N1189" s="52"/>
      <c r="O1189" s="1" t="n">
        <f aca="false">IF(M1189="Exclude (duplicate)",0,1)</f>
        <v>1</v>
      </c>
      <c r="P1189" s="1" t="str">
        <f aca="false">IF(AND(L1189&lt;&gt;"",M1189=""),"Needs decision","")</f>
        <v/>
      </c>
    </row>
    <row r="1190" customFormat="false" ht="15" hidden="false" customHeight="false" outlineLevel="0" collapsed="false">
      <c r="A1190" s="48" t="str">
        <f aca="false">COST!A1190</f>
        <v>WCH-0083</v>
      </c>
      <c r="B1190" s="48" t="str">
        <f aca="false">COST!B1190</f>
        <v>WCH</v>
      </c>
      <c r="C1190" s="48" t="str">
        <f aca="false">COST!D1190</f>
        <v>Free Sports Physicals</v>
      </c>
      <c r="D1190" s="62" t="n">
        <f aca="false">COST!M1190</f>
        <v>45934</v>
      </c>
      <c r="E1190" s="48" t="str">
        <f aca="false">COST!P1190</f>
        <v>Physician</v>
      </c>
      <c r="F1190" s="63" t="n">
        <f aca="false">COST!R1190</f>
        <v>4.25</v>
      </c>
      <c r="G1190" s="48" t="str">
        <f aca="false">STACK!M1190</f>
        <v/>
      </c>
      <c r="H1190" s="1" t="str">
        <f aca="false">C1190&amp;"|"&amp;IF(ISNUMBER(D1190),TEXT(D1190,"yyyy-mm-dd"),"no date")&amp;"|"&amp;E1190&amp;"|"&amp;IF(ISNUMBER(F1190),TEXT(F1190,"0.00"),"blank")</f>
        <v>Free Sports Physicals|2025-10-04|Physician|4.25</v>
      </c>
      <c r="I1190" s="1" t="n">
        <f aca="false">COUNTIF($H$5:$H$1624,H1190)</f>
        <v>1</v>
      </c>
      <c r="J1190" s="1" t="n">
        <f aca="false">COUNTIF($H$5:H1190,H1190)</f>
        <v>1</v>
      </c>
      <c r="K1190" s="1" t="n">
        <f aca="false">COUNTIFS($H$5:$H$1624,H1190,$B$5:$B$1624,"&lt;&gt;"&amp;B1190)</f>
        <v>0</v>
      </c>
      <c r="L1190" s="1" t="str">
        <f aca="false">IF(I1190&gt;1,IF(K1190&gt;0,"Cross-hospital match","Same-hospital match"),"")</f>
        <v/>
      </c>
      <c r="M1190" s="52"/>
      <c r="N1190" s="52"/>
      <c r="O1190" s="1" t="n">
        <f aca="false">IF(M1190="Exclude (duplicate)",0,1)</f>
        <v>1</v>
      </c>
      <c r="P1190" s="1" t="str">
        <f aca="false">IF(AND(L1190&lt;&gt;"",M1190=""),"Needs decision","")</f>
        <v/>
      </c>
    </row>
    <row r="1191" customFormat="false" ht="15" hidden="false" customHeight="false" outlineLevel="0" collapsed="false">
      <c r="A1191" s="48" t="str">
        <f aca="false">COST!A1191</f>
        <v>WCH-0084</v>
      </c>
      <c r="B1191" s="48" t="str">
        <f aca="false">COST!B1191</f>
        <v>WCH</v>
      </c>
      <c r="C1191" s="48" t="str">
        <f aca="false">COST!D1191</f>
        <v>Naloxone Training and Distribution</v>
      </c>
      <c r="D1191" s="62" t="n">
        <f aca="false">COST!M1191</f>
        <v>45937</v>
      </c>
      <c r="E1191" s="48" t="str">
        <f aca="false">COST!P1191</f>
        <v>Health Educator</v>
      </c>
      <c r="F1191" s="63" t="n">
        <f aca="false">COST!R1191</f>
        <v>2.5</v>
      </c>
      <c r="G1191" s="48" t="str">
        <f aca="false">STACK!M1191</f>
        <v/>
      </c>
      <c r="H1191" s="1" t="str">
        <f aca="false">C1191&amp;"|"&amp;IF(ISNUMBER(D1191),TEXT(D1191,"yyyy-mm-dd"),"no date")&amp;"|"&amp;E1191&amp;"|"&amp;IF(ISNUMBER(F1191),TEXT(F1191,"0.00"),"blank")</f>
        <v>Naloxone Training and Distribution|2025-10-07|Health Educator|2.50</v>
      </c>
      <c r="I1191" s="1" t="n">
        <f aca="false">COUNTIF($H$5:$H$1624,H1191)</f>
        <v>1</v>
      </c>
      <c r="J1191" s="1" t="n">
        <f aca="false">COUNTIF($H$5:H1191,H1191)</f>
        <v>1</v>
      </c>
      <c r="K1191" s="1" t="n">
        <f aca="false">COUNTIFS($H$5:$H$1624,H1191,$B$5:$B$1624,"&lt;&gt;"&amp;B1191)</f>
        <v>0</v>
      </c>
      <c r="L1191" s="1" t="str">
        <f aca="false">IF(I1191&gt;1,IF(K1191&gt;0,"Cross-hospital match","Same-hospital match"),"")</f>
        <v/>
      </c>
      <c r="M1191" s="52"/>
      <c r="N1191" s="52"/>
      <c r="O1191" s="1" t="n">
        <f aca="false">IF(M1191="Exclude (duplicate)",0,1)</f>
        <v>1</v>
      </c>
      <c r="P1191" s="1" t="str">
        <f aca="false">IF(AND(L1191&lt;&gt;"",M1191=""),"Needs decision","")</f>
        <v/>
      </c>
    </row>
    <row r="1192" customFormat="false" ht="15" hidden="false" customHeight="false" outlineLevel="0" collapsed="false">
      <c r="A1192" s="48" t="str">
        <f aca="false">COST!A1192</f>
        <v>WCH-0085</v>
      </c>
      <c r="B1192" s="48" t="str">
        <f aca="false">COST!B1192</f>
        <v>WCH</v>
      </c>
      <c r="C1192" s="48" t="str">
        <f aca="false">COST!D1192</f>
        <v>Naloxone Training and Distribution</v>
      </c>
      <c r="D1192" s="62" t="n">
        <f aca="false">COST!M1192</f>
        <v>45937</v>
      </c>
      <c r="E1192" s="48" t="str">
        <f aca="false">COST!P1192</f>
        <v>Pharmacist</v>
      </c>
      <c r="F1192" s="63" t="n">
        <f aca="false">COST!R1192</f>
        <v>2</v>
      </c>
      <c r="G1192" s="48" t="str">
        <f aca="false">STACK!M1192</f>
        <v/>
      </c>
      <c r="H1192" s="1" t="str">
        <f aca="false">C1192&amp;"|"&amp;IF(ISNUMBER(D1192),TEXT(D1192,"yyyy-mm-dd"),"no date")&amp;"|"&amp;E1192&amp;"|"&amp;IF(ISNUMBER(F1192),TEXT(F1192,"0.00"),"blank")</f>
        <v>Naloxone Training and Distribution|2025-10-07|Pharmacist|2.00</v>
      </c>
      <c r="I1192" s="1" t="n">
        <f aca="false">COUNTIF($H$5:$H$1624,H1192)</f>
        <v>1</v>
      </c>
      <c r="J1192" s="1" t="n">
        <f aca="false">COUNTIF($H$5:H1192,H1192)</f>
        <v>1</v>
      </c>
      <c r="K1192" s="1" t="n">
        <f aca="false">COUNTIFS($H$5:$H$1624,H1192,$B$5:$B$1624,"&lt;&gt;"&amp;B1192)</f>
        <v>0</v>
      </c>
      <c r="L1192" s="1" t="str">
        <f aca="false">IF(I1192&gt;1,IF(K1192&gt;0,"Cross-hospital match","Same-hospital match"),"")</f>
        <v/>
      </c>
      <c r="M1192" s="52"/>
      <c r="N1192" s="52"/>
      <c r="O1192" s="1" t="n">
        <f aca="false">IF(M1192="Exclude (duplicate)",0,1)</f>
        <v>1</v>
      </c>
      <c r="P1192" s="1" t="str">
        <f aca="false">IF(AND(L1192&lt;&gt;"",M1192=""),"Needs decision","")</f>
        <v/>
      </c>
    </row>
    <row r="1193" customFormat="false" ht="15" hidden="false" customHeight="false" outlineLevel="0" collapsed="false">
      <c r="A1193" s="48" t="str">
        <f aca="false">COST!A1193</f>
        <v>WCH-0086</v>
      </c>
      <c r="B1193" s="48" t="str">
        <f aca="false">COST!B1193</f>
        <v>WCH</v>
      </c>
      <c r="C1193" s="48" t="str">
        <f aca="false">COST!D1193</f>
        <v>Grief Support Group</v>
      </c>
      <c r="D1193" s="62" t="n">
        <f aca="false">COST!M1193</f>
        <v>45941</v>
      </c>
      <c r="E1193" s="48" t="str">
        <f aca="false">COST!P1193</f>
        <v>Chaplain</v>
      </c>
      <c r="F1193" s="63" t="n">
        <f aca="false">COST!R1193</f>
        <v>2.25</v>
      </c>
      <c r="G1193" s="48" t="str">
        <f aca="false">STACK!M1193</f>
        <v/>
      </c>
      <c r="H1193" s="1" t="str">
        <f aca="false">C1193&amp;"|"&amp;IF(ISNUMBER(D1193),TEXT(D1193,"yyyy-mm-dd"),"no date")&amp;"|"&amp;E1193&amp;"|"&amp;IF(ISNUMBER(F1193),TEXT(F1193,"0.00"),"blank")</f>
        <v>Grief Support Group|2025-10-11|Chaplain|2.25</v>
      </c>
      <c r="I1193" s="1" t="n">
        <f aca="false">COUNTIF($H$5:$H$1624,H1193)</f>
        <v>1</v>
      </c>
      <c r="J1193" s="1" t="n">
        <f aca="false">COUNTIF($H$5:H1193,H1193)</f>
        <v>1</v>
      </c>
      <c r="K1193" s="1" t="n">
        <f aca="false">COUNTIFS($H$5:$H$1624,H1193,$B$5:$B$1624,"&lt;&gt;"&amp;B1193)</f>
        <v>0</v>
      </c>
      <c r="L1193" s="1" t="str">
        <f aca="false">IF(I1193&gt;1,IF(K1193&gt;0,"Cross-hospital match","Same-hospital match"),"")</f>
        <v/>
      </c>
      <c r="M1193" s="52"/>
      <c r="N1193" s="52"/>
      <c r="O1193" s="1" t="n">
        <f aca="false">IF(M1193="Exclude (duplicate)",0,1)</f>
        <v>1</v>
      </c>
      <c r="P1193" s="1" t="str">
        <f aca="false">IF(AND(L1193&lt;&gt;"",M1193=""),"Needs decision","")</f>
        <v/>
      </c>
    </row>
    <row r="1194" customFormat="false" ht="15" hidden="false" customHeight="false" outlineLevel="0" collapsed="false">
      <c r="A1194" s="48" t="str">
        <f aca="false">COST!A1194</f>
        <v>WCH-0087</v>
      </c>
      <c r="B1194" s="48" t="str">
        <f aca="false">COST!B1194</f>
        <v>WCH</v>
      </c>
      <c r="C1194" s="48" t="str">
        <f aca="false">COST!D1194</f>
        <v>Grief Support Group</v>
      </c>
      <c r="D1194" s="62" t="n">
        <f aca="false">COST!M1194</f>
        <v>45941</v>
      </c>
      <c r="E1194" s="48" t="str">
        <f aca="false">COST!P1194</f>
        <v>Social Worker</v>
      </c>
      <c r="F1194" s="63" t="n">
        <f aca="false">COST!R1194</f>
        <v>1.75</v>
      </c>
      <c r="G1194" s="48" t="str">
        <f aca="false">STACK!M1194</f>
        <v/>
      </c>
      <c r="H1194" s="1" t="str">
        <f aca="false">C1194&amp;"|"&amp;IF(ISNUMBER(D1194),TEXT(D1194,"yyyy-mm-dd"),"no date")&amp;"|"&amp;E1194&amp;"|"&amp;IF(ISNUMBER(F1194),TEXT(F1194,"0.00"),"blank")</f>
        <v>Grief Support Group|2025-10-11|Social Worker|1.75</v>
      </c>
      <c r="I1194" s="1" t="n">
        <f aca="false">COUNTIF($H$5:$H$1624,H1194)</f>
        <v>1</v>
      </c>
      <c r="J1194" s="1" t="n">
        <f aca="false">COUNTIF($H$5:H1194,H1194)</f>
        <v>1</v>
      </c>
      <c r="K1194" s="1" t="n">
        <f aca="false">COUNTIFS($H$5:$H$1624,H1194,$B$5:$B$1624,"&lt;&gt;"&amp;B1194)</f>
        <v>0</v>
      </c>
      <c r="L1194" s="1" t="str">
        <f aca="false">IF(I1194&gt;1,IF(K1194&gt;0,"Cross-hospital match","Same-hospital match"),"")</f>
        <v/>
      </c>
      <c r="M1194" s="52"/>
      <c r="N1194" s="52"/>
      <c r="O1194" s="1" t="n">
        <f aca="false">IF(M1194="Exclude (duplicate)",0,1)</f>
        <v>1</v>
      </c>
      <c r="P1194" s="1" t="str">
        <f aca="false">IF(AND(L1194&lt;&gt;"",M1194=""),"Needs decision","")</f>
        <v/>
      </c>
    </row>
    <row r="1195" customFormat="false" ht="15" hidden="false" customHeight="false" outlineLevel="0" collapsed="false">
      <c r="A1195" s="48" t="str">
        <f aca="false">COST!A1195</f>
        <v>WCH-0088</v>
      </c>
      <c r="B1195" s="48" t="str">
        <f aca="false">COST!B1195</f>
        <v>WCH</v>
      </c>
      <c r="C1195" s="48" t="str">
        <f aca="false">COST!D1195</f>
        <v>Car Seat Safety Checks</v>
      </c>
      <c r="D1195" s="62" t="n">
        <f aca="false">COST!M1195</f>
        <v>45959</v>
      </c>
      <c r="E1195" s="48" t="str">
        <f aca="false">COST!P1195</f>
        <v>Paramedic</v>
      </c>
      <c r="F1195" s="63" t="n">
        <f aca="false">COST!R1195</f>
        <v>3.25</v>
      </c>
      <c r="G1195" s="48" t="str">
        <f aca="false">STACK!M1195</f>
        <v/>
      </c>
      <c r="H1195" s="1" t="str">
        <f aca="false">C1195&amp;"|"&amp;IF(ISNUMBER(D1195),TEXT(D1195,"yyyy-mm-dd"),"no date")&amp;"|"&amp;E1195&amp;"|"&amp;IF(ISNUMBER(F1195),TEXT(F1195,"0.00"),"blank")</f>
        <v>Car Seat Safety Checks|2025-10-29|Paramedic|3.25</v>
      </c>
      <c r="I1195" s="1" t="n">
        <f aca="false">COUNTIF($H$5:$H$1624,H1195)</f>
        <v>1</v>
      </c>
      <c r="J1195" s="1" t="n">
        <f aca="false">COUNTIF($H$5:H1195,H1195)</f>
        <v>1</v>
      </c>
      <c r="K1195" s="1" t="n">
        <f aca="false">COUNTIFS($H$5:$H$1624,H1195,$B$5:$B$1624,"&lt;&gt;"&amp;B1195)</f>
        <v>0</v>
      </c>
      <c r="L1195" s="1" t="str">
        <f aca="false">IF(I1195&gt;1,IF(K1195&gt;0,"Cross-hospital match","Same-hospital match"),"")</f>
        <v/>
      </c>
      <c r="M1195" s="52"/>
      <c r="N1195" s="52"/>
      <c r="O1195" s="1" t="n">
        <f aca="false">IF(M1195="Exclude (duplicate)",0,1)</f>
        <v>1</v>
      </c>
      <c r="P1195" s="1" t="str">
        <f aca="false">IF(AND(L1195&lt;&gt;"",M1195=""),"Needs decision","")</f>
        <v/>
      </c>
    </row>
    <row r="1196" customFormat="false" ht="15" hidden="false" customHeight="false" outlineLevel="0" collapsed="false">
      <c r="A1196" s="48" t="str">
        <f aca="false">COST!A1196</f>
        <v>WCH-0089</v>
      </c>
      <c r="B1196" s="48" t="str">
        <f aca="false">COST!B1196</f>
        <v>WCH</v>
      </c>
      <c r="C1196" s="48" t="str">
        <f aca="false">COST!D1196</f>
        <v>Car Seat Safety Checks</v>
      </c>
      <c r="D1196" s="62" t="n">
        <f aca="false">COST!M1196</f>
        <v>45959</v>
      </c>
      <c r="E1196" s="48" t="str">
        <f aca="false">COST!P1196</f>
        <v>Registered Nurse</v>
      </c>
      <c r="F1196" s="63" t="n">
        <f aca="false">COST!R1196</f>
        <v>3.25</v>
      </c>
      <c r="G1196" s="48" t="str">
        <f aca="false">STACK!M1196</f>
        <v/>
      </c>
      <c r="H1196" s="1" t="str">
        <f aca="false">C1196&amp;"|"&amp;IF(ISNUMBER(D1196),TEXT(D1196,"yyyy-mm-dd"),"no date")&amp;"|"&amp;E1196&amp;"|"&amp;IF(ISNUMBER(F1196),TEXT(F1196,"0.00"),"blank")</f>
        <v>Car Seat Safety Checks|2025-10-29|Registered Nurse|3.25</v>
      </c>
      <c r="I1196" s="1" t="n">
        <f aca="false">COUNTIF($H$5:$H$1624,H1196)</f>
        <v>1</v>
      </c>
      <c r="J1196" s="1" t="n">
        <f aca="false">COUNTIF($H$5:H1196,H1196)</f>
        <v>1</v>
      </c>
      <c r="K1196" s="1" t="n">
        <f aca="false">COUNTIFS($H$5:$H$1624,H1196,$B$5:$B$1624,"&lt;&gt;"&amp;B1196)</f>
        <v>0</v>
      </c>
      <c r="L1196" s="1" t="str">
        <f aca="false">IF(I1196&gt;1,IF(K1196&gt;0,"Cross-hospital match","Same-hospital match"),"")</f>
        <v/>
      </c>
      <c r="M1196" s="52"/>
      <c r="N1196" s="52"/>
      <c r="O1196" s="1" t="n">
        <f aca="false">IF(M1196="Exclude (duplicate)",0,1)</f>
        <v>1</v>
      </c>
      <c r="P1196" s="1" t="str">
        <f aca="false">IF(AND(L1196&lt;&gt;"",M1196=""),"Needs decision","")</f>
        <v/>
      </c>
    </row>
    <row r="1197" customFormat="false" ht="15" hidden="false" customHeight="false" outlineLevel="0" collapsed="false">
      <c r="A1197" s="48" t="str">
        <f aca="false">COST!A1197</f>
        <v>WCH-0090</v>
      </c>
      <c r="B1197" s="48" t="str">
        <f aca="false">COST!B1197</f>
        <v>WCH</v>
      </c>
      <c r="C1197" s="48" t="str">
        <f aca="false">COST!D1197</f>
        <v>Mobile Health Screening Unit</v>
      </c>
      <c r="D1197" s="62" t="n">
        <f aca="false">COST!M1197</f>
        <v>45961</v>
      </c>
      <c r="E1197" s="48" t="str">
        <f aca="false">COST!P1197</f>
        <v>Community Health Worker</v>
      </c>
      <c r="F1197" s="63" t="n">
        <f aca="false">COST!R1197</f>
        <v>49</v>
      </c>
      <c r="G1197" s="48" t="str">
        <f aca="false">STACK!M1197</f>
        <v/>
      </c>
      <c r="H1197" s="1" t="str">
        <f aca="false">C1197&amp;"|"&amp;IF(ISNUMBER(D1197),TEXT(D1197,"yyyy-mm-dd"),"no date")&amp;"|"&amp;E1197&amp;"|"&amp;IF(ISNUMBER(F1197),TEXT(F1197,"0.00"),"blank")</f>
        <v>Mobile Health Screening Unit|2025-10-31|Community Health Worker|49.00</v>
      </c>
      <c r="I1197" s="1" t="n">
        <f aca="false">COUNTIF($H$5:$H$1624,H1197)</f>
        <v>1</v>
      </c>
      <c r="J1197" s="1" t="n">
        <f aca="false">COUNTIF($H$5:H1197,H1197)</f>
        <v>1</v>
      </c>
      <c r="K1197" s="1" t="n">
        <f aca="false">COUNTIFS($H$5:$H$1624,H1197,$B$5:$B$1624,"&lt;&gt;"&amp;B1197)</f>
        <v>0</v>
      </c>
      <c r="L1197" s="1" t="str">
        <f aca="false">IF(I1197&gt;1,IF(K1197&gt;0,"Cross-hospital match","Same-hospital match"),"")</f>
        <v/>
      </c>
      <c r="M1197" s="52"/>
      <c r="N1197" s="52"/>
      <c r="O1197" s="1" t="n">
        <f aca="false">IF(M1197="Exclude (duplicate)",0,1)</f>
        <v>1</v>
      </c>
      <c r="P1197" s="1" t="str">
        <f aca="false">IF(AND(L1197&lt;&gt;"",M1197=""),"Needs decision","")</f>
        <v/>
      </c>
    </row>
    <row r="1198" customFormat="false" ht="15" hidden="false" customHeight="false" outlineLevel="0" collapsed="false">
      <c r="A1198" s="48" t="str">
        <f aca="false">COST!A1198</f>
        <v>WCH-0091</v>
      </c>
      <c r="B1198" s="48" t="str">
        <f aca="false">COST!B1198</f>
        <v>WCH</v>
      </c>
      <c r="C1198" s="48" t="str">
        <f aca="false">COST!D1198</f>
        <v>Mobile Health Screening Unit</v>
      </c>
      <c r="D1198" s="62" t="n">
        <f aca="false">COST!M1198</f>
        <v>45961</v>
      </c>
      <c r="E1198" s="48" t="str">
        <f aca="false">COST!P1198</f>
        <v>Medical Assistant</v>
      </c>
      <c r="F1198" s="63" t="n">
        <f aca="false">COST!R1198</f>
        <v>69.25</v>
      </c>
      <c r="G1198" s="48" t="str">
        <f aca="false">STACK!M1198</f>
        <v/>
      </c>
      <c r="H1198" s="1" t="str">
        <f aca="false">C1198&amp;"|"&amp;IF(ISNUMBER(D1198),TEXT(D1198,"yyyy-mm-dd"),"no date")&amp;"|"&amp;E1198&amp;"|"&amp;IF(ISNUMBER(F1198),TEXT(F1198,"0.00"),"blank")</f>
        <v>Mobile Health Screening Unit|2025-10-31|Medical Assistant|69.25</v>
      </c>
      <c r="I1198" s="1" t="n">
        <f aca="false">COUNTIF($H$5:$H$1624,H1198)</f>
        <v>1</v>
      </c>
      <c r="J1198" s="1" t="n">
        <f aca="false">COUNTIF($H$5:H1198,H1198)</f>
        <v>1</v>
      </c>
      <c r="K1198" s="1" t="n">
        <f aca="false">COUNTIFS($H$5:$H$1624,H1198,$B$5:$B$1624,"&lt;&gt;"&amp;B1198)</f>
        <v>0</v>
      </c>
      <c r="L1198" s="1" t="str">
        <f aca="false">IF(I1198&gt;1,IF(K1198&gt;0,"Cross-hospital match","Same-hospital match"),"")</f>
        <v/>
      </c>
      <c r="M1198" s="52"/>
      <c r="N1198" s="52"/>
      <c r="O1198" s="1" t="n">
        <f aca="false">IF(M1198="Exclude (duplicate)",0,1)</f>
        <v>1</v>
      </c>
      <c r="P1198" s="1" t="str">
        <f aca="false">IF(AND(L1198&lt;&gt;"",M1198=""),"Needs decision","")</f>
        <v/>
      </c>
    </row>
    <row r="1199" customFormat="false" ht="15" hidden="false" customHeight="false" outlineLevel="0" collapsed="false">
      <c r="A1199" s="48" t="str">
        <f aca="false">COST!A1199</f>
        <v>WCH-0092</v>
      </c>
      <c r="B1199" s="48" t="str">
        <f aca="false">COST!B1199</f>
        <v>WCH</v>
      </c>
      <c r="C1199" s="48" t="str">
        <f aca="false">COST!D1199</f>
        <v>Mobile Health Screening Unit</v>
      </c>
      <c r="D1199" s="62" t="n">
        <f aca="false">COST!M1199</f>
        <v>45961</v>
      </c>
      <c r="E1199" s="48" t="str">
        <f aca="false">COST!P1199</f>
        <v>Registered Nurse</v>
      </c>
      <c r="F1199" s="63" t="n">
        <f aca="false">COST!R1199</f>
        <v>80.75</v>
      </c>
      <c r="G1199" s="48" t="str">
        <f aca="false">STACK!M1199</f>
        <v/>
      </c>
      <c r="H1199" s="1" t="str">
        <f aca="false">C1199&amp;"|"&amp;IF(ISNUMBER(D1199),TEXT(D1199,"yyyy-mm-dd"),"no date")&amp;"|"&amp;E1199&amp;"|"&amp;IF(ISNUMBER(F1199),TEXT(F1199,"0.00"),"blank")</f>
        <v>Mobile Health Screening Unit|2025-10-31|Registered Nurse|80.75</v>
      </c>
      <c r="I1199" s="1" t="n">
        <f aca="false">COUNTIF($H$5:$H$1624,H1199)</f>
        <v>1</v>
      </c>
      <c r="J1199" s="1" t="n">
        <f aca="false">COUNTIF($H$5:H1199,H1199)</f>
        <v>1</v>
      </c>
      <c r="K1199" s="1" t="n">
        <f aca="false">COUNTIFS($H$5:$H$1624,H1199,$B$5:$B$1624,"&lt;&gt;"&amp;B1199)</f>
        <v>0</v>
      </c>
      <c r="L1199" s="1" t="str">
        <f aca="false">IF(I1199&gt;1,IF(K1199&gt;0,"Cross-hospital match","Same-hospital match"),"")</f>
        <v/>
      </c>
      <c r="M1199" s="52"/>
      <c r="N1199" s="52"/>
      <c r="O1199" s="1" t="n">
        <f aca="false">IF(M1199="Exclude (duplicate)",0,1)</f>
        <v>1</v>
      </c>
      <c r="P1199" s="1" t="str">
        <f aca="false">IF(AND(L1199&lt;&gt;"",M1199=""),"Needs decision","")</f>
        <v/>
      </c>
    </row>
    <row r="1200" customFormat="false" ht="15" hidden="false" customHeight="false" outlineLevel="0" collapsed="false">
      <c r="A1200" s="48" t="str">
        <f aca="false">COST!A1200</f>
        <v>WCH-0093</v>
      </c>
      <c r="B1200" s="48" t="str">
        <f aca="false">COST!B1200</f>
        <v>WCH</v>
      </c>
      <c r="C1200" s="48" t="str">
        <f aca="false">COST!D1200</f>
        <v>Community Health Worker Outreach</v>
      </c>
      <c r="D1200" s="62" t="n">
        <f aca="false">COST!M1200</f>
        <v>45961</v>
      </c>
      <c r="E1200" s="48" t="str">
        <f aca="false">COST!P1200</f>
        <v>Community Health Worker</v>
      </c>
      <c r="F1200" s="63" t="n">
        <f aca="false">COST!R1200</f>
        <v>257.75</v>
      </c>
      <c r="G1200" s="48" t="str">
        <f aca="false">STACK!M1200</f>
        <v/>
      </c>
      <c r="H1200" s="1" t="str">
        <f aca="false">C1200&amp;"|"&amp;IF(ISNUMBER(D1200),TEXT(D1200,"yyyy-mm-dd"),"no date")&amp;"|"&amp;E1200&amp;"|"&amp;IF(ISNUMBER(F1200),TEXT(F1200,"0.00"),"blank")</f>
        <v>Community Health Worker Outreach|2025-10-31|Community Health Worker|257.75</v>
      </c>
      <c r="I1200" s="1" t="n">
        <f aca="false">COUNTIF($H$5:$H$1624,H1200)</f>
        <v>1</v>
      </c>
      <c r="J1200" s="1" t="n">
        <f aca="false">COUNTIF($H$5:H1200,H1200)</f>
        <v>1</v>
      </c>
      <c r="K1200" s="1" t="n">
        <f aca="false">COUNTIFS($H$5:$H$1624,H1200,$B$5:$B$1624,"&lt;&gt;"&amp;B1200)</f>
        <v>0</v>
      </c>
      <c r="L1200" s="1" t="str">
        <f aca="false">IF(I1200&gt;1,IF(K1200&gt;0,"Cross-hospital match","Same-hospital match"),"")</f>
        <v/>
      </c>
      <c r="M1200" s="52"/>
      <c r="N1200" s="52"/>
      <c r="O1200" s="1" t="n">
        <f aca="false">IF(M1200="Exclude (duplicate)",0,1)</f>
        <v>1</v>
      </c>
      <c r="P1200" s="1" t="str">
        <f aca="false">IF(AND(L1200&lt;&gt;"",M1200=""),"Needs decision","")</f>
        <v/>
      </c>
    </row>
    <row r="1201" customFormat="false" ht="15" hidden="false" customHeight="false" outlineLevel="0" collapsed="false">
      <c r="A1201" s="48" t="str">
        <f aca="false">COST!A1201</f>
        <v>WCH-0094</v>
      </c>
      <c r="B1201" s="48" t="str">
        <f aca="false">COST!B1201</f>
        <v>WCH</v>
      </c>
      <c r="C1201" s="48" t="str">
        <f aca="false">COST!D1201</f>
        <v>Community Health Worker Outreach</v>
      </c>
      <c r="D1201" s="62" t="n">
        <f aca="false">COST!M1201</f>
        <v>45961</v>
      </c>
      <c r="E1201" s="48" t="str">
        <f aca="false">COST!P1201</f>
        <v>Patient Navigator</v>
      </c>
      <c r="F1201" s="63" t="n">
        <f aca="false">COST!R1201</f>
        <v>107.5</v>
      </c>
      <c r="G1201" s="48" t="str">
        <f aca="false">STACK!M1201</f>
        <v/>
      </c>
      <c r="H1201" s="1" t="str">
        <f aca="false">C1201&amp;"|"&amp;IF(ISNUMBER(D1201),TEXT(D1201,"yyyy-mm-dd"),"no date")&amp;"|"&amp;E1201&amp;"|"&amp;IF(ISNUMBER(F1201),TEXT(F1201,"0.00"),"blank")</f>
        <v>Community Health Worker Outreach|2025-10-31|Patient Navigator|107.50</v>
      </c>
      <c r="I1201" s="1" t="n">
        <f aca="false">COUNTIF($H$5:$H$1624,H1201)</f>
        <v>1</v>
      </c>
      <c r="J1201" s="1" t="n">
        <f aca="false">COUNTIF($H$5:H1201,H1201)</f>
        <v>1</v>
      </c>
      <c r="K1201" s="1" t="n">
        <f aca="false">COUNTIFS($H$5:$H$1624,H1201,$B$5:$B$1624,"&lt;&gt;"&amp;B1201)</f>
        <v>0</v>
      </c>
      <c r="L1201" s="1" t="str">
        <f aca="false">IF(I1201&gt;1,IF(K1201&gt;0,"Cross-hospital match","Same-hospital match"),"")</f>
        <v/>
      </c>
      <c r="M1201" s="52"/>
      <c r="N1201" s="52"/>
      <c r="O1201" s="1" t="n">
        <f aca="false">IF(M1201="Exclude (duplicate)",0,1)</f>
        <v>1</v>
      </c>
      <c r="P1201" s="1" t="str">
        <f aca="false">IF(AND(L1201&lt;&gt;"",M1201=""),"Needs decision","")</f>
        <v/>
      </c>
    </row>
    <row r="1202" customFormat="false" ht="15" hidden="false" customHeight="false" outlineLevel="0" collapsed="false">
      <c r="A1202" s="48" t="str">
        <f aca="false">COST!A1202</f>
        <v>WCH-0095</v>
      </c>
      <c r="B1202" s="48" t="str">
        <f aca="false">COST!B1202</f>
        <v>WCH</v>
      </c>
      <c r="C1202" s="48" t="str">
        <f aca="false">COST!D1202</f>
        <v>Produce Prescription Program</v>
      </c>
      <c r="D1202" s="62" t="n">
        <f aca="false">COST!M1202</f>
        <v>45961</v>
      </c>
      <c r="E1202" s="48" t="str">
        <f aca="false">COST!P1202</f>
        <v>Community Health Worker</v>
      </c>
      <c r="F1202" s="63" t="n">
        <f aca="false">COST!R1202</f>
        <v>37</v>
      </c>
      <c r="G1202" s="48" t="str">
        <f aca="false">STACK!M1202</f>
        <v/>
      </c>
      <c r="H1202" s="1" t="str">
        <f aca="false">C1202&amp;"|"&amp;IF(ISNUMBER(D1202),TEXT(D1202,"yyyy-mm-dd"),"no date")&amp;"|"&amp;E1202&amp;"|"&amp;IF(ISNUMBER(F1202),TEXT(F1202,"0.00"),"blank")</f>
        <v>Produce Prescription Program|2025-10-31|Community Health Worker|37.00</v>
      </c>
      <c r="I1202" s="1" t="n">
        <f aca="false">COUNTIF($H$5:$H$1624,H1202)</f>
        <v>1</v>
      </c>
      <c r="J1202" s="1" t="n">
        <f aca="false">COUNTIF($H$5:H1202,H1202)</f>
        <v>1</v>
      </c>
      <c r="K1202" s="1" t="n">
        <f aca="false">COUNTIFS($H$5:$H$1624,H1202,$B$5:$B$1624,"&lt;&gt;"&amp;B1202)</f>
        <v>0</v>
      </c>
      <c r="L1202" s="1" t="str">
        <f aca="false">IF(I1202&gt;1,IF(K1202&gt;0,"Cross-hospital match","Same-hospital match"),"")</f>
        <v/>
      </c>
      <c r="M1202" s="52"/>
      <c r="N1202" s="52"/>
      <c r="O1202" s="1" t="n">
        <f aca="false">IF(M1202="Exclude (duplicate)",0,1)</f>
        <v>1</v>
      </c>
      <c r="P1202" s="1" t="str">
        <f aca="false">IF(AND(L1202&lt;&gt;"",M1202=""),"Needs decision","")</f>
        <v/>
      </c>
    </row>
    <row r="1203" customFormat="false" ht="15" hidden="false" customHeight="false" outlineLevel="0" collapsed="false">
      <c r="A1203" s="48" t="str">
        <f aca="false">COST!A1203</f>
        <v>WCH-0096</v>
      </c>
      <c r="B1203" s="48" t="str">
        <f aca="false">COST!B1203</f>
        <v>WCH</v>
      </c>
      <c r="C1203" s="48" t="str">
        <f aca="false">COST!D1203</f>
        <v>Produce Prescription Program</v>
      </c>
      <c r="D1203" s="62" t="n">
        <f aca="false">COST!M1203</f>
        <v>45961</v>
      </c>
      <c r="E1203" s="48" t="str">
        <f aca="false">COST!P1203</f>
        <v>Registered Dietitian</v>
      </c>
      <c r="F1203" s="63" t="n">
        <f aca="false">COST!R1203</f>
        <v>20</v>
      </c>
      <c r="G1203" s="48" t="str">
        <f aca="false">STACK!M1203</f>
        <v/>
      </c>
      <c r="H1203" s="1" t="str">
        <f aca="false">C1203&amp;"|"&amp;IF(ISNUMBER(D1203),TEXT(D1203,"yyyy-mm-dd"),"no date")&amp;"|"&amp;E1203&amp;"|"&amp;IF(ISNUMBER(F1203),TEXT(F1203,"0.00"),"blank")</f>
        <v>Produce Prescription Program|2025-10-31|Registered Dietitian|20.00</v>
      </c>
      <c r="I1203" s="1" t="n">
        <f aca="false">COUNTIF($H$5:$H$1624,H1203)</f>
        <v>1</v>
      </c>
      <c r="J1203" s="1" t="n">
        <f aca="false">COUNTIF($H$5:H1203,H1203)</f>
        <v>1</v>
      </c>
      <c r="K1203" s="1" t="n">
        <f aca="false">COUNTIFS($H$5:$H$1624,H1203,$B$5:$B$1624,"&lt;&gt;"&amp;B1203)</f>
        <v>0</v>
      </c>
      <c r="L1203" s="1" t="str">
        <f aca="false">IF(I1203&gt;1,IF(K1203&gt;0,"Cross-hospital match","Same-hospital match"),"")</f>
        <v/>
      </c>
      <c r="M1203" s="52"/>
      <c r="N1203" s="52"/>
      <c r="O1203" s="1" t="n">
        <f aca="false">IF(M1203="Exclude (duplicate)",0,1)</f>
        <v>1</v>
      </c>
      <c r="P1203" s="1" t="str">
        <f aca="false">IF(AND(L1203&lt;&gt;"",M1203=""),"Needs decision","")</f>
        <v/>
      </c>
    </row>
    <row r="1204" customFormat="false" ht="15" hidden="false" customHeight="false" outlineLevel="0" collapsed="false">
      <c r="A1204" s="48" t="str">
        <f aca="false">COST!A1204</f>
        <v>WCH-0097</v>
      </c>
      <c r="B1204" s="48" t="str">
        <f aca="false">COST!B1204</f>
        <v>WCH</v>
      </c>
      <c r="C1204" s="48" t="str">
        <f aca="false">COST!D1204</f>
        <v>Community Benefit Program Administration</v>
      </c>
      <c r="D1204" s="62" t="n">
        <f aca="false">COST!M1204</f>
        <v>45961</v>
      </c>
      <c r="E1204" s="48" t="str">
        <f aca="false">COST!P1204</f>
        <v>Administrative Assistant</v>
      </c>
      <c r="F1204" s="63" t="n">
        <f aca="false">COST!R1204</f>
        <v>41.25</v>
      </c>
      <c r="G1204" s="48" t="str">
        <f aca="false">STACK!M1204</f>
        <v/>
      </c>
      <c r="H1204" s="1" t="str">
        <f aca="false">C1204&amp;"|"&amp;IF(ISNUMBER(D1204),TEXT(D1204,"yyyy-mm-dd"),"no date")&amp;"|"&amp;E1204&amp;"|"&amp;IF(ISNUMBER(F1204),TEXT(F1204,"0.00"),"blank")</f>
        <v>Community Benefit Program Administration|2025-10-31|Administrative Assistant|41.25</v>
      </c>
      <c r="I1204" s="1" t="n">
        <f aca="false">COUNTIF($H$5:$H$1624,H1204)</f>
        <v>1</v>
      </c>
      <c r="J1204" s="1" t="n">
        <f aca="false">COUNTIF($H$5:H1204,H1204)</f>
        <v>1</v>
      </c>
      <c r="K1204" s="1" t="n">
        <f aca="false">COUNTIFS($H$5:$H$1624,H1204,$B$5:$B$1624,"&lt;&gt;"&amp;B1204)</f>
        <v>0</v>
      </c>
      <c r="L1204" s="1" t="str">
        <f aca="false">IF(I1204&gt;1,IF(K1204&gt;0,"Cross-hospital match","Same-hospital match"),"")</f>
        <v/>
      </c>
      <c r="M1204" s="52"/>
      <c r="N1204" s="52"/>
      <c r="O1204" s="1" t="n">
        <f aca="false">IF(M1204="Exclude (duplicate)",0,1)</f>
        <v>1</v>
      </c>
      <c r="P1204" s="1" t="str">
        <f aca="false">IF(AND(L1204&lt;&gt;"",M1204=""),"Needs decision","")</f>
        <v/>
      </c>
    </row>
    <row r="1205" customFormat="false" ht="15" hidden="false" customHeight="false" outlineLevel="0" collapsed="false">
      <c r="A1205" s="48" t="str">
        <f aca="false">COST!A1205</f>
        <v>WCH-0098</v>
      </c>
      <c r="B1205" s="48" t="str">
        <f aca="false">COST!B1205</f>
        <v>WCH</v>
      </c>
      <c r="C1205" s="48" t="str">
        <f aca="false">COST!D1205</f>
        <v>Community Benefit Program Administration</v>
      </c>
      <c r="D1205" s="62" t="n">
        <f aca="false">COST!M1205</f>
        <v>45961</v>
      </c>
      <c r="E1205" s="48" t="str">
        <f aca="false">COST!P1205</f>
        <v>Community Benefit Manager</v>
      </c>
      <c r="F1205" s="63" t="n">
        <f aca="false">COST!R1205</f>
        <v>46.5</v>
      </c>
      <c r="G1205" s="48" t="str">
        <f aca="false">STACK!M1205</f>
        <v/>
      </c>
      <c r="H1205" s="1" t="str">
        <f aca="false">C1205&amp;"|"&amp;IF(ISNUMBER(D1205),TEXT(D1205,"yyyy-mm-dd"),"no date")&amp;"|"&amp;E1205&amp;"|"&amp;IF(ISNUMBER(F1205),TEXT(F1205,"0.00"),"blank")</f>
        <v>Community Benefit Program Administration|2025-10-31|Community Benefit Manager|46.50</v>
      </c>
      <c r="I1205" s="1" t="n">
        <f aca="false">COUNTIF($H$5:$H$1624,H1205)</f>
        <v>1</v>
      </c>
      <c r="J1205" s="1" t="n">
        <f aca="false">COUNTIF($H$5:H1205,H1205)</f>
        <v>1</v>
      </c>
      <c r="K1205" s="1" t="n">
        <f aca="false">COUNTIFS($H$5:$H$1624,H1205,$B$5:$B$1624,"&lt;&gt;"&amp;B1205)</f>
        <v>0</v>
      </c>
      <c r="L1205" s="1" t="str">
        <f aca="false">IF(I1205&gt;1,IF(K1205&gt;0,"Cross-hospital match","Same-hospital match"),"")</f>
        <v/>
      </c>
      <c r="M1205" s="52"/>
      <c r="N1205" s="52"/>
      <c r="O1205" s="1" t="n">
        <f aca="false">IF(M1205="Exclude (duplicate)",0,1)</f>
        <v>1</v>
      </c>
      <c r="P1205" s="1" t="str">
        <f aca="false">IF(AND(L1205&lt;&gt;"",M1205=""),"Needs decision","")</f>
        <v/>
      </c>
    </row>
    <row r="1206" customFormat="false" ht="15" hidden="false" customHeight="false" outlineLevel="0" collapsed="false">
      <c r="A1206" s="48" t="str">
        <f aca="false">COST!A1206</f>
        <v>WCH-0099</v>
      </c>
      <c r="B1206" s="48" t="str">
        <f aca="false">COST!B1206</f>
        <v>WCH</v>
      </c>
      <c r="C1206" s="48" t="str">
        <f aca="false">COST!D1206</f>
        <v>Community Paramedic Home Visits</v>
      </c>
      <c r="D1206" s="62" t="n">
        <f aca="false">COST!M1206</f>
        <v>45961</v>
      </c>
      <c r="E1206" s="48" t="str">
        <f aca="false">COST!P1206</f>
        <v>Paramedic</v>
      </c>
      <c r="F1206" s="63" t="n">
        <f aca="false">COST!R1206</f>
        <v>79.25</v>
      </c>
      <c r="G1206" s="48" t="str">
        <f aca="false">STACK!M1206</f>
        <v/>
      </c>
      <c r="H1206" s="1" t="str">
        <f aca="false">C1206&amp;"|"&amp;IF(ISNUMBER(D1206),TEXT(D1206,"yyyy-mm-dd"),"no date")&amp;"|"&amp;E1206&amp;"|"&amp;IF(ISNUMBER(F1206),TEXT(F1206,"0.00"),"blank")</f>
        <v>Community Paramedic Home Visits|2025-10-31|Paramedic|79.25</v>
      </c>
      <c r="I1206" s="1" t="n">
        <f aca="false">COUNTIF($H$5:$H$1624,H1206)</f>
        <v>1</v>
      </c>
      <c r="J1206" s="1" t="n">
        <f aca="false">COUNTIF($H$5:H1206,H1206)</f>
        <v>1</v>
      </c>
      <c r="K1206" s="1" t="n">
        <f aca="false">COUNTIFS($H$5:$H$1624,H1206,$B$5:$B$1624,"&lt;&gt;"&amp;B1206)</f>
        <v>0</v>
      </c>
      <c r="L1206" s="1" t="str">
        <f aca="false">IF(I1206&gt;1,IF(K1206&gt;0,"Cross-hospital match","Same-hospital match"),"")</f>
        <v/>
      </c>
      <c r="M1206" s="52"/>
      <c r="N1206" s="52"/>
      <c r="O1206" s="1" t="n">
        <f aca="false">IF(M1206="Exclude (duplicate)",0,1)</f>
        <v>1</v>
      </c>
      <c r="P1206" s="1" t="str">
        <f aca="false">IF(AND(L1206&lt;&gt;"",M1206=""),"Needs decision","")</f>
        <v/>
      </c>
    </row>
    <row r="1207" customFormat="false" ht="15" hidden="false" customHeight="false" outlineLevel="0" collapsed="false">
      <c r="A1207" s="48" t="str">
        <f aca="false">COST!A1207</f>
        <v>WCH-0100</v>
      </c>
      <c r="B1207" s="48" t="str">
        <f aca="false">COST!B1207</f>
        <v>WCH</v>
      </c>
      <c r="C1207" s="48" t="str">
        <f aca="false">COST!D1207</f>
        <v>Nursing Student Clinical Rotations</v>
      </c>
      <c r="D1207" s="62" t="n">
        <f aca="false">COST!M1207</f>
        <v>45961</v>
      </c>
      <c r="E1207" s="48" t="str">
        <f aca="false">COST!P1207</f>
        <v>Clinical Nurse Educator</v>
      </c>
      <c r="F1207" s="63" t="n">
        <f aca="false">COST!R1207</f>
        <v>72.75</v>
      </c>
      <c r="G1207" s="48" t="str">
        <f aca="false">STACK!M1207</f>
        <v/>
      </c>
      <c r="H1207" s="1" t="str">
        <f aca="false">C1207&amp;"|"&amp;IF(ISNUMBER(D1207),TEXT(D1207,"yyyy-mm-dd"),"no date")&amp;"|"&amp;E1207&amp;"|"&amp;IF(ISNUMBER(F1207),TEXT(F1207,"0.00"),"blank")</f>
        <v>Nursing Student Clinical Rotations|2025-10-31|Clinical Nurse Educator|72.75</v>
      </c>
      <c r="I1207" s="1" t="n">
        <f aca="false">COUNTIF($H$5:$H$1624,H1207)</f>
        <v>1</v>
      </c>
      <c r="J1207" s="1" t="n">
        <f aca="false">COUNTIF($H$5:H1207,H1207)</f>
        <v>1</v>
      </c>
      <c r="K1207" s="1" t="n">
        <f aca="false">COUNTIFS($H$5:$H$1624,H1207,$B$5:$B$1624,"&lt;&gt;"&amp;B1207)</f>
        <v>0</v>
      </c>
      <c r="L1207" s="1" t="str">
        <f aca="false">IF(I1207&gt;1,IF(K1207&gt;0,"Cross-hospital match","Same-hospital match"),"")</f>
        <v/>
      </c>
      <c r="M1207" s="52"/>
      <c r="N1207" s="52"/>
      <c r="O1207" s="1" t="n">
        <f aca="false">IF(M1207="Exclude (duplicate)",0,1)</f>
        <v>1</v>
      </c>
      <c r="P1207" s="1" t="str">
        <f aca="false">IF(AND(L1207&lt;&gt;"",M1207=""),"Needs decision","")</f>
        <v/>
      </c>
    </row>
    <row r="1208" customFormat="false" ht="15" hidden="false" customHeight="false" outlineLevel="0" collapsed="false">
      <c r="A1208" s="48" t="str">
        <f aca="false">COST!A1208</f>
        <v>WCH-0101</v>
      </c>
      <c r="B1208" s="48" t="str">
        <f aca="false">COST!B1208</f>
        <v>WCH</v>
      </c>
      <c r="C1208" s="48" t="str">
        <f aca="false">COST!D1208</f>
        <v>Nursing Student Clinical Rotations</v>
      </c>
      <c r="D1208" s="62" t="n">
        <f aca="false">COST!M1208</f>
        <v>45961</v>
      </c>
      <c r="E1208" s="48" t="str">
        <f aca="false">COST!P1208</f>
        <v>Registered Nurse</v>
      </c>
      <c r="F1208" s="63" t="n">
        <f aca="false">COST!R1208</f>
        <v>160.5</v>
      </c>
      <c r="G1208" s="48" t="str">
        <f aca="false">STACK!M1208</f>
        <v/>
      </c>
      <c r="H1208" s="1" t="str">
        <f aca="false">C1208&amp;"|"&amp;IF(ISNUMBER(D1208),TEXT(D1208,"yyyy-mm-dd"),"no date")&amp;"|"&amp;E1208&amp;"|"&amp;IF(ISNUMBER(F1208),TEXT(F1208,"0.00"),"blank")</f>
        <v>Nursing Student Clinical Rotations|2025-10-31|Registered Nurse|160.50</v>
      </c>
      <c r="I1208" s="1" t="n">
        <f aca="false">COUNTIF($H$5:$H$1624,H1208)</f>
        <v>1</v>
      </c>
      <c r="J1208" s="1" t="n">
        <f aca="false">COUNTIF($H$5:H1208,H1208)</f>
        <v>1</v>
      </c>
      <c r="K1208" s="1" t="n">
        <f aca="false">COUNTIFS($H$5:$H$1624,H1208,$B$5:$B$1624,"&lt;&gt;"&amp;B1208)</f>
        <v>0</v>
      </c>
      <c r="L1208" s="1" t="str">
        <f aca="false">IF(I1208&gt;1,IF(K1208&gt;0,"Cross-hospital match","Same-hospital match"),"")</f>
        <v/>
      </c>
      <c r="M1208" s="52"/>
      <c r="N1208" s="52"/>
      <c r="O1208" s="1" t="n">
        <f aca="false">IF(M1208="Exclude (duplicate)",0,1)</f>
        <v>1</v>
      </c>
      <c r="P1208" s="1" t="str">
        <f aca="false">IF(AND(L1208&lt;&gt;"",M1208=""),"Needs decision","")</f>
        <v/>
      </c>
    </row>
    <row r="1209" customFormat="false" ht="15" hidden="false" customHeight="false" outlineLevel="0" collapsed="false">
      <c r="A1209" s="48" t="str">
        <f aca="false">COST!A1209</f>
        <v>WCH-0102</v>
      </c>
      <c r="B1209" s="48" t="str">
        <f aca="false">COST!B1209</f>
        <v>WCH</v>
      </c>
      <c r="C1209" s="48" t="str">
        <f aca="false">COST!D1209</f>
        <v>Paramedic Student Field Training</v>
      </c>
      <c r="D1209" s="62" t="n">
        <f aca="false">COST!M1209</f>
        <v>45961</v>
      </c>
      <c r="E1209" s="48" t="str">
        <f aca="false">COST!P1209</f>
        <v>Paramedic</v>
      </c>
      <c r="F1209" s="63" t="n">
        <f aca="false">COST!R1209</f>
        <v>58</v>
      </c>
      <c r="G1209" s="48" t="str">
        <f aca="false">STACK!M1209</f>
        <v/>
      </c>
      <c r="H1209" s="1" t="str">
        <f aca="false">C1209&amp;"|"&amp;IF(ISNUMBER(D1209),TEXT(D1209,"yyyy-mm-dd"),"no date")&amp;"|"&amp;E1209&amp;"|"&amp;IF(ISNUMBER(F1209),TEXT(F1209,"0.00"),"blank")</f>
        <v>Paramedic Student Field Training|2025-10-31|Paramedic|58.00</v>
      </c>
      <c r="I1209" s="1" t="n">
        <f aca="false">COUNTIF($H$5:$H$1624,H1209)</f>
        <v>1</v>
      </c>
      <c r="J1209" s="1" t="n">
        <f aca="false">COUNTIF($H$5:H1209,H1209)</f>
        <v>1</v>
      </c>
      <c r="K1209" s="1" t="n">
        <f aca="false">COUNTIFS($H$5:$H$1624,H1209,$B$5:$B$1624,"&lt;&gt;"&amp;B1209)</f>
        <v>0</v>
      </c>
      <c r="L1209" s="1" t="str">
        <f aca="false">IF(I1209&gt;1,IF(K1209&gt;0,"Cross-hospital match","Same-hospital match"),"")</f>
        <v/>
      </c>
      <c r="M1209" s="52"/>
      <c r="N1209" s="52"/>
      <c r="O1209" s="1" t="n">
        <f aca="false">IF(M1209="Exclude (duplicate)",0,1)</f>
        <v>1</v>
      </c>
      <c r="P1209" s="1" t="str">
        <f aca="false">IF(AND(L1209&lt;&gt;"",M1209=""),"Needs decision","")</f>
        <v/>
      </c>
    </row>
    <row r="1210" customFormat="false" ht="15" hidden="false" customHeight="false" outlineLevel="0" collapsed="false">
      <c r="A1210" s="48" t="str">
        <f aca="false">COST!A1210</f>
        <v>WCH-0103</v>
      </c>
      <c r="B1210" s="48" t="str">
        <f aca="false">COST!B1210</f>
        <v>WCH</v>
      </c>
      <c r="C1210" s="48" t="str">
        <f aca="false">COST!D1210</f>
        <v>Rural Maternal Outcomes Study</v>
      </c>
      <c r="D1210" s="62" t="n">
        <f aca="false">COST!M1210</f>
        <v>45961</v>
      </c>
      <c r="E1210" s="48" t="str">
        <f aca="false">COST!P1210</f>
        <v>Data Analyst</v>
      </c>
      <c r="F1210" s="63" t="n">
        <f aca="false">COST!R1210</f>
        <v>9</v>
      </c>
      <c r="G1210" s="48" t="str">
        <f aca="false">STACK!M1210</f>
        <v/>
      </c>
      <c r="H1210" s="1" t="str">
        <f aca="false">C1210&amp;"|"&amp;IF(ISNUMBER(D1210),TEXT(D1210,"yyyy-mm-dd"),"no date")&amp;"|"&amp;E1210&amp;"|"&amp;IF(ISNUMBER(F1210),TEXT(F1210,"0.00"),"blank")</f>
        <v>Rural Maternal Outcomes Study|2025-10-31|Data Analyst|9.00</v>
      </c>
      <c r="I1210" s="1" t="n">
        <f aca="false">COUNTIF($H$5:$H$1624,H1210)</f>
        <v>1</v>
      </c>
      <c r="J1210" s="1" t="n">
        <f aca="false">COUNTIF($H$5:H1210,H1210)</f>
        <v>1</v>
      </c>
      <c r="K1210" s="1" t="n">
        <f aca="false">COUNTIFS($H$5:$H$1624,H1210,$B$5:$B$1624,"&lt;&gt;"&amp;B1210)</f>
        <v>0</v>
      </c>
      <c r="L1210" s="1" t="str">
        <f aca="false">IF(I1210&gt;1,IF(K1210&gt;0,"Cross-hospital match","Same-hospital match"),"")</f>
        <v/>
      </c>
      <c r="M1210" s="52"/>
      <c r="N1210" s="52"/>
      <c r="O1210" s="1" t="n">
        <f aca="false">IF(M1210="Exclude (duplicate)",0,1)</f>
        <v>1</v>
      </c>
      <c r="P1210" s="1" t="str">
        <f aca="false">IF(AND(L1210&lt;&gt;"",M1210=""),"Needs decision","")</f>
        <v/>
      </c>
    </row>
    <row r="1211" customFormat="false" ht="15" hidden="false" customHeight="false" outlineLevel="0" collapsed="false">
      <c r="A1211" s="48" t="str">
        <f aca="false">COST!A1211</f>
        <v>WCH-0104</v>
      </c>
      <c r="B1211" s="48" t="str">
        <f aca="false">COST!B1211</f>
        <v>WCH</v>
      </c>
      <c r="C1211" s="48" t="str">
        <f aca="false">COST!D1211</f>
        <v>Rural Maternal Outcomes Study</v>
      </c>
      <c r="D1211" s="62" t="n">
        <f aca="false">COST!M1211</f>
        <v>45961</v>
      </c>
      <c r="E1211" s="48" t="str">
        <f aca="false">COST!P1211</f>
        <v>Research Coordinator</v>
      </c>
      <c r="F1211" s="63" t="n">
        <f aca="false">COST!R1211</f>
        <v>52.25</v>
      </c>
      <c r="G1211" s="48" t="str">
        <f aca="false">STACK!M1211</f>
        <v/>
      </c>
      <c r="H1211" s="1" t="str">
        <f aca="false">C1211&amp;"|"&amp;IF(ISNUMBER(D1211),TEXT(D1211,"yyyy-mm-dd"),"no date")&amp;"|"&amp;E1211&amp;"|"&amp;IF(ISNUMBER(F1211),TEXT(F1211,"0.00"),"blank")</f>
        <v>Rural Maternal Outcomes Study|2025-10-31|Research Coordinator|52.25</v>
      </c>
      <c r="I1211" s="1" t="n">
        <f aca="false">COUNTIF($H$5:$H$1624,H1211)</f>
        <v>1</v>
      </c>
      <c r="J1211" s="1" t="n">
        <f aca="false">COUNTIF($H$5:H1211,H1211)</f>
        <v>1</v>
      </c>
      <c r="K1211" s="1" t="n">
        <f aca="false">COUNTIFS($H$5:$H$1624,H1211,$B$5:$B$1624,"&lt;&gt;"&amp;B1211)</f>
        <v>0</v>
      </c>
      <c r="L1211" s="1" t="str">
        <f aca="false">IF(I1211&gt;1,IF(K1211&gt;0,"Cross-hospital match","Same-hospital match"),"")</f>
        <v/>
      </c>
      <c r="M1211" s="52"/>
      <c r="N1211" s="52"/>
      <c r="O1211" s="1" t="n">
        <f aca="false">IF(M1211="Exclude (duplicate)",0,1)</f>
        <v>1</v>
      </c>
      <c r="P1211" s="1" t="str">
        <f aca="false">IF(AND(L1211&lt;&gt;"",M1211=""),"Needs decision","")</f>
        <v/>
      </c>
    </row>
    <row r="1212" customFormat="false" ht="15" hidden="false" customHeight="false" outlineLevel="0" collapsed="false">
      <c r="A1212" s="48" t="str">
        <f aca="false">COST!A1212</f>
        <v>WCH-0105</v>
      </c>
      <c r="B1212" s="48" t="str">
        <f aca="false">COST!B1212</f>
        <v>WCH</v>
      </c>
      <c r="C1212" s="48" t="str">
        <f aca="false">COST!D1212</f>
        <v>Car Seat Safety Checks</v>
      </c>
      <c r="D1212" s="62" t="n">
        <f aca="false">COST!M1212</f>
        <v>45962</v>
      </c>
      <c r="E1212" s="48" t="str">
        <f aca="false">COST!P1212</f>
        <v>Paramedic</v>
      </c>
      <c r="F1212" s="63" t="n">
        <f aca="false">COST!R1212</f>
        <v>3.75</v>
      </c>
      <c r="G1212" s="48" t="str">
        <f aca="false">STACK!M1212</f>
        <v/>
      </c>
      <c r="H1212" s="1" t="str">
        <f aca="false">C1212&amp;"|"&amp;IF(ISNUMBER(D1212),TEXT(D1212,"yyyy-mm-dd"),"no date")&amp;"|"&amp;E1212&amp;"|"&amp;IF(ISNUMBER(F1212),TEXT(F1212,"0.00"),"blank")</f>
        <v>Car Seat Safety Checks|2025-11-01|Paramedic|3.75</v>
      </c>
      <c r="I1212" s="1" t="n">
        <f aca="false">COUNTIF($H$5:$H$1624,H1212)</f>
        <v>1</v>
      </c>
      <c r="J1212" s="1" t="n">
        <f aca="false">COUNTIF($H$5:H1212,H1212)</f>
        <v>1</v>
      </c>
      <c r="K1212" s="1" t="n">
        <f aca="false">COUNTIFS($H$5:$H$1624,H1212,$B$5:$B$1624,"&lt;&gt;"&amp;B1212)</f>
        <v>0</v>
      </c>
      <c r="L1212" s="1" t="str">
        <f aca="false">IF(I1212&gt;1,IF(K1212&gt;0,"Cross-hospital match","Same-hospital match"),"")</f>
        <v/>
      </c>
      <c r="M1212" s="52"/>
      <c r="N1212" s="52"/>
      <c r="O1212" s="1" t="n">
        <f aca="false">IF(M1212="Exclude (duplicate)",0,1)</f>
        <v>1</v>
      </c>
      <c r="P1212" s="1" t="str">
        <f aca="false">IF(AND(L1212&lt;&gt;"",M1212=""),"Needs decision","")</f>
        <v/>
      </c>
    </row>
    <row r="1213" customFormat="false" ht="15" hidden="false" customHeight="false" outlineLevel="0" collapsed="false">
      <c r="A1213" s="48" t="str">
        <f aca="false">COST!A1213</f>
        <v>WCH-0106</v>
      </c>
      <c r="B1213" s="48" t="str">
        <f aca="false">COST!B1213</f>
        <v>WCH</v>
      </c>
      <c r="C1213" s="48" t="str">
        <f aca="false">COST!D1213</f>
        <v>Car Seat Safety Checks</v>
      </c>
      <c r="D1213" s="62" t="n">
        <f aca="false">COST!M1213</f>
        <v>45962</v>
      </c>
      <c r="E1213" s="48" t="str">
        <f aca="false">COST!P1213</f>
        <v>Registered Nurse</v>
      </c>
      <c r="F1213" s="63" t="n">
        <f aca="false">COST!R1213</f>
        <v>3.75</v>
      </c>
      <c r="G1213" s="48" t="str">
        <f aca="false">STACK!M1213</f>
        <v/>
      </c>
      <c r="H1213" s="1" t="str">
        <f aca="false">C1213&amp;"|"&amp;IF(ISNUMBER(D1213),TEXT(D1213,"yyyy-mm-dd"),"no date")&amp;"|"&amp;E1213&amp;"|"&amp;IF(ISNUMBER(F1213),TEXT(F1213,"0.00"),"blank")</f>
        <v>Car Seat Safety Checks|2025-11-01|Registered Nurse|3.75</v>
      </c>
      <c r="I1213" s="1" t="n">
        <f aca="false">COUNTIF($H$5:$H$1624,H1213)</f>
        <v>1</v>
      </c>
      <c r="J1213" s="1" t="n">
        <f aca="false">COUNTIF($H$5:H1213,H1213)</f>
        <v>1</v>
      </c>
      <c r="K1213" s="1" t="n">
        <f aca="false">COUNTIFS($H$5:$H$1624,H1213,$B$5:$B$1624,"&lt;&gt;"&amp;B1213)</f>
        <v>0</v>
      </c>
      <c r="L1213" s="1" t="str">
        <f aca="false">IF(I1213&gt;1,IF(K1213&gt;0,"Cross-hospital match","Same-hospital match"),"")</f>
        <v/>
      </c>
      <c r="M1213" s="52"/>
      <c r="N1213" s="52"/>
      <c r="O1213" s="1" t="n">
        <f aca="false">IF(M1213="Exclude (duplicate)",0,1)</f>
        <v>1</v>
      </c>
      <c r="P1213" s="1" t="str">
        <f aca="false">IF(AND(L1213&lt;&gt;"",M1213=""),"Needs decision","")</f>
        <v/>
      </c>
    </row>
    <row r="1214" customFormat="false" ht="15" hidden="false" customHeight="false" outlineLevel="0" collapsed="false">
      <c r="A1214" s="48" t="str">
        <f aca="false">COST!A1214</f>
        <v>WCH-0107</v>
      </c>
      <c r="B1214" s="48" t="str">
        <f aca="false">COST!B1214</f>
        <v>WCH</v>
      </c>
      <c r="C1214" s="48" t="str">
        <f aca="false">COST!D1214</f>
        <v>Grief Support Group</v>
      </c>
      <c r="D1214" s="62" t="n">
        <f aca="false">COST!M1214</f>
        <v>45967</v>
      </c>
      <c r="E1214" s="48" t="str">
        <f aca="false">COST!P1214</f>
        <v>Chaplain</v>
      </c>
      <c r="F1214" s="63" t="n">
        <f aca="false">COST!R1214</f>
        <v>2.5</v>
      </c>
      <c r="G1214" s="48" t="str">
        <f aca="false">STACK!M1214</f>
        <v/>
      </c>
      <c r="H1214" s="1" t="str">
        <f aca="false">C1214&amp;"|"&amp;IF(ISNUMBER(D1214),TEXT(D1214,"yyyy-mm-dd"),"no date")&amp;"|"&amp;E1214&amp;"|"&amp;IF(ISNUMBER(F1214),TEXT(F1214,"0.00"),"blank")</f>
        <v>Grief Support Group|2025-11-06|Chaplain|2.50</v>
      </c>
      <c r="I1214" s="1" t="n">
        <f aca="false">COUNTIF($H$5:$H$1624,H1214)</f>
        <v>1</v>
      </c>
      <c r="J1214" s="1" t="n">
        <f aca="false">COUNTIF($H$5:H1214,H1214)</f>
        <v>1</v>
      </c>
      <c r="K1214" s="1" t="n">
        <f aca="false">COUNTIFS($H$5:$H$1624,H1214,$B$5:$B$1624,"&lt;&gt;"&amp;B1214)</f>
        <v>0</v>
      </c>
      <c r="L1214" s="1" t="str">
        <f aca="false">IF(I1214&gt;1,IF(K1214&gt;0,"Cross-hospital match","Same-hospital match"),"")</f>
        <v/>
      </c>
      <c r="M1214" s="52"/>
      <c r="N1214" s="52"/>
      <c r="O1214" s="1" t="n">
        <f aca="false">IF(M1214="Exclude (duplicate)",0,1)</f>
        <v>1</v>
      </c>
      <c r="P1214" s="1" t="str">
        <f aca="false">IF(AND(L1214&lt;&gt;"",M1214=""),"Needs decision","")</f>
        <v/>
      </c>
    </row>
    <row r="1215" customFormat="false" ht="15" hidden="false" customHeight="false" outlineLevel="0" collapsed="false">
      <c r="A1215" s="48" t="str">
        <f aca="false">COST!A1215</f>
        <v>WCH-0108</v>
      </c>
      <c r="B1215" s="48" t="str">
        <f aca="false">COST!B1215</f>
        <v>WCH</v>
      </c>
      <c r="C1215" s="48" t="str">
        <f aca="false">COST!D1215</f>
        <v>Grief Support Group</v>
      </c>
      <c r="D1215" s="62" t="n">
        <f aca="false">COST!M1215</f>
        <v>45967</v>
      </c>
      <c r="E1215" s="48" t="str">
        <f aca="false">COST!P1215</f>
        <v>Social Worker</v>
      </c>
      <c r="F1215" s="63" t="n">
        <f aca="false">COST!R1215</f>
        <v>1.5</v>
      </c>
      <c r="G1215" s="48" t="str">
        <f aca="false">STACK!M1215</f>
        <v/>
      </c>
      <c r="H1215" s="1" t="str">
        <f aca="false">C1215&amp;"|"&amp;IF(ISNUMBER(D1215),TEXT(D1215,"yyyy-mm-dd"),"no date")&amp;"|"&amp;E1215&amp;"|"&amp;IF(ISNUMBER(F1215),TEXT(F1215,"0.00"),"blank")</f>
        <v>Grief Support Group|2025-11-06|Social Worker|1.50</v>
      </c>
      <c r="I1215" s="1" t="n">
        <f aca="false">COUNTIF($H$5:$H$1624,H1215)</f>
        <v>1</v>
      </c>
      <c r="J1215" s="1" t="n">
        <f aca="false">COUNTIF($H$5:H1215,H1215)</f>
        <v>1</v>
      </c>
      <c r="K1215" s="1" t="n">
        <f aca="false">COUNTIFS($H$5:$H$1624,H1215,$B$5:$B$1624,"&lt;&gt;"&amp;B1215)</f>
        <v>0</v>
      </c>
      <c r="L1215" s="1" t="str">
        <f aca="false">IF(I1215&gt;1,IF(K1215&gt;0,"Cross-hospital match","Same-hospital match"),"")</f>
        <v/>
      </c>
      <c r="M1215" s="52"/>
      <c r="N1215" s="52"/>
      <c r="O1215" s="1" t="n">
        <f aca="false">IF(M1215="Exclude (duplicate)",0,1)</f>
        <v>1</v>
      </c>
      <c r="P1215" s="1" t="str">
        <f aca="false">IF(AND(L1215&lt;&gt;"",M1215=""),"Needs decision","")</f>
        <v/>
      </c>
    </row>
    <row r="1216" customFormat="false" ht="15" hidden="false" customHeight="false" outlineLevel="0" collapsed="false">
      <c r="A1216" s="48" t="str">
        <f aca="false">COST!A1216</f>
        <v>WCH-0109</v>
      </c>
      <c r="B1216" s="48" t="str">
        <f aca="false">COST!B1216</f>
        <v>WCH</v>
      </c>
      <c r="C1216" s="48" t="str">
        <f aca="false">COST!D1216</f>
        <v>Diabetes Prevention Classes</v>
      </c>
      <c r="D1216" s="62" t="n">
        <f aca="false">COST!M1216</f>
        <v>45972</v>
      </c>
      <c r="E1216" s="48" t="str">
        <f aca="false">COST!P1216</f>
        <v>Health Educator</v>
      </c>
      <c r="F1216" s="63" t="n">
        <f aca="false">COST!R1216</f>
        <v>2.25</v>
      </c>
      <c r="G1216" s="48" t="str">
        <f aca="false">STACK!M1216</f>
        <v/>
      </c>
      <c r="H1216" s="1" t="str">
        <f aca="false">C1216&amp;"|"&amp;IF(ISNUMBER(D1216),TEXT(D1216,"yyyy-mm-dd"),"no date")&amp;"|"&amp;E1216&amp;"|"&amp;IF(ISNUMBER(F1216),TEXT(F1216,"0.00"),"blank")</f>
        <v>Diabetes Prevention Classes|2025-11-11|Health Educator|2.25</v>
      </c>
      <c r="I1216" s="1" t="n">
        <f aca="false">COUNTIF($H$5:$H$1624,H1216)</f>
        <v>1</v>
      </c>
      <c r="J1216" s="1" t="n">
        <f aca="false">COUNTIF($H$5:H1216,H1216)</f>
        <v>1</v>
      </c>
      <c r="K1216" s="1" t="n">
        <f aca="false">COUNTIFS($H$5:$H$1624,H1216,$B$5:$B$1624,"&lt;&gt;"&amp;B1216)</f>
        <v>0</v>
      </c>
      <c r="L1216" s="1" t="str">
        <f aca="false">IF(I1216&gt;1,IF(K1216&gt;0,"Cross-hospital match","Same-hospital match"),"")</f>
        <v/>
      </c>
      <c r="M1216" s="52"/>
      <c r="N1216" s="52"/>
      <c r="O1216" s="1" t="n">
        <f aca="false">IF(M1216="Exclude (duplicate)",0,1)</f>
        <v>1</v>
      </c>
      <c r="P1216" s="1" t="str">
        <f aca="false">IF(AND(L1216&lt;&gt;"",M1216=""),"Needs decision","")</f>
        <v/>
      </c>
    </row>
    <row r="1217" customFormat="false" ht="15" hidden="false" customHeight="false" outlineLevel="0" collapsed="false">
      <c r="A1217" s="48" t="str">
        <f aca="false">COST!A1217</f>
        <v>WCH-0110</v>
      </c>
      <c r="B1217" s="48" t="str">
        <f aca="false">COST!B1217</f>
        <v>WCH</v>
      </c>
      <c r="C1217" s="48" t="str">
        <f aca="false">COST!D1217</f>
        <v>Diabetes Prevention Classes</v>
      </c>
      <c r="D1217" s="62" t="n">
        <f aca="false">COST!M1217</f>
        <v>45972</v>
      </c>
      <c r="E1217" s="48" t="str">
        <f aca="false">COST!P1217</f>
        <v>Registered Dietitian</v>
      </c>
      <c r="F1217" s="63" t="n">
        <f aca="false">COST!R1217</f>
        <v>1.75</v>
      </c>
      <c r="G1217" s="48" t="str">
        <f aca="false">STACK!M1217</f>
        <v/>
      </c>
      <c r="H1217" s="1" t="str">
        <f aca="false">C1217&amp;"|"&amp;IF(ISNUMBER(D1217),TEXT(D1217,"yyyy-mm-dd"),"no date")&amp;"|"&amp;E1217&amp;"|"&amp;IF(ISNUMBER(F1217),TEXT(F1217,"0.00"),"blank")</f>
        <v>Diabetes Prevention Classes|2025-11-11|Registered Dietitian|1.75</v>
      </c>
      <c r="I1217" s="1" t="n">
        <f aca="false">COUNTIF($H$5:$H$1624,H1217)</f>
        <v>1</v>
      </c>
      <c r="J1217" s="1" t="n">
        <f aca="false">COUNTIF($H$5:H1217,H1217)</f>
        <v>1</v>
      </c>
      <c r="K1217" s="1" t="n">
        <f aca="false">COUNTIFS($H$5:$H$1624,H1217,$B$5:$B$1624,"&lt;&gt;"&amp;B1217)</f>
        <v>0</v>
      </c>
      <c r="L1217" s="1" t="str">
        <f aca="false">IF(I1217&gt;1,IF(K1217&gt;0,"Cross-hospital match","Same-hospital match"),"")</f>
        <v/>
      </c>
      <c r="M1217" s="52"/>
      <c r="N1217" s="52"/>
      <c r="O1217" s="1" t="n">
        <f aca="false">IF(M1217="Exclude (duplicate)",0,1)</f>
        <v>1</v>
      </c>
      <c r="P1217" s="1" t="str">
        <f aca="false">IF(AND(L1217&lt;&gt;"",M1217=""),"Needs decision","")</f>
        <v/>
      </c>
    </row>
    <row r="1218" customFormat="false" ht="15" hidden="false" customHeight="false" outlineLevel="0" collapsed="false">
      <c r="A1218" s="48" t="str">
        <f aca="false">COST!A1218</f>
        <v>WCH-0111</v>
      </c>
      <c r="B1218" s="48" t="str">
        <f aca="false">COST!B1218</f>
        <v>WCH</v>
      </c>
      <c r="C1218" s="48" t="str">
        <f aca="false">COST!D1218</f>
        <v>Mobile Health Screening Unit</v>
      </c>
      <c r="D1218" s="62" t="n">
        <f aca="false">COST!M1218</f>
        <v>45991</v>
      </c>
      <c r="E1218" s="48" t="str">
        <f aca="false">COST!P1218</f>
        <v>Community Health Worker</v>
      </c>
      <c r="F1218" s="63" t="n">
        <f aca="false">COST!R1218</f>
        <v>42.5</v>
      </c>
      <c r="G1218" s="48" t="str">
        <f aca="false">STACK!M1218</f>
        <v/>
      </c>
      <c r="H1218" s="1" t="str">
        <f aca="false">C1218&amp;"|"&amp;IF(ISNUMBER(D1218),TEXT(D1218,"yyyy-mm-dd"),"no date")&amp;"|"&amp;E1218&amp;"|"&amp;IF(ISNUMBER(F1218),TEXT(F1218,"0.00"),"blank")</f>
        <v>Mobile Health Screening Unit|2025-11-30|Community Health Worker|42.50</v>
      </c>
      <c r="I1218" s="1" t="n">
        <f aca="false">COUNTIF($H$5:$H$1624,H1218)</f>
        <v>1</v>
      </c>
      <c r="J1218" s="1" t="n">
        <f aca="false">COUNTIF($H$5:H1218,H1218)</f>
        <v>1</v>
      </c>
      <c r="K1218" s="1" t="n">
        <f aca="false">COUNTIFS($H$5:$H$1624,H1218,$B$5:$B$1624,"&lt;&gt;"&amp;B1218)</f>
        <v>0</v>
      </c>
      <c r="L1218" s="1" t="str">
        <f aca="false">IF(I1218&gt;1,IF(K1218&gt;0,"Cross-hospital match","Same-hospital match"),"")</f>
        <v/>
      </c>
      <c r="M1218" s="52"/>
      <c r="N1218" s="52"/>
      <c r="O1218" s="1" t="n">
        <f aca="false">IF(M1218="Exclude (duplicate)",0,1)</f>
        <v>1</v>
      </c>
      <c r="P1218" s="1" t="str">
        <f aca="false">IF(AND(L1218&lt;&gt;"",M1218=""),"Needs decision","")</f>
        <v/>
      </c>
    </row>
    <row r="1219" customFormat="false" ht="15" hidden="false" customHeight="false" outlineLevel="0" collapsed="false">
      <c r="A1219" s="48" t="str">
        <f aca="false">COST!A1219</f>
        <v>WCH-0112</v>
      </c>
      <c r="B1219" s="48" t="str">
        <f aca="false">COST!B1219</f>
        <v>WCH</v>
      </c>
      <c r="C1219" s="48" t="str">
        <f aca="false">COST!D1219</f>
        <v>Mobile Health Screening Unit</v>
      </c>
      <c r="D1219" s="62" t="n">
        <f aca="false">COST!M1219</f>
        <v>45991</v>
      </c>
      <c r="E1219" s="48" t="str">
        <f aca="false">COST!P1219</f>
        <v>Medical Assistant</v>
      </c>
      <c r="F1219" s="63" t="n">
        <f aca="false">COST!R1219</f>
        <v>65.75</v>
      </c>
      <c r="G1219" s="48" t="str">
        <f aca="false">STACK!M1219</f>
        <v/>
      </c>
      <c r="H1219" s="1" t="str">
        <f aca="false">C1219&amp;"|"&amp;IF(ISNUMBER(D1219),TEXT(D1219,"yyyy-mm-dd"),"no date")&amp;"|"&amp;E1219&amp;"|"&amp;IF(ISNUMBER(F1219),TEXT(F1219,"0.00"),"blank")</f>
        <v>Mobile Health Screening Unit|2025-11-30|Medical Assistant|65.75</v>
      </c>
      <c r="I1219" s="1" t="n">
        <f aca="false">COUNTIF($H$5:$H$1624,H1219)</f>
        <v>1</v>
      </c>
      <c r="J1219" s="1" t="n">
        <f aca="false">COUNTIF($H$5:H1219,H1219)</f>
        <v>1</v>
      </c>
      <c r="K1219" s="1" t="n">
        <f aca="false">COUNTIFS($H$5:$H$1624,H1219,$B$5:$B$1624,"&lt;&gt;"&amp;B1219)</f>
        <v>0</v>
      </c>
      <c r="L1219" s="1" t="str">
        <f aca="false">IF(I1219&gt;1,IF(K1219&gt;0,"Cross-hospital match","Same-hospital match"),"")</f>
        <v/>
      </c>
      <c r="M1219" s="52"/>
      <c r="N1219" s="52"/>
      <c r="O1219" s="1" t="n">
        <f aca="false">IF(M1219="Exclude (duplicate)",0,1)</f>
        <v>1</v>
      </c>
      <c r="P1219" s="1" t="str">
        <f aca="false">IF(AND(L1219&lt;&gt;"",M1219=""),"Needs decision","")</f>
        <v/>
      </c>
    </row>
    <row r="1220" customFormat="false" ht="15" hidden="false" customHeight="false" outlineLevel="0" collapsed="false">
      <c r="A1220" s="48" t="str">
        <f aca="false">COST!A1220</f>
        <v>WCH-0113</v>
      </c>
      <c r="B1220" s="48" t="str">
        <f aca="false">COST!B1220</f>
        <v>WCH</v>
      </c>
      <c r="C1220" s="48" t="str">
        <f aca="false">COST!D1220</f>
        <v>Mobile Health Screening Unit</v>
      </c>
      <c r="D1220" s="62" t="n">
        <f aca="false">COST!M1220</f>
        <v>45991</v>
      </c>
      <c r="E1220" s="48" t="str">
        <f aca="false">COST!P1220</f>
        <v>Registered Nurse</v>
      </c>
      <c r="F1220" s="63" t="n">
        <f aca="false">COST!R1220</f>
        <v>71</v>
      </c>
      <c r="G1220" s="48" t="str">
        <f aca="false">STACK!M1220</f>
        <v/>
      </c>
      <c r="H1220" s="1" t="str">
        <f aca="false">C1220&amp;"|"&amp;IF(ISNUMBER(D1220),TEXT(D1220,"yyyy-mm-dd"),"no date")&amp;"|"&amp;E1220&amp;"|"&amp;IF(ISNUMBER(F1220),TEXT(F1220,"0.00"),"blank")</f>
        <v>Mobile Health Screening Unit|2025-11-30|Registered Nurse|71.00</v>
      </c>
      <c r="I1220" s="1" t="n">
        <f aca="false">COUNTIF($H$5:$H$1624,H1220)</f>
        <v>1</v>
      </c>
      <c r="J1220" s="1" t="n">
        <f aca="false">COUNTIF($H$5:H1220,H1220)</f>
        <v>1</v>
      </c>
      <c r="K1220" s="1" t="n">
        <f aca="false">COUNTIFS($H$5:$H$1624,H1220,$B$5:$B$1624,"&lt;&gt;"&amp;B1220)</f>
        <v>0</v>
      </c>
      <c r="L1220" s="1" t="str">
        <f aca="false">IF(I1220&gt;1,IF(K1220&gt;0,"Cross-hospital match","Same-hospital match"),"")</f>
        <v/>
      </c>
      <c r="M1220" s="52"/>
      <c r="N1220" s="52"/>
      <c r="O1220" s="1" t="n">
        <f aca="false">IF(M1220="Exclude (duplicate)",0,1)</f>
        <v>1</v>
      </c>
      <c r="P1220" s="1" t="str">
        <f aca="false">IF(AND(L1220&lt;&gt;"",M1220=""),"Needs decision","")</f>
        <v/>
      </c>
    </row>
    <row r="1221" customFormat="false" ht="15" hidden="false" customHeight="false" outlineLevel="0" collapsed="false">
      <c r="A1221" s="48" t="str">
        <f aca="false">COST!A1221</f>
        <v>WCH-0114</v>
      </c>
      <c r="B1221" s="48" t="str">
        <f aca="false">COST!B1221</f>
        <v>WCH</v>
      </c>
      <c r="C1221" s="48" t="str">
        <f aca="false">COST!D1221</f>
        <v>Community Health Worker Outreach</v>
      </c>
      <c r="D1221" s="62" t="n">
        <f aca="false">COST!M1221</f>
        <v>45991</v>
      </c>
      <c r="E1221" s="48" t="str">
        <f aca="false">COST!P1221</f>
        <v>Community Health Worker</v>
      </c>
      <c r="F1221" s="63" t="n">
        <f aca="false">COST!R1221</f>
        <v>222</v>
      </c>
      <c r="G1221" s="48" t="str">
        <f aca="false">STACK!M1221</f>
        <v/>
      </c>
      <c r="H1221" s="1" t="str">
        <f aca="false">C1221&amp;"|"&amp;IF(ISNUMBER(D1221),TEXT(D1221,"yyyy-mm-dd"),"no date")&amp;"|"&amp;E1221&amp;"|"&amp;IF(ISNUMBER(F1221),TEXT(F1221,"0.00"),"blank")</f>
        <v>Community Health Worker Outreach|2025-11-30|Community Health Worker|222.00</v>
      </c>
      <c r="I1221" s="1" t="n">
        <f aca="false">COUNTIF($H$5:$H$1624,H1221)</f>
        <v>1</v>
      </c>
      <c r="J1221" s="1" t="n">
        <f aca="false">COUNTIF($H$5:H1221,H1221)</f>
        <v>1</v>
      </c>
      <c r="K1221" s="1" t="n">
        <f aca="false">COUNTIFS($H$5:$H$1624,H1221,$B$5:$B$1624,"&lt;&gt;"&amp;B1221)</f>
        <v>0</v>
      </c>
      <c r="L1221" s="1" t="str">
        <f aca="false">IF(I1221&gt;1,IF(K1221&gt;0,"Cross-hospital match","Same-hospital match"),"")</f>
        <v/>
      </c>
      <c r="M1221" s="52"/>
      <c r="N1221" s="52"/>
      <c r="O1221" s="1" t="n">
        <f aca="false">IF(M1221="Exclude (duplicate)",0,1)</f>
        <v>1</v>
      </c>
      <c r="P1221" s="1" t="str">
        <f aca="false">IF(AND(L1221&lt;&gt;"",M1221=""),"Needs decision","")</f>
        <v/>
      </c>
    </row>
    <row r="1222" customFormat="false" ht="15" hidden="false" customHeight="false" outlineLevel="0" collapsed="false">
      <c r="A1222" s="48" t="str">
        <f aca="false">COST!A1222</f>
        <v>WCH-0115</v>
      </c>
      <c r="B1222" s="48" t="str">
        <f aca="false">COST!B1222</f>
        <v>WCH</v>
      </c>
      <c r="C1222" s="48" t="str">
        <f aca="false">COST!D1222</f>
        <v>Community Health Worker Outreach</v>
      </c>
      <c r="D1222" s="62" t="n">
        <f aca="false">COST!M1222</f>
        <v>45991</v>
      </c>
      <c r="E1222" s="48" t="str">
        <f aca="false">COST!P1222</f>
        <v>Patient Navigator</v>
      </c>
      <c r="F1222" s="63" t="n">
        <f aca="false">COST!R1222</f>
        <v>104</v>
      </c>
      <c r="G1222" s="48" t="str">
        <f aca="false">STACK!M1222</f>
        <v/>
      </c>
      <c r="H1222" s="1" t="str">
        <f aca="false">C1222&amp;"|"&amp;IF(ISNUMBER(D1222),TEXT(D1222,"yyyy-mm-dd"),"no date")&amp;"|"&amp;E1222&amp;"|"&amp;IF(ISNUMBER(F1222),TEXT(F1222,"0.00"),"blank")</f>
        <v>Community Health Worker Outreach|2025-11-30|Patient Navigator|104.00</v>
      </c>
      <c r="I1222" s="1" t="n">
        <f aca="false">COUNTIF($H$5:$H$1624,H1222)</f>
        <v>1</v>
      </c>
      <c r="J1222" s="1" t="n">
        <f aca="false">COUNTIF($H$5:H1222,H1222)</f>
        <v>1</v>
      </c>
      <c r="K1222" s="1" t="n">
        <f aca="false">COUNTIFS($H$5:$H$1624,H1222,$B$5:$B$1624,"&lt;&gt;"&amp;B1222)</f>
        <v>0</v>
      </c>
      <c r="L1222" s="1" t="str">
        <f aca="false">IF(I1222&gt;1,IF(K1222&gt;0,"Cross-hospital match","Same-hospital match"),"")</f>
        <v/>
      </c>
      <c r="M1222" s="52"/>
      <c r="N1222" s="52"/>
      <c r="O1222" s="1" t="n">
        <f aca="false">IF(M1222="Exclude (duplicate)",0,1)</f>
        <v>1</v>
      </c>
      <c r="P1222" s="1" t="str">
        <f aca="false">IF(AND(L1222&lt;&gt;"",M1222=""),"Needs decision","")</f>
        <v/>
      </c>
    </row>
    <row r="1223" customFormat="false" ht="15" hidden="false" customHeight="false" outlineLevel="0" collapsed="false">
      <c r="A1223" s="48" t="str">
        <f aca="false">COST!A1223</f>
        <v>WCH-0116</v>
      </c>
      <c r="B1223" s="48" t="str">
        <f aca="false">COST!B1223</f>
        <v>WCH</v>
      </c>
      <c r="C1223" s="48" t="str">
        <f aca="false">COST!D1223</f>
        <v>Produce Prescription Program</v>
      </c>
      <c r="D1223" s="62" t="n">
        <f aca="false">COST!M1223</f>
        <v>45991</v>
      </c>
      <c r="E1223" s="48" t="str">
        <f aca="false">COST!P1223</f>
        <v>Community Health Worker</v>
      </c>
      <c r="F1223" s="63" t="n">
        <f aca="false">COST!R1223</f>
        <v>44.25</v>
      </c>
      <c r="G1223" s="48" t="str">
        <f aca="false">STACK!M1223</f>
        <v/>
      </c>
      <c r="H1223" s="1" t="str">
        <f aca="false">C1223&amp;"|"&amp;IF(ISNUMBER(D1223),TEXT(D1223,"yyyy-mm-dd"),"no date")&amp;"|"&amp;E1223&amp;"|"&amp;IF(ISNUMBER(F1223),TEXT(F1223,"0.00"),"blank")</f>
        <v>Produce Prescription Program|2025-11-30|Community Health Worker|44.25</v>
      </c>
      <c r="I1223" s="1" t="n">
        <f aca="false">COUNTIF($H$5:$H$1624,H1223)</f>
        <v>1</v>
      </c>
      <c r="J1223" s="1" t="n">
        <f aca="false">COUNTIF($H$5:H1223,H1223)</f>
        <v>1</v>
      </c>
      <c r="K1223" s="1" t="n">
        <f aca="false">COUNTIFS($H$5:$H$1624,H1223,$B$5:$B$1624,"&lt;&gt;"&amp;B1223)</f>
        <v>0</v>
      </c>
      <c r="L1223" s="1" t="str">
        <f aca="false">IF(I1223&gt;1,IF(K1223&gt;0,"Cross-hospital match","Same-hospital match"),"")</f>
        <v/>
      </c>
      <c r="M1223" s="52"/>
      <c r="N1223" s="52"/>
      <c r="O1223" s="1" t="n">
        <f aca="false">IF(M1223="Exclude (duplicate)",0,1)</f>
        <v>1</v>
      </c>
      <c r="P1223" s="1" t="str">
        <f aca="false">IF(AND(L1223&lt;&gt;"",M1223=""),"Needs decision","")</f>
        <v/>
      </c>
    </row>
    <row r="1224" customFormat="false" ht="15" hidden="false" customHeight="false" outlineLevel="0" collapsed="false">
      <c r="A1224" s="48" t="str">
        <f aca="false">COST!A1224</f>
        <v>WCH-0117</v>
      </c>
      <c r="B1224" s="48" t="str">
        <f aca="false">COST!B1224</f>
        <v>WCH</v>
      </c>
      <c r="C1224" s="48" t="str">
        <f aca="false">COST!D1224</f>
        <v>Produce Prescription Program</v>
      </c>
      <c r="D1224" s="62" t="n">
        <f aca="false">COST!M1224</f>
        <v>45991</v>
      </c>
      <c r="E1224" s="48" t="str">
        <f aca="false">COST!P1224</f>
        <v>Registered Dietitian</v>
      </c>
      <c r="F1224" s="63" t="n">
        <f aca="false">COST!R1224</f>
        <v>19.25</v>
      </c>
      <c r="G1224" s="48" t="str">
        <f aca="false">STACK!M1224</f>
        <v/>
      </c>
      <c r="H1224" s="1" t="str">
        <f aca="false">C1224&amp;"|"&amp;IF(ISNUMBER(D1224),TEXT(D1224,"yyyy-mm-dd"),"no date")&amp;"|"&amp;E1224&amp;"|"&amp;IF(ISNUMBER(F1224),TEXT(F1224,"0.00"),"blank")</f>
        <v>Produce Prescription Program|2025-11-30|Registered Dietitian|19.25</v>
      </c>
      <c r="I1224" s="1" t="n">
        <f aca="false">COUNTIF($H$5:$H$1624,H1224)</f>
        <v>1</v>
      </c>
      <c r="J1224" s="1" t="n">
        <f aca="false">COUNTIF($H$5:H1224,H1224)</f>
        <v>1</v>
      </c>
      <c r="K1224" s="1" t="n">
        <f aca="false">COUNTIFS($H$5:$H$1624,H1224,$B$5:$B$1624,"&lt;&gt;"&amp;B1224)</f>
        <v>0</v>
      </c>
      <c r="L1224" s="1" t="str">
        <f aca="false">IF(I1224&gt;1,IF(K1224&gt;0,"Cross-hospital match","Same-hospital match"),"")</f>
        <v/>
      </c>
      <c r="M1224" s="52"/>
      <c r="N1224" s="52"/>
      <c r="O1224" s="1" t="n">
        <f aca="false">IF(M1224="Exclude (duplicate)",0,1)</f>
        <v>1</v>
      </c>
      <c r="P1224" s="1" t="str">
        <f aca="false">IF(AND(L1224&lt;&gt;"",M1224=""),"Needs decision","")</f>
        <v/>
      </c>
    </row>
    <row r="1225" customFormat="false" ht="15" hidden="false" customHeight="false" outlineLevel="0" collapsed="false">
      <c r="A1225" s="48" t="str">
        <f aca="false">COST!A1225</f>
        <v>WCH-0118</v>
      </c>
      <c r="B1225" s="48" t="str">
        <f aca="false">COST!B1225</f>
        <v>WCH</v>
      </c>
      <c r="C1225" s="48" t="str">
        <f aca="false">COST!D1225</f>
        <v>Community Benefit Program Administration</v>
      </c>
      <c r="D1225" s="62" t="n">
        <f aca="false">COST!M1225</f>
        <v>45991</v>
      </c>
      <c r="E1225" s="48" t="str">
        <f aca="false">COST!P1225</f>
        <v>Administrative Assistant</v>
      </c>
      <c r="F1225" s="63" t="n">
        <f aca="false">COST!R1225</f>
        <v>37.5</v>
      </c>
      <c r="G1225" s="48" t="str">
        <f aca="false">STACK!M1225</f>
        <v/>
      </c>
      <c r="H1225" s="1" t="str">
        <f aca="false">C1225&amp;"|"&amp;IF(ISNUMBER(D1225),TEXT(D1225,"yyyy-mm-dd"),"no date")&amp;"|"&amp;E1225&amp;"|"&amp;IF(ISNUMBER(F1225),TEXT(F1225,"0.00"),"blank")</f>
        <v>Community Benefit Program Administration|2025-11-30|Administrative Assistant|37.50</v>
      </c>
      <c r="I1225" s="1" t="n">
        <f aca="false">COUNTIF($H$5:$H$1624,H1225)</f>
        <v>1</v>
      </c>
      <c r="J1225" s="1" t="n">
        <f aca="false">COUNTIF($H$5:H1225,H1225)</f>
        <v>1</v>
      </c>
      <c r="K1225" s="1" t="n">
        <f aca="false">COUNTIFS($H$5:$H$1624,H1225,$B$5:$B$1624,"&lt;&gt;"&amp;B1225)</f>
        <v>0</v>
      </c>
      <c r="L1225" s="1" t="str">
        <f aca="false">IF(I1225&gt;1,IF(K1225&gt;0,"Cross-hospital match","Same-hospital match"),"")</f>
        <v/>
      </c>
      <c r="M1225" s="52"/>
      <c r="N1225" s="52"/>
      <c r="O1225" s="1" t="n">
        <f aca="false">IF(M1225="Exclude (duplicate)",0,1)</f>
        <v>1</v>
      </c>
      <c r="P1225" s="1" t="str">
        <f aca="false">IF(AND(L1225&lt;&gt;"",M1225=""),"Needs decision","")</f>
        <v/>
      </c>
    </row>
    <row r="1226" customFormat="false" ht="15" hidden="false" customHeight="false" outlineLevel="0" collapsed="false">
      <c r="A1226" s="48" t="str">
        <f aca="false">COST!A1226</f>
        <v>WCH-0119</v>
      </c>
      <c r="B1226" s="48" t="str">
        <f aca="false">COST!B1226</f>
        <v>WCH</v>
      </c>
      <c r="C1226" s="48" t="str">
        <f aca="false">COST!D1226</f>
        <v>Community Benefit Program Administration</v>
      </c>
      <c r="D1226" s="62" t="n">
        <f aca="false">COST!M1226</f>
        <v>45991</v>
      </c>
      <c r="E1226" s="48" t="str">
        <f aca="false">COST!P1226</f>
        <v>Community Benefit Manager</v>
      </c>
      <c r="F1226" s="63" t="n">
        <f aca="false">COST!R1226</f>
        <v>43</v>
      </c>
      <c r="G1226" s="48" t="str">
        <f aca="false">STACK!M1226</f>
        <v/>
      </c>
      <c r="H1226" s="1" t="str">
        <f aca="false">C1226&amp;"|"&amp;IF(ISNUMBER(D1226),TEXT(D1226,"yyyy-mm-dd"),"no date")&amp;"|"&amp;E1226&amp;"|"&amp;IF(ISNUMBER(F1226),TEXT(F1226,"0.00"),"blank")</f>
        <v>Community Benefit Program Administration|2025-11-30|Community Benefit Manager|43.00</v>
      </c>
      <c r="I1226" s="1" t="n">
        <f aca="false">COUNTIF($H$5:$H$1624,H1226)</f>
        <v>1</v>
      </c>
      <c r="J1226" s="1" t="n">
        <f aca="false">COUNTIF($H$5:H1226,H1226)</f>
        <v>1</v>
      </c>
      <c r="K1226" s="1" t="n">
        <f aca="false">COUNTIFS($H$5:$H$1624,H1226,$B$5:$B$1624,"&lt;&gt;"&amp;B1226)</f>
        <v>0</v>
      </c>
      <c r="L1226" s="1" t="str">
        <f aca="false">IF(I1226&gt;1,IF(K1226&gt;0,"Cross-hospital match","Same-hospital match"),"")</f>
        <v/>
      </c>
      <c r="M1226" s="52"/>
      <c r="N1226" s="52"/>
      <c r="O1226" s="1" t="n">
        <f aca="false">IF(M1226="Exclude (duplicate)",0,1)</f>
        <v>1</v>
      </c>
      <c r="P1226" s="1" t="str">
        <f aca="false">IF(AND(L1226&lt;&gt;"",M1226=""),"Needs decision","")</f>
        <v/>
      </c>
    </row>
    <row r="1227" customFormat="false" ht="15" hidden="false" customHeight="false" outlineLevel="0" collapsed="false">
      <c r="A1227" s="48" t="str">
        <f aca="false">COST!A1227</f>
        <v>WCH-0120</v>
      </c>
      <c r="B1227" s="48" t="str">
        <f aca="false">COST!B1227</f>
        <v>WCH</v>
      </c>
      <c r="C1227" s="48" t="str">
        <f aca="false">COST!D1227</f>
        <v>Community Paramedic Home Visits</v>
      </c>
      <c r="D1227" s="62" t="n">
        <f aca="false">COST!M1227</f>
        <v>45991</v>
      </c>
      <c r="E1227" s="48" t="str">
        <f aca="false">COST!P1227</f>
        <v>Paramedic</v>
      </c>
      <c r="F1227" s="63" t="n">
        <f aca="false">COST!R1227</f>
        <v>66</v>
      </c>
      <c r="G1227" s="48" t="str">
        <f aca="false">STACK!M1227</f>
        <v/>
      </c>
      <c r="H1227" s="1" t="str">
        <f aca="false">C1227&amp;"|"&amp;IF(ISNUMBER(D1227),TEXT(D1227,"yyyy-mm-dd"),"no date")&amp;"|"&amp;E1227&amp;"|"&amp;IF(ISNUMBER(F1227),TEXT(F1227,"0.00"),"blank")</f>
        <v>Community Paramedic Home Visits|2025-11-30|Paramedic|66.00</v>
      </c>
      <c r="I1227" s="1" t="n">
        <f aca="false">COUNTIF($H$5:$H$1624,H1227)</f>
        <v>1</v>
      </c>
      <c r="J1227" s="1" t="n">
        <f aca="false">COUNTIF($H$5:H1227,H1227)</f>
        <v>1</v>
      </c>
      <c r="K1227" s="1" t="n">
        <f aca="false">COUNTIFS($H$5:$H$1624,H1227,$B$5:$B$1624,"&lt;&gt;"&amp;B1227)</f>
        <v>0</v>
      </c>
      <c r="L1227" s="1" t="str">
        <f aca="false">IF(I1227&gt;1,IF(K1227&gt;0,"Cross-hospital match","Same-hospital match"),"")</f>
        <v/>
      </c>
      <c r="M1227" s="52"/>
      <c r="N1227" s="52"/>
      <c r="O1227" s="1" t="n">
        <f aca="false">IF(M1227="Exclude (duplicate)",0,1)</f>
        <v>1</v>
      </c>
      <c r="P1227" s="1" t="str">
        <f aca="false">IF(AND(L1227&lt;&gt;"",M1227=""),"Needs decision","")</f>
        <v/>
      </c>
    </row>
    <row r="1228" customFormat="false" ht="15" hidden="false" customHeight="false" outlineLevel="0" collapsed="false">
      <c r="A1228" s="48" t="str">
        <f aca="false">COST!A1228</f>
        <v>WCH-0121</v>
      </c>
      <c r="B1228" s="48" t="str">
        <f aca="false">COST!B1228</f>
        <v>WCH</v>
      </c>
      <c r="C1228" s="48" t="str">
        <f aca="false">COST!D1228</f>
        <v>Nursing Student Clinical Rotations</v>
      </c>
      <c r="D1228" s="62" t="n">
        <f aca="false">COST!M1228</f>
        <v>45991</v>
      </c>
      <c r="E1228" s="48" t="str">
        <f aca="false">COST!P1228</f>
        <v>Clinical Nurse Educator</v>
      </c>
      <c r="F1228" s="63" t="n">
        <f aca="false">COST!R1228</f>
        <v>82</v>
      </c>
      <c r="G1228" s="48" t="str">
        <f aca="false">STACK!M1228</f>
        <v/>
      </c>
      <c r="H1228" s="1" t="str">
        <f aca="false">C1228&amp;"|"&amp;IF(ISNUMBER(D1228),TEXT(D1228,"yyyy-mm-dd"),"no date")&amp;"|"&amp;E1228&amp;"|"&amp;IF(ISNUMBER(F1228),TEXT(F1228,"0.00"),"blank")</f>
        <v>Nursing Student Clinical Rotations|2025-11-30|Clinical Nurse Educator|82.00</v>
      </c>
      <c r="I1228" s="1" t="n">
        <f aca="false">COUNTIF($H$5:$H$1624,H1228)</f>
        <v>1</v>
      </c>
      <c r="J1228" s="1" t="n">
        <f aca="false">COUNTIF($H$5:H1228,H1228)</f>
        <v>1</v>
      </c>
      <c r="K1228" s="1" t="n">
        <f aca="false">COUNTIFS($H$5:$H$1624,H1228,$B$5:$B$1624,"&lt;&gt;"&amp;B1228)</f>
        <v>0</v>
      </c>
      <c r="L1228" s="1" t="str">
        <f aca="false">IF(I1228&gt;1,IF(K1228&gt;0,"Cross-hospital match","Same-hospital match"),"")</f>
        <v/>
      </c>
      <c r="M1228" s="52"/>
      <c r="N1228" s="52"/>
      <c r="O1228" s="1" t="n">
        <f aca="false">IF(M1228="Exclude (duplicate)",0,1)</f>
        <v>1</v>
      </c>
      <c r="P1228" s="1" t="str">
        <f aca="false">IF(AND(L1228&lt;&gt;"",M1228=""),"Needs decision","")</f>
        <v/>
      </c>
    </row>
    <row r="1229" customFormat="false" ht="15" hidden="false" customHeight="false" outlineLevel="0" collapsed="false">
      <c r="A1229" s="48" t="str">
        <f aca="false">COST!A1229</f>
        <v>WCH-0122</v>
      </c>
      <c r="B1229" s="48" t="str">
        <f aca="false">COST!B1229</f>
        <v>WCH</v>
      </c>
      <c r="C1229" s="48" t="str">
        <f aca="false">COST!D1229</f>
        <v>Nursing Student Clinical Rotations</v>
      </c>
      <c r="D1229" s="62" t="n">
        <f aca="false">COST!M1229</f>
        <v>45991</v>
      </c>
      <c r="E1229" s="48" t="str">
        <f aca="false">COST!P1229</f>
        <v>Registered Nurse</v>
      </c>
      <c r="F1229" s="63" t="n">
        <f aca="false">COST!R1229</f>
        <v>153.25</v>
      </c>
      <c r="G1229" s="48" t="str">
        <f aca="false">STACK!M1229</f>
        <v/>
      </c>
      <c r="H1229" s="1" t="str">
        <f aca="false">C1229&amp;"|"&amp;IF(ISNUMBER(D1229),TEXT(D1229,"yyyy-mm-dd"),"no date")&amp;"|"&amp;E1229&amp;"|"&amp;IF(ISNUMBER(F1229),TEXT(F1229,"0.00"),"blank")</f>
        <v>Nursing Student Clinical Rotations|2025-11-30|Registered Nurse|153.25</v>
      </c>
      <c r="I1229" s="1" t="n">
        <f aca="false">COUNTIF($H$5:$H$1624,H1229)</f>
        <v>1</v>
      </c>
      <c r="J1229" s="1" t="n">
        <f aca="false">COUNTIF($H$5:H1229,H1229)</f>
        <v>1</v>
      </c>
      <c r="K1229" s="1" t="n">
        <f aca="false">COUNTIFS($H$5:$H$1624,H1229,$B$5:$B$1624,"&lt;&gt;"&amp;B1229)</f>
        <v>0</v>
      </c>
      <c r="L1229" s="1" t="str">
        <f aca="false">IF(I1229&gt;1,IF(K1229&gt;0,"Cross-hospital match","Same-hospital match"),"")</f>
        <v/>
      </c>
      <c r="M1229" s="52"/>
      <c r="N1229" s="52"/>
      <c r="O1229" s="1" t="n">
        <f aca="false">IF(M1229="Exclude (duplicate)",0,1)</f>
        <v>1</v>
      </c>
      <c r="P1229" s="1" t="str">
        <f aca="false">IF(AND(L1229&lt;&gt;"",M1229=""),"Needs decision","")</f>
        <v/>
      </c>
    </row>
    <row r="1230" customFormat="false" ht="15" hidden="false" customHeight="false" outlineLevel="0" collapsed="false">
      <c r="A1230" s="48" t="str">
        <f aca="false">COST!A1230</f>
        <v>WCH-0123</v>
      </c>
      <c r="B1230" s="48" t="str">
        <f aca="false">COST!B1230</f>
        <v>WCH</v>
      </c>
      <c r="C1230" s="48" t="str">
        <f aca="false">COST!D1230</f>
        <v>Paramedic Student Field Training</v>
      </c>
      <c r="D1230" s="62" t="n">
        <f aca="false">COST!M1230</f>
        <v>45991</v>
      </c>
      <c r="E1230" s="48" t="str">
        <f aca="false">COST!P1230</f>
        <v>Paramedic</v>
      </c>
      <c r="F1230" s="63" t="n">
        <f aca="false">COST!R1230</f>
        <v>41.25</v>
      </c>
      <c r="G1230" s="48" t="str">
        <f aca="false">STACK!M1230</f>
        <v/>
      </c>
      <c r="H1230" s="1" t="str">
        <f aca="false">C1230&amp;"|"&amp;IF(ISNUMBER(D1230),TEXT(D1230,"yyyy-mm-dd"),"no date")&amp;"|"&amp;E1230&amp;"|"&amp;IF(ISNUMBER(F1230),TEXT(F1230,"0.00"),"blank")</f>
        <v>Paramedic Student Field Training|2025-11-30|Paramedic|41.25</v>
      </c>
      <c r="I1230" s="1" t="n">
        <f aca="false">COUNTIF($H$5:$H$1624,H1230)</f>
        <v>1</v>
      </c>
      <c r="J1230" s="1" t="n">
        <f aca="false">COUNTIF($H$5:H1230,H1230)</f>
        <v>1</v>
      </c>
      <c r="K1230" s="1" t="n">
        <f aca="false">COUNTIFS($H$5:$H$1624,H1230,$B$5:$B$1624,"&lt;&gt;"&amp;B1230)</f>
        <v>0</v>
      </c>
      <c r="L1230" s="1" t="str">
        <f aca="false">IF(I1230&gt;1,IF(K1230&gt;0,"Cross-hospital match","Same-hospital match"),"")</f>
        <v/>
      </c>
      <c r="M1230" s="52"/>
      <c r="N1230" s="52"/>
      <c r="O1230" s="1" t="n">
        <f aca="false">IF(M1230="Exclude (duplicate)",0,1)</f>
        <v>1</v>
      </c>
      <c r="P1230" s="1" t="str">
        <f aca="false">IF(AND(L1230&lt;&gt;"",M1230=""),"Needs decision","")</f>
        <v/>
      </c>
    </row>
    <row r="1231" customFormat="false" ht="15" hidden="false" customHeight="false" outlineLevel="0" collapsed="false">
      <c r="A1231" s="48" t="str">
        <f aca="false">COST!A1231</f>
        <v>WCH-0124</v>
      </c>
      <c r="B1231" s="48" t="str">
        <f aca="false">COST!B1231</f>
        <v>WCH</v>
      </c>
      <c r="C1231" s="48" t="str">
        <f aca="false">COST!D1231</f>
        <v>Rural Maternal Outcomes Study</v>
      </c>
      <c r="D1231" s="62" t="n">
        <f aca="false">COST!M1231</f>
        <v>45991</v>
      </c>
      <c r="E1231" s="48" t="str">
        <f aca="false">COST!P1231</f>
        <v>Data Analyst</v>
      </c>
      <c r="F1231" s="63" t="n">
        <f aca="false">COST!R1231</f>
        <v>13.25</v>
      </c>
      <c r="G1231" s="48" t="str">
        <f aca="false">STACK!M1231</f>
        <v/>
      </c>
      <c r="H1231" s="1" t="str">
        <f aca="false">C1231&amp;"|"&amp;IF(ISNUMBER(D1231),TEXT(D1231,"yyyy-mm-dd"),"no date")&amp;"|"&amp;E1231&amp;"|"&amp;IF(ISNUMBER(F1231),TEXT(F1231,"0.00"),"blank")</f>
        <v>Rural Maternal Outcomes Study|2025-11-30|Data Analyst|13.25</v>
      </c>
      <c r="I1231" s="1" t="n">
        <f aca="false">COUNTIF($H$5:$H$1624,H1231)</f>
        <v>1</v>
      </c>
      <c r="J1231" s="1" t="n">
        <f aca="false">COUNTIF($H$5:H1231,H1231)</f>
        <v>1</v>
      </c>
      <c r="K1231" s="1" t="n">
        <f aca="false">COUNTIFS($H$5:$H$1624,H1231,$B$5:$B$1624,"&lt;&gt;"&amp;B1231)</f>
        <v>0</v>
      </c>
      <c r="L1231" s="1" t="str">
        <f aca="false">IF(I1231&gt;1,IF(K1231&gt;0,"Cross-hospital match","Same-hospital match"),"")</f>
        <v/>
      </c>
      <c r="M1231" s="52"/>
      <c r="N1231" s="52"/>
      <c r="O1231" s="1" t="n">
        <f aca="false">IF(M1231="Exclude (duplicate)",0,1)</f>
        <v>1</v>
      </c>
      <c r="P1231" s="1" t="str">
        <f aca="false">IF(AND(L1231&lt;&gt;"",M1231=""),"Needs decision","")</f>
        <v/>
      </c>
    </row>
    <row r="1232" customFormat="false" ht="15" hidden="false" customHeight="false" outlineLevel="0" collapsed="false">
      <c r="A1232" s="48" t="str">
        <f aca="false">COST!A1232</f>
        <v>WCH-0125</v>
      </c>
      <c r="B1232" s="48" t="str">
        <f aca="false">COST!B1232</f>
        <v>WCH</v>
      </c>
      <c r="C1232" s="48" t="str">
        <f aca="false">COST!D1232</f>
        <v>Rural Maternal Outcomes Study</v>
      </c>
      <c r="D1232" s="62" t="n">
        <f aca="false">COST!M1232</f>
        <v>45991</v>
      </c>
      <c r="E1232" s="48" t="str">
        <f aca="false">COST!P1232</f>
        <v>Research Coordinator</v>
      </c>
      <c r="F1232" s="63" t="n">
        <f aca="false">COST!R1232</f>
        <v>47.25</v>
      </c>
      <c r="G1232" s="48" t="str">
        <f aca="false">STACK!M1232</f>
        <v/>
      </c>
      <c r="H1232" s="1" t="str">
        <f aca="false">C1232&amp;"|"&amp;IF(ISNUMBER(D1232),TEXT(D1232,"yyyy-mm-dd"),"no date")&amp;"|"&amp;E1232&amp;"|"&amp;IF(ISNUMBER(F1232),TEXT(F1232,"0.00"),"blank")</f>
        <v>Rural Maternal Outcomes Study|2025-11-30|Research Coordinator|47.25</v>
      </c>
      <c r="I1232" s="1" t="n">
        <f aca="false">COUNTIF($H$5:$H$1624,H1232)</f>
        <v>1</v>
      </c>
      <c r="J1232" s="1" t="n">
        <f aca="false">COUNTIF($H$5:H1232,H1232)</f>
        <v>1</v>
      </c>
      <c r="K1232" s="1" t="n">
        <f aca="false">COUNTIFS($H$5:$H$1624,H1232,$B$5:$B$1624,"&lt;&gt;"&amp;B1232)</f>
        <v>0</v>
      </c>
      <c r="L1232" s="1" t="str">
        <f aca="false">IF(I1232&gt;1,IF(K1232&gt;0,"Cross-hospital match","Same-hospital match"),"")</f>
        <v/>
      </c>
      <c r="M1232" s="52"/>
      <c r="N1232" s="52"/>
      <c r="O1232" s="1" t="n">
        <f aca="false">IF(M1232="Exclude (duplicate)",0,1)</f>
        <v>1</v>
      </c>
      <c r="P1232" s="1" t="str">
        <f aca="false">IF(AND(L1232&lt;&gt;"",M1232=""),"Needs decision","")</f>
        <v/>
      </c>
    </row>
    <row r="1233" customFormat="false" ht="15" hidden="false" customHeight="false" outlineLevel="0" collapsed="false">
      <c r="A1233" s="48" t="str">
        <f aca="false">COST!A1233</f>
        <v>WCH-0126</v>
      </c>
      <c r="B1233" s="48" t="str">
        <f aca="false">COST!B1233</f>
        <v>WCH</v>
      </c>
      <c r="C1233" s="48" t="str">
        <f aca="false">COST!D1233</f>
        <v>Youth Health Careers Pathway</v>
      </c>
      <c r="D1233" s="62" t="n">
        <f aca="false">COST!M1233</f>
        <v>45997</v>
      </c>
      <c r="E1233" s="48" t="str">
        <f aca="false">COST!P1233</f>
        <v>Clinical Nurse Educator</v>
      </c>
      <c r="F1233" s="63" t="n">
        <f aca="false">COST!R1233</f>
        <v>4</v>
      </c>
      <c r="G1233" s="48" t="str">
        <f aca="false">STACK!M1233</f>
        <v/>
      </c>
      <c r="H1233" s="1" t="str">
        <f aca="false">C1233&amp;"|"&amp;IF(ISNUMBER(D1233),TEXT(D1233,"yyyy-mm-dd"),"no date")&amp;"|"&amp;E1233&amp;"|"&amp;IF(ISNUMBER(F1233),TEXT(F1233,"0.00"),"blank")</f>
        <v>Youth Health Careers Pathway|2025-12-06|Clinical Nurse Educator|4.00</v>
      </c>
      <c r="I1233" s="1" t="n">
        <f aca="false">COUNTIF($H$5:$H$1624,H1233)</f>
        <v>1</v>
      </c>
      <c r="J1233" s="1" t="n">
        <f aca="false">COUNTIF($H$5:H1233,H1233)</f>
        <v>1</v>
      </c>
      <c r="K1233" s="1" t="n">
        <f aca="false">COUNTIFS($H$5:$H$1624,H1233,$B$5:$B$1624,"&lt;&gt;"&amp;B1233)</f>
        <v>0</v>
      </c>
      <c r="L1233" s="1" t="str">
        <f aca="false">IF(I1233&gt;1,IF(K1233&gt;0,"Cross-hospital match","Same-hospital match"),"")</f>
        <v/>
      </c>
      <c r="M1233" s="52"/>
      <c r="N1233" s="52"/>
      <c r="O1233" s="1" t="n">
        <f aca="false">IF(M1233="Exclude (duplicate)",0,1)</f>
        <v>1</v>
      </c>
      <c r="P1233" s="1" t="str">
        <f aca="false">IF(AND(L1233&lt;&gt;"",M1233=""),"Needs decision","")</f>
        <v/>
      </c>
    </row>
    <row r="1234" customFormat="false" ht="15" hidden="false" customHeight="false" outlineLevel="0" collapsed="false">
      <c r="A1234" s="48" t="str">
        <f aca="false">COST!A1234</f>
        <v>WCH-0127</v>
      </c>
      <c r="B1234" s="48" t="str">
        <f aca="false">COST!B1234</f>
        <v>WCH</v>
      </c>
      <c r="C1234" s="48" t="str">
        <f aca="false">COST!D1234</f>
        <v>Youth Health Careers Pathway</v>
      </c>
      <c r="D1234" s="62" t="n">
        <f aca="false">COST!M1234</f>
        <v>45997</v>
      </c>
      <c r="E1234" s="48" t="str">
        <f aca="false">COST!P1234</f>
        <v>Program Coordinator</v>
      </c>
      <c r="F1234" s="63" t="n">
        <f aca="false">COST!R1234</f>
        <v>7</v>
      </c>
      <c r="G1234" s="48" t="str">
        <f aca="false">STACK!M1234</f>
        <v/>
      </c>
      <c r="H1234" s="1" t="str">
        <f aca="false">C1234&amp;"|"&amp;IF(ISNUMBER(D1234),TEXT(D1234,"yyyy-mm-dd"),"no date")&amp;"|"&amp;E1234&amp;"|"&amp;IF(ISNUMBER(F1234),TEXT(F1234,"0.00"),"blank")</f>
        <v>Youth Health Careers Pathway|2025-12-06|Program Coordinator|7.00</v>
      </c>
      <c r="I1234" s="1" t="n">
        <f aca="false">COUNTIF($H$5:$H$1624,H1234)</f>
        <v>1</v>
      </c>
      <c r="J1234" s="1" t="n">
        <f aca="false">COUNTIF($H$5:H1234,H1234)</f>
        <v>1</v>
      </c>
      <c r="K1234" s="1" t="n">
        <f aca="false">COUNTIFS($H$5:$H$1624,H1234,$B$5:$B$1624,"&lt;&gt;"&amp;B1234)</f>
        <v>0</v>
      </c>
      <c r="L1234" s="1" t="str">
        <f aca="false">IF(I1234&gt;1,IF(K1234&gt;0,"Cross-hospital match","Same-hospital match"),"")</f>
        <v/>
      </c>
      <c r="M1234" s="52"/>
      <c r="N1234" s="52"/>
      <c r="O1234" s="1" t="n">
        <f aca="false">IF(M1234="Exclude (duplicate)",0,1)</f>
        <v>1</v>
      </c>
      <c r="P1234" s="1" t="str">
        <f aca="false">IF(AND(L1234&lt;&gt;"",M1234=""),"Needs decision","")</f>
        <v/>
      </c>
    </row>
    <row r="1235" customFormat="false" ht="15" hidden="false" customHeight="false" outlineLevel="0" collapsed="false">
      <c r="A1235" s="48" t="str">
        <f aca="false">COST!A1235</f>
        <v>WCH-0128</v>
      </c>
      <c r="B1235" s="48" t="str">
        <f aca="false">COST!B1235</f>
        <v>WCH</v>
      </c>
      <c r="C1235" s="48" t="str">
        <f aca="false">COST!D1235</f>
        <v>Community Blood Pressure Checks</v>
      </c>
      <c r="D1235" s="62" t="n">
        <f aca="false">COST!M1235</f>
        <v>45999</v>
      </c>
      <c r="E1235" s="48" t="str">
        <f aca="false">COST!P1235</f>
        <v>Registered Nurse</v>
      </c>
      <c r="F1235" s="63" t="n">
        <f aca="false">COST!R1235</f>
        <v>3.5</v>
      </c>
      <c r="G1235" s="48" t="str">
        <f aca="false">STACK!M1235</f>
        <v/>
      </c>
      <c r="H1235" s="1" t="str">
        <f aca="false">C1235&amp;"|"&amp;IF(ISNUMBER(D1235),TEXT(D1235,"yyyy-mm-dd"),"no date")&amp;"|"&amp;E1235&amp;"|"&amp;IF(ISNUMBER(F1235),TEXT(F1235,"0.00"),"blank")</f>
        <v>Community Blood Pressure Checks|2025-12-08|Registered Nurse|3.50</v>
      </c>
      <c r="I1235" s="1" t="n">
        <f aca="false">COUNTIF($H$5:$H$1624,H1235)</f>
        <v>1</v>
      </c>
      <c r="J1235" s="1" t="n">
        <f aca="false">COUNTIF($H$5:H1235,H1235)</f>
        <v>1</v>
      </c>
      <c r="K1235" s="1" t="n">
        <f aca="false">COUNTIFS($H$5:$H$1624,H1235,$B$5:$B$1624,"&lt;&gt;"&amp;B1235)</f>
        <v>0</v>
      </c>
      <c r="L1235" s="1" t="str">
        <f aca="false">IF(I1235&gt;1,IF(K1235&gt;0,"Cross-hospital match","Same-hospital match"),"")</f>
        <v/>
      </c>
      <c r="M1235" s="52"/>
      <c r="N1235" s="52"/>
      <c r="O1235" s="1" t="n">
        <f aca="false">IF(M1235="Exclude (duplicate)",0,1)</f>
        <v>1</v>
      </c>
      <c r="P1235" s="1" t="str">
        <f aca="false">IF(AND(L1235&lt;&gt;"",M1235=""),"Needs decision","")</f>
        <v/>
      </c>
    </row>
    <row r="1236" customFormat="false" ht="15" hidden="false" customHeight="false" outlineLevel="0" collapsed="false">
      <c r="A1236" s="48" t="str">
        <f aca="false">COST!A1236</f>
        <v>WCH-0129</v>
      </c>
      <c r="B1236" s="48" t="str">
        <f aca="false">COST!B1236</f>
        <v>WCH</v>
      </c>
      <c r="C1236" s="48" t="str">
        <f aca="false">COST!D1236</f>
        <v>Diabetes Prevention Classes</v>
      </c>
      <c r="D1236" s="62" t="n">
        <f aca="false">COST!M1236</f>
        <v>46011</v>
      </c>
      <c r="E1236" s="48" t="str">
        <f aca="false">COST!P1236</f>
        <v>Health Educator</v>
      </c>
      <c r="F1236" s="63" t="n">
        <f aca="false">COST!R1236</f>
        <v>2.25</v>
      </c>
      <c r="G1236" s="48" t="str">
        <f aca="false">STACK!M1236</f>
        <v/>
      </c>
      <c r="H1236" s="1" t="str">
        <f aca="false">C1236&amp;"|"&amp;IF(ISNUMBER(D1236),TEXT(D1236,"yyyy-mm-dd"),"no date")&amp;"|"&amp;E1236&amp;"|"&amp;IF(ISNUMBER(F1236),TEXT(F1236,"0.00"),"blank")</f>
        <v>Diabetes Prevention Classes|2025-12-20|Health Educator|2.25</v>
      </c>
      <c r="I1236" s="1" t="n">
        <f aca="false">COUNTIF($H$5:$H$1624,H1236)</f>
        <v>1</v>
      </c>
      <c r="J1236" s="1" t="n">
        <f aca="false">COUNTIF($H$5:H1236,H1236)</f>
        <v>1</v>
      </c>
      <c r="K1236" s="1" t="n">
        <f aca="false">COUNTIFS($H$5:$H$1624,H1236,$B$5:$B$1624,"&lt;&gt;"&amp;B1236)</f>
        <v>0</v>
      </c>
      <c r="L1236" s="1" t="str">
        <f aca="false">IF(I1236&gt;1,IF(K1236&gt;0,"Cross-hospital match","Same-hospital match"),"")</f>
        <v/>
      </c>
      <c r="M1236" s="52"/>
      <c r="N1236" s="52"/>
      <c r="O1236" s="1" t="n">
        <f aca="false">IF(M1236="Exclude (duplicate)",0,1)</f>
        <v>1</v>
      </c>
      <c r="P1236" s="1" t="str">
        <f aca="false">IF(AND(L1236&lt;&gt;"",M1236=""),"Needs decision","")</f>
        <v/>
      </c>
    </row>
    <row r="1237" customFormat="false" ht="15" hidden="false" customHeight="false" outlineLevel="0" collapsed="false">
      <c r="A1237" s="48" t="str">
        <f aca="false">COST!A1237</f>
        <v>WCH-0130</v>
      </c>
      <c r="B1237" s="48" t="str">
        <f aca="false">COST!B1237</f>
        <v>WCH</v>
      </c>
      <c r="C1237" s="48" t="str">
        <f aca="false">COST!D1237</f>
        <v>Diabetes Prevention Classes</v>
      </c>
      <c r="D1237" s="62" t="n">
        <f aca="false">COST!M1237</f>
        <v>46011</v>
      </c>
      <c r="E1237" s="48" t="str">
        <f aca="false">COST!P1237</f>
        <v>Registered Dietitian</v>
      </c>
      <c r="F1237" s="63" t="n">
        <f aca="false">COST!R1237</f>
        <v>1.75</v>
      </c>
      <c r="G1237" s="48" t="str">
        <f aca="false">STACK!M1237</f>
        <v/>
      </c>
      <c r="H1237" s="1" t="str">
        <f aca="false">C1237&amp;"|"&amp;IF(ISNUMBER(D1237),TEXT(D1237,"yyyy-mm-dd"),"no date")&amp;"|"&amp;E1237&amp;"|"&amp;IF(ISNUMBER(F1237),TEXT(F1237,"0.00"),"blank")</f>
        <v>Diabetes Prevention Classes|2025-12-20|Registered Dietitian|1.75</v>
      </c>
      <c r="I1237" s="1" t="n">
        <f aca="false">COUNTIF($H$5:$H$1624,H1237)</f>
        <v>1</v>
      </c>
      <c r="J1237" s="1" t="n">
        <f aca="false">COUNTIF($H$5:H1237,H1237)</f>
        <v>1</v>
      </c>
      <c r="K1237" s="1" t="n">
        <f aca="false">COUNTIFS($H$5:$H$1624,H1237,$B$5:$B$1624,"&lt;&gt;"&amp;B1237)</f>
        <v>0</v>
      </c>
      <c r="L1237" s="1" t="str">
        <f aca="false">IF(I1237&gt;1,IF(K1237&gt;0,"Cross-hospital match","Same-hospital match"),"")</f>
        <v/>
      </c>
      <c r="M1237" s="52"/>
      <c r="N1237" s="52"/>
      <c r="O1237" s="1" t="n">
        <f aca="false">IF(M1237="Exclude (duplicate)",0,1)</f>
        <v>1</v>
      </c>
      <c r="P1237" s="1" t="str">
        <f aca="false">IF(AND(L1237&lt;&gt;"",M1237=""),"Needs decision","")</f>
        <v/>
      </c>
    </row>
    <row r="1238" customFormat="false" ht="15" hidden="false" customHeight="false" outlineLevel="0" collapsed="false">
      <c r="A1238" s="48" t="str">
        <f aca="false">COST!A1238</f>
        <v>WCH-0131</v>
      </c>
      <c r="B1238" s="48" t="str">
        <f aca="false">COST!B1238</f>
        <v>WCH</v>
      </c>
      <c r="C1238" s="48" t="str">
        <f aca="false">COST!D1238</f>
        <v>Regional Health Coalition</v>
      </c>
      <c r="D1238" s="62" t="n">
        <f aca="false">COST!M1238</f>
        <v>46014</v>
      </c>
      <c r="E1238" s="48" t="str">
        <f aca="false">COST!P1238</f>
        <v>Community Benefit Manager</v>
      </c>
      <c r="F1238" s="63" t="n">
        <f aca="false">COST!R1238</f>
        <v>2.25</v>
      </c>
      <c r="G1238" s="48" t="str">
        <f aca="false">STACK!M1238</f>
        <v/>
      </c>
      <c r="H1238" s="1" t="str">
        <f aca="false">C1238&amp;"|"&amp;IF(ISNUMBER(D1238),TEXT(D1238,"yyyy-mm-dd"),"no date")&amp;"|"&amp;E1238&amp;"|"&amp;IF(ISNUMBER(F1238),TEXT(F1238,"0.00"),"blank")</f>
        <v>Regional Health Coalition|2025-12-23|Community Benefit Manager|2.25</v>
      </c>
      <c r="I1238" s="1" t="n">
        <f aca="false">COUNTIF($H$5:$H$1624,H1238)</f>
        <v>1</v>
      </c>
      <c r="J1238" s="1" t="n">
        <f aca="false">COUNTIF($H$5:H1238,H1238)</f>
        <v>1</v>
      </c>
      <c r="K1238" s="1" t="n">
        <f aca="false">COUNTIFS($H$5:$H$1624,H1238,$B$5:$B$1624,"&lt;&gt;"&amp;B1238)</f>
        <v>0</v>
      </c>
      <c r="L1238" s="1" t="str">
        <f aca="false">IF(I1238&gt;1,IF(K1238&gt;0,"Cross-hospital match","Same-hospital match"),"")</f>
        <v/>
      </c>
      <c r="M1238" s="52"/>
      <c r="N1238" s="52"/>
      <c r="O1238" s="1" t="n">
        <f aca="false">IF(M1238="Exclude (duplicate)",0,1)</f>
        <v>1</v>
      </c>
      <c r="P1238" s="1" t="str">
        <f aca="false">IF(AND(L1238&lt;&gt;"",M1238=""),"Needs decision","")</f>
        <v/>
      </c>
    </row>
    <row r="1239" customFormat="false" ht="15" hidden="false" customHeight="false" outlineLevel="0" collapsed="false">
      <c r="A1239" s="48" t="str">
        <f aca="false">COST!A1239</f>
        <v>WCH-0132</v>
      </c>
      <c r="B1239" s="48" t="str">
        <f aca="false">COST!B1239</f>
        <v>WCH</v>
      </c>
      <c r="C1239" s="48" t="str">
        <f aca="false">COST!D1239</f>
        <v>Regional Health Coalition</v>
      </c>
      <c r="D1239" s="62" t="n">
        <f aca="false">COST!M1239</f>
        <v>46014</v>
      </c>
      <c r="E1239" s="48" t="str">
        <f aca="false">COST!P1239</f>
        <v>Director</v>
      </c>
      <c r="F1239" s="63" t="n">
        <f aca="false">COST!R1239</f>
        <v>2.5</v>
      </c>
      <c r="G1239" s="48" t="str">
        <f aca="false">STACK!M1239</f>
        <v/>
      </c>
      <c r="H1239" s="1" t="str">
        <f aca="false">C1239&amp;"|"&amp;IF(ISNUMBER(D1239),TEXT(D1239,"yyyy-mm-dd"),"no date")&amp;"|"&amp;E1239&amp;"|"&amp;IF(ISNUMBER(F1239),TEXT(F1239,"0.00"),"blank")</f>
        <v>Regional Health Coalition|2025-12-23|Director|2.50</v>
      </c>
      <c r="I1239" s="1" t="n">
        <f aca="false">COUNTIF($H$5:$H$1624,H1239)</f>
        <v>1</v>
      </c>
      <c r="J1239" s="1" t="n">
        <f aca="false">COUNTIF($H$5:H1239,H1239)</f>
        <v>1</v>
      </c>
      <c r="K1239" s="1" t="n">
        <f aca="false">COUNTIFS($H$5:$H$1624,H1239,$B$5:$B$1624,"&lt;&gt;"&amp;B1239)</f>
        <v>0</v>
      </c>
      <c r="L1239" s="1" t="str">
        <f aca="false">IF(I1239&gt;1,IF(K1239&gt;0,"Cross-hospital match","Same-hospital match"),"")</f>
        <v/>
      </c>
      <c r="M1239" s="52"/>
      <c r="N1239" s="52"/>
      <c r="O1239" s="1" t="n">
        <f aca="false">IF(M1239="Exclude (duplicate)",0,1)</f>
        <v>1</v>
      </c>
      <c r="P1239" s="1" t="str">
        <f aca="false">IF(AND(L1239&lt;&gt;"",M1239=""),"Needs decision","")</f>
        <v/>
      </c>
    </row>
    <row r="1240" customFormat="false" ht="15" hidden="false" customHeight="false" outlineLevel="0" collapsed="false">
      <c r="A1240" s="48" t="str">
        <f aca="false">COST!A1240</f>
        <v>WCH-0133</v>
      </c>
      <c r="B1240" s="48" t="str">
        <f aca="false">COST!B1240</f>
        <v>WCH</v>
      </c>
      <c r="C1240" s="48" t="str">
        <f aca="false">COST!D1240</f>
        <v>Mobile Health Screening Unit</v>
      </c>
      <c r="D1240" s="62" t="n">
        <f aca="false">COST!M1240</f>
        <v>46022</v>
      </c>
      <c r="E1240" s="48" t="str">
        <f aca="false">COST!P1240</f>
        <v>Community Health Worker</v>
      </c>
      <c r="F1240" s="63" t="n">
        <f aca="false">COST!R1240</f>
        <v>37.25</v>
      </c>
      <c r="G1240" s="48" t="str">
        <f aca="false">STACK!M1240</f>
        <v/>
      </c>
      <c r="H1240" s="1" t="str">
        <f aca="false">C1240&amp;"|"&amp;IF(ISNUMBER(D1240),TEXT(D1240,"yyyy-mm-dd"),"no date")&amp;"|"&amp;E1240&amp;"|"&amp;IF(ISNUMBER(F1240),TEXT(F1240,"0.00"),"blank")</f>
        <v>Mobile Health Screening Unit|2025-12-31|Community Health Worker|37.25</v>
      </c>
      <c r="I1240" s="1" t="n">
        <f aca="false">COUNTIF($H$5:$H$1624,H1240)</f>
        <v>1</v>
      </c>
      <c r="J1240" s="1" t="n">
        <f aca="false">COUNTIF($H$5:H1240,H1240)</f>
        <v>1</v>
      </c>
      <c r="K1240" s="1" t="n">
        <f aca="false">COUNTIFS($H$5:$H$1624,H1240,$B$5:$B$1624,"&lt;&gt;"&amp;B1240)</f>
        <v>0</v>
      </c>
      <c r="L1240" s="1" t="str">
        <f aca="false">IF(I1240&gt;1,IF(K1240&gt;0,"Cross-hospital match","Same-hospital match"),"")</f>
        <v/>
      </c>
      <c r="M1240" s="52"/>
      <c r="N1240" s="52"/>
      <c r="O1240" s="1" t="n">
        <f aca="false">IF(M1240="Exclude (duplicate)",0,1)</f>
        <v>1</v>
      </c>
      <c r="P1240" s="1" t="str">
        <f aca="false">IF(AND(L1240&lt;&gt;"",M1240=""),"Needs decision","")</f>
        <v/>
      </c>
    </row>
    <row r="1241" customFormat="false" ht="15" hidden="false" customHeight="false" outlineLevel="0" collapsed="false">
      <c r="A1241" s="48" t="str">
        <f aca="false">COST!A1241</f>
        <v>WCH-0134</v>
      </c>
      <c r="B1241" s="48" t="str">
        <f aca="false">COST!B1241</f>
        <v>WCH</v>
      </c>
      <c r="C1241" s="48" t="str">
        <f aca="false">COST!D1241</f>
        <v>Mobile Health Screening Unit</v>
      </c>
      <c r="D1241" s="62" t="n">
        <f aca="false">COST!M1241</f>
        <v>46022</v>
      </c>
      <c r="E1241" s="48" t="str">
        <f aca="false">COST!P1241</f>
        <v>Medical Assistant</v>
      </c>
      <c r="F1241" s="63" t="n">
        <f aca="false">COST!R1241</f>
        <v>63</v>
      </c>
      <c r="G1241" s="48" t="str">
        <f aca="false">STACK!M1241</f>
        <v/>
      </c>
      <c r="H1241" s="1" t="str">
        <f aca="false">C1241&amp;"|"&amp;IF(ISNUMBER(D1241),TEXT(D1241,"yyyy-mm-dd"),"no date")&amp;"|"&amp;E1241&amp;"|"&amp;IF(ISNUMBER(F1241),TEXT(F1241,"0.00"),"blank")</f>
        <v>Mobile Health Screening Unit|2025-12-31|Medical Assistant|63.00</v>
      </c>
      <c r="I1241" s="1" t="n">
        <f aca="false">COUNTIF($H$5:$H$1624,H1241)</f>
        <v>1</v>
      </c>
      <c r="J1241" s="1" t="n">
        <f aca="false">COUNTIF($H$5:H1241,H1241)</f>
        <v>1</v>
      </c>
      <c r="K1241" s="1" t="n">
        <f aca="false">COUNTIFS($H$5:$H$1624,H1241,$B$5:$B$1624,"&lt;&gt;"&amp;B1241)</f>
        <v>0</v>
      </c>
      <c r="L1241" s="1" t="str">
        <f aca="false">IF(I1241&gt;1,IF(K1241&gt;0,"Cross-hospital match","Same-hospital match"),"")</f>
        <v/>
      </c>
      <c r="M1241" s="52"/>
      <c r="N1241" s="52"/>
      <c r="O1241" s="1" t="n">
        <f aca="false">IF(M1241="Exclude (duplicate)",0,1)</f>
        <v>1</v>
      </c>
      <c r="P1241" s="1" t="str">
        <f aca="false">IF(AND(L1241&lt;&gt;"",M1241=""),"Needs decision","")</f>
        <v/>
      </c>
    </row>
    <row r="1242" customFormat="false" ht="15" hidden="false" customHeight="false" outlineLevel="0" collapsed="false">
      <c r="A1242" s="48" t="str">
        <f aca="false">COST!A1242</f>
        <v>WCH-0135</v>
      </c>
      <c r="B1242" s="48" t="str">
        <f aca="false">COST!B1242</f>
        <v>WCH</v>
      </c>
      <c r="C1242" s="48" t="str">
        <f aca="false">COST!D1242</f>
        <v>Mobile Health Screening Unit</v>
      </c>
      <c r="D1242" s="62" t="n">
        <f aca="false">COST!M1242</f>
        <v>46022</v>
      </c>
      <c r="E1242" s="48" t="str">
        <f aca="false">COST!P1242</f>
        <v>Registered Nurse</v>
      </c>
      <c r="F1242" s="63" t="n">
        <f aca="false">COST!R1242</f>
        <v>44.5</v>
      </c>
      <c r="G1242" s="48" t="str">
        <f aca="false">STACK!M1242</f>
        <v/>
      </c>
      <c r="H1242" s="1" t="str">
        <f aca="false">C1242&amp;"|"&amp;IF(ISNUMBER(D1242),TEXT(D1242,"yyyy-mm-dd"),"no date")&amp;"|"&amp;E1242&amp;"|"&amp;IF(ISNUMBER(F1242),TEXT(F1242,"0.00"),"blank")</f>
        <v>Mobile Health Screening Unit|2025-12-31|Registered Nurse|44.50</v>
      </c>
      <c r="I1242" s="1" t="n">
        <f aca="false">COUNTIF($H$5:$H$1624,H1242)</f>
        <v>1</v>
      </c>
      <c r="J1242" s="1" t="n">
        <f aca="false">COUNTIF($H$5:H1242,H1242)</f>
        <v>1</v>
      </c>
      <c r="K1242" s="1" t="n">
        <f aca="false">COUNTIFS($H$5:$H$1624,H1242,$B$5:$B$1624,"&lt;&gt;"&amp;B1242)</f>
        <v>0</v>
      </c>
      <c r="L1242" s="1" t="str">
        <f aca="false">IF(I1242&gt;1,IF(K1242&gt;0,"Cross-hospital match","Same-hospital match"),"")</f>
        <v/>
      </c>
      <c r="M1242" s="52"/>
      <c r="N1242" s="52"/>
      <c r="O1242" s="1" t="n">
        <f aca="false">IF(M1242="Exclude (duplicate)",0,1)</f>
        <v>1</v>
      </c>
      <c r="P1242" s="1" t="str">
        <f aca="false">IF(AND(L1242&lt;&gt;"",M1242=""),"Needs decision","")</f>
        <v/>
      </c>
    </row>
    <row r="1243" customFormat="false" ht="15" hidden="false" customHeight="false" outlineLevel="0" collapsed="false">
      <c r="A1243" s="48" t="str">
        <f aca="false">COST!A1243</f>
        <v>WCH-0136</v>
      </c>
      <c r="B1243" s="48" t="str">
        <f aca="false">COST!B1243</f>
        <v>WCH</v>
      </c>
      <c r="C1243" s="48" t="str">
        <f aca="false">COST!D1243</f>
        <v>Community Health Worker Outreach</v>
      </c>
      <c r="D1243" s="62" t="n">
        <f aca="false">COST!M1243</f>
        <v>46022</v>
      </c>
      <c r="E1243" s="48" t="str">
        <f aca="false">COST!P1243</f>
        <v>Community Health Worker</v>
      </c>
      <c r="F1243" s="63" t="n">
        <f aca="false">COST!R1243</f>
        <v>197.25</v>
      </c>
      <c r="G1243" s="48" t="str">
        <f aca="false">STACK!M1243</f>
        <v/>
      </c>
      <c r="H1243" s="1" t="str">
        <f aca="false">C1243&amp;"|"&amp;IF(ISNUMBER(D1243),TEXT(D1243,"yyyy-mm-dd"),"no date")&amp;"|"&amp;E1243&amp;"|"&amp;IF(ISNUMBER(F1243),TEXT(F1243,"0.00"),"blank")</f>
        <v>Community Health Worker Outreach|2025-12-31|Community Health Worker|197.25</v>
      </c>
      <c r="I1243" s="1" t="n">
        <f aca="false">COUNTIF($H$5:$H$1624,H1243)</f>
        <v>1</v>
      </c>
      <c r="J1243" s="1" t="n">
        <f aca="false">COUNTIF($H$5:H1243,H1243)</f>
        <v>1</v>
      </c>
      <c r="K1243" s="1" t="n">
        <f aca="false">COUNTIFS($H$5:$H$1624,H1243,$B$5:$B$1624,"&lt;&gt;"&amp;B1243)</f>
        <v>0</v>
      </c>
      <c r="L1243" s="1" t="str">
        <f aca="false">IF(I1243&gt;1,IF(K1243&gt;0,"Cross-hospital match","Same-hospital match"),"")</f>
        <v/>
      </c>
      <c r="M1243" s="52"/>
      <c r="N1243" s="52"/>
      <c r="O1243" s="1" t="n">
        <f aca="false">IF(M1243="Exclude (duplicate)",0,1)</f>
        <v>1</v>
      </c>
      <c r="P1243" s="1" t="str">
        <f aca="false">IF(AND(L1243&lt;&gt;"",M1243=""),"Needs decision","")</f>
        <v/>
      </c>
    </row>
    <row r="1244" customFormat="false" ht="15" hidden="false" customHeight="false" outlineLevel="0" collapsed="false">
      <c r="A1244" s="48" t="str">
        <f aca="false">COST!A1244</f>
        <v>WCH-0137</v>
      </c>
      <c r="B1244" s="48" t="str">
        <f aca="false">COST!B1244</f>
        <v>WCH</v>
      </c>
      <c r="C1244" s="48" t="str">
        <f aca="false">COST!D1244</f>
        <v>Community Health Worker Outreach</v>
      </c>
      <c r="D1244" s="62" t="n">
        <f aca="false">COST!M1244</f>
        <v>46022</v>
      </c>
      <c r="E1244" s="48" t="str">
        <f aca="false">COST!P1244</f>
        <v>Patient Navigator</v>
      </c>
      <c r="F1244" s="63" t="n">
        <f aca="false">COST!R1244</f>
        <v>105.75</v>
      </c>
      <c r="G1244" s="48" t="str">
        <f aca="false">STACK!M1244</f>
        <v/>
      </c>
      <c r="H1244" s="1" t="str">
        <f aca="false">C1244&amp;"|"&amp;IF(ISNUMBER(D1244),TEXT(D1244,"yyyy-mm-dd"),"no date")&amp;"|"&amp;E1244&amp;"|"&amp;IF(ISNUMBER(F1244),TEXT(F1244,"0.00"),"blank")</f>
        <v>Community Health Worker Outreach|2025-12-31|Patient Navigator|105.75</v>
      </c>
      <c r="I1244" s="1" t="n">
        <f aca="false">COUNTIF($H$5:$H$1624,H1244)</f>
        <v>1</v>
      </c>
      <c r="J1244" s="1" t="n">
        <f aca="false">COUNTIF($H$5:H1244,H1244)</f>
        <v>1</v>
      </c>
      <c r="K1244" s="1" t="n">
        <f aca="false">COUNTIFS($H$5:$H$1624,H1244,$B$5:$B$1624,"&lt;&gt;"&amp;B1244)</f>
        <v>0</v>
      </c>
      <c r="L1244" s="1" t="str">
        <f aca="false">IF(I1244&gt;1,IF(K1244&gt;0,"Cross-hospital match","Same-hospital match"),"")</f>
        <v/>
      </c>
      <c r="M1244" s="52"/>
      <c r="N1244" s="52"/>
      <c r="O1244" s="1" t="n">
        <f aca="false">IF(M1244="Exclude (duplicate)",0,1)</f>
        <v>1</v>
      </c>
      <c r="P1244" s="1" t="str">
        <f aca="false">IF(AND(L1244&lt;&gt;"",M1244=""),"Needs decision","")</f>
        <v/>
      </c>
    </row>
    <row r="1245" customFormat="false" ht="15" hidden="false" customHeight="false" outlineLevel="0" collapsed="false">
      <c r="A1245" s="48" t="str">
        <f aca="false">COST!A1245</f>
        <v>WCH-0138</v>
      </c>
      <c r="B1245" s="48" t="str">
        <f aca="false">COST!B1245</f>
        <v>WCH</v>
      </c>
      <c r="C1245" s="48" t="str">
        <f aca="false">COST!D1245</f>
        <v>Produce Prescription Program</v>
      </c>
      <c r="D1245" s="62" t="n">
        <f aca="false">COST!M1245</f>
        <v>46022</v>
      </c>
      <c r="E1245" s="48" t="str">
        <f aca="false">COST!P1245</f>
        <v>Community Health Worker</v>
      </c>
      <c r="F1245" s="63" t="n">
        <f aca="false">COST!R1245</f>
        <v>30.25</v>
      </c>
      <c r="G1245" s="48" t="str">
        <f aca="false">STACK!M1245</f>
        <v/>
      </c>
      <c r="H1245" s="1" t="str">
        <f aca="false">C1245&amp;"|"&amp;IF(ISNUMBER(D1245),TEXT(D1245,"yyyy-mm-dd"),"no date")&amp;"|"&amp;E1245&amp;"|"&amp;IF(ISNUMBER(F1245),TEXT(F1245,"0.00"),"blank")</f>
        <v>Produce Prescription Program|2025-12-31|Community Health Worker|30.25</v>
      </c>
      <c r="I1245" s="1" t="n">
        <f aca="false">COUNTIF($H$5:$H$1624,H1245)</f>
        <v>1</v>
      </c>
      <c r="J1245" s="1" t="n">
        <f aca="false">COUNTIF($H$5:H1245,H1245)</f>
        <v>1</v>
      </c>
      <c r="K1245" s="1" t="n">
        <f aca="false">COUNTIFS($H$5:$H$1624,H1245,$B$5:$B$1624,"&lt;&gt;"&amp;B1245)</f>
        <v>0</v>
      </c>
      <c r="L1245" s="1" t="str">
        <f aca="false">IF(I1245&gt;1,IF(K1245&gt;0,"Cross-hospital match","Same-hospital match"),"")</f>
        <v/>
      </c>
      <c r="M1245" s="52"/>
      <c r="N1245" s="52"/>
      <c r="O1245" s="1" t="n">
        <f aca="false">IF(M1245="Exclude (duplicate)",0,1)</f>
        <v>1</v>
      </c>
      <c r="P1245" s="1" t="str">
        <f aca="false">IF(AND(L1245&lt;&gt;"",M1245=""),"Needs decision","")</f>
        <v/>
      </c>
    </row>
    <row r="1246" customFormat="false" ht="15" hidden="false" customHeight="false" outlineLevel="0" collapsed="false">
      <c r="A1246" s="48" t="str">
        <f aca="false">COST!A1246</f>
        <v>WCH-0139</v>
      </c>
      <c r="B1246" s="48" t="str">
        <f aca="false">COST!B1246</f>
        <v>WCH</v>
      </c>
      <c r="C1246" s="48" t="str">
        <f aca="false">COST!D1246</f>
        <v>Produce Prescription Program</v>
      </c>
      <c r="D1246" s="62" t="n">
        <f aca="false">COST!M1246</f>
        <v>46022</v>
      </c>
      <c r="E1246" s="48" t="str">
        <f aca="false">COST!P1246</f>
        <v>Registered Dietitian</v>
      </c>
      <c r="F1246" s="63" t="n">
        <f aca="false">COST!R1246</f>
        <v>20.75</v>
      </c>
      <c r="G1246" s="48" t="str">
        <f aca="false">STACK!M1246</f>
        <v/>
      </c>
      <c r="H1246" s="1" t="str">
        <f aca="false">C1246&amp;"|"&amp;IF(ISNUMBER(D1246),TEXT(D1246,"yyyy-mm-dd"),"no date")&amp;"|"&amp;E1246&amp;"|"&amp;IF(ISNUMBER(F1246),TEXT(F1246,"0.00"),"blank")</f>
        <v>Produce Prescription Program|2025-12-31|Registered Dietitian|20.75</v>
      </c>
      <c r="I1246" s="1" t="n">
        <f aca="false">COUNTIF($H$5:$H$1624,H1246)</f>
        <v>1</v>
      </c>
      <c r="J1246" s="1" t="n">
        <f aca="false">COUNTIF($H$5:H1246,H1246)</f>
        <v>1</v>
      </c>
      <c r="K1246" s="1" t="n">
        <f aca="false">COUNTIFS($H$5:$H$1624,H1246,$B$5:$B$1624,"&lt;&gt;"&amp;B1246)</f>
        <v>0</v>
      </c>
      <c r="L1246" s="1" t="str">
        <f aca="false">IF(I1246&gt;1,IF(K1246&gt;0,"Cross-hospital match","Same-hospital match"),"")</f>
        <v/>
      </c>
      <c r="M1246" s="52"/>
      <c r="N1246" s="52"/>
      <c r="O1246" s="1" t="n">
        <f aca="false">IF(M1246="Exclude (duplicate)",0,1)</f>
        <v>1</v>
      </c>
      <c r="P1246" s="1" t="str">
        <f aca="false">IF(AND(L1246&lt;&gt;"",M1246=""),"Needs decision","")</f>
        <v/>
      </c>
    </row>
    <row r="1247" customFormat="false" ht="15" hidden="false" customHeight="false" outlineLevel="0" collapsed="false">
      <c r="A1247" s="48" t="str">
        <f aca="false">COST!A1247</f>
        <v>WCH-0140</v>
      </c>
      <c r="B1247" s="48" t="str">
        <f aca="false">COST!B1247</f>
        <v>WCH</v>
      </c>
      <c r="C1247" s="48" t="str">
        <f aca="false">COST!D1247</f>
        <v>Community Benefit Program Administration</v>
      </c>
      <c r="D1247" s="62" t="n">
        <f aca="false">COST!M1247</f>
        <v>46022</v>
      </c>
      <c r="E1247" s="48" t="str">
        <f aca="false">COST!P1247</f>
        <v>Administrative Assistant</v>
      </c>
      <c r="F1247" s="63" t="n">
        <f aca="false">COST!R1247</f>
        <v>21</v>
      </c>
      <c r="G1247" s="48" t="str">
        <f aca="false">STACK!M1247</f>
        <v/>
      </c>
      <c r="H1247" s="1" t="str">
        <f aca="false">C1247&amp;"|"&amp;IF(ISNUMBER(D1247),TEXT(D1247,"yyyy-mm-dd"),"no date")&amp;"|"&amp;E1247&amp;"|"&amp;IF(ISNUMBER(F1247),TEXT(F1247,"0.00"),"blank")</f>
        <v>Community Benefit Program Administration|2025-12-31|Administrative Assistant|21.00</v>
      </c>
      <c r="I1247" s="1" t="n">
        <f aca="false">COUNTIF($H$5:$H$1624,H1247)</f>
        <v>1</v>
      </c>
      <c r="J1247" s="1" t="n">
        <f aca="false">COUNTIF($H$5:H1247,H1247)</f>
        <v>1</v>
      </c>
      <c r="K1247" s="1" t="n">
        <f aca="false">COUNTIFS($H$5:$H$1624,H1247,$B$5:$B$1624,"&lt;&gt;"&amp;B1247)</f>
        <v>0</v>
      </c>
      <c r="L1247" s="1" t="str">
        <f aca="false">IF(I1247&gt;1,IF(K1247&gt;0,"Cross-hospital match","Same-hospital match"),"")</f>
        <v/>
      </c>
      <c r="M1247" s="52"/>
      <c r="N1247" s="52"/>
      <c r="O1247" s="1" t="n">
        <f aca="false">IF(M1247="Exclude (duplicate)",0,1)</f>
        <v>1</v>
      </c>
      <c r="P1247" s="1" t="str">
        <f aca="false">IF(AND(L1247&lt;&gt;"",M1247=""),"Needs decision","")</f>
        <v/>
      </c>
    </row>
    <row r="1248" customFormat="false" ht="15" hidden="false" customHeight="false" outlineLevel="0" collapsed="false">
      <c r="A1248" s="48" t="str">
        <f aca="false">COST!A1248</f>
        <v>WCH-0141</v>
      </c>
      <c r="B1248" s="48" t="str">
        <f aca="false">COST!B1248</f>
        <v>WCH</v>
      </c>
      <c r="C1248" s="48" t="str">
        <f aca="false">COST!D1248</f>
        <v>Community Benefit Program Administration</v>
      </c>
      <c r="D1248" s="62" t="n">
        <f aca="false">COST!M1248</f>
        <v>46022</v>
      </c>
      <c r="E1248" s="48" t="str">
        <f aca="false">COST!P1248</f>
        <v>Community Benefit Manager</v>
      </c>
      <c r="F1248" s="63" t="n">
        <f aca="false">COST!R1248</f>
        <v>55</v>
      </c>
      <c r="G1248" s="48" t="str">
        <f aca="false">STACK!M1248</f>
        <v/>
      </c>
      <c r="H1248" s="1" t="str">
        <f aca="false">C1248&amp;"|"&amp;IF(ISNUMBER(D1248),TEXT(D1248,"yyyy-mm-dd"),"no date")&amp;"|"&amp;E1248&amp;"|"&amp;IF(ISNUMBER(F1248),TEXT(F1248,"0.00"),"blank")</f>
        <v>Community Benefit Program Administration|2025-12-31|Community Benefit Manager|55.00</v>
      </c>
      <c r="I1248" s="1" t="n">
        <f aca="false">COUNTIF($H$5:$H$1624,H1248)</f>
        <v>1</v>
      </c>
      <c r="J1248" s="1" t="n">
        <f aca="false">COUNTIF($H$5:H1248,H1248)</f>
        <v>1</v>
      </c>
      <c r="K1248" s="1" t="n">
        <f aca="false">COUNTIFS($H$5:$H$1624,H1248,$B$5:$B$1624,"&lt;&gt;"&amp;B1248)</f>
        <v>0</v>
      </c>
      <c r="L1248" s="1" t="str">
        <f aca="false">IF(I1248&gt;1,IF(K1248&gt;0,"Cross-hospital match","Same-hospital match"),"")</f>
        <v/>
      </c>
      <c r="M1248" s="52"/>
      <c r="N1248" s="52"/>
      <c r="O1248" s="1" t="n">
        <f aca="false">IF(M1248="Exclude (duplicate)",0,1)</f>
        <v>1</v>
      </c>
      <c r="P1248" s="1" t="str">
        <f aca="false">IF(AND(L1248&lt;&gt;"",M1248=""),"Needs decision","")</f>
        <v/>
      </c>
    </row>
    <row r="1249" customFormat="false" ht="15" hidden="false" customHeight="false" outlineLevel="0" collapsed="false">
      <c r="A1249" s="48" t="str">
        <f aca="false">COST!A1249</f>
        <v>WCH-0142</v>
      </c>
      <c r="B1249" s="48" t="str">
        <f aca="false">COST!B1249</f>
        <v>WCH</v>
      </c>
      <c r="C1249" s="48" t="str">
        <f aca="false">COST!D1249</f>
        <v>Community Paramedic Home Visits</v>
      </c>
      <c r="D1249" s="62" t="n">
        <f aca="false">COST!M1249</f>
        <v>46022</v>
      </c>
      <c r="E1249" s="48" t="str">
        <f aca="false">COST!P1249</f>
        <v>Paramedic</v>
      </c>
      <c r="F1249" s="63" t="n">
        <f aca="false">COST!R1249</f>
        <v>57.5</v>
      </c>
      <c r="G1249" s="48" t="str">
        <f aca="false">STACK!M1249</f>
        <v/>
      </c>
      <c r="H1249" s="1" t="str">
        <f aca="false">C1249&amp;"|"&amp;IF(ISNUMBER(D1249),TEXT(D1249,"yyyy-mm-dd"),"no date")&amp;"|"&amp;E1249&amp;"|"&amp;IF(ISNUMBER(F1249),TEXT(F1249,"0.00"),"blank")</f>
        <v>Community Paramedic Home Visits|2025-12-31|Paramedic|57.50</v>
      </c>
      <c r="I1249" s="1" t="n">
        <f aca="false">COUNTIF($H$5:$H$1624,H1249)</f>
        <v>1</v>
      </c>
      <c r="J1249" s="1" t="n">
        <f aca="false">COUNTIF($H$5:H1249,H1249)</f>
        <v>1</v>
      </c>
      <c r="K1249" s="1" t="n">
        <f aca="false">COUNTIFS($H$5:$H$1624,H1249,$B$5:$B$1624,"&lt;&gt;"&amp;B1249)</f>
        <v>0</v>
      </c>
      <c r="L1249" s="1" t="str">
        <f aca="false">IF(I1249&gt;1,IF(K1249&gt;0,"Cross-hospital match","Same-hospital match"),"")</f>
        <v/>
      </c>
      <c r="M1249" s="52"/>
      <c r="N1249" s="52"/>
      <c r="O1249" s="1" t="n">
        <f aca="false">IF(M1249="Exclude (duplicate)",0,1)</f>
        <v>1</v>
      </c>
      <c r="P1249" s="1" t="str">
        <f aca="false">IF(AND(L1249&lt;&gt;"",M1249=""),"Needs decision","")</f>
        <v/>
      </c>
    </row>
    <row r="1250" customFormat="false" ht="15" hidden="false" customHeight="false" outlineLevel="0" collapsed="false">
      <c r="A1250" s="48" t="str">
        <f aca="false">COST!A1250</f>
        <v>WCH-0143</v>
      </c>
      <c r="B1250" s="48" t="str">
        <f aca="false">COST!B1250</f>
        <v>WCH</v>
      </c>
      <c r="C1250" s="48" t="str">
        <f aca="false">COST!D1250</f>
        <v>Nursing Student Clinical Rotations</v>
      </c>
      <c r="D1250" s="62" t="n">
        <f aca="false">COST!M1250</f>
        <v>46022</v>
      </c>
      <c r="E1250" s="48" t="str">
        <f aca="false">COST!P1250</f>
        <v>Clinical Nurse Educator</v>
      </c>
      <c r="F1250" s="63" t="n">
        <f aca="false">COST!R1250</f>
        <v>40.5</v>
      </c>
      <c r="G1250" s="48" t="str">
        <f aca="false">STACK!M1250</f>
        <v/>
      </c>
      <c r="H1250" s="1" t="str">
        <f aca="false">C1250&amp;"|"&amp;IF(ISNUMBER(D1250),TEXT(D1250,"yyyy-mm-dd"),"no date")&amp;"|"&amp;E1250&amp;"|"&amp;IF(ISNUMBER(F1250),TEXT(F1250,"0.00"),"blank")</f>
        <v>Nursing Student Clinical Rotations|2025-12-31|Clinical Nurse Educator|40.50</v>
      </c>
      <c r="I1250" s="1" t="n">
        <f aca="false">COUNTIF($H$5:$H$1624,H1250)</f>
        <v>1</v>
      </c>
      <c r="J1250" s="1" t="n">
        <f aca="false">COUNTIF($H$5:H1250,H1250)</f>
        <v>1</v>
      </c>
      <c r="K1250" s="1" t="n">
        <f aca="false">COUNTIFS($H$5:$H$1624,H1250,$B$5:$B$1624,"&lt;&gt;"&amp;B1250)</f>
        <v>0</v>
      </c>
      <c r="L1250" s="1" t="str">
        <f aca="false">IF(I1250&gt;1,IF(K1250&gt;0,"Cross-hospital match","Same-hospital match"),"")</f>
        <v/>
      </c>
      <c r="M1250" s="52"/>
      <c r="N1250" s="52"/>
      <c r="O1250" s="1" t="n">
        <f aca="false">IF(M1250="Exclude (duplicate)",0,1)</f>
        <v>1</v>
      </c>
      <c r="P1250" s="1" t="str">
        <f aca="false">IF(AND(L1250&lt;&gt;"",M1250=""),"Needs decision","")</f>
        <v/>
      </c>
    </row>
    <row r="1251" customFormat="false" ht="15" hidden="false" customHeight="false" outlineLevel="0" collapsed="false">
      <c r="A1251" s="48" t="str">
        <f aca="false">COST!A1251</f>
        <v>WCH-0144</v>
      </c>
      <c r="B1251" s="48" t="str">
        <f aca="false">COST!B1251</f>
        <v>WCH</v>
      </c>
      <c r="C1251" s="48" t="str">
        <f aca="false">COST!D1251</f>
        <v>Nursing Student Clinical Rotations</v>
      </c>
      <c r="D1251" s="62" t="n">
        <f aca="false">COST!M1251</f>
        <v>46022</v>
      </c>
      <c r="E1251" s="48" t="str">
        <f aca="false">COST!P1251</f>
        <v>Registered Nurse</v>
      </c>
      <c r="F1251" s="63" t="n">
        <f aca="false">COST!R1251</f>
        <v>45.75</v>
      </c>
      <c r="G1251" s="48" t="str">
        <f aca="false">STACK!M1251</f>
        <v/>
      </c>
      <c r="H1251" s="1" t="str">
        <f aca="false">C1251&amp;"|"&amp;IF(ISNUMBER(D1251),TEXT(D1251,"yyyy-mm-dd"),"no date")&amp;"|"&amp;E1251&amp;"|"&amp;IF(ISNUMBER(F1251),TEXT(F1251,"0.00"),"blank")</f>
        <v>Nursing Student Clinical Rotations|2025-12-31|Registered Nurse|45.75</v>
      </c>
      <c r="I1251" s="1" t="n">
        <f aca="false">COUNTIF($H$5:$H$1624,H1251)</f>
        <v>1</v>
      </c>
      <c r="J1251" s="1" t="n">
        <f aca="false">COUNTIF($H$5:H1251,H1251)</f>
        <v>1</v>
      </c>
      <c r="K1251" s="1" t="n">
        <f aca="false">COUNTIFS($H$5:$H$1624,H1251,$B$5:$B$1624,"&lt;&gt;"&amp;B1251)</f>
        <v>0</v>
      </c>
      <c r="L1251" s="1" t="str">
        <f aca="false">IF(I1251&gt;1,IF(K1251&gt;0,"Cross-hospital match","Same-hospital match"),"")</f>
        <v/>
      </c>
      <c r="M1251" s="52"/>
      <c r="N1251" s="52"/>
      <c r="O1251" s="1" t="n">
        <f aca="false">IF(M1251="Exclude (duplicate)",0,1)</f>
        <v>1</v>
      </c>
      <c r="P1251" s="1" t="str">
        <f aca="false">IF(AND(L1251&lt;&gt;"",M1251=""),"Needs decision","")</f>
        <v/>
      </c>
    </row>
    <row r="1252" customFormat="false" ht="15" hidden="false" customHeight="false" outlineLevel="0" collapsed="false">
      <c r="A1252" s="48" t="str">
        <f aca="false">COST!A1252</f>
        <v>WCH-0145</v>
      </c>
      <c r="B1252" s="48" t="str">
        <f aca="false">COST!B1252</f>
        <v>WCH</v>
      </c>
      <c r="C1252" s="48" t="str">
        <f aca="false">COST!D1252</f>
        <v>Paramedic Student Field Training</v>
      </c>
      <c r="D1252" s="62" t="n">
        <f aca="false">COST!M1252</f>
        <v>46022</v>
      </c>
      <c r="E1252" s="48" t="str">
        <f aca="false">COST!P1252</f>
        <v>Paramedic</v>
      </c>
      <c r="F1252" s="63" t="n">
        <f aca="false">COST!R1252</f>
        <v>54</v>
      </c>
      <c r="G1252" s="48" t="str">
        <f aca="false">STACK!M1252</f>
        <v/>
      </c>
      <c r="H1252" s="1" t="str">
        <f aca="false">C1252&amp;"|"&amp;IF(ISNUMBER(D1252),TEXT(D1252,"yyyy-mm-dd"),"no date")&amp;"|"&amp;E1252&amp;"|"&amp;IF(ISNUMBER(F1252),TEXT(F1252,"0.00"),"blank")</f>
        <v>Paramedic Student Field Training|2025-12-31|Paramedic|54.00</v>
      </c>
      <c r="I1252" s="1" t="n">
        <f aca="false">COUNTIF($H$5:$H$1624,H1252)</f>
        <v>1</v>
      </c>
      <c r="J1252" s="1" t="n">
        <f aca="false">COUNTIF($H$5:H1252,H1252)</f>
        <v>1</v>
      </c>
      <c r="K1252" s="1" t="n">
        <f aca="false">COUNTIFS($H$5:$H$1624,H1252,$B$5:$B$1624,"&lt;&gt;"&amp;B1252)</f>
        <v>0</v>
      </c>
      <c r="L1252" s="1" t="str">
        <f aca="false">IF(I1252&gt;1,IF(K1252&gt;0,"Cross-hospital match","Same-hospital match"),"")</f>
        <v/>
      </c>
      <c r="M1252" s="52"/>
      <c r="N1252" s="52"/>
      <c r="O1252" s="1" t="n">
        <f aca="false">IF(M1252="Exclude (duplicate)",0,1)</f>
        <v>1</v>
      </c>
      <c r="P1252" s="1" t="str">
        <f aca="false">IF(AND(L1252&lt;&gt;"",M1252=""),"Needs decision","")</f>
        <v/>
      </c>
    </row>
    <row r="1253" customFormat="false" ht="15" hidden="false" customHeight="false" outlineLevel="0" collapsed="false">
      <c r="A1253" s="48" t="str">
        <f aca="false">COST!A1253</f>
        <v>WCH-0146</v>
      </c>
      <c r="B1253" s="48" t="str">
        <f aca="false">COST!B1253</f>
        <v>WCH</v>
      </c>
      <c r="C1253" s="48" t="str">
        <f aca="false">COST!D1253</f>
        <v>Rural Maternal Outcomes Study</v>
      </c>
      <c r="D1253" s="62" t="n">
        <f aca="false">COST!M1253</f>
        <v>46022</v>
      </c>
      <c r="E1253" s="48" t="str">
        <f aca="false">COST!P1253</f>
        <v>Data Analyst</v>
      </c>
      <c r="F1253" s="63" t="n">
        <f aca="false">COST!R1253</f>
        <v>11.75</v>
      </c>
      <c r="G1253" s="48" t="str">
        <f aca="false">STACK!M1253</f>
        <v/>
      </c>
      <c r="H1253" s="1" t="str">
        <f aca="false">C1253&amp;"|"&amp;IF(ISNUMBER(D1253),TEXT(D1253,"yyyy-mm-dd"),"no date")&amp;"|"&amp;E1253&amp;"|"&amp;IF(ISNUMBER(F1253),TEXT(F1253,"0.00"),"blank")</f>
        <v>Rural Maternal Outcomes Study|2025-12-31|Data Analyst|11.75</v>
      </c>
      <c r="I1253" s="1" t="n">
        <f aca="false">COUNTIF($H$5:$H$1624,H1253)</f>
        <v>1</v>
      </c>
      <c r="J1253" s="1" t="n">
        <f aca="false">COUNTIF($H$5:H1253,H1253)</f>
        <v>1</v>
      </c>
      <c r="K1253" s="1" t="n">
        <f aca="false">COUNTIFS($H$5:$H$1624,H1253,$B$5:$B$1624,"&lt;&gt;"&amp;B1253)</f>
        <v>0</v>
      </c>
      <c r="L1253" s="1" t="str">
        <f aca="false">IF(I1253&gt;1,IF(K1253&gt;0,"Cross-hospital match","Same-hospital match"),"")</f>
        <v/>
      </c>
      <c r="M1253" s="52"/>
      <c r="N1253" s="52"/>
      <c r="O1253" s="1" t="n">
        <f aca="false">IF(M1253="Exclude (duplicate)",0,1)</f>
        <v>1</v>
      </c>
      <c r="P1253" s="1" t="str">
        <f aca="false">IF(AND(L1253&lt;&gt;"",M1253=""),"Needs decision","")</f>
        <v/>
      </c>
    </row>
    <row r="1254" customFormat="false" ht="15" hidden="false" customHeight="false" outlineLevel="0" collapsed="false">
      <c r="A1254" s="48" t="str">
        <f aca="false">COST!A1254</f>
        <v>WCH-0147</v>
      </c>
      <c r="B1254" s="48" t="str">
        <f aca="false">COST!B1254</f>
        <v>WCH</v>
      </c>
      <c r="C1254" s="48" t="str">
        <f aca="false">COST!D1254</f>
        <v>Rural Maternal Outcomes Study</v>
      </c>
      <c r="D1254" s="62" t="n">
        <f aca="false">COST!M1254</f>
        <v>46022</v>
      </c>
      <c r="E1254" s="48" t="str">
        <f aca="false">COST!P1254</f>
        <v>Research Coordinator</v>
      </c>
      <c r="F1254" s="63" t="n">
        <f aca="false">COST!R1254</f>
        <v>47.75</v>
      </c>
      <c r="G1254" s="48" t="str">
        <f aca="false">STACK!M1254</f>
        <v/>
      </c>
      <c r="H1254" s="1" t="str">
        <f aca="false">C1254&amp;"|"&amp;IF(ISNUMBER(D1254),TEXT(D1254,"yyyy-mm-dd"),"no date")&amp;"|"&amp;E1254&amp;"|"&amp;IF(ISNUMBER(F1254),TEXT(F1254,"0.00"),"blank")</f>
        <v>Rural Maternal Outcomes Study|2025-12-31|Research Coordinator|47.75</v>
      </c>
      <c r="I1254" s="1" t="n">
        <f aca="false">COUNTIF($H$5:$H$1624,H1254)</f>
        <v>1</v>
      </c>
      <c r="J1254" s="1" t="n">
        <f aca="false">COUNTIF($H$5:H1254,H1254)</f>
        <v>1</v>
      </c>
      <c r="K1254" s="1" t="n">
        <f aca="false">COUNTIFS($H$5:$H$1624,H1254,$B$5:$B$1624,"&lt;&gt;"&amp;B1254)</f>
        <v>0</v>
      </c>
      <c r="L1254" s="1" t="str">
        <f aca="false">IF(I1254&gt;1,IF(K1254&gt;0,"Cross-hospital match","Same-hospital match"),"")</f>
        <v/>
      </c>
      <c r="M1254" s="52"/>
      <c r="N1254" s="52"/>
      <c r="O1254" s="1" t="n">
        <f aca="false">IF(M1254="Exclude (duplicate)",0,1)</f>
        <v>1</v>
      </c>
      <c r="P1254" s="1" t="str">
        <f aca="false">IF(AND(L1254&lt;&gt;"",M1254=""),"Needs decision","")</f>
        <v/>
      </c>
    </row>
    <row r="1255" customFormat="false" ht="15" hidden="false" customHeight="false" outlineLevel="0" collapsed="false">
      <c r="A1255" s="48" t="str">
        <f aca="false">COST!A1255</f>
        <v>WCH-0148</v>
      </c>
      <c r="B1255" s="48" t="str">
        <f aca="false">COST!B1255</f>
        <v>WCH</v>
      </c>
      <c r="C1255" s="48" t="str">
        <f aca="false">COST!D1255</f>
        <v>Youth Health Careers Pathway</v>
      </c>
      <c r="D1255" s="62" t="n">
        <f aca="false">COST!M1255</f>
        <v>46025</v>
      </c>
      <c r="E1255" s="48" t="str">
        <f aca="false">COST!P1255</f>
        <v>Clinical Nurse Educator</v>
      </c>
      <c r="F1255" s="63" t="n">
        <f aca="false">COST!R1255</f>
        <v>4</v>
      </c>
      <c r="G1255" s="48" t="str">
        <f aca="false">STACK!M1255</f>
        <v/>
      </c>
      <c r="H1255" s="1" t="str">
        <f aca="false">C1255&amp;"|"&amp;IF(ISNUMBER(D1255),TEXT(D1255,"yyyy-mm-dd"),"no date")&amp;"|"&amp;E1255&amp;"|"&amp;IF(ISNUMBER(F1255),TEXT(F1255,"0.00"),"blank")</f>
        <v>Youth Health Careers Pathway|2026-01-03|Clinical Nurse Educator|4.00</v>
      </c>
      <c r="I1255" s="1" t="n">
        <f aca="false">COUNTIF($H$5:$H$1624,H1255)</f>
        <v>1</v>
      </c>
      <c r="J1255" s="1" t="n">
        <f aca="false">COUNTIF($H$5:H1255,H1255)</f>
        <v>1</v>
      </c>
      <c r="K1255" s="1" t="n">
        <f aca="false">COUNTIFS($H$5:$H$1624,H1255,$B$5:$B$1624,"&lt;&gt;"&amp;B1255)</f>
        <v>0</v>
      </c>
      <c r="L1255" s="1" t="str">
        <f aca="false">IF(I1255&gt;1,IF(K1255&gt;0,"Cross-hospital match","Same-hospital match"),"")</f>
        <v/>
      </c>
      <c r="M1255" s="52"/>
      <c r="N1255" s="52"/>
      <c r="O1255" s="1" t="n">
        <f aca="false">IF(M1255="Exclude (duplicate)",0,1)</f>
        <v>1</v>
      </c>
      <c r="P1255" s="1" t="str">
        <f aca="false">IF(AND(L1255&lt;&gt;"",M1255=""),"Needs decision","")</f>
        <v/>
      </c>
    </row>
    <row r="1256" customFormat="false" ht="15" hidden="false" customHeight="false" outlineLevel="0" collapsed="false">
      <c r="A1256" s="48" t="str">
        <f aca="false">COST!A1256</f>
        <v>WCH-0149</v>
      </c>
      <c r="B1256" s="48" t="str">
        <f aca="false">COST!B1256</f>
        <v>WCH</v>
      </c>
      <c r="C1256" s="48" t="str">
        <f aca="false">COST!D1256</f>
        <v>Youth Health Careers Pathway</v>
      </c>
      <c r="D1256" s="62" t="n">
        <f aca="false">COST!M1256</f>
        <v>46025</v>
      </c>
      <c r="E1256" s="48" t="str">
        <f aca="false">COST!P1256</f>
        <v>Program Coordinator</v>
      </c>
      <c r="F1256" s="63" t="n">
        <f aca="false">COST!R1256</f>
        <v>6.75</v>
      </c>
      <c r="G1256" s="48" t="str">
        <f aca="false">STACK!M1256</f>
        <v/>
      </c>
      <c r="H1256" s="1" t="str">
        <f aca="false">C1256&amp;"|"&amp;IF(ISNUMBER(D1256),TEXT(D1256,"yyyy-mm-dd"),"no date")&amp;"|"&amp;E1256&amp;"|"&amp;IF(ISNUMBER(F1256),TEXT(F1256,"0.00"),"blank")</f>
        <v>Youth Health Careers Pathway|2026-01-03|Program Coordinator|6.75</v>
      </c>
      <c r="I1256" s="1" t="n">
        <f aca="false">COUNTIF($H$5:$H$1624,H1256)</f>
        <v>1</v>
      </c>
      <c r="J1256" s="1" t="n">
        <f aca="false">COUNTIF($H$5:H1256,H1256)</f>
        <v>1</v>
      </c>
      <c r="K1256" s="1" t="n">
        <f aca="false">COUNTIFS($H$5:$H$1624,H1256,$B$5:$B$1624,"&lt;&gt;"&amp;B1256)</f>
        <v>0</v>
      </c>
      <c r="L1256" s="1" t="str">
        <f aca="false">IF(I1256&gt;1,IF(K1256&gt;0,"Cross-hospital match","Same-hospital match"),"")</f>
        <v/>
      </c>
      <c r="M1256" s="52"/>
      <c r="N1256" s="52"/>
      <c r="O1256" s="1" t="n">
        <f aca="false">IF(M1256="Exclude (duplicate)",0,1)</f>
        <v>1</v>
      </c>
      <c r="P1256" s="1" t="str">
        <f aca="false">IF(AND(L1256&lt;&gt;"",M1256=""),"Needs decision","")</f>
        <v/>
      </c>
    </row>
    <row r="1257" customFormat="false" ht="15" hidden="false" customHeight="false" outlineLevel="0" collapsed="false">
      <c r="A1257" s="48" t="str">
        <f aca="false">COST!A1257</f>
        <v>WCH-0150</v>
      </c>
      <c r="B1257" s="48" t="str">
        <f aca="false">COST!B1257</f>
        <v>WCH</v>
      </c>
      <c r="C1257" s="48" t="str">
        <f aca="false">COST!D1257</f>
        <v>Community Blood Pressure Checks</v>
      </c>
      <c r="D1257" s="62" t="n">
        <f aca="false">COST!M1257</f>
        <v>46030</v>
      </c>
      <c r="E1257" s="48" t="str">
        <f aca="false">COST!P1257</f>
        <v>Registered Nurse</v>
      </c>
      <c r="F1257" s="63" t="n">
        <f aca="false">COST!R1257</f>
        <v>4.5</v>
      </c>
      <c r="G1257" s="48" t="str">
        <f aca="false">STACK!M1257</f>
        <v/>
      </c>
      <c r="H1257" s="1" t="str">
        <f aca="false">C1257&amp;"|"&amp;IF(ISNUMBER(D1257),TEXT(D1257,"yyyy-mm-dd"),"no date")&amp;"|"&amp;E1257&amp;"|"&amp;IF(ISNUMBER(F1257),TEXT(F1257,"0.00"),"blank")</f>
        <v>Community Blood Pressure Checks|2026-01-08|Registered Nurse|4.50</v>
      </c>
      <c r="I1257" s="1" t="n">
        <f aca="false">COUNTIF($H$5:$H$1624,H1257)</f>
        <v>1</v>
      </c>
      <c r="J1257" s="1" t="n">
        <f aca="false">COUNTIF($H$5:H1257,H1257)</f>
        <v>1</v>
      </c>
      <c r="K1257" s="1" t="n">
        <f aca="false">COUNTIFS($H$5:$H$1624,H1257,$B$5:$B$1624,"&lt;&gt;"&amp;B1257)</f>
        <v>0</v>
      </c>
      <c r="L1257" s="1" t="str">
        <f aca="false">IF(I1257&gt;1,IF(K1257&gt;0,"Cross-hospital match","Same-hospital match"),"")</f>
        <v/>
      </c>
      <c r="M1257" s="52"/>
      <c r="N1257" s="52"/>
      <c r="O1257" s="1" t="n">
        <f aca="false">IF(M1257="Exclude (duplicate)",0,1)</f>
        <v>1</v>
      </c>
      <c r="P1257" s="1" t="str">
        <f aca="false">IF(AND(L1257&lt;&gt;"",M1257=""),"Needs decision","")</f>
        <v/>
      </c>
    </row>
    <row r="1258" customFormat="false" ht="15" hidden="false" customHeight="false" outlineLevel="0" collapsed="false">
      <c r="A1258" s="48" t="str">
        <f aca="false">COST!A1258</f>
        <v>WCH-0151</v>
      </c>
      <c r="B1258" s="48" t="str">
        <f aca="false">COST!B1258</f>
        <v>WCH</v>
      </c>
      <c r="C1258" s="48" t="str">
        <f aca="false">COST!D1258</f>
        <v>Community Blood Pressure Checks</v>
      </c>
      <c r="D1258" s="62" t="n">
        <f aca="false">COST!M1258</f>
        <v>46031</v>
      </c>
      <c r="E1258" s="48" t="str">
        <f aca="false">COST!P1258</f>
        <v>Registered Nurse</v>
      </c>
      <c r="F1258" s="63" t="n">
        <f aca="false">COST!R1258</f>
        <v>3.5</v>
      </c>
      <c r="G1258" s="48" t="str">
        <f aca="false">STACK!M1258</f>
        <v/>
      </c>
      <c r="H1258" s="1" t="str">
        <f aca="false">C1258&amp;"|"&amp;IF(ISNUMBER(D1258),TEXT(D1258,"yyyy-mm-dd"),"no date")&amp;"|"&amp;E1258&amp;"|"&amp;IF(ISNUMBER(F1258),TEXT(F1258,"0.00"),"blank")</f>
        <v>Community Blood Pressure Checks|2026-01-09|Registered Nurse|3.50</v>
      </c>
      <c r="I1258" s="1" t="n">
        <f aca="false">COUNTIF($H$5:$H$1624,H1258)</f>
        <v>1</v>
      </c>
      <c r="J1258" s="1" t="n">
        <f aca="false">COUNTIF($H$5:H1258,H1258)</f>
        <v>1</v>
      </c>
      <c r="K1258" s="1" t="n">
        <f aca="false">COUNTIFS($H$5:$H$1624,H1258,$B$5:$B$1624,"&lt;&gt;"&amp;B1258)</f>
        <v>0</v>
      </c>
      <c r="L1258" s="1" t="str">
        <f aca="false">IF(I1258&gt;1,IF(K1258&gt;0,"Cross-hospital match","Same-hospital match"),"")</f>
        <v/>
      </c>
      <c r="M1258" s="52"/>
      <c r="N1258" s="52"/>
      <c r="O1258" s="1" t="n">
        <f aca="false">IF(M1258="Exclude (duplicate)",0,1)</f>
        <v>1</v>
      </c>
      <c r="P1258" s="1" t="str">
        <f aca="false">IF(AND(L1258&lt;&gt;"",M1258=""),"Needs decision","")</f>
        <v/>
      </c>
    </row>
    <row r="1259" customFormat="false" ht="15" hidden="false" customHeight="false" outlineLevel="0" collapsed="false">
      <c r="A1259" s="48" t="str">
        <f aca="false">COST!A1259</f>
        <v>WCH-0152</v>
      </c>
      <c r="B1259" s="48" t="str">
        <f aca="false">COST!B1259</f>
        <v>WCH</v>
      </c>
      <c r="C1259" s="48" t="str">
        <f aca="false">COST!D1259</f>
        <v>Regional Food Bank Contribution</v>
      </c>
      <c r="D1259" s="62" t="n">
        <f aca="false">COST!M1259</f>
        <v>46033</v>
      </c>
      <c r="E1259" s="48" t="str">
        <f aca="false">COST!P1259</f>
        <v>No staff time</v>
      </c>
      <c r="F1259" s="63" t="str">
        <f aca="false">COST!R1259</f>
        <v/>
      </c>
      <c r="G1259" s="48" t="str">
        <f aca="false">STACK!M1259</f>
        <v/>
      </c>
      <c r="H1259" s="1" t="str">
        <f aca="false">C1259&amp;"|"&amp;IF(ISNUMBER(D1259),TEXT(D1259,"yyyy-mm-dd"),"no date")&amp;"|"&amp;E1259&amp;"|"&amp;IF(ISNUMBER(F1259),TEXT(F1259,"0.00"),"blank")</f>
        <v>Regional Food Bank Contribution|2026-01-11|No staff time|blank</v>
      </c>
      <c r="I1259" s="1" t="n">
        <f aca="false">COUNTIF($H$5:$H$1624,H1259)</f>
        <v>1</v>
      </c>
      <c r="J1259" s="1" t="n">
        <f aca="false">COUNTIF($H$5:H1259,H1259)</f>
        <v>1</v>
      </c>
      <c r="K1259" s="1" t="n">
        <f aca="false">COUNTIFS($H$5:$H$1624,H1259,$B$5:$B$1624,"&lt;&gt;"&amp;B1259)</f>
        <v>0</v>
      </c>
      <c r="L1259" s="1" t="str">
        <f aca="false">IF(I1259&gt;1,IF(K1259&gt;0,"Cross-hospital match","Same-hospital match"),"")</f>
        <v/>
      </c>
      <c r="M1259" s="52"/>
      <c r="N1259" s="52"/>
      <c r="O1259" s="1" t="n">
        <f aca="false">IF(M1259="Exclude (duplicate)",0,1)</f>
        <v>1</v>
      </c>
      <c r="P1259" s="1" t="str">
        <f aca="false">IF(AND(L1259&lt;&gt;"",M1259=""),"Needs decision","")</f>
        <v/>
      </c>
    </row>
    <row r="1260" customFormat="false" ht="15" hidden="false" customHeight="false" outlineLevel="0" collapsed="false">
      <c r="A1260" s="48" t="str">
        <f aca="false">COST!A1260</f>
        <v>WCH-0153</v>
      </c>
      <c r="B1260" s="48" t="str">
        <f aca="false">COST!B1260</f>
        <v>WCH</v>
      </c>
      <c r="C1260" s="48" t="str">
        <f aca="false">COST!D1260</f>
        <v>Community Blood Pressure Checks</v>
      </c>
      <c r="D1260" s="62" t="n">
        <f aca="false">COST!M1260</f>
        <v>46052</v>
      </c>
      <c r="E1260" s="48" t="str">
        <f aca="false">COST!P1260</f>
        <v>Registered Nurse</v>
      </c>
      <c r="F1260" s="63" t="n">
        <f aca="false">COST!R1260</f>
        <v>3.5</v>
      </c>
      <c r="G1260" s="48" t="str">
        <f aca="false">STACK!M1260</f>
        <v/>
      </c>
      <c r="H1260" s="1" t="str">
        <f aca="false">C1260&amp;"|"&amp;IF(ISNUMBER(D1260),TEXT(D1260,"yyyy-mm-dd"),"no date")&amp;"|"&amp;E1260&amp;"|"&amp;IF(ISNUMBER(F1260),TEXT(F1260,"0.00"),"blank")</f>
        <v>Community Blood Pressure Checks|2026-01-30|Registered Nurse|3.50</v>
      </c>
      <c r="I1260" s="1" t="n">
        <f aca="false">COUNTIF($H$5:$H$1624,H1260)</f>
        <v>1</v>
      </c>
      <c r="J1260" s="1" t="n">
        <f aca="false">COUNTIF($H$5:H1260,H1260)</f>
        <v>1</v>
      </c>
      <c r="K1260" s="1" t="n">
        <f aca="false">COUNTIFS($H$5:$H$1624,H1260,$B$5:$B$1624,"&lt;&gt;"&amp;B1260)</f>
        <v>0</v>
      </c>
      <c r="L1260" s="1" t="str">
        <f aca="false">IF(I1260&gt;1,IF(K1260&gt;0,"Cross-hospital match","Same-hospital match"),"")</f>
        <v/>
      </c>
      <c r="M1260" s="52"/>
      <c r="N1260" s="52"/>
      <c r="O1260" s="1" t="n">
        <f aca="false">IF(M1260="Exclude (duplicate)",0,1)</f>
        <v>1</v>
      </c>
      <c r="P1260" s="1" t="str">
        <f aca="false">IF(AND(L1260&lt;&gt;"",M1260=""),"Needs decision","")</f>
        <v/>
      </c>
    </row>
    <row r="1261" customFormat="false" ht="15" hidden="false" customHeight="false" outlineLevel="0" collapsed="false">
      <c r="A1261" s="48" t="str">
        <f aca="false">COST!A1261</f>
        <v>WCH-0154</v>
      </c>
      <c r="B1261" s="48" t="str">
        <f aca="false">COST!B1261</f>
        <v>WCH</v>
      </c>
      <c r="C1261" s="48" t="str">
        <f aca="false">COST!D1261</f>
        <v>Mobile Health Screening Unit</v>
      </c>
      <c r="D1261" s="62" t="n">
        <f aca="false">COST!M1261</f>
        <v>46053</v>
      </c>
      <c r="E1261" s="48" t="str">
        <f aca="false">COST!P1261</f>
        <v>Community Health Worker</v>
      </c>
      <c r="F1261" s="63" t="n">
        <f aca="false">COST!R1261</f>
        <v>33.5</v>
      </c>
      <c r="G1261" s="48" t="str">
        <f aca="false">STACK!M1261</f>
        <v/>
      </c>
      <c r="H1261" s="1" t="str">
        <f aca="false">C1261&amp;"|"&amp;IF(ISNUMBER(D1261),TEXT(D1261,"yyyy-mm-dd"),"no date")&amp;"|"&amp;E1261&amp;"|"&amp;IF(ISNUMBER(F1261),TEXT(F1261,"0.00"),"blank")</f>
        <v>Mobile Health Screening Unit|2026-01-31|Community Health Worker|33.50</v>
      </c>
      <c r="I1261" s="1" t="n">
        <f aca="false">COUNTIF($H$5:$H$1624,H1261)</f>
        <v>1</v>
      </c>
      <c r="J1261" s="1" t="n">
        <f aca="false">COUNTIF($H$5:H1261,H1261)</f>
        <v>1</v>
      </c>
      <c r="K1261" s="1" t="n">
        <f aca="false">COUNTIFS($H$5:$H$1624,H1261,$B$5:$B$1624,"&lt;&gt;"&amp;B1261)</f>
        <v>0</v>
      </c>
      <c r="L1261" s="1" t="str">
        <f aca="false">IF(I1261&gt;1,IF(K1261&gt;0,"Cross-hospital match","Same-hospital match"),"")</f>
        <v/>
      </c>
      <c r="M1261" s="52"/>
      <c r="N1261" s="52"/>
      <c r="O1261" s="1" t="n">
        <f aca="false">IF(M1261="Exclude (duplicate)",0,1)</f>
        <v>1</v>
      </c>
      <c r="P1261" s="1" t="str">
        <f aca="false">IF(AND(L1261&lt;&gt;"",M1261=""),"Needs decision","")</f>
        <v/>
      </c>
    </row>
    <row r="1262" customFormat="false" ht="15" hidden="false" customHeight="false" outlineLevel="0" collapsed="false">
      <c r="A1262" s="48" t="str">
        <f aca="false">COST!A1262</f>
        <v>WCH-0155</v>
      </c>
      <c r="B1262" s="48" t="str">
        <f aca="false">COST!B1262</f>
        <v>WCH</v>
      </c>
      <c r="C1262" s="48" t="str">
        <f aca="false">COST!D1262</f>
        <v>Mobile Health Screening Unit</v>
      </c>
      <c r="D1262" s="62" t="n">
        <f aca="false">COST!M1262</f>
        <v>46053</v>
      </c>
      <c r="E1262" s="48" t="str">
        <f aca="false">COST!P1262</f>
        <v>Medical Assistant</v>
      </c>
      <c r="F1262" s="63" t="n">
        <f aca="false">COST!R1262</f>
        <v>64</v>
      </c>
      <c r="G1262" s="48" t="str">
        <f aca="false">STACK!M1262</f>
        <v/>
      </c>
      <c r="H1262" s="1" t="str">
        <f aca="false">C1262&amp;"|"&amp;IF(ISNUMBER(D1262),TEXT(D1262,"yyyy-mm-dd"),"no date")&amp;"|"&amp;E1262&amp;"|"&amp;IF(ISNUMBER(F1262),TEXT(F1262,"0.00"),"blank")</f>
        <v>Mobile Health Screening Unit|2026-01-31|Medical Assistant|64.00</v>
      </c>
      <c r="I1262" s="1" t="n">
        <f aca="false">COUNTIF($H$5:$H$1624,H1262)</f>
        <v>1</v>
      </c>
      <c r="J1262" s="1" t="n">
        <f aca="false">COUNTIF($H$5:H1262,H1262)</f>
        <v>1</v>
      </c>
      <c r="K1262" s="1" t="n">
        <f aca="false">COUNTIFS($H$5:$H$1624,H1262,$B$5:$B$1624,"&lt;&gt;"&amp;B1262)</f>
        <v>0</v>
      </c>
      <c r="L1262" s="1" t="str">
        <f aca="false">IF(I1262&gt;1,IF(K1262&gt;0,"Cross-hospital match","Same-hospital match"),"")</f>
        <v/>
      </c>
      <c r="M1262" s="52"/>
      <c r="N1262" s="52"/>
      <c r="O1262" s="1" t="n">
        <f aca="false">IF(M1262="Exclude (duplicate)",0,1)</f>
        <v>1</v>
      </c>
      <c r="P1262" s="1" t="str">
        <f aca="false">IF(AND(L1262&lt;&gt;"",M1262=""),"Needs decision","")</f>
        <v/>
      </c>
    </row>
    <row r="1263" customFormat="false" ht="15" hidden="false" customHeight="false" outlineLevel="0" collapsed="false">
      <c r="A1263" s="48" t="str">
        <f aca="false">COST!A1263</f>
        <v>WCH-0156</v>
      </c>
      <c r="B1263" s="48" t="str">
        <f aca="false">COST!B1263</f>
        <v>WCH</v>
      </c>
      <c r="C1263" s="48" t="str">
        <f aca="false">COST!D1263</f>
        <v>Mobile Health Screening Unit</v>
      </c>
      <c r="D1263" s="62" t="n">
        <f aca="false">COST!M1263</f>
        <v>46053</v>
      </c>
      <c r="E1263" s="48" t="str">
        <f aca="false">COST!P1263</f>
        <v>Registered Nurse</v>
      </c>
      <c r="F1263" s="63" t="n">
        <f aca="false">COST!R1263</f>
        <v>47.5</v>
      </c>
      <c r="G1263" s="48" t="str">
        <f aca="false">STACK!M1263</f>
        <v/>
      </c>
      <c r="H1263" s="1" t="str">
        <f aca="false">C1263&amp;"|"&amp;IF(ISNUMBER(D1263),TEXT(D1263,"yyyy-mm-dd"),"no date")&amp;"|"&amp;E1263&amp;"|"&amp;IF(ISNUMBER(F1263),TEXT(F1263,"0.00"),"blank")</f>
        <v>Mobile Health Screening Unit|2026-01-31|Registered Nurse|47.50</v>
      </c>
      <c r="I1263" s="1" t="n">
        <f aca="false">COUNTIF($H$5:$H$1624,H1263)</f>
        <v>1</v>
      </c>
      <c r="J1263" s="1" t="n">
        <f aca="false">COUNTIF($H$5:H1263,H1263)</f>
        <v>1</v>
      </c>
      <c r="K1263" s="1" t="n">
        <f aca="false">COUNTIFS($H$5:$H$1624,H1263,$B$5:$B$1624,"&lt;&gt;"&amp;B1263)</f>
        <v>0</v>
      </c>
      <c r="L1263" s="1" t="str">
        <f aca="false">IF(I1263&gt;1,IF(K1263&gt;0,"Cross-hospital match","Same-hospital match"),"")</f>
        <v/>
      </c>
      <c r="M1263" s="52"/>
      <c r="N1263" s="52"/>
      <c r="O1263" s="1" t="n">
        <f aca="false">IF(M1263="Exclude (duplicate)",0,1)</f>
        <v>1</v>
      </c>
      <c r="P1263" s="1" t="str">
        <f aca="false">IF(AND(L1263&lt;&gt;"",M1263=""),"Needs decision","")</f>
        <v/>
      </c>
    </row>
    <row r="1264" customFormat="false" ht="15" hidden="false" customHeight="false" outlineLevel="0" collapsed="false">
      <c r="A1264" s="48" t="str">
        <f aca="false">COST!A1264</f>
        <v>WCH-0157</v>
      </c>
      <c r="B1264" s="48" t="str">
        <f aca="false">COST!B1264</f>
        <v>WCH</v>
      </c>
      <c r="C1264" s="48" t="str">
        <f aca="false">COST!D1264</f>
        <v>Community Health Worker Outreach</v>
      </c>
      <c r="D1264" s="62" t="n">
        <f aca="false">COST!M1264</f>
        <v>46053</v>
      </c>
      <c r="E1264" s="48" t="str">
        <f aca="false">COST!P1264</f>
        <v>Community Health Worker</v>
      </c>
      <c r="F1264" s="63" t="n">
        <f aca="false">COST!R1264</f>
        <v>197</v>
      </c>
      <c r="G1264" s="48" t="str">
        <f aca="false">STACK!M1264</f>
        <v/>
      </c>
      <c r="H1264" s="1" t="str">
        <f aca="false">C1264&amp;"|"&amp;IF(ISNUMBER(D1264),TEXT(D1264,"yyyy-mm-dd"),"no date")&amp;"|"&amp;E1264&amp;"|"&amp;IF(ISNUMBER(F1264),TEXT(F1264,"0.00"),"blank")</f>
        <v>Community Health Worker Outreach|2026-01-31|Community Health Worker|197.00</v>
      </c>
      <c r="I1264" s="1" t="n">
        <f aca="false">COUNTIF($H$5:$H$1624,H1264)</f>
        <v>1</v>
      </c>
      <c r="J1264" s="1" t="n">
        <f aca="false">COUNTIF($H$5:H1264,H1264)</f>
        <v>1</v>
      </c>
      <c r="K1264" s="1" t="n">
        <f aca="false">COUNTIFS($H$5:$H$1624,H1264,$B$5:$B$1624,"&lt;&gt;"&amp;B1264)</f>
        <v>0</v>
      </c>
      <c r="L1264" s="1" t="str">
        <f aca="false">IF(I1264&gt;1,IF(K1264&gt;0,"Cross-hospital match","Same-hospital match"),"")</f>
        <v/>
      </c>
      <c r="M1264" s="52"/>
      <c r="N1264" s="52"/>
      <c r="O1264" s="1" t="n">
        <f aca="false">IF(M1264="Exclude (duplicate)",0,1)</f>
        <v>1</v>
      </c>
      <c r="P1264" s="1" t="str">
        <f aca="false">IF(AND(L1264&lt;&gt;"",M1264=""),"Needs decision","")</f>
        <v/>
      </c>
    </row>
    <row r="1265" customFormat="false" ht="15" hidden="false" customHeight="false" outlineLevel="0" collapsed="false">
      <c r="A1265" s="48" t="str">
        <f aca="false">COST!A1265</f>
        <v>WCH-0158</v>
      </c>
      <c r="B1265" s="48" t="str">
        <f aca="false">COST!B1265</f>
        <v>WCH</v>
      </c>
      <c r="C1265" s="48" t="str">
        <f aca="false">COST!D1265</f>
        <v>Community Health Worker Outreach</v>
      </c>
      <c r="D1265" s="62" t="n">
        <f aca="false">COST!M1265</f>
        <v>46053</v>
      </c>
      <c r="E1265" s="48" t="str">
        <f aca="false">COST!P1265</f>
        <v>Patient Navigator</v>
      </c>
      <c r="F1265" s="63" t="n">
        <f aca="false">COST!R1265</f>
        <v>90.25</v>
      </c>
      <c r="G1265" s="48" t="str">
        <f aca="false">STACK!M1265</f>
        <v/>
      </c>
      <c r="H1265" s="1" t="str">
        <f aca="false">C1265&amp;"|"&amp;IF(ISNUMBER(D1265),TEXT(D1265,"yyyy-mm-dd"),"no date")&amp;"|"&amp;E1265&amp;"|"&amp;IF(ISNUMBER(F1265),TEXT(F1265,"0.00"),"blank")</f>
        <v>Community Health Worker Outreach|2026-01-31|Patient Navigator|90.25</v>
      </c>
      <c r="I1265" s="1" t="n">
        <f aca="false">COUNTIF($H$5:$H$1624,H1265)</f>
        <v>1</v>
      </c>
      <c r="J1265" s="1" t="n">
        <f aca="false">COUNTIF($H$5:H1265,H1265)</f>
        <v>1</v>
      </c>
      <c r="K1265" s="1" t="n">
        <f aca="false">COUNTIFS($H$5:$H$1624,H1265,$B$5:$B$1624,"&lt;&gt;"&amp;B1265)</f>
        <v>0</v>
      </c>
      <c r="L1265" s="1" t="str">
        <f aca="false">IF(I1265&gt;1,IF(K1265&gt;0,"Cross-hospital match","Same-hospital match"),"")</f>
        <v/>
      </c>
      <c r="M1265" s="52"/>
      <c r="N1265" s="52"/>
      <c r="O1265" s="1" t="n">
        <f aca="false">IF(M1265="Exclude (duplicate)",0,1)</f>
        <v>1</v>
      </c>
      <c r="P1265" s="1" t="str">
        <f aca="false">IF(AND(L1265&lt;&gt;"",M1265=""),"Needs decision","")</f>
        <v/>
      </c>
    </row>
    <row r="1266" customFormat="false" ht="15" hidden="false" customHeight="false" outlineLevel="0" collapsed="false">
      <c r="A1266" s="48" t="str">
        <f aca="false">COST!A1266</f>
        <v>WCH-0159</v>
      </c>
      <c r="B1266" s="48" t="str">
        <f aca="false">COST!B1266</f>
        <v>WCH</v>
      </c>
      <c r="C1266" s="48" t="str">
        <f aca="false">COST!D1266</f>
        <v>Produce Prescription Program</v>
      </c>
      <c r="D1266" s="62" t="n">
        <f aca="false">COST!M1266</f>
        <v>46053</v>
      </c>
      <c r="E1266" s="48" t="str">
        <f aca="false">COST!P1266</f>
        <v>Community Health Worker</v>
      </c>
      <c r="F1266" s="63" t="n">
        <f aca="false">COST!R1266</f>
        <v>46</v>
      </c>
      <c r="G1266" s="48" t="str">
        <f aca="false">STACK!M1266</f>
        <v/>
      </c>
      <c r="H1266" s="1" t="str">
        <f aca="false">C1266&amp;"|"&amp;IF(ISNUMBER(D1266),TEXT(D1266,"yyyy-mm-dd"),"no date")&amp;"|"&amp;E1266&amp;"|"&amp;IF(ISNUMBER(F1266),TEXT(F1266,"0.00"),"blank")</f>
        <v>Produce Prescription Program|2026-01-31|Community Health Worker|46.00</v>
      </c>
      <c r="I1266" s="1" t="n">
        <f aca="false">COUNTIF($H$5:$H$1624,H1266)</f>
        <v>1</v>
      </c>
      <c r="J1266" s="1" t="n">
        <f aca="false">COUNTIF($H$5:H1266,H1266)</f>
        <v>1</v>
      </c>
      <c r="K1266" s="1" t="n">
        <f aca="false">COUNTIFS($H$5:$H$1624,H1266,$B$5:$B$1624,"&lt;&gt;"&amp;B1266)</f>
        <v>0</v>
      </c>
      <c r="L1266" s="1" t="str">
        <f aca="false">IF(I1266&gt;1,IF(K1266&gt;0,"Cross-hospital match","Same-hospital match"),"")</f>
        <v/>
      </c>
      <c r="M1266" s="52"/>
      <c r="N1266" s="52"/>
      <c r="O1266" s="1" t="n">
        <f aca="false">IF(M1266="Exclude (duplicate)",0,1)</f>
        <v>1</v>
      </c>
      <c r="P1266" s="1" t="str">
        <f aca="false">IF(AND(L1266&lt;&gt;"",M1266=""),"Needs decision","")</f>
        <v/>
      </c>
    </row>
    <row r="1267" customFormat="false" ht="15" hidden="false" customHeight="false" outlineLevel="0" collapsed="false">
      <c r="A1267" s="48" t="str">
        <f aca="false">COST!A1267</f>
        <v>WCH-0160</v>
      </c>
      <c r="B1267" s="48" t="str">
        <f aca="false">COST!B1267</f>
        <v>WCH</v>
      </c>
      <c r="C1267" s="48" t="str">
        <f aca="false">COST!D1267</f>
        <v>Produce Prescription Program</v>
      </c>
      <c r="D1267" s="62" t="n">
        <f aca="false">COST!M1267</f>
        <v>46053</v>
      </c>
      <c r="E1267" s="48" t="str">
        <f aca="false">COST!P1267</f>
        <v>Registered Dietitian</v>
      </c>
      <c r="F1267" s="63" t="n">
        <f aca="false">COST!R1267</f>
        <v>15.75</v>
      </c>
      <c r="G1267" s="48" t="str">
        <f aca="false">STACK!M1267</f>
        <v/>
      </c>
      <c r="H1267" s="1" t="str">
        <f aca="false">C1267&amp;"|"&amp;IF(ISNUMBER(D1267),TEXT(D1267,"yyyy-mm-dd"),"no date")&amp;"|"&amp;E1267&amp;"|"&amp;IF(ISNUMBER(F1267),TEXT(F1267,"0.00"),"blank")</f>
        <v>Produce Prescription Program|2026-01-31|Registered Dietitian|15.75</v>
      </c>
      <c r="I1267" s="1" t="n">
        <f aca="false">COUNTIF($H$5:$H$1624,H1267)</f>
        <v>1</v>
      </c>
      <c r="J1267" s="1" t="n">
        <f aca="false">COUNTIF($H$5:H1267,H1267)</f>
        <v>1</v>
      </c>
      <c r="K1267" s="1" t="n">
        <f aca="false">COUNTIFS($H$5:$H$1624,H1267,$B$5:$B$1624,"&lt;&gt;"&amp;B1267)</f>
        <v>0</v>
      </c>
      <c r="L1267" s="1" t="str">
        <f aca="false">IF(I1267&gt;1,IF(K1267&gt;0,"Cross-hospital match","Same-hospital match"),"")</f>
        <v/>
      </c>
      <c r="M1267" s="52"/>
      <c r="N1267" s="52"/>
      <c r="O1267" s="1" t="n">
        <f aca="false">IF(M1267="Exclude (duplicate)",0,1)</f>
        <v>1</v>
      </c>
      <c r="P1267" s="1" t="str">
        <f aca="false">IF(AND(L1267&lt;&gt;"",M1267=""),"Needs decision","")</f>
        <v/>
      </c>
    </row>
    <row r="1268" customFormat="false" ht="15" hidden="false" customHeight="false" outlineLevel="0" collapsed="false">
      <c r="A1268" s="48" t="str">
        <f aca="false">COST!A1268</f>
        <v>WCH-0161</v>
      </c>
      <c r="B1268" s="48" t="str">
        <f aca="false">COST!B1268</f>
        <v>WCH</v>
      </c>
      <c r="C1268" s="48" t="str">
        <f aca="false">COST!D1268</f>
        <v>Community Benefit Program Administration</v>
      </c>
      <c r="D1268" s="62" t="n">
        <f aca="false">COST!M1268</f>
        <v>46053</v>
      </c>
      <c r="E1268" s="48" t="str">
        <f aca="false">COST!P1268</f>
        <v>Administrative Assistant</v>
      </c>
      <c r="F1268" s="63" t="n">
        <f aca="false">COST!R1268</f>
        <v>33.5</v>
      </c>
      <c r="G1268" s="48" t="str">
        <f aca="false">STACK!M1268</f>
        <v/>
      </c>
      <c r="H1268" s="1" t="str">
        <f aca="false">C1268&amp;"|"&amp;IF(ISNUMBER(D1268),TEXT(D1268,"yyyy-mm-dd"),"no date")&amp;"|"&amp;E1268&amp;"|"&amp;IF(ISNUMBER(F1268),TEXT(F1268,"0.00"),"blank")</f>
        <v>Community Benefit Program Administration|2026-01-31|Administrative Assistant|33.50</v>
      </c>
      <c r="I1268" s="1" t="n">
        <f aca="false">COUNTIF($H$5:$H$1624,H1268)</f>
        <v>1</v>
      </c>
      <c r="J1268" s="1" t="n">
        <f aca="false">COUNTIF($H$5:H1268,H1268)</f>
        <v>1</v>
      </c>
      <c r="K1268" s="1" t="n">
        <f aca="false">COUNTIFS($H$5:$H$1624,H1268,$B$5:$B$1624,"&lt;&gt;"&amp;B1268)</f>
        <v>0</v>
      </c>
      <c r="L1268" s="1" t="str">
        <f aca="false">IF(I1268&gt;1,IF(K1268&gt;0,"Cross-hospital match","Same-hospital match"),"")</f>
        <v/>
      </c>
      <c r="M1268" s="52"/>
      <c r="N1268" s="52"/>
      <c r="O1268" s="1" t="n">
        <f aca="false">IF(M1268="Exclude (duplicate)",0,1)</f>
        <v>1</v>
      </c>
      <c r="P1268" s="1" t="str">
        <f aca="false">IF(AND(L1268&lt;&gt;"",M1268=""),"Needs decision","")</f>
        <v/>
      </c>
    </row>
    <row r="1269" customFormat="false" ht="15" hidden="false" customHeight="false" outlineLevel="0" collapsed="false">
      <c r="A1269" s="48" t="str">
        <f aca="false">COST!A1269</f>
        <v>WCH-0162</v>
      </c>
      <c r="B1269" s="48" t="str">
        <f aca="false">COST!B1269</f>
        <v>WCH</v>
      </c>
      <c r="C1269" s="48" t="str">
        <f aca="false">COST!D1269</f>
        <v>Community Benefit Program Administration</v>
      </c>
      <c r="D1269" s="62" t="n">
        <f aca="false">COST!M1269</f>
        <v>46053</v>
      </c>
      <c r="E1269" s="48" t="str">
        <f aca="false">COST!P1269</f>
        <v>Community Benefit Manager</v>
      </c>
      <c r="F1269" s="63" t="n">
        <f aca="false">COST!R1269</f>
        <v>41.75</v>
      </c>
      <c r="G1269" s="48" t="str">
        <f aca="false">STACK!M1269</f>
        <v/>
      </c>
      <c r="H1269" s="1" t="str">
        <f aca="false">C1269&amp;"|"&amp;IF(ISNUMBER(D1269),TEXT(D1269,"yyyy-mm-dd"),"no date")&amp;"|"&amp;E1269&amp;"|"&amp;IF(ISNUMBER(F1269),TEXT(F1269,"0.00"),"blank")</f>
        <v>Community Benefit Program Administration|2026-01-31|Community Benefit Manager|41.75</v>
      </c>
      <c r="I1269" s="1" t="n">
        <f aca="false">COUNTIF($H$5:$H$1624,H1269)</f>
        <v>1</v>
      </c>
      <c r="J1269" s="1" t="n">
        <f aca="false">COUNTIF($H$5:H1269,H1269)</f>
        <v>1</v>
      </c>
      <c r="K1269" s="1" t="n">
        <f aca="false">COUNTIFS($H$5:$H$1624,H1269,$B$5:$B$1624,"&lt;&gt;"&amp;B1269)</f>
        <v>0</v>
      </c>
      <c r="L1269" s="1" t="str">
        <f aca="false">IF(I1269&gt;1,IF(K1269&gt;0,"Cross-hospital match","Same-hospital match"),"")</f>
        <v/>
      </c>
      <c r="M1269" s="52"/>
      <c r="N1269" s="52"/>
      <c r="O1269" s="1" t="n">
        <f aca="false">IF(M1269="Exclude (duplicate)",0,1)</f>
        <v>1</v>
      </c>
      <c r="P1269" s="1" t="str">
        <f aca="false">IF(AND(L1269&lt;&gt;"",M1269=""),"Needs decision","")</f>
        <v/>
      </c>
    </row>
    <row r="1270" customFormat="false" ht="15" hidden="false" customHeight="false" outlineLevel="0" collapsed="false">
      <c r="A1270" s="48" t="str">
        <f aca="false">COST!A1270</f>
        <v>WCH-0163</v>
      </c>
      <c r="B1270" s="48" t="str">
        <f aca="false">COST!B1270</f>
        <v>WCH</v>
      </c>
      <c r="C1270" s="48" t="str">
        <f aca="false">COST!D1270</f>
        <v>Naloxone Training and Distribution</v>
      </c>
      <c r="D1270" s="62" t="n">
        <f aca="false">COST!M1270</f>
        <v>46053</v>
      </c>
      <c r="E1270" s="48" t="str">
        <f aca="false">COST!P1270</f>
        <v>Health Educator</v>
      </c>
      <c r="F1270" s="63" t="n">
        <f aca="false">COST!R1270</f>
        <v>2.5</v>
      </c>
      <c r="G1270" s="48" t="str">
        <f aca="false">STACK!M1270</f>
        <v/>
      </c>
      <c r="H1270" s="1" t="str">
        <f aca="false">C1270&amp;"|"&amp;IF(ISNUMBER(D1270),TEXT(D1270,"yyyy-mm-dd"),"no date")&amp;"|"&amp;E1270&amp;"|"&amp;IF(ISNUMBER(F1270),TEXT(F1270,"0.00"),"blank")</f>
        <v>Naloxone Training and Distribution|2026-01-31|Health Educator|2.50</v>
      </c>
      <c r="I1270" s="1" t="n">
        <f aca="false">COUNTIF($H$5:$H$1624,H1270)</f>
        <v>1</v>
      </c>
      <c r="J1270" s="1" t="n">
        <f aca="false">COUNTIF($H$5:H1270,H1270)</f>
        <v>1</v>
      </c>
      <c r="K1270" s="1" t="n">
        <f aca="false">COUNTIFS($H$5:$H$1624,H1270,$B$5:$B$1624,"&lt;&gt;"&amp;B1270)</f>
        <v>0</v>
      </c>
      <c r="L1270" s="1" t="str">
        <f aca="false">IF(I1270&gt;1,IF(K1270&gt;0,"Cross-hospital match","Same-hospital match"),"")</f>
        <v/>
      </c>
      <c r="M1270" s="52"/>
      <c r="N1270" s="52"/>
      <c r="O1270" s="1" t="n">
        <f aca="false">IF(M1270="Exclude (duplicate)",0,1)</f>
        <v>1</v>
      </c>
      <c r="P1270" s="1" t="str">
        <f aca="false">IF(AND(L1270&lt;&gt;"",M1270=""),"Needs decision","")</f>
        <v/>
      </c>
    </row>
    <row r="1271" customFormat="false" ht="15" hidden="false" customHeight="false" outlineLevel="0" collapsed="false">
      <c r="A1271" s="48" t="str">
        <f aca="false">COST!A1271</f>
        <v>WCH-0164</v>
      </c>
      <c r="B1271" s="48" t="str">
        <f aca="false">COST!B1271</f>
        <v>WCH</v>
      </c>
      <c r="C1271" s="48" t="str">
        <f aca="false">COST!D1271</f>
        <v>Naloxone Training and Distribution</v>
      </c>
      <c r="D1271" s="62" t="n">
        <f aca="false">COST!M1271</f>
        <v>46053</v>
      </c>
      <c r="E1271" s="48" t="str">
        <f aca="false">COST!P1271</f>
        <v>Pharmacist</v>
      </c>
      <c r="F1271" s="63" t="n">
        <f aca="false">COST!R1271</f>
        <v>2.5</v>
      </c>
      <c r="G1271" s="48" t="str">
        <f aca="false">STACK!M1271</f>
        <v/>
      </c>
      <c r="H1271" s="1" t="str">
        <f aca="false">C1271&amp;"|"&amp;IF(ISNUMBER(D1271),TEXT(D1271,"yyyy-mm-dd"),"no date")&amp;"|"&amp;E1271&amp;"|"&amp;IF(ISNUMBER(F1271),TEXT(F1271,"0.00"),"blank")</f>
        <v>Naloxone Training and Distribution|2026-01-31|Pharmacist|2.50</v>
      </c>
      <c r="I1271" s="1" t="n">
        <f aca="false">COUNTIF($H$5:$H$1624,H1271)</f>
        <v>1</v>
      </c>
      <c r="J1271" s="1" t="n">
        <f aca="false">COUNTIF($H$5:H1271,H1271)</f>
        <v>1</v>
      </c>
      <c r="K1271" s="1" t="n">
        <f aca="false">COUNTIFS($H$5:$H$1624,H1271,$B$5:$B$1624,"&lt;&gt;"&amp;B1271)</f>
        <v>0</v>
      </c>
      <c r="L1271" s="1" t="str">
        <f aca="false">IF(I1271&gt;1,IF(K1271&gt;0,"Cross-hospital match","Same-hospital match"),"")</f>
        <v/>
      </c>
      <c r="M1271" s="52"/>
      <c r="N1271" s="52"/>
      <c r="O1271" s="1" t="n">
        <f aca="false">IF(M1271="Exclude (duplicate)",0,1)</f>
        <v>1</v>
      </c>
      <c r="P1271" s="1" t="str">
        <f aca="false">IF(AND(L1271&lt;&gt;"",M1271=""),"Needs decision","")</f>
        <v/>
      </c>
    </row>
    <row r="1272" customFormat="false" ht="15" hidden="false" customHeight="false" outlineLevel="0" collapsed="false">
      <c r="A1272" s="48" t="str">
        <f aca="false">COST!A1272</f>
        <v>WCH-0165</v>
      </c>
      <c r="B1272" s="48" t="str">
        <f aca="false">COST!B1272</f>
        <v>WCH</v>
      </c>
      <c r="C1272" s="48" t="str">
        <f aca="false">COST!D1272</f>
        <v>Community Paramedic Home Visits</v>
      </c>
      <c r="D1272" s="62" t="n">
        <f aca="false">COST!M1272</f>
        <v>46053</v>
      </c>
      <c r="E1272" s="48" t="str">
        <f aca="false">COST!P1272</f>
        <v>Paramedic</v>
      </c>
      <c r="F1272" s="63" t="n">
        <f aca="false">COST!R1272</f>
        <v>53.25</v>
      </c>
      <c r="G1272" s="48" t="str">
        <f aca="false">STACK!M1272</f>
        <v/>
      </c>
      <c r="H1272" s="1" t="str">
        <f aca="false">C1272&amp;"|"&amp;IF(ISNUMBER(D1272),TEXT(D1272,"yyyy-mm-dd"),"no date")&amp;"|"&amp;E1272&amp;"|"&amp;IF(ISNUMBER(F1272),TEXT(F1272,"0.00"),"blank")</f>
        <v>Community Paramedic Home Visits|2026-01-31|Paramedic|53.25</v>
      </c>
      <c r="I1272" s="1" t="n">
        <f aca="false">COUNTIF($H$5:$H$1624,H1272)</f>
        <v>1</v>
      </c>
      <c r="J1272" s="1" t="n">
        <f aca="false">COUNTIF($H$5:H1272,H1272)</f>
        <v>1</v>
      </c>
      <c r="K1272" s="1" t="n">
        <f aca="false">COUNTIFS($H$5:$H$1624,H1272,$B$5:$B$1624,"&lt;&gt;"&amp;B1272)</f>
        <v>0</v>
      </c>
      <c r="L1272" s="1" t="str">
        <f aca="false">IF(I1272&gt;1,IF(K1272&gt;0,"Cross-hospital match","Same-hospital match"),"")</f>
        <v/>
      </c>
      <c r="M1272" s="52"/>
      <c r="N1272" s="52"/>
      <c r="O1272" s="1" t="n">
        <f aca="false">IF(M1272="Exclude (duplicate)",0,1)</f>
        <v>1</v>
      </c>
      <c r="P1272" s="1" t="str">
        <f aca="false">IF(AND(L1272&lt;&gt;"",M1272=""),"Needs decision","")</f>
        <v/>
      </c>
    </row>
    <row r="1273" customFormat="false" ht="15" hidden="false" customHeight="false" outlineLevel="0" collapsed="false">
      <c r="A1273" s="48" t="str">
        <f aca="false">COST!A1273</f>
        <v>WCH-0166</v>
      </c>
      <c r="B1273" s="48" t="str">
        <f aca="false">COST!B1273</f>
        <v>WCH</v>
      </c>
      <c r="C1273" s="48" t="str">
        <f aca="false">COST!D1273</f>
        <v>Nursing Student Clinical Rotations</v>
      </c>
      <c r="D1273" s="62" t="n">
        <f aca="false">COST!M1273</f>
        <v>46053</v>
      </c>
      <c r="E1273" s="48" t="str">
        <f aca="false">COST!P1273</f>
        <v>Clinical Nurse Educator</v>
      </c>
      <c r="F1273" s="63" t="n">
        <f aca="false">COST!R1273</f>
        <v>89.75</v>
      </c>
      <c r="G1273" s="48" t="str">
        <f aca="false">STACK!M1273</f>
        <v/>
      </c>
      <c r="H1273" s="1" t="str">
        <f aca="false">C1273&amp;"|"&amp;IF(ISNUMBER(D1273),TEXT(D1273,"yyyy-mm-dd"),"no date")&amp;"|"&amp;E1273&amp;"|"&amp;IF(ISNUMBER(F1273),TEXT(F1273,"0.00"),"blank")</f>
        <v>Nursing Student Clinical Rotations|2026-01-31|Clinical Nurse Educator|89.75</v>
      </c>
      <c r="I1273" s="1" t="n">
        <f aca="false">COUNTIF($H$5:$H$1624,H1273)</f>
        <v>1</v>
      </c>
      <c r="J1273" s="1" t="n">
        <f aca="false">COUNTIF($H$5:H1273,H1273)</f>
        <v>1</v>
      </c>
      <c r="K1273" s="1" t="n">
        <f aca="false">COUNTIFS($H$5:$H$1624,H1273,$B$5:$B$1624,"&lt;&gt;"&amp;B1273)</f>
        <v>0</v>
      </c>
      <c r="L1273" s="1" t="str">
        <f aca="false">IF(I1273&gt;1,IF(K1273&gt;0,"Cross-hospital match","Same-hospital match"),"")</f>
        <v/>
      </c>
      <c r="M1273" s="52"/>
      <c r="N1273" s="52"/>
      <c r="O1273" s="1" t="n">
        <f aca="false">IF(M1273="Exclude (duplicate)",0,1)</f>
        <v>1</v>
      </c>
      <c r="P1273" s="1" t="str">
        <f aca="false">IF(AND(L1273&lt;&gt;"",M1273=""),"Needs decision","")</f>
        <v/>
      </c>
    </row>
    <row r="1274" customFormat="false" ht="15" hidden="false" customHeight="false" outlineLevel="0" collapsed="false">
      <c r="A1274" s="48" t="str">
        <f aca="false">COST!A1274</f>
        <v>WCH-0167</v>
      </c>
      <c r="B1274" s="48" t="str">
        <f aca="false">COST!B1274</f>
        <v>WCH</v>
      </c>
      <c r="C1274" s="48" t="str">
        <f aca="false">COST!D1274</f>
        <v>Nursing Student Clinical Rotations</v>
      </c>
      <c r="D1274" s="62" t="n">
        <f aca="false">COST!M1274</f>
        <v>46053</v>
      </c>
      <c r="E1274" s="48" t="str">
        <f aca="false">COST!P1274</f>
        <v>Registered Nurse</v>
      </c>
      <c r="F1274" s="63" t="n">
        <f aca="false">COST!R1274</f>
        <v>179</v>
      </c>
      <c r="G1274" s="48" t="str">
        <f aca="false">STACK!M1274</f>
        <v/>
      </c>
      <c r="H1274" s="1" t="str">
        <f aca="false">C1274&amp;"|"&amp;IF(ISNUMBER(D1274),TEXT(D1274,"yyyy-mm-dd"),"no date")&amp;"|"&amp;E1274&amp;"|"&amp;IF(ISNUMBER(F1274),TEXT(F1274,"0.00"),"blank")</f>
        <v>Nursing Student Clinical Rotations|2026-01-31|Registered Nurse|179.00</v>
      </c>
      <c r="I1274" s="1" t="n">
        <f aca="false">COUNTIF($H$5:$H$1624,H1274)</f>
        <v>1</v>
      </c>
      <c r="J1274" s="1" t="n">
        <f aca="false">COUNTIF($H$5:H1274,H1274)</f>
        <v>1</v>
      </c>
      <c r="K1274" s="1" t="n">
        <f aca="false">COUNTIFS($H$5:$H$1624,H1274,$B$5:$B$1624,"&lt;&gt;"&amp;B1274)</f>
        <v>0</v>
      </c>
      <c r="L1274" s="1" t="str">
        <f aca="false">IF(I1274&gt;1,IF(K1274&gt;0,"Cross-hospital match","Same-hospital match"),"")</f>
        <v/>
      </c>
      <c r="M1274" s="52"/>
      <c r="N1274" s="52"/>
      <c r="O1274" s="1" t="n">
        <f aca="false">IF(M1274="Exclude (duplicate)",0,1)</f>
        <v>1</v>
      </c>
      <c r="P1274" s="1" t="str">
        <f aca="false">IF(AND(L1274&lt;&gt;"",M1274=""),"Needs decision","")</f>
        <v/>
      </c>
    </row>
    <row r="1275" customFormat="false" ht="15" hidden="false" customHeight="false" outlineLevel="0" collapsed="false">
      <c r="A1275" s="48" t="str">
        <f aca="false">COST!A1275</f>
        <v>WCH-0168</v>
      </c>
      <c r="B1275" s="48" t="str">
        <f aca="false">COST!B1275</f>
        <v>WCH</v>
      </c>
      <c r="C1275" s="48" t="str">
        <f aca="false">COST!D1275</f>
        <v>Paramedic Student Field Training</v>
      </c>
      <c r="D1275" s="62" t="n">
        <f aca="false">COST!M1275</f>
        <v>46053</v>
      </c>
      <c r="E1275" s="48" t="str">
        <f aca="false">COST!P1275</f>
        <v>Paramedic</v>
      </c>
      <c r="F1275" s="63" t="n">
        <f aca="false">COST!R1275</f>
        <v>59</v>
      </c>
      <c r="G1275" s="48" t="str">
        <f aca="false">STACK!M1275</f>
        <v/>
      </c>
      <c r="H1275" s="1" t="str">
        <f aca="false">C1275&amp;"|"&amp;IF(ISNUMBER(D1275),TEXT(D1275,"yyyy-mm-dd"),"no date")&amp;"|"&amp;E1275&amp;"|"&amp;IF(ISNUMBER(F1275),TEXT(F1275,"0.00"),"blank")</f>
        <v>Paramedic Student Field Training|2026-01-31|Paramedic|59.00</v>
      </c>
      <c r="I1275" s="1" t="n">
        <f aca="false">COUNTIF($H$5:$H$1624,H1275)</f>
        <v>1</v>
      </c>
      <c r="J1275" s="1" t="n">
        <f aca="false">COUNTIF($H$5:H1275,H1275)</f>
        <v>1</v>
      </c>
      <c r="K1275" s="1" t="n">
        <f aca="false">COUNTIFS($H$5:$H$1624,H1275,$B$5:$B$1624,"&lt;&gt;"&amp;B1275)</f>
        <v>0</v>
      </c>
      <c r="L1275" s="1" t="str">
        <f aca="false">IF(I1275&gt;1,IF(K1275&gt;0,"Cross-hospital match","Same-hospital match"),"")</f>
        <v/>
      </c>
      <c r="M1275" s="52"/>
      <c r="N1275" s="52"/>
      <c r="O1275" s="1" t="n">
        <f aca="false">IF(M1275="Exclude (duplicate)",0,1)</f>
        <v>1</v>
      </c>
      <c r="P1275" s="1" t="str">
        <f aca="false">IF(AND(L1275&lt;&gt;"",M1275=""),"Needs decision","")</f>
        <v/>
      </c>
    </row>
    <row r="1276" customFormat="false" ht="15" hidden="false" customHeight="false" outlineLevel="0" collapsed="false">
      <c r="A1276" s="48" t="str">
        <f aca="false">COST!A1276</f>
        <v>WCH-0169</v>
      </c>
      <c r="B1276" s="48" t="str">
        <f aca="false">COST!B1276</f>
        <v>WCH</v>
      </c>
      <c r="C1276" s="48" t="str">
        <f aca="false">COST!D1276</f>
        <v>Rural Maternal Outcomes Study</v>
      </c>
      <c r="D1276" s="62" t="n">
        <f aca="false">COST!M1276</f>
        <v>46053</v>
      </c>
      <c r="E1276" s="48" t="str">
        <f aca="false">COST!P1276</f>
        <v>Data Analyst</v>
      </c>
      <c r="F1276" s="63" t="n">
        <f aca="false">COST!R1276</f>
        <v>12.75</v>
      </c>
      <c r="G1276" s="48" t="str">
        <f aca="false">STACK!M1276</f>
        <v/>
      </c>
      <c r="H1276" s="1" t="str">
        <f aca="false">C1276&amp;"|"&amp;IF(ISNUMBER(D1276),TEXT(D1276,"yyyy-mm-dd"),"no date")&amp;"|"&amp;E1276&amp;"|"&amp;IF(ISNUMBER(F1276),TEXT(F1276,"0.00"),"blank")</f>
        <v>Rural Maternal Outcomes Study|2026-01-31|Data Analyst|12.75</v>
      </c>
      <c r="I1276" s="1" t="n">
        <f aca="false">COUNTIF($H$5:$H$1624,H1276)</f>
        <v>1</v>
      </c>
      <c r="J1276" s="1" t="n">
        <f aca="false">COUNTIF($H$5:H1276,H1276)</f>
        <v>1</v>
      </c>
      <c r="K1276" s="1" t="n">
        <f aca="false">COUNTIFS($H$5:$H$1624,H1276,$B$5:$B$1624,"&lt;&gt;"&amp;B1276)</f>
        <v>0</v>
      </c>
      <c r="L1276" s="1" t="str">
        <f aca="false">IF(I1276&gt;1,IF(K1276&gt;0,"Cross-hospital match","Same-hospital match"),"")</f>
        <v/>
      </c>
      <c r="M1276" s="52"/>
      <c r="N1276" s="52"/>
      <c r="O1276" s="1" t="n">
        <f aca="false">IF(M1276="Exclude (duplicate)",0,1)</f>
        <v>1</v>
      </c>
      <c r="P1276" s="1" t="str">
        <f aca="false">IF(AND(L1276&lt;&gt;"",M1276=""),"Needs decision","")</f>
        <v/>
      </c>
    </row>
    <row r="1277" customFormat="false" ht="15" hidden="false" customHeight="false" outlineLevel="0" collapsed="false">
      <c r="A1277" s="48" t="str">
        <f aca="false">COST!A1277</f>
        <v>WCH-0170</v>
      </c>
      <c r="B1277" s="48" t="str">
        <f aca="false">COST!B1277</f>
        <v>WCH</v>
      </c>
      <c r="C1277" s="48" t="str">
        <f aca="false">COST!D1277</f>
        <v>Rural Maternal Outcomes Study</v>
      </c>
      <c r="D1277" s="62" t="n">
        <f aca="false">COST!M1277</f>
        <v>46053</v>
      </c>
      <c r="E1277" s="48" t="str">
        <f aca="false">COST!P1277</f>
        <v>Research Coordinator</v>
      </c>
      <c r="F1277" s="63" t="n">
        <f aca="false">COST!R1277</f>
        <v>54</v>
      </c>
      <c r="G1277" s="48" t="str">
        <f aca="false">STACK!M1277</f>
        <v/>
      </c>
      <c r="H1277" s="1" t="str">
        <f aca="false">C1277&amp;"|"&amp;IF(ISNUMBER(D1277),TEXT(D1277,"yyyy-mm-dd"),"no date")&amp;"|"&amp;E1277&amp;"|"&amp;IF(ISNUMBER(F1277),TEXT(F1277,"0.00"),"blank")</f>
        <v>Rural Maternal Outcomes Study|2026-01-31|Research Coordinator|54.00</v>
      </c>
      <c r="I1277" s="1" t="n">
        <f aca="false">COUNTIF($H$5:$H$1624,H1277)</f>
        <v>1</v>
      </c>
      <c r="J1277" s="1" t="n">
        <f aca="false">COUNTIF($H$5:H1277,H1277)</f>
        <v>1</v>
      </c>
      <c r="K1277" s="1" t="n">
        <f aca="false">COUNTIFS($H$5:$H$1624,H1277,$B$5:$B$1624,"&lt;&gt;"&amp;B1277)</f>
        <v>0</v>
      </c>
      <c r="L1277" s="1" t="str">
        <f aca="false">IF(I1277&gt;1,IF(K1277&gt;0,"Cross-hospital match","Same-hospital match"),"")</f>
        <v/>
      </c>
      <c r="M1277" s="52"/>
      <c r="N1277" s="52"/>
      <c r="O1277" s="1" t="n">
        <f aca="false">IF(M1277="Exclude (duplicate)",0,1)</f>
        <v>1</v>
      </c>
      <c r="P1277" s="1" t="str">
        <f aca="false">IF(AND(L1277&lt;&gt;"",M1277=""),"Needs decision","")</f>
        <v/>
      </c>
    </row>
    <row r="1278" customFormat="false" ht="15" hidden="false" customHeight="false" outlineLevel="0" collapsed="false">
      <c r="A1278" s="48" t="str">
        <f aca="false">COST!A1278</f>
        <v>WCH-0171</v>
      </c>
      <c r="B1278" s="48" t="str">
        <f aca="false">COST!B1278</f>
        <v>WCH</v>
      </c>
      <c r="C1278" s="48" t="str">
        <f aca="false">COST!D1278</f>
        <v>Naloxone Training and Distribution</v>
      </c>
      <c r="D1278" s="62" t="n">
        <f aca="false">COST!M1278</f>
        <v>46067</v>
      </c>
      <c r="E1278" s="48" t="str">
        <f aca="false">COST!P1278</f>
        <v>Health Educator</v>
      </c>
      <c r="F1278" s="63" t="n">
        <f aca="false">COST!R1278</f>
        <v>2.25</v>
      </c>
      <c r="G1278" s="48" t="str">
        <f aca="false">STACK!M1278</f>
        <v/>
      </c>
      <c r="H1278" s="1" t="str">
        <f aca="false">C1278&amp;"|"&amp;IF(ISNUMBER(D1278),TEXT(D1278,"yyyy-mm-dd"),"no date")&amp;"|"&amp;E1278&amp;"|"&amp;IF(ISNUMBER(F1278),TEXT(F1278,"0.00"),"blank")</f>
        <v>Naloxone Training and Distribution|2026-02-14|Health Educator|2.25</v>
      </c>
      <c r="I1278" s="1" t="n">
        <f aca="false">COUNTIF($H$5:$H$1624,H1278)</f>
        <v>1</v>
      </c>
      <c r="J1278" s="1" t="n">
        <f aca="false">COUNTIF($H$5:H1278,H1278)</f>
        <v>1</v>
      </c>
      <c r="K1278" s="1" t="n">
        <f aca="false">COUNTIFS($H$5:$H$1624,H1278,$B$5:$B$1624,"&lt;&gt;"&amp;B1278)</f>
        <v>0</v>
      </c>
      <c r="L1278" s="1" t="str">
        <f aca="false">IF(I1278&gt;1,IF(K1278&gt;0,"Cross-hospital match","Same-hospital match"),"")</f>
        <v/>
      </c>
      <c r="M1278" s="52"/>
      <c r="N1278" s="52"/>
      <c r="O1278" s="1" t="n">
        <f aca="false">IF(M1278="Exclude (duplicate)",0,1)</f>
        <v>1</v>
      </c>
      <c r="P1278" s="1" t="str">
        <f aca="false">IF(AND(L1278&lt;&gt;"",M1278=""),"Needs decision","")</f>
        <v/>
      </c>
    </row>
    <row r="1279" customFormat="false" ht="15" hidden="false" customHeight="false" outlineLevel="0" collapsed="false">
      <c r="A1279" s="48" t="str">
        <f aca="false">COST!A1279</f>
        <v>WCH-0172</v>
      </c>
      <c r="B1279" s="48" t="str">
        <f aca="false">COST!B1279</f>
        <v>WCH</v>
      </c>
      <c r="C1279" s="48" t="str">
        <f aca="false">COST!D1279</f>
        <v>Naloxone Training and Distribution</v>
      </c>
      <c r="D1279" s="62" t="n">
        <f aca="false">COST!M1279</f>
        <v>46067</v>
      </c>
      <c r="E1279" s="48" t="str">
        <f aca="false">COST!P1279</f>
        <v>Health Educator</v>
      </c>
      <c r="F1279" s="63" t="n">
        <f aca="false">COST!R1279</f>
        <v>2.5</v>
      </c>
      <c r="G1279" s="48" t="str">
        <f aca="false">STACK!M1279</f>
        <v/>
      </c>
      <c r="H1279" s="1" t="str">
        <f aca="false">C1279&amp;"|"&amp;IF(ISNUMBER(D1279),TEXT(D1279,"yyyy-mm-dd"),"no date")&amp;"|"&amp;E1279&amp;"|"&amp;IF(ISNUMBER(F1279),TEXT(F1279,"0.00"),"blank")</f>
        <v>Naloxone Training and Distribution|2026-02-14|Health Educator|2.50</v>
      </c>
      <c r="I1279" s="1" t="n">
        <f aca="false">COUNTIF($H$5:$H$1624,H1279)</f>
        <v>1</v>
      </c>
      <c r="J1279" s="1" t="n">
        <f aca="false">COUNTIF($H$5:H1279,H1279)</f>
        <v>1</v>
      </c>
      <c r="K1279" s="1" t="n">
        <f aca="false">COUNTIFS($H$5:$H$1624,H1279,$B$5:$B$1624,"&lt;&gt;"&amp;B1279)</f>
        <v>0</v>
      </c>
      <c r="L1279" s="1" t="str">
        <f aca="false">IF(I1279&gt;1,IF(K1279&gt;0,"Cross-hospital match","Same-hospital match"),"")</f>
        <v/>
      </c>
      <c r="M1279" s="52"/>
      <c r="N1279" s="52"/>
      <c r="O1279" s="1" t="n">
        <f aca="false">IF(M1279="Exclude (duplicate)",0,1)</f>
        <v>1</v>
      </c>
      <c r="P1279" s="1" t="str">
        <f aca="false">IF(AND(L1279&lt;&gt;"",M1279=""),"Needs decision","")</f>
        <v/>
      </c>
    </row>
    <row r="1280" customFormat="false" ht="15" hidden="false" customHeight="false" outlineLevel="0" collapsed="false">
      <c r="A1280" s="48" t="str">
        <f aca="false">COST!A1280</f>
        <v>WCH-0173</v>
      </c>
      <c r="B1280" s="48" t="str">
        <f aca="false">COST!B1280</f>
        <v>WCH</v>
      </c>
      <c r="C1280" s="48" t="str">
        <f aca="false">COST!D1280</f>
        <v>Naloxone Training and Distribution</v>
      </c>
      <c r="D1280" s="62" t="n">
        <f aca="false">COST!M1280</f>
        <v>46067</v>
      </c>
      <c r="E1280" s="48" t="str">
        <f aca="false">COST!P1280</f>
        <v>Pharmacist</v>
      </c>
      <c r="F1280" s="63" t="n">
        <f aca="false">COST!R1280</f>
        <v>3</v>
      </c>
      <c r="G1280" s="48" t="str">
        <f aca="false">STACK!M1280</f>
        <v/>
      </c>
      <c r="H1280" s="1" t="str">
        <f aca="false">C1280&amp;"|"&amp;IF(ISNUMBER(D1280),TEXT(D1280,"yyyy-mm-dd"),"no date")&amp;"|"&amp;E1280&amp;"|"&amp;IF(ISNUMBER(F1280),TEXT(F1280,"0.00"),"blank")</f>
        <v>Naloxone Training and Distribution|2026-02-14|Pharmacist|3.00</v>
      </c>
      <c r="I1280" s="1" t="n">
        <f aca="false">COUNTIF($H$5:$H$1624,H1280)</f>
        <v>1</v>
      </c>
      <c r="J1280" s="1" t="n">
        <f aca="false">COUNTIF($H$5:H1280,H1280)</f>
        <v>1</v>
      </c>
      <c r="K1280" s="1" t="n">
        <f aca="false">COUNTIFS($H$5:$H$1624,H1280,$B$5:$B$1624,"&lt;&gt;"&amp;B1280)</f>
        <v>0</v>
      </c>
      <c r="L1280" s="1" t="str">
        <f aca="false">IF(I1280&gt;1,IF(K1280&gt;0,"Cross-hospital match","Same-hospital match"),"")</f>
        <v/>
      </c>
      <c r="M1280" s="52"/>
      <c r="N1280" s="52"/>
      <c r="O1280" s="1" t="n">
        <f aca="false">IF(M1280="Exclude (duplicate)",0,1)</f>
        <v>1</v>
      </c>
      <c r="P1280" s="1" t="str">
        <f aca="false">IF(AND(L1280&lt;&gt;"",M1280=""),"Needs decision","")</f>
        <v/>
      </c>
    </row>
    <row r="1281" customFormat="false" ht="15" hidden="false" customHeight="false" outlineLevel="0" collapsed="false">
      <c r="A1281" s="48" t="str">
        <f aca="false">COST!A1281</f>
        <v>WCH-0174</v>
      </c>
      <c r="B1281" s="48" t="str">
        <f aca="false">COST!B1281</f>
        <v>WCH</v>
      </c>
      <c r="C1281" s="48" t="str">
        <f aca="false">COST!D1281</f>
        <v>Naloxone Training and Distribution</v>
      </c>
      <c r="D1281" s="62" t="n">
        <f aca="false">COST!M1281</f>
        <v>46067</v>
      </c>
      <c r="E1281" s="48" t="str">
        <f aca="false">COST!P1281</f>
        <v>Pharmacist</v>
      </c>
      <c r="F1281" s="63" t="n">
        <f aca="false">COST!R1281</f>
        <v>2.75</v>
      </c>
      <c r="G1281" s="48" t="str">
        <f aca="false">STACK!M1281</f>
        <v/>
      </c>
      <c r="H1281" s="1" t="str">
        <f aca="false">C1281&amp;"|"&amp;IF(ISNUMBER(D1281),TEXT(D1281,"yyyy-mm-dd"),"no date")&amp;"|"&amp;E1281&amp;"|"&amp;IF(ISNUMBER(F1281),TEXT(F1281,"0.00"),"blank")</f>
        <v>Naloxone Training and Distribution|2026-02-14|Pharmacist|2.75</v>
      </c>
      <c r="I1281" s="1" t="n">
        <f aca="false">COUNTIF($H$5:$H$1624,H1281)</f>
        <v>1</v>
      </c>
      <c r="J1281" s="1" t="n">
        <f aca="false">COUNTIF($H$5:H1281,H1281)</f>
        <v>1</v>
      </c>
      <c r="K1281" s="1" t="n">
        <f aca="false">COUNTIFS($H$5:$H$1624,H1281,$B$5:$B$1624,"&lt;&gt;"&amp;B1281)</f>
        <v>0</v>
      </c>
      <c r="L1281" s="1" t="str">
        <f aca="false">IF(I1281&gt;1,IF(K1281&gt;0,"Cross-hospital match","Same-hospital match"),"")</f>
        <v/>
      </c>
      <c r="M1281" s="52"/>
      <c r="N1281" s="52"/>
      <c r="O1281" s="1" t="n">
        <f aca="false">IF(M1281="Exclude (duplicate)",0,1)</f>
        <v>1</v>
      </c>
      <c r="P1281" s="1" t="str">
        <f aca="false">IF(AND(L1281&lt;&gt;"",M1281=""),"Needs decision","")</f>
        <v/>
      </c>
    </row>
    <row r="1282" customFormat="false" ht="15" hidden="false" customHeight="false" outlineLevel="0" collapsed="false">
      <c r="A1282" s="48" t="str">
        <f aca="false">COST!A1282</f>
        <v>WCH-0175</v>
      </c>
      <c r="B1282" s="48" t="str">
        <f aca="false">COST!B1282</f>
        <v>WCH</v>
      </c>
      <c r="C1282" s="48" t="str">
        <f aca="false">COST!D1282</f>
        <v>Grief Support Group</v>
      </c>
      <c r="D1282" s="62" t="n">
        <f aca="false">COST!M1282</f>
        <v>46079</v>
      </c>
      <c r="E1282" s="48" t="str">
        <f aca="false">COST!P1282</f>
        <v>Chaplain</v>
      </c>
      <c r="F1282" s="63" t="n">
        <f aca="false">COST!R1282</f>
        <v>2.25</v>
      </c>
      <c r="G1282" s="48" t="str">
        <f aca="false">STACK!M1282</f>
        <v/>
      </c>
      <c r="H1282" s="1" t="str">
        <f aca="false">C1282&amp;"|"&amp;IF(ISNUMBER(D1282),TEXT(D1282,"yyyy-mm-dd"),"no date")&amp;"|"&amp;E1282&amp;"|"&amp;IF(ISNUMBER(F1282),TEXT(F1282,"0.00"),"blank")</f>
        <v>Grief Support Group|2026-02-26|Chaplain|2.25</v>
      </c>
      <c r="I1282" s="1" t="n">
        <f aca="false">COUNTIF($H$5:$H$1624,H1282)</f>
        <v>1</v>
      </c>
      <c r="J1282" s="1" t="n">
        <f aca="false">COUNTIF($H$5:H1282,H1282)</f>
        <v>1</v>
      </c>
      <c r="K1282" s="1" t="n">
        <f aca="false">COUNTIFS($H$5:$H$1624,H1282,$B$5:$B$1624,"&lt;&gt;"&amp;B1282)</f>
        <v>0</v>
      </c>
      <c r="L1282" s="1" t="str">
        <f aca="false">IF(I1282&gt;1,IF(K1282&gt;0,"Cross-hospital match","Same-hospital match"),"")</f>
        <v/>
      </c>
      <c r="M1282" s="52"/>
      <c r="N1282" s="52"/>
      <c r="O1282" s="1" t="n">
        <f aca="false">IF(M1282="Exclude (duplicate)",0,1)</f>
        <v>1</v>
      </c>
      <c r="P1282" s="1" t="str">
        <f aca="false">IF(AND(L1282&lt;&gt;"",M1282=""),"Needs decision","")</f>
        <v/>
      </c>
    </row>
    <row r="1283" customFormat="false" ht="15" hidden="false" customHeight="false" outlineLevel="0" collapsed="false">
      <c r="A1283" s="48" t="str">
        <f aca="false">COST!A1283</f>
        <v>WCH-0176</v>
      </c>
      <c r="B1283" s="48" t="str">
        <f aca="false">COST!B1283</f>
        <v>WCH</v>
      </c>
      <c r="C1283" s="48" t="str">
        <f aca="false">COST!D1283</f>
        <v>Grief Support Group</v>
      </c>
      <c r="D1283" s="62" t="n">
        <f aca="false">COST!M1283</f>
        <v>46079</v>
      </c>
      <c r="E1283" s="48" t="str">
        <f aca="false">COST!P1283</f>
        <v>Social Worker</v>
      </c>
      <c r="F1283" s="63" t="n">
        <f aca="false">COST!R1283</f>
        <v>1.5</v>
      </c>
      <c r="G1283" s="48" t="str">
        <f aca="false">STACK!M1283</f>
        <v/>
      </c>
      <c r="H1283" s="1" t="str">
        <f aca="false">C1283&amp;"|"&amp;IF(ISNUMBER(D1283),TEXT(D1283,"yyyy-mm-dd"),"no date")&amp;"|"&amp;E1283&amp;"|"&amp;IF(ISNUMBER(F1283),TEXT(F1283,"0.00"),"blank")</f>
        <v>Grief Support Group|2026-02-26|Social Worker|1.50</v>
      </c>
      <c r="I1283" s="1" t="n">
        <f aca="false">COUNTIF($H$5:$H$1624,H1283)</f>
        <v>1</v>
      </c>
      <c r="J1283" s="1" t="n">
        <f aca="false">COUNTIF($H$5:H1283,H1283)</f>
        <v>1</v>
      </c>
      <c r="K1283" s="1" t="n">
        <f aca="false">COUNTIFS($H$5:$H$1624,H1283,$B$5:$B$1624,"&lt;&gt;"&amp;B1283)</f>
        <v>0</v>
      </c>
      <c r="L1283" s="1" t="str">
        <f aca="false">IF(I1283&gt;1,IF(K1283&gt;0,"Cross-hospital match","Same-hospital match"),"")</f>
        <v/>
      </c>
      <c r="M1283" s="52"/>
      <c r="N1283" s="52"/>
      <c r="O1283" s="1" t="n">
        <f aca="false">IF(M1283="Exclude (duplicate)",0,1)</f>
        <v>1</v>
      </c>
      <c r="P1283" s="1" t="str">
        <f aca="false">IF(AND(L1283&lt;&gt;"",M1283=""),"Needs decision","")</f>
        <v/>
      </c>
    </row>
    <row r="1284" customFormat="false" ht="15" hidden="false" customHeight="false" outlineLevel="0" collapsed="false">
      <c r="A1284" s="48" t="str">
        <f aca="false">COST!A1284</f>
        <v>WCH-0177</v>
      </c>
      <c r="B1284" s="48" t="str">
        <f aca="false">COST!B1284</f>
        <v>WCH</v>
      </c>
      <c r="C1284" s="48" t="str">
        <f aca="false">COST!D1284</f>
        <v>Mobile Health Screening Unit</v>
      </c>
      <c r="D1284" s="62" t="n">
        <f aca="false">COST!M1284</f>
        <v>46081</v>
      </c>
      <c r="E1284" s="48" t="str">
        <f aca="false">COST!P1284</f>
        <v>Community Health Worker</v>
      </c>
      <c r="F1284" s="63" t="n">
        <f aca="false">COST!R1284</f>
        <v>61.5</v>
      </c>
      <c r="G1284" s="48" t="str">
        <f aca="false">STACK!M1284</f>
        <v/>
      </c>
      <c r="H1284" s="1" t="str">
        <f aca="false">C1284&amp;"|"&amp;IF(ISNUMBER(D1284),TEXT(D1284,"yyyy-mm-dd"),"no date")&amp;"|"&amp;E1284&amp;"|"&amp;IF(ISNUMBER(F1284),TEXT(F1284,"0.00"),"blank")</f>
        <v>Mobile Health Screening Unit|2026-02-28|Community Health Worker|61.50</v>
      </c>
      <c r="I1284" s="1" t="n">
        <f aca="false">COUNTIF($H$5:$H$1624,H1284)</f>
        <v>1</v>
      </c>
      <c r="J1284" s="1" t="n">
        <f aca="false">COUNTIF($H$5:H1284,H1284)</f>
        <v>1</v>
      </c>
      <c r="K1284" s="1" t="n">
        <f aca="false">COUNTIFS($H$5:$H$1624,H1284,$B$5:$B$1624,"&lt;&gt;"&amp;B1284)</f>
        <v>0</v>
      </c>
      <c r="L1284" s="1" t="str">
        <f aca="false">IF(I1284&gt;1,IF(K1284&gt;0,"Cross-hospital match","Same-hospital match"),"")</f>
        <v/>
      </c>
      <c r="M1284" s="52"/>
      <c r="N1284" s="52"/>
      <c r="O1284" s="1" t="n">
        <f aca="false">IF(M1284="Exclude (duplicate)",0,1)</f>
        <v>1</v>
      </c>
      <c r="P1284" s="1" t="str">
        <f aca="false">IF(AND(L1284&lt;&gt;"",M1284=""),"Needs decision","")</f>
        <v/>
      </c>
    </row>
    <row r="1285" customFormat="false" ht="15" hidden="false" customHeight="false" outlineLevel="0" collapsed="false">
      <c r="A1285" s="48" t="str">
        <f aca="false">COST!A1285</f>
        <v>WCH-0178</v>
      </c>
      <c r="B1285" s="48" t="str">
        <f aca="false">COST!B1285</f>
        <v>WCH</v>
      </c>
      <c r="C1285" s="48" t="str">
        <f aca="false">COST!D1285</f>
        <v>Mobile Health Screening Unit</v>
      </c>
      <c r="D1285" s="62" t="n">
        <f aca="false">COST!M1285</f>
        <v>46081</v>
      </c>
      <c r="E1285" s="48" t="str">
        <f aca="false">COST!P1285</f>
        <v>Medical Assistant</v>
      </c>
      <c r="F1285" s="63" t="n">
        <f aca="false">COST!R1285</f>
        <v>75.25</v>
      </c>
      <c r="G1285" s="48" t="str">
        <f aca="false">STACK!M1285</f>
        <v/>
      </c>
      <c r="H1285" s="1" t="str">
        <f aca="false">C1285&amp;"|"&amp;IF(ISNUMBER(D1285),TEXT(D1285,"yyyy-mm-dd"),"no date")&amp;"|"&amp;E1285&amp;"|"&amp;IF(ISNUMBER(F1285),TEXT(F1285,"0.00"),"blank")</f>
        <v>Mobile Health Screening Unit|2026-02-28|Medical Assistant|75.25</v>
      </c>
      <c r="I1285" s="1" t="n">
        <f aca="false">COUNTIF($H$5:$H$1624,H1285)</f>
        <v>1</v>
      </c>
      <c r="J1285" s="1" t="n">
        <f aca="false">COUNTIF($H$5:H1285,H1285)</f>
        <v>1</v>
      </c>
      <c r="K1285" s="1" t="n">
        <f aca="false">COUNTIFS($H$5:$H$1624,H1285,$B$5:$B$1624,"&lt;&gt;"&amp;B1285)</f>
        <v>0</v>
      </c>
      <c r="L1285" s="1" t="str">
        <f aca="false">IF(I1285&gt;1,IF(K1285&gt;0,"Cross-hospital match","Same-hospital match"),"")</f>
        <v/>
      </c>
      <c r="M1285" s="52"/>
      <c r="N1285" s="52"/>
      <c r="O1285" s="1" t="n">
        <f aca="false">IF(M1285="Exclude (duplicate)",0,1)</f>
        <v>1</v>
      </c>
      <c r="P1285" s="1" t="str">
        <f aca="false">IF(AND(L1285&lt;&gt;"",M1285=""),"Needs decision","")</f>
        <v/>
      </c>
    </row>
    <row r="1286" customFormat="false" ht="15" hidden="false" customHeight="false" outlineLevel="0" collapsed="false">
      <c r="A1286" s="48" t="str">
        <f aca="false">COST!A1286</f>
        <v>WCH-0179</v>
      </c>
      <c r="B1286" s="48" t="str">
        <f aca="false">COST!B1286</f>
        <v>WCH</v>
      </c>
      <c r="C1286" s="48" t="str">
        <f aca="false">COST!D1286</f>
        <v>Mobile Health Screening Unit</v>
      </c>
      <c r="D1286" s="62" t="n">
        <f aca="false">COST!M1286</f>
        <v>46081</v>
      </c>
      <c r="E1286" s="48" t="str">
        <f aca="false">COST!P1286</f>
        <v>Registered Nurse</v>
      </c>
      <c r="F1286" s="63" t="n">
        <f aca="false">COST!R1286</f>
        <v>71.75</v>
      </c>
      <c r="G1286" s="48" t="str">
        <f aca="false">STACK!M1286</f>
        <v/>
      </c>
      <c r="H1286" s="1" t="str">
        <f aca="false">C1286&amp;"|"&amp;IF(ISNUMBER(D1286),TEXT(D1286,"yyyy-mm-dd"),"no date")&amp;"|"&amp;E1286&amp;"|"&amp;IF(ISNUMBER(F1286),TEXT(F1286,"0.00"),"blank")</f>
        <v>Mobile Health Screening Unit|2026-02-28|Registered Nurse|71.75</v>
      </c>
      <c r="I1286" s="1" t="n">
        <f aca="false">COUNTIF($H$5:$H$1624,H1286)</f>
        <v>1</v>
      </c>
      <c r="J1286" s="1" t="n">
        <f aca="false">COUNTIF($H$5:H1286,H1286)</f>
        <v>1</v>
      </c>
      <c r="K1286" s="1" t="n">
        <f aca="false">COUNTIFS($H$5:$H$1624,H1286,$B$5:$B$1624,"&lt;&gt;"&amp;B1286)</f>
        <v>0</v>
      </c>
      <c r="L1286" s="1" t="str">
        <f aca="false">IF(I1286&gt;1,IF(K1286&gt;0,"Cross-hospital match","Same-hospital match"),"")</f>
        <v/>
      </c>
      <c r="M1286" s="52"/>
      <c r="N1286" s="52"/>
      <c r="O1286" s="1" t="n">
        <f aca="false">IF(M1286="Exclude (duplicate)",0,1)</f>
        <v>1</v>
      </c>
      <c r="P1286" s="1" t="str">
        <f aca="false">IF(AND(L1286&lt;&gt;"",M1286=""),"Needs decision","")</f>
        <v/>
      </c>
    </row>
    <row r="1287" customFormat="false" ht="15" hidden="false" customHeight="false" outlineLevel="0" collapsed="false">
      <c r="A1287" s="48" t="str">
        <f aca="false">COST!A1287</f>
        <v>WCH-0180</v>
      </c>
      <c r="B1287" s="48" t="str">
        <f aca="false">COST!B1287</f>
        <v>WCH</v>
      </c>
      <c r="C1287" s="48" t="str">
        <f aca="false">COST!D1287</f>
        <v>Community Health Worker Outreach</v>
      </c>
      <c r="D1287" s="62" t="n">
        <f aca="false">COST!M1287</f>
        <v>46081</v>
      </c>
      <c r="E1287" s="48" t="str">
        <f aca="false">COST!P1287</f>
        <v>Community Health Worker</v>
      </c>
      <c r="F1287" s="63" t="n">
        <f aca="false">COST!R1287</f>
        <v>248.75</v>
      </c>
      <c r="G1287" s="48" t="str">
        <f aca="false">STACK!M1287</f>
        <v/>
      </c>
      <c r="H1287" s="1" t="str">
        <f aca="false">C1287&amp;"|"&amp;IF(ISNUMBER(D1287),TEXT(D1287,"yyyy-mm-dd"),"no date")&amp;"|"&amp;E1287&amp;"|"&amp;IF(ISNUMBER(F1287),TEXT(F1287,"0.00"),"blank")</f>
        <v>Community Health Worker Outreach|2026-02-28|Community Health Worker|248.75</v>
      </c>
      <c r="I1287" s="1" t="n">
        <f aca="false">COUNTIF($H$5:$H$1624,H1287)</f>
        <v>1</v>
      </c>
      <c r="J1287" s="1" t="n">
        <f aca="false">COUNTIF($H$5:H1287,H1287)</f>
        <v>1</v>
      </c>
      <c r="K1287" s="1" t="n">
        <f aca="false">COUNTIFS($H$5:$H$1624,H1287,$B$5:$B$1624,"&lt;&gt;"&amp;B1287)</f>
        <v>0</v>
      </c>
      <c r="L1287" s="1" t="str">
        <f aca="false">IF(I1287&gt;1,IF(K1287&gt;0,"Cross-hospital match","Same-hospital match"),"")</f>
        <v/>
      </c>
      <c r="M1287" s="52"/>
      <c r="N1287" s="52"/>
      <c r="O1287" s="1" t="n">
        <f aca="false">IF(M1287="Exclude (duplicate)",0,1)</f>
        <v>1</v>
      </c>
      <c r="P1287" s="1" t="str">
        <f aca="false">IF(AND(L1287&lt;&gt;"",M1287=""),"Needs decision","")</f>
        <v/>
      </c>
    </row>
    <row r="1288" customFormat="false" ht="15" hidden="false" customHeight="false" outlineLevel="0" collapsed="false">
      <c r="A1288" s="48" t="str">
        <f aca="false">COST!A1288</f>
        <v>WCH-0181</v>
      </c>
      <c r="B1288" s="48" t="str">
        <f aca="false">COST!B1288</f>
        <v>WCH</v>
      </c>
      <c r="C1288" s="48" t="str">
        <f aca="false">COST!D1288</f>
        <v>Community Health Worker Outreach</v>
      </c>
      <c r="D1288" s="62" t="n">
        <f aca="false">COST!M1288</f>
        <v>46081</v>
      </c>
      <c r="E1288" s="48" t="str">
        <f aca="false">COST!P1288</f>
        <v>Patient Navigator</v>
      </c>
      <c r="F1288" s="63" t="n">
        <f aca="false">COST!R1288</f>
        <v>93.25</v>
      </c>
      <c r="G1288" s="48" t="str">
        <f aca="false">STACK!M1288</f>
        <v/>
      </c>
      <c r="H1288" s="1" t="str">
        <f aca="false">C1288&amp;"|"&amp;IF(ISNUMBER(D1288),TEXT(D1288,"yyyy-mm-dd"),"no date")&amp;"|"&amp;E1288&amp;"|"&amp;IF(ISNUMBER(F1288),TEXT(F1288,"0.00"),"blank")</f>
        <v>Community Health Worker Outreach|2026-02-28|Patient Navigator|93.25</v>
      </c>
      <c r="I1288" s="1" t="n">
        <f aca="false">COUNTIF($H$5:$H$1624,H1288)</f>
        <v>1</v>
      </c>
      <c r="J1288" s="1" t="n">
        <f aca="false">COUNTIF($H$5:H1288,H1288)</f>
        <v>1</v>
      </c>
      <c r="K1288" s="1" t="n">
        <f aca="false">COUNTIFS($H$5:$H$1624,H1288,$B$5:$B$1624,"&lt;&gt;"&amp;B1288)</f>
        <v>0</v>
      </c>
      <c r="L1288" s="1" t="str">
        <f aca="false">IF(I1288&gt;1,IF(K1288&gt;0,"Cross-hospital match","Same-hospital match"),"")</f>
        <v/>
      </c>
      <c r="M1288" s="52"/>
      <c r="N1288" s="52"/>
      <c r="O1288" s="1" t="n">
        <f aca="false">IF(M1288="Exclude (duplicate)",0,1)</f>
        <v>1</v>
      </c>
      <c r="P1288" s="1" t="str">
        <f aca="false">IF(AND(L1288&lt;&gt;"",M1288=""),"Needs decision","")</f>
        <v/>
      </c>
    </row>
    <row r="1289" customFormat="false" ht="15" hidden="false" customHeight="false" outlineLevel="0" collapsed="false">
      <c r="A1289" s="48" t="str">
        <f aca="false">COST!A1289</f>
        <v>WCH-0182</v>
      </c>
      <c r="B1289" s="48" t="str">
        <f aca="false">COST!B1289</f>
        <v>WCH</v>
      </c>
      <c r="C1289" s="48" t="str">
        <f aca="false">COST!D1289</f>
        <v>Produce Prescription Program</v>
      </c>
      <c r="D1289" s="62" t="n">
        <f aca="false">COST!M1289</f>
        <v>46081</v>
      </c>
      <c r="E1289" s="48" t="str">
        <f aca="false">COST!P1289</f>
        <v>Community Health Worker</v>
      </c>
      <c r="F1289" s="63" t="n">
        <f aca="false">COST!R1289</f>
        <v>34</v>
      </c>
      <c r="G1289" s="48" t="str">
        <f aca="false">STACK!M1289</f>
        <v/>
      </c>
      <c r="H1289" s="1" t="str">
        <f aca="false">C1289&amp;"|"&amp;IF(ISNUMBER(D1289),TEXT(D1289,"yyyy-mm-dd"),"no date")&amp;"|"&amp;E1289&amp;"|"&amp;IF(ISNUMBER(F1289),TEXT(F1289,"0.00"),"blank")</f>
        <v>Produce Prescription Program|2026-02-28|Community Health Worker|34.00</v>
      </c>
      <c r="I1289" s="1" t="n">
        <f aca="false">COUNTIF($H$5:$H$1624,H1289)</f>
        <v>1</v>
      </c>
      <c r="J1289" s="1" t="n">
        <f aca="false">COUNTIF($H$5:H1289,H1289)</f>
        <v>1</v>
      </c>
      <c r="K1289" s="1" t="n">
        <f aca="false">COUNTIFS($H$5:$H$1624,H1289,$B$5:$B$1624,"&lt;&gt;"&amp;B1289)</f>
        <v>0</v>
      </c>
      <c r="L1289" s="1" t="str">
        <f aca="false">IF(I1289&gt;1,IF(K1289&gt;0,"Cross-hospital match","Same-hospital match"),"")</f>
        <v/>
      </c>
      <c r="M1289" s="52"/>
      <c r="N1289" s="52"/>
      <c r="O1289" s="1" t="n">
        <f aca="false">IF(M1289="Exclude (duplicate)",0,1)</f>
        <v>1</v>
      </c>
      <c r="P1289" s="1" t="str">
        <f aca="false">IF(AND(L1289&lt;&gt;"",M1289=""),"Needs decision","")</f>
        <v/>
      </c>
    </row>
    <row r="1290" customFormat="false" ht="15" hidden="false" customHeight="false" outlineLevel="0" collapsed="false">
      <c r="A1290" s="48" t="str">
        <f aca="false">COST!A1290</f>
        <v>WCH-0183</v>
      </c>
      <c r="B1290" s="48" t="str">
        <f aca="false">COST!B1290</f>
        <v>WCH</v>
      </c>
      <c r="C1290" s="48" t="str">
        <f aca="false">COST!D1290</f>
        <v>Produce Prescription Program</v>
      </c>
      <c r="D1290" s="62" t="n">
        <f aca="false">COST!M1290</f>
        <v>46081</v>
      </c>
      <c r="E1290" s="48" t="str">
        <f aca="false">COST!P1290</f>
        <v>Registered Dietitian</v>
      </c>
      <c r="F1290" s="63" t="n">
        <f aca="false">COST!R1290</f>
        <v>16</v>
      </c>
      <c r="G1290" s="48" t="str">
        <f aca="false">STACK!M1290</f>
        <v/>
      </c>
      <c r="H1290" s="1" t="str">
        <f aca="false">C1290&amp;"|"&amp;IF(ISNUMBER(D1290),TEXT(D1290,"yyyy-mm-dd"),"no date")&amp;"|"&amp;E1290&amp;"|"&amp;IF(ISNUMBER(F1290),TEXT(F1290,"0.00"),"blank")</f>
        <v>Produce Prescription Program|2026-02-28|Registered Dietitian|16.00</v>
      </c>
      <c r="I1290" s="1" t="n">
        <f aca="false">COUNTIF($H$5:$H$1624,H1290)</f>
        <v>1</v>
      </c>
      <c r="J1290" s="1" t="n">
        <f aca="false">COUNTIF($H$5:H1290,H1290)</f>
        <v>1</v>
      </c>
      <c r="K1290" s="1" t="n">
        <f aca="false">COUNTIFS($H$5:$H$1624,H1290,$B$5:$B$1624,"&lt;&gt;"&amp;B1290)</f>
        <v>0</v>
      </c>
      <c r="L1290" s="1" t="str">
        <f aca="false">IF(I1290&gt;1,IF(K1290&gt;0,"Cross-hospital match","Same-hospital match"),"")</f>
        <v/>
      </c>
      <c r="M1290" s="52"/>
      <c r="N1290" s="52"/>
      <c r="O1290" s="1" t="n">
        <f aca="false">IF(M1290="Exclude (duplicate)",0,1)</f>
        <v>1</v>
      </c>
      <c r="P1290" s="1" t="str">
        <f aca="false">IF(AND(L1290&lt;&gt;"",M1290=""),"Needs decision","")</f>
        <v/>
      </c>
    </row>
    <row r="1291" customFormat="false" ht="15" hidden="false" customHeight="false" outlineLevel="0" collapsed="false">
      <c r="A1291" s="48" t="str">
        <f aca="false">COST!A1291</f>
        <v>WCH-0184</v>
      </c>
      <c r="B1291" s="48" t="str">
        <f aca="false">COST!B1291</f>
        <v>WCH</v>
      </c>
      <c r="C1291" s="48" t="str">
        <f aca="false">COST!D1291</f>
        <v>Community Benefit Program Administration</v>
      </c>
      <c r="D1291" s="62" t="n">
        <f aca="false">COST!M1291</f>
        <v>46081</v>
      </c>
      <c r="E1291" s="48" t="str">
        <f aca="false">COST!P1291</f>
        <v>Administrative Assistant</v>
      </c>
      <c r="F1291" s="63" t="n">
        <f aca="false">COST!R1291</f>
        <v>21.25</v>
      </c>
      <c r="G1291" s="48" t="str">
        <f aca="false">STACK!M1291</f>
        <v/>
      </c>
      <c r="H1291" s="1" t="str">
        <f aca="false">C1291&amp;"|"&amp;IF(ISNUMBER(D1291),TEXT(D1291,"yyyy-mm-dd"),"no date")&amp;"|"&amp;E1291&amp;"|"&amp;IF(ISNUMBER(F1291),TEXT(F1291,"0.00"),"blank")</f>
        <v>Community Benefit Program Administration|2026-02-28|Administrative Assistant|21.25</v>
      </c>
      <c r="I1291" s="1" t="n">
        <f aca="false">COUNTIF($H$5:$H$1624,H1291)</f>
        <v>1</v>
      </c>
      <c r="J1291" s="1" t="n">
        <f aca="false">COUNTIF($H$5:H1291,H1291)</f>
        <v>1</v>
      </c>
      <c r="K1291" s="1" t="n">
        <f aca="false">COUNTIFS($H$5:$H$1624,H1291,$B$5:$B$1624,"&lt;&gt;"&amp;B1291)</f>
        <v>0</v>
      </c>
      <c r="L1291" s="1" t="str">
        <f aca="false">IF(I1291&gt;1,IF(K1291&gt;0,"Cross-hospital match","Same-hospital match"),"")</f>
        <v/>
      </c>
      <c r="M1291" s="52"/>
      <c r="N1291" s="52"/>
      <c r="O1291" s="1" t="n">
        <f aca="false">IF(M1291="Exclude (duplicate)",0,1)</f>
        <v>1</v>
      </c>
      <c r="P1291" s="1" t="str">
        <f aca="false">IF(AND(L1291&lt;&gt;"",M1291=""),"Needs decision","")</f>
        <v/>
      </c>
    </row>
    <row r="1292" customFormat="false" ht="15" hidden="false" customHeight="false" outlineLevel="0" collapsed="false">
      <c r="A1292" s="48" t="str">
        <f aca="false">COST!A1292</f>
        <v>WCH-0185</v>
      </c>
      <c r="B1292" s="48" t="str">
        <f aca="false">COST!B1292</f>
        <v>WCH</v>
      </c>
      <c r="C1292" s="48" t="str">
        <f aca="false">COST!D1292</f>
        <v>Community Benefit Program Administration</v>
      </c>
      <c r="D1292" s="62" t="n">
        <f aca="false">COST!M1292</f>
        <v>46081</v>
      </c>
      <c r="E1292" s="48" t="str">
        <f aca="false">COST!P1292</f>
        <v>Community Benefit Manager</v>
      </c>
      <c r="F1292" s="63" t="n">
        <f aca="false">COST!R1292</f>
        <v>55.25</v>
      </c>
      <c r="G1292" s="48" t="str">
        <f aca="false">STACK!M1292</f>
        <v/>
      </c>
      <c r="H1292" s="1" t="str">
        <f aca="false">C1292&amp;"|"&amp;IF(ISNUMBER(D1292),TEXT(D1292,"yyyy-mm-dd"),"no date")&amp;"|"&amp;E1292&amp;"|"&amp;IF(ISNUMBER(F1292),TEXT(F1292,"0.00"),"blank")</f>
        <v>Community Benefit Program Administration|2026-02-28|Community Benefit Manager|55.25</v>
      </c>
      <c r="I1292" s="1" t="n">
        <f aca="false">COUNTIF($H$5:$H$1624,H1292)</f>
        <v>1</v>
      </c>
      <c r="J1292" s="1" t="n">
        <f aca="false">COUNTIF($H$5:H1292,H1292)</f>
        <v>1</v>
      </c>
      <c r="K1292" s="1" t="n">
        <f aca="false">COUNTIFS($H$5:$H$1624,H1292,$B$5:$B$1624,"&lt;&gt;"&amp;B1292)</f>
        <v>0</v>
      </c>
      <c r="L1292" s="1" t="str">
        <f aca="false">IF(I1292&gt;1,IF(K1292&gt;0,"Cross-hospital match","Same-hospital match"),"")</f>
        <v/>
      </c>
      <c r="M1292" s="52"/>
      <c r="N1292" s="52"/>
      <c r="O1292" s="1" t="n">
        <f aca="false">IF(M1292="Exclude (duplicate)",0,1)</f>
        <v>1</v>
      </c>
      <c r="P1292" s="1" t="str">
        <f aca="false">IF(AND(L1292&lt;&gt;"",M1292=""),"Needs decision","")</f>
        <v/>
      </c>
    </row>
    <row r="1293" customFormat="false" ht="15" hidden="false" customHeight="false" outlineLevel="0" collapsed="false">
      <c r="A1293" s="48" t="str">
        <f aca="false">COST!A1293</f>
        <v>WCH-0186</v>
      </c>
      <c r="B1293" s="48" t="str">
        <f aca="false">COST!B1293</f>
        <v>WCH</v>
      </c>
      <c r="C1293" s="48" t="str">
        <f aca="false">COST!D1293</f>
        <v>Community Paramedic Home Visits</v>
      </c>
      <c r="D1293" s="62" t="n">
        <f aca="false">COST!M1293</f>
        <v>46081</v>
      </c>
      <c r="E1293" s="48" t="str">
        <f aca="false">COST!P1293</f>
        <v>Paramedic</v>
      </c>
      <c r="F1293" s="63" t="n">
        <f aca="false">COST!R1293</f>
        <v>63.75</v>
      </c>
      <c r="G1293" s="48" t="str">
        <f aca="false">STACK!M1293</f>
        <v/>
      </c>
      <c r="H1293" s="1" t="str">
        <f aca="false">C1293&amp;"|"&amp;IF(ISNUMBER(D1293),TEXT(D1293,"yyyy-mm-dd"),"no date")&amp;"|"&amp;E1293&amp;"|"&amp;IF(ISNUMBER(F1293),TEXT(F1293,"0.00"),"blank")</f>
        <v>Community Paramedic Home Visits|2026-02-28|Paramedic|63.75</v>
      </c>
      <c r="I1293" s="1" t="n">
        <f aca="false">COUNTIF($H$5:$H$1624,H1293)</f>
        <v>1</v>
      </c>
      <c r="J1293" s="1" t="n">
        <f aca="false">COUNTIF($H$5:H1293,H1293)</f>
        <v>1</v>
      </c>
      <c r="K1293" s="1" t="n">
        <f aca="false">COUNTIFS($H$5:$H$1624,H1293,$B$5:$B$1624,"&lt;&gt;"&amp;B1293)</f>
        <v>0</v>
      </c>
      <c r="L1293" s="1" t="str">
        <f aca="false">IF(I1293&gt;1,IF(K1293&gt;0,"Cross-hospital match","Same-hospital match"),"")</f>
        <v/>
      </c>
      <c r="M1293" s="52"/>
      <c r="N1293" s="52"/>
      <c r="O1293" s="1" t="n">
        <f aca="false">IF(M1293="Exclude (duplicate)",0,1)</f>
        <v>1</v>
      </c>
      <c r="P1293" s="1" t="str">
        <f aca="false">IF(AND(L1293&lt;&gt;"",M1293=""),"Needs decision","")</f>
        <v/>
      </c>
    </row>
    <row r="1294" customFormat="false" ht="15" hidden="false" customHeight="false" outlineLevel="0" collapsed="false">
      <c r="A1294" s="48" t="str">
        <f aca="false">COST!A1294</f>
        <v>WCH-0187</v>
      </c>
      <c r="B1294" s="48" t="str">
        <f aca="false">COST!B1294</f>
        <v>WCH</v>
      </c>
      <c r="C1294" s="48" t="str">
        <f aca="false">COST!D1294</f>
        <v>Nursing Student Clinical Rotations</v>
      </c>
      <c r="D1294" s="62" t="n">
        <f aca="false">COST!M1294</f>
        <v>46081</v>
      </c>
      <c r="E1294" s="48" t="str">
        <f aca="false">COST!P1294</f>
        <v>Clinical Nurse Educator</v>
      </c>
      <c r="F1294" s="63" t="n">
        <f aca="false">COST!R1294</f>
        <v>83</v>
      </c>
      <c r="G1294" s="48" t="str">
        <f aca="false">STACK!M1294</f>
        <v/>
      </c>
      <c r="H1294" s="1" t="str">
        <f aca="false">C1294&amp;"|"&amp;IF(ISNUMBER(D1294),TEXT(D1294,"yyyy-mm-dd"),"no date")&amp;"|"&amp;E1294&amp;"|"&amp;IF(ISNUMBER(F1294),TEXT(F1294,"0.00"),"blank")</f>
        <v>Nursing Student Clinical Rotations|2026-02-28|Clinical Nurse Educator|83.00</v>
      </c>
      <c r="I1294" s="1" t="n">
        <f aca="false">COUNTIF($H$5:$H$1624,H1294)</f>
        <v>1</v>
      </c>
      <c r="J1294" s="1" t="n">
        <f aca="false">COUNTIF($H$5:H1294,H1294)</f>
        <v>1</v>
      </c>
      <c r="K1294" s="1" t="n">
        <f aca="false">COUNTIFS($H$5:$H$1624,H1294,$B$5:$B$1624,"&lt;&gt;"&amp;B1294)</f>
        <v>0</v>
      </c>
      <c r="L1294" s="1" t="str">
        <f aca="false">IF(I1294&gt;1,IF(K1294&gt;0,"Cross-hospital match","Same-hospital match"),"")</f>
        <v/>
      </c>
      <c r="M1294" s="52"/>
      <c r="N1294" s="52"/>
      <c r="O1294" s="1" t="n">
        <f aca="false">IF(M1294="Exclude (duplicate)",0,1)</f>
        <v>1</v>
      </c>
      <c r="P1294" s="1" t="str">
        <f aca="false">IF(AND(L1294&lt;&gt;"",M1294=""),"Needs decision","")</f>
        <v/>
      </c>
    </row>
    <row r="1295" customFormat="false" ht="15" hidden="false" customHeight="false" outlineLevel="0" collapsed="false">
      <c r="A1295" s="48" t="str">
        <f aca="false">COST!A1295</f>
        <v>WCH-0188</v>
      </c>
      <c r="B1295" s="48" t="str">
        <f aca="false">COST!B1295</f>
        <v>WCH</v>
      </c>
      <c r="C1295" s="48" t="str">
        <f aca="false">COST!D1295</f>
        <v>Nursing Student Clinical Rotations</v>
      </c>
      <c r="D1295" s="62" t="n">
        <f aca="false">COST!M1295</f>
        <v>46081</v>
      </c>
      <c r="E1295" s="48" t="str">
        <f aca="false">COST!P1295</f>
        <v>Registered Nurse</v>
      </c>
      <c r="F1295" s="63" t="n">
        <f aca="false">COST!R1295</f>
        <v>179</v>
      </c>
      <c r="G1295" s="48" t="str">
        <f aca="false">STACK!M1295</f>
        <v/>
      </c>
      <c r="H1295" s="1" t="str">
        <f aca="false">C1295&amp;"|"&amp;IF(ISNUMBER(D1295),TEXT(D1295,"yyyy-mm-dd"),"no date")&amp;"|"&amp;E1295&amp;"|"&amp;IF(ISNUMBER(F1295),TEXT(F1295,"0.00"),"blank")</f>
        <v>Nursing Student Clinical Rotations|2026-02-28|Registered Nurse|179.00</v>
      </c>
      <c r="I1295" s="1" t="n">
        <f aca="false">COUNTIF($H$5:$H$1624,H1295)</f>
        <v>1</v>
      </c>
      <c r="J1295" s="1" t="n">
        <f aca="false">COUNTIF($H$5:H1295,H1295)</f>
        <v>1</v>
      </c>
      <c r="K1295" s="1" t="n">
        <f aca="false">COUNTIFS($H$5:$H$1624,H1295,$B$5:$B$1624,"&lt;&gt;"&amp;B1295)</f>
        <v>0</v>
      </c>
      <c r="L1295" s="1" t="str">
        <f aca="false">IF(I1295&gt;1,IF(K1295&gt;0,"Cross-hospital match","Same-hospital match"),"")</f>
        <v/>
      </c>
      <c r="M1295" s="52"/>
      <c r="N1295" s="52"/>
      <c r="O1295" s="1" t="n">
        <f aca="false">IF(M1295="Exclude (duplicate)",0,1)</f>
        <v>1</v>
      </c>
      <c r="P1295" s="1" t="str">
        <f aca="false">IF(AND(L1295&lt;&gt;"",M1295=""),"Needs decision","")</f>
        <v/>
      </c>
    </row>
    <row r="1296" customFormat="false" ht="15" hidden="false" customHeight="false" outlineLevel="0" collapsed="false">
      <c r="A1296" s="48" t="str">
        <f aca="false">COST!A1296</f>
        <v>WCH-0189</v>
      </c>
      <c r="B1296" s="48" t="str">
        <f aca="false">COST!B1296</f>
        <v>WCH</v>
      </c>
      <c r="C1296" s="48" t="str">
        <f aca="false">COST!D1296</f>
        <v>Paramedic Student Field Training</v>
      </c>
      <c r="D1296" s="62" t="n">
        <f aca="false">COST!M1296</f>
        <v>46081</v>
      </c>
      <c r="E1296" s="48" t="str">
        <f aca="false">COST!P1296</f>
        <v>Paramedic</v>
      </c>
      <c r="F1296" s="63" t="n">
        <f aca="false">COST!R1296</f>
        <v>49.25</v>
      </c>
      <c r="G1296" s="48" t="str">
        <f aca="false">STACK!M1296</f>
        <v/>
      </c>
      <c r="H1296" s="1" t="str">
        <f aca="false">C1296&amp;"|"&amp;IF(ISNUMBER(D1296),TEXT(D1296,"yyyy-mm-dd"),"no date")&amp;"|"&amp;E1296&amp;"|"&amp;IF(ISNUMBER(F1296),TEXT(F1296,"0.00"),"blank")</f>
        <v>Paramedic Student Field Training|2026-02-28|Paramedic|49.25</v>
      </c>
      <c r="I1296" s="1" t="n">
        <f aca="false">COUNTIF($H$5:$H$1624,H1296)</f>
        <v>1</v>
      </c>
      <c r="J1296" s="1" t="n">
        <f aca="false">COUNTIF($H$5:H1296,H1296)</f>
        <v>1</v>
      </c>
      <c r="K1296" s="1" t="n">
        <f aca="false">COUNTIFS($H$5:$H$1624,H1296,$B$5:$B$1624,"&lt;&gt;"&amp;B1296)</f>
        <v>0</v>
      </c>
      <c r="L1296" s="1" t="str">
        <f aca="false">IF(I1296&gt;1,IF(K1296&gt;0,"Cross-hospital match","Same-hospital match"),"")</f>
        <v/>
      </c>
      <c r="M1296" s="52"/>
      <c r="N1296" s="52"/>
      <c r="O1296" s="1" t="n">
        <f aca="false">IF(M1296="Exclude (duplicate)",0,1)</f>
        <v>1</v>
      </c>
      <c r="P1296" s="1" t="str">
        <f aca="false">IF(AND(L1296&lt;&gt;"",M1296=""),"Needs decision","")</f>
        <v/>
      </c>
    </row>
    <row r="1297" customFormat="false" ht="15" hidden="false" customHeight="false" outlineLevel="0" collapsed="false">
      <c r="A1297" s="48" t="str">
        <f aca="false">COST!A1297</f>
        <v>WCH-0190</v>
      </c>
      <c r="B1297" s="48" t="str">
        <f aca="false">COST!B1297</f>
        <v>WCH</v>
      </c>
      <c r="C1297" s="48" t="str">
        <f aca="false">COST!D1297</f>
        <v>Rural Maternal Outcomes Study</v>
      </c>
      <c r="D1297" s="62" t="n">
        <f aca="false">COST!M1297</f>
        <v>46081</v>
      </c>
      <c r="E1297" s="48" t="str">
        <f aca="false">COST!P1297</f>
        <v>Data Analyst</v>
      </c>
      <c r="F1297" s="63" t="n">
        <f aca="false">COST!R1297</f>
        <v>12.25</v>
      </c>
      <c r="G1297" s="48" t="str">
        <f aca="false">STACK!M1297</f>
        <v/>
      </c>
      <c r="H1297" s="1" t="str">
        <f aca="false">C1297&amp;"|"&amp;IF(ISNUMBER(D1297),TEXT(D1297,"yyyy-mm-dd"),"no date")&amp;"|"&amp;E1297&amp;"|"&amp;IF(ISNUMBER(F1297),TEXT(F1297,"0.00"),"blank")</f>
        <v>Rural Maternal Outcomes Study|2026-02-28|Data Analyst|12.25</v>
      </c>
      <c r="I1297" s="1" t="n">
        <f aca="false">COUNTIF($H$5:$H$1624,H1297)</f>
        <v>1</v>
      </c>
      <c r="J1297" s="1" t="n">
        <f aca="false">COUNTIF($H$5:H1297,H1297)</f>
        <v>1</v>
      </c>
      <c r="K1297" s="1" t="n">
        <f aca="false">COUNTIFS($H$5:$H$1624,H1297,$B$5:$B$1624,"&lt;&gt;"&amp;B1297)</f>
        <v>0</v>
      </c>
      <c r="L1297" s="1" t="str">
        <f aca="false">IF(I1297&gt;1,IF(K1297&gt;0,"Cross-hospital match","Same-hospital match"),"")</f>
        <v/>
      </c>
      <c r="M1297" s="52"/>
      <c r="N1297" s="52"/>
      <c r="O1297" s="1" t="n">
        <f aca="false">IF(M1297="Exclude (duplicate)",0,1)</f>
        <v>1</v>
      </c>
      <c r="P1297" s="1" t="str">
        <f aca="false">IF(AND(L1297&lt;&gt;"",M1297=""),"Needs decision","")</f>
        <v/>
      </c>
    </row>
    <row r="1298" customFormat="false" ht="15" hidden="false" customHeight="false" outlineLevel="0" collapsed="false">
      <c r="A1298" s="48" t="str">
        <f aca="false">COST!A1298</f>
        <v>WCH-0191</v>
      </c>
      <c r="B1298" s="48" t="str">
        <f aca="false">COST!B1298</f>
        <v>WCH</v>
      </c>
      <c r="C1298" s="48" t="str">
        <f aca="false">COST!D1298</f>
        <v>Rural Maternal Outcomes Study</v>
      </c>
      <c r="D1298" s="62" t="n">
        <f aca="false">COST!M1298</f>
        <v>46081</v>
      </c>
      <c r="E1298" s="48" t="str">
        <f aca="false">COST!P1298</f>
        <v>Research Coordinator</v>
      </c>
      <c r="F1298" s="63" t="n">
        <f aca="false">COST!R1298</f>
        <v>35.5</v>
      </c>
      <c r="G1298" s="48" t="str">
        <f aca="false">STACK!M1298</f>
        <v/>
      </c>
      <c r="H1298" s="1" t="str">
        <f aca="false">C1298&amp;"|"&amp;IF(ISNUMBER(D1298),TEXT(D1298,"yyyy-mm-dd"),"no date")&amp;"|"&amp;E1298&amp;"|"&amp;IF(ISNUMBER(F1298),TEXT(F1298,"0.00"),"blank")</f>
        <v>Rural Maternal Outcomes Study|2026-02-28|Research Coordinator|35.50</v>
      </c>
      <c r="I1298" s="1" t="n">
        <f aca="false">COUNTIF($H$5:$H$1624,H1298)</f>
        <v>1</v>
      </c>
      <c r="J1298" s="1" t="n">
        <f aca="false">COUNTIF($H$5:H1298,H1298)</f>
        <v>1</v>
      </c>
      <c r="K1298" s="1" t="n">
        <f aca="false">COUNTIFS($H$5:$H$1624,H1298,$B$5:$B$1624,"&lt;&gt;"&amp;B1298)</f>
        <v>0</v>
      </c>
      <c r="L1298" s="1" t="str">
        <f aca="false">IF(I1298&gt;1,IF(K1298&gt;0,"Cross-hospital match","Same-hospital match"),"")</f>
        <v/>
      </c>
      <c r="M1298" s="52"/>
      <c r="N1298" s="52"/>
      <c r="O1298" s="1" t="n">
        <f aca="false">IF(M1298="Exclude (duplicate)",0,1)</f>
        <v>1</v>
      </c>
      <c r="P1298" s="1" t="str">
        <f aca="false">IF(AND(L1298&lt;&gt;"",M1298=""),"Needs decision","")</f>
        <v/>
      </c>
    </row>
    <row r="1299" customFormat="false" ht="15" hidden="false" customHeight="false" outlineLevel="0" collapsed="false">
      <c r="A1299" s="48" t="str">
        <f aca="false">COST!A1299</f>
        <v>WCH-0192</v>
      </c>
      <c r="B1299" s="48" t="str">
        <f aca="false">COST!B1299</f>
        <v>WCH</v>
      </c>
      <c r="C1299" s="48" t="str">
        <f aca="false">COST!D1299</f>
        <v>Naloxone Training and Distribution</v>
      </c>
      <c r="D1299" s="62" t="n">
        <f aca="false">COST!M1299</f>
        <v>46088</v>
      </c>
      <c r="E1299" s="48" t="str">
        <f aca="false">COST!P1299</f>
        <v>Health Educator</v>
      </c>
      <c r="F1299" s="63" t="n">
        <f aca="false">COST!R1299</f>
        <v>2.25</v>
      </c>
      <c r="G1299" s="48" t="str">
        <f aca="false">STACK!M1299</f>
        <v/>
      </c>
      <c r="H1299" s="1" t="str">
        <f aca="false">C1299&amp;"|"&amp;IF(ISNUMBER(D1299),TEXT(D1299,"yyyy-mm-dd"),"no date")&amp;"|"&amp;E1299&amp;"|"&amp;IF(ISNUMBER(F1299),TEXT(F1299,"0.00"),"blank")</f>
        <v>Naloxone Training and Distribution|2026-03-07|Health Educator|2.25</v>
      </c>
      <c r="I1299" s="1" t="n">
        <f aca="false">COUNTIF($H$5:$H$1624,H1299)</f>
        <v>1</v>
      </c>
      <c r="J1299" s="1" t="n">
        <f aca="false">COUNTIF($H$5:H1299,H1299)</f>
        <v>1</v>
      </c>
      <c r="K1299" s="1" t="n">
        <f aca="false">COUNTIFS($H$5:$H$1624,H1299,$B$5:$B$1624,"&lt;&gt;"&amp;B1299)</f>
        <v>0</v>
      </c>
      <c r="L1299" s="1" t="str">
        <f aca="false">IF(I1299&gt;1,IF(K1299&gt;0,"Cross-hospital match","Same-hospital match"),"")</f>
        <v/>
      </c>
      <c r="M1299" s="52"/>
      <c r="N1299" s="52"/>
      <c r="O1299" s="1" t="n">
        <f aca="false">IF(M1299="Exclude (duplicate)",0,1)</f>
        <v>1</v>
      </c>
      <c r="P1299" s="1" t="str">
        <f aca="false">IF(AND(L1299&lt;&gt;"",M1299=""),"Needs decision","")</f>
        <v/>
      </c>
    </row>
    <row r="1300" customFormat="false" ht="15" hidden="false" customHeight="false" outlineLevel="0" collapsed="false">
      <c r="A1300" s="48" t="str">
        <f aca="false">COST!A1300</f>
        <v>WCH-0193</v>
      </c>
      <c r="B1300" s="48" t="str">
        <f aca="false">COST!B1300</f>
        <v>WCH</v>
      </c>
      <c r="C1300" s="48" t="str">
        <f aca="false">COST!D1300</f>
        <v>Naloxone Training and Distribution</v>
      </c>
      <c r="D1300" s="62" t="n">
        <f aca="false">COST!M1300</f>
        <v>46088</v>
      </c>
      <c r="E1300" s="48" t="str">
        <f aca="false">COST!P1300</f>
        <v>Pharmacist</v>
      </c>
      <c r="F1300" s="63" t="n">
        <f aca="false">COST!R1300</f>
        <v>2.5</v>
      </c>
      <c r="G1300" s="48" t="str">
        <f aca="false">STACK!M1300</f>
        <v/>
      </c>
      <c r="H1300" s="1" t="str">
        <f aca="false">C1300&amp;"|"&amp;IF(ISNUMBER(D1300),TEXT(D1300,"yyyy-mm-dd"),"no date")&amp;"|"&amp;E1300&amp;"|"&amp;IF(ISNUMBER(F1300),TEXT(F1300,"0.00"),"blank")</f>
        <v>Naloxone Training and Distribution|2026-03-07|Pharmacist|2.50</v>
      </c>
      <c r="I1300" s="1" t="n">
        <f aca="false">COUNTIF($H$5:$H$1624,H1300)</f>
        <v>1</v>
      </c>
      <c r="J1300" s="1" t="n">
        <f aca="false">COUNTIF($H$5:H1300,H1300)</f>
        <v>1</v>
      </c>
      <c r="K1300" s="1" t="n">
        <f aca="false">COUNTIFS($H$5:$H$1624,H1300,$B$5:$B$1624,"&lt;&gt;"&amp;B1300)</f>
        <v>0</v>
      </c>
      <c r="L1300" s="1" t="str">
        <f aca="false">IF(I1300&gt;1,IF(K1300&gt;0,"Cross-hospital match","Same-hospital match"),"")</f>
        <v/>
      </c>
      <c r="M1300" s="52"/>
      <c r="N1300" s="52"/>
      <c r="O1300" s="1" t="n">
        <f aca="false">IF(M1300="Exclude (duplicate)",0,1)</f>
        <v>1</v>
      </c>
      <c r="P1300" s="1" t="str">
        <f aca="false">IF(AND(L1300&lt;&gt;"",M1300=""),"Needs decision","")</f>
        <v/>
      </c>
    </row>
    <row r="1301" customFormat="false" ht="15" hidden="false" customHeight="false" outlineLevel="0" collapsed="false">
      <c r="A1301" s="48" t="str">
        <f aca="false">COST!A1301</f>
        <v>WCH-0194</v>
      </c>
      <c r="B1301" s="48" t="str">
        <f aca="false">COST!B1301</f>
        <v>WCH</v>
      </c>
      <c r="C1301" s="48" t="str">
        <f aca="false">COST!D1301</f>
        <v>Free Sports Physicals</v>
      </c>
      <c r="D1301" s="62" t="n">
        <f aca="false">COST!M1301</f>
        <v>46092</v>
      </c>
      <c r="E1301" s="48" t="str">
        <f aca="false">COST!P1301</f>
        <v>Medical Assistant</v>
      </c>
      <c r="F1301" s="63" t="n">
        <f aca="false">COST!R1301</f>
        <v>4.5</v>
      </c>
      <c r="G1301" s="48" t="str">
        <f aca="false">STACK!M1301</f>
        <v/>
      </c>
      <c r="H1301" s="1" t="str">
        <f aca="false">C1301&amp;"|"&amp;IF(ISNUMBER(D1301),TEXT(D1301,"yyyy-mm-dd"),"no date")&amp;"|"&amp;E1301&amp;"|"&amp;IF(ISNUMBER(F1301),TEXT(F1301,"0.00"),"blank")</f>
        <v>Free Sports Physicals|2026-03-11|Medical Assistant|4.50</v>
      </c>
      <c r="I1301" s="1" t="n">
        <f aca="false">COUNTIF($H$5:$H$1624,H1301)</f>
        <v>1</v>
      </c>
      <c r="J1301" s="1" t="n">
        <f aca="false">COUNTIF($H$5:H1301,H1301)</f>
        <v>1</v>
      </c>
      <c r="K1301" s="1" t="n">
        <f aca="false">COUNTIFS($H$5:$H$1624,H1301,$B$5:$B$1624,"&lt;&gt;"&amp;B1301)</f>
        <v>0</v>
      </c>
      <c r="L1301" s="1" t="str">
        <f aca="false">IF(I1301&gt;1,IF(K1301&gt;0,"Cross-hospital match","Same-hospital match"),"")</f>
        <v/>
      </c>
      <c r="M1301" s="52"/>
      <c r="N1301" s="52"/>
      <c r="O1301" s="1" t="n">
        <f aca="false">IF(M1301="Exclude (duplicate)",0,1)</f>
        <v>1</v>
      </c>
      <c r="P1301" s="1" t="str">
        <f aca="false">IF(AND(L1301&lt;&gt;"",M1301=""),"Needs decision","")</f>
        <v/>
      </c>
    </row>
    <row r="1302" customFormat="false" ht="15" hidden="false" customHeight="false" outlineLevel="0" collapsed="false">
      <c r="A1302" s="48" t="str">
        <f aca="false">COST!A1302</f>
        <v>WCH-0195</v>
      </c>
      <c r="B1302" s="48" t="str">
        <f aca="false">COST!B1302</f>
        <v>WCH</v>
      </c>
      <c r="C1302" s="48" t="str">
        <f aca="false">COST!D1302</f>
        <v>Free Sports Physicals</v>
      </c>
      <c r="D1302" s="62" t="n">
        <f aca="false">COST!M1302</f>
        <v>46092</v>
      </c>
      <c r="E1302" s="48" t="str">
        <f aca="false">COST!P1302</f>
        <v>Nurse Practitioner</v>
      </c>
      <c r="F1302" s="63" t="n">
        <f aca="false">COST!R1302</f>
        <v>4.25</v>
      </c>
      <c r="G1302" s="48" t="str">
        <f aca="false">STACK!M1302</f>
        <v/>
      </c>
      <c r="H1302" s="1" t="str">
        <f aca="false">C1302&amp;"|"&amp;IF(ISNUMBER(D1302),TEXT(D1302,"yyyy-mm-dd"),"no date")&amp;"|"&amp;E1302&amp;"|"&amp;IF(ISNUMBER(F1302),TEXT(F1302,"0.00"),"blank")</f>
        <v>Free Sports Physicals|2026-03-11|Nurse Practitioner|4.25</v>
      </c>
      <c r="I1302" s="1" t="n">
        <f aca="false">COUNTIF($H$5:$H$1624,H1302)</f>
        <v>1</v>
      </c>
      <c r="J1302" s="1" t="n">
        <f aca="false">COUNTIF($H$5:H1302,H1302)</f>
        <v>1</v>
      </c>
      <c r="K1302" s="1" t="n">
        <f aca="false">COUNTIFS($H$5:$H$1624,H1302,$B$5:$B$1624,"&lt;&gt;"&amp;B1302)</f>
        <v>0</v>
      </c>
      <c r="L1302" s="1" t="str">
        <f aca="false">IF(I1302&gt;1,IF(K1302&gt;0,"Cross-hospital match","Same-hospital match"),"")</f>
        <v/>
      </c>
      <c r="M1302" s="52"/>
      <c r="N1302" s="52"/>
      <c r="O1302" s="1" t="n">
        <f aca="false">IF(M1302="Exclude (duplicate)",0,1)</f>
        <v>1</v>
      </c>
      <c r="P1302" s="1" t="str">
        <f aca="false">IF(AND(L1302&lt;&gt;"",M1302=""),"Needs decision","")</f>
        <v/>
      </c>
    </row>
    <row r="1303" customFormat="false" ht="15" hidden="false" customHeight="false" outlineLevel="0" collapsed="false">
      <c r="A1303" s="48" t="str">
        <f aca="false">COST!A1303</f>
        <v>WCH-0196</v>
      </c>
      <c r="B1303" s="48" t="str">
        <f aca="false">COST!B1303</f>
        <v>WCH</v>
      </c>
      <c r="C1303" s="48" t="str">
        <f aca="false">COST!D1303</f>
        <v>Free Sports Physicals</v>
      </c>
      <c r="D1303" s="62" t="n">
        <f aca="false">COST!M1303</f>
        <v>46092</v>
      </c>
      <c r="E1303" s="48" t="str">
        <f aca="false">COST!P1303</f>
        <v>Physician</v>
      </c>
      <c r="F1303" s="63" t="n">
        <f aca="false">COST!R1303</f>
        <v>4.75</v>
      </c>
      <c r="G1303" s="48" t="str">
        <f aca="false">STACK!M1303</f>
        <v/>
      </c>
      <c r="H1303" s="1" t="str">
        <f aca="false">C1303&amp;"|"&amp;IF(ISNUMBER(D1303),TEXT(D1303,"yyyy-mm-dd"),"no date")&amp;"|"&amp;E1303&amp;"|"&amp;IF(ISNUMBER(F1303),TEXT(F1303,"0.00"),"blank")</f>
        <v>Free Sports Physicals|2026-03-11|Physician|4.75</v>
      </c>
      <c r="I1303" s="1" t="n">
        <f aca="false">COUNTIF($H$5:$H$1624,H1303)</f>
        <v>1</v>
      </c>
      <c r="J1303" s="1" t="n">
        <f aca="false">COUNTIF($H$5:H1303,H1303)</f>
        <v>1</v>
      </c>
      <c r="K1303" s="1" t="n">
        <f aca="false">COUNTIFS($H$5:$H$1624,H1303,$B$5:$B$1624,"&lt;&gt;"&amp;B1303)</f>
        <v>0</v>
      </c>
      <c r="L1303" s="1" t="str">
        <f aca="false">IF(I1303&gt;1,IF(K1303&gt;0,"Cross-hospital match","Same-hospital match"),"")</f>
        <v/>
      </c>
      <c r="M1303" s="52"/>
      <c r="N1303" s="52"/>
      <c r="O1303" s="1" t="n">
        <f aca="false">IF(M1303="Exclude (duplicate)",0,1)</f>
        <v>1</v>
      </c>
      <c r="P1303" s="1" t="str">
        <f aca="false">IF(AND(L1303&lt;&gt;"",M1303=""),"Needs decision","")</f>
        <v/>
      </c>
    </row>
    <row r="1304" customFormat="false" ht="15" hidden="false" customHeight="false" outlineLevel="0" collapsed="false">
      <c r="A1304" s="48" t="str">
        <f aca="false">COST!A1304</f>
        <v>WCH-0197</v>
      </c>
      <c r="B1304" s="48" t="str">
        <f aca="false">COST!B1304</f>
        <v>WCH</v>
      </c>
      <c r="C1304" s="48" t="str">
        <f aca="false">COST!D1304</f>
        <v>Mobile Health Screening Unit</v>
      </c>
      <c r="D1304" s="62" t="n">
        <f aca="false">COST!M1304</f>
        <v>46112</v>
      </c>
      <c r="E1304" s="48" t="str">
        <f aca="false">COST!P1304</f>
        <v>Community Health Worker</v>
      </c>
      <c r="F1304" s="63" t="n">
        <f aca="false">COST!R1304</f>
        <v>50.75</v>
      </c>
      <c r="G1304" s="48" t="str">
        <f aca="false">STACK!M1304</f>
        <v/>
      </c>
      <c r="H1304" s="1" t="str">
        <f aca="false">C1304&amp;"|"&amp;IF(ISNUMBER(D1304),TEXT(D1304,"yyyy-mm-dd"),"no date")&amp;"|"&amp;E1304&amp;"|"&amp;IF(ISNUMBER(F1304),TEXT(F1304,"0.00"),"blank")</f>
        <v>Mobile Health Screening Unit|2026-03-31|Community Health Worker|50.75</v>
      </c>
      <c r="I1304" s="1" t="n">
        <f aca="false">COUNTIF($H$5:$H$1624,H1304)</f>
        <v>1</v>
      </c>
      <c r="J1304" s="1" t="n">
        <f aca="false">COUNTIF($H$5:H1304,H1304)</f>
        <v>1</v>
      </c>
      <c r="K1304" s="1" t="n">
        <f aca="false">COUNTIFS($H$5:$H$1624,H1304,$B$5:$B$1624,"&lt;&gt;"&amp;B1304)</f>
        <v>0</v>
      </c>
      <c r="L1304" s="1" t="str">
        <f aca="false">IF(I1304&gt;1,IF(K1304&gt;0,"Cross-hospital match","Same-hospital match"),"")</f>
        <v/>
      </c>
      <c r="M1304" s="52"/>
      <c r="N1304" s="52"/>
      <c r="O1304" s="1" t="n">
        <f aca="false">IF(M1304="Exclude (duplicate)",0,1)</f>
        <v>1</v>
      </c>
      <c r="P1304" s="1" t="str">
        <f aca="false">IF(AND(L1304&lt;&gt;"",M1304=""),"Needs decision","")</f>
        <v/>
      </c>
    </row>
    <row r="1305" customFormat="false" ht="15" hidden="false" customHeight="false" outlineLevel="0" collapsed="false">
      <c r="A1305" s="48" t="str">
        <f aca="false">COST!A1305</f>
        <v>WCH-0198</v>
      </c>
      <c r="B1305" s="48" t="str">
        <f aca="false">COST!B1305</f>
        <v>WCH</v>
      </c>
      <c r="C1305" s="48" t="str">
        <f aca="false">COST!D1305</f>
        <v>Mobile Health Screening Unit</v>
      </c>
      <c r="D1305" s="62" t="n">
        <f aca="false">COST!M1305</f>
        <v>46112</v>
      </c>
      <c r="E1305" s="48" t="str">
        <f aca="false">COST!P1305</f>
        <v>Medical Assistant</v>
      </c>
      <c r="F1305" s="63" t="n">
        <f aca="false">COST!R1305</f>
        <v>69.25</v>
      </c>
      <c r="G1305" s="48" t="str">
        <f aca="false">STACK!M1305</f>
        <v/>
      </c>
      <c r="H1305" s="1" t="str">
        <f aca="false">C1305&amp;"|"&amp;IF(ISNUMBER(D1305),TEXT(D1305,"yyyy-mm-dd"),"no date")&amp;"|"&amp;E1305&amp;"|"&amp;IF(ISNUMBER(F1305),TEXT(F1305,"0.00"),"blank")</f>
        <v>Mobile Health Screening Unit|2026-03-31|Medical Assistant|69.25</v>
      </c>
      <c r="I1305" s="1" t="n">
        <f aca="false">COUNTIF($H$5:$H$1624,H1305)</f>
        <v>1</v>
      </c>
      <c r="J1305" s="1" t="n">
        <f aca="false">COUNTIF($H$5:H1305,H1305)</f>
        <v>1</v>
      </c>
      <c r="K1305" s="1" t="n">
        <f aca="false">COUNTIFS($H$5:$H$1624,H1305,$B$5:$B$1624,"&lt;&gt;"&amp;B1305)</f>
        <v>0</v>
      </c>
      <c r="L1305" s="1" t="str">
        <f aca="false">IF(I1305&gt;1,IF(K1305&gt;0,"Cross-hospital match","Same-hospital match"),"")</f>
        <v/>
      </c>
      <c r="M1305" s="52"/>
      <c r="N1305" s="52"/>
      <c r="O1305" s="1" t="n">
        <f aca="false">IF(M1305="Exclude (duplicate)",0,1)</f>
        <v>1</v>
      </c>
      <c r="P1305" s="1" t="str">
        <f aca="false">IF(AND(L1305&lt;&gt;"",M1305=""),"Needs decision","")</f>
        <v/>
      </c>
    </row>
    <row r="1306" customFormat="false" ht="15" hidden="false" customHeight="false" outlineLevel="0" collapsed="false">
      <c r="A1306" s="48" t="str">
        <f aca="false">COST!A1306</f>
        <v>WCH-0199</v>
      </c>
      <c r="B1306" s="48" t="str">
        <f aca="false">COST!B1306</f>
        <v>WCH</v>
      </c>
      <c r="C1306" s="48" t="str">
        <f aca="false">COST!D1306</f>
        <v>Mobile Health Screening Unit</v>
      </c>
      <c r="D1306" s="62" t="n">
        <f aca="false">COST!M1306</f>
        <v>46112</v>
      </c>
      <c r="E1306" s="48" t="str">
        <f aca="false">COST!P1306</f>
        <v>Registered Nurse</v>
      </c>
      <c r="F1306" s="63" t="n">
        <f aca="false">COST!R1306</f>
        <v>75</v>
      </c>
      <c r="G1306" s="48" t="str">
        <f aca="false">STACK!M1306</f>
        <v/>
      </c>
      <c r="H1306" s="1" t="str">
        <f aca="false">C1306&amp;"|"&amp;IF(ISNUMBER(D1306),TEXT(D1306,"yyyy-mm-dd"),"no date")&amp;"|"&amp;E1306&amp;"|"&amp;IF(ISNUMBER(F1306),TEXT(F1306,"0.00"),"blank")</f>
        <v>Mobile Health Screening Unit|2026-03-31|Registered Nurse|75.00</v>
      </c>
      <c r="I1306" s="1" t="n">
        <f aca="false">COUNTIF($H$5:$H$1624,H1306)</f>
        <v>1</v>
      </c>
      <c r="J1306" s="1" t="n">
        <f aca="false">COUNTIF($H$5:H1306,H1306)</f>
        <v>1</v>
      </c>
      <c r="K1306" s="1" t="n">
        <f aca="false">COUNTIFS($H$5:$H$1624,H1306,$B$5:$B$1624,"&lt;&gt;"&amp;B1306)</f>
        <v>0</v>
      </c>
      <c r="L1306" s="1" t="str">
        <f aca="false">IF(I1306&gt;1,IF(K1306&gt;0,"Cross-hospital match","Same-hospital match"),"")</f>
        <v/>
      </c>
      <c r="M1306" s="52"/>
      <c r="N1306" s="52"/>
      <c r="O1306" s="1" t="n">
        <f aca="false">IF(M1306="Exclude (duplicate)",0,1)</f>
        <v>1</v>
      </c>
      <c r="P1306" s="1" t="str">
        <f aca="false">IF(AND(L1306&lt;&gt;"",M1306=""),"Needs decision","")</f>
        <v/>
      </c>
    </row>
    <row r="1307" customFormat="false" ht="15" hidden="false" customHeight="false" outlineLevel="0" collapsed="false">
      <c r="A1307" s="48" t="str">
        <f aca="false">COST!A1307</f>
        <v>WCH-0200</v>
      </c>
      <c r="B1307" s="48" t="str">
        <f aca="false">COST!B1307</f>
        <v>WCH</v>
      </c>
      <c r="C1307" s="48" t="str">
        <f aca="false">COST!D1307</f>
        <v>Community Health Worker Outreach</v>
      </c>
      <c r="D1307" s="62" t="n">
        <f aca="false">COST!M1307</f>
        <v>46112</v>
      </c>
      <c r="E1307" s="48" t="str">
        <f aca="false">COST!P1307</f>
        <v>Community Health Worker</v>
      </c>
      <c r="F1307" s="63" t="n">
        <f aca="false">COST!R1307</f>
        <v>227.5</v>
      </c>
      <c r="G1307" s="48" t="str">
        <f aca="false">STACK!M1307</f>
        <v/>
      </c>
      <c r="H1307" s="1" t="str">
        <f aca="false">C1307&amp;"|"&amp;IF(ISNUMBER(D1307),TEXT(D1307,"yyyy-mm-dd"),"no date")&amp;"|"&amp;E1307&amp;"|"&amp;IF(ISNUMBER(F1307),TEXT(F1307,"0.00"),"blank")</f>
        <v>Community Health Worker Outreach|2026-03-31|Community Health Worker|227.50</v>
      </c>
      <c r="I1307" s="1" t="n">
        <f aca="false">COUNTIF($H$5:$H$1624,H1307)</f>
        <v>1</v>
      </c>
      <c r="J1307" s="1" t="n">
        <f aca="false">COUNTIF($H$5:H1307,H1307)</f>
        <v>1</v>
      </c>
      <c r="K1307" s="1" t="n">
        <f aca="false">COUNTIFS($H$5:$H$1624,H1307,$B$5:$B$1624,"&lt;&gt;"&amp;B1307)</f>
        <v>0</v>
      </c>
      <c r="L1307" s="1" t="str">
        <f aca="false">IF(I1307&gt;1,IF(K1307&gt;0,"Cross-hospital match","Same-hospital match"),"")</f>
        <v/>
      </c>
      <c r="M1307" s="52"/>
      <c r="N1307" s="52"/>
      <c r="O1307" s="1" t="n">
        <f aca="false">IF(M1307="Exclude (duplicate)",0,1)</f>
        <v>1</v>
      </c>
      <c r="P1307" s="1" t="str">
        <f aca="false">IF(AND(L1307&lt;&gt;"",M1307=""),"Needs decision","")</f>
        <v/>
      </c>
    </row>
    <row r="1308" customFormat="false" ht="15" hidden="false" customHeight="false" outlineLevel="0" collapsed="false">
      <c r="A1308" s="48" t="str">
        <f aca="false">COST!A1308</f>
        <v>WCH-0201</v>
      </c>
      <c r="B1308" s="48" t="str">
        <f aca="false">COST!B1308</f>
        <v>WCH</v>
      </c>
      <c r="C1308" s="48" t="str">
        <f aca="false">COST!D1308</f>
        <v>Community Health Worker Outreach</v>
      </c>
      <c r="D1308" s="62" t="n">
        <f aca="false">COST!M1308</f>
        <v>46112</v>
      </c>
      <c r="E1308" s="48" t="str">
        <f aca="false">COST!P1308</f>
        <v>Patient Navigator</v>
      </c>
      <c r="F1308" s="63" t="n">
        <f aca="false">COST!R1308</f>
        <v>111.5</v>
      </c>
      <c r="G1308" s="48" t="str">
        <f aca="false">STACK!M1308</f>
        <v/>
      </c>
      <c r="H1308" s="1" t="str">
        <f aca="false">C1308&amp;"|"&amp;IF(ISNUMBER(D1308),TEXT(D1308,"yyyy-mm-dd"),"no date")&amp;"|"&amp;E1308&amp;"|"&amp;IF(ISNUMBER(F1308),TEXT(F1308,"0.00"),"blank")</f>
        <v>Community Health Worker Outreach|2026-03-31|Patient Navigator|111.50</v>
      </c>
      <c r="I1308" s="1" t="n">
        <f aca="false">COUNTIF($H$5:$H$1624,H1308)</f>
        <v>1</v>
      </c>
      <c r="J1308" s="1" t="n">
        <f aca="false">COUNTIF($H$5:H1308,H1308)</f>
        <v>1</v>
      </c>
      <c r="K1308" s="1" t="n">
        <f aca="false">COUNTIFS($H$5:$H$1624,H1308,$B$5:$B$1624,"&lt;&gt;"&amp;B1308)</f>
        <v>0</v>
      </c>
      <c r="L1308" s="1" t="str">
        <f aca="false">IF(I1308&gt;1,IF(K1308&gt;0,"Cross-hospital match","Same-hospital match"),"")</f>
        <v/>
      </c>
      <c r="M1308" s="52"/>
      <c r="N1308" s="52"/>
      <c r="O1308" s="1" t="n">
        <f aca="false">IF(M1308="Exclude (duplicate)",0,1)</f>
        <v>1</v>
      </c>
      <c r="P1308" s="1" t="str">
        <f aca="false">IF(AND(L1308&lt;&gt;"",M1308=""),"Needs decision","")</f>
        <v/>
      </c>
    </row>
    <row r="1309" customFormat="false" ht="15" hidden="false" customHeight="false" outlineLevel="0" collapsed="false">
      <c r="A1309" s="48" t="str">
        <f aca="false">COST!A1309</f>
        <v>WCH-0202</v>
      </c>
      <c r="B1309" s="48" t="str">
        <f aca="false">COST!B1309</f>
        <v>WCH</v>
      </c>
      <c r="C1309" s="48" t="str">
        <f aca="false">COST!D1309</f>
        <v>Produce Prescription Program</v>
      </c>
      <c r="D1309" s="62" t="n">
        <f aca="false">COST!M1309</f>
        <v>46112</v>
      </c>
      <c r="E1309" s="48" t="str">
        <f aca="false">COST!P1309</f>
        <v>Community Health Worker</v>
      </c>
      <c r="F1309" s="63" t="n">
        <f aca="false">COST!R1309</f>
        <v>49</v>
      </c>
      <c r="G1309" s="48" t="str">
        <f aca="false">STACK!M1309</f>
        <v/>
      </c>
      <c r="H1309" s="1" t="str">
        <f aca="false">C1309&amp;"|"&amp;IF(ISNUMBER(D1309),TEXT(D1309,"yyyy-mm-dd"),"no date")&amp;"|"&amp;E1309&amp;"|"&amp;IF(ISNUMBER(F1309),TEXT(F1309,"0.00"),"blank")</f>
        <v>Produce Prescription Program|2026-03-31|Community Health Worker|49.00</v>
      </c>
      <c r="I1309" s="1" t="n">
        <f aca="false">COUNTIF($H$5:$H$1624,H1309)</f>
        <v>1</v>
      </c>
      <c r="J1309" s="1" t="n">
        <f aca="false">COUNTIF($H$5:H1309,H1309)</f>
        <v>1</v>
      </c>
      <c r="K1309" s="1" t="n">
        <f aca="false">COUNTIFS($H$5:$H$1624,H1309,$B$5:$B$1624,"&lt;&gt;"&amp;B1309)</f>
        <v>0</v>
      </c>
      <c r="L1309" s="1" t="str">
        <f aca="false">IF(I1309&gt;1,IF(K1309&gt;0,"Cross-hospital match","Same-hospital match"),"")</f>
        <v/>
      </c>
      <c r="M1309" s="52"/>
      <c r="N1309" s="52"/>
      <c r="O1309" s="1" t="n">
        <f aca="false">IF(M1309="Exclude (duplicate)",0,1)</f>
        <v>1</v>
      </c>
      <c r="P1309" s="1" t="str">
        <f aca="false">IF(AND(L1309&lt;&gt;"",M1309=""),"Needs decision","")</f>
        <v/>
      </c>
    </row>
    <row r="1310" customFormat="false" ht="15" hidden="false" customHeight="false" outlineLevel="0" collapsed="false">
      <c r="A1310" s="48" t="str">
        <f aca="false">COST!A1310</f>
        <v>WCH-0203</v>
      </c>
      <c r="B1310" s="48" t="str">
        <f aca="false">COST!B1310</f>
        <v>WCH</v>
      </c>
      <c r="C1310" s="48" t="str">
        <f aca="false">COST!D1310</f>
        <v>Produce Prescription Program</v>
      </c>
      <c r="D1310" s="62" t="n">
        <f aca="false">COST!M1310</f>
        <v>46112</v>
      </c>
      <c r="E1310" s="48" t="str">
        <f aca="false">COST!P1310</f>
        <v>Registered Dietitian</v>
      </c>
      <c r="F1310" s="63" t="n">
        <f aca="false">COST!R1310</f>
        <v>22</v>
      </c>
      <c r="G1310" s="48" t="str">
        <f aca="false">STACK!M1310</f>
        <v/>
      </c>
      <c r="H1310" s="1" t="str">
        <f aca="false">C1310&amp;"|"&amp;IF(ISNUMBER(D1310),TEXT(D1310,"yyyy-mm-dd"),"no date")&amp;"|"&amp;E1310&amp;"|"&amp;IF(ISNUMBER(F1310),TEXT(F1310,"0.00"),"blank")</f>
        <v>Produce Prescription Program|2026-03-31|Registered Dietitian|22.00</v>
      </c>
      <c r="I1310" s="1" t="n">
        <f aca="false">COUNTIF($H$5:$H$1624,H1310)</f>
        <v>1</v>
      </c>
      <c r="J1310" s="1" t="n">
        <f aca="false">COUNTIF($H$5:H1310,H1310)</f>
        <v>1</v>
      </c>
      <c r="K1310" s="1" t="n">
        <f aca="false">COUNTIFS($H$5:$H$1624,H1310,$B$5:$B$1624,"&lt;&gt;"&amp;B1310)</f>
        <v>0</v>
      </c>
      <c r="L1310" s="1" t="str">
        <f aca="false">IF(I1310&gt;1,IF(K1310&gt;0,"Cross-hospital match","Same-hospital match"),"")</f>
        <v/>
      </c>
      <c r="M1310" s="52"/>
      <c r="N1310" s="52"/>
      <c r="O1310" s="1" t="n">
        <f aca="false">IF(M1310="Exclude (duplicate)",0,1)</f>
        <v>1</v>
      </c>
      <c r="P1310" s="1" t="str">
        <f aca="false">IF(AND(L1310&lt;&gt;"",M1310=""),"Needs decision","")</f>
        <v/>
      </c>
    </row>
    <row r="1311" customFormat="false" ht="15" hidden="false" customHeight="false" outlineLevel="0" collapsed="false">
      <c r="A1311" s="48" t="str">
        <f aca="false">COST!A1311</f>
        <v>WCH-0204</v>
      </c>
      <c r="B1311" s="48" t="str">
        <f aca="false">COST!B1311</f>
        <v>WCH</v>
      </c>
      <c r="C1311" s="48" t="str">
        <f aca="false">COST!D1311</f>
        <v>Community Benefit Program Administration</v>
      </c>
      <c r="D1311" s="62" t="n">
        <f aca="false">COST!M1311</f>
        <v>46112</v>
      </c>
      <c r="E1311" s="48" t="str">
        <f aca="false">COST!P1311</f>
        <v>Administrative Assistant</v>
      </c>
      <c r="F1311" s="63" t="n">
        <f aca="false">COST!R1311</f>
        <v>42</v>
      </c>
      <c r="G1311" s="48" t="str">
        <f aca="false">STACK!M1311</f>
        <v/>
      </c>
      <c r="H1311" s="1" t="str">
        <f aca="false">C1311&amp;"|"&amp;IF(ISNUMBER(D1311),TEXT(D1311,"yyyy-mm-dd"),"no date")&amp;"|"&amp;E1311&amp;"|"&amp;IF(ISNUMBER(F1311),TEXT(F1311,"0.00"),"blank")</f>
        <v>Community Benefit Program Administration|2026-03-31|Administrative Assistant|42.00</v>
      </c>
      <c r="I1311" s="1" t="n">
        <f aca="false">COUNTIF($H$5:$H$1624,H1311)</f>
        <v>1</v>
      </c>
      <c r="J1311" s="1" t="n">
        <f aca="false">COUNTIF($H$5:H1311,H1311)</f>
        <v>1</v>
      </c>
      <c r="K1311" s="1" t="n">
        <f aca="false">COUNTIFS($H$5:$H$1624,H1311,$B$5:$B$1624,"&lt;&gt;"&amp;B1311)</f>
        <v>0</v>
      </c>
      <c r="L1311" s="1" t="str">
        <f aca="false">IF(I1311&gt;1,IF(K1311&gt;0,"Cross-hospital match","Same-hospital match"),"")</f>
        <v/>
      </c>
      <c r="M1311" s="52"/>
      <c r="N1311" s="52"/>
      <c r="O1311" s="1" t="n">
        <f aca="false">IF(M1311="Exclude (duplicate)",0,1)</f>
        <v>1</v>
      </c>
      <c r="P1311" s="1" t="str">
        <f aca="false">IF(AND(L1311&lt;&gt;"",M1311=""),"Needs decision","")</f>
        <v/>
      </c>
    </row>
    <row r="1312" customFormat="false" ht="15" hidden="false" customHeight="false" outlineLevel="0" collapsed="false">
      <c r="A1312" s="48" t="str">
        <f aca="false">COST!A1312</f>
        <v>WCH-0205</v>
      </c>
      <c r="B1312" s="48" t="str">
        <f aca="false">COST!B1312</f>
        <v>WCH</v>
      </c>
      <c r="C1312" s="48" t="str">
        <f aca="false">COST!D1312</f>
        <v>Community Benefit Program Administration</v>
      </c>
      <c r="D1312" s="62" t="n">
        <f aca="false">COST!M1312</f>
        <v>46112</v>
      </c>
      <c r="E1312" s="48" t="str">
        <f aca="false">COST!P1312</f>
        <v>Community Benefit Manager</v>
      </c>
      <c r="F1312" s="63" t="n">
        <f aca="false">COST!R1312</f>
        <v>52.25</v>
      </c>
      <c r="G1312" s="48" t="str">
        <f aca="false">STACK!M1312</f>
        <v/>
      </c>
      <c r="H1312" s="1" t="str">
        <f aca="false">C1312&amp;"|"&amp;IF(ISNUMBER(D1312),TEXT(D1312,"yyyy-mm-dd"),"no date")&amp;"|"&amp;E1312&amp;"|"&amp;IF(ISNUMBER(F1312),TEXT(F1312,"0.00"),"blank")</f>
        <v>Community Benefit Program Administration|2026-03-31|Community Benefit Manager|52.25</v>
      </c>
      <c r="I1312" s="1" t="n">
        <f aca="false">COUNTIF($H$5:$H$1624,H1312)</f>
        <v>1</v>
      </c>
      <c r="J1312" s="1" t="n">
        <f aca="false">COUNTIF($H$5:H1312,H1312)</f>
        <v>1</v>
      </c>
      <c r="K1312" s="1" t="n">
        <f aca="false">COUNTIFS($H$5:$H$1624,H1312,$B$5:$B$1624,"&lt;&gt;"&amp;B1312)</f>
        <v>0</v>
      </c>
      <c r="L1312" s="1" t="str">
        <f aca="false">IF(I1312&gt;1,IF(K1312&gt;0,"Cross-hospital match","Same-hospital match"),"")</f>
        <v/>
      </c>
      <c r="M1312" s="52"/>
      <c r="N1312" s="52"/>
      <c r="O1312" s="1" t="n">
        <f aca="false">IF(M1312="Exclude (duplicate)",0,1)</f>
        <v>1</v>
      </c>
      <c r="P1312" s="1" t="str">
        <f aca="false">IF(AND(L1312&lt;&gt;"",M1312=""),"Needs decision","")</f>
        <v/>
      </c>
    </row>
    <row r="1313" customFormat="false" ht="15" hidden="false" customHeight="false" outlineLevel="0" collapsed="false">
      <c r="A1313" s="48" t="str">
        <f aca="false">COST!A1313</f>
        <v>WCH-0206</v>
      </c>
      <c r="B1313" s="48" t="str">
        <f aca="false">COST!B1313</f>
        <v>WCH</v>
      </c>
      <c r="C1313" s="48" t="str">
        <f aca="false">COST!D1313</f>
        <v>Community Paramedic Home Visits</v>
      </c>
      <c r="D1313" s="62" t="n">
        <f aca="false">COST!M1313</f>
        <v>46112</v>
      </c>
      <c r="E1313" s="48" t="str">
        <f aca="false">COST!P1313</f>
        <v>Paramedic</v>
      </c>
      <c r="F1313" s="63" t="n">
        <f aca="false">COST!R1313</f>
        <v>59.25</v>
      </c>
      <c r="G1313" s="48" t="str">
        <f aca="false">STACK!M1313</f>
        <v/>
      </c>
      <c r="H1313" s="1" t="str">
        <f aca="false">C1313&amp;"|"&amp;IF(ISNUMBER(D1313),TEXT(D1313,"yyyy-mm-dd"),"no date")&amp;"|"&amp;E1313&amp;"|"&amp;IF(ISNUMBER(F1313),TEXT(F1313,"0.00"),"blank")</f>
        <v>Community Paramedic Home Visits|2026-03-31|Paramedic|59.25</v>
      </c>
      <c r="I1313" s="1" t="n">
        <f aca="false">COUNTIF($H$5:$H$1624,H1313)</f>
        <v>1</v>
      </c>
      <c r="J1313" s="1" t="n">
        <f aca="false">COUNTIF($H$5:H1313,H1313)</f>
        <v>1</v>
      </c>
      <c r="K1313" s="1" t="n">
        <f aca="false">COUNTIFS($H$5:$H$1624,H1313,$B$5:$B$1624,"&lt;&gt;"&amp;B1313)</f>
        <v>0</v>
      </c>
      <c r="L1313" s="1" t="str">
        <f aca="false">IF(I1313&gt;1,IF(K1313&gt;0,"Cross-hospital match","Same-hospital match"),"")</f>
        <v/>
      </c>
      <c r="M1313" s="52"/>
      <c r="N1313" s="52"/>
      <c r="O1313" s="1" t="n">
        <f aca="false">IF(M1313="Exclude (duplicate)",0,1)</f>
        <v>1</v>
      </c>
      <c r="P1313" s="1" t="str">
        <f aca="false">IF(AND(L1313&lt;&gt;"",M1313=""),"Needs decision","")</f>
        <v/>
      </c>
    </row>
    <row r="1314" customFormat="false" ht="15" hidden="false" customHeight="false" outlineLevel="0" collapsed="false">
      <c r="A1314" s="48" t="str">
        <f aca="false">COST!A1314</f>
        <v>WCH-0207</v>
      </c>
      <c r="B1314" s="48" t="str">
        <f aca="false">COST!B1314</f>
        <v>WCH</v>
      </c>
      <c r="C1314" s="48" t="str">
        <f aca="false">COST!D1314</f>
        <v>Nursing Student Clinical Rotations</v>
      </c>
      <c r="D1314" s="62" t="n">
        <f aca="false">COST!M1314</f>
        <v>46112</v>
      </c>
      <c r="E1314" s="48" t="str">
        <f aca="false">COST!P1314</f>
        <v>Clinical Nurse Educator</v>
      </c>
      <c r="F1314" s="63" t="n">
        <f aca="false">COST!R1314</f>
        <v>68.75</v>
      </c>
      <c r="G1314" s="48" t="str">
        <f aca="false">STACK!M1314</f>
        <v/>
      </c>
      <c r="H1314" s="1" t="str">
        <f aca="false">C1314&amp;"|"&amp;IF(ISNUMBER(D1314),TEXT(D1314,"yyyy-mm-dd"),"no date")&amp;"|"&amp;E1314&amp;"|"&amp;IF(ISNUMBER(F1314),TEXT(F1314,"0.00"),"blank")</f>
        <v>Nursing Student Clinical Rotations|2026-03-31|Clinical Nurse Educator|68.75</v>
      </c>
      <c r="I1314" s="1" t="n">
        <f aca="false">COUNTIF($H$5:$H$1624,H1314)</f>
        <v>1</v>
      </c>
      <c r="J1314" s="1" t="n">
        <f aca="false">COUNTIF($H$5:H1314,H1314)</f>
        <v>1</v>
      </c>
      <c r="K1314" s="1" t="n">
        <f aca="false">COUNTIFS($H$5:$H$1624,H1314,$B$5:$B$1624,"&lt;&gt;"&amp;B1314)</f>
        <v>0</v>
      </c>
      <c r="L1314" s="1" t="str">
        <f aca="false">IF(I1314&gt;1,IF(K1314&gt;0,"Cross-hospital match","Same-hospital match"),"")</f>
        <v/>
      </c>
      <c r="M1314" s="52"/>
      <c r="N1314" s="52"/>
      <c r="O1314" s="1" t="n">
        <f aca="false">IF(M1314="Exclude (duplicate)",0,1)</f>
        <v>1</v>
      </c>
      <c r="P1314" s="1" t="str">
        <f aca="false">IF(AND(L1314&lt;&gt;"",M1314=""),"Needs decision","")</f>
        <v/>
      </c>
    </row>
    <row r="1315" customFormat="false" ht="15" hidden="false" customHeight="false" outlineLevel="0" collapsed="false">
      <c r="A1315" s="48" t="str">
        <f aca="false">COST!A1315</f>
        <v>WCH-0208</v>
      </c>
      <c r="B1315" s="48" t="str">
        <f aca="false">COST!B1315</f>
        <v>WCH</v>
      </c>
      <c r="C1315" s="48" t="str">
        <f aca="false">COST!D1315</f>
        <v>Nursing Student Clinical Rotations</v>
      </c>
      <c r="D1315" s="62" t="n">
        <f aca="false">COST!M1315</f>
        <v>46112</v>
      </c>
      <c r="E1315" s="48" t="str">
        <f aca="false">COST!P1315</f>
        <v>Registered Nurse</v>
      </c>
      <c r="F1315" s="63" t="n">
        <f aca="false">COST!R1315</f>
        <v>145</v>
      </c>
      <c r="G1315" s="48" t="str">
        <f aca="false">STACK!M1315</f>
        <v/>
      </c>
      <c r="H1315" s="1" t="str">
        <f aca="false">C1315&amp;"|"&amp;IF(ISNUMBER(D1315),TEXT(D1315,"yyyy-mm-dd"),"no date")&amp;"|"&amp;E1315&amp;"|"&amp;IF(ISNUMBER(F1315),TEXT(F1315,"0.00"),"blank")</f>
        <v>Nursing Student Clinical Rotations|2026-03-31|Registered Nurse|145.00</v>
      </c>
      <c r="I1315" s="1" t="n">
        <f aca="false">COUNTIF($H$5:$H$1624,H1315)</f>
        <v>1</v>
      </c>
      <c r="J1315" s="1" t="n">
        <f aca="false">COUNTIF($H$5:H1315,H1315)</f>
        <v>1</v>
      </c>
      <c r="K1315" s="1" t="n">
        <f aca="false">COUNTIFS($H$5:$H$1624,H1315,$B$5:$B$1624,"&lt;&gt;"&amp;B1315)</f>
        <v>0</v>
      </c>
      <c r="L1315" s="1" t="str">
        <f aca="false">IF(I1315&gt;1,IF(K1315&gt;0,"Cross-hospital match","Same-hospital match"),"")</f>
        <v/>
      </c>
      <c r="M1315" s="52"/>
      <c r="N1315" s="52"/>
      <c r="O1315" s="1" t="n">
        <f aca="false">IF(M1315="Exclude (duplicate)",0,1)</f>
        <v>1</v>
      </c>
      <c r="P1315" s="1" t="str">
        <f aca="false">IF(AND(L1315&lt;&gt;"",M1315=""),"Needs decision","")</f>
        <v/>
      </c>
    </row>
    <row r="1316" customFormat="false" ht="15" hidden="false" customHeight="false" outlineLevel="0" collapsed="false">
      <c r="A1316" s="48" t="str">
        <f aca="false">COST!A1316</f>
        <v>WCH-0209</v>
      </c>
      <c r="B1316" s="48" t="str">
        <f aca="false">COST!B1316</f>
        <v>WCH</v>
      </c>
      <c r="C1316" s="48" t="str">
        <f aca="false">COST!D1316</f>
        <v>Paramedic Student Field Training</v>
      </c>
      <c r="D1316" s="62" t="n">
        <f aca="false">COST!M1316</f>
        <v>46112</v>
      </c>
      <c r="E1316" s="48" t="str">
        <f aca="false">COST!P1316</f>
        <v>Paramedic</v>
      </c>
      <c r="F1316" s="63" t="n">
        <f aca="false">COST!R1316</f>
        <v>48</v>
      </c>
      <c r="G1316" s="48" t="str">
        <f aca="false">STACK!M1316</f>
        <v/>
      </c>
      <c r="H1316" s="1" t="str">
        <f aca="false">C1316&amp;"|"&amp;IF(ISNUMBER(D1316),TEXT(D1316,"yyyy-mm-dd"),"no date")&amp;"|"&amp;E1316&amp;"|"&amp;IF(ISNUMBER(F1316),TEXT(F1316,"0.00"),"blank")</f>
        <v>Paramedic Student Field Training|2026-03-31|Paramedic|48.00</v>
      </c>
      <c r="I1316" s="1" t="n">
        <f aca="false">COUNTIF($H$5:$H$1624,H1316)</f>
        <v>1</v>
      </c>
      <c r="J1316" s="1" t="n">
        <f aca="false">COUNTIF($H$5:H1316,H1316)</f>
        <v>1</v>
      </c>
      <c r="K1316" s="1" t="n">
        <f aca="false">COUNTIFS($H$5:$H$1624,H1316,$B$5:$B$1624,"&lt;&gt;"&amp;B1316)</f>
        <v>0</v>
      </c>
      <c r="L1316" s="1" t="str">
        <f aca="false">IF(I1316&gt;1,IF(K1316&gt;0,"Cross-hospital match","Same-hospital match"),"")</f>
        <v/>
      </c>
      <c r="M1316" s="52"/>
      <c r="N1316" s="52"/>
      <c r="O1316" s="1" t="n">
        <f aca="false">IF(M1316="Exclude (duplicate)",0,1)</f>
        <v>1</v>
      </c>
      <c r="P1316" s="1" t="str">
        <f aca="false">IF(AND(L1316&lt;&gt;"",M1316=""),"Needs decision","")</f>
        <v/>
      </c>
    </row>
    <row r="1317" customFormat="false" ht="15" hidden="false" customHeight="false" outlineLevel="0" collapsed="false">
      <c r="A1317" s="48" t="str">
        <f aca="false">COST!A1317</f>
        <v>WCH-0210</v>
      </c>
      <c r="B1317" s="48" t="str">
        <f aca="false">COST!B1317</f>
        <v>WCH</v>
      </c>
      <c r="C1317" s="48" t="str">
        <f aca="false">COST!D1317</f>
        <v>Rural Maternal Outcomes Study</v>
      </c>
      <c r="D1317" s="62" t="n">
        <f aca="false">COST!M1317</f>
        <v>46112</v>
      </c>
      <c r="E1317" s="48" t="str">
        <f aca="false">COST!P1317</f>
        <v>Data Analyst</v>
      </c>
      <c r="F1317" s="63" t="n">
        <f aca="false">COST!R1317</f>
        <v>8.5</v>
      </c>
      <c r="G1317" s="48" t="str">
        <f aca="false">STACK!M1317</f>
        <v/>
      </c>
      <c r="H1317" s="1" t="str">
        <f aca="false">C1317&amp;"|"&amp;IF(ISNUMBER(D1317),TEXT(D1317,"yyyy-mm-dd"),"no date")&amp;"|"&amp;E1317&amp;"|"&amp;IF(ISNUMBER(F1317),TEXT(F1317,"0.00"),"blank")</f>
        <v>Rural Maternal Outcomes Study|2026-03-31|Data Analyst|8.50</v>
      </c>
      <c r="I1317" s="1" t="n">
        <f aca="false">COUNTIF($H$5:$H$1624,H1317)</f>
        <v>1</v>
      </c>
      <c r="J1317" s="1" t="n">
        <f aca="false">COUNTIF($H$5:H1317,H1317)</f>
        <v>1</v>
      </c>
      <c r="K1317" s="1" t="n">
        <f aca="false">COUNTIFS($H$5:$H$1624,H1317,$B$5:$B$1624,"&lt;&gt;"&amp;B1317)</f>
        <v>0</v>
      </c>
      <c r="L1317" s="1" t="str">
        <f aca="false">IF(I1317&gt;1,IF(K1317&gt;0,"Cross-hospital match","Same-hospital match"),"")</f>
        <v/>
      </c>
      <c r="M1317" s="52"/>
      <c r="N1317" s="52"/>
      <c r="O1317" s="1" t="n">
        <f aca="false">IF(M1317="Exclude (duplicate)",0,1)</f>
        <v>1</v>
      </c>
      <c r="P1317" s="1" t="str">
        <f aca="false">IF(AND(L1317&lt;&gt;"",M1317=""),"Needs decision","")</f>
        <v/>
      </c>
    </row>
    <row r="1318" customFormat="false" ht="15" hidden="false" customHeight="false" outlineLevel="0" collapsed="false">
      <c r="A1318" s="48" t="str">
        <f aca="false">COST!A1318</f>
        <v>WCH-0211</v>
      </c>
      <c r="B1318" s="48" t="str">
        <f aca="false">COST!B1318</f>
        <v>WCH</v>
      </c>
      <c r="C1318" s="48" t="str">
        <f aca="false">COST!D1318</f>
        <v>Rural Maternal Outcomes Study</v>
      </c>
      <c r="D1318" s="62" t="n">
        <f aca="false">COST!M1318</f>
        <v>46112</v>
      </c>
      <c r="E1318" s="48" t="str">
        <f aca="false">COST!P1318</f>
        <v>Research Coordinator</v>
      </c>
      <c r="F1318" s="63" t="n">
        <f aca="false">COST!R1318</f>
        <v>50.5</v>
      </c>
      <c r="G1318" s="48" t="str">
        <f aca="false">STACK!M1318</f>
        <v/>
      </c>
      <c r="H1318" s="1" t="str">
        <f aca="false">C1318&amp;"|"&amp;IF(ISNUMBER(D1318),TEXT(D1318,"yyyy-mm-dd"),"no date")&amp;"|"&amp;E1318&amp;"|"&amp;IF(ISNUMBER(F1318),TEXT(F1318,"0.00"),"blank")</f>
        <v>Rural Maternal Outcomes Study|2026-03-31|Research Coordinator|50.50</v>
      </c>
      <c r="I1318" s="1" t="n">
        <f aca="false">COUNTIF($H$5:$H$1624,H1318)</f>
        <v>1</v>
      </c>
      <c r="J1318" s="1" t="n">
        <f aca="false">COUNTIF($H$5:H1318,H1318)</f>
        <v>1</v>
      </c>
      <c r="K1318" s="1" t="n">
        <f aca="false">COUNTIFS($H$5:$H$1624,H1318,$B$5:$B$1624,"&lt;&gt;"&amp;B1318)</f>
        <v>0</v>
      </c>
      <c r="L1318" s="1" t="str">
        <f aca="false">IF(I1318&gt;1,IF(K1318&gt;0,"Cross-hospital match","Same-hospital match"),"")</f>
        <v/>
      </c>
      <c r="M1318" s="52"/>
      <c r="N1318" s="52"/>
      <c r="O1318" s="1" t="n">
        <f aca="false">IF(M1318="Exclude (duplicate)",0,1)</f>
        <v>1</v>
      </c>
      <c r="P1318" s="1" t="str">
        <f aca="false">IF(AND(L1318&lt;&gt;"",M1318=""),"Needs decision","")</f>
        <v/>
      </c>
    </row>
    <row r="1319" customFormat="false" ht="15" hidden="false" customHeight="false" outlineLevel="0" collapsed="false">
      <c r="A1319" s="48" t="str">
        <f aca="false">COST!A1319</f>
        <v>WCH-0212</v>
      </c>
      <c r="B1319" s="48" t="str">
        <f aca="false">COST!B1319</f>
        <v>WCH</v>
      </c>
      <c r="C1319" s="48" t="str">
        <f aca="false">COST!D1319</f>
        <v>Diabetes Prevention Classes</v>
      </c>
      <c r="D1319" s="62" t="n">
        <f aca="false">COST!M1319</f>
        <v>46115</v>
      </c>
      <c r="E1319" s="48" t="str">
        <f aca="false">COST!P1319</f>
        <v>Health Educator</v>
      </c>
      <c r="F1319" s="63" t="n">
        <f aca="false">COST!R1319</f>
        <v>2.5</v>
      </c>
      <c r="G1319" s="48" t="str">
        <f aca="false">STACK!M1319</f>
        <v/>
      </c>
      <c r="H1319" s="1" t="str">
        <f aca="false">C1319&amp;"|"&amp;IF(ISNUMBER(D1319),TEXT(D1319,"yyyy-mm-dd"),"no date")&amp;"|"&amp;E1319&amp;"|"&amp;IF(ISNUMBER(F1319),TEXT(F1319,"0.00"),"blank")</f>
        <v>Diabetes Prevention Classes|2026-04-03|Health Educator|2.50</v>
      </c>
      <c r="I1319" s="1" t="n">
        <f aca="false">COUNTIF($H$5:$H$1624,H1319)</f>
        <v>1</v>
      </c>
      <c r="J1319" s="1" t="n">
        <f aca="false">COUNTIF($H$5:H1319,H1319)</f>
        <v>1</v>
      </c>
      <c r="K1319" s="1" t="n">
        <f aca="false">COUNTIFS($H$5:$H$1624,H1319,$B$5:$B$1624,"&lt;&gt;"&amp;B1319)</f>
        <v>0</v>
      </c>
      <c r="L1319" s="1" t="str">
        <f aca="false">IF(I1319&gt;1,IF(K1319&gt;0,"Cross-hospital match","Same-hospital match"),"")</f>
        <v/>
      </c>
      <c r="M1319" s="52"/>
      <c r="N1319" s="52"/>
      <c r="O1319" s="1" t="n">
        <f aca="false">IF(M1319="Exclude (duplicate)",0,1)</f>
        <v>1</v>
      </c>
      <c r="P1319" s="1" t="str">
        <f aca="false">IF(AND(L1319&lt;&gt;"",M1319=""),"Needs decision","")</f>
        <v/>
      </c>
    </row>
    <row r="1320" customFormat="false" ht="15" hidden="false" customHeight="false" outlineLevel="0" collapsed="false">
      <c r="A1320" s="48" t="str">
        <f aca="false">COST!A1320</f>
        <v>WCH-0213</v>
      </c>
      <c r="B1320" s="48" t="str">
        <f aca="false">COST!B1320</f>
        <v>WCH</v>
      </c>
      <c r="C1320" s="48" t="str">
        <f aca="false">COST!D1320</f>
        <v>Diabetes Prevention Classes</v>
      </c>
      <c r="D1320" s="62" t="n">
        <f aca="false">COST!M1320</f>
        <v>46115</v>
      </c>
      <c r="E1320" s="48" t="str">
        <f aca="false">COST!P1320</f>
        <v>Registered Dietitian</v>
      </c>
      <c r="F1320" s="63" t="n">
        <f aca="false">COST!R1320</f>
        <v>1.75</v>
      </c>
      <c r="G1320" s="48" t="str">
        <f aca="false">STACK!M1320</f>
        <v/>
      </c>
      <c r="H1320" s="1" t="str">
        <f aca="false">C1320&amp;"|"&amp;IF(ISNUMBER(D1320),TEXT(D1320,"yyyy-mm-dd"),"no date")&amp;"|"&amp;E1320&amp;"|"&amp;IF(ISNUMBER(F1320),TEXT(F1320,"0.00"),"blank")</f>
        <v>Diabetes Prevention Classes|2026-04-03|Registered Dietitian|1.75</v>
      </c>
      <c r="I1320" s="1" t="n">
        <f aca="false">COUNTIF($H$5:$H$1624,H1320)</f>
        <v>1</v>
      </c>
      <c r="J1320" s="1" t="n">
        <f aca="false">COUNTIF($H$5:H1320,H1320)</f>
        <v>1</v>
      </c>
      <c r="K1320" s="1" t="n">
        <f aca="false">COUNTIFS($H$5:$H$1624,H1320,$B$5:$B$1624,"&lt;&gt;"&amp;B1320)</f>
        <v>0</v>
      </c>
      <c r="L1320" s="1" t="str">
        <f aca="false">IF(I1320&gt;1,IF(K1320&gt;0,"Cross-hospital match","Same-hospital match"),"")</f>
        <v/>
      </c>
      <c r="M1320" s="52"/>
      <c r="N1320" s="52"/>
      <c r="O1320" s="1" t="n">
        <f aca="false">IF(M1320="Exclude (duplicate)",0,1)</f>
        <v>1</v>
      </c>
      <c r="P1320" s="1" t="str">
        <f aca="false">IF(AND(L1320&lt;&gt;"",M1320=""),"Needs decision","")</f>
        <v/>
      </c>
    </row>
    <row r="1321" customFormat="false" ht="15" hidden="false" customHeight="false" outlineLevel="0" collapsed="false">
      <c r="A1321" s="48" t="str">
        <f aca="false">COST!A1321</f>
        <v>WCH-0214</v>
      </c>
      <c r="B1321" s="48" t="str">
        <f aca="false">COST!B1321</f>
        <v>WCH</v>
      </c>
      <c r="C1321" s="48" t="str">
        <f aca="false">COST!D1321</f>
        <v>Diabetes Prevention Classes</v>
      </c>
      <c r="D1321" s="62" t="n">
        <f aca="false">COST!M1321</f>
        <v>46118</v>
      </c>
      <c r="E1321" s="48" t="str">
        <f aca="false">COST!P1321</f>
        <v>Health Educator</v>
      </c>
      <c r="F1321" s="63" t="n">
        <f aca="false">COST!R1321</f>
        <v>2.5</v>
      </c>
      <c r="G1321" s="48" t="str">
        <f aca="false">STACK!M1321</f>
        <v/>
      </c>
      <c r="H1321" s="1" t="str">
        <f aca="false">C1321&amp;"|"&amp;IF(ISNUMBER(D1321),TEXT(D1321,"yyyy-mm-dd"),"no date")&amp;"|"&amp;E1321&amp;"|"&amp;IF(ISNUMBER(F1321),TEXT(F1321,"0.00"),"blank")</f>
        <v>Diabetes Prevention Classes|2026-04-06|Health Educator|2.50</v>
      </c>
      <c r="I1321" s="1" t="n">
        <f aca="false">COUNTIF($H$5:$H$1624,H1321)</f>
        <v>1</v>
      </c>
      <c r="J1321" s="1" t="n">
        <f aca="false">COUNTIF($H$5:H1321,H1321)</f>
        <v>1</v>
      </c>
      <c r="K1321" s="1" t="n">
        <f aca="false">COUNTIFS($H$5:$H$1624,H1321,$B$5:$B$1624,"&lt;&gt;"&amp;B1321)</f>
        <v>0</v>
      </c>
      <c r="L1321" s="1" t="str">
        <f aca="false">IF(I1321&gt;1,IF(K1321&gt;0,"Cross-hospital match","Same-hospital match"),"")</f>
        <v/>
      </c>
      <c r="M1321" s="52"/>
      <c r="N1321" s="52"/>
      <c r="O1321" s="1" t="n">
        <f aca="false">IF(M1321="Exclude (duplicate)",0,1)</f>
        <v>1</v>
      </c>
      <c r="P1321" s="1" t="str">
        <f aca="false">IF(AND(L1321&lt;&gt;"",M1321=""),"Needs decision","")</f>
        <v/>
      </c>
    </row>
    <row r="1322" customFormat="false" ht="15" hidden="false" customHeight="false" outlineLevel="0" collapsed="false">
      <c r="A1322" s="48" t="str">
        <f aca="false">COST!A1322</f>
        <v>WCH-0215</v>
      </c>
      <c r="B1322" s="48" t="str">
        <f aca="false">COST!B1322</f>
        <v>WCH</v>
      </c>
      <c r="C1322" s="48" t="str">
        <f aca="false">COST!D1322</f>
        <v>Diabetes Prevention Classes</v>
      </c>
      <c r="D1322" s="62" t="n">
        <f aca="false">COST!M1322</f>
        <v>46118</v>
      </c>
      <c r="E1322" s="48" t="str">
        <f aca="false">COST!P1322</f>
        <v>Registered Dietitian</v>
      </c>
      <c r="F1322" s="63" t="n">
        <f aca="false">COST!R1322</f>
        <v>1.75</v>
      </c>
      <c r="G1322" s="48" t="str">
        <f aca="false">STACK!M1322</f>
        <v/>
      </c>
      <c r="H1322" s="1" t="str">
        <f aca="false">C1322&amp;"|"&amp;IF(ISNUMBER(D1322),TEXT(D1322,"yyyy-mm-dd"),"no date")&amp;"|"&amp;E1322&amp;"|"&amp;IF(ISNUMBER(F1322),TEXT(F1322,"0.00"),"blank")</f>
        <v>Diabetes Prevention Classes|2026-04-06|Registered Dietitian|1.75</v>
      </c>
      <c r="I1322" s="1" t="n">
        <f aca="false">COUNTIF($H$5:$H$1624,H1322)</f>
        <v>1</v>
      </c>
      <c r="J1322" s="1" t="n">
        <f aca="false">COUNTIF($H$5:H1322,H1322)</f>
        <v>1</v>
      </c>
      <c r="K1322" s="1" t="n">
        <f aca="false">COUNTIFS($H$5:$H$1624,H1322,$B$5:$B$1624,"&lt;&gt;"&amp;B1322)</f>
        <v>0</v>
      </c>
      <c r="L1322" s="1" t="str">
        <f aca="false">IF(I1322&gt;1,IF(K1322&gt;0,"Cross-hospital match","Same-hospital match"),"")</f>
        <v/>
      </c>
      <c r="M1322" s="52"/>
      <c r="N1322" s="52"/>
      <c r="O1322" s="1" t="n">
        <f aca="false">IF(M1322="Exclude (duplicate)",0,1)</f>
        <v>1</v>
      </c>
      <c r="P1322" s="1" t="str">
        <f aca="false">IF(AND(L1322&lt;&gt;"",M1322=""),"Needs decision","")</f>
        <v/>
      </c>
    </row>
    <row r="1323" customFormat="false" ht="15" hidden="false" customHeight="false" outlineLevel="0" collapsed="false">
      <c r="A1323" s="48" t="str">
        <f aca="false">COST!A1323</f>
        <v>WCH-0216</v>
      </c>
      <c r="B1323" s="48" t="str">
        <f aca="false">COST!B1323</f>
        <v>WCH</v>
      </c>
      <c r="C1323" s="48" t="str">
        <f aca="false">COST!D1323</f>
        <v>Grief Support Group</v>
      </c>
      <c r="D1323" s="62" t="n">
        <f aca="false">COST!M1323</f>
        <v>46135</v>
      </c>
      <c r="E1323" s="48" t="str">
        <f aca="false">COST!P1323</f>
        <v>Chaplain</v>
      </c>
      <c r="F1323" s="63" t="n">
        <f aca="false">COST!R1323</f>
        <v>2.5</v>
      </c>
      <c r="G1323" s="48" t="str">
        <f aca="false">STACK!M1323</f>
        <v/>
      </c>
      <c r="H1323" s="1" t="str">
        <f aca="false">C1323&amp;"|"&amp;IF(ISNUMBER(D1323),TEXT(D1323,"yyyy-mm-dd"),"no date")&amp;"|"&amp;E1323&amp;"|"&amp;IF(ISNUMBER(F1323),TEXT(F1323,"0.00"),"blank")</f>
        <v>Grief Support Group|2026-04-23|Chaplain|2.50</v>
      </c>
      <c r="I1323" s="1" t="n">
        <f aca="false">COUNTIF($H$5:$H$1624,H1323)</f>
        <v>1</v>
      </c>
      <c r="J1323" s="1" t="n">
        <f aca="false">COUNTIF($H$5:H1323,H1323)</f>
        <v>1</v>
      </c>
      <c r="K1323" s="1" t="n">
        <f aca="false">COUNTIFS($H$5:$H$1624,H1323,$B$5:$B$1624,"&lt;&gt;"&amp;B1323)</f>
        <v>0</v>
      </c>
      <c r="L1323" s="1" t="str">
        <f aca="false">IF(I1323&gt;1,IF(K1323&gt;0,"Cross-hospital match","Same-hospital match"),"")</f>
        <v/>
      </c>
      <c r="M1323" s="52"/>
      <c r="N1323" s="52"/>
      <c r="O1323" s="1" t="n">
        <f aca="false">IF(M1323="Exclude (duplicate)",0,1)</f>
        <v>1</v>
      </c>
      <c r="P1323" s="1" t="str">
        <f aca="false">IF(AND(L1323&lt;&gt;"",M1323=""),"Needs decision","")</f>
        <v/>
      </c>
    </row>
    <row r="1324" customFormat="false" ht="15" hidden="false" customHeight="false" outlineLevel="0" collapsed="false">
      <c r="A1324" s="48" t="str">
        <f aca="false">COST!A1324</f>
        <v>WCH-0217</v>
      </c>
      <c r="B1324" s="48" t="str">
        <f aca="false">COST!B1324</f>
        <v>WCH</v>
      </c>
      <c r="C1324" s="48" t="str">
        <f aca="false">COST!D1324</f>
        <v>Grief Support Group</v>
      </c>
      <c r="D1324" s="62" t="n">
        <f aca="false">COST!M1324</f>
        <v>46135</v>
      </c>
      <c r="E1324" s="48" t="str">
        <f aca="false">COST!P1324</f>
        <v>Social Worker</v>
      </c>
      <c r="F1324" s="63" t="n">
        <f aca="false">COST!R1324</f>
        <v>1.75</v>
      </c>
      <c r="G1324" s="48" t="str">
        <f aca="false">STACK!M1324</f>
        <v/>
      </c>
      <c r="H1324" s="1" t="str">
        <f aca="false">C1324&amp;"|"&amp;IF(ISNUMBER(D1324),TEXT(D1324,"yyyy-mm-dd"),"no date")&amp;"|"&amp;E1324&amp;"|"&amp;IF(ISNUMBER(F1324),TEXT(F1324,"0.00"),"blank")</f>
        <v>Grief Support Group|2026-04-23|Social Worker|1.75</v>
      </c>
      <c r="I1324" s="1" t="n">
        <f aca="false">COUNTIF($H$5:$H$1624,H1324)</f>
        <v>1</v>
      </c>
      <c r="J1324" s="1" t="n">
        <f aca="false">COUNTIF($H$5:H1324,H1324)</f>
        <v>1</v>
      </c>
      <c r="K1324" s="1" t="n">
        <f aca="false">COUNTIFS($H$5:$H$1624,H1324,$B$5:$B$1624,"&lt;&gt;"&amp;B1324)</f>
        <v>0</v>
      </c>
      <c r="L1324" s="1" t="str">
        <f aca="false">IF(I1324&gt;1,IF(K1324&gt;0,"Cross-hospital match","Same-hospital match"),"")</f>
        <v/>
      </c>
      <c r="M1324" s="52"/>
      <c r="N1324" s="52"/>
      <c r="O1324" s="1" t="n">
        <f aca="false">IF(M1324="Exclude (duplicate)",0,1)</f>
        <v>1</v>
      </c>
      <c r="P1324" s="1" t="str">
        <f aca="false">IF(AND(L1324&lt;&gt;"",M1324=""),"Needs decision","")</f>
        <v/>
      </c>
    </row>
    <row r="1325" customFormat="false" ht="15" hidden="false" customHeight="false" outlineLevel="0" collapsed="false">
      <c r="A1325" s="48" t="str">
        <f aca="false">COST!A1325</f>
        <v>WCH-0218</v>
      </c>
      <c r="B1325" s="48" t="str">
        <f aca="false">COST!B1325</f>
        <v>WCH</v>
      </c>
      <c r="C1325" s="48" t="str">
        <f aca="false">COST!D1325</f>
        <v>Grief Support Group</v>
      </c>
      <c r="D1325" s="62" t="n">
        <f aca="false">COST!M1325</f>
        <v>46137</v>
      </c>
      <c r="E1325" s="48" t="str">
        <f aca="false">COST!P1325</f>
        <v>Chaplain</v>
      </c>
      <c r="F1325" s="63" t="n">
        <f aca="false">COST!R1325</f>
        <v>2.25</v>
      </c>
      <c r="G1325" s="48" t="str">
        <f aca="false">STACK!M1325</f>
        <v/>
      </c>
      <c r="H1325" s="1" t="str">
        <f aca="false">C1325&amp;"|"&amp;IF(ISNUMBER(D1325),TEXT(D1325,"yyyy-mm-dd"),"no date")&amp;"|"&amp;E1325&amp;"|"&amp;IF(ISNUMBER(F1325),TEXT(F1325,"0.00"),"blank")</f>
        <v>Grief Support Group|2026-04-25|Chaplain|2.25</v>
      </c>
      <c r="I1325" s="1" t="n">
        <f aca="false">COUNTIF($H$5:$H$1624,H1325)</f>
        <v>1</v>
      </c>
      <c r="J1325" s="1" t="n">
        <f aca="false">COUNTIF($H$5:H1325,H1325)</f>
        <v>1</v>
      </c>
      <c r="K1325" s="1" t="n">
        <f aca="false">COUNTIFS($H$5:$H$1624,H1325,$B$5:$B$1624,"&lt;&gt;"&amp;B1325)</f>
        <v>0</v>
      </c>
      <c r="L1325" s="1" t="str">
        <f aca="false">IF(I1325&gt;1,IF(K1325&gt;0,"Cross-hospital match","Same-hospital match"),"")</f>
        <v/>
      </c>
      <c r="M1325" s="52"/>
      <c r="N1325" s="52"/>
      <c r="O1325" s="1" t="n">
        <f aca="false">IF(M1325="Exclude (duplicate)",0,1)</f>
        <v>1</v>
      </c>
      <c r="P1325" s="1" t="str">
        <f aca="false">IF(AND(L1325&lt;&gt;"",M1325=""),"Needs decision","")</f>
        <v/>
      </c>
    </row>
    <row r="1326" customFormat="false" ht="15" hidden="false" customHeight="false" outlineLevel="0" collapsed="false">
      <c r="A1326" s="48" t="str">
        <f aca="false">COST!A1326</f>
        <v>WCH-0219</v>
      </c>
      <c r="B1326" s="48" t="str">
        <f aca="false">COST!B1326</f>
        <v>WCH</v>
      </c>
      <c r="C1326" s="48" t="str">
        <f aca="false">COST!D1326</f>
        <v>Grief Support Group</v>
      </c>
      <c r="D1326" s="62" t="n">
        <f aca="false">COST!M1326</f>
        <v>46137</v>
      </c>
      <c r="E1326" s="48" t="str">
        <f aca="false">COST!P1326</f>
        <v>Social Worker</v>
      </c>
      <c r="F1326" s="63" t="n">
        <f aca="false">COST!R1326</f>
        <v>1.75</v>
      </c>
      <c r="G1326" s="48" t="str">
        <f aca="false">STACK!M1326</f>
        <v/>
      </c>
      <c r="H1326" s="1" t="str">
        <f aca="false">C1326&amp;"|"&amp;IF(ISNUMBER(D1326),TEXT(D1326,"yyyy-mm-dd"),"no date")&amp;"|"&amp;E1326&amp;"|"&amp;IF(ISNUMBER(F1326),TEXT(F1326,"0.00"),"blank")</f>
        <v>Grief Support Group|2026-04-25|Social Worker|1.75</v>
      </c>
      <c r="I1326" s="1" t="n">
        <f aca="false">COUNTIF($H$5:$H$1624,H1326)</f>
        <v>1</v>
      </c>
      <c r="J1326" s="1" t="n">
        <f aca="false">COUNTIF($H$5:H1326,H1326)</f>
        <v>1</v>
      </c>
      <c r="K1326" s="1" t="n">
        <f aca="false">COUNTIFS($H$5:$H$1624,H1326,$B$5:$B$1624,"&lt;&gt;"&amp;B1326)</f>
        <v>0</v>
      </c>
      <c r="L1326" s="1" t="str">
        <f aca="false">IF(I1326&gt;1,IF(K1326&gt;0,"Cross-hospital match","Same-hospital match"),"")</f>
        <v/>
      </c>
      <c r="M1326" s="52"/>
      <c r="N1326" s="52"/>
      <c r="O1326" s="1" t="n">
        <f aca="false">IF(M1326="Exclude (duplicate)",0,1)</f>
        <v>1</v>
      </c>
      <c r="P1326" s="1" t="str">
        <f aca="false">IF(AND(L1326&lt;&gt;"",M1326=""),"Needs decision","")</f>
        <v/>
      </c>
    </row>
    <row r="1327" customFormat="false" ht="15" hidden="false" customHeight="false" outlineLevel="0" collapsed="false">
      <c r="A1327" s="48" t="str">
        <f aca="false">COST!A1327</f>
        <v>WCH-0220</v>
      </c>
      <c r="B1327" s="48" t="str">
        <f aca="false">COST!B1327</f>
        <v>WCH</v>
      </c>
      <c r="C1327" s="48" t="str">
        <f aca="false">COST!D1327</f>
        <v>Mobile Health Screening Unit</v>
      </c>
      <c r="D1327" s="62" t="n">
        <f aca="false">COST!M1327</f>
        <v>46142</v>
      </c>
      <c r="E1327" s="48" t="str">
        <f aca="false">COST!P1327</f>
        <v>Community Health Worker</v>
      </c>
      <c r="F1327" s="63" t="n">
        <f aca="false">COST!R1327</f>
        <v>36.5</v>
      </c>
      <c r="G1327" s="48" t="str">
        <f aca="false">STACK!M1327</f>
        <v/>
      </c>
      <c r="H1327" s="1" t="str">
        <f aca="false">C1327&amp;"|"&amp;IF(ISNUMBER(D1327),TEXT(D1327,"yyyy-mm-dd"),"no date")&amp;"|"&amp;E1327&amp;"|"&amp;IF(ISNUMBER(F1327),TEXT(F1327,"0.00"),"blank")</f>
        <v>Mobile Health Screening Unit|2026-04-30|Community Health Worker|36.50</v>
      </c>
      <c r="I1327" s="1" t="n">
        <f aca="false">COUNTIF($H$5:$H$1624,H1327)</f>
        <v>1</v>
      </c>
      <c r="J1327" s="1" t="n">
        <f aca="false">COUNTIF($H$5:H1327,H1327)</f>
        <v>1</v>
      </c>
      <c r="K1327" s="1" t="n">
        <f aca="false">COUNTIFS($H$5:$H$1624,H1327,$B$5:$B$1624,"&lt;&gt;"&amp;B1327)</f>
        <v>0</v>
      </c>
      <c r="L1327" s="1" t="str">
        <f aca="false">IF(I1327&gt;1,IF(K1327&gt;0,"Cross-hospital match","Same-hospital match"),"")</f>
        <v/>
      </c>
      <c r="M1327" s="52"/>
      <c r="N1327" s="52"/>
      <c r="O1327" s="1" t="n">
        <f aca="false">IF(M1327="Exclude (duplicate)",0,1)</f>
        <v>1</v>
      </c>
      <c r="P1327" s="1" t="str">
        <f aca="false">IF(AND(L1327&lt;&gt;"",M1327=""),"Needs decision","")</f>
        <v/>
      </c>
    </row>
    <row r="1328" customFormat="false" ht="15" hidden="false" customHeight="false" outlineLevel="0" collapsed="false">
      <c r="A1328" s="48" t="str">
        <f aca="false">COST!A1328</f>
        <v>WCH-0221</v>
      </c>
      <c r="B1328" s="48" t="str">
        <f aca="false">COST!B1328</f>
        <v>WCH</v>
      </c>
      <c r="C1328" s="48" t="str">
        <f aca="false">COST!D1328</f>
        <v>Mobile Health Screening Unit</v>
      </c>
      <c r="D1328" s="62" t="n">
        <f aca="false">COST!M1328</f>
        <v>46142</v>
      </c>
      <c r="E1328" s="48" t="str">
        <f aca="false">COST!P1328</f>
        <v>Medical Assistant</v>
      </c>
      <c r="F1328" s="63" t="n">
        <f aca="false">COST!R1328</f>
        <v>50.75</v>
      </c>
      <c r="G1328" s="48" t="str">
        <f aca="false">STACK!M1328</f>
        <v/>
      </c>
      <c r="H1328" s="1" t="str">
        <f aca="false">C1328&amp;"|"&amp;IF(ISNUMBER(D1328),TEXT(D1328,"yyyy-mm-dd"),"no date")&amp;"|"&amp;E1328&amp;"|"&amp;IF(ISNUMBER(F1328),TEXT(F1328,"0.00"),"blank")</f>
        <v>Mobile Health Screening Unit|2026-04-30|Medical Assistant|50.75</v>
      </c>
      <c r="I1328" s="1" t="n">
        <f aca="false">COUNTIF($H$5:$H$1624,H1328)</f>
        <v>1</v>
      </c>
      <c r="J1328" s="1" t="n">
        <f aca="false">COUNTIF($H$5:H1328,H1328)</f>
        <v>1</v>
      </c>
      <c r="K1328" s="1" t="n">
        <f aca="false">COUNTIFS($H$5:$H$1624,H1328,$B$5:$B$1624,"&lt;&gt;"&amp;B1328)</f>
        <v>0</v>
      </c>
      <c r="L1328" s="1" t="str">
        <f aca="false">IF(I1328&gt;1,IF(K1328&gt;0,"Cross-hospital match","Same-hospital match"),"")</f>
        <v/>
      </c>
      <c r="M1328" s="52"/>
      <c r="N1328" s="52"/>
      <c r="O1328" s="1" t="n">
        <f aca="false">IF(M1328="Exclude (duplicate)",0,1)</f>
        <v>1</v>
      </c>
      <c r="P1328" s="1" t="str">
        <f aca="false">IF(AND(L1328&lt;&gt;"",M1328=""),"Needs decision","")</f>
        <v/>
      </c>
    </row>
    <row r="1329" customFormat="false" ht="15" hidden="false" customHeight="false" outlineLevel="0" collapsed="false">
      <c r="A1329" s="48" t="str">
        <f aca="false">COST!A1329</f>
        <v>WCH-0222</v>
      </c>
      <c r="B1329" s="48" t="str">
        <f aca="false">COST!B1329</f>
        <v>WCH</v>
      </c>
      <c r="C1329" s="48" t="str">
        <f aca="false">COST!D1329</f>
        <v>Mobile Health Screening Unit</v>
      </c>
      <c r="D1329" s="62" t="n">
        <f aca="false">COST!M1329</f>
        <v>46142</v>
      </c>
      <c r="E1329" s="48" t="str">
        <f aca="false">COST!P1329</f>
        <v>Registered Nurse</v>
      </c>
      <c r="F1329" s="63" t="n">
        <f aca="false">COST!R1329</f>
        <v>54.5</v>
      </c>
      <c r="G1329" s="48" t="str">
        <f aca="false">STACK!M1329</f>
        <v/>
      </c>
      <c r="H1329" s="1" t="str">
        <f aca="false">C1329&amp;"|"&amp;IF(ISNUMBER(D1329),TEXT(D1329,"yyyy-mm-dd"),"no date")&amp;"|"&amp;E1329&amp;"|"&amp;IF(ISNUMBER(F1329),TEXT(F1329,"0.00"),"blank")</f>
        <v>Mobile Health Screening Unit|2026-04-30|Registered Nurse|54.50</v>
      </c>
      <c r="I1329" s="1" t="n">
        <f aca="false">COUNTIF($H$5:$H$1624,H1329)</f>
        <v>1</v>
      </c>
      <c r="J1329" s="1" t="n">
        <f aca="false">COUNTIF($H$5:H1329,H1329)</f>
        <v>1</v>
      </c>
      <c r="K1329" s="1" t="n">
        <f aca="false">COUNTIFS($H$5:$H$1624,H1329,$B$5:$B$1624,"&lt;&gt;"&amp;B1329)</f>
        <v>0</v>
      </c>
      <c r="L1329" s="1" t="str">
        <f aca="false">IF(I1329&gt;1,IF(K1329&gt;0,"Cross-hospital match","Same-hospital match"),"")</f>
        <v/>
      </c>
      <c r="M1329" s="52"/>
      <c r="N1329" s="52"/>
      <c r="O1329" s="1" t="n">
        <f aca="false">IF(M1329="Exclude (duplicate)",0,1)</f>
        <v>1</v>
      </c>
      <c r="P1329" s="1" t="str">
        <f aca="false">IF(AND(L1329&lt;&gt;"",M1329=""),"Needs decision","")</f>
        <v/>
      </c>
    </row>
    <row r="1330" customFormat="false" ht="15" hidden="false" customHeight="false" outlineLevel="0" collapsed="false">
      <c r="A1330" s="48" t="str">
        <f aca="false">COST!A1330</f>
        <v>WCH-0223</v>
      </c>
      <c r="B1330" s="48" t="str">
        <f aca="false">COST!B1330</f>
        <v>WCH</v>
      </c>
      <c r="C1330" s="48" t="str">
        <f aca="false">COST!D1330</f>
        <v>Community Health Worker Outreach</v>
      </c>
      <c r="D1330" s="62" t="n">
        <f aca="false">COST!M1330</f>
        <v>46142</v>
      </c>
      <c r="E1330" s="48" t="str">
        <f aca="false">COST!P1330</f>
        <v>Community Health Worker</v>
      </c>
      <c r="F1330" s="63" t="n">
        <f aca="false">COST!R1330</f>
        <v>231</v>
      </c>
      <c r="G1330" s="48" t="str">
        <f aca="false">STACK!M1330</f>
        <v/>
      </c>
      <c r="H1330" s="1" t="str">
        <f aca="false">C1330&amp;"|"&amp;IF(ISNUMBER(D1330),TEXT(D1330,"yyyy-mm-dd"),"no date")&amp;"|"&amp;E1330&amp;"|"&amp;IF(ISNUMBER(F1330),TEXT(F1330,"0.00"),"blank")</f>
        <v>Community Health Worker Outreach|2026-04-30|Community Health Worker|231.00</v>
      </c>
      <c r="I1330" s="1" t="n">
        <f aca="false">COUNTIF($H$5:$H$1624,H1330)</f>
        <v>1</v>
      </c>
      <c r="J1330" s="1" t="n">
        <f aca="false">COUNTIF($H$5:H1330,H1330)</f>
        <v>1</v>
      </c>
      <c r="K1330" s="1" t="n">
        <f aca="false">COUNTIFS($H$5:$H$1624,H1330,$B$5:$B$1624,"&lt;&gt;"&amp;B1330)</f>
        <v>0</v>
      </c>
      <c r="L1330" s="1" t="str">
        <f aca="false">IF(I1330&gt;1,IF(K1330&gt;0,"Cross-hospital match","Same-hospital match"),"")</f>
        <v/>
      </c>
      <c r="M1330" s="52"/>
      <c r="N1330" s="52"/>
      <c r="O1330" s="1" t="n">
        <f aca="false">IF(M1330="Exclude (duplicate)",0,1)</f>
        <v>1</v>
      </c>
      <c r="P1330" s="1" t="str">
        <f aca="false">IF(AND(L1330&lt;&gt;"",M1330=""),"Needs decision","")</f>
        <v/>
      </c>
    </row>
    <row r="1331" customFormat="false" ht="15" hidden="false" customHeight="false" outlineLevel="0" collapsed="false">
      <c r="A1331" s="48" t="str">
        <f aca="false">COST!A1331</f>
        <v>WCH-0224</v>
      </c>
      <c r="B1331" s="48" t="str">
        <f aca="false">COST!B1331</f>
        <v>WCH</v>
      </c>
      <c r="C1331" s="48" t="str">
        <f aca="false">COST!D1331</f>
        <v>Community Health Worker Outreach</v>
      </c>
      <c r="D1331" s="62" t="n">
        <f aca="false">COST!M1331</f>
        <v>46142</v>
      </c>
      <c r="E1331" s="48" t="str">
        <f aca="false">COST!P1331</f>
        <v>Patient Navigator</v>
      </c>
      <c r="F1331" s="63" t="n">
        <f aca="false">COST!R1331</f>
        <v>94.5</v>
      </c>
      <c r="G1331" s="48" t="str">
        <f aca="false">STACK!M1331</f>
        <v/>
      </c>
      <c r="H1331" s="1" t="str">
        <f aca="false">C1331&amp;"|"&amp;IF(ISNUMBER(D1331),TEXT(D1331,"yyyy-mm-dd"),"no date")&amp;"|"&amp;E1331&amp;"|"&amp;IF(ISNUMBER(F1331),TEXT(F1331,"0.00"),"blank")</f>
        <v>Community Health Worker Outreach|2026-04-30|Patient Navigator|94.50</v>
      </c>
      <c r="I1331" s="1" t="n">
        <f aca="false">COUNTIF($H$5:$H$1624,H1331)</f>
        <v>1</v>
      </c>
      <c r="J1331" s="1" t="n">
        <f aca="false">COUNTIF($H$5:H1331,H1331)</f>
        <v>1</v>
      </c>
      <c r="K1331" s="1" t="n">
        <f aca="false">COUNTIFS($H$5:$H$1624,H1331,$B$5:$B$1624,"&lt;&gt;"&amp;B1331)</f>
        <v>0</v>
      </c>
      <c r="L1331" s="1" t="str">
        <f aca="false">IF(I1331&gt;1,IF(K1331&gt;0,"Cross-hospital match","Same-hospital match"),"")</f>
        <v/>
      </c>
      <c r="M1331" s="52"/>
      <c r="N1331" s="52"/>
      <c r="O1331" s="1" t="n">
        <f aca="false">IF(M1331="Exclude (duplicate)",0,1)</f>
        <v>1</v>
      </c>
      <c r="P1331" s="1" t="str">
        <f aca="false">IF(AND(L1331&lt;&gt;"",M1331=""),"Needs decision","")</f>
        <v/>
      </c>
    </row>
    <row r="1332" customFormat="false" ht="15" hidden="false" customHeight="false" outlineLevel="0" collapsed="false">
      <c r="A1332" s="48" t="str">
        <f aca="false">COST!A1332</f>
        <v>WCH-0225</v>
      </c>
      <c r="B1332" s="48" t="str">
        <f aca="false">COST!B1332</f>
        <v>WCH</v>
      </c>
      <c r="C1332" s="48" t="str">
        <f aca="false">COST!D1332</f>
        <v>Produce Prescription Program</v>
      </c>
      <c r="D1332" s="62" t="n">
        <f aca="false">COST!M1332</f>
        <v>46142</v>
      </c>
      <c r="E1332" s="48" t="str">
        <f aca="false">COST!P1332</f>
        <v>Community Health Worker</v>
      </c>
      <c r="F1332" s="63" t="n">
        <f aca="false">COST!R1332</f>
        <v>37.5</v>
      </c>
      <c r="G1332" s="48" t="str">
        <f aca="false">STACK!M1332</f>
        <v/>
      </c>
      <c r="H1332" s="1" t="str">
        <f aca="false">C1332&amp;"|"&amp;IF(ISNUMBER(D1332),TEXT(D1332,"yyyy-mm-dd"),"no date")&amp;"|"&amp;E1332&amp;"|"&amp;IF(ISNUMBER(F1332),TEXT(F1332,"0.00"),"blank")</f>
        <v>Produce Prescription Program|2026-04-30|Community Health Worker|37.50</v>
      </c>
      <c r="I1332" s="1" t="n">
        <f aca="false">COUNTIF($H$5:$H$1624,H1332)</f>
        <v>1</v>
      </c>
      <c r="J1332" s="1" t="n">
        <f aca="false">COUNTIF($H$5:H1332,H1332)</f>
        <v>1</v>
      </c>
      <c r="K1332" s="1" t="n">
        <f aca="false">COUNTIFS($H$5:$H$1624,H1332,$B$5:$B$1624,"&lt;&gt;"&amp;B1332)</f>
        <v>0</v>
      </c>
      <c r="L1332" s="1" t="str">
        <f aca="false">IF(I1332&gt;1,IF(K1332&gt;0,"Cross-hospital match","Same-hospital match"),"")</f>
        <v/>
      </c>
      <c r="M1332" s="52"/>
      <c r="N1332" s="52"/>
      <c r="O1332" s="1" t="n">
        <f aca="false">IF(M1332="Exclude (duplicate)",0,1)</f>
        <v>1</v>
      </c>
      <c r="P1332" s="1" t="str">
        <f aca="false">IF(AND(L1332&lt;&gt;"",M1332=""),"Needs decision","")</f>
        <v/>
      </c>
    </row>
    <row r="1333" customFormat="false" ht="15" hidden="false" customHeight="false" outlineLevel="0" collapsed="false">
      <c r="A1333" s="48" t="str">
        <f aca="false">COST!A1333</f>
        <v>WCH-0226</v>
      </c>
      <c r="B1333" s="48" t="str">
        <f aca="false">COST!B1333</f>
        <v>WCH</v>
      </c>
      <c r="C1333" s="48" t="str">
        <f aca="false">COST!D1333</f>
        <v>Produce Prescription Program</v>
      </c>
      <c r="D1333" s="62" t="n">
        <f aca="false">COST!M1333</f>
        <v>46142</v>
      </c>
      <c r="E1333" s="48" t="str">
        <f aca="false">COST!P1333</f>
        <v>Registered Dietitian</v>
      </c>
      <c r="F1333" s="63" t="n">
        <f aca="false">COST!R1333</f>
        <v>20.25</v>
      </c>
      <c r="G1333" s="48" t="str">
        <f aca="false">STACK!M1333</f>
        <v/>
      </c>
      <c r="H1333" s="1" t="str">
        <f aca="false">C1333&amp;"|"&amp;IF(ISNUMBER(D1333),TEXT(D1333,"yyyy-mm-dd"),"no date")&amp;"|"&amp;E1333&amp;"|"&amp;IF(ISNUMBER(F1333),TEXT(F1333,"0.00"),"blank")</f>
        <v>Produce Prescription Program|2026-04-30|Registered Dietitian|20.25</v>
      </c>
      <c r="I1333" s="1" t="n">
        <f aca="false">COUNTIF($H$5:$H$1624,H1333)</f>
        <v>1</v>
      </c>
      <c r="J1333" s="1" t="n">
        <f aca="false">COUNTIF($H$5:H1333,H1333)</f>
        <v>1</v>
      </c>
      <c r="K1333" s="1" t="n">
        <f aca="false">COUNTIFS($H$5:$H$1624,H1333,$B$5:$B$1624,"&lt;&gt;"&amp;B1333)</f>
        <v>0</v>
      </c>
      <c r="L1333" s="1" t="str">
        <f aca="false">IF(I1333&gt;1,IF(K1333&gt;0,"Cross-hospital match","Same-hospital match"),"")</f>
        <v/>
      </c>
      <c r="M1333" s="52"/>
      <c r="N1333" s="52"/>
      <c r="O1333" s="1" t="n">
        <f aca="false">IF(M1333="Exclude (duplicate)",0,1)</f>
        <v>1</v>
      </c>
      <c r="P1333" s="1" t="str">
        <f aca="false">IF(AND(L1333&lt;&gt;"",M1333=""),"Needs decision","")</f>
        <v/>
      </c>
    </row>
    <row r="1334" customFormat="false" ht="15" hidden="false" customHeight="false" outlineLevel="0" collapsed="false">
      <c r="A1334" s="48" t="str">
        <f aca="false">COST!A1334</f>
        <v>WCH-0227</v>
      </c>
      <c r="B1334" s="48" t="str">
        <f aca="false">COST!B1334</f>
        <v>WCH</v>
      </c>
      <c r="C1334" s="48" t="str">
        <f aca="false">COST!D1334</f>
        <v>Community Benefit Program Administration</v>
      </c>
      <c r="D1334" s="62" t="n">
        <f aca="false">COST!M1334</f>
        <v>46142</v>
      </c>
      <c r="E1334" s="48" t="str">
        <f aca="false">COST!P1334</f>
        <v>Administrative Assistant</v>
      </c>
      <c r="F1334" s="63" t="n">
        <f aca="false">COST!R1334</f>
        <v>21.25</v>
      </c>
      <c r="G1334" s="48" t="str">
        <f aca="false">STACK!M1334</f>
        <v/>
      </c>
      <c r="H1334" s="1" t="str">
        <f aca="false">C1334&amp;"|"&amp;IF(ISNUMBER(D1334),TEXT(D1334,"yyyy-mm-dd"),"no date")&amp;"|"&amp;E1334&amp;"|"&amp;IF(ISNUMBER(F1334),TEXT(F1334,"0.00"),"blank")</f>
        <v>Community Benefit Program Administration|2026-04-30|Administrative Assistant|21.25</v>
      </c>
      <c r="I1334" s="1" t="n">
        <f aca="false">COUNTIF($H$5:$H$1624,H1334)</f>
        <v>1</v>
      </c>
      <c r="J1334" s="1" t="n">
        <f aca="false">COUNTIF($H$5:H1334,H1334)</f>
        <v>1</v>
      </c>
      <c r="K1334" s="1" t="n">
        <f aca="false">COUNTIFS($H$5:$H$1624,H1334,$B$5:$B$1624,"&lt;&gt;"&amp;B1334)</f>
        <v>0</v>
      </c>
      <c r="L1334" s="1" t="str">
        <f aca="false">IF(I1334&gt;1,IF(K1334&gt;0,"Cross-hospital match","Same-hospital match"),"")</f>
        <v/>
      </c>
      <c r="M1334" s="52"/>
      <c r="N1334" s="52"/>
      <c r="O1334" s="1" t="n">
        <f aca="false">IF(M1334="Exclude (duplicate)",0,1)</f>
        <v>1</v>
      </c>
      <c r="P1334" s="1" t="str">
        <f aca="false">IF(AND(L1334&lt;&gt;"",M1334=""),"Needs decision","")</f>
        <v/>
      </c>
    </row>
    <row r="1335" customFormat="false" ht="15" hidden="false" customHeight="false" outlineLevel="0" collapsed="false">
      <c r="A1335" s="48" t="str">
        <f aca="false">COST!A1335</f>
        <v>WCH-0228</v>
      </c>
      <c r="B1335" s="48" t="str">
        <f aca="false">COST!B1335</f>
        <v>WCH</v>
      </c>
      <c r="C1335" s="48" t="str">
        <f aca="false">COST!D1335</f>
        <v>Community Benefit Program Administration</v>
      </c>
      <c r="D1335" s="62" t="n">
        <f aca="false">COST!M1335</f>
        <v>46142</v>
      </c>
      <c r="E1335" s="48" t="str">
        <f aca="false">COST!P1335</f>
        <v>Community Benefit Manager</v>
      </c>
      <c r="F1335" s="63" t="n">
        <f aca="false">COST!R1335</f>
        <v>41</v>
      </c>
      <c r="G1335" s="48" t="str">
        <f aca="false">STACK!M1335</f>
        <v/>
      </c>
      <c r="H1335" s="1" t="str">
        <f aca="false">C1335&amp;"|"&amp;IF(ISNUMBER(D1335),TEXT(D1335,"yyyy-mm-dd"),"no date")&amp;"|"&amp;E1335&amp;"|"&amp;IF(ISNUMBER(F1335),TEXT(F1335,"0.00"),"blank")</f>
        <v>Community Benefit Program Administration|2026-04-30|Community Benefit Manager|41.00</v>
      </c>
      <c r="I1335" s="1" t="n">
        <f aca="false">COUNTIF($H$5:$H$1624,H1335)</f>
        <v>1</v>
      </c>
      <c r="J1335" s="1" t="n">
        <f aca="false">COUNTIF($H$5:H1335,H1335)</f>
        <v>1</v>
      </c>
      <c r="K1335" s="1" t="n">
        <f aca="false">COUNTIFS($H$5:$H$1624,H1335,$B$5:$B$1624,"&lt;&gt;"&amp;B1335)</f>
        <v>0</v>
      </c>
      <c r="L1335" s="1" t="str">
        <f aca="false">IF(I1335&gt;1,IF(K1335&gt;0,"Cross-hospital match","Same-hospital match"),"")</f>
        <v/>
      </c>
      <c r="M1335" s="52"/>
      <c r="N1335" s="52"/>
      <c r="O1335" s="1" t="n">
        <f aca="false">IF(M1335="Exclude (duplicate)",0,1)</f>
        <v>1</v>
      </c>
      <c r="P1335" s="1" t="str">
        <f aca="false">IF(AND(L1335&lt;&gt;"",M1335=""),"Needs decision","")</f>
        <v/>
      </c>
    </row>
    <row r="1336" customFormat="false" ht="15" hidden="false" customHeight="false" outlineLevel="0" collapsed="false">
      <c r="A1336" s="48" t="str">
        <f aca="false">COST!A1336</f>
        <v>WCH-0229</v>
      </c>
      <c r="B1336" s="48" t="str">
        <f aca="false">COST!B1336</f>
        <v>WCH</v>
      </c>
      <c r="C1336" s="48" t="str">
        <f aca="false">COST!D1336</f>
        <v>Community Paramedic Home Visits</v>
      </c>
      <c r="D1336" s="62" t="n">
        <f aca="false">COST!M1336</f>
        <v>46142</v>
      </c>
      <c r="E1336" s="48" t="str">
        <f aca="false">COST!P1336</f>
        <v>Paramedic</v>
      </c>
      <c r="F1336" s="63" t="n">
        <f aca="false">COST!R1336</f>
        <v>62.25</v>
      </c>
      <c r="G1336" s="48" t="str">
        <f aca="false">STACK!M1336</f>
        <v/>
      </c>
      <c r="H1336" s="1" t="str">
        <f aca="false">C1336&amp;"|"&amp;IF(ISNUMBER(D1336),TEXT(D1336,"yyyy-mm-dd"),"no date")&amp;"|"&amp;E1336&amp;"|"&amp;IF(ISNUMBER(F1336),TEXT(F1336,"0.00"),"blank")</f>
        <v>Community Paramedic Home Visits|2026-04-30|Paramedic|62.25</v>
      </c>
      <c r="I1336" s="1" t="n">
        <f aca="false">COUNTIF($H$5:$H$1624,H1336)</f>
        <v>1</v>
      </c>
      <c r="J1336" s="1" t="n">
        <f aca="false">COUNTIF($H$5:H1336,H1336)</f>
        <v>1</v>
      </c>
      <c r="K1336" s="1" t="n">
        <f aca="false">COUNTIFS($H$5:$H$1624,H1336,$B$5:$B$1624,"&lt;&gt;"&amp;B1336)</f>
        <v>0</v>
      </c>
      <c r="L1336" s="1" t="str">
        <f aca="false">IF(I1336&gt;1,IF(K1336&gt;0,"Cross-hospital match","Same-hospital match"),"")</f>
        <v/>
      </c>
      <c r="M1336" s="52"/>
      <c r="N1336" s="52"/>
      <c r="O1336" s="1" t="n">
        <f aca="false">IF(M1336="Exclude (duplicate)",0,1)</f>
        <v>1</v>
      </c>
      <c r="P1336" s="1" t="str">
        <f aca="false">IF(AND(L1336&lt;&gt;"",M1336=""),"Needs decision","")</f>
        <v/>
      </c>
    </row>
    <row r="1337" customFormat="false" ht="15" hidden="false" customHeight="false" outlineLevel="0" collapsed="false">
      <c r="A1337" s="48" t="str">
        <f aca="false">COST!A1337</f>
        <v>WCH-0230</v>
      </c>
      <c r="B1337" s="48" t="str">
        <f aca="false">COST!B1337</f>
        <v>WCH</v>
      </c>
      <c r="C1337" s="48" t="str">
        <f aca="false">COST!D1337</f>
        <v>Nursing Student Clinical Rotations</v>
      </c>
      <c r="D1337" s="62" t="n">
        <f aca="false">COST!M1337</f>
        <v>46142</v>
      </c>
      <c r="E1337" s="48" t="str">
        <f aca="false">COST!P1337</f>
        <v>Clinical Nurse Educator</v>
      </c>
      <c r="F1337" s="63" t="n">
        <f aca="false">COST!R1337</f>
        <v>104</v>
      </c>
      <c r="G1337" s="48" t="str">
        <f aca="false">STACK!M1337</f>
        <v/>
      </c>
      <c r="H1337" s="1" t="str">
        <f aca="false">C1337&amp;"|"&amp;IF(ISNUMBER(D1337),TEXT(D1337,"yyyy-mm-dd"),"no date")&amp;"|"&amp;E1337&amp;"|"&amp;IF(ISNUMBER(F1337),TEXT(F1337,"0.00"),"blank")</f>
        <v>Nursing Student Clinical Rotations|2026-04-30|Clinical Nurse Educator|104.00</v>
      </c>
      <c r="I1337" s="1" t="n">
        <f aca="false">COUNTIF($H$5:$H$1624,H1337)</f>
        <v>1</v>
      </c>
      <c r="J1337" s="1" t="n">
        <f aca="false">COUNTIF($H$5:H1337,H1337)</f>
        <v>1</v>
      </c>
      <c r="K1337" s="1" t="n">
        <f aca="false">COUNTIFS($H$5:$H$1624,H1337,$B$5:$B$1624,"&lt;&gt;"&amp;B1337)</f>
        <v>0</v>
      </c>
      <c r="L1337" s="1" t="str">
        <f aca="false">IF(I1337&gt;1,IF(K1337&gt;0,"Cross-hospital match","Same-hospital match"),"")</f>
        <v/>
      </c>
      <c r="M1337" s="52"/>
      <c r="N1337" s="52"/>
      <c r="O1337" s="1" t="n">
        <f aca="false">IF(M1337="Exclude (duplicate)",0,1)</f>
        <v>1</v>
      </c>
      <c r="P1337" s="1" t="str">
        <f aca="false">IF(AND(L1337&lt;&gt;"",M1337=""),"Needs decision","")</f>
        <v/>
      </c>
    </row>
    <row r="1338" customFormat="false" ht="15" hidden="false" customHeight="false" outlineLevel="0" collapsed="false">
      <c r="A1338" s="48" t="str">
        <f aca="false">COST!A1338</f>
        <v>WCH-0231</v>
      </c>
      <c r="B1338" s="48" t="str">
        <f aca="false">COST!B1338</f>
        <v>WCH</v>
      </c>
      <c r="C1338" s="48" t="str">
        <f aca="false">COST!D1338</f>
        <v>Nursing Student Clinical Rotations</v>
      </c>
      <c r="D1338" s="62" t="n">
        <f aca="false">COST!M1338</f>
        <v>46142</v>
      </c>
      <c r="E1338" s="48" t="str">
        <f aca="false">COST!P1338</f>
        <v>Registered Nurse</v>
      </c>
      <c r="F1338" s="63" t="n">
        <f aca="false">COST!R1338</f>
        <v>165.25</v>
      </c>
      <c r="G1338" s="48" t="str">
        <f aca="false">STACK!M1338</f>
        <v/>
      </c>
      <c r="H1338" s="1" t="str">
        <f aca="false">C1338&amp;"|"&amp;IF(ISNUMBER(D1338),TEXT(D1338,"yyyy-mm-dd"),"no date")&amp;"|"&amp;E1338&amp;"|"&amp;IF(ISNUMBER(F1338),TEXT(F1338,"0.00"),"blank")</f>
        <v>Nursing Student Clinical Rotations|2026-04-30|Registered Nurse|165.25</v>
      </c>
      <c r="I1338" s="1" t="n">
        <f aca="false">COUNTIF($H$5:$H$1624,H1338)</f>
        <v>1</v>
      </c>
      <c r="J1338" s="1" t="n">
        <f aca="false">COUNTIF($H$5:H1338,H1338)</f>
        <v>1</v>
      </c>
      <c r="K1338" s="1" t="n">
        <f aca="false">COUNTIFS($H$5:$H$1624,H1338,$B$5:$B$1624,"&lt;&gt;"&amp;B1338)</f>
        <v>0</v>
      </c>
      <c r="L1338" s="1" t="str">
        <f aca="false">IF(I1338&gt;1,IF(K1338&gt;0,"Cross-hospital match","Same-hospital match"),"")</f>
        <v/>
      </c>
      <c r="M1338" s="52"/>
      <c r="N1338" s="52"/>
      <c r="O1338" s="1" t="n">
        <f aca="false">IF(M1338="Exclude (duplicate)",0,1)</f>
        <v>1</v>
      </c>
      <c r="P1338" s="1" t="str">
        <f aca="false">IF(AND(L1338&lt;&gt;"",M1338=""),"Needs decision","")</f>
        <v/>
      </c>
    </row>
    <row r="1339" customFormat="false" ht="15" hidden="false" customHeight="false" outlineLevel="0" collapsed="false">
      <c r="A1339" s="48" t="str">
        <f aca="false">COST!A1339</f>
        <v>WCH-0232</v>
      </c>
      <c r="B1339" s="48" t="str">
        <f aca="false">COST!B1339</f>
        <v>WCH</v>
      </c>
      <c r="C1339" s="48" t="str">
        <f aca="false">COST!D1339</f>
        <v>Paramedic Student Field Training</v>
      </c>
      <c r="D1339" s="62" t="n">
        <f aca="false">COST!M1339</f>
        <v>46142</v>
      </c>
      <c r="E1339" s="48" t="str">
        <f aca="false">COST!P1339</f>
        <v>Paramedic</v>
      </c>
      <c r="F1339" s="63" t="n">
        <f aca="false">COST!R1339</f>
        <v>62.25</v>
      </c>
      <c r="G1339" s="48" t="str">
        <f aca="false">STACK!M1339</f>
        <v/>
      </c>
      <c r="H1339" s="1" t="str">
        <f aca="false">C1339&amp;"|"&amp;IF(ISNUMBER(D1339),TEXT(D1339,"yyyy-mm-dd"),"no date")&amp;"|"&amp;E1339&amp;"|"&amp;IF(ISNUMBER(F1339),TEXT(F1339,"0.00"),"blank")</f>
        <v>Paramedic Student Field Training|2026-04-30|Paramedic|62.25</v>
      </c>
      <c r="I1339" s="1" t="n">
        <f aca="false">COUNTIF($H$5:$H$1624,H1339)</f>
        <v>1</v>
      </c>
      <c r="J1339" s="1" t="n">
        <f aca="false">COUNTIF($H$5:H1339,H1339)</f>
        <v>1</v>
      </c>
      <c r="K1339" s="1" t="n">
        <f aca="false">COUNTIFS($H$5:$H$1624,H1339,$B$5:$B$1624,"&lt;&gt;"&amp;B1339)</f>
        <v>0</v>
      </c>
      <c r="L1339" s="1" t="str">
        <f aca="false">IF(I1339&gt;1,IF(K1339&gt;0,"Cross-hospital match","Same-hospital match"),"")</f>
        <v/>
      </c>
      <c r="M1339" s="52"/>
      <c r="N1339" s="52"/>
      <c r="O1339" s="1" t="n">
        <f aca="false">IF(M1339="Exclude (duplicate)",0,1)</f>
        <v>1</v>
      </c>
      <c r="P1339" s="1" t="str">
        <f aca="false">IF(AND(L1339&lt;&gt;"",M1339=""),"Needs decision","")</f>
        <v/>
      </c>
    </row>
    <row r="1340" customFormat="false" ht="15" hidden="false" customHeight="false" outlineLevel="0" collapsed="false">
      <c r="A1340" s="48" t="str">
        <f aca="false">COST!A1340</f>
        <v>WCH-0233</v>
      </c>
      <c r="B1340" s="48" t="str">
        <f aca="false">COST!B1340</f>
        <v>WCH</v>
      </c>
      <c r="C1340" s="48" t="str">
        <f aca="false">COST!D1340</f>
        <v>Rural Maternal Outcomes Study</v>
      </c>
      <c r="D1340" s="62" t="n">
        <f aca="false">COST!M1340</f>
        <v>46142</v>
      </c>
      <c r="E1340" s="48" t="str">
        <f aca="false">COST!P1340</f>
        <v>Data Analyst</v>
      </c>
      <c r="F1340" s="63" t="n">
        <f aca="false">COST!R1340</f>
        <v>11.25</v>
      </c>
      <c r="G1340" s="48" t="str">
        <f aca="false">STACK!M1340</f>
        <v/>
      </c>
      <c r="H1340" s="1" t="str">
        <f aca="false">C1340&amp;"|"&amp;IF(ISNUMBER(D1340),TEXT(D1340,"yyyy-mm-dd"),"no date")&amp;"|"&amp;E1340&amp;"|"&amp;IF(ISNUMBER(F1340),TEXT(F1340,"0.00"),"blank")</f>
        <v>Rural Maternal Outcomes Study|2026-04-30|Data Analyst|11.25</v>
      </c>
      <c r="I1340" s="1" t="n">
        <f aca="false">COUNTIF($H$5:$H$1624,H1340)</f>
        <v>1</v>
      </c>
      <c r="J1340" s="1" t="n">
        <f aca="false">COUNTIF($H$5:H1340,H1340)</f>
        <v>1</v>
      </c>
      <c r="K1340" s="1" t="n">
        <f aca="false">COUNTIFS($H$5:$H$1624,H1340,$B$5:$B$1624,"&lt;&gt;"&amp;B1340)</f>
        <v>0</v>
      </c>
      <c r="L1340" s="1" t="str">
        <f aca="false">IF(I1340&gt;1,IF(K1340&gt;0,"Cross-hospital match","Same-hospital match"),"")</f>
        <v/>
      </c>
      <c r="M1340" s="52"/>
      <c r="N1340" s="52"/>
      <c r="O1340" s="1" t="n">
        <f aca="false">IF(M1340="Exclude (duplicate)",0,1)</f>
        <v>1</v>
      </c>
      <c r="P1340" s="1" t="str">
        <f aca="false">IF(AND(L1340&lt;&gt;"",M1340=""),"Needs decision","")</f>
        <v/>
      </c>
    </row>
    <row r="1341" customFormat="false" ht="15" hidden="false" customHeight="false" outlineLevel="0" collapsed="false">
      <c r="A1341" s="48" t="str">
        <f aca="false">COST!A1341</f>
        <v>WCH-0234</v>
      </c>
      <c r="B1341" s="48" t="str">
        <f aca="false">COST!B1341</f>
        <v>WCH</v>
      </c>
      <c r="C1341" s="48" t="str">
        <f aca="false">COST!D1341</f>
        <v>Rural Maternal Outcomes Study</v>
      </c>
      <c r="D1341" s="62" t="n">
        <f aca="false">COST!M1341</f>
        <v>46142</v>
      </c>
      <c r="E1341" s="48" t="str">
        <f aca="false">COST!P1341</f>
        <v>Research Coordinator</v>
      </c>
      <c r="F1341" s="63" t="n">
        <f aca="false">COST!R1341</f>
        <v>41.75</v>
      </c>
      <c r="G1341" s="48" t="str">
        <f aca="false">STACK!M1341</f>
        <v/>
      </c>
      <c r="H1341" s="1" t="str">
        <f aca="false">C1341&amp;"|"&amp;IF(ISNUMBER(D1341),TEXT(D1341,"yyyy-mm-dd"),"no date")&amp;"|"&amp;E1341&amp;"|"&amp;IF(ISNUMBER(F1341),TEXT(F1341,"0.00"),"blank")</f>
        <v>Rural Maternal Outcomes Study|2026-04-30|Research Coordinator|41.75</v>
      </c>
      <c r="I1341" s="1" t="n">
        <f aca="false">COUNTIF($H$5:$H$1624,H1341)</f>
        <v>1</v>
      </c>
      <c r="J1341" s="1" t="n">
        <f aca="false">COUNTIF($H$5:H1341,H1341)</f>
        <v>1</v>
      </c>
      <c r="K1341" s="1" t="n">
        <f aca="false">COUNTIFS($H$5:$H$1624,H1341,$B$5:$B$1624,"&lt;&gt;"&amp;B1341)</f>
        <v>0</v>
      </c>
      <c r="L1341" s="1" t="str">
        <f aca="false">IF(I1341&gt;1,IF(K1341&gt;0,"Cross-hospital match","Same-hospital match"),"")</f>
        <v/>
      </c>
      <c r="M1341" s="52"/>
      <c r="N1341" s="52"/>
      <c r="O1341" s="1" t="n">
        <f aca="false">IF(M1341="Exclude (duplicate)",0,1)</f>
        <v>1</v>
      </c>
      <c r="P1341" s="1" t="str">
        <f aca="false">IF(AND(L1341&lt;&gt;"",M1341=""),"Needs decision","")</f>
        <v/>
      </c>
    </row>
    <row r="1342" customFormat="false" ht="15" hidden="false" customHeight="false" outlineLevel="0" collapsed="false">
      <c r="A1342" s="48" t="str">
        <f aca="false">COST!A1342</f>
        <v>WCH-0235</v>
      </c>
      <c r="B1342" s="48" t="str">
        <f aca="false">COST!B1342</f>
        <v>WCH</v>
      </c>
      <c r="C1342" s="48" t="str">
        <f aca="false">COST!D1342</f>
        <v>Youth Health Careers Pathway</v>
      </c>
      <c r="D1342" s="62" t="n">
        <f aca="false">COST!M1342</f>
        <v>46158</v>
      </c>
      <c r="E1342" s="48" t="str">
        <f aca="false">COST!P1342</f>
        <v>Clinical Nurse Educator</v>
      </c>
      <c r="F1342" s="63" t="n">
        <f aca="false">COST!R1342</f>
        <v>3.75</v>
      </c>
      <c r="G1342" s="48" t="str">
        <f aca="false">STACK!M1342</f>
        <v/>
      </c>
      <c r="H1342" s="1" t="str">
        <f aca="false">C1342&amp;"|"&amp;IF(ISNUMBER(D1342),TEXT(D1342,"yyyy-mm-dd"),"no date")&amp;"|"&amp;E1342&amp;"|"&amp;IF(ISNUMBER(F1342),TEXT(F1342,"0.00"),"blank")</f>
        <v>Youth Health Careers Pathway|2026-05-16|Clinical Nurse Educator|3.75</v>
      </c>
      <c r="I1342" s="1" t="n">
        <f aca="false">COUNTIF($H$5:$H$1624,H1342)</f>
        <v>1</v>
      </c>
      <c r="J1342" s="1" t="n">
        <f aca="false">COUNTIF($H$5:H1342,H1342)</f>
        <v>1</v>
      </c>
      <c r="K1342" s="1" t="n">
        <f aca="false">COUNTIFS($H$5:$H$1624,H1342,$B$5:$B$1624,"&lt;&gt;"&amp;B1342)</f>
        <v>0</v>
      </c>
      <c r="L1342" s="1" t="str">
        <f aca="false">IF(I1342&gt;1,IF(K1342&gt;0,"Cross-hospital match","Same-hospital match"),"")</f>
        <v/>
      </c>
      <c r="M1342" s="52"/>
      <c r="N1342" s="52"/>
      <c r="O1342" s="1" t="n">
        <f aca="false">IF(M1342="Exclude (duplicate)",0,1)</f>
        <v>1</v>
      </c>
      <c r="P1342" s="1" t="str">
        <f aca="false">IF(AND(L1342&lt;&gt;"",M1342=""),"Needs decision","")</f>
        <v/>
      </c>
    </row>
    <row r="1343" customFormat="false" ht="15" hidden="false" customHeight="false" outlineLevel="0" collapsed="false">
      <c r="A1343" s="48" t="str">
        <f aca="false">COST!A1343</f>
        <v>WCH-0236</v>
      </c>
      <c r="B1343" s="48" t="str">
        <f aca="false">COST!B1343</f>
        <v>WCH</v>
      </c>
      <c r="C1343" s="48" t="str">
        <f aca="false">COST!D1343</f>
        <v>Youth Health Careers Pathway</v>
      </c>
      <c r="D1343" s="62" t="n">
        <f aca="false">COST!M1343</f>
        <v>46158</v>
      </c>
      <c r="E1343" s="48" t="str">
        <f aca="false">COST!P1343</f>
        <v>Program Coordinator</v>
      </c>
      <c r="F1343" s="63" t="n">
        <f aca="false">COST!R1343</f>
        <v>7.25</v>
      </c>
      <c r="G1343" s="48" t="str">
        <f aca="false">STACK!M1343</f>
        <v/>
      </c>
      <c r="H1343" s="1" t="str">
        <f aca="false">C1343&amp;"|"&amp;IF(ISNUMBER(D1343),TEXT(D1343,"yyyy-mm-dd"),"no date")&amp;"|"&amp;E1343&amp;"|"&amp;IF(ISNUMBER(F1343),TEXT(F1343,"0.00"),"blank")</f>
        <v>Youth Health Careers Pathway|2026-05-16|Program Coordinator|7.25</v>
      </c>
      <c r="I1343" s="1" t="n">
        <f aca="false">COUNTIF($H$5:$H$1624,H1343)</f>
        <v>1</v>
      </c>
      <c r="J1343" s="1" t="n">
        <f aca="false">COUNTIF($H$5:H1343,H1343)</f>
        <v>1</v>
      </c>
      <c r="K1343" s="1" t="n">
        <f aca="false">COUNTIFS($H$5:$H$1624,H1343,$B$5:$B$1624,"&lt;&gt;"&amp;B1343)</f>
        <v>0</v>
      </c>
      <c r="L1343" s="1" t="str">
        <f aca="false">IF(I1343&gt;1,IF(K1343&gt;0,"Cross-hospital match","Same-hospital match"),"")</f>
        <v/>
      </c>
      <c r="M1343" s="52"/>
      <c r="N1343" s="52"/>
      <c r="O1343" s="1" t="n">
        <f aca="false">IF(M1343="Exclude (duplicate)",0,1)</f>
        <v>1</v>
      </c>
      <c r="P1343" s="1" t="str">
        <f aca="false">IF(AND(L1343&lt;&gt;"",M1343=""),"Needs decision","")</f>
        <v/>
      </c>
    </row>
    <row r="1344" customFormat="false" ht="15" hidden="false" customHeight="false" outlineLevel="0" collapsed="false">
      <c r="A1344" s="48" t="str">
        <f aca="false">COST!A1344</f>
        <v>WCH-0237</v>
      </c>
      <c r="B1344" s="48" t="str">
        <f aca="false">COST!B1344</f>
        <v>WCH</v>
      </c>
      <c r="C1344" s="48" t="str">
        <f aca="false">COST!D1344</f>
        <v>Naloxone Training and Distribution</v>
      </c>
      <c r="D1344" s="62" t="n">
        <f aca="false">COST!M1344</f>
        <v>46165</v>
      </c>
      <c r="E1344" s="48" t="str">
        <f aca="false">COST!P1344</f>
        <v>Health Educator</v>
      </c>
      <c r="F1344" s="63" t="n">
        <f aca="false">COST!R1344</f>
        <v>2.25</v>
      </c>
      <c r="G1344" s="48" t="str">
        <f aca="false">STACK!M1344</f>
        <v/>
      </c>
      <c r="H1344" s="1" t="str">
        <f aca="false">C1344&amp;"|"&amp;IF(ISNUMBER(D1344),TEXT(D1344,"yyyy-mm-dd"),"no date")&amp;"|"&amp;E1344&amp;"|"&amp;IF(ISNUMBER(F1344),TEXT(F1344,"0.00"),"blank")</f>
        <v>Naloxone Training and Distribution|2026-05-23|Health Educator|2.25</v>
      </c>
      <c r="I1344" s="1" t="n">
        <f aca="false">COUNTIF($H$5:$H$1624,H1344)</f>
        <v>1</v>
      </c>
      <c r="J1344" s="1" t="n">
        <f aca="false">COUNTIF($H$5:H1344,H1344)</f>
        <v>1</v>
      </c>
      <c r="K1344" s="1" t="n">
        <f aca="false">COUNTIFS($H$5:$H$1624,H1344,$B$5:$B$1624,"&lt;&gt;"&amp;B1344)</f>
        <v>0</v>
      </c>
      <c r="L1344" s="1" t="str">
        <f aca="false">IF(I1344&gt;1,IF(K1344&gt;0,"Cross-hospital match","Same-hospital match"),"")</f>
        <v/>
      </c>
      <c r="M1344" s="52"/>
      <c r="N1344" s="52"/>
      <c r="O1344" s="1" t="n">
        <f aca="false">IF(M1344="Exclude (duplicate)",0,1)</f>
        <v>1</v>
      </c>
      <c r="P1344" s="1" t="str">
        <f aca="false">IF(AND(L1344&lt;&gt;"",M1344=""),"Needs decision","")</f>
        <v/>
      </c>
    </row>
    <row r="1345" customFormat="false" ht="15" hidden="false" customHeight="false" outlineLevel="0" collapsed="false">
      <c r="A1345" s="48" t="str">
        <f aca="false">COST!A1345</f>
        <v>WCH-0238</v>
      </c>
      <c r="B1345" s="48" t="str">
        <f aca="false">COST!B1345</f>
        <v>WCH</v>
      </c>
      <c r="C1345" s="48" t="str">
        <f aca="false">COST!D1345</f>
        <v>Naloxone Training and Distribution</v>
      </c>
      <c r="D1345" s="62" t="n">
        <f aca="false">COST!M1345</f>
        <v>46165</v>
      </c>
      <c r="E1345" s="48" t="str">
        <f aca="false">COST!P1345</f>
        <v>Pharmacist</v>
      </c>
      <c r="F1345" s="63" t="n">
        <f aca="false">COST!R1345</f>
        <v>2.5</v>
      </c>
      <c r="G1345" s="48" t="str">
        <f aca="false">STACK!M1345</f>
        <v/>
      </c>
      <c r="H1345" s="1" t="str">
        <f aca="false">C1345&amp;"|"&amp;IF(ISNUMBER(D1345),TEXT(D1345,"yyyy-mm-dd"),"no date")&amp;"|"&amp;E1345&amp;"|"&amp;IF(ISNUMBER(F1345),TEXT(F1345,"0.00"),"blank")</f>
        <v>Naloxone Training and Distribution|2026-05-23|Pharmacist|2.50</v>
      </c>
      <c r="I1345" s="1" t="n">
        <f aca="false">COUNTIF($H$5:$H$1624,H1345)</f>
        <v>1</v>
      </c>
      <c r="J1345" s="1" t="n">
        <f aca="false">COUNTIF($H$5:H1345,H1345)</f>
        <v>1</v>
      </c>
      <c r="K1345" s="1" t="n">
        <f aca="false">COUNTIFS($H$5:$H$1624,H1345,$B$5:$B$1624,"&lt;&gt;"&amp;B1345)</f>
        <v>0</v>
      </c>
      <c r="L1345" s="1" t="str">
        <f aca="false">IF(I1345&gt;1,IF(K1345&gt;0,"Cross-hospital match","Same-hospital match"),"")</f>
        <v/>
      </c>
      <c r="M1345" s="52"/>
      <c r="N1345" s="52"/>
      <c r="O1345" s="1" t="n">
        <f aca="false">IF(M1345="Exclude (duplicate)",0,1)</f>
        <v>1</v>
      </c>
      <c r="P1345" s="1" t="str">
        <f aca="false">IF(AND(L1345&lt;&gt;"",M1345=""),"Needs decision","")</f>
        <v/>
      </c>
    </row>
    <row r="1346" customFormat="false" ht="15" hidden="false" customHeight="false" outlineLevel="0" collapsed="false">
      <c r="A1346" s="48" t="str">
        <f aca="false">COST!A1346</f>
        <v>WCH-0239</v>
      </c>
      <c r="B1346" s="48" t="str">
        <f aca="false">COST!B1346</f>
        <v>WCH</v>
      </c>
      <c r="C1346" s="48" t="str">
        <f aca="false">COST!D1346</f>
        <v>Grief Support Group</v>
      </c>
      <c r="D1346" s="62" t="n">
        <f aca="false">COST!M1346</f>
        <v>46168</v>
      </c>
      <c r="E1346" s="48" t="str">
        <f aca="false">COST!P1346</f>
        <v>Chaplain</v>
      </c>
      <c r="F1346" s="63" t="n">
        <f aca="false">COST!R1346</f>
        <v>2.25</v>
      </c>
      <c r="G1346" s="48" t="str">
        <f aca="false">STACK!M1346</f>
        <v/>
      </c>
      <c r="H1346" s="1" t="str">
        <f aca="false">C1346&amp;"|"&amp;IF(ISNUMBER(D1346),TEXT(D1346,"yyyy-mm-dd"),"no date")&amp;"|"&amp;E1346&amp;"|"&amp;IF(ISNUMBER(F1346),TEXT(F1346,"0.00"),"blank")</f>
        <v>Grief Support Group|2026-05-26|Chaplain|2.25</v>
      </c>
      <c r="I1346" s="1" t="n">
        <f aca="false">COUNTIF($H$5:$H$1624,H1346)</f>
        <v>1</v>
      </c>
      <c r="J1346" s="1" t="n">
        <f aca="false">COUNTIF($H$5:H1346,H1346)</f>
        <v>1</v>
      </c>
      <c r="K1346" s="1" t="n">
        <f aca="false">COUNTIFS($H$5:$H$1624,H1346,$B$5:$B$1624,"&lt;&gt;"&amp;B1346)</f>
        <v>0</v>
      </c>
      <c r="L1346" s="1" t="str">
        <f aca="false">IF(I1346&gt;1,IF(K1346&gt;0,"Cross-hospital match","Same-hospital match"),"")</f>
        <v/>
      </c>
      <c r="M1346" s="52"/>
      <c r="N1346" s="52"/>
      <c r="O1346" s="1" t="n">
        <f aca="false">IF(M1346="Exclude (duplicate)",0,1)</f>
        <v>1</v>
      </c>
      <c r="P1346" s="1" t="str">
        <f aca="false">IF(AND(L1346&lt;&gt;"",M1346=""),"Needs decision","")</f>
        <v/>
      </c>
    </row>
    <row r="1347" customFormat="false" ht="15" hidden="false" customHeight="false" outlineLevel="0" collapsed="false">
      <c r="A1347" s="48" t="str">
        <f aca="false">COST!A1347</f>
        <v>WCH-0240</v>
      </c>
      <c r="B1347" s="48" t="str">
        <f aca="false">COST!B1347</f>
        <v>WCH</v>
      </c>
      <c r="C1347" s="48" t="str">
        <f aca="false">COST!D1347</f>
        <v>Grief Support Group</v>
      </c>
      <c r="D1347" s="62" t="n">
        <f aca="false">COST!M1347</f>
        <v>46168</v>
      </c>
      <c r="E1347" s="48" t="str">
        <f aca="false">COST!P1347</f>
        <v>Social Worker</v>
      </c>
      <c r="F1347" s="63" t="n">
        <f aca="false">COST!R1347</f>
        <v>2</v>
      </c>
      <c r="G1347" s="48" t="str">
        <f aca="false">STACK!M1347</f>
        <v/>
      </c>
      <c r="H1347" s="1" t="str">
        <f aca="false">C1347&amp;"|"&amp;IF(ISNUMBER(D1347),TEXT(D1347,"yyyy-mm-dd"),"no date")&amp;"|"&amp;E1347&amp;"|"&amp;IF(ISNUMBER(F1347),TEXT(F1347,"0.00"),"blank")</f>
        <v>Grief Support Group|2026-05-26|Social Worker|2.00</v>
      </c>
      <c r="I1347" s="1" t="n">
        <f aca="false">COUNTIF($H$5:$H$1624,H1347)</f>
        <v>1</v>
      </c>
      <c r="J1347" s="1" t="n">
        <f aca="false">COUNTIF($H$5:H1347,H1347)</f>
        <v>1</v>
      </c>
      <c r="K1347" s="1" t="n">
        <f aca="false">COUNTIFS($H$5:$H$1624,H1347,$B$5:$B$1624,"&lt;&gt;"&amp;B1347)</f>
        <v>0</v>
      </c>
      <c r="L1347" s="1" t="str">
        <f aca="false">IF(I1347&gt;1,IF(K1347&gt;0,"Cross-hospital match","Same-hospital match"),"")</f>
        <v/>
      </c>
      <c r="M1347" s="52"/>
      <c r="N1347" s="52"/>
      <c r="O1347" s="1" t="n">
        <f aca="false">IF(M1347="Exclude (duplicate)",0,1)</f>
        <v>1</v>
      </c>
      <c r="P1347" s="1" t="str">
        <f aca="false">IF(AND(L1347&lt;&gt;"",M1347=""),"Needs decision","")</f>
        <v/>
      </c>
    </row>
    <row r="1348" customFormat="false" ht="15" hidden="false" customHeight="false" outlineLevel="0" collapsed="false">
      <c r="A1348" s="48" t="str">
        <f aca="false">COST!A1348</f>
        <v>WCH-0241</v>
      </c>
      <c r="B1348" s="48" t="str">
        <f aca="false">COST!B1348</f>
        <v>WCH</v>
      </c>
      <c r="C1348" s="48" t="str">
        <f aca="false">COST!D1348</f>
        <v>Mobile Health Screening Unit</v>
      </c>
      <c r="D1348" s="62" t="n">
        <f aca="false">COST!M1348</f>
        <v>46173</v>
      </c>
      <c r="E1348" s="48" t="str">
        <f aca="false">COST!P1348</f>
        <v>Community Health Worker</v>
      </c>
      <c r="F1348" s="63" t="n">
        <f aca="false">COST!R1348</f>
        <v>50.25</v>
      </c>
      <c r="G1348" s="48" t="str">
        <f aca="false">STACK!M1348</f>
        <v/>
      </c>
      <c r="H1348" s="1" t="str">
        <f aca="false">C1348&amp;"|"&amp;IF(ISNUMBER(D1348),TEXT(D1348,"yyyy-mm-dd"),"no date")&amp;"|"&amp;E1348&amp;"|"&amp;IF(ISNUMBER(F1348),TEXT(F1348,"0.00"),"blank")</f>
        <v>Mobile Health Screening Unit|2026-05-31|Community Health Worker|50.25</v>
      </c>
      <c r="I1348" s="1" t="n">
        <f aca="false">COUNTIF($H$5:$H$1624,H1348)</f>
        <v>1</v>
      </c>
      <c r="J1348" s="1" t="n">
        <f aca="false">COUNTIF($H$5:H1348,H1348)</f>
        <v>1</v>
      </c>
      <c r="K1348" s="1" t="n">
        <f aca="false">COUNTIFS($H$5:$H$1624,H1348,$B$5:$B$1624,"&lt;&gt;"&amp;B1348)</f>
        <v>0</v>
      </c>
      <c r="L1348" s="1" t="str">
        <f aca="false">IF(I1348&gt;1,IF(K1348&gt;0,"Cross-hospital match","Same-hospital match"),"")</f>
        <v/>
      </c>
      <c r="M1348" s="52"/>
      <c r="N1348" s="52"/>
      <c r="O1348" s="1" t="n">
        <f aca="false">IF(M1348="Exclude (duplicate)",0,1)</f>
        <v>1</v>
      </c>
      <c r="P1348" s="1" t="str">
        <f aca="false">IF(AND(L1348&lt;&gt;"",M1348=""),"Needs decision","")</f>
        <v/>
      </c>
    </row>
    <row r="1349" customFormat="false" ht="15" hidden="false" customHeight="false" outlineLevel="0" collapsed="false">
      <c r="A1349" s="48" t="str">
        <f aca="false">COST!A1349</f>
        <v>WCH-0242</v>
      </c>
      <c r="B1349" s="48" t="str">
        <f aca="false">COST!B1349</f>
        <v>WCH</v>
      </c>
      <c r="C1349" s="48" t="str">
        <f aca="false">COST!D1349</f>
        <v>Mobile Health Screening Unit</v>
      </c>
      <c r="D1349" s="62" t="n">
        <f aca="false">COST!M1349</f>
        <v>46173</v>
      </c>
      <c r="E1349" s="48" t="str">
        <f aca="false">COST!P1349</f>
        <v>Medical Assistant</v>
      </c>
      <c r="F1349" s="63" t="n">
        <f aca="false">COST!R1349</f>
        <v>51</v>
      </c>
      <c r="G1349" s="48" t="str">
        <f aca="false">STACK!M1349</f>
        <v/>
      </c>
      <c r="H1349" s="1" t="str">
        <f aca="false">C1349&amp;"|"&amp;IF(ISNUMBER(D1349),TEXT(D1349,"yyyy-mm-dd"),"no date")&amp;"|"&amp;E1349&amp;"|"&amp;IF(ISNUMBER(F1349),TEXT(F1349,"0.00"),"blank")</f>
        <v>Mobile Health Screening Unit|2026-05-31|Medical Assistant|51.00</v>
      </c>
      <c r="I1349" s="1" t="n">
        <f aca="false">COUNTIF($H$5:$H$1624,H1349)</f>
        <v>1</v>
      </c>
      <c r="J1349" s="1" t="n">
        <f aca="false">COUNTIF($H$5:H1349,H1349)</f>
        <v>1</v>
      </c>
      <c r="K1349" s="1" t="n">
        <f aca="false">COUNTIFS($H$5:$H$1624,H1349,$B$5:$B$1624,"&lt;&gt;"&amp;B1349)</f>
        <v>0</v>
      </c>
      <c r="L1349" s="1" t="str">
        <f aca="false">IF(I1349&gt;1,IF(K1349&gt;0,"Cross-hospital match","Same-hospital match"),"")</f>
        <v/>
      </c>
      <c r="M1349" s="52"/>
      <c r="N1349" s="52"/>
      <c r="O1349" s="1" t="n">
        <f aca="false">IF(M1349="Exclude (duplicate)",0,1)</f>
        <v>1</v>
      </c>
      <c r="P1349" s="1" t="str">
        <f aca="false">IF(AND(L1349&lt;&gt;"",M1349=""),"Needs decision","")</f>
        <v/>
      </c>
    </row>
    <row r="1350" customFormat="false" ht="15" hidden="false" customHeight="false" outlineLevel="0" collapsed="false">
      <c r="A1350" s="48" t="str">
        <f aca="false">COST!A1350</f>
        <v>WCH-0243</v>
      </c>
      <c r="B1350" s="48" t="str">
        <f aca="false">COST!B1350</f>
        <v>WCH</v>
      </c>
      <c r="C1350" s="48" t="str">
        <f aca="false">COST!D1350</f>
        <v>Mobile Health Screening Unit</v>
      </c>
      <c r="D1350" s="62" t="n">
        <f aca="false">COST!M1350</f>
        <v>46173</v>
      </c>
      <c r="E1350" s="48" t="str">
        <f aca="false">COST!P1350</f>
        <v>Registered Nurse</v>
      </c>
      <c r="F1350" s="63" t="n">
        <f aca="false">COST!R1350</f>
        <v>70.5</v>
      </c>
      <c r="G1350" s="48" t="str">
        <f aca="false">STACK!M1350</f>
        <v/>
      </c>
      <c r="H1350" s="1" t="str">
        <f aca="false">C1350&amp;"|"&amp;IF(ISNUMBER(D1350),TEXT(D1350,"yyyy-mm-dd"),"no date")&amp;"|"&amp;E1350&amp;"|"&amp;IF(ISNUMBER(F1350),TEXT(F1350,"0.00"),"blank")</f>
        <v>Mobile Health Screening Unit|2026-05-31|Registered Nurse|70.50</v>
      </c>
      <c r="I1350" s="1" t="n">
        <f aca="false">COUNTIF($H$5:$H$1624,H1350)</f>
        <v>1</v>
      </c>
      <c r="J1350" s="1" t="n">
        <f aca="false">COUNTIF($H$5:H1350,H1350)</f>
        <v>1</v>
      </c>
      <c r="K1350" s="1" t="n">
        <f aca="false">COUNTIFS($H$5:$H$1624,H1350,$B$5:$B$1624,"&lt;&gt;"&amp;B1350)</f>
        <v>0</v>
      </c>
      <c r="L1350" s="1" t="str">
        <f aca="false">IF(I1350&gt;1,IF(K1350&gt;0,"Cross-hospital match","Same-hospital match"),"")</f>
        <v/>
      </c>
      <c r="M1350" s="52"/>
      <c r="N1350" s="52"/>
      <c r="O1350" s="1" t="n">
        <f aca="false">IF(M1350="Exclude (duplicate)",0,1)</f>
        <v>1</v>
      </c>
      <c r="P1350" s="1" t="str">
        <f aca="false">IF(AND(L1350&lt;&gt;"",M1350=""),"Needs decision","")</f>
        <v/>
      </c>
    </row>
    <row r="1351" customFormat="false" ht="15" hidden="false" customHeight="false" outlineLevel="0" collapsed="false">
      <c r="A1351" s="48" t="str">
        <f aca="false">COST!A1351</f>
        <v>WCH-0244</v>
      </c>
      <c r="B1351" s="48" t="str">
        <f aca="false">COST!B1351</f>
        <v>WCH</v>
      </c>
      <c r="C1351" s="48" t="str">
        <f aca="false">COST!D1351</f>
        <v>Community Health Worker Outreach</v>
      </c>
      <c r="D1351" s="62" t="n">
        <f aca="false">COST!M1351</f>
        <v>46173</v>
      </c>
      <c r="E1351" s="48" t="str">
        <f aca="false">COST!P1351</f>
        <v>Community Health Worker</v>
      </c>
      <c r="F1351" s="63" t="n">
        <f aca="false">COST!R1351</f>
        <v>244.5</v>
      </c>
      <c r="G1351" s="48" t="str">
        <f aca="false">STACK!M1351</f>
        <v/>
      </c>
      <c r="H1351" s="1" t="str">
        <f aca="false">C1351&amp;"|"&amp;IF(ISNUMBER(D1351),TEXT(D1351,"yyyy-mm-dd"),"no date")&amp;"|"&amp;E1351&amp;"|"&amp;IF(ISNUMBER(F1351),TEXT(F1351,"0.00"),"blank")</f>
        <v>Community Health Worker Outreach|2026-05-31|Community Health Worker|244.50</v>
      </c>
      <c r="I1351" s="1" t="n">
        <f aca="false">COUNTIF($H$5:$H$1624,H1351)</f>
        <v>1</v>
      </c>
      <c r="J1351" s="1" t="n">
        <f aca="false">COUNTIF($H$5:H1351,H1351)</f>
        <v>1</v>
      </c>
      <c r="K1351" s="1" t="n">
        <f aca="false">COUNTIFS($H$5:$H$1624,H1351,$B$5:$B$1624,"&lt;&gt;"&amp;B1351)</f>
        <v>0</v>
      </c>
      <c r="L1351" s="1" t="str">
        <f aca="false">IF(I1351&gt;1,IF(K1351&gt;0,"Cross-hospital match","Same-hospital match"),"")</f>
        <v/>
      </c>
      <c r="M1351" s="52"/>
      <c r="N1351" s="52"/>
      <c r="O1351" s="1" t="n">
        <f aca="false">IF(M1351="Exclude (duplicate)",0,1)</f>
        <v>1</v>
      </c>
      <c r="P1351" s="1" t="str">
        <f aca="false">IF(AND(L1351&lt;&gt;"",M1351=""),"Needs decision","")</f>
        <v/>
      </c>
    </row>
    <row r="1352" customFormat="false" ht="15" hidden="false" customHeight="false" outlineLevel="0" collapsed="false">
      <c r="A1352" s="48" t="str">
        <f aca="false">COST!A1352</f>
        <v>WCH-0245</v>
      </c>
      <c r="B1352" s="48" t="str">
        <f aca="false">COST!B1352</f>
        <v>WCH</v>
      </c>
      <c r="C1352" s="48" t="str">
        <f aca="false">COST!D1352</f>
        <v>Community Health Worker Outreach</v>
      </c>
      <c r="D1352" s="62" t="n">
        <f aca="false">COST!M1352</f>
        <v>46173</v>
      </c>
      <c r="E1352" s="48" t="str">
        <f aca="false">COST!P1352</f>
        <v>Patient Navigator</v>
      </c>
      <c r="F1352" s="63" t="n">
        <f aca="false">COST!R1352</f>
        <v>112.75</v>
      </c>
      <c r="G1352" s="48" t="str">
        <f aca="false">STACK!M1352</f>
        <v/>
      </c>
      <c r="H1352" s="1" t="str">
        <f aca="false">C1352&amp;"|"&amp;IF(ISNUMBER(D1352),TEXT(D1352,"yyyy-mm-dd"),"no date")&amp;"|"&amp;E1352&amp;"|"&amp;IF(ISNUMBER(F1352),TEXT(F1352,"0.00"),"blank")</f>
        <v>Community Health Worker Outreach|2026-05-31|Patient Navigator|112.75</v>
      </c>
      <c r="I1352" s="1" t="n">
        <f aca="false">COUNTIF($H$5:$H$1624,H1352)</f>
        <v>1</v>
      </c>
      <c r="J1352" s="1" t="n">
        <f aca="false">COUNTIF($H$5:H1352,H1352)</f>
        <v>1</v>
      </c>
      <c r="K1352" s="1" t="n">
        <f aca="false">COUNTIFS($H$5:$H$1624,H1352,$B$5:$B$1624,"&lt;&gt;"&amp;B1352)</f>
        <v>0</v>
      </c>
      <c r="L1352" s="1" t="str">
        <f aca="false">IF(I1352&gt;1,IF(K1352&gt;0,"Cross-hospital match","Same-hospital match"),"")</f>
        <v/>
      </c>
      <c r="M1352" s="52"/>
      <c r="N1352" s="52"/>
      <c r="O1352" s="1" t="n">
        <f aca="false">IF(M1352="Exclude (duplicate)",0,1)</f>
        <v>1</v>
      </c>
      <c r="P1352" s="1" t="str">
        <f aca="false">IF(AND(L1352&lt;&gt;"",M1352=""),"Needs decision","")</f>
        <v/>
      </c>
    </row>
    <row r="1353" customFormat="false" ht="15" hidden="false" customHeight="false" outlineLevel="0" collapsed="false">
      <c r="A1353" s="48" t="str">
        <f aca="false">COST!A1353</f>
        <v>WCH-0246</v>
      </c>
      <c r="B1353" s="48" t="str">
        <f aca="false">COST!B1353</f>
        <v>WCH</v>
      </c>
      <c r="C1353" s="48" t="str">
        <f aca="false">COST!D1353</f>
        <v>Produce Prescription Program</v>
      </c>
      <c r="D1353" s="62" t="n">
        <f aca="false">COST!M1353</f>
        <v>46173</v>
      </c>
      <c r="E1353" s="48" t="str">
        <f aca="false">COST!P1353</f>
        <v>Community Health Worker</v>
      </c>
      <c r="F1353" s="63" t="n">
        <f aca="false">COST!R1353</f>
        <v>37</v>
      </c>
      <c r="G1353" s="48" t="str">
        <f aca="false">STACK!M1353</f>
        <v/>
      </c>
      <c r="H1353" s="1" t="str">
        <f aca="false">C1353&amp;"|"&amp;IF(ISNUMBER(D1353),TEXT(D1353,"yyyy-mm-dd"),"no date")&amp;"|"&amp;E1353&amp;"|"&amp;IF(ISNUMBER(F1353),TEXT(F1353,"0.00"),"blank")</f>
        <v>Produce Prescription Program|2026-05-31|Community Health Worker|37.00</v>
      </c>
      <c r="I1353" s="1" t="n">
        <f aca="false">COUNTIF($H$5:$H$1624,H1353)</f>
        <v>1</v>
      </c>
      <c r="J1353" s="1" t="n">
        <f aca="false">COUNTIF($H$5:H1353,H1353)</f>
        <v>1</v>
      </c>
      <c r="K1353" s="1" t="n">
        <f aca="false">COUNTIFS($H$5:$H$1624,H1353,$B$5:$B$1624,"&lt;&gt;"&amp;B1353)</f>
        <v>0</v>
      </c>
      <c r="L1353" s="1" t="str">
        <f aca="false">IF(I1353&gt;1,IF(K1353&gt;0,"Cross-hospital match","Same-hospital match"),"")</f>
        <v/>
      </c>
      <c r="M1353" s="52"/>
      <c r="N1353" s="52"/>
      <c r="O1353" s="1" t="n">
        <f aca="false">IF(M1353="Exclude (duplicate)",0,1)</f>
        <v>1</v>
      </c>
      <c r="P1353" s="1" t="str">
        <f aca="false">IF(AND(L1353&lt;&gt;"",M1353=""),"Needs decision","")</f>
        <v/>
      </c>
    </row>
    <row r="1354" customFormat="false" ht="15" hidden="false" customHeight="false" outlineLevel="0" collapsed="false">
      <c r="A1354" s="48" t="str">
        <f aca="false">COST!A1354</f>
        <v>WCH-0247</v>
      </c>
      <c r="B1354" s="48" t="str">
        <f aca="false">COST!B1354</f>
        <v>WCH</v>
      </c>
      <c r="C1354" s="48" t="str">
        <f aca="false">COST!D1354</f>
        <v>Produce Prescription Program</v>
      </c>
      <c r="D1354" s="62" t="n">
        <f aca="false">COST!M1354</f>
        <v>46173</v>
      </c>
      <c r="E1354" s="48" t="str">
        <f aca="false">COST!P1354</f>
        <v>Registered Dietitian</v>
      </c>
      <c r="F1354" s="63" t="n">
        <f aca="false">COST!R1354</f>
        <v>20.25</v>
      </c>
      <c r="G1354" s="48" t="str">
        <f aca="false">STACK!M1354</f>
        <v/>
      </c>
      <c r="H1354" s="1" t="str">
        <f aca="false">C1354&amp;"|"&amp;IF(ISNUMBER(D1354),TEXT(D1354,"yyyy-mm-dd"),"no date")&amp;"|"&amp;E1354&amp;"|"&amp;IF(ISNUMBER(F1354),TEXT(F1354,"0.00"),"blank")</f>
        <v>Produce Prescription Program|2026-05-31|Registered Dietitian|20.25</v>
      </c>
      <c r="I1354" s="1" t="n">
        <f aca="false">COUNTIF($H$5:$H$1624,H1354)</f>
        <v>1</v>
      </c>
      <c r="J1354" s="1" t="n">
        <f aca="false">COUNTIF($H$5:H1354,H1354)</f>
        <v>1</v>
      </c>
      <c r="K1354" s="1" t="n">
        <f aca="false">COUNTIFS($H$5:$H$1624,H1354,$B$5:$B$1624,"&lt;&gt;"&amp;B1354)</f>
        <v>0</v>
      </c>
      <c r="L1354" s="1" t="str">
        <f aca="false">IF(I1354&gt;1,IF(K1354&gt;0,"Cross-hospital match","Same-hospital match"),"")</f>
        <v/>
      </c>
      <c r="M1354" s="52"/>
      <c r="N1354" s="52"/>
      <c r="O1354" s="1" t="n">
        <f aca="false">IF(M1354="Exclude (duplicate)",0,1)</f>
        <v>1</v>
      </c>
      <c r="P1354" s="1" t="str">
        <f aca="false">IF(AND(L1354&lt;&gt;"",M1354=""),"Needs decision","")</f>
        <v/>
      </c>
    </row>
    <row r="1355" customFormat="false" ht="15" hidden="false" customHeight="false" outlineLevel="0" collapsed="false">
      <c r="A1355" s="48" t="str">
        <f aca="false">COST!A1355</f>
        <v>WCH-0248</v>
      </c>
      <c r="B1355" s="48" t="str">
        <f aca="false">COST!B1355</f>
        <v>WCH</v>
      </c>
      <c r="C1355" s="48" t="str">
        <f aca="false">COST!D1355</f>
        <v>Community Benefit Program Administration</v>
      </c>
      <c r="D1355" s="62" t="n">
        <f aca="false">COST!M1355</f>
        <v>46173</v>
      </c>
      <c r="E1355" s="48" t="str">
        <f aca="false">COST!P1355</f>
        <v>Administrative Assistant</v>
      </c>
      <c r="F1355" s="63" t="n">
        <f aca="false">COST!R1355</f>
        <v>22.25</v>
      </c>
      <c r="G1355" s="48" t="str">
        <f aca="false">STACK!M1355</f>
        <v/>
      </c>
      <c r="H1355" s="1" t="str">
        <f aca="false">C1355&amp;"|"&amp;IF(ISNUMBER(D1355),TEXT(D1355,"yyyy-mm-dd"),"no date")&amp;"|"&amp;E1355&amp;"|"&amp;IF(ISNUMBER(F1355),TEXT(F1355,"0.00"),"blank")</f>
        <v>Community Benefit Program Administration|2026-05-31|Administrative Assistant|22.25</v>
      </c>
      <c r="I1355" s="1" t="n">
        <f aca="false">COUNTIF($H$5:$H$1624,H1355)</f>
        <v>1</v>
      </c>
      <c r="J1355" s="1" t="n">
        <f aca="false">COUNTIF($H$5:H1355,H1355)</f>
        <v>1</v>
      </c>
      <c r="K1355" s="1" t="n">
        <f aca="false">COUNTIFS($H$5:$H$1624,H1355,$B$5:$B$1624,"&lt;&gt;"&amp;B1355)</f>
        <v>0</v>
      </c>
      <c r="L1355" s="1" t="str">
        <f aca="false">IF(I1355&gt;1,IF(K1355&gt;0,"Cross-hospital match","Same-hospital match"),"")</f>
        <v/>
      </c>
      <c r="M1355" s="52"/>
      <c r="N1355" s="52"/>
      <c r="O1355" s="1" t="n">
        <f aca="false">IF(M1355="Exclude (duplicate)",0,1)</f>
        <v>1</v>
      </c>
      <c r="P1355" s="1" t="str">
        <f aca="false">IF(AND(L1355&lt;&gt;"",M1355=""),"Needs decision","")</f>
        <v/>
      </c>
    </row>
    <row r="1356" customFormat="false" ht="15" hidden="false" customHeight="false" outlineLevel="0" collapsed="false">
      <c r="A1356" s="48" t="str">
        <f aca="false">COST!A1356</f>
        <v>WCH-0249</v>
      </c>
      <c r="B1356" s="48" t="str">
        <f aca="false">COST!B1356</f>
        <v>WCH</v>
      </c>
      <c r="C1356" s="48" t="str">
        <f aca="false">COST!D1356</f>
        <v>Community Benefit Program Administration</v>
      </c>
      <c r="D1356" s="62" t="n">
        <f aca="false">COST!M1356</f>
        <v>46173</v>
      </c>
      <c r="E1356" s="48" t="str">
        <f aca="false">COST!P1356</f>
        <v>Community Benefit Manager</v>
      </c>
      <c r="F1356" s="63" t="n">
        <f aca="false">COST!R1356</f>
        <v>38</v>
      </c>
      <c r="G1356" s="48" t="str">
        <f aca="false">STACK!M1356</f>
        <v/>
      </c>
      <c r="H1356" s="1" t="str">
        <f aca="false">C1356&amp;"|"&amp;IF(ISNUMBER(D1356),TEXT(D1356,"yyyy-mm-dd"),"no date")&amp;"|"&amp;E1356&amp;"|"&amp;IF(ISNUMBER(F1356),TEXT(F1356,"0.00"),"blank")</f>
        <v>Community Benefit Program Administration|2026-05-31|Community Benefit Manager|38.00</v>
      </c>
      <c r="I1356" s="1" t="n">
        <f aca="false">COUNTIF($H$5:$H$1624,H1356)</f>
        <v>1</v>
      </c>
      <c r="J1356" s="1" t="n">
        <f aca="false">COUNTIF($H$5:H1356,H1356)</f>
        <v>1</v>
      </c>
      <c r="K1356" s="1" t="n">
        <f aca="false">COUNTIFS($H$5:$H$1624,H1356,$B$5:$B$1624,"&lt;&gt;"&amp;B1356)</f>
        <v>0</v>
      </c>
      <c r="L1356" s="1" t="str">
        <f aca="false">IF(I1356&gt;1,IF(K1356&gt;0,"Cross-hospital match","Same-hospital match"),"")</f>
        <v/>
      </c>
      <c r="M1356" s="52"/>
      <c r="N1356" s="52"/>
      <c r="O1356" s="1" t="n">
        <f aca="false">IF(M1356="Exclude (duplicate)",0,1)</f>
        <v>1</v>
      </c>
      <c r="P1356" s="1" t="str">
        <f aca="false">IF(AND(L1356&lt;&gt;"",M1356=""),"Needs decision","")</f>
        <v/>
      </c>
    </row>
    <row r="1357" customFormat="false" ht="15" hidden="false" customHeight="false" outlineLevel="0" collapsed="false">
      <c r="A1357" s="48" t="str">
        <f aca="false">COST!A1357</f>
        <v>WCH-0250</v>
      </c>
      <c r="B1357" s="48" t="str">
        <f aca="false">COST!B1357</f>
        <v>WCH</v>
      </c>
      <c r="C1357" s="48" t="str">
        <f aca="false">COST!D1357</f>
        <v>Community Paramedic Home Visits</v>
      </c>
      <c r="D1357" s="62" t="n">
        <f aca="false">COST!M1357</f>
        <v>46173</v>
      </c>
      <c r="E1357" s="48" t="str">
        <f aca="false">COST!P1357</f>
        <v>Paramedic</v>
      </c>
      <c r="F1357" s="63" t="n">
        <f aca="false">COST!R1357</f>
        <v>71.75</v>
      </c>
      <c r="G1357" s="48" t="str">
        <f aca="false">STACK!M1357</f>
        <v/>
      </c>
      <c r="H1357" s="1" t="str">
        <f aca="false">C1357&amp;"|"&amp;IF(ISNUMBER(D1357),TEXT(D1357,"yyyy-mm-dd"),"no date")&amp;"|"&amp;E1357&amp;"|"&amp;IF(ISNUMBER(F1357),TEXT(F1357,"0.00"),"blank")</f>
        <v>Community Paramedic Home Visits|2026-05-31|Paramedic|71.75</v>
      </c>
      <c r="I1357" s="1" t="n">
        <f aca="false">COUNTIF($H$5:$H$1624,H1357)</f>
        <v>1</v>
      </c>
      <c r="J1357" s="1" t="n">
        <f aca="false">COUNTIF($H$5:H1357,H1357)</f>
        <v>1</v>
      </c>
      <c r="K1357" s="1" t="n">
        <f aca="false">COUNTIFS($H$5:$H$1624,H1357,$B$5:$B$1624,"&lt;&gt;"&amp;B1357)</f>
        <v>0</v>
      </c>
      <c r="L1357" s="1" t="str">
        <f aca="false">IF(I1357&gt;1,IF(K1357&gt;0,"Cross-hospital match","Same-hospital match"),"")</f>
        <v/>
      </c>
      <c r="M1357" s="52"/>
      <c r="N1357" s="52"/>
      <c r="O1357" s="1" t="n">
        <f aca="false">IF(M1357="Exclude (duplicate)",0,1)</f>
        <v>1</v>
      </c>
      <c r="P1357" s="1" t="str">
        <f aca="false">IF(AND(L1357&lt;&gt;"",M1357=""),"Needs decision","")</f>
        <v/>
      </c>
    </row>
    <row r="1358" customFormat="false" ht="15" hidden="false" customHeight="false" outlineLevel="0" collapsed="false">
      <c r="A1358" s="48" t="str">
        <f aca="false">COST!A1358</f>
        <v>WCH-0251</v>
      </c>
      <c r="B1358" s="48" t="str">
        <f aca="false">COST!B1358</f>
        <v>WCH</v>
      </c>
      <c r="C1358" s="48" t="str">
        <f aca="false">COST!D1358</f>
        <v>Nursing Student Clinical Rotations</v>
      </c>
      <c r="D1358" s="62" t="n">
        <f aca="false">COST!M1358</f>
        <v>46173</v>
      </c>
      <c r="E1358" s="48" t="str">
        <f aca="false">COST!P1358</f>
        <v>Clinical Nurse Educator</v>
      </c>
      <c r="F1358" s="63" t="n">
        <f aca="false">COST!R1358</f>
        <v>70.75</v>
      </c>
      <c r="G1358" s="48" t="str">
        <f aca="false">STACK!M1358</f>
        <v/>
      </c>
      <c r="H1358" s="1" t="str">
        <f aca="false">C1358&amp;"|"&amp;IF(ISNUMBER(D1358),TEXT(D1358,"yyyy-mm-dd"),"no date")&amp;"|"&amp;E1358&amp;"|"&amp;IF(ISNUMBER(F1358),TEXT(F1358,"0.00"),"blank")</f>
        <v>Nursing Student Clinical Rotations|2026-05-31|Clinical Nurse Educator|70.75</v>
      </c>
      <c r="I1358" s="1" t="n">
        <f aca="false">COUNTIF($H$5:$H$1624,H1358)</f>
        <v>1</v>
      </c>
      <c r="J1358" s="1" t="n">
        <f aca="false">COUNTIF($H$5:H1358,H1358)</f>
        <v>1</v>
      </c>
      <c r="K1358" s="1" t="n">
        <f aca="false">COUNTIFS($H$5:$H$1624,H1358,$B$5:$B$1624,"&lt;&gt;"&amp;B1358)</f>
        <v>0</v>
      </c>
      <c r="L1358" s="1" t="str">
        <f aca="false">IF(I1358&gt;1,IF(K1358&gt;0,"Cross-hospital match","Same-hospital match"),"")</f>
        <v/>
      </c>
      <c r="M1358" s="52"/>
      <c r="N1358" s="52"/>
      <c r="O1358" s="1" t="n">
        <f aca="false">IF(M1358="Exclude (duplicate)",0,1)</f>
        <v>1</v>
      </c>
      <c r="P1358" s="1" t="str">
        <f aca="false">IF(AND(L1358&lt;&gt;"",M1358=""),"Needs decision","")</f>
        <v/>
      </c>
    </row>
    <row r="1359" customFormat="false" ht="15" hidden="false" customHeight="false" outlineLevel="0" collapsed="false">
      <c r="A1359" s="48" t="str">
        <f aca="false">COST!A1359</f>
        <v>WCH-0252</v>
      </c>
      <c r="B1359" s="48" t="str">
        <f aca="false">COST!B1359</f>
        <v>WCH</v>
      </c>
      <c r="C1359" s="48" t="str">
        <f aca="false">COST!D1359</f>
        <v>Nursing Student Clinical Rotations</v>
      </c>
      <c r="D1359" s="62" t="n">
        <f aca="false">COST!M1359</f>
        <v>46173</v>
      </c>
      <c r="E1359" s="48" t="str">
        <f aca="false">COST!P1359</f>
        <v>Registered Nurse</v>
      </c>
      <c r="F1359" s="63" t="n">
        <f aca="false">COST!R1359</f>
        <v>179.75</v>
      </c>
      <c r="G1359" s="48" t="str">
        <f aca="false">STACK!M1359</f>
        <v/>
      </c>
      <c r="H1359" s="1" t="str">
        <f aca="false">C1359&amp;"|"&amp;IF(ISNUMBER(D1359),TEXT(D1359,"yyyy-mm-dd"),"no date")&amp;"|"&amp;E1359&amp;"|"&amp;IF(ISNUMBER(F1359),TEXT(F1359,"0.00"),"blank")</f>
        <v>Nursing Student Clinical Rotations|2026-05-31|Registered Nurse|179.75</v>
      </c>
      <c r="I1359" s="1" t="n">
        <f aca="false">COUNTIF($H$5:$H$1624,H1359)</f>
        <v>1</v>
      </c>
      <c r="J1359" s="1" t="n">
        <f aca="false">COUNTIF($H$5:H1359,H1359)</f>
        <v>1</v>
      </c>
      <c r="K1359" s="1" t="n">
        <f aca="false">COUNTIFS($H$5:$H$1624,H1359,$B$5:$B$1624,"&lt;&gt;"&amp;B1359)</f>
        <v>0</v>
      </c>
      <c r="L1359" s="1" t="str">
        <f aca="false">IF(I1359&gt;1,IF(K1359&gt;0,"Cross-hospital match","Same-hospital match"),"")</f>
        <v/>
      </c>
      <c r="M1359" s="52"/>
      <c r="N1359" s="52"/>
      <c r="O1359" s="1" t="n">
        <f aca="false">IF(M1359="Exclude (duplicate)",0,1)</f>
        <v>1</v>
      </c>
      <c r="P1359" s="1" t="str">
        <f aca="false">IF(AND(L1359&lt;&gt;"",M1359=""),"Needs decision","")</f>
        <v/>
      </c>
    </row>
    <row r="1360" customFormat="false" ht="15" hidden="false" customHeight="false" outlineLevel="0" collapsed="false">
      <c r="A1360" s="48" t="str">
        <f aca="false">COST!A1360</f>
        <v>WCH-0253</v>
      </c>
      <c r="B1360" s="48" t="str">
        <f aca="false">COST!B1360</f>
        <v>WCH</v>
      </c>
      <c r="C1360" s="48" t="str">
        <f aca="false">COST!D1360</f>
        <v>Paramedic Student Field Training</v>
      </c>
      <c r="D1360" s="62" t="n">
        <f aca="false">COST!M1360</f>
        <v>46173</v>
      </c>
      <c r="E1360" s="48" t="str">
        <f aca="false">COST!P1360</f>
        <v>Paramedic</v>
      </c>
      <c r="F1360" s="63" t="n">
        <f aca="false">COST!R1360</f>
        <v>36.75</v>
      </c>
      <c r="G1360" s="48" t="str">
        <f aca="false">STACK!M1360</f>
        <v/>
      </c>
      <c r="H1360" s="1" t="str">
        <f aca="false">C1360&amp;"|"&amp;IF(ISNUMBER(D1360),TEXT(D1360,"yyyy-mm-dd"),"no date")&amp;"|"&amp;E1360&amp;"|"&amp;IF(ISNUMBER(F1360),TEXT(F1360,"0.00"),"blank")</f>
        <v>Paramedic Student Field Training|2026-05-31|Paramedic|36.75</v>
      </c>
      <c r="I1360" s="1" t="n">
        <f aca="false">COUNTIF($H$5:$H$1624,H1360)</f>
        <v>1</v>
      </c>
      <c r="J1360" s="1" t="n">
        <f aca="false">COUNTIF($H$5:H1360,H1360)</f>
        <v>1</v>
      </c>
      <c r="K1360" s="1" t="n">
        <f aca="false">COUNTIFS($H$5:$H$1624,H1360,$B$5:$B$1624,"&lt;&gt;"&amp;B1360)</f>
        <v>0</v>
      </c>
      <c r="L1360" s="1" t="str">
        <f aca="false">IF(I1360&gt;1,IF(K1360&gt;0,"Cross-hospital match","Same-hospital match"),"")</f>
        <v/>
      </c>
      <c r="M1360" s="52"/>
      <c r="N1360" s="52"/>
      <c r="O1360" s="1" t="n">
        <f aca="false">IF(M1360="Exclude (duplicate)",0,1)</f>
        <v>1</v>
      </c>
      <c r="P1360" s="1" t="str">
        <f aca="false">IF(AND(L1360&lt;&gt;"",M1360=""),"Needs decision","")</f>
        <v/>
      </c>
    </row>
    <row r="1361" customFormat="false" ht="15" hidden="false" customHeight="false" outlineLevel="0" collapsed="false">
      <c r="A1361" s="48" t="str">
        <f aca="false">COST!A1361</f>
        <v>WCH-0254</v>
      </c>
      <c r="B1361" s="48" t="str">
        <f aca="false">COST!B1361</f>
        <v>WCH</v>
      </c>
      <c r="C1361" s="48" t="str">
        <f aca="false">COST!D1361</f>
        <v>Rural Maternal Outcomes Study</v>
      </c>
      <c r="D1361" s="62" t="n">
        <f aca="false">COST!M1361</f>
        <v>46173</v>
      </c>
      <c r="E1361" s="48" t="str">
        <f aca="false">COST!P1361</f>
        <v>Data Analyst</v>
      </c>
      <c r="F1361" s="63" t="n">
        <f aca="false">COST!R1361</f>
        <v>14</v>
      </c>
      <c r="G1361" s="48" t="str">
        <f aca="false">STACK!M1361</f>
        <v/>
      </c>
      <c r="H1361" s="1" t="str">
        <f aca="false">C1361&amp;"|"&amp;IF(ISNUMBER(D1361),TEXT(D1361,"yyyy-mm-dd"),"no date")&amp;"|"&amp;E1361&amp;"|"&amp;IF(ISNUMBER(F1361),TEXT(F1361,"0.00"),"blank")</f>
        <v>Rural Maternal Outcomes Study|2026-05-31|Data Analyst|14.00</v>
      </c>
      <c r="I1361" s="1" t="n">
        <f aca="false">COUNTIF($H$5:$H$1624,H1361)</f>
        <v>1</v>
      </c>
      <c r="J1361" s="1" t="n">
        <f aca="false">COUNTIF($H$5:H1361,H1361)</f>
        <v>1</v>
      </c>
      <c r="K1361" s="1" t="n">
        <f aca="false">COUNTIFS($H$5:$H$1624,H1361,$B$5:$B$1624,"&lt;&gt;"&amp;B1361)</f>
        <v>0</v>
      </c>
      <c r="L1361" s="1" t="str">
        <f aca="false">IF(I1361&gt;1,IF(K1361&gt;0,"Cross-hospital match","Same-hospital match"),"")</f>
        <v/>
      </c>
      <c r="M1361" s="52"/>
      <c r="N1361" s="52"/>
      <c r="O1361" s="1" t="n">
        <f aca="false">IF(M1361="Exclude (duplicate)",0,1)</f>
        <v>1</v>
      </c>
      <c r="P1361" s="1" t="str">
        <f aca="false">IF(AND(L1361&lt;&gt;"",M1361=""),"Needs decision","")</f>
        <v/>
      </c>
    </row>
    <row r="1362" customFormat="false" ht="15" hidden="false" customHeight="false" outlineLevel="0" collapsed="false">
      <c r="A1362" s="48" t="str">
        <f aca="false">COST!A1362</f>
        <v>WCH-0255</v>
      </c>
      <c r="B1362" s="48" t="str">
        <f aca="false">COST!B1362</f>
        <v>WCH</v>
      </c>
      <c r="C1362" s="48" t="str">
        <f aca="false">COST!D1362</f>
        <v>Rural Maternal Outcomes Study</v>
      </c>
      <c r="D1362" s="62" t="n">
        <f aca="false">COST!M1362</f>
        <v>46173</v>
      </c>
      <c r="E1362" s="48" t="str">
        <f aca="false">COST!P1362</f>
        <v>Research Coordinator</v>
      </c>
      <c r="F1362" s="63" t="n">
        <f aca="false">COST!R1362</f>
        <v>42</v>
      </c>
      <c r="G1362" s="48" t="str">
        <f aca="false">STACK!M1362</f>
        <v/>
      </c>
      <c r="H1362" s="1" t="str">
        <f aca="false">C1362&amp;"|"&amp;IF(ISNUMBER(D1362),TEXT(D1362,"yyyy-mm-dd"),"no date")&amp;"|"&amp;E1362&amp;"|"&amp;IF(ISNUMBER(F1362),TEXT(F1362,"0.00"),"blank")</f>
        <v>Rural Maternal Outcomes Study|2026-05-31|Research Coordinator|42.00</v>
      </c>
      <c r="I1362" s="1" t="n">
        <f aca="false">COUNTIF($H$5:$H$1624,H1362)</f>
        <v>1</v>
      </c>
      <c r="J1362" s="1" t="n">
        <f aca="false">COUNTIF($H$5:H1362,H1362)</f>
        <v>1</v>
      </c>
      <c r="K1362" s="1" t="n">
        <f aca="false">COUNTIFS($H$5:$H$1624,H1362,$B$5:$B$1624,"&lt;&gt;"&amp;B1362)</f>
        <v>0</v>
      </c>
      <c r="L1362" s="1" t="str">
        <f aca="false">IF(I1362&gt;1,IF(K1362&gt;0,"Cross-hospital match","Same-hospital match"),"")</f>
        <v/>
      </c>
      <c r="M1362" s="52"/>
      <c r="N1362" s="52"/>
      <c r="O1362" s="1" t="n">
        <f aca="false">IF(M1362="Exclude (duplicate)",0,1)</f>
        <v>1</v>
      </c>
      <c r="P1362" s="1" t="str">
        <f aca="false">IF(AND(L1362&lt;&gt;"",M1362=""),"Needs decision","")</f>
        <v/>
      </c>
    </row>
    <row r="1363" customFormat="false" ht="15" hidden="false" customHeight="false" outlineLevel="0" collapsed="false">
      <c r="A1363" s="48" t="str">
        <f aca="false">COST!A1363</f>
        <v>WCH-0256</v>
      </c>
      <c r="B1363" s="48" t="str">
        <f aca="false">COST!B1363</f>
        <v>WCH</v>
      </c>
      <c r="C1363" s="48" t="str">
        <f aca="false">COST!D1363</f>
        <v>Grief Support Group</v>
      </c>
      <c r="D1363" s="62" t="n">
        <f aca="false">COST!M1363</f>
        <v>46178</v>
      </c>
      <c r="E1363" s="48" t="str">
        <f aca="false">COST!P1363</f>
        <v>Chaplain</v>
      </c>
      <c r="F1363" s="63" t="n">
        <f aca="false">COST!R1363</f>
        <v>2</v>
      </c>
      <c r="G1363" s="48" t="str">
        <f aca="false">STACK!M1363</f>
        <v/>
      </c>
      <c r="H1363" s="1" t="str">
        <f aca="false">C1363&amp;"|"&amp;IF(ISNUMBER(D1363),TEXT(D1363,"yyyy-mm-dd"),"no date")&amp;"|"&amp;E1363&amp;"|"&amp;IF(ISNUMBER(F1363),TEXT(F1363,"0.00"),"blank")</f>
        <v>Grief Support Group|2026-06-05|Chaplain|2.00</v>
      </c>
      <c r="I1363" s="1" t="n">
        <f aca="false">COUNTIF($H$5:$H$1624,H1363)</f>
        <v>1</v>
      </c>
      <c r="J1363" s="1" t="n">
        <f aca="false">COUNTIF($H$5:H1363,H1363)</f>
        <v>1</v>
      </c>
      <c r="K1363" s="1" t="n">
        <f aca="false">COUNTIFS($H$5:$H$1624,H1363,$B$5:$B$1624,"&lt;&gt;"&amp;B1363)</f>
        <v>0</v>
      </c>
      <c r="L1363" s="1" t="str">
        <f aca="false">IF(I1363&gt;1,IF(K1363&gt;0,"Cross-hospital match","Same-hospital match"),"")</f>
        <v/>
      </c>
      <c r="M1363" s="52"/>
      <c r="N1363" s="52"/>
      <c r="O1363" s="1" t="n">
        <f aca="false">IF(M1363="Exclude (duplicate)",0,1)</f>
        <v>1</v>
      </c>
      <c r="P1363" s="1" t="str">
        <f aca="false">IF(AND(L1363&lt;&gt;"",M1363=""),"Needs decision","")</f>
        <v/>
      </c>
    </row>
    <row r="1364" customFormat="false" ht="15" hidden="false" customHeight="false" outlineLevel="0" collapsed="false">
      <c r="A1364" s="48" t="str">
        <f aca="false">COST!A1364</f>
        <v>WCH-0257</v>
      </c>
      <c r="B1364" s="48" t="str">
        <f aca="false">COST!B1364</f>
        <v>WCH</v>
      </c>
      <c r="C1364" s="48" t="str">
        <f aca="false">COST!D1364</f>
        <v>Grief Support Group</v>
      </c>
      <c r="D1364" s="62" t="n">
        <f aca="false">COST!M1364</f>
        <v>46178</v>
      </c>
      <c r="E1364" s="48" t="str">
        <f aca="false">COST!P1364</f>
        <v>Social Worker</v>
      </c>
      <c r="F1364" s="63" t="n">
        <f aca="false">COST!R1364</f>
        <v>1.75</v>
      </c>
      <c r="G1364" s="48" t="str">
        <f aca="false">STACK!M1364</f>
        <v/>
      </c>
      <c r="H1364" s="1" t="str">
        <f aca="false">C1364&amp;"|"&amp;IF(ISNUMBER(D1364),TEXT(D1364,"yyyy-mm-dd"),"no date")&amp;"|"&amp;E1364&amp;"|"&amp;IF(ISNUMBER(F1364),TEXT(F1364,"0.00"),"blank")</f>
        <v>Grief Support Group|2026-06-05|Social Worker|1.75</v>
      </c>
      <c r="I1364" s="1" t="n">
        <f aca="false">COUNTIF($H$5:$H$1624,H1364)</f>
        <v>1</v>
      </c>
      <c r="J1364" s="1" t="n">
        <f aca="false">COUNTIF($H$5:H1364,H1364)</f>
        <v>1</v>
      </c>
      <c r="K1364" s="1" t="n">
        <f aca="false">COUNTIFS($H$5:$H$1624,H1364,$B$5:$B$1624,"&lt;&gt;"&amp;B1364)</f>
        <v>0</v>
      </c>
      <c r="L1364" s="1" t="str">
        <f aca="false">IF(I1364&gt;1,IF(K1364&gt;0,"Cross-hospital match","Same-hospital match"),"")</f>
        <v/>
      </c>
      <c r="M1364" s="52"/>
      <c r="N1364" s="52"/>
      <c r="O1364" s="1" t="n">
        <f aca="false">IF(M1364="Exclude (duplicate)",0,1)</f>
        <v>1</v>
      </c>
      <c r="P1364" s="1" t="str">
        <f aca="false">IF(AND(L1364&lt;&gt;"",M1364=""),"Needs decision","")</f>
        <v/>
      </c>
    </row>
    <row r="1365" customFormat="false" ht="15" hidden="false" customHeight="false" outlineLevel="0" collapsed="false">
      <c r="A1365" s="48" t="str">
        <f aca="false">COST!A1365</f>
        <v>WCH-0258</v>
      </c>
      <c r="B1365" s="48" t="str">
        <f aca="false">COST!B1365</f>
        <v>WCH</v>
      </c>
      <c r="C1365" s="48" t="str">
        <f aca="false">COST!D1365</f>
        <v>Diabetes Prevention Classes</v>
      </c>
      <c r="D1365" s="62" t="n">
        <f aca="false">COST!M1365</f>
        <v>46198</v>
      </c>
      <c r="E1365" s="48" t="str">
        <f aca="false">COST!P1365</f>
        <v>Health Educator</v>
      </c>
      <c r="F1365" s="63" t="n">
        <f aca="false">COST!R1365</f>
        <v>3</v>
      </c>
      <c r="G1365" s="48" t="str">
        <f aca="false">STACK!M1365</f>
        <v/>
      </c>
      <c r="H1365" s="1" t="str">
        <f aca="false">C1365&amp;"|"&amp;IF(ISNUMBER(D1365),TEXT(D1365,"yyyy-mm-dd"),"no date")&amp;"|"&amp;E1365&amp;"|"&amp;IF(ISNUMBER(F1365),TEXT(F1365,"0.00"),"blank")</f>
        <v>Diabetes Prevention Classes|2026-06-25|Health Educator|3.00</v>
      </c>
      <c r="I1365" s="1" t="n">
        <f aca="false">COUNTIF($H$5:$H$1624,H1365)</f>
        <v>1</v>
      </c>
      <c r="J1365" s="1" t="n">
        <f aca="false">COUNTIF($H$5:H1365,H1365)</f>
        <v>1</v>
      </c>
      <c r="K1365" s="1" t="n">
        <f aca="false">COUNTIFS($H$5:$H$1624,H1365,$B$5:$B$1624,"&lt;&gt;"&amp;B1365)</f>
        <v>0</v>
      </c>
      <c r="L1365" s="1" t="str">
        <f aca="false">IF(I1365&gt;1,IF(K1365&gt;0,"Cross-hospital match","Same-hospital match"),"")</f>
        <v/>
      </c>
      <c r="M1365" s="52"/>
      <c r="N1365" s="52"/>
      <c r="O1365" s="1" t="n">
        <f aca="false">IF(M1365="Exclude (duplicate)",0,1)</f>
        <v>1</v>
      </c>
      <c r="P1365" s="1" t="str">
        <f aca="false">IF(AND(L1365&lt;&gt;"",M1365=""),"Needs decision","")</f>
        <v/>
      </c>
    </row>
    <row r="1366" customFormat="false" ht="15" hidden="false" customHeight="false" outlineLevel="0" collapsed="false">
      <c r="A1366" s="48" t="str">
        <f aca="false">COST!A1366</f>
        <v>WCH-0259</v>
      </c>
      <c r="B1366" s="48" t="str">
        <f aca="false">COST!B1366</f>
        <v>WCH</v>
      </c>
      <c r="C1366" s="48" t="str">
        <f aca="false">COST!D1366</f>
        <v>Diabetes Prevention Classes</v>
      </c>
      <c r="D1366" s="62" t="n">
        <f aca="false">COST!M1366</f>
        <v>46198</v>
      </c>
      <c r="E1366" s="48" t="str">
        <f aca="false">COST!P1366</f>
        <v>Registered Dietitian</v>
      </c>
      <c r="F1366" s="63" t="n">
        <f aca="false">COST!R1366</f>
        <v>2</v>
      </c>
      <c r="G1366" s="48" t="str">
        <f aca="false">STACK!M1366</f>
        <v/>
      </c>
      <c r="H1366" s="1" t="str">
        <f aca="false">C1366&amp;"|"&amp;IF(ISNUMBER(D1366),TEXT(D1366,"yyyy-mm-dd"),"no date")&amp;"|"&amp;E1366&amp;"|"&amp;IF(ISNUMBER(F1366),TEXT(F1366,"0.00"),"blank")</f>
        <v>Diabetes Prevention Classes|2026-06-25|Registered Dietitian|2.00</v>
      </c>
      <c r="I1366" s="1" t="n">
        <f aca="false">COUNTIF($H$5:$H$1624,H1366)</f>
        <v>1</v>
      </c>
      <c r="J1366" s="1" t="n">
        <f aca="false">COUNTIF($H$5:H1366,H1366)</f>
        <v>1</v>
      </c>
      <c r="K1366" s="1" t="n">
        <f aca="false">COUNTIFS($H$5:$H$1624,H1366,$B$5:$B$1624,"&lt;&gt;"&amp;B1366)</f>
        <v>0</v>
      </c>
      <c r="L1366" s="1" t="str">
        <f aca="false">IF(I1366&gt;1,IF(K1366&gt;0,"Cross-hospital match","Same-hospital match"),"")</f>
        <v/>
      </c>
      <c r="M1366" s="52"/>
      <c r="N1366" s="52"/>
      <c r="O1366" s="1" t="n">
        <f aca="false">IF(M1366="Exclude (duplicate)",0,1)</f>
        <v>1</v>
      </c>
      <c r="P1366" s="1" t="str">
        <f aca="false">IF(AND(L1366&lt;&gt;"",M1366=""),"Needs decision","")</f>
        <v/>
      </c>
    </row>
    <row r="1367" customFormat="false" ht="15" hidden="false" customHeight="false" outlineLevel="0" collapsed="false">
      <c r="A1367" s="48" t="str">
        <f aca="false">COST!A1367</f>
        <v>WCH-0260</v>
      </c>
      <c r="B1367" s="48" t="str">
        <f aca="false">COST!B1367</f>
        <v>WCH</v>
      </c>
      <c r="C1367" s="48" t="str">
        <f aca="false">COST!D1367</f>
        <v>Mobile Health Screening Unit</v>
      </c>
      <c r="D1367" s="62" t="n">
        <f aca="false">COST!M1367</f>
        <v>46203</v>
      </c>
      <c r="E1367" s="48" t="str">
        <f aca="false">COST!P1367</f>
        <v>Community Health Worker</v>
      </c>
      <c r="F1367" s="63" t="n">
        <f aca="false">COST!R1367</f>
        <v>40.5</v>
      </c>
      <c r="G1367" s="48" t="str">
        <f aca="false">STACK!M1367</f>
        <v/>
      </c>
      <c r="H1367" s="1" t="str">
        <f aca="false">C1367&amp;"|"&amp;IF(ISNUMBER(D1367),TEXT(D1367,"yyyy-mm-dd"),"no date")&amp;"|"&amp;E1367&amp;"|"&amp;IF(ISNUMBER(F1367),TEXT(F1367,"0.00"),"blank")</f>
        <v>Mobile Health Screening Unit|2026-06-30|Community Health Worker|40.50</v>
      </c>
      <c r="I1367" s="1" t="n">
        <f aca="false">COUNTIF($H$5:$H$1624,H1367)</f>
        <v>1</v>
      </c>
      <c r="J1367" s="1" t="n">
        <f aca="false">COUNTIF($H$5:H1367,H1367)</f>
        <v>1</v>
      </c>
      <c r="K1367" s="1" t="n">
        <f aca="false">COUNTIFS($H$5:$H$1624,H1367,$B$5:$B$1624,"&lt;&gt;"&amp;B1367)</f>
        <v>0</v>
      </c>
      <c r="L1367" s="1" t="str">
        <f aca="false">IF(I1367&gt;1,IF(K1367&gt;0,"Cross-hospital match","Same-hospital match"),"")</f>
        <v/>
      </c>
      <c r="M1367" s="52"/>
      <c r="N1367" s="52"/>
      <c r="O1367" s="1" t="n">
        <f aca="false">IF(M1367="Exclude (duplicate)",0,1)</f>
        <v>1</v>
      </c>
      <c r="P1367" s="1" t="str">
        <f aca="false">IF(AND(L1367&lt;&gt;"",M1367=""),"Needs decision","")</f>
        <v/>
      </c>
    </row>
    <row r="1368" customFormat="false" ht="15" hidden="false" customHeight="false" outlineLevel="0" collapsed="false">
      <c r="A1368" s="48" t="str">
        <f aca="false">COST!A1368</f>
        <v>WCH-0261</v>
      </c>
      <c r="B1368" s="48" t="str">
        <f aca="false">COST!B1368</f>
        <v>WCH</v>
      </c>
      <c r="C1368" s="48" t="str">
        <f aca="false">COST!D1368</f>
        <v>Mobile Health Screening Unit</v>
      </c>
      <c r="D1368" s="62" t="n">
        <f aca="false">COST!M1368</f>
        <v>46203</v>
      </c>
      <c r="E1368" s="48" t="str">
        <f aca="false">COST!P1368</f>
        <v>Medical Assistant</v>
      </c>
      <c r="F1368" s="63" t="n">
        <f aca="false">COST!R1368</f>
        <v>73.25</v>
      </c>
      <c r="G1368" s="48" t="str">
        <f aca="false">STACK!M1368</f>
        <v/>
      </c>
      <c r="H1368" s="1" t="str">
        <f aca="false">C1368&amp;"|"&amp;IF(ISNUMBER(D1368),TEXT(D1368,"yyyy-mm-dd"),"no date")&amp;"|"&amp;E1368&amp;"|"&amp;IF(ISNUMBER(F1368),TEXT(F1368,"0.00"),"blank")</f>
        <v>Mobile Health Screening Unit|2026-06-30|Medical Assistant|73.25</v>
      </c>
      <c r="I1368" s="1" t="n">
        <f aca="false">COUNTIF($H$5:$H$1624,H1368)</f>
        <v>1</v>
      </c>
      <c r="J1368" s="1" t="n">
        <f aca="false">COUNTIF($H$5:H1368,H1368)</f>
        <v>1</v>
      </c>
      <c r="K1368" s="1" t="n">
        <f aca="false">COUNTIFS($H$5:$H$1624,H1368,$B$5:$B$1624,"&lt;&gt;"&amp;B1368)</f>
        <v>0</v>
      </c>
      <c r="L1368" s="1" t="str">
        <f aca="false">IF(I1368&gt;1,IF(K1368&gt;0,"Cross-hospital match","Same-hospital match"),"")</f>
        <v/>
      </c>
      <c r="M1368" s="52"/>
      <c r="N1368" s="52"/>
      <c r="O1368" s="1" t="n">
        <f aca="false">IF(M1368="Exclude (duplicate)",0,1)</f>
        <v>1</v>
      </c>
      <c r="P1368" s="1" t="str">
        <f aca="false">IF(AND(L1368&lt;&gt;"",M1368=""),"Needs decision","")</f>
        <v/>
      </c>
    </row>
    <row r="1369" customFormat="false" ht="15" hidden="false" customHeight="false" outlineLevel="0" collapsed="false">
      <c r="A1369" s="48" t="str">
        <f aca="false">COST!A1369</f>
        <v>WCH-0262</v>
      </c>
      <c r="B1369" s="48" t="str">
        <f aca="false">COST!B1369</f>
        <v>WCH</v>
      </c>
      <c r="C1369" s="48" t="str">
        <f aca="false">COST!D1369</f>
        <v>Mobile Health Screening Unit</v>
      </c>
      <c r="D1369" s="62" t="n">
        <f aca="false">COST!M1369</f>
        <v>46203</v>
      </c>
      <c r="E1369" s="48" t="str">
        <f aca="false">COST!P1369</f>
        <v>Registered Nurse</v>
      </c>
      <c r="F1369" s="63" t="n">
        <f aca="false">COST!R1369</f>
        <v>56</v>
      </c>
      <c r="G1369" s="48" t="str">
        <f aca="false">STACK!M1369</f>
        <v/>
      </c>
      <c r="H1369" s="1" t="str">
        <f aca="false">C1369&amp;"|"&amp;IF(ISNUMBER(D1369),TEXT(D1369,"yyyy-mm-dd"),"no date")&amp;"|"&amp;E1369&amp;"|"&amp;IF(ISNUMBER(F1369),TEXT(F1369,"0.00"),"blank")</f>
        <v>Mobile Health Screening Unit|2026-06-30|Registered Nurse|56.00</v>
      </c>
      <c r="I1369" s="1" t="n">
        <f aca="false">COUNTIF($H$5:$H$1624,H1369)</f>
        <v>1</v>
      </c>
      <c r="J1369" s="1" t="n">
        <f aca="false">COUNTIF($H$5:H1369,H1369)</f>
        <v>1</v>
      </c>
      <c r="K1369" s="1" t="n">
        <f aca="false">COUNTIFS($H$5:$H$1624,H1369,$B$5:$B$1624,"&lt;&gt;"&amp;B1369)</f>
        <v>0</v>
      </c>
      <c r="L1369" s="1" t="str">
        <f aca="false">IF(I1369&gt;1,IF(K1369&gt;0,"Cross-hospital match","Same-hospital match"),"")</f>
        <v/>
      </c>
      <c r="M1369" s="52"/>
      <c r="N1369" s="52"/>
      <c r="O1369" s="1" t="n">
        <f aca="false">IF(M1369="Exclude (duplicate)",0,1)</f>
        <v>1</v>
      </c>
      <c r="P1369" s="1" t="str">
        <f aca="false">IF(AND(L1369&lt;&gt;"",M1369=""),"Needs decision","")</f>
        <v/>
      </c>
    </row>
    <row r="1370" customFormat="false" ht="15" hidden="false" customHeight="false" outlineLevel="0" collapsed="false">
      <c r="A1370" s="48" t="str">
        <f aca="false">COST!A1370</f>
        <v>WCH-0263</v>
      </c>
      <c r="B1370" s="48" t="str">
        <f aca="false">COST!B1370</f>
        <v>WCH</v>
      </c>
      <c r="C1370" s="48" t="str">
        <f aca="false">COST!D1370</f>
        <v>Community Health Worker Outreach</v>
      </c>
      <c r="D1370" s="62" t="n">
        <f aca="false">COST!M1370</f>
        <v>46203</v>
      </c>
      <c r="E1370" s="48" t="str">
        <f aca="false">COST!P1370</f>
        <v>Community Health Worker</v>
      </c>
      <c r="F1370" s="63" t="n">
        <f aca="false">COST!R1370</f>
        <v>234</v>
      </c>
      <c r="G1370" s="48" t="str">
        <f aca="false">STACK!M1370</f>
        <v/>
      </c>
      <c r="H1370" s="1" t="str">
        <f aca="false">C1370&amp;"|"&amp;IF(ISNUMBER(D1370),TEXT(D1370,"yyyy-mm-dd"),"no date")&amp;"|"&amp;E1370&amp;"|"&amp;IF(ISNUMBER(F1370),TEXT(F1370,"0.00"),"blank")</f>
        <v>Community Health Worker Outreach|2026-06-30|Community Health Worker|234.00</v>
      </c>
      <c r="I1370" s="1" t="n">
        <f aca="false">COUNTIF($H$5:$H$1624,H1370)</f>
        <v>1</v>
      </c>
      <c r="J1370" s="1" t="n">
        <f aca="false">COUNTIF($H$5:H1370,H1370)</f>
        <v>1</v>
      </c>
      <c r="K1370" s="1" t="n">
        <f aca="false">COUNTIFS($H$5:$H$1624,H1370,$B$5:$B$1624,"&lt;&gt;"&amp;B1370)</f>
        <v>0</v>
      </c>
      <c r="L1370" s="1" t="str">
        <f aca="false">IF(I1370&gt;1,IF(K1370&gt;0,"Cross-hospital match","Same-hospital match"),"")</f>
        <v/>
      </c>
      <c r="M1370" s="52"/>
      <c r="N1370" s="52"/>
      <c r="O1370" s="1" t="n">
        <f aca="false">IF(M1370="Exclude (duplicate)",0,1)</f>
        <v>1</v>
      </c>
      <c r="P1370" s="1" t="str">
        <f aca="false">IF(AND(L1370&lt;&gt;"",M1370=""),"Needs decision","")</f>
        <v/>
      </c>
    </row>
    <row r="1371" customFormat="false" ht="15" hidden="false" customHeight="false" outlineLevel="0" collapsed="false">
      <c r="A1371" s="48" t="str">
        <f aca="false">COST!A1371</f>
        <v>WCH-0264</v>
      </c>
      <c r="B1371" s="48" t="str">
        <f aca="false">COST!B1371</f>
        <v>WCH</v>
      </c>
      <c r="C1371" s="48" t="str">
        <f aca="false">COST!D1371</f>
        <v>Community Health Worker Outreach</v>
      </c>
      <c r="D1371" s="62" t="n">
        <f aca="false">COST!M1371</f>
        <v>46203</v>
      </c>
      <c r="E1371" s="48" t="str">
        <f aca="false">COST!P1371</f>
        <v>Patient Navigator</v>
      </c>
      <c r="F1371" s="63" t="n">
        <f aca="false">COST!R1371</f>
        <v>107.75</v>
      </c>
      <c r="G1371" s="48" t="str">
        <f aca="false">STACK!M1371</f>
        <v/>
      </c>
      <c r="H1371" s="1" t="str">
        <f aca="false">C1371&amp;"|"&amp;IF(ISNUMBER(D1371),TEXT(D1371,"yyyy-mm-dd"),"no date")&amp;"|"&amp;E1371&amp;"|"&amp;IF(ISNUMBER(F1371),TEXT(F1371,"0.00"),"blank")</f>
        <v>Community Health Worker Outreach|2026-06-30|Patient Navigator|107.75</v>
      </c>
      <c r="I1371" s="1" t="n">
        <f aca="false">COUNTIF($H$5:$H$1624,H1371)</f>
        <v>1</v>
      </c>
      <c r="J1371" s="1" t="n">
        <f aca="false">COUNTIF($H$5:H1371,H1371)</f>
        <v>1</v>
      </c>
      <c r="K1371" s="1" t="n">
        <f aca="false">COUNTIFS($H$5:$H$1624,H1371,$B$5:$B$1624,"&lt;&gt;"&amp;B1371)</f>
        <v>0</v>
      </c>
      <c r="L1371" s="1" t="str">
        <f aca="false">IF(I1371&gt;1,IF(K1371&gt;0,"Cross-hospital match","Same-hospital match"),"")</f>
        <v/>
      </c>
      <c r="M1371" s="52"/>
      <c r="N1371" s="52"/>
      <c r="O1371" s="1" t="n">
        <f aca="false">IF(M1371="Exclude (duplicate)",0,1)</f>
        <v>1</v>
      </c>
      <c r="P1371" s="1" t="str">
        <f aca="false">IF(AND(L1371&lt;&gt;"",M1371=""),"Needs decision","")</f>
        <v/>
      </c>
    </row>
    <row r="1372" customFormat="false" ht="15" hidden="false" customHeight="false" outlineLevel="0" collapsed="false">
      <c r="A1372" s="48" t="str">
        <f aca="false">COST!A1372</f>
        <v>WCH-0265</v>
      </c>
      <c r="B1372" s="48" t="str">
        <f aca="false">COST!B1372</f>
        <v>WCH</v>
      </c>
      <c r="C1372" s="48" t="str">
        <f aca="false">COST!D1372</f>
        <v>Produce Prescription Program</v>
      </c>
      <c r="D1372" s="62" t="n">
        <f aca="false">COST!M1372</f>
        <v>46203</v>
      </c>
      <c r="E1372" s="48" t="str">
        <f aca="false">COST!P1372</f>
        <v>Community Health Worker</v>
      </c>
      <c r="F1372" s="63" t="n">
        <f aca="false">COST!R1372</f>
        <v>30.5</v>
      </c>
      <c r="G1372" s="48" t="str">
        <f aca="false">STACK!M1372</f>
        <v/>
      </c>
      <c r="H1372" s="1" t="str">
        <f aca="false">C1372&amp;"|"&amp;IF(ISNUMBER(D1372),TEXT(D1372,"yyyy-mm-dd"),"no date")&amp;"|"&amp;E1372&amp;"|"&amp;IF(ISNUMBER(F1372),TEXT(F1372,"0.00"),"blank")</f>
        <v>Produce Prescription Program|2026-06-30|Community Health Worker|30.50</v>
      </c>
      <c r="I1372" s="1" t="n">
        <f aca="false">COUNTIF($H$5:$H$1624,H1372)</f>
        <v>1</v>
      </c>
      <c r="J1372" s="1" t="n">
        <f aca="false">COUNTIF($H$5:H1372,H1372)</f>
        <v>1</v>
      </c>
      <c r="K1372" s="1" t="n">
        <f aca="false">COUNTIFS($H$5:$H$1624,H1372,$B$5:$B$1624,"&lt;&gt;"&amp;B1372)</f>
        <v>0</v>
      </c>
      <c r="L1372" s="1" t="str">
        <f aca="false">IF(I1372&gt;1,IF(K1372&gt;0,"Cross-hospital match","Same-hospital match"),"")</f>
        <v/>
      </c>
      <c r="M1372" s="52"/>
      <c r="N1372" s="52"/>
      <c r="O1372" s="1" t="n">
        <f aca="false">IF(M1372="Exclude (duplicate)",0,1)</f>
        <v>1</v>
      </c>
      <c r="P1372" s="1" t="str">
        <f aca="false">IF(AND(L1372&lt;&gt;"",M1372=""),"Needs decision","")</f>
        <v/>
      </c>
    </row>
    <row r="1373" customFormat="false" ht="15" hidden="false" customHeight="false" outlineLevel="0" collapsed="false">
      <c r="A1373" s="48" t="str">
        <f aca="false">COST!A1373</f>
        <v>WCH-0266</v>
      </c>
      <c r="B1373" s="48" t="str">
        <f aca="false">COST!B1373</f>
        <v>WCH</v>
      </c>
      <c r="C1373" s="48" t="str">
        <f aca="false">COST!D1373</f>
        <v>Produce Prescription Program</v>
      </c>
      <c r="D1373" s="62" t="n">
        <f aca="false">COST!M1373</f>
        <v>46203</v>
      </c>
      <c r="E1373" s="48" t="str">
        <f aca="false">COST!P1373</f>
        <v>Registered Dietitian</v>
      </c>
      <c r="F1373" s="63" t="n">
        <f aca="false">COST!R1373</f>
        <v>22.5</v>
      </c>
      <c r="G1373" s="48" t="str">
        <f aca="false">STACK!M1373</f>
        <v/>
      </c>
      <c r="H1373" s="1" t="str">
        <f aca="false">C1373&amp;"|"&amp;IF(ISNUMBER(D1373),TEXT(D1373,"yyyy-mm-dd"),"no date")&amp;"|"&amp;E1373&amp;"|"&amp;IF(ISNUMBER(F1373),TEXT(F1373,"0.00"),"blank")</f>
        <v>Produce Prescription Program|2026-06-30|Registered Dietitian|22.50</v>
      </c>
      <c r="I1373" s="1" t="n">
        <f aca="false">COUNTIF($H$5:$H$1624,H1373)</f>
        <v>1</v>
      </c>
      <c r="J1373" s="1" t="n">
        <f aca="false">COUNTIF($H$5:H1373,H1373)</f>
        <v>1</v>
      </c>
      <c r="K1373" s="1" t="n">
        <f aca="false">COUNTIFS($H$5:$H$1624,H1373,$B$5:$B$1624,"&lt;&gt;"&amp;B1373)</f>
        <v>0</v>
      </c>
      <c r="L1373" s="1" t="str">
        <f aca="false">IF(I1373&gt;1,IF(K1373&gt;0,"Cross-hospital match","Same-hospital match"),"")</f>
        <v/>
      </c>
      <c r="M1373" s="52"/>
      <c r="N1373" s="52"/>
      <c r="O1373" s="1" t="n">
        <f aca="false">IF(M1373="Exclude (duplicate)",0,1)</f>
        <v>1</v>
      </c>
      <c r="P1373" s="1" t="str">
        <f aca="false">IF(AND(L1373&lt;&gt;"",M1373=""),"Needs decision","")</f>
        <v/>
      </c>
    </row>
    <row r="1374" customFormat="false" ht="15" hidden="false" customHeight="false" outlineLevel="0" collapsed="false">
      <c r="A1374" s="48" t="str">
        <f aca="false">COST!A1374</f>
        <v>WCH-0267</v>
      </c>
      <c r="B1374" s="48" t="str">
        <f aca="false">COST!B1374</f>
        <v>WCH</v>
      </c>
      <c r="C1374" s="48" t="str">
        <f aca="false">COST!D1374</f>
        <v>Community Benefit Program Administration</v>
      </c>
      <c r="D1374" s="62" t="n">
        <f aca="false">COST!M1374</f>
        <v>46203</v>
      </c>
      <c r="E1374" s="48" t="str">
        <f aca="false">COST!P1374</f>
        <v>Administrative Assistant</v>
      </c>
      <c r="F1374" s="63" t="n">
        <f aca="false">COST!R1374</f>
        <v>27.5</v>
      </c>
      <c r="G1374" s="48" t="str">
        <f aca="false">STACK!M1374</f>
        <v/>
      </c>
      <c r="H1374" s="1" t="str">
        <f aca="false">C1374&amp;"|"&amp;IF(ISNUMBER(D1374),TEXT(D1374,"yyyy-mm-dd"),"no date")&amp;"|"&amp;E1374&amp;"|"&amp;IF(ISNUMBER(F1374),TEXT(F1374,"0.00"),"blank")</f>
        <v>Community Benefit Program Administration|2026-06-30|Administrative Assistant|27.50</v>
      </c>
      <c r="I1374" s="1" t="n">
        <f aca="false">COUNTIF($H$5:$H$1624,H1374)</f>
        <v>1</v>
      </c>
      <c r="J1374" s="1" t="n">
        <f aca="false">COUNTIF($H$5:H1374,H1374)</f>
        <v>1</v>
      </c>
      <c r="K1374" s="1" t="n">
        <f aca="false">COUNTIFS($H$5:$H$1624,H1374,$B$5:$B$1624,"&lt;&gt;"&amp;B1374)</f>
        <v>0</v>
      </c>
      <c r="L1374" s="1" t="str">
        <f aca="false">IF(I1374&gt;1,IF(K1374&gt;0,"Cross-hospital match","Same-hospital match"),"")</f>
        <v/>
      </c>
      <c r="M1374" s="52"/>
      <c r="N1374" s="52"/>
      <c r="O1374" s="1" t="n">
        <f aca="false">IF(M1374="Exclude (duplicate)",0,1)</f>
        <v>1</v>
      </c>
      <c r="P1374" s="1" t="str">
        <f aca="false">IF(AND(L1374&lt;&gt;"",M1374=""),"Needs decision","")</f>
        <v/>
      </c>
    </row>
    <row r="1375" customFormat="false" ht="15" hidden="false" customHeight="false" outlineLevel="0" collapsed="false">
      <c r="A1375" s="48" t="str">
        <f aca="false">COST!A1375</f>
        <v>WCH-0268</v>
      </c>
      <c r="B1375" s="48" t="str">
        <f aca="false">COST!B1375</f>
        <v>WCH</v>
      </c>
      <c r="C1375" s="48" t="str">
        <f aca="false">COST!D1375</f>
        <v>Community Benefit Program Administration</v>
      </c>
      <c r="D1375" s="62" t="n">
        <f aca="false">COST!M1375</f>
        <v>46203</v>
      </c>
      <c r="E1375" s="48" t="str">
        <f aca="false">COST!P1375</f>
        <v>Community Benefit Manager</v>
      </c>
      <c r="F1375" s="63" t="n">
        <f aca="false">COST!R1375</f>
        <v>54.25</v>
      </c>
      <c r="G1375" s="48" t="str">
        <f aca="false">STACK!M1375</f>
        <v/>
      </c>
      <c r="H1375" s="1" t="str">
        <f aca="false">C1375&amp;"|"&amp;IF(ISNUMBER(D1375),TEXT(D1375,"yyyy-mm-dd"),"no date")&amp;"|"&amp;E1375&amp;"|"&amp;IF(ISNUMBER(F1375),TEXT(F1375,"0.00"),"blank")</f>
        <v>Community Benefit Program Administration|2026-06-30|Community Benefit Manager|54.25</v>
      </c>
      <c r="I1375" s="1" t="n">
        <f aca="false">COUNTIF($H$5:$H$1624,H1375)</f>
        <v>1</v>
      </c>
      <c r="J1375" s="1" t="n">
        <f aca="false">COUNTIF($H$5:H1375,H1375)</f>
        <v>1</v>
      </c>
      <c r="K1375" s="1" t="n">
        <f aca="false">COUNTIFS($H$5:$H$1624,H1375,$B$5:$B$1624,"&lt;&gt;"&amp;B1375)</f>
        <v>0</v>
      </c>
      <c r="L1375" s="1" t="str">
        <f aca="false">IF(I1375&gt;1,IF(K1375&gt;0,"Cross-hospital match","Same-hospital match"),"")</f>
        <v/>
      </c>
      <c r="M1375" s="52"/>
      <c r="N1375" s="52"/>
      <c r="O1375" s="1" t="n">
        <f aca="false">IF(M1375="Exclude (duplicate)",0,1)</f>
        <v>1</v>
      </c>
      <c r="P1375" s="1" t="str">
        <f aca="false">IF(AND(L1375&lt;&gt;"",M1375=""),"Needs decision","")</f>
        <v/>
      </c>
    </row>
    <row r="1376" customFormat="false" ht="15" hidden="false" customHeight="false" outlineLevel="0" collapsed="false">
      <c r="A1376" s="48" t="str">
        <f aca="false">COST!A1376</f>
        <v>WCH-0269</v>
      </c>
      <c r="B1376" s="48" t="str">
        <f aca="false">COST!B1376</f>
        <v>WCH</v>
      </c>
      <c r="C1376" s="48" t="str">
        <f aca="false">COST!D1376</f>
        <v>Community Paramedic Home Visits</v>
      </c>
      <c r="D1376" s="62" t="n">
        <f aca="false">COST!M1376</f>
        <v>46203</v>
      </c>
      <c r="E1376" s="48" t="str">
        <f aca="false">COST!P1376</f>
        <v>Paramedic</v>
      </c>
      <c r="F1376" s="63" t="n">
        <f aca="false">COST!R1376</f>
        <v>59.25</v>
      </c>
      <c r="G1376" s="48" t="str">
        <f aca="false">STACK!M1376</f>
        <v/>
      </c>
      <c r="H1376" s="1" t="str">
        <f aca="false">C1376&amp;"|"&amp;IF(ISNUMBER(D1376),TEXT(D1376,"yyyy-mm-dd"),"no date")&amp;"|"&amp;E1376&amp;"|"&amp;IF(ISNUMBER(F1376),TEXT(F1376,"0.00"),"blank")</f>
        <v>Community Paramedic Home Visits|2026-06-30|Paramedic|59.25</v>
      </c>
      <c r="I1376" s="1" t="n">
        <f aca="false">COUNTIF($H$5:$H$1624,H1376)</f>
        <v>1</v>
      </c>
      <c r="J1376" s="1" t="n">
        <f aca="false">COUNTIF($H$5:H1376,H1376)</f>
        <v>1</v>
      </c>
      <c r="K1376" s="1" t="n">
        <f aca="false">COUNTIFS($H$5:$H$1624,H1376,$B$5:$B$1624,"&lt;&gt;"&amp;B1376)</f>
        <v>0</v>
      </c>
      <c r="L1376" s="1" t="str">
        <f aca="false">IF(I1376&gt;1,IF(K1376&gt;0,"Cross-hospital match","Same-hospital match"),"")</f>
        <v/>
      </c>
      <c r="M1376" s="52"/>
      <c r="N1376" s="52"/>
      <c r="O1376" s="1" t="n">
        <f aca="false">IF(M1376="Exclude (duplicate)",0,1)</f>
        <v>1</v>
      </c>
      <c r="P1376" s="1" t="str">
        <f aca="false">IF(AND(L1376&lt;&gt;"",M1376=""),"Needs decision","")</f>
        <v/>
      </c>
    </row>
    <row r="1377" customFormat="false" ht="15" hidden="false" customHeight="false" outlineLevel="0" collapsed="false">
      <c r="A1377" s="48" t="str">
        <f aca="false">COST!A1377</f>
        <v>WCH-0270</v>
      </c>
      <c r="B1377" s="48" t="str">
        <f aca="false">COST!B1377</f>
        <v>WCH</v>
      </c>
      <c r="C1377" s="48" t="str">
        <f aca="false">COST!D1377</f>
        <v>Nursing Student Clinical Rotations</v>
      </c>
      <c r="D1377" s="62" t="n">
        <f aca="false">COST!M1377</f>
        <v>46203</v>
      </c>
      <c r="E1377" s="48" t="str">
        <f aca="false">COST!P1377</f>
        <v>Clinical Nurse Educator</v>
      </c>
      <c r="F1377" s="63" t="n">
        <f aca="false">COST!R1377</f>
        <v>40.75</v>
      </c>
      <c r="G1377" s="48" t="str">
        <f aca="false">STACK!M1377</f>
        <v/>
      </c>
      <c r="H1377" s="1" t="str">
        <f aca="false">C1377&amp;"|"&amp;IF(ISNUMBER(D1377),TEXT(D1377,"yyyy-mm-dd"),"no date")&amp;"|"&amp;E1377&amp;"|"&amp;IF(ISNUMBER(F1377),TEXT(F1377,"0.00"),"blank")</f>
        <v>Nursing Student Clinical Rotations|2026-06-30|Clinical Nurse Educator|40.75</v>
      </c>
      <c r="I1377" s="1" t="n">
        <f aca="false">COUNTIF($H$5:$H$1624,H1377)</f>
        <v>1</v>
      </c>
      <c r="J1377" s="1" t="n">
        <f aca="false">COUNTIF($H$5:H1377,H1377)</f>
        <v>1</v>
      </c>
      <c r="K1377" s="1" t="n">
        <f aca="false">COUNTIFS($H$5:$H$1624,H1377,$B$5:$B$1624,"&lt;&gt;"&amp;B1377)</f>
        <v>0</v>
      </c>
      <c r="L1377" s="1" t="str">
        <f aca="false">IF(I1377&gt;1,IF(K1377&gt;0,"Cross-hospital match","Same-hospital match"),"")</f>
        <v/>
      </c>
      <c r="M1377" s="52"/>
      <c r="N1377" s="52"/>
      <c r="O1377" s="1" t="n">
        <f aca="false">IF(M1377="Exclude (duplicate)",0,1)</f>
        <v>1</v>
      </c>
      <c r="P1377" s="1" t="str">
        <f aca="false">IF(AND(L1377&lt;&gt;"",M1377=""),"Needs decision","")</f>
        <v/>
      </c>
    </row>
    <row r="1378" customFormat="false" ht="15" hidden="false" customHeight="false" outlineLevel="0" collapsed="false">
      <c r="A1378" s="48" t="str">
        <f aca="false">COST!A1378</f>
        <v>WCH-0271</v>
      </c>
      <c r="B1378" s="48" t="str">
        <f aca="false">COST!B1378</f>
        <v>WCH</v>
      </c>
      <c r="C1378" s="48" t="str">
        <f aca="false">COST!D1378</f>
        <v>Nursing Student Clinical Rotations</v>
      </c>
      <c r="D1378" s="62" t="n">
        <f aca="false">COST!M1378</f>
        <v>46203</v>
      </c>
      <c r="E1378" s="48" t="str">
        <f aca="false">COST!P1378</f>
        <v>Registered Nurse</v>
      </c>
      <c r="F1378" s="63" t="n">
        <f aca="false">COST!R1378</f>
        <v>51.25</v>
      </c>
      <c r="G1378" s="48" t="str">
        <f aca="false">STACK!M1378</f>
        <v/>
      </c>
      <c r="H1378" s="1" t="str">
        <f aca="false">C1378&amp;"|"&amp;IF(ISNUMBER(D1378),TEXT(D1378,"yyyy-mm-dd"),"no date")&amp;"|"&amp;E1378&amp;"|"&amp;IF(ISNUMBER(F1378),TEXT(F1378,"0.00"),"blank")</f>
        <v>Nursing Student Clinical Rotations|2026-06-30|Registered Nurse|51.25</v>
      </c>
      <c r="I1378" s="1" t="n">
        <f aca="false">COUNTIF($H$5:$H$1624,H1378)</f>
        <v>1</v>
      </c>
      <c r="J1378" s="1" t="n">
        <f aca="false">COUNTIF($H$5:H1378,H1378)</f>
        <v>1</v>
      </c>
      <c r="K1378" s="1" t="n">
        <f aca="false">COUNTIFS($H$5:$H$1624,H1378,$B$5:$B$1624,"&lt;&gt;"&amp;B1378)</f>
        <v>0</v>
      </c>
      <c r="L1378" s="1" t="str">
        <f aca="false">IF(I1378&gt;1,IF(K1378&gt;0,"Cross-hospital match","Same-hospital match"),"")</f>
        <v/>
      </c>
      <c r="M1378" s="52"/>
      <c r="N1378" s="52"/>
      <c r="O1378" s="1" t="n">
        <f aca="false">IF(M1378="Exclude (duplicate)",0,1)</f>
        <v>1</v>
      </c>
      <c r="P1378" s="1" t="str">
        <f aca="false">IF(AND(L1378&lt;&gt;"",M1378=""),"Needs decision","")</f>
        <v/>
      </c>
    </row>
    <row r="1379" customFormat="false" ht="15" hidden="false" customHeight="false" outlineLevel="0" collapsed="false">
      <c r="A1379" s="48" t="str">
        <f aca="false">COST!A1379</f>
        <v>WCH-0272</v>
      </c>
      <c r="B1379" s="48" t="str">
        <f aca="false">COST!B1379</f>
        <v>WCH</v>
      </c>
      <c r="C1379" s="48" t="str">
        <f aca="false">COST!D1379</f>
        <v>Paramedic Student Field Training</v>
      </c>
      <c r="D1379" s="62" t="n">
        <f aca="false">COST!M1379</f>
        <v>46203</v>
      </c>
      <c r="E1379" s="48" t="str">
        <f aca="false">COST!P1379</f>
        <v>Paramedic</v>
      </c>
      <c r="F1379" s="63" t="n">
        <f aca="false">COST!R1379</f>
        <v>45.25</v>
      </c>
      <c r="G1379" s="48" t="str">
        <f aca="false">STACK!M1379</f>
        <v/>
      </c>
      <c r="H1379" s="1" t="str">
        <f aca="false">C1379&amp;"|"&amp;IF(ISNUMBER(D1379),TEXT(D1379,"yyyy-mm-dd"),"no date")&amp;"|"&amp;E1379&amp;"|"&amp;IF(ISNUMBER(F1379),TEXT(F1379,"0.00"),"blank")</f>
        <v>Paramedic Student Field Training|2026-06-30|Paramedic|45.25</v>
      </c>
      <c r="I1379" s="1" t="n">
        <f aca="false">COUNTIF($H$5:$H$1624,H1379)</f>
        <v>1</v>
      </c>
      <c r="J1379" s="1" t="n">
        <f aca="false">COUNTIF($H$5:H1379,H1379)</f>
        <v>1</v>
      </c>
      <c r="K1379" s="1" t="n">
        <f aca="false">COUNTIFS($H$5:$H$1624,H1379,$B$5:$B$1624,"&lt;&gt;"&amp;B1379)</f>
        <v>0</v>
      </c>
      <c r="L1379" s="1" t="str">
        <f aca="false">IF(I1379&gt;1,IF(K1379&gt;0,"Cross-hospital match","Same-hospital match"),"")</f>
        <v/>
      </c>
      <c r="M1379" s="52"/>
      <c r="N1379" s="52"/>
      <c r="O1379" s="1" t="n">
        <f aca="false">IF(M1379="Exclude (duplicate)",0,1)</f>
        <v>1</v>
      </c>
      <c r="P1379" s="1" t="str">
        <f aca="false">IF(AND(L1379&lt;&gt;"",M1379=""),"Needs decision","")</f>
        <v/>
      </c>
    </row>
    <row r="1380" customFormat="false" ht="15" hidden="false" customHeight="false" outlineLevel="0" collapsed="false">
      <c r="A1380" s="48" t="str">
        <f aca="false">COST!A1380</f>
        <v>WCH-0273</v>
      </c>
      <c r="B1380" s="48" t="str">
        <f aca="false">COST!B1380</f>
        <v>WCH</v>
      </c>
      <c r="C1380" s="48" t="str">
        <f aca="false">COST!D1380</f>
        <v>Rural Maternal Outcomes Study</v>
      </c>
      <c r="D1380" s="62" t="n">
        <f aca="false">COST!M1380</f>
        <v>46203</v>
      </c>
      <c r="E1380" s="48" t="str">
        <f aca="false">COST!P1380</f>
        <v>Data Analyst</v>
      </c>
      <c r="F1380" s="63" t="n">
        <f aca="false">COST!R1380</f>
        <v>12</v>
      </c>
      <c r="G1380" s="48" t="str">
        <f aca="false">STACK!M1380</f>
        <v/>
      </c>
      <c r="H1380" s="1" t="str">
        <f aca="false">C1380&amp;"|"&amp;IF(ISNUMBER(D1380),TEXT(D1380,"yyyy-mm-dd"),"no date")&amp;"|"&amp;E1380&amp;"|"&amp;IF(ISNUMBER(F1380),TEXT(F1380,"0.00"),"blank")</f>
        <v>Rural Maternal Outcomes Study|2026-06-30|Data Analyst|12.00</v>
      </c>
      <c r="I1380" s="1" t="n">
        <f aca="false">COUNTIF($H$5:$H$1624,H1380)</f>
        <v>1</v>
      </c>
      <c r="J1380" s="1" t="n">
        <f aca="false">COUNTIF($H$5:H1380,H1380)</f>
        <v>1</v>
      </c>
      <c r="K1380" s="1" t="n">
        <f aca="false">COUNTIFS($H$5:$H$1624,H1380,$B$5:$B$1624,"&lt;&gt;"&amp;B1380)</f>
        <v>0</v>
      </c>
      <c r="L1380" s="1" t="str">
        <f aca="false">IF(I1380&gt;1,IF(K1380&gt;0,"Cross-hospital match","Same-hospital match"),"")</f>
        <v/>
      </c>
      <c r="M1380" s="52"/>
      <c r="N1380" s="52"/>
      <c r="O1380" s="1" t="n">
        <f aca="false">IF(M1380="Exclude (duplicate)",0,1)</f>
        <v>1</v>
      </c>
      <c r="P1380" s="1" t="str">
        <f aca="false">IF(AND(L1380&lt;&gt;"",M1380=""),"Needs decision","")</f>
        <v/>
      </c>
    </row>
    <row r="1381" customFormat="false" ht="15" hidden="false" customHeight="false" outlineLevel="0" collapsed="false">
      <c r="A1381" s="48" t="str">
        <f aca="false">COST!A1381</f>
        <v>WCH-0274</v>
      </c>
      <c r="B1381" s="48" t="str">
        <f aca="false">COST!B1381</f>
        <v>WCH</v>
      </c>
      <c r="C1381" s="48" t="str">
        <f aca="false">COST!D1381</f>
        <v>Rural Maternal Outcomes Study</v>
      </c>
      <c r="D1381" s="62" t="n">
        <f aca="false">COST!M1381</f>
        <v>46203</v>
      </c>
      <c r="E1381" s="48" t="str">
        <f aca="false">COST!P1381</f>
        <v>Research Coordinator</v>
      </c>
      <c r="F1381" s="63" t="n">
        <f aca="false">COST!R1381</f>
        <v>43</v>
      </c>
      <c r="G1381" s="48" t="str">
        <f aca="false">STACK!M1381</f>
        <v/>
      </c>
      <c r="H1381" s="1" t="str">
        <f aca="false">C1381&amp;"|"&amp;IF(ISNUMBER(D1381),TEXT(D1381,"yyyy-mm-dd"),"no date")&amp;"|"&amp;E1381&amp;"|"&amp;IF(ISNUMBER(F1381),TEXT(F1381,"0.00"),"blank")</f>
        <v>Rural Maternal Outcomes Study|2026-06-30|Research Coordinator|43.00</v>
      </c>
      <c r="I1381" s="1" t="n">
        <f aca="false">COUNTIF($H$5:$H$1624,H1381)</f>
        <v>1</v>
      </c>
      <c r="J1381" s="1" t="n">
        <f aca="false">COUNTIF($H$5:H1381,H1381)</f>
        <v>1</v>
      </c>
      <c r="K1381" s="1" t="n">
        <f aca="false">COUNTIFS($H$5:$H$1624,H1381,$B$5:$B$1624,"&lt;&gt;"&amp;B1381)</f>
        <v>0</v>
      </c>
      <c r="L1381" s="1" t="str">
        <f aca="false">IF(I1381&gt;1,IF(K1381&gt;0,"Cross-hospital match","Same-hospital match"),"")</f>
        <v/>
      </c>
      <c r="M1381" s="52"/>
      <c r="N1381" s="52"/>
      <c r="O1381" s="1" t="n">
        <f aca="false">IF(M1381="Exclude (duplicate)",0,1)</f>
        <v>1</v>
      </c>
      <c r="P1381" s="1" t="str">
        <f aca="false">IF(AND(L1381&lt;&gt;"",M1381=""),"Needs decision","")</f>
        <v/>
      </c>
    </row>
    <row r="1382" customFormat="false" ht="15" hidden="false" customHeight="false" outlineLevel="0" collapsed="false">
      <c r="A1382" s="48" t="str">
        <f aca="false">COST!A1382</f>
        <v>QHH-0001</v>
      </c>
      <c r="B1382" s="48" t="str">
        <f aca="false">COST!B1382</f>
        <v>QHH</v>
      </c>
      <c r="C1382" s="48" t="str">
        <f aca="false">COST!D1382</f>
        <v>Regional Health Coalition</v>
      </c>
      <c r="D1382" s="62" t="n">
        <f aca="false">COST!M1382</f>
        <v>45840</v>
      </c>
      <c r="E1382" s="48" t="str">
        <f aca="false">COST!P1382</f>
        <v>Community Benefit Manager</v>
      </c>
      <c r="F1382" s="63" t="n">
        <f aca="false">COST!R1382</f>
        <v>2.25</v>
      </c>
      <c r="G1382" s="48" t="str">
        <f aca="false">STACK!M1382</f>
        <v/>
      </c>
      <c r="H1382" s="1" t="str">
        <f aca="false">C1382&amp;"|"&amp;IF(ISNUMBER(D1382),TEXT(D1382,"yyyy-mm-dd"),"no date")&amp;"|"&amp;E1382&amp;"|"&amp;IF(ISNUMBER(F1382),TEXT(F1382,"0.00"),"blank")</f>
        <v>Regional Health Coalition|2025-07-02|Community Benefit Manager|2.25</v>
      </c>
      <c r="I1382" s="1" t="n">
        <f aca="false">COUNTIF($H$5:$H$1624,H1382)</f>
        <v>1</v>
      </c>
      <c r="J1382" s="1" t="n">
        <f aca="false">COUNTIF($H$5:H1382,H1382)</f>
        <v>1</v>
      </c>
      <c r="K1382" s="1" t="n">
        <f aca="false">COUNTIFS($H$5:$H$1624,H1382,$B$5:$B$1624,"&lt;&gt;"&amp;B1382)</f>
        <v>0</v>
      </c>
      <c r="L1382" s="1" t="str">
        <f aca="false">IF(I1382&gt;1,IF(K1382&gt;0,"Cross-hospital match","Same-hospital match"),"")</f>
        <v/>
      </c>
      <c r="M1382" s="52"/>
      <c r="N1382" s="52"/>
      <c r="O1382" s="1" t="n">
        <f aca="false">IF(M1382="Exclude (duplicate)",0,1)</f>
        <v>1</v>
      </c>
      <c r="P1382" s="1" t="str">
        <f aca="false">IF(AND(L1382&lt;&gt;"",M1382=""),"Needs decision","")</f>
        <v/>
      </c>
    </row>
    <row r="1383" customFormat="false" ht="15" hidden="false" customHeight="false" outlineLevel="0" collapsed="false">
      <c r="A1383" s="48" t="str">
        <f aca="false">COST!A1383</f>
        <v>QHH-0002</v>
      </c>
      <c r="B1383" s="48" t="str">
        <f aca="false">COST!B1383</f>
        <v>QHH</v>
      </c>
      <c r="C1383" s="48" t="str">
        <f aca="false">COST!D1383</f>
        <v>Regional Health Coalition</v>
      </c>
      <c r="D1383" s="62" t="n">
        <f aca="false">COST!M1383</f>
        <v>45840</v>
      </c>
      <c r="E1383" s="48" t="str">
        <f aca="false">COST!P1383</f>
        <v>Director</v>
      </c>
      <c r="F1383" s="63" t="n">
        <f aca="false">COST!R1383</f>
        <v>2.75</v>
      </c>
      <c r="G1383" s="48" t="str">
        <f aca="false">STACK!M1383</f>
        <v/>
      </c>
      <c r="H1383" s="1" t="str">
        <f aca="false">C1383&amp;"|"&amp;IF(ISNUMBER(D1383),TEXT(D1383,"yyyy-mm-dd"),"no date")&amp;"|"&amp;E1383&amp;"|"&amp;IF(ISNUMBER(F1383),TEXT(F1383,"0.00"),"blank")</f>
        <v>Regional Health Coalition|2025-07-02|Director|2.75</v>
      </c>
      <c r="I1383" s="1" t="n">
        <f aca="false">COUNTIF($H$5:$H$1624,H1383)</f>
        <v>1</v>
      </c>
      <c r="J1383" s="1" t="n">
        <f aca="false">COUNTIF($H$5:H1383,H1383)</f>
        <v>1</v>
      </c>
      <c r="K1383" s="1" t="n">
        <f aca="false">COUNTIFS($H$5:$H$1624,H1383,$B$5:$B$1624,"&lt;&gt;"&amp;B1383)</f>
        <v>0</v>
      </c>
      <c r="L1383" s="1" t="str">
        <f aca="false">IF(I1383&gt;1,IF(K1383&gt;0,"Cross-hospital match","Same-hospital match"),"")</f>
        <v/>
      </c>
      <c r="M1383" s="52"/>
      <c r="N1383" s="52"/>
      <c r="O1383" s="1" t="n">
        <f aca="false">IF(M1383="Exclude (duplicate)",0,1)</f>
        <v>1</v>
      </c>
      <c r="P1383" s="1" t="str">
        <f aca="false">IF(AND(L1383&lt;&gt;"",M1383=""),"Needs decision","")</f>
        <v/>
      </c>
    </row>
    <row r="1384" customFormat="false" ht="15" hidden="false" customHeight="false" outlineLevel="0" collapsed="false">
      <c r="A1384" s="48" t="str">
        <f aca="false">COST!A1384</f>
        <v>QHH-0003</v>
      </c>
      <c r="B1384" s="48" t="str">
        <f aca="false">COST!B1384</f>
        <v>QHH</v>
      </c>
      <c r="C1384" s="48" t="str">
        <f aca="false">COST!D1384</f>
        <v>Fall Prevention Classes for Older Adults</v>
      </c>
      <c r="D1384" s="62" t="n">
        <f aca="false">COST!M1384</f>
        <v>45843</v>
      </c>
      <c r="E1384" s="48" t="str">
        <f aca="false">COST!P1384</f>
        <v>Licensed Therapist</v>
      </c>
      <c r="F1384" s="63" t="n">
        <f aca="false">COST!R1384</f>
        <v>2</v>
      </c>
      <c r="G1384" s="48" t="str">
        <f aca="false">STACK!M1384</f>
        <v/>
      </c>
      <c r="H1384" s="1" t="str">
        <f aca="false">C1384&amp;"|"&amp;IF(ISNUMBER(D1384),TEXT(D1384,"yyyy-mm-dd"),"no date")&amp;"|"&amp;E1384&amp;"|"&amp;IF(ISNUMBER(F1384),TEXT(F1384,"0.00"),"blank")</f>
        <v>Fall Prevention Classes for Older Adults|2025-07-05|Licensed Therapist|2.00</v>
      </c>
      <c r="I1384" s="1" t="n">
        <f aca="false">COUNTIF($H$5:$H$1624,H1384)</f>
        <v>1</v>
      </c>
      <c r="J1384" s="1" t="n">
        <f aca="false">COUNTIF($H$5:H1384,H1384)</f>
        <v>1</v>
      </c>
      <c r="K1384" s="1" t="n">
        <f aca="false">COUNTIFS($H$5:$H$1624,H1384,$B$5:$B$1624,"&lt;&gt;"&amp;B1384)</f>
        <v>0</v>
      </c>
      <c r="L1384" s="1" t="str">
        <f aca="false">IF(I1384&gt;1,IF(K1384&gt;0,"Cross-hospital match","Same-hospital match"),"")</f>
        <v/>
      </c>
      <c r="M1384" s="52"/>
      <c r="N1384" s="52"/>
      <c r="O1384" s="1" t="n">
        <f aca="false">IF(M1384="Exclude (duplicate)",0,1)</f>
        <v>1</v>
      </c>
      <c r="P1384" s="1" t="str">
        <f aca="false">IF(AND(L1384&lt;&gt;"",M1384=""),"Needs decision","")</f>
        <v/>
      </c>
    </row>
    <row r="1385" customFormat="false" ht="15" hidden="false" customHeight="false" outlineLevel="0" collapsed="false">
      <c r="A1385" s="48" t="str">
        <f aca="false">COST!A1385</f>
        <v>QHH-0004</v>
      </c>
      <c r="B1385" s="48" t="str">
        <f aca="false">COST!B1385</f>
        <v>QHH</v>
      </c>
      <c r="C1385" s="48" t="str">
        <f aca="false">COST!D1385</f>
        <v>Community Emergency Preparedness Drills</v>
      </c>
      <c r="D1385" s="62" t="n">
        <f aca="false">COST!M1385</f>
        <v>45850</v>
      </c>
      <c r="E1385" s="48" t="str">
        <f aca="false">COST!P1385</f>
        <v>Paramedic</v>
      </c>
      <c r="F1385" s="63" t="n">
        <f aca="false">COST!R1385</f>
        <v>7.25</v>
      </c>
      <c r="G1385" s="48" t="str">
        <f aca="false">STACK!M1385</f>
        <v/>
      </c>
      <c r="H1385" s="1" t="str">
        <f aca="false">C1385&amp;"|"&amp;IF(ISNUMBER(D1385),TEXT(D1385,"yyyy-mm-dd"),"no date")&amp;"|"&amp;E1385&amp;"|"&amp;IF(ISNUMBER(F1385),TEXT(F1385,"0.00"),"blank")</f>
        <v>Community Emergency Preparedness Drills|2025-07-12|Paramedic|7.25</v>
      </c>
      <c r="I1385" s="1" t="n">
        <f aca="false">COUNTIF($H$5:$H$1624,H1385)</f>
        <v>1</v>
      </c>
      <c r="J1385" s="1" t="n">
        <f aca="false">COUNTIF($H$5:H1385,H1385)</f>
        <v>1</v>
      </c>
      <c r="K1385" s="1" t="n">
        <f aca="false">COUNTIFS($H$5:$H$1624,H1385,$B$5:$B$1624,"&lt;&gt;"&amp;B1385)</f>
        <v>0</v>
      </c>
      <c r="L1385" s="1" t="str">
        <f aca="false">IF(I1385&gt;1,IF(K1385&gt;0,"Cross-hospital match","Same-hospital match"),"")</f>
        <v/>
      </c>
      <c r="M1385" s="52"/>
      <c r="N1385" s="52"/>
      <c r="O1385" s="1" t="n">
        <f aca="false">IF(M1385="Exclude (duplicate)",0,1)</f>
        <v>1</v>
      </c>
      <c r="P1385" s="1" t="str">
        <f aca="false">IF(AND(L1385&lt;&gt;"",M1385=""),"Needs decision","")</f>
        <v/>
      </c>
    </row>
    <row r="1386" customFormat="false" ht="15" hidden="false" customHeight="false" outlineLevel="0" collapsed="false">
      <c r="A1386" s="48" t="str">
        <f aca="false">COST!A1386</f>
        <v>QHH-0005</v>
      </c>
      <c r="B1386" s="48" t="str">
        <f aca="false">COST!B1386</f>
        <v>QHH</v>
      </c>
      <c r="C1386" s="48" t="str">
        <f aca="false">COST!D1386</f>
        <v>Community Emergency Preparedness Drills</v>
      </c>
      <c r="D1386" s="62" t="n">
        <f aca="false">COST!M1386</f>
        <v>45850</v>
      </c>
      <c r="E1386" s="48" t="str">
        <f aca="false">COST!P1386</f>
        <v>Program Coordinator</v>
      </c>
      <c r="F1386" s="63" t="n">
        <f aca="false">COST!R1386</f>
        <v>4</v>
      </c>
      <c r="G1386" s="48" t="str">
        <f aca="false">STACK!M1386</f>
        <v/>
      </c>
      <c r="H1386" s="1" t="str">
        <f aca="false">C1386&amp;"|"&amp;IF(ISNUMBER(D1386),TEXT(D1386,"yyyy-mm-dd"),"no date")&amp;"|"&amp;E1386&amp;"|"&amp;IF(ISNUMBER(F1386),TEXT(F1386,"0.00"),"blank")</f>
        <v>Community Emergency Preparedness Drills|2025-07-12|Program Coordinator|4.00</v>
      </c>
      <c r="I1386" s="1" t="n">
        <f aca="false">COUNTIF($H$5:$H$1624,H1386)</f>
        <v>1</v>
      </c>
      <c r="J1386" s="1" t="n">
        <f aca="false">COUNTIF($H$5:H1386,H1386)</f>
        <v>1</v>
      </c>
      <c r="K1386" s="1" t="n">
        <f aca="false">COUNTIFS($H$5:$H$1624,H1386,$B$5:$B$1624,"&lt;&gt;"&amp;B1386)</f>
        <v>0</v>
      </c>
      <c r="L1386" s="1" t="str">
        <f aca="false">IF(I1386&gt;1,IF(K1386&gt;0,"Cross-hospital match","Same-hospital match"),"")</f>
        <v/>
      </c>
      <c r="M1386" s="52"/>
      <c r="N1386" s="52"/>
      <c r="O1386" s="1" t="n">
        <f aca="false">IF(M1386="Exclude (duplicate)",0,1)</f>
        <v>1</v>
      </c>
      <c r="P1386" s="1" t="str">
        <f aca="false">IF(AND(L1386&lt;&gt;"",M1386=""),"Needs decision","")</f>
        <v/>
      </c>
    </row>
    <row r="1387" customFormat="false" ht="15" hidden="false" customHeight="false" outlineLevel="0" collapsed="false">
      <c r="A1387" s="48" t="str">
        <f aca="false">COST!A1387</f>
        <v>QHH-0006</v>
      </c>
      <c r="B1387" s="48" t="str">
        <f aca="false">COST!B1387</f>
        <v>QHH</v>
      </c>
      <c r="C1387" s="48" t="str">
        <f aca="false">COST!D1387</f>
        <v>Community Emergency Preparedness Drills</v>
      </c>
      <c r="D1387" s="62" t="n">
        <f aca="false">COST!M1387</f>
        <v>45850</v>
      </c>
      <c r="E1387" s="48" t="str">
        <f aca="false">COST!P1387</f>
        <v>Registered Nurse</v>
      </c>
      <c r="F1387" s="63" t="n">
        <f aca="false">COST!R1387</f>
        <v>6.25</v>
      </c>
      <c r="G1387" s="48" t="str">
        <f aca="false">STACK!M1387</f>
        <v/>
      </c>
      <c r="H1387" s="1" t="str">
        <f aca="false">C1387&amp;"|"&amp;IF(ISNUMBER(D1387),TEXT(D1387,"yyyy-mm-dd"),"no date")&amp;"|"&amp;E1387&amp;"|"&amp;IF(ISNUMBER(F1387),TEXT(F1387,"0.00"),"blank")</f>
        <v>Community Emergency Preparedness Drills|2025-07-12|Registered Nurse|6.25</v>
      </c>
      <c r="I1387" s="1" t="n">
        <f aca="false">COUNTIF($H$5:$H$1624,H1387)</f>
        <v>1</v>
      </c>
      <c r="J1387" s="1" t="n">
        <f aca="false">COUNTIF($H$5:H1387,H1387)</f>
        <v>1</v>
      </c>
      <c r="K1387" s="1" t="n">
        <f aca="false">COUNTIFS($H$5:$H$1624,H1387,$B$5:$B$1624,"&lt;&gt;"&amp;B1387)</f>
        <v>0</v>
      </c>
      <c r="L1387" s="1" t="str">
        <f aca="false">IF(I1387&gt;1,IF(K1387&gt;0,"Cross-hospital match","Same-hospital match"),"")</f>
        <v/>
      </c>
      <c r="M1387" s="52"/>
      <c r="N1387" s="52"/>
      <c r="O1387" s="1" t="n">
        <f aca="false">IF(M1387="Exclude (duplicate)",0,1)</f>
        <v>1</v>
      </c>
      <c r="P1387" s="1" t="str">
        <f aca="false">IF(AND(L1387&lt;&gt;"",M1387=""),"Needs decision","")</f>
        <v/>
      </c>
    </row>
    <row r="1388" customFormat="false" ht="15" hidden="false" customHeight="false" outlineLevel="0" collapsed="false">
      <c r="A1388" s="48" t="str">
        <f aca="false">COST!A1388</f>
        <v>QHH-0007</v>
      </c>
      <c r="B1388" s="48" t="str">
        <f aca="false">COST!B1388</f>
        <v>QHH</v>
      </c>
      <c r="C1388" s="48" t="str">
        <f aca="false">COST!D1388</f>
        <v>Community Garden and Green Space Project</v>
      </c>
      <c r="D1388" s="62" t="n">
        <f aca="false">COST!M1388</f>
        <v>45857</v>
      </c>
      <c r="E1388" s="48" t="str">
        <f aca="false">COST!P1388</f>
        <v>Program Coordinator</v>
      </c>
      <c r="F1388" s="63" t="n">
        <f aca="false">COST!R1388</f>
        <v>8</v>
      </c>
      <c r="G1388" s="48" t="str">
        <f aca="false">STACK!M1388</f>
        <v/>
      </c>
      <c r="H1388" s="1" t="str">
        <f aca="false">C1388&amp;"|"&amp;IF(ISNUMBER(D1388),TEXT(D1388,"yyyy-mm-dd"),"no date")&amp;"|"&amp;E1388&amp;"|"&amp;IF(ISNUMBER(F1388),TEXT(F1388,"0.00"),"blank")</f>
        <v>Community Garden and Green Space Project|2025-07-19|Program Coordinator|8.00</v>
      </c>
      <c r="I1388" s="1" t="n">
        <f aca="false">COUNTIF($H$5:$H$1624,H1388)</f>
        <v>1</v>
      </c>
      <c r="J1388" s="1" t="n">
        <f aca="false">COUNTIF($H$5:H1388,H1388)</f>
        <v>1</v>
      </c>
      <c r="K1388" s="1" t="n">
        <f aca="false">COUNTIFS($H$5:$H$1624,H1388,$B$5:$B$1624,"&lt;&gt;"&amp;B1388)</f>
        <v>0</v>
      </c>
      <c r="L1388" s="1" t="str">
        <f aca="false">IF(I1388&gt;1,IF(K1388&gt;0,"Cross-hospital match","Same-hospital match"),"")</f>
        <v/>
      </c>
      <c r="M1388" s="52"/>
      <c r="N1388" s="52"/>
      <c r="O1388" s="1" t="n">
        <f aca="false">IF(M1388="Exclude (duplicate)",0,1)</f>
        <v>1</v>
      </c>
      <c r="P1388" s="1" t="str">
        <f aca="false">IF(AND(L1388&lt;&gt;"",M1388=""),"Needs decision","")</f>
        <v/>
      </c>
    </row>
    <row r="1389" customFormat="false" ht="15" hidden="false" customHeight="false" outlineLevel="0" collapsed="false">
      <c r="A1389" s="48" t="str">
        <f aca="false">COST!A1389</f>
        <v>QHH-0008</v>
      </c>
      <c r="B1389" s="48" t="str">
        <f aca="false">COST!B1389</f>
        <v>QHH</v>
      </c>
      <c r="C1389" s="48" t="str">
        <f aca="false">COST!D1389</f>
        <v>Tobacco Cessation Classes</v>
      </c>
      <c r="D1389" s="62" t="n">
        <f aca="false">COST!M1389</f>
        <v>45862</v>
      </c>
      <c r="E1389" s="48" t="str">
        <f aca="false">COST!P1389</f>
        <v>Licensed Therapist</v>
      </c>
      <c r="F1389" s="63" t="n">
        <f aca="false">COST!R1389</f>
        <v>2</v>
      </c>
      <c r="G1389" s="48" t="str">
        <f aca="false">STACK!M1389</f>
        <v/>
      </c>
      <c r="H1389" s="1" t="str">
        <f aca="false">C1389&amp;"|"&amp;IF(ISNUMBER(D1389),TEXT(D1389,"yyyy-mm-dd"),"no date")&amp;"|"&amp;E1389&amp;"|"&amp;IF(ISNUMBER(F1389),TEXT(F1389,"0.00"),"blank")</f>
        <v>Tobacco Cessation Classes|2025-07-24|Licensed Therapist|2.00</v>
      </c>
      <c r="I1389" s="1" t="n">
        <f aca="false">COUNTIF($H$5:$H$1624,H1389)</f>
        <v>1</v>
      </c>
      <c r="J1389" s="1" t="n">
        <f aca="false">COUNTIF($H$5:H1389,H1389)</f>
        <v>1</v>
      </c>
      <c r="K1389" s="1" t="n">
        <f aca="false">COUNTIFS($H$5:$H$1624,H1389,$B$5:$B$1624,"&lt;&gt;"&amp;B1389)</f>
        <v>0</v>
      </c>
      <c r="L1389" s="1" t="str">
        <f aca="false">IF(I1389&gt;1,IF(K1389&gt;0,"Cross-hospital match","Same-hospital match"),"")</f>
        <v/>
      </c>
      <c r="M1389" s="52"/>
      <c r="N1389" s="52"/>
      <c r="O1389" s="1" t="n">
        <f aca="false">IF(M1389="Exclude (duplicate)",0,1)</f>
        <v>1</v>
      </c>
      <c r="P1389" s="1" t="str">
        <f aca="false">IF(AND(L1389&lt;&gt;"",M1389=""),"Needs decision","")</f>
        <v/>
      </c>
    </row>
    <row r="1390" customFormat="false" ht="15" hidden="false" customHeight="false" outlineLevel="0" collapsed="false">
      <c r="A1390" s="48" t="str">
        <f aca="false">COST!A1390</f>
        <v>QHH-0009</v>
      </c>
      <c r="B1390" s="48" t="str">
        <f aca="false">COST!B1390</f>
        <v>QHH</v>
      </c>
      <c r="C1390" s="48" t="str">
        <f aca="false">COST!D1390</f>
        <v>Free Sports Physicals</v>
      </c>
      <c r="D1390" s="62" t="n">
        <f aca="false">COST!M1390</f>
        <v>45863</v>
      </c>
      <c r="E1390" s="48" t="str">
        <f aca="false">COST!P1390</f>
        <v>Medical Assistant</v>
      </c>
      <c r="F1390" s="63" t="n">
        <f aca="false">COST!R1390</f>
        <v>4.5</v>
      </c>
      <c r="G1390" s="48" t="str">
        <f aca="false">STACK!M1390</f>
        <v/>
      </c>
      <c r="H1390" s="1" t="str">
        <f aca="false">C1390&amp;"|"&amp;IF(ISNUMBER(D1390),TEXT(D1390,"yyyy-mm-dd"),"no date")&amp;"|"&amp;E1390&amp;"|"&amp;IF(ISNUMBER(F1390),TEXT(F1390,"0.00"),"blank")</f>
        <v>Free Sports Physicals|2025-07-25|Medical Assistant|4.50</v>
      </c>
      <c r="I1390" s="1" t="n">
        <f aca="false">COUNTIF($H$5:$H$1624,H1390)</f>
        <v>1</v>
      </c>
      <c r="J1390" s="1" t="n">
        <f aca="false">COUNTIF($H$5:H1390,H1390)</f>
        <v>1</v>
      </c>
      <c r="K1390" s="1" t="n">
        <f aca="false">COUNTIFS($H$5:$H$1624,H1390,$B$5:$B$1624,"&lt;&gt;"&amp;B1390)</f>
        <v>0</v>
      </c>
      <c r="L1390" s="1" t="str">
        <f aca="false">IF(I1390&gt;1,IF(K1390&gt;0,"Cross-hospital match","Same-hospital match"),"")</f>
        <v/>
      </c>
      <c r="M1390" s="52"/>
      <c r="N1390" s="52"/>
      <c r="O1390" s="1" t="n">
        <f aca="false">IF(M1390="Exclude (duplicate)",0,1)</f>
        <v>1</v>
      </c>
      <c r="P1390" s="1" t="str">
        <f aca="false">IF(AND(L1390&lt;&gt;"",M1390=""),"Needs decision","")</f>
        <v/>
      </c>
    </row>
    <row r="1391" customFormat="false" ht="15" hidden="false" customHeight="false" outlineLevel="0" collapsed="false">
      <c r="A1391" s="48" t="str">
        <f aca="false">COST!A1391</f>
        <v>QHH-0010</v>
      </c>
      <c r="B1391" s="48" t="str">
        <f aca="false">COST!B1391</f>
        <v>QHH</v>
      </c>
      <c r="C1391" s="48" t="str">
        <f aca="false">COST!D1391</f>
        <v>Free Sports Physicals</v>
      </c>
      <c r="D1391" s="62" t="n">
        <f aca="false">COST!M1391</f>
        <v>45863</v>
      </c>
      <c r="E1391" s="48" t="str">
        <f aca="false">COST!P1391</f>
        <v>Nurse Practitioner</v>
      </c>
      <c r="F1391" s="63" t="n">
        <f aca="false">COST!R1391</f>
        <v>4.5</v>
      </c>
      <c r="G1391" s="48" t="str">
        <f aca="false">STACK!M1391</f>
        <v/>
      </c>
      <c r="H1391" s="1" t="str">
        <f aca="false">C1391&amp;"|"&amp;IF(ISNUMBER(D1391),TEXT(D1391,"yyyy-mm-dd"),"no date")&amp;"|"&amp;E1391&amp;"|"&amp;IF(ISNUMBER(F1391),TEXT(F1391,"0.00"),"blank")</f>
        <v>Free Sports Physicals|2025-07-25|Nurse Practitioner|4.50</v>
      </c>
      <c r="I1391" s="1" t="n">
        <f aca="false">COUNTIF($H$5:$H$1624,H1391)</f>
        <v>1</v>
      </c>
      <c r="J1391" s="1" t="n">
        <f aca="false">COUNTIF($H$5:H1391,H1391)</f>
        <v>1</v>
      </c>
      <c r="K1391" s="1" t="n">
        <f aca="false">COUNTIFS($H$5:$H$1624,H1391,$B$5:$B$1624,"&lt;&gt;"&amp;B1391)</f>
        <v>0</v>
      </c>
      <c r="L1391" s="1" t="str">
        <f aca="false">IF(I1391&gt;1,IF(K1391&gt;0,"Cross-hospital match","Same-hospital match"),"")</f>
        <v/>
      </c>
      <c r="M1391" s="52"/>
      <c r="N1391" s="52"/>
      <c r="O1391" s="1" t="n">
        <f aca="false">IF(M1391="Exclude (duplicate)",0,1)</f>
        <v>1</v>
      </c>
      <c r="P1391" s="1" t="str">
        <f aca="false">IF(AND(L1391&lt;&gt;"",M1391=""),"Needs decision","")</f>
        <v/>
      </c>
    </row>
    <row r="1392" customFormat="false" ht="15" hidden="false" customHeight="false" outlineLevel="0" collapsed="false">
      <c r="A1392" s="48" t="str">
        <f aca="false">COST!A1392</f>
        <v>QHH-0011</v>
      </c>
      <c r="B1392" s="48" t="str">
        <f aca="false">COST!B1392</f>
        <v>QHH</v>
      </c>
      <c r="C1392" s="48" t="str">
        <f aca="false">COST!D1392</f>
        <v>Free Sports Physicals</v>
      </c>
      <c r="D1392" s="62" t="n">
        <f aca="false">COST!M1392</f>
        <v>45863</v>
      </c>
      <c r="E1392" s="48" t="str">
        <f aca="false">COST!P1392</f>
        <v>Physician</v>
      </c>
      <c r="F1392" s="63" t="n">
        <f aca="false">COST!R1392</f>
        <v>4.75</v>
      </c>
      <c r="G1392" s="48" t="str">
        <f aca="false">STACK!M1392</f>
        <v/>
      </c>
      <c r="H1392" s="1" t="str">
        <f aca="false">C1392&amp;"|"&amp;IF(ISNUMBER(D1392),TEXT(D1392,"yyyy-mm-dd"),"no date")&amp;"|"&amp;E1392&amp;"|"&amp;IF(ISNUMBER(F1392),TEXT(F1392,"0.00"),"blank")</f>
        <v>Free Sports Physicals|2025-07-25|Physician|4.75</v>
      </c>
      <c r="I1392" s="1" t="n">
        <f aca="false">COUNTIF($H$5:$H$1624,H1392)</f>
        <v>1</v>
      </c>
      <c r="J1392" s="1" t="n">
        <f aca="false">COUNTIF($H$5:H1392,H1392)</f>
        <v>1</v>
      </c>
      <c r="K1392" s="1" t="n">
        <f aca="false">COUNTIFS($H$5:$H$1624,H1392,$B$5:$B$1624,"&lt;&gt;"&amp;B1392)</f>
        <v>0</v>
      </c>
      <c r="L1392" s="1" t="str">
        <f aca="false">IF(I1392&gt;1,IF(K1392&gt;0,"Cross-hospital match","Same-hospital match"),"")</f>
        <v/>
      </c>
      <c r="M1392" s="52"/>
      <c r="N1392" s="52"/>
      <c r="O1392" s="1" t="n">
        <f aca="false">IF(M1392="Exclude (duplicate)",0,1)</f>
        <v>1</v>
      </c>
      <c r="P1392" s="1" t="str">
        <f aca="false">IF(AND(L1392&lt;&gt;"",M1392=""),"Needs decision","")</f>
        <v/>
      </c>
    </row>
    <row r="1393" customFormat="false" ht="15" hidden="false" customHeight="false" outlineLevel="0" collapsed="false">
      <c r="A1393" s="48" t="str">
        <f aca="false">COST!A1393</f>
        <v>QHH-0012</v>
      </c>
      <c r="B1393" s="48" t="str">
        <f aca="false">COST!B1393</f>
        <v>QHH</v>
      </c>
      <c r="C1393" s="48" t="str">
        <f aca="false">COST!D1393</f>
        <v>Medication Assistance Program</v>
      </c>
      <c r="D1393" s="62" t="n">
        <f aca="false">COST!M1393</f>
        <v>45869</v>
      </c>
      <c r="E1393" s="48" t="str">
        <f aca="false">COST!P1393</f>
        <v>Patient Navigator</v>
      </c>
      <c r="F1393" s="63" t="n">
        <f aca="false">COST!R1393</f>
        <v>69.75</v>
      </c>
      <c r="G1393" s="48" t="str">
        <f aca="false">STACK!M1393</f>
        <v/>
      </c>
      <c r="H1393" s="1" t="str">
        <f aca="false">C1393&amp;"|"&amp;IF(ISNUMBER(D1393),TEXT(D1393,"yyyy-mm-dd"),"no date")&amp;"|"&amp;E1393&amp;"|"&amp;IF(ISNUMBER(F1393),TEXT(F1393,"0.00"),"blank")</f>
        <v>Medication Assistance Program|2025-07-31|Patient Navigator|69.75</v>
      </c>
      <c r="I1393" s="1" t="n">
        <f aca="false">COUNTIF($H$5:$H$1624,H1393)</f>
        <v>1</v>
      </c>
      <c r="J1393" s="1" t="n">
        <f aca="false">COUNTIF($H$5:H1393,H1393)</f>
        <v>1</v>
      </c>
      <c r="K1393" s="1" t="n">
        <f aca="false">COUNTIFS($H$5:$H$1624,H1393,$B$5:$B$1624,"&lt;&gt;"&amp;B1393)</f>
        <v>0</v>
      </c>
      <c r="L1393" s="1" t="str">
        <f aca="false">IF(I1393&gt;1,IF(K1393&gt;0,"Cross-hospital match","Same-hospital match"),"")</f>
        <v/>
      </c>
      <c r="M1393" s="52"/>
      <c r="N1393" s="52"/>
      <c r="O1393" s="1" t="n">
        <f aca="false">IF(M1393="Exclude (duplicate)",0,1)</f>
        <v>1</v>
      </c>
      <c r="P1393" s="1" t="str">
        <f aca="false">IF(AND(L1393&lt;&gt;"",M1393=""),"Needs decision","")</f>
        <v/>
      </c>
    </row>
    <row r="1394" customFormat="false" ht="15" hidden="false" customHeight="false" outlineLevel="0" collapsed="false">
      <c r="A1394" s="48" t="str">
        <f aca="false">COST!A1394</f>
        <v>QHH-0013</v>
      </c>
      <c r="B1394" s="48" t="str">
        <f aca="false">COST!B1394</f>
        <v>QHH</v>
      </c>
      <c r="C1394" s="48" t="str">
        <f aca="false">COST!D1394</f>
        <v>Medication Assistance Program</v>
      </c>
      <c r="D1394" s="62" t="n">
        <f aca="false">COST!M1394</f>
        <v>45869</v>
      </c>
      <c r="E1394" s="48" t="str">
        <f aca="false">COST!P1394</f>
        <v>Pharmacist</v>
      </c>
      <c r="F1394" s="63" t="n">
        <f aca="false">COST!R1394</f>
        <v>14.75</v>
      </c>
      <c r="G1394" s="48" t="str">
        <f aca="false">STACK!M1394</f>
        <v/>
      </c>
      <c r="H1394" s="1" t="str">
        <f aca="false">C1394&amp;"|"&amp;IF(ISNUMBER(D1394),TEXT(D1394,"yyyy-mm-dd"),"no date")&amp;"|"&amp;E1394&amp;"|"&amp;IF(ISNUMBER(F1394),TEXT(F1394,"0.00"),"blank")</f>
        <v>Medication Assistance Program|2025-07-31|Pharmacist|14.75</v>
      </c>
      <c r="I1394" s="1" t="n">
        <f aca="false">COUNTIF($H$5:$H$1624,H1394)</f>
        <v>1</v>
      </c>
      <c r="J1394" s="1" t="n">
        <f aca="false">COUNTIF($H$5:H1394,H1394)</f>
        <v>1</v>
      </c>
      <c r="K1394" s="1" t="n">
        <f aca="false">COUNTIFS($H$5:$H$1624,H1394,$B$5:$B$1624,"&lt;&gt;"&amp;B1394)</f>
        <v>0</v>
      </c>
      <c r="L1394" s="1" t="str">
        <f aca="false">IF(I1394&gt;1,IF(K1394&gt;0,"Cross-hospital match","Same-hospital match"),"")</f>
        <v/>
      </c>
      <c r="M1394" s="52"/>
      <c r="N1394" s="52"/>
      <c r="O1394" s="1" t="n">
        <f aca="false">IF(M1394="Exclude (duplicate)",0,1)</f>
        <v>1</v>
      </c>
      <c r="P1394" s="1" t="str">
        <f aca="false">IF(AND(L1394&lt;&gt;"",M1394=""),"Needs decision","")</f>
        <v/>
      </c>
    </row>
    <row r="1395" customFormat="false" ht="15" hidden="false" customHeight="false" outlineLevel="0" collapsed="false">
      <c r="A1395" s="48" t="str">
        <f aca="false">COST!A1395</f>
        <v>QHH-0014</v>
      </c>
      <c r="B1395" s="48" t="str">
        <f aca="false">COST!B1395</f>
        <v>QHH</v>
      </c>
      <c r="C1395" s="48" t="str">
        <f aca="false">COST!D1395</f>
        <v>Community Benefit Program Administration</v>
      </c>
      <c r="D1395" s="62" t="n">
        <f aca="false">COST!M1395</f>
        <v>45869</v>
      </c>
      <c r="E1395" s="48" t="str">
        <f aca="false">COST!P1395</f>
        <v>Administrative Assistant</v>
      </c>
      <c r="F1395" s="63" t="n">
        <f aca="false">COST!R1395</f>
        <v>48.5</v>
      </c>
      <c r="G1395" s="48" t="str">
        <f aca="false">STACK!M1395</f>
        <v/>
      </c>
      <c r="H1395" s="1" t="str">
        <f aca="false">C1395&amp;"|"&amp;IF(ISNUMBER(D1395),TEXT(D1395,"yyyy-mm-dd"),"no date")&amp;"|"&amp;E1395&amp;"|"&amp;IF(ISNUMBER(F1395),TEXT(F1395,"0.00"),"blank")</f>
        <v>Community Benefit Program Administration|2025-07-31|Administrative Assistant|48.50</v>
      </c>
      <c r="I1395" s="1" t="n">
        <f aca="false">COUNTIF($H$5:$H$1624,H1395)</f>
        <v>1</v>
      </c>
      <c r="J1395" s="1" t="n">
        <f aca="false">COUNTIF($H$5:H1395,H1395)</f>
        <v>1</v>
      </c>
      <c r="K1395" s="1" t="n">
        <f aca="false">COUNTIFS($H$5:$H$1624,H1395,$B$5:$B$1624,"&lt;&gt;"&amp;B1395)</f>
        <v>0</v>
      </c>
      <c r="L1395" s="1" t="str">
        <f aca="false">IF(I1395&gt;1,IF(K1395&gt;0,"Cross-hospital match","Same-hospital match"),"")</f>
        <v/>
      </c>
      <c r="M1395" s="52"/>
      <c r="N1395" s="52"/>
      <c r="O1395" s="1" t="n">
        <f aca="false">IF(M1395="Exclude (duplicate)",0,1)</f>
        <v>1</v>
      </c>
      <c r="P1395" s="1" t="str">
        <f aca="false">IF(AND(L1395&lt;&gt;"",M1395=""),"Needs decision","")</f>
        <v/>
      </c>
    </row>
    <row r="1396" customFormat="false" ht="15" hidden="false" customHeight="false" outlineLevel="0" collapsed="false">
      <c r="A1396" s="48" t="str">
        <f aca="false">COST!A1396</f>
        <v>QHH-0015</v>
      </c>
      <c r="B1396" s="48" t="str">
        <f aca="false">COST!B1396</f>
        <v>QHH</v>
      </c>
      <c r="C1396" s="48" t="str">
        <f aca="false">COST!D1396</f>
        <v>Community Benefit Program Administration</v>
      </c>
      <c r="D1396" s="62" t="n">
        <f aca="false">COST!M1396</f>
        <v>45869</v>
      </c>
      <c r="E1396" s="48" t="str">
        <f aca="false">COST!P1396</f>
        <v>Community Benefit Manager</v>
      </c>
      <c r="F1396" s="63" t="n">
        <f aca="false">COST!R1396</f>
        <v>55.25</v>
      </c>
      <c r="G1396" s="48" t="str">
        <f aca="false">STACK!M1396</f>
        <v/>
      </c>
      <c r="H1396" s="1" t="str">
        <f aca="false">C1396&amp;"|"&amp;IF(ISNUMBER(D1396),TEXT(D1396,"yyyy-mm-dd"),"no date")&amp;"|"&amp;E1396&amp;"|"&amp;IF(ISNUMBER(F1396),TEXT(F1396,"0.00"),"blank")</f>
        <v>Community Benefit Program Administration|2025-07-31|Community Benefit Manager|55.25</v>
      </c>
      <c r="I1396" s="1" t="n">
        <f aca="false">COUNTIF($H$5:$H$1624,H1396)</f>
        <v>1</v>
      </c>
      <c r="J1396" s="1" t="n">
        <f aca="false">COUNTIF($H$5:H1396,H1396)</f>
        <v>1</v>
      </c>
      <c r="K1396" s="1" t="n">
        <f aca="false">COUNTIFS($H$5:$H$1624,H1396,$B$5:$B$1624,"&lt;&gt;"&amp;B1396)</f>
        <v>0</v>
      </c>
      <c r="L1396" s="1" t="str">
        <f aca="false">IF(I1396&gt;1,IF(K1396&gt;0,"Cross-hospital match","Same-hospital match"),"")</f>
        <v/>
      </c>
      <c r="M1396" s="52"/>
      <c r="N1396" s="52"/>
      <c r="O1396" s="1" t="n">
        <f aca="false">IF(M1396="Exclude (duplicate)",0,1)</f>
        <v>1</v>
      </c>
      <c r="P1396" s="1" t="str">
        <f aca="false">IF(AND(L1396&lt;&gt;"",M1396=""),"Needs decision","")</f>
        <v/>
      </c>
    </row>
    <row r="1397" customFormat="false" ht="15" hidden="false" customHeight="false" outlineLevel="0" collapsed="false">
      <c r="A1397" s="48" t="str">
        <f aca="false">COST!A1397</f>
        <v>QHH-0016</v>
      </c>
      <c r="B1397" s="48" t="str">
        <f aca="false">COST!B1397</f>
        <v>QHH</v>
      </c>
      <c r="C1397" s="48" t="str">
        <f aca="false">COST!D1397</f>
        <v>Community Paramedic Home Visits</v>
      </c>
      <c r="D1397" s="62" t="n">
        <f aca="false">COST!M1397</f>
        <v>45869</v>
      </c>
      <c r="E1397" s="48" t="str">
        <f aca="false">COST!P1397</f>
        <v>Paramedic</v>
      </c>
      <c r="F1397" s="63" t="n">
        <f aca="false">COST!R1397</f>
        <v>69.5</v>
      </c>
      <c r="G1397" s="48" t="str">
        <f aca="false">STACK!M1397</f>
        <v/>
      </c>
      <c r="H1397" s="1" t="str">
        <f aca="false">C1397&amp;"|"&amp;IF(ISNUMBER(D1397),TEXT(D1397,"yyyy-mm-dd"),"no date")&amp;"|"&amp;E1397&amp;"|"&amp;IF(ISNUMBER(F1397),TEXT(F1397,"0.00"),"blank")</f>
        <v>Community Paramedic Home Visits|2025-07-31|Paramedic|69.50</v>
      </c>
      <c r="I1397" s="1" t="n">
        <f aca="false">COUNTIF($H$5:$H$1624,H1397)</f>
        <v>1</v>
      </c>
      <c r="J1397" s="1" t="n">
        <f aca="false">COUNTIF($H$5:H1397,H1397)</f>
        <v>1</v>
      </c>
      <c r="K1397" s="1" t="n">
        <f aca="false">COUNTIFS($H$5:$H$1624,H1397,$B$5:$B$1624,"&lt;&gt;"&amp;B1397)</f>
        <v>0</v>
      </c>
      <c r="L1397" s="1" t="str">
        <f aca="false">IF(I1397&gt;1,IF(K1397&gt;0,"Cross-hospital match","Same-hospital match"),"")</f>
        <v/>
      </c>
      <c r="M1397" s="52"/>
      <c r="N1397" s="52"/>
      <c r="O1397" s="1" t="n">
        <f aca="false">IF(M1397="Exclude (duplicate)",0,1)</f>
        <v>1</v>
      </c>
      <c r="P1397" s="1" t="str">
        <f aca="false">IF(AND(L1397&lt;&gt;"",M1397=""),"Needs decision","")</f>
        <v/>
      </c>
    </row>
    <row r="1398" customFormat="false" ht="15" hidden="false" customHeight="false" outlineLevel="0" collapsed="false">
      <c r="A1398" s="48" t="str">
        <f aca="false">COST!A1398</f>
        <v>QHH-0017</v>
      </c>
      <c r="B1398" s="48" t="str">
        <f aca="false">COST!B1398</f>
        <v>QHH</v>
      </c>
      <c r="C1398" s="48" t="str">
        <f aca="false">COST!D1398</f>
        <v>Nursing Student Clinical Rotations</v>
      </c>
      <c r="D1398" s="62" t="n">
        <f aca="false">COST!M1398</f>
        <v>45869</v>
      </c>
      <c r="E1398" s="48" t="str">
        <f aca="false">COST!P1398</f>
        <v>Clinical Nurse Educator</v>
      </c>
      <c r="F1398" s="63" t="n">
        <f aca="false">COST!R1398</f>
        <v>37</v>
      </c>
      <c r="G1398" s="48" t="str">
        <f aca="false">STACK!M1398</f>
        <v/>
      </c>
      <c r="H1398" s="1" t="str">
        <f aca="false">C1398&amp;"|"&amp;IF(ISNUMBER(D1398),TEXT(D1398,"yyyy-mm-dd"),"no date")&amp;"|"&amp;E1398&amp;"|"&amp;IF(ISNUMBER(F1398),TEXT(F1398,"0.00"),"blank")</f>
        <v>Nursing Student Clinical Rotations|2025-07-31|Clinical Nurse Educator|37.00</v>
      </c>
      <c r="I1398" s="1" t="n">
        <f aca="false">COUNTIF($H$5:$H$1624,H1398)</f>
        <v>1</v>
      </c>
      <c r="J1398" s="1" t="n">
        <f aca="false">COUNTIF($H$5:H1398,H1398)</f>
        <v>1</v>
      </c>
      <c r="K1398" s="1" t="n">
        <f aca="false">COUNTIFS($H$5:$H$1624,H1398,$B$5:$B$1624,"&lt;&gt;"&amp;B1398)</f>
        <v>0</v>
      </c>
      <c r="L1398" s="1" t="str">
        <f aca="false">IF(I1398&gt;1,IF(K1398&gt;0,"Cross-hospital match","Same-hospital match"),"")</f>
        <v/>
      </c>
      <c r="M1398" s="52"/>
      <c r="N1398" s="52"/>
      <c r="O1398" s="1" t="n">
        <f aca="false">IF(M1398="Exclude (duplicate)",0,1)</f>
        <v>1</v>
      </c>
      <c r="P1398" s="1" t="str">
        <f aca="false">IF(AND(L1398&lt;&gt;"",M1398=""),"Needs decision","")</f>
        <v/>
      </c>
    </row>
    <row r="1399" customFormat="false" ht="15" hidden="false" customHeight="false" outlineLevel="0" collapsed="false">
      <c r="A1399" s="48" t="str">
        <f aca="false">COST!A1399</f>
        <v>QHH-0018</v>
      </c>
      <c r="B1399" s="48" t="str">
        <f aca="false">COST!B1399</f>
        <v>QHH</v>
      </c>
      <c r="C1399" s="48" t="str">
        <f aca="false">COST!D1399</f>
        <v>Nursing Student Clinical Rotations</v>
      </c>
      <c r="D1399" s="62" t="n">
        <f aca="false">COST!M1399</f>
        <v>45869</v>
      </c>
      <c r="E1399" s="48" t="str">
        <f aca="false">COST!P1399</f>
        <v>Registered Nurse</v>
      </c>
      <c r="F1399" s="63" t="n">
        <f aca="false">COST!R1399</f>
        <v>70.25</v>
      </c>
      <c r="G1399" s="48" t="str">
        <f aca="false">STACK!M1399</f>
        <v/>
      </c>
      <c r="H1399" s="1" t="str">
        <f aca="false">C1399&amp;"|"&amp;IF(ISNUMBER(D1399),TEXT(D1399,"yyyy-mm-dd"),"no date")&amp;"|"&amp;E1399&amp;"|"&amp;IF(ISNUMBER(F1399),TEXT(F1399,"0.00"),"blank")</f>
        <v>Nursing Student Clinical Rotations|2025-07-31|Registered Nurse|70.25</v>
      </c>
      <c r="I1399" s="1" t="n">
        <f aca="false">COUNTIF($H$5:$H$1624,H1399)</f>
        <v>1</v>
      </c>
      <c r="J1399" s="1" t="n">
        <f aca="false">COUNTIF($H$5:H1399,H1399)</f>
        <v>1</v>
      </c>
      <c r="K1399" s="1" t="n">
        <f aca="false">COUNTIFS($H$5:$H$1624,H1399,$B$5:$B$1624,"&lt;&gt;"&amp;B1399)</f>
        <v>0</v>
      </c>
      <c r="L1399" s="1" t="str">
        <f aca="false">IF(I1399&gt;1,IF(K1399&gt;0,"Cross-hospital match","Same-hospital match"),"")</f>
        <v/>
      </c>
      <c r="M1399" s="52"/>
      <c r="N1399" s="52"/>
      <c r="O1399" s="1" t="n">
        <f aca="false">IF(M1399="Exclude (duplicate)",0,1)</f>
        <v>1</v>
      </c>
      <c r="P1399" s="1" t="str">
        <f aca="false">IF(AND(L1399&lt;&gt;"",M1399=""),"Needs decision","")</f>
        <v/>
      </c>
    </row>
    <row r="1400" customFormat="false" ht="15" hidden="false" customHeight="false" outlineLevel="0" collapsed="false">
      <c r="A1400" s="48" t="str">
        <f aca="false">COST!A1400</f>
        <v>QHH-0019</v>
      </c>
      <c r="B1400" s="48" t="str">
        <f aca="false">COST!B1400</f>
        <v>QHH</v>
      </c>
      <c r="C1400" s="48" t="str">
        <f aca="false">COST!D1400</f>
        <v>Tobacco Cessation Classes</v>
      </c>
      <c r="D1400" s="62" t="n">
        <f aca="false">COST!M1400</f>
        <v>45876</v>
      </c>
      <c r="E1400" s="48" t="str">
        <f aca="false">COST!P1400</f>
        <v>Licensed Therapist</v>
      </c>
      <c r="F1400" s="63" t="n">
        <f aca="false">COST!R1400</f>
        <v>2</v>
      </c>
      <c r="G1400" s="48" t="str">
        <f aca="false">STACK!M1400</f>
        <v/>
      </c>
      <c r="H1400" s="1" t="str">
        <f aca="false">C1400&amp;"|"&amp;IF(ISNUMBER(D1400),TEXT(D1400,"yyyy-mm-dd"),"no date")&amp;"|"&amp;E1400&amp;"|"&amp;IF(ISNUMBER(F1400),TEXT(F1400,"0.00"),"blank")</f>
        <v>Tobacco Cessation Classes|2025-08-07|Licensed Therapist|2.00</v>
      </c>
      <c r="I1400" s="1" t="n">
        <f aca="false">COUNTIF($H$5:$H$1624,H1400)</f>
        <v>1</v>
      </c>
      <c r="J1400" s="1" t="n">
        <f aca="false">COUNTIF($H$5:H1400,H1400)</f>
        <v>1</v>
      </c>
      <c r="K1400" s="1" t="n">
        <f aca="false">COUNTIFS($H$5:$H$1624,H1400,$B$5:$B$1624,"&lt;&gt;"&amp;B1400)</f>
        <v>0</v>
      </c>
      <c r="L1400" s="1" t="str">
        <f aca="false">IF(I1400&gt;1,IF(K1400&gt;0,"Cross-hospital match","Same-hospital match"),"")</f>
        <v/>
      </c>
      <c r="M1400" s="52"/>
      <c r="N1400" s="52"/>
      <c r="O1400" s="1" t="n">
        <f aca="false">IF(M1400="Exclude (duplicate)",0,1)</f>
        <v>1</v>
      </c>
      <c r="P1400" s="1" t="str">
        <f aca="false">IF(AND(L1400&lt;&gt;"",M1400=""),"Needs decision","")</f>
        <v/>
      </c>
    </row>
    <row r="1401" customFormat="false" ht="15" hidden="false" customHeight="false" outlineLevel="0" collapsed="false">
      <c r="A1401" s="48" t="str">
        <f aca="false">COST!A1401</f>
        <v>QHH-0020</v>
      </c>
      <c r="B1401" s="48" t="str">
        <f aca="false">COST!B1401</f>
        <v>QHH</v>
      </c>
      <c r="C1401" s="48" t="str">
        <f aca="false">COST!D1401</f>
        <v>Fall Prevention Classes for Older Adults</v>
      </c>
      <c r="D1401" s="62" t="n">
        <f aca="false">COST!M1401</f>
        <v>45881</v>
      </c>
      <c r="E1401" s="48" t="str">
        <f aca="false">COST!P1401</f>
        <v>Licensed Therapist</v>
      </c>
      <c r="F1401" s="63" t="n">
        <f aca="false">COST!R1401</f>
        <v>2</v>
      </c>
      <c r="G1401" s="48" t="str">
        <f aca="false">STACK!M1401</f>
        <v/>
      </c>
      <c r="H1401" s="1" t="str">
        <f aca="false">C1401&amp;"|"&amp;IF(ISNUMBER(D1401),TEXT(D1401,"yyyy-mm-dd"),"no date")&amp;"|"&amp;E1401&amp;"|"&amp;IF(ISNUMBER(F1401),TEXT(F1401,"0.00"),"blank")</f>
        <v>Fall Prevention Classes for Older Adults|2025-08-12|Licensed Therapist|2.00</v>
      </c>
      <c r="I1401" s="1" t="n">
        <f aca="false">COUNTIF($H$5:$H$1624,H1401)</f>
        <v>1</v>
      </c>
      <c r="J1401" s="1" t="n">
        <f aca="false">COUNTIF($H$5:H1401,H1401)</f>
        <v>1</v>
      </c>
      <c r="K1401" s="1" t="n">
        <f aca="false">COUNTIFS($H$5:$H$1624,H1401,$B$5:$B$1624,"&lt;&gt;"&amp;B1401)</f>
        <v>0</v>
      </c>
      <c r="L1401" s="1" t="str">
        <f aca="false">IF(I1401&gt;1,IF(K1401&gt;0,"Cross-hospital match","Same-hospital match"),"")</f>
        <v/>
      </c>
      <c r="M1401" s="52"/>
      <c r="N1401" s="52"/>
      <c r="O1401" s="1" t="n">
        <f aca="false">IF(M1401="Exclude (duplicate)",0,1)</f>
        <v>1</v>
      </c>
      <c r="P1401" s="1" t="str">
        <f aca="false">IF(AND(L1401&lt;&gt;"",M1401=""),"Needs decision","")</f>
        <v/>
      </c>
    </row>
    <row r="1402" customFormat="false" ht="15" hidden="false" customHeight="false" outlineLevel="0" collapsed="false">
      <c r="A1402" s="48" t="str">
        <f aca="false">COST!A1402</f>
        <v>QHH-0021</v>
      </c>
      <c r="B1402" s="48" t="str">
        <f aca="false">COST!B1402</f>
        <v>QHH</v>
      </c>
      <c r="C1402" s="48" t="str">
        <f aca="false">COST!D1402</f>
        <v>Community Emergency Preparedness Drills</v>
      </c>
      <c r="D1402" s="62" t="n">
        <f aca="false">COST!M1402</f>
        <v>45887</v>
      </c>
      <c r="E1402" s="48" t="str">
        <f aca="false">COST!P1402</f>
        <v>Paramedic</v>
      </c>
      <c r="F1402" s="63" t="n">
        <f aca="false">COST!R1402</f>
        <v>6.25</v>
      </c>
      <c r="G1402" s="48" t="str">
        <f aca="false">STACK!M1402</f>
        <v/>
      </c>
      <c r="H1402" s="1" t="str">
        <f aca="false">C1402&amp;"|"&amp;IF(ISNUMBER(D1402),TEXT(D1402,"yyyy-mm-dd"),"no date")&amp;"|"&amp;E1402&amp;"|"&amp;IF(ISNUMBER(F1402),TEXT(F1402,"0.00"),"blank")</f>
        <v>Community Emergency Preparedness Drills|2025-08-18|Paramedic|6.25</v>
      </c>
      <c r="I1402" s="1" t="n">
        <f aca="false">COUNTIF($H$5:$H$1624,H1402)</f>
        <v>1</v>
      </c>
      <c r="J1402" s="1" t="n">
        <f aca="false">COUNTIF($H$5:H1402,H1402)</f>
        <v>1</v>
      </c>
      <c r="K1402" s="1" t="n">
        <f aca="false">COUNTIFS($H$5:$H$1624,H1402,$B$5:$B$1624,"&lt;&gt;"&amp;B1402)</f>
        <v>0</v>
      </c>
      <c r="L1402" s="1" t="str">
        <f aca="false">IF(I1402&gt;1,IF(K1402&gt;0,"Cross-hospital match","Same-hospital match"),"")</f>
        <v/>
      </c>
      <c r="M1402" s="52"/>
      <c r="N1402" s="52"/>
      <c r="O1402" s="1" t="n">
        <f aca="false">IF(M1402="Exclude (duplicate)",0,1)</f>
        <v>1</v>
      </c>
      <c r="P1402" s="1" t="str">
        <f aca="false">IF(AND(L1402&lt;&gt;"",M1402=""),"Needs decision","")</f>
        <v/>
      </c>
    </row>
    <row r="1403" customFormat="false" ht="15" hidden="false" customHeight="false" outlineLevel="0" collapsed="false">
      <c r="A1403" s="48" t="str">
        <f aca="false">COST!A1403</f>
        <v>QHH-0022</v>
      </c>
      <c r="B1403" s="48" t="str">
        <f aca="false">COST!B1403</f>
        <v>QHH</v>
      </c>
      <c r="C1403" s="48" t="str">
        <f aca="false">COST!D1403</f>
        <v>Community Emergency Preparedness Drills</v>
      </c>
      <c r="D1403" s="62" t="n">
        <f aca="false">COST!M1403</f>
        <v>45887</v>
      </c>
      <c r="E1403" s="48" t="str">
        <f aca="false">COST!P1403</f>
        <v>Program Coordinator</v>
      </c>
      <c r="F1403" s="63" t="n">
        <f aca="false">COST!R1403</f>
        <v>5.5</v>
      </c>
      <c r="G1403" s="48" t="str">
        <f aca="false">STACK!M1403</f>
        <v/>
      </c>
      <c r="H1403" s="1" t="str">
        <f aca="false">C1403&amp;"|"&amp;IF(ISNUMBER(D1403),TEXT(D1403,"yyyy-mm-dd"),"no date")&amp;"|"&amp;E1403&amp;"|"&amp;IF(ISNUMBER(F1403),TEXT(F1403,"0.00"),"blank")</f>
        <v>Community Emergency Preparedness Drills|2025-08-18|Program Coordinator|5.50</v>
      </c>
      <c r="I1403" s="1" t="n">
        <f aca="false">COUNTIF($H$5:$H$1624,H1403)</f>
        <v>1</v>
      </c>
      <c r="J1403" s="1" t="n">
        <f aca="false">COUNTIF($H$5:H1403,H1403)</f>
        <v>1</v>
      </c>
      <c r="K1403" s="1" t="n">
        <f aca="false">COUNTIFS($H$5:$H$1624,H1403,$B$5:$B$1624,"&lt;&gt;"&amp;B1403)</f>
        <v>0</v>
      </c>
      <c r="L1403" s="1" t="str">
        <f aca="false">IF(I1403&gt;1,IF(K1403&gt;0,"Cross-hospital match","Same-hospital match"),"")</f>
        <v/>
      </c>
      <c r="M1403" s="52"/>
      <c r="N1403" s="52"/>
      <c r="O1403" s="1" t="n">
        <f aca="false">IF(M1403="Exclude (duplicate)",0,1)</f>
        <v>1</v>
      </c>
      <c r="P1403" s="1" t="str">
        <f aca="false">IF(AND(L1403&lt;&gt;"",M1403=""),"Needs decision","")</f>
        <v/>
      </c>
    </row>
    <row r="1404" customFormat="false" ht="15" hidden="false" customHeight="false" outlineLevel="0" collapsed="false">
      <c r="A1404" s="48" t="str">
        <f aca="false">COST!A1404</f>
        <v>QHH-0023</v>
      </c>
      <c r="B1404" s="48" t="str">
        <f aca="false">COST!B1404</f>
        <v>QHH</v>
      </c>
      <c r="C1404" s="48" t="str">
        <f aca="false">COST!D1404</f>
        <v>Community Emergency Preparedness Drills</v>
      </c>
      <c r="D1404" s="62" t="n">
        <f aca="false">COST!M1404</f>
        <v>45887</v>
      </c>
      <c r="E1404" s="48" t="str">
        <f aca="false">COST!P1404</f>
        <v>Registered Nurse</v>
      </c>
      <c r="F1404" s="63" t="n">
        <f aca="false">COST!R1404</f>
        <v>7.75</v>
      </c>
      <c r="G1404" s="48" t="str">
        <f aca="false">STACK!M1404</f>
        <v/>
      </c>
      <c r="H1404" s="1" t="str">
        <f aca="false">C1404&amp;"|"&amp;IF(ISNUMBER(D1404),TEXT(D1404,"yyyy-mm-dd"),"no date")&amp;"|"&amp;E1404&amp;"|"&amp;IF(ISNUMBER(F1404),TEXT(F1404,"0.00"),"blank")</f>
        <v>Community Emergency Preparedness Drills|2025-08-18|Registered Nurse|7.75</v>
      </c>
      <c r="I1404" s="1" t="n">
        <f aca="false">COUNTIF($H$5:$H$1624,H1404)</f>
        <v>1</v>
      </c>
      <c r="J1404" s="1" t="n">
        <f aca="false">COUNTIF($H$5:H1404,H1404)</f>
        <v>1</v>
      </c>
      <c r="K1404" s="1" t="n">
        <f aca="false">COUNTIFS($H$5:$H$1624,H1404,$B$5:$B$1624,"&lt;&gt;"&amp;B1404)</f>
        <v>0</v>
      </c>
      <c r="L1404" s="1" t="str">
        <f aca="false">IF(I1404&gt;1,IF(K1404&gt;0,"Cross-hospital match","Same-hospital match"),"")</f>
        <v/>
      </c>
      <c r="M1404" s="52"/>
      <c r="N1404" s="52"/>
      <c r="O1404" s="1" t="n">
        <f aca="false">IF(M1404="Exclude (duplicate)",0,1)</f>
        <v>1</v>
      </c>
      <c r="P1404" s="1" t="str">
        <f aca="false">IF(AND(L1404&lt;&gt;"",M1404=""),"Needs decision","")</f>
        <v/>
      </c>
    </row>
    <row r="1405" customFormat="false" ht="15" hidden="false" customHeight="false" outlineLevel="0" collapsed="false">
      <c r="A1405" s="48" t="str">
        <f aca="false">COST!A1405</f>
        <v>QHH-0024</v>
      </c>
      <c r="B1405" s="48" t="str">
        <f aca="false">COST!B1405</f>
        <v>QHH</v>
      </c>
      <c r="C1405" s="48" t="str">
        <f aca="false">COST!D1405</f>
        <v>Diabetes Prevention Classes</v>
      </c>
      <c r="D1405" s="62" t="n">
        <f aca="false">COST!M1405</f>
        <v>45889</v>
      </c>
      <c r="E1405" s="48" t="str">
        <f aca="false">COST!P1405</f>
        <v>Health Educator</v>
      </c>
      <c r="F1405" s="63" t="n">
        <f aca="false">COST!R1405</f>
        <v>2.25</v>
      </c>
      <c r="G1405" s="48" t="str">
        <f aca="false">STACK!M1405</f>
        <v/>
      </c>
      <c r="H1405" s="1" t="str">
        <f aca="false">C1405&amp;"|"&amp;IF(ISNUMBER(D1405),TEXT(D1405,"yyyy-mm-dd"),"no date")&amp;"|"&amp;E1405&amp;"|"&amp;IF(ISNUMBER(F1405),TEXT(F1405,"0.00"),"blank")</f>
        <v>Diabetes Prevention Classes|2025-08-20|Health Educator|2.25</v>
      </c>
      <c r="I1405" s="1" t="n">
        <f aca="false">COUNTIF($H$5:$H$1624,H1405)</f>
        <v>1</v>
      </c>
      <c r="J1405" s="1" t="n">
        <f aca="false">COUNTIF($H$5:H1405,H1405)</f>
        <v>1</v>
      </c>
      <c r="K1405" s="1" t="n">
        <f aca="false">COUNTIFS($H$5:$H$1624,H1405,$B$5:$B$1624,"&lt;&gt;"&amp;B1405)</f>
        <v>0</v>
      </c>
      <c r="L1405" s="1" t="str">
        <f aca="false">IF(I1405&gt;1,IF(K1405&gt;0,"Cross-hospital match","Same-hospital match"),"")</f>
        <v/>
      </c>
      <c r="M1405" s="52"/>
      <c r="N1405" s="52"/>
      <c r="O1405" s="1" t="n">
        <f aca="false">IF(M1405="Exclude (duplicate)",0,1)</f>
        <v>1</v>
      </c>
      <c r="P1405" s="1" t="str">
        <f aca="false">IF(AND(L1405&lt;&gt;"",M1405=""),"Needs decision","")</f>
        <v/>
      </c>
    </row>
    <row r="1406" customFormat="false" ht="15" hidden="false" customHeight="false" outlineLevel="0" collapsed="false">
      <c r="A1406" s="48" t="str">
        <f aca="false">COST!A1406</f>
        <v>QHH-0025</v>
      </c>
      <c r="B1406" s="48" t="str">
        <f aca="false">COST!B1406</f>
        <v>QHH</v>
      </c>
      <c r="C1406" s="48" t="str">
        <f aca="false">COST!D1406</f>
        <v>Diabetes Prevention Classes</v>
      </c>
      <c r="D1406" s="62" t="n">
        <f aca="false">COST!M1406</f>
        <v>45889</v>
      </c>
      <c r="E1406" s="48" t="str">
        <f aca="false">COST!P1406</f>
        <v>Registered Dietitian</v>
      </c>
      <c r="F1406" s="63" t="n">
        <f aca="false">COST!R1406</f>
        <v>1.75</v>
      </c>
      <c r="G1406" s="48" t="str">
        <f aca="false">STACK!M1406</f>
        <v/>
      </c>
      <c r="H1406" s="1" t="str">
        <f aca="false">C1406&amp;"|"&amp;IF(ISNUMBER(D1406),TEXT(D1406,"yyyy-mm-dd"),"no date")&amp;"|"&amp;E1406&amp;"|"&amp;IF(ISNUMBER(F1406),TEXT(F1406,"0.00"),"blank")</f>
        <v>Diabetes Prevention Classes|2025-08-20|Registered Dietitian|1.75</v>
      </c>
      <c r="I1406" s="1" t="n">
        <f aca="false">COUNTIF($H$5:$H$1624,H1406)</f>
        <v>1</v>
      </c>
      <c r="J1406" s="1" t="n">
        <f aca="false">COUNTIF($H$5:H1406,H1406)</f>
        <v>1</v>
      </c>
      <c r="K1406" s="1" t="n">
        <f aca="false">COUNTIFS($H$5:$H$1624,H1406,$B$5:$B$1624,"&lt;&gt;"&amp;B1406)</f>
        <v>0</v>
      </c>
      <c r="L1406" s="1" t="str">
        <f aca="false">IF(I1406&gt;1,IF(K1406&gt;0,"Cross-hospital match","Same-hospital match"),"")</f>
        <v/>
      </c>
      <c r="M1406" s="52"/>
      <c r="N1406" s="52"/>
      <c r="O1406" s="1" t="n">
        <f aca="false">IF(M1406="Exclude (duplicate)",0,1)</f>
        <v>1</v>
      </c>
      <c r="P1406" s="1" t="str">
        <f aca="false">IF(AND(L1406&lt;&gt;"",M1406=""),"Needs decision","")</f>
        <v/>
      </c>
    </row>
    <row r="1407" customFormat="false" ht="15" hidden="false" customHeight="false" outlineLevel="0" collapsed="false">
      <c r="A1407" s="48" t="str">
        <f aca="false">COST!A1407</f>
        <v>QHH-0026</v>
      </c>
      <c r="B1407" s="48" t="str">
        <f aca="false">COST!B1407</f>
        <v>QHH</v>
      </c>
      <c r="C1407" s="48" t="str">
        <f aca="false">COST!D1407</f>
        <v>Car Seat Safety Checks</v>
      </c>
      <c r="D1407" s="62" t="n">
        <f aca="false">COST!M1407</f>
        <v>45889</v>
      </c>
      <c r="E1407" s="48" t="str">
        <f aca="false">COST!P1407</f>
        <v>Paramedic</v>
      </c>
      <c r="F1407" s="63" t="n">
        <f aca="false">COST!R1407</f>
        <v>3.5</v>
      </c>
      <c r="G1407" s="48" t="str">
        <f aca="false">STACK!M1407</f>
        <v>AM session</v>
      </c>
      <c r="H1407" s="1" t="str">
        <f aca="false">C1407&amp;"|"&amp;IF(ISNUMBER(D1407),TEXT(D1407,"yyyy-mm-dd"),"no date")&amp;"|"&amp;E1407&amp;"|"&amp;IF(ISNUMBER(F1407),TEXT(F1407,"0.00"),"blank")</f>
        <v>Car Seat Safety Checks|2025-08-20|Paramedic|3.50</v>
      </c>
      <c r="I1407" s="1" t="n">
        <f aca="false">COUNTIF($H$5:$H$1624,H1407)</f>
        <v>2</v>
      </c>
      <c r="J1407" s="1" t="n">
        <f aca="false">COUNTIF($H$5:H1407,H1407)</f>
        <v>1</v>
      </c>
      <c r="K1407" s="1" t="n">
        <f aca="false">COUNTIFS($H$5:$H$1624,H1407,$B$5:$B$1624,"&lt;&gt;"&amp;B1407)</f>
        <v>0</v>
      </c>
      <c r="L1407" s="1" t="str">
        <f aca="false">IF(I1407&gt;1,IF(K1407&gt;0,"Cross-hospital match","Same-hospital match"),"")</f>
        <v>Same-hospital match</v>
      </c>
      <c r="M1407" s="52" t="s">
        <v>2965</v>
      </c>
      <c r="N1407" s="52" t="s">
        <v>2966</v>
      </c>
      <c r="O1407" s="1" t="n">
        <f aca="false">IF(M1407="Exclude (duplicate)",0,1)</f>
        <v>1</v>
      </c>
      <c r="P1407" s="1" t="str">
        <f aca="false">IF(AND(L1407&lt;&gt;"",M1407=""),"Needs decision","")</f>
        <v/>
      </c>
    </row>
    <row r="1408" customFormat="false" ht="15" hidden="false" customHeight="false" outlineLevel="0" collapsed="false">
      <c r="A1408" s="48" t="str">
        <f aca="false">COST!A1408</f>
        <v>QHH-0027</v>
      </c>
      <c r="B1408" s="48" t="str">
        <f aca="false">COST!B1408</f>
        <v>QHH</v>
      </c>
      <c r="C1408" s="48" t="str">
        <f aca="false">COST!D1408</f>
        <v>Car Seat Safety Checks</v>
      </c>
      <c r="D1408" s="62" t="n">
        <f aca="false">COST!M1408</f>
        <v>45889</v>
      </c>
      <c r="E1408" s="48" t="str">
        <f aca="false">COST!P1408</f>
        <v>Paramedic</v>
      </c>
      <c r="F1408" s="63" t="n">
        <f aca="false">COST!R1408</f>
        <v>3.5</v>
      </c>
      <c r="G1408" s="48" t="str">
        <f aca="false">STACK!M1408</f>
        <v>PM session</v>
      </c>
      <c r="H1408" s="1" t="str">
        <f aca="false">C1408&amp;"|"&amp;IF(ISNUMBER(D1408),TEXT(D1408,"yyyy-mm-dd"),"no date")&amp;"|"&amp;E1408&amp;"|"&amp;IF(ISNUMBER(F1408),TEXT(F1408,"0.00"),"blank")</f>
        <v>Car Seat Safety Checks|2025-08-20|Paramedic|3.50</v>
      </c>
      <c r="I1408" s="1" t="n">
        <f aca="false">COUNTIF($H$5:$H$1624,H1408)</f>
        <v>2</v>
      </c>
      <c r="J1408" s="1" t="n">
        <f aca="false">COUNTIF($H$5:H1408,H1408)</f>
        <v>2</v>
      </c>
      <c r="K1408" s="1" t="n">
        <f aca="false">COUNTIFS($H$5:$H$1624,H1408,$B$5:$B$1624,"&lt;&gt;"&amp;B1408)</f>
        <v>0</v>
      </c>
      <c r="L1408" s="1" t="str">
        <f aca="false">IF(I1408&gt;1,IF(K1408&gt;0,"Cross-hospital match","Same-hospital match"),"")</f>
        <v>Same-hospital match</v>
      </c>
      <c r="M1408" s="52" t="s">
        <v>2965</v>
      </c>
      <c r="N1408" s="52" t="s">
        <v>2966</v>
      </c>
      <c r="O1408" s="1" t="n">
        <f aca="false">IF(M1408="Exclude (duplicate)",0,1)</f>
        <v>1</v>
      </c>
      <c r="P1408" s="1" t="str">
        <f aca="false">IF(AND(L1408&lt;&gt;"",M1408=""),"Needs decision","")</f>
        <v/>
      </c>
    </row>
    <row r="1409" customFormat="false" ht="15" hidden="false" customHeight="false" outlineLevel="0" collapsed="false">
      <c r="A1409" s="48" t="str">
        <f aca="false">COST!A1409</f>
        <v>QHH-0028</v>
      </c>
      <c r="B1409" s="48" t="str">
        <f aca="false">COST!B1409</f>
        <v>QHH</v>
      </c>
      <c r="C1409" s="48" t="str">
        <f aca="false">COST!D1409</f>
        <v>Car Seat Safety Checks</v>
      </c>
      <c r="D1409" s="62" t="n">
        <f aca="false">COST!M1409</f>
        <v>45889</v>
      </c>
      <c r="E1409" s="48" t="str">
        <f aca="false">COST!P1409</f>
        <v>Registered Nurse</v>
      </c>
      <c r="F1409" s="63" t="n">
        <f aca="false">COST!R1409</f>
        <v>3.25</v>
      </c>
      <c r="G1409" s="48" t="str">
        <f aca="false">STACK!M1409</f>
        <v>AM session</v>
      </c>
      <c r="H1409" s="1" t="str">
        <f aca="false">C1409&amp;"|"&amp;IF(ISNUMBER(D1409),TEXT(D1409,"yyyy-mm-dd"),"no date")&amp;"|"&amp;E1409&amp;"|"&amp;IF(ISNUMBER(F1409),TEXT(F1409,"0.00"),"blank")</f>
        <v>Car Seat Safety Checks|2025-08-20|Registered Nurse|3.25</v>
      </c>
      <c r="I1409" s="1" t="n">
        <f aca="false">COUNTIF($H$5:$H$1624,H1409)</f>
        <v>2</v>
      </c>
      <c r="J1409" s="1" t="n">
        <f aca="false">COUNTIF($H$5:H1409,H1409)</f>
        <v>1</v>
      </c>
      <c r="K1409" s="1" t="n">
        <f aca="false">COUNTIFS($H$5:$H$1624,H1409,$B$5:$B$1624,"&lt;&gt;"&amp;B1409)</f>
        <v>0</v>
      </c>
      <c r="L1409" s="1" t="str">
        <f aca="false">IF(I1409&gt;1,IF(K1409&gt;0,"Cross-hospital match","Same-hospital match"),"")</f>
        <v>Same-hospital match</v>
      </c>
      <c r="M1409" s="52" t="s">
        <v>2965</v>
      </c>
      <c r="N1409" s="52" t="s">
        <v>2966</v>
      </c>
      <c r="O1409" s="1" t="n">
        <f aca="false">IF(M1409="Exclude (duplicate)",0,1)</f>
        <v>1</v>
      </c>
      <c r="P1409" s="1" t="str">
        <f aca="false">IF(AND(L1409&lt;&gt;"",M1409=""),"Needs decision","")</f>
        <v/>
      </c>
    </row>
    <row r="1410" customFormat="false" ht="15" hidden="false" customHeight="false" outlineLevel="0" collapsed="false">
      <c r="A1410" s="48" t="str">
        <f aca="false">COST!A1410</f>
        <v>QHH-0029</v>
      </c>
      <c r="B1410" s="48" t="str">
        <f aca="false">COST!B1410</f>
        <v>QHH</v>
      </c>
      <c r="C1410" s="48" t="str">
        <f aca="false">COST!D1410</f>
        <v>Car Seat Safety Checks</v>
      </c>
      <c r="D1410" s="62" t="n">
        <f aca="false">COST!M1410</f>
        <v>45889</v>
      </c>
      <c r="E1410" s="48" t="str">
        <f aca="false">COST!P1410</f>
        <v>Registered Nurse</v>
      </c>
      <c r="F1410" s="63" t="n">
        <f aca="false">COST!R1410</f>
        <v>3.25</v>
      </c>
      <c r="G1410" s="48" t="str">
        <f aca="false">STACK!M1410</f>
        <v>PM session</v>
      </c>
      <c r="H1410" s="1" t="str">
        <f aca="false">C1410&amp;"|"&amp;IF(ISNUMBER(D1410),TEXT(D1410,"yyyy-mm-dd"),"no date")&amp;"|"&amp;E1410&amp;"|"&amp;IF(ISNUMBER(F1410),TEXT(F1410,"0.00"),"blank")</f>
        <v>Car Seat Safety Checks|2025-08-20|Registered Nurse|3.25</v>
      </c>
      <c r="I1410" s="1" t="n">
        <f aca="false">COUNTIF($H$5:$H$1624,H1410)</f>
        <v>2</v>
      </c>
      <c r="J1410" s="1" t="n">
        <f aca="false">COUNTIF($H$5:H1410,H1410)</f>
        <v>2</v>
      </c>
      <c r="K1410" s="1" t="n">
        <f aca="false">COUNTIFS($H$5:$H$1624,H1410,$B$5:$B$1624,"&lt;&gt;"&amp;B1410)</f>
        <v>0</v>
      </c>
      <c r="L1410" s="1" t="str">
        <f aca="false">IF(I1410&gt;1,IF(K1410&gt;0,"Cross-hospital match","Same-hospital match"),"")</f>
        <v>Same-hospital match</v>
      </c>
      <c r="M1410" s="52" t="s">
        <v>2965</v>
      </c>
      <c r="N1410" s="52" t="s">
        <v>2966</v>
      </c>
      <c r="O1410" s="1" t="n">
        <f aca="false">IF(M1410="Exclude (duplicate)",0,1)</f>
        <v>1</v>
      </c>
      <c r="P1410" s="1" t="str">
        <f aca="false">IF(AND(L1410&lt;&gt;"",M1410=""),"Needs decision","")</f>
        <v/>
      </c>
    </row>
    <row r="1411" customFormat="false" ht="15" hidden="false" customHeight="false" outlineLevel="0" collapsed="false">
      <c r="A1411" s="48" t="str">
        <f aca="false">COST!A1411</f>
        <v>QHH-0030</v>
      </c>
      <c r="B1411" s="48" t="str">
        <f aca="false">COST!B1411</f>
        <v>QHH</v>
      </c>
      <c r="C1411" s="48" t="str">
        <f aca="false">COST!D1411</f>
        <v>Community Blood Pressure Checks</v>
      </c>
      <c r="D1411" s="62" t="n">
        <f aca="false">COST!M1411</f>
        <v>45890</v>
      </c>
      <c r="E1411" s="48" t="str">
        <f aca="false">COST!P1411</f>
        <v>Registered Nurse</v>
      </c>
      <c r="F1411" s="63" t="n">
        <f aca="false">COST!R1411</f>
        <v>4.5</v>
      </c>
      <c r="G1411" s="48" t="str">
        <f aca="false">STACK!M1411</f>
        <v/>
      </c>
      <c r="H1411" s="1" t="str">
        <f aca="false">C1411&amp;"|"&amp;IF(ISNUMBER(D1411),TEXT(D1411,"yyyy-mm-dd"),"no date")&amp;"|"&amp;E1411&amp;"|"&amp;IF(ISNUMBER(F1411),TEXT(F1411,"0.00"),"blank")</f>
        <v>Community Blood Pressure Checks|2025-08-21|Registered Nurse|4.50</v>
      </c>
      <c r="I1411" s="1" t="n">
        <f aca="false">COUNTIF($H$5:$H$1624,H1411)</f>
        <v>1</v>
      </c>
      <c r="J1411" s="1" t="n">
        <f aca="false">COUNTIF($H$5:H1411,H1411)</f>
        <v>1</v>
      </c>
      <c r="K1411" s="1" t="n">
        <f aca="false">COUNTIFS($H$5:$H$1624,H1411,$B$5:$B$1624,"&lt;&gt;"&amp;B1411)</f>
        <v>0</v>
      </c>
      <c r="L1411" s="1" t="str">
        <f aca="false">IF(I1411&gt;1,IF(K1411&gt;0,"Cross-hospital match","Same-hospital match"),"")</f>
        <v/>
      </c>
      <c r="M1411" s="52"/>
      <c r="N1411" s="52"/>
      <c r="O1411" s="1" t="n">
        <f aca="false">IF(M1411="Exclude (duplicate)",0,1)</f>
        <v>1</v>
      </c>
      <c r="P1411" s="1" t="str">
        <f aca="false">IF(AND(L1411&lt;&gt;"",M1411=""),"Needs decision","")</f>
        <v/>
      </c>
    </row>
    <row r="1412" customFormat="false" ht="15" hidden="false" customHeight="false" outlineLevel="0" collapsed="false">
      <c r="A1412" s="48" t="str">
        <f aca="false">COST!A1412</f>
        <v>QHH-0031</v>
      </c>
      <c r="B1412" s="48" t="str">
        <f aca="false">COST!B1412</f>
        <v>QHH</v>
      </c>
      <c r="C1412" s="48" t="str">
        <f aca="false">COST!D1412</f>
        <v>Fall Prevention Classes for Older Adults</v>
      </c>
      <c r="D1412" s="62" t="n">
        <f aca="false">COST!M1412</f>
        <v>45894</v>
      </c>
      <c r="E1412" s="48" t="str">
        <f aca="false">COST!P1412</f>
        <v>Licensed Therapist</v>
      </c>
      <c r="F1412" s="63" t="n">
        <f aca="false">COST!R1412</f>
        <v>2</v>
      </c>
      <c r="G1412" s="48" t="str">
        <f aca="false">STACK!M1412</f>
        <v/>
      </c>
      <c r="H1412" s="1" t="str">
        <f aca="false">C1412&amp;"|"&amp;IF(ISNUMBER(D1412),TEXT(D1412,"yyyy-mm-dd"),"no date")&amp;"|"&amp;E1412&amp;"|"&amp;IF(ISNUMBER(F1412),TEXT(F1412,"0.00"),"blank")</f>
        <v>Fall Prevention Classes for Older Adults|2025-08-25|Licensed Therapist|2.00</v>
      </c>
      <c r="I1412" s="1" t="n">
        <f aca="false">COUNTIF($H$5:$H$1624,H1412)</f>
        <v>1</v>
      </c>
      <c r="J1412" s="1" t="n">
        <f aca="false">COUNTIF($H$5:H1412,H1412)</f>
        <v>1</v>
      </c>
      <c r="K1412" s="1" t="n">
        <f aca="false">COUNTIFS($H$5:$H$1624,H1412,$B$5:$B$1624,"&lt;&gt;"&amp;B1412)</f>
        <v>0</v>
      </c>
      <c r="L1412" s="1" t="str">
        <f aca="false">IF(I1412&gt;1,IF(K1412&gt;0,"Cross-hospital match","Same-hospital match"),"")</f>
        <v/>
      </c>
      <c r="M1412" s="52"/>
      <c r="N1412" s="52"/>
      <c r="O1412" s="1" t="n">
        <f aca="false">IF(M1412="Exclude (duplicate)",0,1)</f>
        <v>1</v>
      </c>
      <c r="P1412" s="1" t="str">
        <f aca="false">IF(AND(L1412&lt;&gt;"",M1412=""),"Needs decision","")</f>
        <v/>
      </c>
    </row>
    <row r="1413" customFormat="false" ht="15" hidden="false" customHeight="false" outlineLevel="0" collapsed="false">
      <c r="A1413" s="48" t="str">
        <f aca="false">COST!A1413</f>
        <v>QHH-0032</v>
      </c>
      <c r="B1413" s="48" t="str">
        <f aca="false">COST!B1413</f>
        <v>QHH</v>
      </c>
      <c r="C1413" s="48" t="str">
        <f aca="false">COST!D1413</f>
        <v>Regional Health Coalition</v>
      </c>
      <c r="D1413" s="62" t="n">
        <f aca="false">COST!M1413</f>
        <v>45894</v>
      </c>
      <c r="E1413" s="48" t="str">
        <f aca="false">COST!P1413</f>
        <v>Community Benefit Manager</v>
      </c>
      <c r="F1413" s="63" t="n">
        <f aca="false">COST!R1413</f>
        <v>3</v>
      </c>
      <c r="G1413" s="48" t="str">
        <f aca="false">STACK!M1413</f>
        <v/>
      </c>
      <c r="H1413" s="1" t="str">
        <f aca="false">C1413&amp;"|"&amp;IF(ISNUMBER(D1413),TEXT(D1413,"yyyy-mm-dd"),"no date")&amp;"|"&amp;E1413&amp;"|"&amp;IF(ISNUMBER(F1413),TEXT(F1413,"0.00"),"blank")</f>
        <v>Regional Health Coalition|2025-08-25|Community Benefit Manager|3.00</v>
      </c>
      <c r="I1413" s="1" t="n">
        <f aca="false">COUNTIF($H$5:$H$1624,H1413)</f>
        <v>1</v>
      </c>
      <c r="J1413" s="1" t="n">
        <f aca="false">COUNTIF($H$5:H1413,H1413)</f>
        <v>1</v>
      </c>
      <c r="K1413" s="1" t="n">
        <f aca="false">COUNTIFS($H$5:$H$1624,H1413,$B$5:$B$1624,"&lt;&gt;"&amp;B1413)</f>
        <v>0</v>
      </c>
      <c r="L1413" s="1" t="str">
        <f aca="false">IF(I1413&gt;1,IF(K1413&gt;0,"Cross-hospital match","Same-hospital match"),"")</f>
        <v/>
      </c>
      <c r="M1413" s="52"/>
      <c r="N1413" s="52"/>
      <c r="O1413" s="1" t="n">
        <f aca="false">IF(M1413="Exclude (duplicate)",0,1)</f>
        <v>1</v>
      </c>
      <c r="P1413" s="1" t="str">
        <f aca="false">IF(AND(L1413&lt;&gt;"",M1413=""),"Needs decision","")</f>
        <v/>
      </c>
    </row>
    <row r="1414" customFormat="false" ht="15" hidden="false" customHeight="false" outlineLevel="0" collapsed="false">
      <c r="A1414" s="48" t="str">
        <f aca="false">COST!A1414</f>
        <v>QHH-0033</v>
      </c>
      <c r="B1414" s="48" t="str">
        <f aca="false">COST!B1414</f>
        <v>QHH</v>
      </c>
      <c r="C1414" s="48" t="str">
        <f aca="false">COST!D1414</f>
        <v>Regional Health Coalition</v>
      </c>
      <c r="D1414" s="62" t="n">
        <f aca="false">COST!M1414</f>
        <v>45894</v>
      </c>
      <c r="E1414" s="48" t="str">
        <f aca="false">COST!P1414</f>
        <v>Director</v>
      </c>
      <c r="F1414" s="63" t="n">
        <f aca="false">COST!R1414</f>
        <v>2.25</v>
      </c>
      <c r="G1414" s="48" t="str">
        <f aca="false">STACK!M1414</f>
        <v/>
      </c>
      <c r="H1414" s="1" t="str">
        <f aca="false">C1414&amp;"|"&amp;IF(ISNUMBER(D1414),TEXT(D1414,"yyyy-mm-dd"),"no date")&amp;"|"&amp;E1414&amp;"|"&amp;IF(ISNUMBER(F1414),TEXT(F1414,"0.00"),"blank")</f>
        <v>Regional Health Coalition|2025-08-25|Director|2.25</v>
      </c>
      <c r="I1414" s="1" t="n">
        <f aca="false">COUNTIF($H$5:$H$1624,H1414)</f>
        <v>1</v>
      </c>
      <c r="J1414" s="1" t="n">
        <f aca="false">COUNTIF($H$5:H1414,H1414)</f>
        <v>1</v>
      </c>
      <c r="K1414" s="1" t="n">
        <f aca="false">COUNTIFS($H$5:$H$1624,H1414,$B$5:$B$1624,"&lt;&gt;"&amp;B1414)</f>
        <v>0</v>
      </c>
      <c r="L1414" s="1" t="str">
        <f aca="false">IF(I1414&gt;1,IF(K1414&gt;0,"Cross-hospital match","Same-hospital match"),"")</f>
        <v/>
      </c>
      <c r="M1414" s="52"/>
      <c r="N1414" s="52"/>
      <c r="O1414" s="1" t="n">
        <f aca="false">IF(M1414="Exclude (duplicate)",0,1)</f>
        <v>1</v>
      </c>
      <c r="P1414" s="1" t="str">
        <f aca="false">IF(AND(L1414&lt;&gt;"",M1414=""),"Needs decision","")</f>
        <v/>
      </c>
    </row>
    <row r="1415" customFormat="false" ht="15" hidden="false" customHeight="false" outlineLevel="0" collapsed="false">
      <c r="A1415" s="48" t="str">
        <f aca="false">COST!A1415</f>
        <v>QHH-0034</v>
      </c>
      <c r="B1415" s="48" t="str">
        <f aca="false">COST!B1415</f>
        <v>QHH</v>
      </c>
      <c r="C1415" s="48" t="str">
        <f aca="false">COST!D1415</f>
        <v>Medication Assistance Program</v>
      </c>
      <c r="D1415" s="62" t="n">
        <f aca="false">COST!M1415</f>
        <v>45900</v>
      </c>
      <c r="E1415" s="48" t="str">
        <f aca="false">COST!P1415</f>
        <v>Patient Navigator</v>
      </c>
      <c r="F1415" s="63" t="n">
        <f aca="false">COST!R1415</f>
        <v>53.5</v>
      </c>
      <c r="G1415" s="48" t="str">
        <f aca="false">STACK!M1415</f>
        <v/>
      </c>
      <c r="H1415" s="1" t="str">
        <f aca="false">C1415&amp;"|"&amp;IF(ISNUMBER(D1415),TEXT(D1415,"yyyy-mm-dd"),"no date")&amp;"|"&amp;E1415&amp;"|"&amp;IF(ISNUMBER(F1415),TEXT(F1415,"0.00"),"blank")</f>
        <v>Medication Assistance Program|2025-08-31|Patient Navigator|53.50</v>
      </c>
      <c r="I1415" s="1" t="n">
        <f aca="false">COUNTIF($H$5:$H$1624,H1415)</f>
        <v>2</v>
      </c>
      <c r="J1415" s="1" t="n">
        <f aca="false">COUNTIF($H$5:H1415,H1415)</f>
        <v>1</v>
      </c>
      <c r="K1415" s="1" t="n">
        <f aca="false">COUNTIFS($H$5:$H$1624,H1415,$B$5:$B$1624,"&lt;&gt;"&amp;B1415)</f>
        <v>0</v>
      </c>
      <c r="L1415" s="1" t="str">
        <f aca="false">IF(I1415&gt;1,IF(K1415&gt;0,"Cross-hospital match","Same-hospital match"),"")</f>
        <v>Same-hospital match</v>
      </c>
      <c r="M1415" s="52" t="s">
        <v>2959</v>
      </c>
      <c r="N1415" s="52" t="s">
        <v>2961</v>
      </c>
      <c r="O1415" s="1" t="n">
        <f aca="false">IF(M1415="Exclude (duplicate)",0,1)</f>
        <v>1</v>
      </c>
      <c r="P1415" s="1" t="str">
        <f aca="false">IF(AND(L1415&lt;&gt;"",M1415=""),"Needs decision","")</f>
        <v/>
      </c>
    </row>
    <row r="1416" customFormat="false" ht="15" hidden="false" customHeight="false" outlineLevel="0" collapsed="false">
      <c r="A1416" s="48" t="str">
        <f aca="false">COST!A1416</f>
        <v>QHH-0035</v>
      </c>
      <c r="B1416" s="48" t="str">
        <f aca="false">COST!B1416</f>
        <v>QHH</v>
      </c>
      <c r="C1416" s="48" t="str">
        <f aca="false">COST!D1416</f>
        <v>Medication Assistance Program</v>
      </c>
      <c r="D1416" s="62" t="n">
        <f aca="false">COST!M1416</f>
        <v>45900</v>
      </c>
      <c r="E1416" s="48" t="str">
        <f aca="false">COST!P1416</f>
        <v>Patient Navigator</v>
      </c>
      <c r="F1416" s="63" t="n">
        <f aca="false">COST!R1416</f>
        <v>53.5</v>
      </c>
      <c r="G1416" s="48" t="str">
        <f aca="false">STACK!M1416</f>
        <v/>
      </c>
      <c r="H1416" s="1" t="str">
        <f aca="false">C1416&amp;"|"&amp;IF(ISNUMBER(D1416),TEXT(D1416,"yyyy-mm-dd"),"no date")&amp;"|"&amp;E1416&amp;"|"&amp;IF(ISNUMBER(F1416),TEXT(F1416,"0.00"),"blank")</f>
        <v>Medication Assistance Program|2025-08-31|Patient Navigator|53.50</v>
      </c>
      <c r="I1416" s="1" t="n">
        <f aca="false">COUNTIF($H$5:$H$1624,H1416)</f>
        <v>2</v>
      </c>
      <c r="J1416" s="1" t="n">
        <f aca="false">COUNTIF($H$5:H1416,H1416)</f>
        <v>2</v>
      </c>
      <c r="K1416" s="1" t="n">
        <f aca="false">COUNTIFS($H$5:$H$1624,H1416,$B$5:$B$1624,"&lt;&gt;"&amp;B1416)</f>
        <v>0</v>
      </c>
      <c r="L1416" s="1" t="str">
        <f aca="false">IF(I1416&gt;1,IF(K1416&gt;0,"Cross-hospital match","Same-hospital match"),"")</f>
        <v>Same-hospital match</v>
      </c>
      <c r="M1416" s="52" t="s">
        <v>2962</v>
      </c>
      <c r="N1416" s="52" t="s">
        <v>2963</v>
      </c>
      <c r="O1416" s="1" t="n">
        <f aca="false">IF(M1416="Exclude (duplicate)",0,1)</f>
        <v>0</v>
      </c>
      <c r="P1416" s="1" t="str">
        <f aca="false">IF(AND(L1416&lt;&gt;"",M1416=""),"Needs decision","")</f>
        <v/>
      </c>
    </row>
    <row r="1417" customFormat="false" ht="15" hidden="false" customHeight="false" outlineLevel="0" collapsed="false">
      <c r="A1417" s="48" t="str">
        <f aca="false">COST!A1417</f>
        <v>QHH-0036</v>
      </c>
      <c r="B1417" s="48" t="str">
        <f aca="false">COST!B1417</f>
        <v>QHH</v>
      </c>
      <c r="C1417" s="48" t="str">
        <f aca="false">COST!D1417</f>
        <v>Medication Assistance Program</v>
      </c>
      <c r="D1417" s="62" t="n">
        <f aca="false">COST!M1417</f>
        <v>45900</v>
      </c>
      <c r="E1417" s="48" t="str">
        <f aca="false">COST!P1417</f>
        <v>Pharmacist</v>
      </c>
      <c r="F1417" s="63" t="n">
        <f aca="false">COST!R1417</f>
        <v>20.5</v>
      </c>
      <c r="G1417" s="48" t="str">
        <f aca="false">STACK!M1417</f>
        <v/>
      </c>
      <c r="H1417" s="1" t="str">
        <f aca="false">C1417&amp;"|"&amp;IF(ISNUMBER(D1417),TEXT(D1417,"yyyy-mm-dd"),"no date")&amp;"|"&amp;E1417&amp;"|"&amp;IF(ISNUMBER(F1417),TEXT(F1417,"0.00"),"blank")</f>
        <v>Medication Assistance Program|2025-08-31|Pharmacist|20.50</v>
      </c>
      <c r="I1417" s="1" t="n">
        <f aca="false">COUNTIF($H$5:$H$1624,H1417)</f>
        <v>2</v>
      </c>
      <c r="J1417" s="1" t="n">
        <f aca="false">COUNTIF($H$5:H1417,H1417)</f>
        <v>1</v>
      </c>
      <c r="K1417" s="1" t="n">
        <f aca="false">COUNTIFS($H$5:$H$1624,H1417,$B$5:$B$1624,"&lt;&gt;"&amp;B1417)</f>
        <v>0</v>
      </c>
      <c r="L1417" s="1" t="str">
        <f aca="false">IF(I1417&gt;1,IF(K1417&gt;0,"Cross-hospital match","Same-hospital match"),"")</f>
        <v>Same-hospital match</v>
      </c>
      <c r="M1417" s="52" t="s">
        <v>2959</v>
      </c>
      <c r="N1417" s="52" t="s">
        <v>2961</v>
      </c>
      <c r="O1417" s="1" t="n">
        <f aca="false">IF(M1417="Exclude (duplicate)",0,1)</f>
        <v>1</v>
      </c>
      <c r="P1417" s="1" t="str">
        <f aca="false">IF(AND(L1417&lt;&gt;"",M1417=""),"Needs decision","")</f>
        <v/>
      </c>
    </row>
    <row r="1418" customFormat="false" ht="15" hidden="false" customHeight="false" outlineLevel="0" collapsed="false">
      <c r="A1418" s="48" t="str">
        <f aca="false">COST!A1418</f>
        <v>QHH-0037</v>
      </c>
      <c r="B1418" s="48" t="str">
        <f aca="false">COST!B1418</f>
        <v>QHH</v>
      </c>
      <c r="C1418" s="48" t="str">
        <f aca="false">COST!D1418</f>
        <v>Medication Assistance Program</v>
      </c>
      <c r="D1418" s="62" t="n">
        <f aca="false">COST!M1418</f>
        <v>45900</v>
      </c>
      <c r="E1418" s="48" t="str">
        <f aca="false">COST!P1418</f>
        <v>Pharmacist</v>
      </c>
      <c r="F1418" s="63" t="n">
        <f aca="false">COST!R1418</f>
        <v>20.5</v>
      </c>
      <c r="G1418" s="48" t="str">
        <f aca="false">STACK!M1418</f>
        <v/>
      </c>
      <c r="H1418" s="1" t="str">
        <f aca="false">C1418&amp;"|"&amp;IF(ISNUMBER(D1418),TEXT(D1418,"yyyy-mm-dd"),"no date")&amp;"|"&amp;E1418&amp;"|"&amp;IF(ISNUMBER(F1418),TEXT(F1418,"0.00"),"blank")</f>
        <v>Medication Assistance Program|2025-08-31|Pharmacist|20.50</v>
      </c>
      <c r="I1418" s="1" t="n">
        <f aca="false">COUNTIF($H$5:$H$1624,H1418)</f>
        <v>2</v>
      </c>
      <c r="J1418" s="1" t="n">
        <f aca="false">COUNTIF($H$5:H1418,H1418)</f>
        <v>2</v>
      </c>
      <c r="K1418" s="1" t="n">
        <f aca="false">COUNTIFS($H$5:$H$1624,H1418,$B$5:$B$1624,"&lt;&gt;"&amp;B1418)</f>
        <v>0</v>
      </c>
      <c r="L1418" s="1" t="str">
        <f aca="false">IF(I1418&gt;1,IF(K1418&gt;0,"Cross-hospital match","Same-hospital match"),"")</f>
        <v>Same-hospital match</v>
      </c>
      <c r="M1418" s="52" t="s">
        <v>2962</v>
      </c>
      <c r="N1418" s="52" t="s">
        <v>2963</v>
      </c>
      <c r="O1418" s="1" t="n">
        <f aca="false">IF(M1418="Exclude (duplicate)",0,1)</f>
        <v>0</v>
      </c>
      <c r="P1418" s="1" t="str">
        <f aca="false">IF(AND(L1418&lt;&gt;"",M1418=""),"Needs decision","")</f>
        <v/>
      </c>
    </row>
    <row r="1419" customFormat="false" ht="15" hidden="false" customHeight="false" outlineLevel="0" collapsed="false">
      <c r="A1419" s="48" t="str">
        <f aca="false">COST!A1419</f>
        <v>QHH-0038</v>
      </c>
      <c r="B1419" s="48" t="str">
        <f aca="false">COST!B1419</f>
        <v>QHH</v>
      </c>
      <c r="C1419" s="48" t="str">
        <f aca="false">COST!D1419</f>
        <v>Community Benefit Program Administration</v>
      </c>
      <c r="D1419" s="62" t="n">
        <f aca="false">COST!M1419</f>
        <v>45900</v>
      </c>
      <c r="E1419" s="48" t="str">
        <f aca="false">COST!P1419</f>
        <v>Administrative Assistant</v>
      </c>
      <c r="F1419" s="63" t="n">
        <f aca="false">COST!R1419</f>
        <v>32.75</v>
      </c>
      <c r="G1419" s="48" t="str">
        <f aca="false">STACK!M1419</f>
        <v/>
      </c>
      <c r="H1419" s="1" t="str">
        <f aca="false">C1419&amp;"|"&amp;IF(ISNUMBER(D1419),TEXT(D1419,"yyyy-mm-dd"),"no date")&amp;"|"&amp;E1419&amp;"|"&amp;IF(ISNUMBER(F1419),TEXT(F1419,"0.00"),"blank")</f>
        <v>Community Benefit Program Administration|2025-08-31|Administrative Assistant|32.75</v>
      </c>
      <c r="I1419" s="1" t="n">
        <f aca="false">COUNTIF($H$5:$H$1624,H1419)</f>
        <v>1</v>
      </c>
      <c r="J1419" s="1" t="n">
        <f aca="false">COUNTIF($H$5:H1419,H1419)</f>
        <v>1</v>
      </c>
      <c r="K1419" s="1" t="n">
        <f aca="false">COUNTIFS($H$5:$H$1624,H1419,$B$5:$B$1624,"&lt;&gt;"&amp;B1419)</f>
        <v>0</v>
      </c>
      <c r="L1419" s="1" t="str">
        <f aca="false">IF(I1419&gt;1,IF(K1419&gt;0,"Cross-hospital match","Same-hospital match"),"")</f>
        <v/>
      </c>
      <c r="M1419" s="52"/>
      <c r="N1419" s="52"/>
      <c r="O1419" s="1" t="n">
        <f aca="false">IF(M1419="Exclude (duplicate)",0,1)</f>
        <v>1</v>
      </c>
      <c r="P1419" s="1" t="str">
        <f aca="false">IF(AND(L1419&lt;&gt;"",M1419=""),"Needs decision","")</f>
        <v/>
      </c>
    </row>
    <row r="1420" customFormat="false" ht="15" hidden="false" customHeight="false" outlineLevel="0" collapsed="false">
      <c r="A1420" s="48" t="str">
        <f aca="false">COST!A1420</f>
        <v>QHH-0039</v>
      </c>
      <c r="B1420" s="48" t="str">
        <f aca="false">COST!B1420</f>
        <v>QHH</v>
      </c>
      <c r="C1420" s="48" t="str">
        <f aca="false">COST!D1420</f>
        <v>Community Benefit Program Administration</v>
      </c>
      <c r="D1420" s="62" t="n">
        <f aca="false">COST!M1420</f>
        <v>45900</v>
      </c>
      <c r="E1420" s="48" t="str">
        <f aca="false">COST!P1420</f>
        <v>Community Benefit Manager</v>
      </c>
      <c r="F1420" s="63" t="n">
        <f aca="false">COST!R1420</f>
        <v>61.25</v>
      </c>
      <c r="G1420" s="48" t="str">
        <f aca="false">STACK!M1420</f>
        <v/>
      </c>
      <c r="H1420" s="1" t="str">
        <f aca="false">C1420&amp;"|"&amp;IF(ISNUMBER(D1420),TEXT(D1420,"yyyy-mm-dd"),"no date")&amp;"|"&amp;E1420&amp;"|"&amp;IF(ISNUMBER(F1420),TEXT(F1420,"0.00"),"blank")</f>
        <v>Community Benefit Program Administration|2025-08-31|Community Benefit Manager|61.25</v>
      </c>
      <c r="I1420" s="1" t="n">
        <f aca="false">COUNTIF($H$5:$H$1624,H1420)</f>
        <v>1</v>
      </c>
      <c r="J1420" s="1" t="n">
        <f aca="false">COUNTIF($H$5:H1420,H1420)</f>
        <v>1</v>
      </c>
      <c r="K1420" s="1" t="n">
        <f aca="false">COUNTIFS($H$5:$H$1624,H1420,$B$5:$B$1624,"&lt;&gt;"&amp;B1420)</f>
        <v>0</v>
      </c>
      <c r="L1420" s="1" t="str">
        <f aca="false">IF(I1420&gt;1,IF(K1420&gt;0,"Cross-hospital match","Same-hospital match"),"")</f>
        <v/>
      </c>
      <c r="M1420" s="52"/>
      <c r="N1420" s="52"/>
      <c r="O1420" s="1" t="n">
        <f aca="false">IF(M1420="Exclude (duplicate)",0,1)</f>
        <v>1</v>
      </c>
      <c r="P1420" s="1" t="str">
        <f aca="false">IF(AND(L1420&lt;&gt;"",M1420=""),"Needs decision","")</f>
        <v/>
      </c>
    </row>
    <row r="1421" customFormat="false" ht="15" hidden="false" customHeight="false" outlineLevel="0" collapsed="false">
      <c r="A1421" s="48" t="str">
        <f aca="false">COST!A1421</f>
        <v>QHH-0040</v>
      </c>
      <c r="B1421" s="48" t="str">
        <f aca="false">COST!B1421</f>
        <v>QHH</v>
      </c>
      <c r="C1421" s="48" t="str">
        <f aca="false">COST!D1421</f>
        <v>Community Paramedic Home Visits</v>
      </c>
      <c r="D1421" s="62" t="n">
        <f aca="false">COST!M1421</f>
        <v>45900</v>
      </c>
      <c r="E1421" s="48" t="str">
        <f aca="false">COST!P1421</f>
        <v>Paramedic</v>
      </c>
      <c r="F1421" s="63" t="n">
        <f aca="false">COST!R1421</f>
        <v>67</v>
      </c>
      <c r="G1421" s="48" t="str">
        <f aca="false">STACK!M1421</f>
        <v/>
      </c>
      <c r="H1421" s="1" t="str">
        <f aca="false">C1421&amp;"|"&amp;IF(ISNUMBER(D1421),TEXT(D1421,"yyyy-mm-dd"),"no date")&amp;"|"&amp;E1421&amp;"|"&amp;IF(ISNUMBER(F1421),TEXT(F1421,"0.00"),"blank")</f>
        <v>Community Paramedic Home Visits|2025-08-31|Paramedic|67.00</v>
      </c>
      <c r="I1421" s="1" t="n">
        <f aca="false">COUNTIF($H$5:$H$1624,H1421)</f>
        <v>1</v>
      </c>
      <c r="J1421" s="1" t="n">
        <f aca="false">COUNTIF($H$5:H1421,H1421)</f>
        <v>1</v>
      </c>
      <c r="K1421" s="1" t="n">
        <f aca="false">COUNTIFS($H$5:$H$1624,H1421,$B$5:$B$1624,"&lt;&gt;"&amp;B1421)</f>
        <v>0</v>
      </c>
      <c r="L1421" s="1" t="str">
        <f aca="false">IF(I1421&gt;1,IF(K1421&gt;0,"Cross-hospital match","Same-hospital match"),"")</f>
        <v/>
      </c>
      <c r="M1421" s="52"/>
      <c r="N1421" s="52"/>
      <c r="O1421" s="1" t="n">
        <f aca="false">IF(M1421="Exclude (duplicate)",0,1)</f>
        <v>1</v>
      </c>
      <c r="P1421" s="1" t="str">
        <f aca="false">IF(AND(L1421&lt;&gt;"",M1421=""),"Needs decision","")</f>
        <v/>
      </c>
    </row>
    <row r="1422" customFormat="false" ht="15" hidden="false" customHeight="false" outlineLevel="0" collapsed="false">
      <c r="A1422" s="48" t="str">
        <f aca="false">COST!A1422</f>
        <v>QHH-0041</v>
      </c>
      <c r="B1422" s="48" t="str">
        <f aca="false">COST!B1422</f>
        <v>QHH</v>
      </c>
      <c r="C1422" s="48" t="str">
        <f aca="false">COST!D1422</f>
        <v>Nursing Student Clinical Rotations</v>
      </c>
      <c r="D1422" s="62" t="n">
        <f aca="false">COST!M1422</f>
        <v>45900</v>
      </c>
      <c r="E1422" s="48" t="str">
        <f aca="false">COST!P1422</f>
        <v>Clinical Nurse Educator</v>
      </c>
      <c r="F1422" s="63" t="n">
        <f aca="false">COST!R1422</f>
        <v>92.5</v>
      </c>
      <c r="G1422" s="48" t="str">
        <f aca="false">STACK!M1422</f>
        <v/>
      </c>
      <c r="H1422" s="1" t="str">
        <f aca="false">C1422&amp;"|"&amp;IF(ISNUMBER(D1422),TEXT(D1422,"yyyy-mm-dd"),"no date")&amp;"|"&amp;E1422&amp;"|"&amp;IF(ISNUMBER(F1422),TEXT(F1422,"0.00"),"blank")</f>
        <v>Nursing Student Clinical Rotations|2025-08-31|Clinical Nurse Educator|92.50</v>
      </c>
      <c r="I1422" s="1" t="n">
        <f aca="false">COUNTIF($H$5:$H$1624,H1422)</f>
        <v>1</v>
      </c>
      <c r="J1422" s="1" t="n">
        <f aca="false">COUNTIF($H$5:H1422,H1422)</f>
        <v>1</v>
      </c>
      <c r="K1422" s="1" t="n">
        <f aca="false">COUNTIFS($H$5:$H$1624,H1422,$B$5:$B$1624,"&lt;&gt;"&amp;B1422)</f>
        <v>0</v>
      </c>
      <c r="L1422" s="1" t="str">
        <f aca="false">IF(I1422&gt;1,IF(K1422&gt;0,"Cross-hospital match","Same-hospital match"),"")</f>
        <v/>
      </c>
      <c r="M1422" s="52"/>
      <c r="N1422" s="52"/>
      <c r="O1422" s="1" t="n">
        <f aca="false">IF(M1422="Exclude (duplicate)",0,1)</f>
        <v>1</v>
      </c>
      <c r="P1422" s="1" t="str">
        <f aca="false">IF(AND(L1422&lt;&gt;"",M1422=""),"Needs decision","")</f>
        <v/>
      </c>
    </row>
    <row r="1423" customFormat="false" ht="15" hidden="false" customHeight="false" outlineLevel="0" collapsed="false">
      <c r="A1423" s="48" t="str">
        <f aca="false">COST!A1423</f>
        <v>QHH-0042</v>
      </c>
      <c r="B1423" s="48" t="str">
        <f aca="false">COST!B1423</f>
        <v>QHH</v>
      </c>
      <c r="C1423" s="48" t="str">
        <f aca="false">COST!D1423</f>
        <v>Nursing Student Clinical Rotations</v>
      </c>
      <c r="D1423" s="62" t="n">
        <f aca="false">COST!M1423</f>
        <v>45900</v>
      </c>
      <c r="E1423" s="48" t="str">
        <f aca="false">COST!P1423</f>
        <v>Registered Nurse</v>
      </c>
      <c r="F1423" s="63" t="n">
        <f aca="false">COST!R1423</f>
        <v>141.25</v>
      </c>
      <c r="G1423" s="48" t="str">
        <f aca="false">STACK!M1423</f>
        <v/>
      </c>
      <c r="H1423" s="1" t="str">
        <f aca="false">C1423&amp;"|"&amp;IF(ISNUMBER(D1423),TEXT(D1423,"yyyy-mm-dd"),"no date")&amp;"|"&amp;E1423&amp;"|"&amp;IF(ISNUMBER(F1423),TEXT(F1423,"0.00"),"blank")</f>
        <v>Nursing Student Clinical Rotations|2025-08-31|Registered Nurse|141.25</v>
      </c>
      <c r="I1423" s="1" t="n">
        <f aca="false">COUNTIF($H$5:$H$1624,H1423)</f>
        <v>1</v>
      </c>
      <c r="J1423" s="1" t="n">
        <f aca="false">COUNTIF($H$5:H1423,H1423)</f>
        <v>1</v>
      </c>
      <c r="K1423" s="1" t="n">
        <f aca="false">COUNTIFS($H$5:$H$1624,H1423,$B$5:$B$1624,"&lt;&gt;"&amp;B1423)</f>
        <v>0</v>
      </c>
      <c r="L1423" s="1" t="str">
        <f aca="false">IF(I1423&gt;1,IF(K1423&gt;0,"Cross-hospital match","Same-hospital match"),"")</f>
        <v/>
      </c>
      <c r="M1423" s="52"/>
      <c r="N1423" s="52"/>
      <c r="O1423" s="1" t="n">
        <f aca="false">IF(M1423="Exclude (duplicate)",0,1)</f>
        <v>1</v>
      </c>
      <c r="P1423" s="1" t="str">
        <f aca="false">IF(AND(L1423&lt;&gt;"",M1423=""),"Needs decision","")</f>
        <v/>
      </c>
    </row>
    <row r="1424" customFormat="false" ht="15" hidden="false" customHeight="false" outlineLevel="0" collapsed="false">
      <c r="A1424" s="48" t="str">
        <f aca="false">COST!A1424</f>
        <v>QHH-0043</v>
      </c>
      <c r="B1424" s="48" t="str">
        <f aca="false">COST!B1424</f>
        <v>QHH</v>
      </c>
      <c r="C1424" s="48" t="str">
        <f aca="false">COST!D1424</f>
        <v>Free Sports Physicals</v>
      </c>
      <c r="D1424" s="62" t="n">
        <f aca="false">COST!M1424</f>
        <v>45902</v>
      </c>
      <c r="E1424" s="48" t="str">
        <f aca="false">COST!P1424</f>
        <v>Medical Assistant</v>
      </c>
      <c r="F1424" s="63" t="n">
        <f aca="false">COST!R1424</f>
        <v>4.5</v>
      </c>
      <c r="G1424" s="48" t="str">
        <f aca="false">STACK!M1424</f>
        <v/>
      </c>
      <c r="H1424" s="1" t="str">
        <f aca="false">C1424&amp;"|"&amp;IF(ISNUMBER(D1424),TEXT(D1424,"yyyy-mm-dd"),"no date")&amp;"|"&amp;E1424&amp;"|"&amp;IF(ISNUMBER(F1424),TEXT(F1424,"0.00"),"blank")</f>
        <v>Free Sports Physicals|2025-09-02|Medical Assistant|4.50</v>
      </c>
      <c r="I1424" s="1" t="n">
        <f aca="false">COUNTIF($H$5:$H$1624,H1424)</f>
        <v>1</v>
      </c>
      <c r="J1424" s="1" t="n">
        <f aca="false">COUNTIF($H$5:H1424,H1424)</f>
        <v>1</v>
      </c>
      <c r="K1424" s="1" t="n">
        <f aca="false">COUNTIFS($H$5:$H$1624,H1424,$B$5:$B$1624,"&lt;&gt;"&amp;B1424)</f>
        <v>0</v>
      </c>
      <c r="L1424" s="1" t="str">
        <f aca="false">IF(I1424&gt;1,IF(K1424&gt;0,"Cross-hospital match","Same-hospital match"),"")</f>
        <v/>
      </c>
      <c r="M1424" s="52"/>
      <c r="N1424" s="52"/>
      <c r="O1424" s="1" t="n">
        <f aca="false">IF(M1424="Exclude (duplicate)",0,1)</f>
        <v>1</v>
      </c>
      <c r="P1424" s="1" t="str">
        <f aca="false">IF(AND(L1424&lt;&gt;"",M1424=""),"Needs decision","")</f>
        <v/>
      </c>
    </row>
    <row r="1425" customFormat="false" ht="15" hidden="false" customHeight="false" outlineLevel="0" collapsed="false">
      <c r="A1425" s="48" t="str">
        <f aca="false">COST!A1425</f>
        <v>QHH-0044</v>
      </c>
      <c r="B1425" s="48" t="str">
        <f aca="false">COST!B1425</f>
        <v>QHH</v>
      </c>
      <c r="C1425" s="48" t="str">
        <f aca="false">COST!D1425</f>
        <v>Free Sports Physicals</v>
      </c>
      <c r="D1425" s="62" t="n">
        <f aca="false">COST!M1425</f>
        <v>45902</v>
      </c>
      <c r="E1425" s="48" t="str">
        <f aca="false">COST!P1425</f>
        <v>Nurse Practitioner</v>
      </c>
      <c r="F1425" s="63" t="n">
        <f aca="false">COST!R1425</f>
        <v>4.25</v>
      </c>
      <c r="G1425" s="48" t="str">
        <f aca="false">STACK!M1425</f>
        <v/>
      </c>
      <c r="H1425" s="1" t="str">
        <f aca="false">C1425&amp;"|"&amp;IF(ISNUMBER(D1425),TEXT(D1425,"yyyy-mm-dd"),"no date")&amp;"|"&amp;E1425&amp;"|"&amp;IF(ISNUMBER(F1425),TEXT(F1425,"0.00"),"blank")</f>
        <v>Free Sports Physicals|2025-09-02|Nurse Practitioner|4.25</v>
      </c>
      <c r="I1425" s="1" t="n">
        <f aca="false">COUNTIF($H$5:$H$1624,H1425)</f>
        <v>1</v>
      </c>
      <c r="J1425" s="1" t="n">
        <f aca="false">COUNTIF($H$5:H1425,H1425)</f>
        <v>1</v>
      </c>
      <c r="K1425" s="1" t="n">
        <f aca="false">COUNTIFS($H$5:$H$1624,H1425,$B$5:$B$1624,"&lt;&gt;"&amp;B1425)</f>
        <v>0</v>
      </c>
      <c r="L1425" s="1" t="str">
        <f aca="false">IF(I1425&gt;1,IF(K1425&gt;0,"Cross-hospital match","Same-hospital match"),"")</f>
        <v/>
      </c>
      <c r="M1425" s="52"/>
      <c r="N1425" s="52"/>
      <c r="O1425" s="1" t="n">
        <f aca="false">IF(M1425="Exclude (duplicate)",0,1)</f>
        <v>1</v>
      </c>
      <c r="P1425" s="1" t="str">
        <f aca="false">IF(AND(L1425&lt;&gt;"",M1425=""),"Needs decision","")</f>
        <v/>
      </c>
    </row>
    <row r="1426" customFormat="false" ht="15" hidden="false" customHeight="false" outlineLevel="0" collapsed="false">
      <c r="A1426" s="48" t="str">
        <f aca="false">COST!A1426</f>
        <v>QHH-0045</v>
      </c>
      <c r="B1426" s="48" t="str">
        <f aca="false">COST!B1426</f>
        <v>QHH</v>
      </c>
      <c r="C1426" s="48" t="str">
        <f aca="false">COST!D1426</f>
        <v>Free Sports Physicals</v>
      </c>
      <c r="D1426" s="62" t="n">
        <f aca="false">COST!M1426</f>
        <v>45902</v>
      </c>
      <c r="E1426" s="48" t="str">
        <f aca="false">COST!P1426</f>
        <v>Physician</v>
      </c>
      <c r="F1426" s="63" t="n">
        <f aca="false">COST!R1426</f>
        <v>4.25</v>
      </c>
      <c r="G1426" s="48" t="str">
        <f aca="false">STACK!M1426</f>
        <v/>
      </c>
      <c r="H1426" s="1" t="str">
        <f aca="false">C1426&amp;"|"&amp;IF(ISNUMBER(D1426),TEXT(D1426,"yyyy-mm-dd"),"no date")&amp;"|"&amp;E1426&amp;"|"&amp;IF(ISNUMBER(F1426),TEXT(F1426,"0.00"),"blank")</f>
        <v>Free Sports Physicals|2025-09-02|Physician|4.25</v>
      </c>
      <c r="I1426" s="1" t="n">
        <f aca="false">COUNTIF($H$5:$H$1624,H1426)</f>
        <v>1</v>
      </c>
      <c r="J1426" s="1" t="n">
        <f aca="false">COUNTIF($H$5:H1426,H1426)</f>
        <v>1</v>
      </c>
      <c r="K1426" s="1" t="n">
        <f aca="false">COUNTIFS($H$5:$H$1624,H1426,$B$5:$B$1624,"&lt;&gt;"&amp;B1426)</f>
        <v>0</v>
      </c>
      <c r="L1426" s="1" t="str">
        <f aca="false">IF(I1426&gt;1,IF(K1426&gt;0,"Cross-hospital match","Same-hospital match"),"")</f>
        <v/>
      </c>
      <c r="M1426" s="52"/>
      <c r="N1426" s="52"/>
      <c r="O1426" s="1" t="n">
        <f aca="false">IF(M1426="Exclude (duplicate)",0,1)</f>
        <v>1</v>
      </c>
      <c r="P1426" s="1" t="str">
        <f aca="false">IF(AND(L1426&lt;&gt;"",M1426=""),"Needs decision","")</f>
        <v/>
      </c>
    </row>
    <row r="1427" customFormat="false" ht="15" hidden="false" customHeight="false" outlineLevel="0" collapsed="false">
      <c r="A1427" s="48" t="str">
        <f aca="false">COST!A1427</f>
        <v>QHH-0046</v>
      </c>
      <c r="B1427" s="48" t="str">
        <f aca="false">COST!B1427</f>
        <v>QHH</v>
      </c>
      <c r="C1427" s="48" t="str">
        <f aca="false">COST!D1427</f>
        <v>Community Blood Pressure Checks</v>
      </c>
      <c r="D1427" s="62" t="n">
        <f aca="false">COST!M1427</f>
        <v>45913</v>
      </c>
      <c r="E1427" s="48" t="str">
        <f aca="false">COST!P1427</f>
        <v>Registered Nurse</v>
      </c>
      <c r="F1427" s="63" t="n">
        <f aca="false">COST!R1427</f>
        <v>4</v>
      </c>
      <c r="G1427" s="48" t="str">
        <f aca="false">STACK!M1427</f>
        <v/>
      </c>
      <c r="H1427" s="1" t="str">
        <f aca="false">C1427&amp;"|"&amp;IF(ISNUMBER(D1427),TEXT(D1427,"yyyy-mm-dd"),"no date")&amp;"|"&amp;E1427&amp;"|"&amp;IF(ISNUMBER(F1427),TEXT(F1427,"0.00"),"blank")</f>
        <v>Community Blood Pressure Checks|2025-09-13|Registered Nurse|4.00</v>
      </c>
      <c r="I1427" s="1" t="n">
        <f aca="false">COUNTIF($H$5:$H$1624,H1427)</f>
        <v>1</v>
      </c>
      <c r="J1427" s="1" t="n">
        <f aca="false">COUNTIF($H$5:H1427,H1427)</f>
        <v>1</v>
      </c>
      <c r="K1427" s="1" t="n">
        <f aca="false">COUNTIFS($H$5:$H$1624,H1427,$B$5:$B$1624,"&lt;&gt;"&amp;B1427)</f>
        <v>0</v>
      </c>
      <c r="L1427" s="1" t="str">
        <f aca="false">IF(I1427&gt;1,IF(K1427&gt;0,"Cross-hospital match","Same-hospital match"),"")</f>
        <v/>
      </c>
      <c r="M1427" s="52"/>
      <c r="N1427" s="52"/>
      <c r="O1427" s="1" t="n">
        <f aca="false">IF(M1427="Exclude (duplicate)",0,1)</f>
        <v>1</v>
      </c>
      <c r="P1427" s="1" t="str">
        <f aca="false">IF(AND(L1427&lt;&gt;"",M1427=""),"Needs decision","")</f>
        <v/>
      </c>
    </row>
    <row r="1428" customFormat="false" ht="15" hidden="false" customHeight="false" outlineLevel="0" collapsed="false">
      <c r="A1428" s="48" t="str">
        <f aca="false">COST!A1428</f>
        <v>QHH-0047</v>
      </c>
      <c r="B1428" s="48" t="str">
        <f aca="false">COST!B1428</f>
        <v>QHH</v>
      </c>
      <c r="C1428" s="48" t="str">
        <f aca="false">COST!D1428</f>
        <v>Diabetes Prevention Classes</v>
      </c>
      <c r="D1428" s="62" t="n">
        <f aca="false">COST!M1428</f>
        <v>45920</v>
      </c>
      <c r="E1428" s="48" t="str">
        <f aca="false">COST!P1428</f>
        <v>Health Educator</v>
      </c>
      <c r="F1428" s="63" t="n">
        <f aca="false">COST!R1428</f>
        <v>2.5</v>
      </c>
      <c r="G1428" s="48" t="str">
        <f aca="false">STACK!M1428</f>
        <v/>
      </c>
      <c r="H1428" s="1" t="str">
        <f aca="false">C1428&amp;"|"&amp;IF(ISNUMBER(D1428),TEXT(D1428,"yyyy-mm-dd"),"no date")&amp;"|"&amp;E1428&amp;"|"&amp;IF(ISNUMBER(F1428),TEXT(F1428,"0.00"),"blank")</f>
        <v>Diabetes Prevention Classes|2025-09-20|Health Educator|2.50</v>
      </c>
      <c r="I1428" s="1" t="n">
        <f aca="false">COUNTIF($H$5:$H$1624,H1428)</f>
        <v>1</v>
      </c>
      <c r="J1428" s="1" t="n">
        <f aca="false">COUNTIF($H$5:H1428,H1428)</f>
        <v>1</v>
      </c>
      <c r="K1428" s="1" t="n">
        <f aca="false">COUNTIFS($H$5:$H$1624,H1428,$B$5:$B$1624,"&lt;&gt;"&amp;B1428)</f>
        <v>0</v>
      </c>
      <c r="L1428" s="1" t="str">
        <f aca="false">IF(I1428&gt;1,IF(K1428&gt;0,"Cross-hospital match","Same-hospital match"),"")</f>
        <v/>
      </c>
      <c r="M1428" s="52"/>
      <c r="N1428" s="52"/>
      <c r="O1428" s="1" t="n">
        <f aca="false">IF(M1428="Exclude (duplicate)",0,1)</f>
        <v>1</v>
      </c>
      <c r="P1428" s="1" t="str">
        <f aca="false">IF(AND(L1428&lt;&gt;"",M1428=""),"Needs decision","")</f>
        <v/>
      </c>
    </row>
    <row r="1429" customFormat="false" ht="15" hidden="false" customHeight="false" outlineLevel="0" collapsed="false">
      <c r="A1429" s="48" t="str">
        <f aca="false">COST!A1429</f>
        <v>QHH-0048</v>
      </c>
      <c r="B1429" s="48" t="str">
        <f aca="false">COST!B1429</f>
        <v>QHH</v>
      </c>
      <c r="C1429" s="48" t="str">
        <f aca="false">COST!D1429</f>
        <v>Diabetes Prevention Classes</v>
      </c>
      <c r="D1429" s="62" t="n">
        <f aca="false">COST!M1429</f>
        <v>45920</v>
      </c>
      <c r="E1429" s="48" t="str">
        <f aca="false">COST!P1429</f>
        <v>Registered Dietitian</v>
      </c>
      <c r="F1429" s="63" t="n">
        <f aca="false">COST!R1429</f>
        <v>2</v>
      </c>
      <c r="G1429" s="48" t="str">
        <f aca="false">STACK!M1429</f>
        <v/>
      </c>
      <c r="H1429" s="1" t="str">
        <f aca="false">C1429&amp;"|"&amp;IF(ISNUMBER(D1429),TEXT(D1429,"yyyy-mm-dd"),"no date")&amp;"|"&amp;E1429&amp;"|"&amp;IF(ISNUMBER(F1429),TEXT(F1429,"0.00"),"blank")</f>
        <v>Diabetes Prevention Classes|2025-09-20|Registered Dietitian|2.00</v>
      </c>
      <c r="I1429" s="1" t="n">
        <f aca="false">COUNTIF($H$5:$H$1624,H1429)</f>
        <v>1</v>
      </c>
      <c r="J1429" s="1" t="n">
        <f aca="false">COUNTIF($H$5:H1429,H1429)</f>
        <v>1</v>
      </c>
      <c r="K1429" s="1" t="n">
        <f aca="false">COUNTIFS($H$5:$H$1624,H1429,$B$5:$B$1624,"&lt;&gt;"&amp;B1429)</f>
        <v>0</v>
      </c>
      <c r="L1429" s="1" t="str">
        <f aca="false">IF(I1429&gt;1,IF(K1429&gt;0,"Cross-hospital match","Same-hospital match"),"")</f>
        <v/>
      </c>
      <c r="M1429" s="52"/>
      <c r="N1429" s="52"/>
      <c r="O1429" s="1" t="n">
        <f aca="false">IF(M1429="Exclude (duplicate)",0,1)</f>
        <v>1</v>
      </c>
      <c r="P1429" s="1" t="str">
        <f aca="false">IF(AND(L1429&lt;&gt;"",M1429=""),"Needs decision","")</f>
        <v/>
      </c>
    </row>
    <row r="1430" customFormat="false" ht="15" hidden="false" customHeight="false" outlineLevel="0" collapsed="false">
      <c r="A1430" s="48" t="str">
        <f aca="false">COST!A1430</f>
        <v>QHH-0049</v>
      </c>
      <c r="B1430" s="48" t="str">
        <f aca="false">COST!B1430</f>
        <v>QHH</v>
      </c>
      <c r="C1430" s="48" t="str">
        <f aca="false">COST!D1430</f>
        <v>In-Kind Medical Supply Donations</v>
      </c>
      <c r="D1430" s="62" t="n">
        <f aca="false">COST!M1430</f>
        <v>45926</v>
      </c>
      <c r="E1430" s="48" t="str">
        <f aca="false">COST!P1430</f>
        <v>No staff time</v>
      </c>
      <c r="F1430" s="63" t="n">
        <f aca="false">COST!R1430</f>
        <v>0</v>
      </c>
      <c r="G1430" s="48" t="str">
        <f aca="false">STACK!M1430</f>
        <v/>
      </c>
      <c r="H1430" s="1" t="str">
        <f aca="false">C1430&amp;"|"&amp;IF(ISNUMBER(D1430),TEXT(D1430,"yyyy-mm-dd"),"no date")&amp;"|"&amp;E1430&amp;"|"&amp;IF(ISNUMBER(F1430),TEXT(F1430,"0.00"),"blank")</f>
        <v>In-Kind Medical Supply Donations|2025-09-26|No staff time|0.00</v>
      </c>
      <c r="I1430" s="1" t="n">
        <f aca="false">COUNTIF($H$5:$H$1624,H1430)</f>
        <v>1</v>
      </c>
      <c r="J1430" s="1" t="n">
        <f aca="false">COUNTIF($H$5:H1430,H1430)</f>
        <v>1</v>
      </c>
      <c r="K1430" s="1" t="n">
        <f aca="false">COUNTIFS($H$5:$H$1624,H1430,$B$5:$B$1624,"&lt;&gt;"&amp;B1430)</f>
        <v>0</v>
      </c>
      <c r="L1430" s="1" t="str">
        <f aca="false">IF(I1430&gt;1,IF(K1430&gt;0,"Cross-hospital match","Same-hospital match"),"")</f>
        <v/>
      </c>
      <c r="M1430" s="52"/>
      <c r="N1430" s="52"/>
      <c r="O1430" s="1" t="n">
        <f aca="false">IF(M1430="Exclude (duplicate)",0,1)</f>
        <v>1</v>
      </c>
      <c r="P1430" s="1" t="str">
        <f aca="false">IF(AND(L1430&lt;&gt;"",M1430=""),"Needs decision","")</f>
        <v/>
      </c>
    </row>
    <row r="1431" customFormat="false" ht="15" hidden="false" customHeight="false" outlineLevel="0" collapsed="false">
      <c r="A1431" s="48" t="str">
        <f aca="false">COST!A1431</f>
        <v>QHH-0050</v>
      </c>
      <c r="B1431" s="48" t="str">
        <f aca="false">COST!B1431</f>
        <v>QHH</v>
      </c>
      <c r="C1431" s="48" t="str">
        <f aca="false">COST!D1431</f>
        <v>Diabetes Prevention Classes</v>
      </c>
      <c r="D1431" s="62" t="n">
        <f aca="false">COST!M1431</f>
        <v>45930</v>
      </c>
      <c r="E1431" s="48" t="str">
        <f aca="false">COST!P1431</f>
        <v>Health Educator</v>
      </c>
      <c r="F1431" s="63" t="n">
        <f aca="false">COST!R1431</f>
        <v>3</v>
      </c>
      <c r="G1431" s="48" t="str">
        <f aca="false">STACK!M1431</f>
        <v/>
      </c>
      <c r="H1431" s="1" t="str">
        <f aca="false">C1431&amp;"|"&amp;IF(ISNUMBER(D1431),TEXT(D1431,"yyyy-mm-dd"),"no date")&amp;"|"&amp;E1431&amp;"|"&amp;IF(ISNUMBER(F1431),TEXT(F1431,"0.00"),"blank")</f>
        <v>Diabetes Prevention Classes|2025-09-30|Health Educator|3.00</v>
      </c>
      <c r="I1431" s="1" t="n">
        <f aca="false">COUNTIF($H$5:$H$1624,H1431)</f>
        <v>1</v>
      </c>
      <c r="J1431" s="1" t="n">
        <f aca="false">COUNTIF($H$5:H1431,H1431)</f>
        <v>1</v>
      </c>
      <c r="K1431" s="1" t="n">
        <f aca="false">COUNTIFS($H$5:$H$1624,H1431,$B$5:$B$1624,"&lt;&gt;"&amp;B1431)</f>
        <v>0</v>
      </c>
      <c r="L1431" s="1" t="str">
        <f aca="false">IF(I1431&gt;1,IF(K1431&gt;0,"Cross-hospital match","Same-hospital match"),"")</f>
        <v/>
      </c>
      <c r="M1431" s="52"/>
      <c r="N1431" s="52"/>
      <c r="O1431" s="1" t="n">
        <f aca="false">IF(M1431="Exclude (duplicate)",0,1)</f>
        <v>1</v>
      </c>
      <c r="P1431" s="1" t="str">
        <f aca="false">IF(AND(L1431&lt;&gt;"",M1431=""),"Needs decision","")</f>
        <v/>
      </c>
    </row>
    <row r="1432" customFormat="false" ht="15" hidden="false" customHeight="false" outlineLevel="0" collapsed="false">
      <c r="A1432" s="48" t="str">
        <f aca="false">COST!A1432</f>
        <v>QHH-0051</v>
      </c>
      <c r="B1432" s="48" t="str">
        <f aca="false">COST!B1432</f>
        <v>QHH</v>
      </c>
      <c r="C1432" s="48" t="str">
        <f aca="false">COST!D1432</f>
        <v>Diabetes Prevention Classes</v>
      </c>
      <c r="D1432" s="62" t="n">
        <f aca="false">COST!M1432</f>
        <v>45930</v>
      </c>
      <c r="E1432" s="48" t="str">
        <f aca="false">COST!P1432</f>
        <v>Registered Dietitian</v>
      </c>
      <c r="F1432" s="63" t="n">
        <f aca="false">COST!R1432</f>
        <v>1.75</v>
      </c>
      <c r="G1432" s="48" t="str">
        <f aca="false">STACK!M1432</f>
        <v/>
      </c>
      <c r="H1432" s="1" t="str">
        <f aca="false">C1432&amp;"|"&amp;IF(ISNUMBER(D1432),TEXT(D1432,"yyyy-mm-dd"),"no date")&amp;"|"&amp;E1432&amp;"|"&amp;IF(ISNUMBER(F1432),TEXT(F1432,"0.00"),"blank")</f>
        <v>Diabetes Prevention Classes|2025-09-30|Registered Dietitian|1.75</v>
      </c>
      <c r="I1432" s="1" t="n">
        <f aca="false">COUNTIF($H$5:$H$1624,H1432)</f>
        <v>1</v>
      </c>
      <c r="J1432" s="1" t="n">
        <f aca="false">COUNTIF($H$5:H1432,H1432)</f>
        <v>1</v>
      </c>
      <c r="K1432" s="1" t="n">
        <f aca="false">COUNTIFS($H$5:$H$1624,H1432,$B$5:$B$1624,"&lt;&gt;"&amp;B1432)</f>
        <v>0</v>
      </c>
      <c r="L1432" s="1" t="str">
        <f aca="false">IF(I1432&gt;1,IF(K1432&gt;0,"Cross-hospital match","Same-hospital match"),"")</f>
        <v/>
      </c>
      <c r="M1432" s="52"/>
      <c r="N1432" s="52"/>
      <c r="O1432" s="1" t="n">
        <f aca="false">IF(M1432="Exclude (duplicate)",0,1)</f>
        <v>1</v>
      </c>
      <c r="P1432" s="1" t="str">
        <f aca="false">IF(AND(L1432&lt;&gt;"",M1432=""),"Needs decision","")</f>
        <v/>
      </c>
    </row>
    <row r="1433" customFormat="false" ht="15" hidden="false" customHeight="false" outlineLevel="0" collapsed="false">
      <c r="A1433" s="48" t="str">
        <f aca="false">COST!A1433</f>
        <v>QHH-0052</v>
      </c>
      <c r="B1433" s="48" t="str">
        <f aca="false">COST!B1433</f>
        <v>QHH</v>
      </c>
      <c r="C1433" s="48" t="str">
        <f aca="false">COST!D1433</f>
        <v>Medication Assistance Program</v>
      </c>
      <c r="D1433" s="62" t="n">
        <f aca="false">COST!M1433</f>
        <v>45930</v>
      </c>
      <c r="E1433" s="48" t="str">
        <f aca="false">COST!P1433</f>
        <v>Patient Navigator</v>
      </c>
      <c r="F1433" s="63" t="n">
        <f aca="false">COST!R1433</f>
        <v>76.25</v>
      </c>
      <c r="G1433" s="48" t="str">
        <f aca="false">STACK!M1433</f>
        <v/>
      </c>
      <c r="H1433" s="1" t="str">
        <f aca="false">C1433&amp;"|"&amp;IF(ISNUMBER(D1433),TEXT(D1433,"yyyy-mm-dd"),"no date")&amp;"|"&amp;E1433&amp;"|"&amp;IF(ISNUMBER(F1433),TEXT(F1433,"0.00"),"blank")</f>
        <v>Medication Assistance Program|2025-09-30|Patient Navigator|76.25</v>
      </c>
      <c r="I1433" s="1" t="n">
        <f aca="false">COUNTIF($H$5:$H$1624,H1433)</f>
        <v>1</v>
      </c>
      <c r="J1433" s="1" t="n">
        <f aca="false">COUNTIF($H$5:H1433,H1433)</f>
        <v>1</v>
      </c>
      <c r="K1433" s="1" t="n">
        <f aca="false">COUNTIFS($H$5:$H$1624,H1433,$B$5:$B$1624,"&lt;&gt;"&amp;B1433)</f>
        <v>0</v>
      </c>
      <c r="L1433" s="1" t="str">
        <f aca="false">IF(I1433&gt;1,IF(K1433&gt;0,"Cross-hospital match","Same-hospital match"),"")</f>
        <v/>
      </c>
      <c r="M1433" s="52"/>
      <c r="N1433" s="52"/>
      <c r="O1433" s="1" t="n">
        <f aca="false">IF(M1433="Exclude (duplicate)",0,1)</f>
        <v>1</v>
      </c>
      <c r="P1433" s="1" t="str">
        <f aca="false">IF(AND(L1433&lt;&gt;"",M1433=""),"Needs decision","")</f>
        <v/>
      </c>
    </row>
    <row r="1434" customFormat="false" ht="15" hidden="false" customHeight="false" outlineLevel="0" collapsed="false">
      <c r="A1434" s="48" t="str">
        <f aca="false">COST!A1434</f>
        <v>QHH-0053</v>
      </c>
      <c r="B1434" s="48" t="str">
        <f aca="false">COST!B1434</f>
        <v>QHH</v>
      </c>
      <c r="C1434" s="48" t="str">
        <f aca="false">COST!D1434</f>
        <v>Medication Assistance Program</v>
      </c>
      <c r="D1434" s="62" t="n">
        <f aca="false">COST!M1434</f>
        <v>45930</v>
      </c>
      <c r="E1434" s="48" t="str">
        <f aca="false">COST!P1434</f>
        <v>Pharmacist</v>
      </c>
      <c r="F1434" s="63" t="n">
        <f aca="false">COST!R1434</f>
        <v>19.75</v>
      </c>
      <c r="G1434" s="48" t="str">
        <f aca="false">STACK!M1434</f>
        <v/>
      </c>
      <c r="H1434" s="1" t="str">
        <f aca="false">C1434&amp;"|"&amp;IF(ISNUMBER(D1434),TEXT(D1434,"yyyy-mm-dd"),"no date")&amp;"|"&amp;E1434&amp;"|"&amp;IF(ISNUMBER(F1434),TEXT(F1434,"0.00"),"blank")</f>
        <v>Medication Assistance Program|2025-09-30|Pharmacist|19.75</v>
      </c>
      <c r="I1434" s="1" t="n">
        <f aca="false">COUNTIF($H$5:$H$1624,H1434)</f>
        <v>1</v>
      </c>
      <c r="J1434" s="1" t="n">
        <f aca="false">COUNTIF($H$5:H1434,H1434)</f>
        <v>1</v>
      </c>
      <c r="K1434" s="1" t="n">
        <f aca="false">COUNTIFS($H$5:$H$1624,H1434,$B$5:$B$1624,"&lt;&gt;"&amp;B1434)</f>
        <v>0</v>
      </c>
      <c r="L1434" s="1" t="str">
        <f aca="false">IF(I1434&gt;1,IF(K1434&gt;0,"Cross-hospital match","Same-hospital match"),"")</f>
        <v/>
      </c>
      <c r="M1434" s="52"/>
      <c r="N1434" s="52"/>
      <c r="O1434" s="1" t="n">
        <f aca="false">IF(M1434="Exclude (duplicate)",0,1)</f>
        <v>1</v>
      </c>
      <c r="P1434" s="1" t="str">
        <f aca="false">IF(AND(L1434&lt;&gt;"",M1434=""),"Needs decision","")</f>
        <v/>
      </c>
    </row>
    <row r="1435" customFormat="false" ht="15" hidden="false" customHeight="false" outlineLevel="0" collapsed="false">
      <c r="A1435" s="48" t="str">
        <f aca="false">COST!A1435</f>
        <v>QHH-0054</v>
      </c>
      <c r="B1435" s="48" t="str">
        <f aca="false">COST!B1435</f>
        <v>QHH</v>
      </c>
      <c r="C1435" s="48" t="str">
        <f aca="false">COST!D1435</f>
        <v>Community Benefit Program Administration</v>
      </c>
      <c r="D1435" s="62" t="n">
        <f aca="false">COST!M1435</f>
        <v>45930</v>
      </c>
      <c r="E1435" s="48" t="str">
        <f aca="false">COST!P1435</f>
        <v>Administrative Assistant</v>
      </c>
      <c r="F1435" s="63" t="n">
        <f aca="false">COST!R1435</f>
        <v>40</v>
      </c>
      <c r="G1435" s="48" t="str">
        <f aca="false">STACK!M1435</f>
        <v/>
      </c>
      <c r="H1435" s="1" t="str">
        <f aca="false">C1435&amp;"|"&amp;IF(ISNUMBER(D1435),TEXT(D1435,"yyyy-mm-dd"),"no date")&amp;"|"&amp;E1435&amp;"|"&amp;IF(ISNUMBER(F1435),TEXT(F1435,"0.00"),"blank")</f>
        <v>Community Benefit Program Administration|2025-09-30|Administrative Assistant|40.00</v>
      </c>
      <c r="I1435" s="1" t="n">
        <f aca="false">COUNTIF($H$5:$H$1624,H1435)</f>
        <v>1</v>
      </c>
      <c r="J1435" s="1" t="n">
        <f aca="false">COUNTIF($H$5:H1435,H1435)</f>
        <v>1</v>
      </c>
      <c r="K1435" s="1" t="n">
        <f aca="false">COUNTIFS($H$5:$H$1624,H1435,$B$5:$B$1624,"&lt;&gt;"&amp;B1435)</f>
        <v>0</v>
      </c>
      <c r="L1435" s="1" t="str">
        <f aca="false">IF(I1435&gt;1,IF(K1435&gt;0,"Cross-hospital match","Same-hospital match"),"")</f>
        <v/>
      </c>
      <c r="M1435" s="52"/>
      <c r="N1435" s="52"/>
      <c r="O1435" s="1" t="n">
        <f aca="false">IF(M1435="Exclude (duplicate)",0,1)</f>
        <v>1</v>
      </c>
      <c r="P1435" s="1" t="str">
        <f aca="false">IF(AND(L1435&lt;&gt;"",M1435=""),"Needs decision","")</f>
        <v/>
      </c>
    </row>
    <row r="1436" customFormat="false" ht="15" hidden="false" customHeight="false" outlineLevel="0" collapsed="false">
      <c r="A1436" s="48" t="str">
        <f aca="false">COST!A1436</f>
        <v>QHH-0055</v>
      </c>
      <c r="B1436" s="48" t="str">
        <f aca="false">COST!B1436</f>
        <v>QHH</v>
      </c>
      <c r="C1436" s="48" t="str">
        <f aca="false">COST!D1436</f>
        <v>Community Benefit Program Administration</v>
      </c>
      <c r="D1436" s="62" t="n">
        <f aca="false">COST!M1436</f>
        <v>45930</v>
      </c>
      <c r="E1436" s="48" t="str">
        <f aca="false">COST!P1436</f>
        <v>Community Benefit Manager</v>
      </c>
      <c r="F1436" s="63" t="n">
        <f aca="false">COST!R1436</f>
        <v>50.5</v>
      </c>
      <c r="G1436" s="48" t="str">
        <f aca="false">STACK!M1436</f>
        <v/>
      </c>
      <c r="H1436" s="1" t="str">
        <f aca="false">C1436&amp;"|"&amp;IF(ISNUMBER(D1436),TEXT(D1436,"yyyy-mm-dd"),"no date")&amp;"|"&amp;E1436&amp;"|"&amp;IF(ISNUMBER(F1436),TEXT(F1436,"0.00"),"blank")</f>
        <v>Community Benefit Program Administration|2025-09-30|Community Benefit Manager|50.50</v>
      </c>
      <c r="I1436" s="1" t="n">
        <f aca="false">COUNTIF($H$5:$H$1624,H1436)</f>
        <v>1</v>
      </c>
      <c r="J1436" s="1" t="n">
        <f aca="false">COUNTIF($H$5:H1436,H1436)</f>
        <v>1</v>
      </c>
      <c r="K1436" s="1" t="n">
        <f aca="false">COUNTIFS($H$5:$H$1624,H1436,$B$5:$B$1624,"&lt;&gt;"&amp;B1436)</f>
        <v>0</v>
      </c>
      <c r="L1436" s="1" t="str">
        <f aca="false">IF(I1436&gt;1,IF(K1436&gt;0,"Cross-hospital match","Same-hospital match"),"")</f>
        <v/>
      </c>
      <c r="M1436" s="52"/>
      <c r="N1436" s="52"/>
      <c r="O1436" s="1" t="n">
        <f aca="false">IF(M1436="Exclude (duplicate)",0,1)</f>
        <v>1</v>
      </c>
      <c r="P1436" s="1" t="str">
        <f aca="false">IF(AND(L1436&lt;&gt;"",M1436=""),"Needs decision","")</f>
        <v/>
      </c>
    </row>
    <row r="1437" customFormat="false" ht="15" hidden="false" customHeight="false" outlineLevel="0" collapsed="false">
      <c r="A1437" s="48" t="str">
        <f aca="false">COST!A1437</f>
        <v>QHH-0056</v>
      </c>
      <c r="B1437" s="48" t="str">
        <f aca="false">COST!B1437</f>
        <v>QHH</v>
      </c>
      <c r="C1437" s="48" t="str">
        <f aca="false">COST!D1437</f>
        <v>Community Paramedic Home Visits</v>
      </c>
      <c r="D1437" s="62" t="n">
        <f aca="false">COST!M1437</f>
        <v>45930</v>
      </c>
      <c r="E1437" s="48" t="str">
        <f aca="false">COST!P1437</f>
        <v>Paramedic</v>
      </c>
      <c r="F1437" s="63" t="n">
        <f aca="false">COST!R1437</f>
        <v>102.5</v>
      </c>
      <c r="G1437" s="48" t="str">
        <f aca="false">STACK!M1437</f>
        <v/>
      </c>
      <c r="H1437" s="1" t="str">
        <f aca="false">C1437&amp;"|"&amp;IF(ISNUMBER(D1437),TEXT(D1437,"yyyy-mm-dd"),"no date")&amp;"|"&amp;E1437&amp;"|"&amp;IF(ISNUMBER(F1437),TEXT(F1437,"0.00"),"blank")</f>
        <v>Community Paramedic Home Visits|2025-09-30|Paramedic|102.50</v>
      </c>
      <c r="I1437" s="1" t="n">
        <f aca="false">COUNTIF($H$5:$H$1624,H1437)</f>
        <v>1</v>
      </c>
      <c r="J1437" s="1" t="n">
        <f aca="false">COUNTIF($H$5:H1437,H1437)</f>
        <v>1</v>
      </c>
      <c r="K1437" s="1" t="n">
        <f aca="false">COUNTIFS($H$5:$H$1624,H1437,$B$5:$B$1624,"&lt;&gt;"&amp;B1437)</f>
        <v>0</v>
      </c>
      <c r="L1437" s="1" t="str">
        <f aca="false">IF(I1437&gt;1,IF(K1437&gt;0,"Cross-hospital match","Same-hospital match"),"")</f>
        <v/>
      </c>
      <c r="M1437" s="52"/>
      <c r="N1437" s="52"/>
      <c r="O1437" s="1" t="n">
        <f aca="false">IF(M1437="Exclude (duplicate)",0,1)</f>
        <v>1</v>
      </c>
      <c r="P1437" s="1" t="str">
        <f aca="false">IF(AND(L1437&lt;&gt;"",M1437=""),"Needs decision","")</f>
        <v/>
      </c>
    </row>
    <row r="1438" customFormat="false" ht="15" hidden="false" customHeight="false" outlineLevel="0" collapsed="false">
      <c r="A1438" s="48" t="str">
        <f aca="false">COST!A1438</f>
        <v>QHH-0057</v>
      </c>
      <c r="B1438" s="48" t="str">
        <f aca="false">COST!B1438</f>
        <v>QHH</v>
      </c>
      <c r="C1438" s="48" t="str">
        <f aca="false">COST!D1438</f>
        <v>Nursing Student Clinical Rotations</v>
      </c>
      <c r="D1438" s="62" t="n">
        <f aca="false">COST!M1438</f>
        <v>45930</v>
      </c>
      <c r="E1438" s="48" t="str">
        <f aca="false">COST!P1438</f>
        <v>Clinical Nurse Educator</v>
      </c>
      <c r="F1438" s="63" t="n">
        <f aca="false">COST!R1438</f>
        <v>88.5</v>
      </c>
      <c r="G1438" s="48" t="str">
        <f aca="false">STACK!M1438</f>
        <v/>
      </c>
      <c r="H1438" s="1" t="str">
        <f aca="false">C1438&amp;"|"&amp;IF(ISNUMBER(D1438),TEXT(D1438,"yyyy-mm-dd"),"no date")&amp;"|"&amp;E1438&amp;"|"&amp;IF(ISNUMBER(F1438),TEXT(F1438,"0.00"),"blank")</f>
        <v>Nursing Student Clinical Rotations|2025-09-30|Clinical Nurse Educator|88.50</v>
      </c>
      <c r="I1438" s="1" t="n">
        <f aca="false">COUNTIF($H$5:$H$1624,H1438)</f>
        <v>1</v>
      </c>
      <c r="J1438" s="1" t="n">
        <f aca="false">COUNTIF($H$5:H1438,H1438)</f>
        <v>1</v>
      </c>
      <c r="K1438" s="1" t="n">
        <f aca="false">COUNTIFS($H$5:$H$1624,H1438,$B$5:$B$1624,"&lt;&gt;"&amp;B1438)</f>
        <v>0</v>
      </c>
      <c r="L1438" s="1" t="str">
        <f aca="false">IF(I1438&gt;1,IF(K1438&gt;0,"Cross-hospital match","Same-hospital match"),"")</f>
        <v/>
      </c>
      <c r="M1438" s="52"/>
      <c r="N1438" s="52"/>
      <c r="O1438" s="1" t="n">
        <f aca="false">IF(M1438="Exclude (duplicate)",0,1)</f>
        <v>1</v>
      </c>
      <c r="P1438" s="1" t="str">
        <f aca="false">IF(AND(L1438&lt;&gt;"",M1438=""),"Needs decision","")</f>
        <v/>
      </c>
    </row>
    <row r="1439" customFormat="false" ht="15" hidden="false" customHeight="false" outlineLevel="0" collapsed="false">
      <c r="A1439" s="48" t="str">
        <f aca="false">COST!A1439</f>
        <v>QHH-0058</v>
      </c>
      <c r="B1439" s="48" t="str">
        <f aca="false">COST!B1439</f>
        <v>QHH</v>
      </c>
      <c r="C1439" s="48" t="str">
        <f aca="false">COST!D1439</f>
        <v>Nursing Student Clinical Rotations</v>
      </c>
      <c r="D1439" s="62" t="n">
        <f aca="false">COST!M1439</f>
        <v>45930</v>
      </c>
      <c r="E1439" s="48" t="str">
        <f aca="false">COST!P1439</f>
        <v>Registered Nurse</v>
      </c>
      <c r="F1439" s="63" t="n">
        <f aca="false">COST!R1439</f>
        <v>141.5</v>
      </c>
      <c r="G1439" s="48" t="str">
        <f aca="false">STACK!M1439</f>
        <v/>
      </c>
      <c r="H1439" s="1" t="str">
        <f aca="false">C1439&amp;"|"&amp;IF(ISNUMBER(D1439),TEXT(D1439,"yyyy-mm-dd"),"no date")&amp;"|"&amp;E1439&amp;"|"&amp;IF(ISNUMBER(F1439),TEXT(F1439,"0.00"),"blank")</f>
        <v>Nursing Student Clinical Rotations|2025-09-30|Registered Nurse|141.50</v>
      </c>
      <c r="I1439" s="1" t="n">
        <f aca="false">COUNTIF($H$5:$H$1624,H1439)</f>
        <v>1</v>
      </c>
      <c r="J1439" s="1" t="n">
        <f aca="false">COUNTIF($H$5:H1439,H1439)</f>
        <v>1</v>
      </c>
      <c r="K1439" s="1" t="n">
        <f aca="false">COUNTIFS($H$5:$H$1624,H1439,$B$5:$B$1624,"&lt;&gt;"&amp;B1439)</f>
        <v>0</v>
      </c>
      <c r="L1439" s="1" t="str">
        <f aca="false">IF(I1439&gt;1,IF(K1439&gt;0,"Cross-hospital match","Same-hospital match"),"")</f>
        <v/>
      </c>
      <c r="M1439" s="52"/>
      <c r="N1439" s="52"/>
      <c r="O1439" s="1" t="n">
        <f aca="false">IF(M1439="Exclude (duplicate)",0,1)</f>
        <v>1</v>
      </c>
      <c r="P1439" s="1" t="str">
        <f aca="false">IF(AND(L1439&lt;&gt;"",M1439=""),"Needs decision","")</f>
        <v/>
      </c>
    </row>
    <row r="1440" customFormat="false" ht="15" hidden="false" customHeight="false" outlineLevel="0" collapsed="false">
      <c r="A1440" s="48" t="str">
        <f aca="false">COST!A1440</f>
        <v>QHH-0059</v>
      </c>
      <c r="B1440" s="48" t="str">
        <f aca="false">COST!B1440</f>
        <v>QHH</v>
      </c>
      <c r="C1440" s="48" t="str">
        <f aca="false">COST!D1440</f>
        <v>Tobacco Cessation Classes</v>
      </c>
      <c r="D1440" s="62" t="n">
        <f aca="false">COST!M1440</f>
        <v>45934</v>
      </c>
      <c r="E1440" s="48" t="str">
        <f aca="false">COST!P1440</f>
        <v>Licensed Therapist</v>
      </c>
      <c r="F1440" s="63" t="n">
        <f aca="false">COST!R1440</f>
        <v>2</v>
      </c>
      <c r="G1440" s="48" t="str">
        <f aca="false">STACK!M1440</f>
        <v/>
      </c>
      <c r="H1440" s="1" t="str">
        <f aca="false">C1440&amp;"|"&amp;IF(ISNUMBER(D1440),TEXT(D1440,"yyyy-mm-dd"),"no date")&amp;"|"&amp;E1440&amp;"|"&amp;IF(ISNUMBER(F1440),TEXT(F1440,"0.00"),"blank")</f>
        <v>Tobacco Cessation Classes|2025-10-04|Licensed Therapist|2.00</v>
      </c>
      <c r="I1440" s="1" t="n">
        <f aca="false">COUNTIF($H$5:$H$1624,H1440)</f>
        <v>1</v>
      </c>
      <c r="J1440" s="1" t="n">
        <f aca="false">COUNTIF($H$5:H1440,H1440)</f>
        <v>1</v>
      </c>
      <c r="K1440" s="1" t="n">
        <f aca="false">COUNTIFS($H$5:$H$1624,H1440,$B$5:$B$1624,"&lt;&gt;"&amp;B1440)</f>
        <v>0</v>
      </c>
      <c r="L1440" s="1" t="str">
        <f aca="false">IF(I1440&gt;1,IF(K1440&gt;0,"Cross-hospital match","Same-hospital match"),"")</f>
        <v/>
      </c>
      <c r="M1440" s="52"/>
      <c r="N1440" s="52"/>
      <c r="O1440" s="1" t="n">
        <f aca="false">IF(M1440="Exclude (duplicate)",0,1)</f>
        <v>1</v>
      </c>
      <c r="P1440" s="1" t="str">
        <f aca="false">IF(AND(L1440&lt;&gt;"",M1440=""),"Needs decision","")</f>
        <v/>
      </c>
    </row>
    <row r="1441" customFormat="false" ht="15" hidden="false" customHeight="false" outlineLevel="0" collapsed="false">
      <c r="A1441" s="48" t="str">
        <f aca="false">COST!A1441</f>
        <v>QHH-0060</v>
      </c>
      <c r="B1441" s="48" t="str">
        <f aca="false">COST!B1441</f>
        <v>QHH</v>
      </c>
      <c r="C1441" s="48" t="str">
        <f aca="false">COST!D1441</f>
        <v>Childbirth and Newborn Care Classes</v>
      </c>
      <c r="D1441" s="62" t="n">
        <f aca="false">COST!M1441</f>
        <v>45936</v>
      </c>
      <c r="E1441" s="48" t="str">
        <f aca="false">COST!P1441</f>
        <v>Clinical Nurse Educator</v>
      </c>
      <c r="F1441" s="63" t="n">
        <f aca="false">COST!R1441</f>
        <v>3.25</v>
      </c>
      <c r="G1441" s="48" t="str">
        <f aca="false">STACK!M1441</f>
        <v/>
      </c>
      <c r="H1441" s="1" t="str">
        <f aca="false">C1441&amp;"|"&amp;IF(ISNUMBER(D1441),TEXT(D1441,"yyyy-mm-dd"),"no date")&amp;"|"&amp;E1441&amp;"|"&amp;IF(ISNUMBER(F1441),TEXT(F1441,"0.00"),"blank")</f>
        <v>Childbirth and Newborn Care Classes|2025-10-06|Clinical Nurse Educator|3.25</v>
      </c>
      <c r="I1441" s="1" t="n">
        <f aca="false">COUNTIF($H$5:$H$1624,H1441)</f>
        <v>1</v>
      </c>
      <c r="J1441" s="1" t="n">
        <f aca="false">COUNTIF($H$5:H1441,H1441)</f>
        <v>1</v>
      </c>
      <c r="K1441" s="1" t="n">
        <f aca="false">COUNTIFS($H$5:$H$1624,H1441,$B$5:$B$1624,"&lt;&gt;"&amp;B1441)</f>
        <v>0</v>
      </c>
      <c r="L1441" s="1" t="str">
        <f aca="false">IF(I1441&gt;1,IF(K1441&gt;0,"Cross-hospital match","Same-hospital match"),"")</f>
        <v/>
      </c>
      <c r="M1441" s="52"/>
      <c r="N1441" s="52"/>
      <c r="O1441" s="1" t="n">
        <f aca="false">IF(M1441="Exclude (duplicate)",0,1)</f>
        <v>1</v>
      </c>
      <c r="P1441" s="1" t="str">
        <f aca="false">IF(AND(L1441&lt;&gt;"",M1441=""),"Needs decision","")</f>
        <v/>
      </c>
    </row>
    <row r="1442" customFormat="false" ht="15" hidden="false" customHeight="false" outlineLevel="0" collapsed="false">
      <c r="A1442" s="48" t="str">
        <f aca="false">COST!A1442</f>
        <v>QHH-0061</v>
      </c>
      <c r="B1442" s="48" t="str">
        <f aca="false">COST!B1442</f>
        <v>QHH</v>
      </c>
      <c r="C1442" s="48" t="str">
        <f aca="false">COST!D1442</f>
        <v>Car Seat Safety Checks</v>
      </c>
      <c r="D1442" s="62" t="n">
        <f aca="false">COST!M1442</f>
        <v>45944</v>
      </c>
      <c r="E1442" s="48" t="str">
        <f aca="false">COST!P1442</f>
        <v>Paramedic</v>
      </c>
      <c r="F1442" s="63" t="n">
        <f aca="false">COST!R1442</f>
        <v>3.25</v>
      </c>
      <c r="G1442" s="48" t="str">
        <f aca="false">STACK!M1442</f>
        <v/>
      </c>
      <c r="H1442" s="1" t="str">
        <f aca="false">C1442&amp;"|"&amp;IF(ISNUMBER(D1442),TEXT(D1442,"yyyy-mm-dd"),"no date")&amp;"|"&amp;E1442&amp;"|"&amp;IF(ISNUMBER(F1442),TEXT(F1442,"0.00"),"blank")</f>
        <v>Car Seat Safety Checks|2025-10-14|Paramedic|3.25</v>
      </c>
      <c r="I1442" s="1" t="n">
        <f aca="false">COUNTIF($H$5:$H$1624,H1442)</f>
        <v>1</v>
      </c>
      <c r="J1442" s="1" t="n">
        <f aca="false">COUNTIF($H$5:H1442,H1442)</f>
        <v>1</v>
      </c>
      <c r="K1442" s="1" t="n">
        <f aca="false">COUNTIFS($H$5:$H$1624,H1442,$B$5:$B$1624,"&lt;&gt;"&amp;B1442)</f>
        <v>0</v>
      </c>
      <c r="L1442" s="1" t="str">
        <f aca="false">IF(I1442&gt;1,IF(K1442&gt;0,"Cross-hospital match","Same-hospital match"),"")</f>
        <v/>
      </c>
      <c r="M1442" s="52"/>
      <c r="N1442" s="52"/>
      <c r="O1442" s="1" t="n">
        <f aca="false">IF(M1442="Exclude (duplicate)",0,1)</f>
        <v>1</v>
      </c>
      <c r="P1442" s="1" t="str">
        <f aca="false">IF(AND(L1442&lt;&gt;"",M1442=""),"Needs decision","")</f>
        <v/>
      </c>
    </row>
    <row r="1443" customFormat="false" ht="15" hidden="false" customHeight="false" outlineLevel="0" collapsed="false">
      <c r="A1443" s="48" t="str">
        <f aca="false">COST!A1443</f>
        <v>QHH-0062</v>
      </c>
      <c r="B1443" s="48" t="str">
        <f aca="false">COST!B1443</f>
        <v>QHH</v>
      </c>
      <c r="C1443" s="48" t="str">
        <f aca="false">COST!D1443</f>
        <v>Car Seat Safety Checks</v>
      </c>
      <c r="D1443" s="62" t="n">
        <f aca="false">COST!M1443</f>
        <v>45944</v>
      </c>
      <c r="E1443" s="48" t="str">
        <f aca="false">COST!P1443</f>
        <v>Registered Nurse</v>
      </c>
      <c r="F1443" s="63" t="n">
        <f aca="false">COST!R1443</f>
        <v>4</v>
      </c>
      <c r="G1443" s="48" t="str">
        <f aca="false">STACK!M1443</f>
        <v/>
      </c>
      <c r="H1443" s="1" t="str">
        <f aca="false">C1443&amp;"|"&amp;IF(ISNUMBER(D1443),TEXT(D1443,"yyyy-mm-dd"),"no date")&amp;"|"&amp;E1443&amp;"|"&amp;IF(ISNUMBER(F1443),TEXT(F1443,"0.00"),"blank")</f>
        <v>Car Seat Safety Checks|2025-10-14|Registered Nurse|4.00</v>
      </c>
      <c r="I1443" s="1" t="n">
        <f aca="false">COUNTIF($H$5:$H$1624,H1443)</f>
        <v>1</v>
      </c>
      <c r="J1443" s="1" t="n">
        <f aca="false">COUNTIF($H$5:H1443,H1443)</f>
        <v>1</v>
      </c>
      <c r="K1443" s="1" t="n">
        <f aca="false">COUNTIFS($H$5:$H$1624,H1443,$B$5:$B$1624,"&lt;&gt;"&amp;B1443)</f>
        <v>0</v>
      </c>
      <c r="L1443" s="1" t="str">
        <f aca="false">IF(I1443&gt;1,IF(K1443&gt;0,"Cross-hospital match","Same-hospital match"),"")</f>
        <v/>
      </c>
      <c r="M1443" s="52"/>
      <c r="N1443" s="52"/>
      <c r="O1443" s="1" t="n">
        <f aca="false">IF(M1443="Exclude (duplicate)",0,1)</f>
        <v>1</v>
      </c>
      <c r="P1443" s="1" t="str">
        <f aca="false">IF(AND(L1443&lt;&gt;"",M1443=""),"Needs decision","")</f>
        <v/>
      </c>
    </row>
    <row r="1444" customFormat="false" ht="15" hidden="false" customHeight="false" outlineLevel="0" collapsed="false">
      <c r="A1444" s="48" t="str">
        <f aca="false">COST!A1444</f>
        <v>QHH-0063</v>
      </c>
      <c r="B1444" s="48" t="str">
        <f aca="false">COST!B1444</f>
        <v>QHH</v>
      </c>
      <c r="C1444" s="48" t="str">
        <f aca="false">COST!D1444</f>
        <v>Tobacco Cessation Classes</v>
      </c>
      <c r="D1444" s="62" t="n">
        <f aca="false">COST!M1444</f>
        <v>45944</v>
      </c>
      <c r="E1444" s="48" t="str">
        <f aca="false">COST!P1444</f>
        <v>Licensed Therapist</v>
      </c>
      <c r="F1444" s="63" t="n">
        <f aca="false">COST!R1444</f>
        <v>2</v>
      </c>
      <c r="G1444" s="48" t="str">
        <f aca="false">STACK!M1444</f>
        <v/>
      </c>
      <c r="H1444" s="1" t="str">
        <f aca="false">C1444&amp;"|"&amp;IF(ISNUMBER(D1444),TEXT(D1444,"yyyy-mm-dd"),"no date")&amp;"|"&amp;E1444&amp;"|"&amp;IF(ISNUMBER(F1444),TEXT(F1444,"0.00"),"blank")</f>
        <v>Tobacco Cessation Classes|2025-10-14|Licensed Therapist|2.00</v>
      </c>
      <c r="I1444" s="1" t="n">
        <f aca="false">COUNTIF($H$5:$H$1624,H1444)</f>
        <v>1</v>
      </c>
      <c r="J1444" s="1" t="n">
        <f aca="false">COUNTIF($H$5:H1444,H1444)</f>
        <v>1</v>
      </c>
      <c r="K1444" s="1" t="n">
        <f aca="false">COUNTIFS($H$5:$H$1624,H1444,$B$5:$B$1624,"&lt;&gt;"&amp;B1444)</f>
        <v>0</v>
      </c>
      <c r="L1444" s="1" t="str">
        <f aca="false">IF(I1444&gt;1,IF(K1444&gt;0,"Cross-hospital match","Same-hospital match"),"")</f>
        <v/>
      </c>
      <c r="M1444" s="52"/>
      <c r="N1444" s="52"/>
      <c r="O1444" s="1" t="n">
        <f aca="false">IF(M1444="Exclude (duplicate)",0,1)</f>
        <v>1</v>
      </c>
      <c r="P1444" s="1" t="str">
        <f aca="false">IF(AND(L1444&lt;&gt;"",M1444=""),"Needs decision","")</f>
        <v/>
      </c>
    </row>
    <row r="1445" customFormat="false" ht="15" hidden="false" customHeight="false" outlineLevel="0" collapsed="false">
      <c r="A1445" s="48" t="str">
        <f aca="false">COST!A1445</f>
        <v>QHH-0064</v>
      </c>
      <c r="B1445" s="48" t="str">
        <f aca="false">COST!B1445</f>
        <v>QHH</v>
      </c>
      <c r="C1445" s="48" t="str">
        <f aca="false">COST!D1445</f>
        <v>Childbirth and Newborn Care Classes</v>
      </c>
      <c r="D1445" s="62" t="n">
        <f aca="false">COST!M1445</f>
        <v>45947</v>
      </c>
      <c r="E1445" s="48" t="str">
        <f aca="false">COST!P1445</f>
        <v>Clinical Nurse Educator</v>
      </c>
      <c r="F1445" s="63" t="n">
        <f aca="false">COST!R1445</f>
        <v>3.25</v>
      </c>
      <c r="G1445" s="48" t="str">
        <f aca="false">STACK!M1445</f>
        <v/>
      </c>
      <c r="H1445" s="1" t="str">
        <f aca="false">C1445&amp;"|"&amp;IF(ISNUMBER(D1445),TEXT(D1445,"yyyy-mm-dd"),"no date")&amp;"|"&amp;E1445&amp;"|"&amp;IF(ISNUMBER(F1445),TEXT(F1445,"0.00"),"blank")</f>
        <v>Childbirth and Newborn Care Classes|2025-10-17|Clinical Nurse Educator|3.25</v>
      </c>
      <c r="I1445" s="1" t="n">
        <f aca="false">COUNTIF($H$5:$H$1624,H1445)</f>
        <v>1</v>
      </c>
      <c r="J1445" s="1" t="n">
        <f aca="false">COUNTIF($H$5:H1445,H1445)</f>
        <v>1</v>
      </c>
      <c r="K1445" s="1" t="n">
        <f aca="false">COUNTIFS($H$5:$H$1624,H1445,$B$5:$B$1624,"&lt;&gt;"&amp;B1445)</f>
        <v>0</v>
      </c>
      <c r="L1445" s="1" t="str">
        <f aca="false">IF(I1445&gt;1,IF(K1445&gt;0,"Cross-hospital match","Same-hospital match"),"")</f>
        <v/>
      </c>
      <c r="M1445" s="52"/>
      <c r="N1445" s="52"/>
      <c r="O1445" s="1" t="n">
        <f aca="false">IF(M1445="Exclude (duplicate)",0,1)</f>
        <v>1</v>
      </c>
      <c r="P1445" s="1" t="str">
        <f aca="false">IF(AND(L1445&lt;&gt;"",M1445=""),"Needs decision","")</f>
        <v/>
      </c>
    </row>
    <row r="1446" customFormat="false" ht="15" hidden="false" customHeight="false" outlineLevel="0" collapsed="false">
      <c r="A1446" s="48" t="str">
        <f aca="false">COST!A1446</f>
        <v>QHH-0065</v>
      </c>
      <c r="B1446" s="48" t="str">
        <f aca="false">COST!B1446</f>
        <v>QHH</v>
      </c>
      <c r="C1446" s="48" t="str">
        <f aca="false">COST!D1446</f>
        <v>Car Seat Safety Checks</v>
      </c>
      <c r="D1446" s="62" t="n">
        <f aca="false">COST!M1446</f>
        <v>45947</v>
      </c>
      <c r="E1446" s="48" t="str">
        <f aca="false">COST!P1446</f>
        <v>Paramedic</v>
      </c>
      <c r="F1446" s="63" t="n">
        <f aca="false">COST!R1446</f>
        <v>3.5</v>
      </c>
      <c r="G1446" s="48" t="str">
        <f aca="false">STACK!M1446</f>
        <v/>
      </c>
      <c r="H1446" s="1" t="str">
        <f aca="false">C1446&amp;"|"&amp;IF(ISNUMBER(D1446),TEXT(D1446,"yyyy-mm-dd"),"no date")&amp;"|"&amp;E1446&amp;"|"&amp;IF(ISNUMBER(F1446),TEXT(F1446,"0.00"),"blank")</f>
        <v>Car Seat Safety Checks|2025-10-17|Paramedic|3.50</v>
      </c>
      <c r="I1446" s="1" t="n">
        <f aca="false">COUNTIF($H$5:$H$1624,H1446)</f>
        <v>1</v>
      </c>
      <c r="J1446" s="1" t="n">
        <f aca="false">COUNTIF($H$5:H1446,H1446)</f>
        <v>1</v>
      </c>
      <c r="K1446" s="1" t="n">
        <f aca="false">COUNTIFS($H$5:$H$1624,H1446,$B$5:$B$1624,"&lt;&gt;"&amp;B1446)</f>
        <v>0</v>
      </c>
      <c r="L1446" s="1" t="str">
        <f aca="false">IF(I1446&gt;1,IF(K1446&gt;0,"Cross-hospital match","Same-hospital match"),"")</f>
        <v/>
      </c>
      <c r="M1446" s="52"/>
      <c r="N1446" s="52"/>
      <c r="O1446" s="1" t="n">
        <f aca="false">IF(M1446="Exclude (duplicate)",0,1)</f>
        <v>1</v>
      </c>
      <c r="P1446" s="1" t="str">
        <f aca="false">IF(AND(L1446&lt;&gt;"",M1446=""),"Needs decision","")</f>
        <v/>
      </c>
    </row>
    <row r="1447" customFormat="false" ht="15" hidden="false" customHeight="false" outlineLevel="0" collapsed="false">
      <c r="A1447" s="48" t="str">
        <f aca="false">COST!A1447</f>
        <v>QHH-0066</v>
      </c>
      <c r="B1447" s="48" t="str">
        <f aca="false">COST!B1447</f>
        <v>QHH</v>
      </c>
      <c r="C1447" s="48" t="str">
        <f aca="false">COST!D1447</f>
        <v>Car Seat Safety Checks</v>
      </c>
      <c r="D1447" s="62" t="n">
        <f aca="false">COST!M1447</f>
        <v>45947</v>
      </c>
      <c r="E1447" s="48" t="str">
        <f aca="false">COST!P1447</f>
        <v>Registered Nurse</v>
      </c>
      <c r="F1447" s="63" t="n">
        <f aca="false">COST!R1447</f>
        <v>3</v>
      </c>
      <c r="G1447" s="48" t="str">
        <f aca="false">STACK!M1447</f>
        <v/>
      </c>
      <c r="H1447" s="1" t="str">
        <f aca="false">C1447&amp;"|"&amp;IF(ISNUMBER(D1447),TEXT(D1447,"yyyy-mm-dd"),"no date")&amp;"|"&amp;E1447&amp;"|"&amp;IF(ISNUMBER(F1447),TEXT(F1447,"0.00"),"blank")</f>
        <v>Car Seat Safety Checks|2025-10-17|Registered Nurse|3.00</v>
      </c>
      <c r="I1447" s="1" t="n">
        <f aca="false">COUNTIF($H$5:$H$1624,H1447)</f>
        <v>1</v>
      </c>
      <c r="J1447" s="1" t="n">
        <f aca="false">COUNTIF($H$5:H1447,H1447)</f>
        <v>1</v>
      </c>
      <c r="K1447" s="1" t="n">
        <f aca="false">COUNTIFS($H$5:$H$1624,H1447,$B$5:$B$1624,"&lt;&gt;"&amp;B1447)</f>
        <v>0</v>
      </c>
      <c r="L1447" s="1" t="str">
        <f aca="false">IF(I1447&gt;1,IF(K1447&gt;0,"Cross-hospital match","Same-hospital match"),"")</f>
        <v/>
      </c>
      <c r="M1447" s="52"/>
      <c r="N1447" s="52"/>
      <c r="O1447" s="1" t="n">
        <f aca="false">IF(M1447="Exclude (duplicate)",0,1)</f>
        <v>1</v>
      </c>
      <c r="P1447" s="1" t="str">
        <f aca="false">IF(AND(L1447&lt;&gt;"",M1447=""),"Needs decision","")</f>
        <v/>
      </c>
    </row>
    <row r="1448" customFormat="false" ht="15" hidden="false" customHeight="false" outlineLevel="0" collapsed="false">
      <c r="A1448" s="48" t="str">
        <f aca="false">COST!A1448</f>
        <v>QHH-0067</v>
      </c>
      <c r="B1448" s="48" t="str">
        <f aca="false">COST!B1448</f>
        <v>QHH</v>
      </c>
      <c r="C1448" s="48" t="str">
        <f aca="false">COST!D1448</f>
        <v>Community Garden and Green Space Project</v>
      </c>
      <c r="D1448" s="62" t="n">
        <f aca="false">COST!M1448</f>
        <v>45947</v>
      </c>
      <c r="E1448" s="48" t="str">
        <f aca="false">COST!P1448</f>
        <v>Program Coordinator</v>
      </c>
      <c r="F1448" s="63" t="n">
        <f aca="false">COST!R1448</f>
        <v>7.75</v>
      </c>
      <c r="G1448" s="48" t="str">
        <f aca="false">STACK!M1448</f>
        <v/>
      </c>
      <c r="H1448" s="1" t="str">
        <f aca="false">C1448&amp;"|"&amp;IF(ISNUMBER(D1448),TEXT(D1448,"yyyy-mm-dd"),"no date")&amp;"|"&amp;E1448&amp;"|"&amp;IF(ISNUMBER(F1448),TEXT(F1448,"0.00"),"blank")</f>
        <v>Community Garden and Green Space Project|2025-10-17|Program Coordinator|7.75</v>
      </c>
      <c r="I1448" s="1" t="n">
        <f aca="false">COUNTIF($H$5:$H$1624,H1448)</f>
        <v>1</v>
      </c>
      <c r="J1448" s="1" t="n">
        <f aca="false">COUNTIF($H$5:H1448,H1448)</f>
        <v>1</v>
      </c>
      <c r="K1448" s="1" t="n">
        <f aca="false">COUNTIFS($H$5:$H$1624,H1448,$B$5:$B$1624,"&lt;&gt;"&amp;B1448)</f>
        <v>0</v>
      </c>
      <c r="L1448" s="1" t="str">
        <f aca="false">IF(I1448&gt;1,IF(K1448&gt;0,"Cross-hospital match","Same-hospital match"),"")</f>
        <v/>
      </c>
      <c r="M1448" s="52"/>
      <c r="N1448" s="52"/>
      <c r="O1448" s="1" t="n">
        <f aca="false">IF(M1448="Exclude (duplicate)",0,1)</f>
        <v>1</v>
      </c>
      <c r="P1448" s="1" t="str">
        <f aca="false">IF(AND(L1448&lt;&gt;"",M1448=""),"Needs decision","")</f>
        <v/>
      </c>
    </row>
    <row r="1449" customFormat="false" ht="15" hidden="false" customHeight="false" outlineLevel="0" collapsed="false">
      <c r="A1449" s="48" t="str">
        <f aca="false">COST!A1449</f>
        <v>QHH-0068</v>
      </c>
      <c r="B1449" s="48" t="str">
        <f aca="false">COST!B1449</f>
        <v>QHH</v>
      </c>
      <c r="C1449" s="48" t="str">
        <f aca="false">COST!D1449</f>
        <v>Community Blood Pressure Checks</v>
      </c>
      <c r="D1449" s="62" t="n">
        <f aca="false">COST!M1449</f>
        <v>45961</v>
      </c>
      <c r="E1449" s="48" t="str">
        <f aca="false">COST!P1449</f>
        <v>Registered Nurse</v>
      </c>
      <c r="F1449" s="63" t="n">
        <f aca="false">COST!R1449</f>
        <v>3.5</v>
      </c>
      <c r="G1449" s="48" t="str">
        <f aca="false">STACK!M1449</f>
        <v/>
      </c>
      <c r="H1449" s="1" t="str">
        <f aca="false">C1449&amp;"|"&amp;IF(ISNUMBER(D1449),TEXT(D1449,"yyyy-mm-dd"),"no date")&amp;"|"&amp;E1449&amp;"|"&amp;IF(ISNUMBER(F1449),TEXT(F1449,"0.00"),"blank")</f>
        <v>Community Blood Pressure Checks|2025-10-31|Registered Nurse|3.50</v>
      </c>
      <c r="I1449" s="1" t="n">
        <f aca="false">COUNTIF($H$5:$H$1624,H1449)</f>
        <v>1</v>
      </c>
      <c r="J1449" s="1" t="n">
        <f aca="false">COUNTIF($H$5:H1449,H1449)</f>
        <v>1</v>
      </c>
      <c r="K1449" s="1" t="n">
        <f aca="false">COUNTIFS($H$5:$H$1624,H1449,$B$5:$B$1624,"&lt;&gt;"&amp;B1449)</f>
        <v>0</v>
      </c>
      <c r="L1449" s="1" t="str">
        <f aca="false">IF(I1449&gt;1,IF(K1449&gt;0,"Cross-hospital match","Same-hospital match"),"")</f>
        <v/>
      </c>
      <c r="M1449" s="52"/>
      <c r="N1449" s="52"/>
      <c r="O1449" s="1" t="n">
        <f aca="false">IF(M1449="Exclude (duplicate)",0,1)</f>
        <v>1</v>
      </c>
      <c r="P1449" s="1" t="str">
        <f aca="false">IF(AND(L1449&lt;&gt;"",M1449=""),"Needs decision","")</f>
        <v/>
      </c>
    </row>
    <row r="1450" customFormat="false" ht="15" hidden="false" customHeight="false" outlineLevel="0" collapsed="false">
      <c r="A1450" s="48" t="str">
        <f aca="false">COST!A1450</f>
        <v>QHH-0069</v>
      </c>
      <c r="B1450" s="48" t="str">
        <f aca="false">COST!B1450</f>
        <v>QHH</v>
      </c>
      <c r="C1450" s="48" t="str">
        <f aca="false">COST!D1450</f>
        <v>Car Seat Safety Checks</v>
      </c>
      <c r="D1450" s="62" t="n">
        <f aca="false">COST!M1450</f>
        <v>45961</v>
      </c>
      <c r="E1450" s="48" t="str">
        <f aca="false">COST!P1450</f>
        <v>Paramedic</v>
      </c>
      <c r="F1450" s="63" t="n">
        <f aca="false">COST!R1450</f>
        <v>3.75</v>
      </c>
      <c r="G1450" s="48" t="str">
        <f aca="false">STACK!M1450</f>
        <v/>
      </c>
      <c r="H1450" s="1" t="str">
        <f aca="false">C1450&amp;"|"&amp;IF(ISNUMBER(D1450),TEXT(D1450,"yyyy-mm-dd"),"no date")&amp;"|"&amp;E1450&amp;"|"&amp;IF(ISNUMBER(F1450),TEXT(F1450,"0.00"),"blank")</f>
        <v>Car Seat Safety Checks|2025-10-31|Paramedic|3.75</v>
      </c>
      <c r="I1450" s="1" t="n">
        <f aca="false">COUNTIF($H$5:$H$1624,H1450)</f>
        <v>1</v>
      </c>
      <c r="J1450" s="1" t="n">
        <f aca="false">COUNTIF($H$5:H1450,H1450)</f>
        <v>1</v>
      </c>
      <c r="K1450" s="1" t="n">
        <f aca="false">COUNTIFS($H$5:$H$1624,H1450,$B$5:$B$1624,"&lt;&gt;"&amp;B1450)</f>
        <v>0</v>
      </c>
      <c r="L1450" s="1" t="str">
        <f aca="false">IF(I1450&gt;1,IF(K1450&gt;0,"Cross-hospital match","Same-hospital match"),"")</f>
        <v/>
      </c>
      <c r="M1450" s="52"/>
      <c r="N1450" s="52"/>
      <c r="O1450" s="1" t="n">
        <f aca="false">IF(M1450="Exclude (duplicate)",0,1)</f>
        <v>1</v>
      </c>
      <c r="P1450" s="1" t="str">
        <f aca="false">IF(AND(L1450&lt;&gt;"",M1450=""),"Needs decision","")</f>
        <v/>
      </c>
    </row>
    <row r="1451" customFormat="false" ht="15" hidden="false" customHeight="false" outlineLevel="0" collapsed="false">
      <c r="A1451" s="48" t="str">
        <f aca="false">COST!A1451</f>
        <v>QHH-0070</v>
      </c>
      <c r="B1451" s="48" t="str">
        <f aca="false">COST!B1451</f>
        <v>QHH</v>
      </c>
      <c r="C1451" s="48" t="str">
        <f aca="false">COST!D1451</f>
        <v>Car Seat Safety Checks</v>
      </c>
      <c r="D1451" s="62" t="n">
        <f aca="false">COST!M1451</f>
        <v>45961</v>
      </c>
      <c r="E1451" s="48" t="str">
        <f aca="false">COST!P1451</f>
        <v>Registered Nurse</v>
      </c>
      <c r="F1451" s="63" t="n">
        <f aca="false">COST!R1451</f>
        <v>3.25</v>
      </c>
      <c r="G1451" s="48" t="str">
        <f aca="false">STACK!M1451</f>
        <v/>
      </c>
      <c r="H1451" s="1" t="str">
        <f aca="false">C1451&amp;"|"&amp;IF(ISNUMBER(D1451),TEXT(D1451,"yyyy-mm-dd"),"no date")&amp;"|"&amp;E1451&amp;"|"&amp;IF(ISNUMBER(F1451),TEXT(F1451,"0.00"),"blank")</f>
        <v>Car Seat Safety Checks|2025-10-31|Registered Nurse|3.25</v>
      </c>
      <c r="I1451" s="1" t="n">
        <f aca="false">COUNTIF($H$5:$H$1624,H1451)</f>
        <v>1</v>
      </c>
      <c r="J1451" s="1" t="n">
        <f aca="false">COUNTIF($H$5:H1451,H1451)</f>
        <v>1</v>
      </c>
      <c r="K1451" s="1" t="n">
        <f aca="false">COUNTIFS($H$5:$H$1624,H1451,$B$5:$B$1624,"&lt;&gt;"&amp;B1451)</f>
        <v>0</v>
      </c>
      <c r="L1451" s="1" t="str">
        <f aca="false">IF(I1451&gt;1,IF(K1451&gt;0,"Cross-hospital match","Same-hospital match"),"")</f>
        <v/>
      </c>
      <c r="M1451" s="52"/>
      <c r="N1451" s="52"/>
      <c r="O1451" s="1" t="n">
        <f aca="false">IF(M1451="Exclude (duplicate)",0,1)</f>
        <v>1</v>
      </c>
      <c r="P1451" s="1" t="str">
        <f aca="false">IF(AND(L1451&lt;&gt;"",M1451=""),"Needs decision","")</f>
        <v/>
      </c>
    </row>
    <row r="1452" customFormat="false" ht="15" hidden="false" customHeight="false" outlineLevel="0" collapsed="false">
      <c r="A1452" s="48" t="str">
        <f aca="false">COST!A1452</f>
        <v>QHH-0071</v>
      </c>
      <c r="B1452" s="48" t="str">
        <f aca="false">COST!B1452</f>
        <v>QHH</v>
      </c>
      <c r="C1452" s="48" t="str">
        <f aca="false">COST!D1452</f>
        <v>Grief Support Group</v>
      </c>
      <c r="D1452" s="62" t="n">
        <f aca="false">COST!M1452</f>
        <v>45961</v>
      </c>
      <c r="E1452" s="48" t="str">
        <f aca="false">COST!P1452</f>
        <v>Chaplain</v>
      </c>
      <c r="F1452" s="63" t="n">
        <f aca="false">COST!R1452</f>
        <v>2.25</v>
      </c>
      <c r="G1452" s="48" t="str">
        <f aca="false">STACK!M1452</f>
        <v/>
      </c>
      <c r="H1452" s="1" t="str">
        <f aca="false">C1452&amp;"|"&amp;IF(ISNUMBER(D1452),TEXT(D1452,"yyyy-mm-dd"),"no date")&amp;"|"&amp;E1452&amp;"|"&amp;IF(ISNUMBER(F1452),TEXT(F1452,"0.00"),"blank")</f>
        <v>Grief Support Group|2025-10-31|Chaplain|2.25</v>
      </c>
      <c r="I1452" s="1" t="n">
        <f aca="false">COUNTIF($H$5:$H$1624,H1452)</f>
        <v>1</v>
      </c>
      <c r="J1452" s="1" t="n">
        <f aca="false">COUNTIF($H$5:H1452,H1452)</f>
        <v>1</v>
      </c>
      <c r="K1452" s="1" t="n">
        <f aca="false">COUNTIFS($H$5:$H$1624,H1452,$B$5:$B$1624,"&lt;&gt;"&amp;B1452)</f>
        <v>0</v>
      </c>
      <c r="L1452" s="1" t="str">
        <f aca="false">IF(I1452&gt;1,IF(K1452&gt;0,"Cross-hospital match","Same-hospital match"),"")</f>
        <v/>
      </c>
      <c r="M1452" s="52"/>
      <c r="N1452" s="52"/>
      <c r="O1452" s="1" t="n">
        <f aca="false">IF(M1452="Exclude (duplicate)",0,1)</f>
        <v>1</v>
      </c>
      <c r="P1452" s="1" t="str">
        <f aca="false">IF(AND(L1452&lt;&gt;"",M1452=""),"Needs decision","")</f>
        <v/>
      </c>
    </row>
    <row r="1453" customFormat="false" ht="15" hidden="false" customHeight="false" outlineLevel="0" collapsed="false">
      <c r="A1453" s="48" t="str">
        <f aca="false">COST!A1453</f>
        <v>QHH-0072</v>
      </c>
      <c r="B1453" s="48" t="str">
        <f aca="false">COST!B1453</f>
        <v>QHH</v>
      </c>
      <c r="C1453" s="48" t="str">
        <f aca="false">COST!D1453</f>
        <v>Grief Support Group</v>
      </c>
      <c r="D1453" s="62" t="n">
        <f aca="false">COST!M1453</f>
        <v>45961</v>
      </c>
      <c r="E1453" s="48" t="str">
        <f aca="false">COST!P1453</f>
        <v>Social Worker</v>
      </c>
      <c r="F1453" s="63" t="n">
        <f aca="false">COST!R1453</f>
        <v>1.75</v>
      </c>
      <c r="G1453" s="48" t="str">
        <f aca="false">STACK!M1453</f>
        <v/>
      </c>
      <c r="H1453" s="1" t="str">
        <f aca="false">C1453&amp;"|"&amp;IF(ISNUMBER(D1453),TEXT(D1453,"yyyy-mm-dd"),"no date")&amp;"|"&amp;E1453&amp;"|"&amp;IF(ISNUMBER(F1453),TEXT(F1453,"0.00"),"blank")</f>
        <v>Grief Support Group|2025-10-31|Social Worker|1.75</v>
      </c>
      <c r="I1453" s="1" t="n">
        <f aca="false">COUNTIF($H$5:$H$1624,H1453)</f>
        <v>1</v>
      </c>
      <c r="J1453" s="1" t="n">
        <f aca="false">COUNTIF($H$5:H1453,H1453)</f>
        <v>1</v>
      </c>
      <c r="K1453" s="1" t="n">
        <f aca="false">COUNTIFS($H$5:$H$1624,H1453,$B$5:$B$1624,"&lt;&gt;"&amp;B1453)</f>
        <v>0</v>
      </c>
      <c r="L1453" s="1" t="str">
        <f aca="false">IF(I1453&gt;1,IF(K1453&gt;0,"Cross-hospital match","Same-hospital match"),"")</f>
        <v/>
      </c>
      <c r="M1453" s="52"/>
      <c r="N1453" s="52"/>
      <c r="O1453" s="1" t="n">
        <f aca="false">IF(M1453="Exclude (duplicate)",0,1)</f>
        <v>1</v>
      </c>
      <c r="P1453" s="1" t="str">
        <f aca="false">IF(AND(L1453&lt;&gt;"",M1453=""),"Needs decision","")</f>
        <v/>
      </c>
    </row>
    <row r="1454" customFormat="false" ht="15" hidden="false" customHeight="false" outlineLevel="0" collapsed="false">
      <c r="A1454" s="48" t="str">
        <f aca="false">COST!A1454</f>
        <v>QHH-0073</v>
      </c>
      <c r="B1454" s="48" t="str">
        <f aca="false">COST!B1454</f>
        <v>QHH</v>
      </c>
      <c r="C1454" s="48" t="str">
        <f aca="false">COST!D1454</f>
        <v>Medication Assistance Program</v>
      </c>
      <c r="D1454" s="62" t="n">
        <f aca="false">COST!M1454</f>
        <v>45961</v>
      </c>
      <c r="E1454" s="48" t="str">
        <f aca="false">COST!P1454</f>
        <v>Patient Navigator</v>
      </c>
      <c r="F1454" s="63" t="n">
        <f aca="false">COST!R1454</f>
        <v>63</v>
      </c>
      <c r="G1454" s="48" t="str">
        <f aca="false">STACK!M1454</f>
        <v/>
      </c>
      <c r="H1454" s="1" t="str">
        <f aca="false">C1454&amp;"|"&amp;IF(ISNUMBER(D1454),TEXT(D1454,"yyyy-mm-dd"),"no date")&amp;"|"&amp;E1454&amp;"|"&amp;IF(ISNUMBER(F1454),TEXT(F1454,"0.00"),"blank")</f>
        <v>Medication Assistance Program|2025-10-31|Patient Navigator|63.00</v>
      </c>
      <c r="I1454" s="1" t="n">
        <f aca="false">COUNTIF($H$5:$H$1624,H1454)</f>
        <v>1</v>
      </c>
      <c r="J1454" s="1" t="n">
        <f aca="false">COUNTIF($H$5:H1454,H1454)</f>
        <v>1</v>
      </c>
      <c r="K1454" s="1" t="n">
        <f aca="false">COUNTIFS($H$5:$H$1624,H1454,$B$5:$B$1624,"&lt;&gt;"&amp;B1454)</f>
        <v>0</v>
      </c>
      <c r="L1454" s="1" t="str">
        <f aca="false">IF(I1454&gt;1,IF(K1454&gt;0,"Cross-hospital match","Same-hospital match"),"")</f>
        <v/>
      </c>
      <c r="M1454" s="52"/>
      <c r="N1454" s="52"/>
      <c r="O1454" s="1" t="n">
        <f aca="false">IF(M1454="Exclude (duplicate)",0,1)</f>
        <v>1</v>
      </c>
      <c r="P1454" s="1" t="str">
        <f aca="false">IF(AND(L1454&lt;&gt;"",M1454=""),"Needs decision","")</f>
        <v/>
      </c>
    </row>
    <row r="1455" customFormat="false" ht="15" hidden="false" customHeight="false" outlineLevel="0" collapsed="false">
      <c r="A1455" s="48" t="str">
        <f aca="false">COST!A1455</f>
        <v>QHH-0074</v>
      </c>
      <c r="B1455" s="48" t="str">
        <f aca="false">COST!B1455</f>
        <v>QHH</v>
      </c>
      <c r="C1455" s="48" t="str">
        <f aca="false">COST!D1455</f>
        <v>Medication Assistance Program</v>
      </c>
      <c r="D1455" s="62" t="n">
        <f aca="false">COST!M1455</f>
        <v>45961</v>
      </c>
      <c r="E1455" s="48" t="str">
        <f aca="false">COST!P1455</f>
        <v>Pharmacist</v>
      </c>
      <c r="F1455" s="63" t="n">
        <f aca="false">COST!R1455</f>
        <v>20</v>
      </c>
      <c r="G1455" s="48" t="str">
        <f aca="false">STACK!M1455</f>
        <v/>
      </c>
      <c r="H1455" s="1" t="str">
        <f aca="false">C1455&amp;"|"&amp;IF(ISNUMBER(D1455),TEXT(D1455,"yyyy-mm-dd"),"no date")&amp;"|"&amp;E1455&amp;"|"&amp;IF(ISNUMBER(F1455),TEXT(F1455,"0.00"),"blank")</f>
        <v>Medication Assistance Program|2025-10-31|Pharmacist|20.00</v>
      </c>
      <c r="I1455" s="1" t="n">
        <f aca="false">COUNTIF($H$5:$H$1624,H1455)</f>
        <v>1</v>
      </c>
      <c r="J1455" s="1" t="n">
        <f aca="false">COUNTIF($H$5:H1455,H1455)</f>
        <v>1</v>
      </c>
      <c r="K1455" s="1" t="n">
        <f aca="false">COUNTIFS($H$5:$H$1624,H1455,$B$5:$B$1624,"&lt;&gt;"&amp;B1455)</f>
        <v>0</v>
      </c>
      <c r="L1455" s="1" t="str">
        <f aca="false">IF(I1455&gt;1,IF(K1455&gt;0,"Cross-hospital match","Same-hospital match"),"")</f>
        <v/>
      </c>
      <c r="M1455" s="52"/>
      <c r="N1455" s="52"/>
      <c r="O1455" s="1" t="n">
        <f aca="false">IF(M1455="Exclude (duplicate)",0,1)</f>
        <v>1</v>
      </c>
      <c r="P1455" s="1" t="str">
        <f aca="false">IF(AND(L1455&lt;&gt;"",M1455=""),"Needs decision","")</f>
        <v/>
      </c>
    </row>
    <row r="1456" customFormat="false" ht="15" hidden="false" customHeight="false" outlineLevel="0" collapsed="false">
      <c r="A1456" s="48" t="str">
        <f aca="false">COST!A1456</f>
        <v>QHH-0075</v>
      </c>
      <c r="B1456" s="48" t="str">
        <f aca="false">COST!B1456</f>
        <v>QHH</v>
      </c>
      <c r="C1456" s="48" t="str">
        <f aca="false">COST!D1456</f>
        <v>Community Benefit Program Administration</v>
      </c>
      <c r="D1456" s="62" t="n">
        <f aca="false">COST!M1456</f>
        <v>45961</v>
      </c>
      <c r="E1456" s="48" t="str">
        <f aca="false">COST!P1456</f>
        <v>Administrative Assistant</v>
      </c>
      <c r="F1456" s="63" t="n">
        <f aca="false">COST!R1456</f>
        <v>34.75</v>
      </c>
      <c r="G1456" s="48" t="str">
        <f aca="false">STACK!M1456</f>
        <v/>
      </c>
      <c r="H1456" s="1" t="str">
        <f aca="false">C1456&amp;"|"&amp;IF(ISNUMBER(D1456),TEXT(D1456,"yyyy-mm-dd"),"no date")&amp;"|"&amp;E1456&amp;"|"&amp;IF(ISNUMBER(F1456),TEXT(F1456,"0.00"),"blank")</f>
        <v>Community Benefit Program Administration|2025-10-31|Administrative Assistant|34.75</v>
      </c>
      <c r="I1456" s="1" t="n">
        <f aca="false">COUNTIF($H$5:$H$1624,H1456)</f>
        <v>1</v>
      </c>
      <c r="J1456" s="1" t="n">
        <f aca="false">COUNTIF($H$5:H1456,H1456)</f>
        <v>1</v>
      </c>
      <c r="K1456" s="1" t="n">
        <f aca="false">COUNTIFS($H$5:$H$1624,H1456,$B$5:$B$1624,"&lt;&gt;"&amp;B1456)</f>
        <v>0</v>
      </c>
      <c r="L1456" s="1" t="str">
        <f aca="false">IF(I1456&gt;1,IF(K1456&gt;0,"Cross-hospital match","Same-hospital match"),"")</f>
        <v/>
      </c>
      <c r="M1456" s="52"/>
      <c r="N1456" s="52"/>
      <c r="O1456" s="1" t="n">
        <f aca="false">IF(M1456="Exclude (duplicate)",0,1)</f>
        <v>1</v>
      </c>
      <c r="P1456" s="1" t="str">
        <f aca="false">IF(AND(L1456&lt;&gt;"",M1456=""),"Needs decision","")</f>
        <v/>
      </c>
    </row>
    <row r="1457" customFormat="false" ht="15" hidden="false" customHeight="false" outlineLevel="0" collapsed="false">
      <c r="A1457" s="48" t="str">
        <f aca="false">COST!A1457</f>
        <v>QHH-0076</v>
      </c>
      <c r="B1457" s="48" t="str">
        <f aca="false">COST!B1457</f>
        <v>QHH</v>
      </c>
      <c r="C1457" s="48" t="str">
        <f aca="false">COST!D1457</f>
        <v>Community Benefit Program Administration</v>
      </c>
      <c r="D1457" s="62" t="n">
        <f aca="false">COST!M1457</f>
        <v>45961</v>
      </c>
      <c r="E1457" s="48" t="str">
        <f aca="false">COST!P1457</f>
        <v>Community Benefit Manager</v>
      </c>
      <c r="F1457" s="63" t="n">
        <f aca="false">COST!R1457</f>
        <v>52.25</v>
      </c>
      <c r="G1457" s="48" t="str">
        <f aca="false">STACK!M1457</f>
        <v/>
      </c>
      <c r="H1457" s="1" t="str">
        <f aca="false">C1457&amp;"|"&amp;IF(ISNUMBER(D1457),TEXT(D1457,"yyyy-mm-dd"),"no date")&amp;"|"&amp;E1457&amp;"|"&amp;IF(ISNUMBER(F1457),TEXT(F1457,"0.00"),"blank")</f>
        <v>Community Benefit Program Administration|2025-10-31|Community Benefit Manager|52.25</v>
      </c>
      <c r="I1457" s="1" t="n">
        <f aca="false">COUNTIF($H$5:$H$1624,H1457)</f>
        <v>1</v>
      </c>
      <c r="J1457" s="1" t="n">
        <f aca="false">COUNTIF($H$5:H1457,H1457)</f>
        <v>1</v>
      </c>
      <c r="K1457" s="1" t="n">
        <f aca="false">COUNTIFS($H$5:$H$1624,H1457,$B$5:$B$1624,"&lt;&gt;"&amp;B1457)</f>
        <v>0</v>
      </c>
      <c r="L1457" s="1" t="str">
        <f aca="false">IF(I1457&gt;1,IF(K1457&gt;0,"Cross-hospital match","Same-hospital match"),"")</f>
        <v/>
      </c>
      <c r="M1457" s="52"/>
      <c r="N1457" s="52"/>
      <c r="O1457" s="1" t="n">
        <f aca="false">IF(M1457="Exclude (duplicate)",0,1)</f>
        <v>1</v>
      </c>
      <c r="P1457" s="1" t="str">
        <f aca="false">IF(AND(L1457&lt;&gt;"",M1457=""),"Needs decision","")</f>
        <v/>
      </c>
    </row>
    <row r="1458" customFormat="false" ht="15" hidden="false" customHeight="false" outlineLevel="0" collapsed="false">
      <c r="A1458" s="48" t="str">
        <f aca="false">COST!A1458</f>
        <v>QHH-0077</v>
      </c>
      <c r="B1458" s="48" t="str">
        <f aca="false">COST!B1458</f>
        <v>QHH</v>
      </c>
      <c r="C1458" s="48" t="str">
        <f aca="false">COST!D1458</f>
        <v>Community Paramedic Home Visits</v>
      </c>
      <c r="D1458" s="62" t="n">
        <f aca="false">COST!M1458</f>
        <v>45961</v>
      </c>
      <c r="E1458" s="48" t="str">
        <f aca="false">COST!P1458</f>
        <v>Paramedic</v>
      </c>
      <c r="F1458" s="63" t="n">
        <f aca="false">COST!R1458</f>
        <v>104.5</v>
      </c>
      <c r="G1458" s="48" t="str">
        <f aca="false">STACK!M1458</f>
        <v/>
      </c>
      <c r="H1458" s="1" t="str">
        <f aca="false">C1458&amp;"|"&amp;IF(ISNUMBER(D1458),TEXT(D1458,"yyyy-mm-dd"),"no date")&amp;"|"&amp;E1458&amp;"|"&amp;IF(ISNUMBER(F1458),TEXT(F1458,"0.00"),"blank")</f>
        <v>Community Paramedic Home Visits|2025-10-31|Paramedic|104.50</v>
      </c>
      <c r="I1458" s="1" t="n">
        <f aca="false">COUNTIF($H$5:$H$1624,H1458)</f>
        <v>1</v>
      </c>
      <c r="J1458" s="1" t="n">
        <f aca="false">COUNTIF($H$5:H1458,H1458)</f>
        <v>1</v>
      </c>
      <c r="K1458" s="1" t="n">
        <f aca="false">COUNTIFS($H$5:$H$1624,H1458,$B$5:$B$1624,"&lt;&gt;"&amp;B1458)</f>
        <v>0</v>
      </c>
      <c r="L1458" s="1" t="str">
        <f aca="false">IF(I1458&gt;1,IF(K1458&gt;0,"Cross-hospital match","Same-hospital match"),"")</f>
        <v/>
      </c>
      <c r="M1458" s="52"/>
      <c r="N1458" s="52"/>
      <c r="O1458" s="1" t="n">
        <f aca="false">IF(M1458="Exclude (duplicate)",0,1)</f>
        <v>1</v>
      </c>
      <c r="P1458" s="1" t="str">
        <f aca="false">IF(AND(L1458&lt;&gt;"",M1458=""),"Needs decision","")</f>
        <v/>
      </c>
    </row>
    <row r="1459" customFormat="false" ht="15" hidden="false" customHeight="false" outlineLevel="0" collapsed="false">
      <c r="A1459" s="48" t="str">
        <f aca="false">COST!A1459</f>
        <v>QHH-0078</v>
      </c>
      <c r="B1459" s="48" t="str">
        <f aca="false">COST!B1459</f>
        <v>QHH</v>
      </c>
      <c r="C1459" s="48" t="str">
        <f aca="false">COST!D1459</f>
        <v>Nursing Student Clinical Rotations</v>
      </c>
      <c r="D1459" s="62" t="n">
        <f aca="false">COST!M1459</f>
        <v>45961</v>
      </c>
      <c r="E1459" s="48" t="str">
        <f aca="false">COST!P1459</f>
        <v>Clinical Nurse Educator</v>
      </c>
      <c r="F1459" s="63" t="n">
        <f aca="false">COST!R1459</f>
        <v>112.5</v>
      </c>
      <c r="G1459" s="48" t="str">
        <f aca="false">STACK!M1459</f>
        <v/>
      </c>
      <c r="H1459" s="1" t="str">
        <f aca="false">C1459&amp;"|"&amp;IF(ISNUMBER(D1459),TEXT(D1459,"yyyy-mm-dd"),"no date")&amp;"|"&amp;E1459&amp;"|"&amp;IF(ISNUMBER(F1459),TEXT(F1459,"0.00"),"blank")</f>
        <v>Nursing Student Clinical Rotations|2025-10-31|Clinical Nurse Educator|112.50</v>
      </c>
      <c r="I1459" s="1" t="n">
        <f aca="false">COUNTIF($H$5:$H$1624,H1459)</f>
        <v>1</v>
      </c>
      <c r="J1459" s="1" t="n">
        <f aca="false">COUNTIF($H$5:H1459,H1459)</f>
        <v>1</v>
      </c>
      <c r="K1459" s="1" t="n">
        <f aca="false">COUNTIFS($H$5:$H$1624,H1459,$B$5:$B$1624,"&lt;&gt;"&amp;B1459)</f>
        <v>0</v>
      </c>
      <c r="L1459" s="1" t="str">
        <f aca="false">IF(I1459&gt;1,IF(K1459&gt;0,"Cross-hospital match","Same-hospital match"),"")</f>
        <v/>
      </c>
      <c r="M1459" s="52"/>
      <c r="N1459" s="52"/>
      <c r="O1459" s="1" t="n">
        <f aca="false">IF(M1459="Exclude (duplicate)",0,1)</f>
        <v>1</v>
      </c>
      <c r="P1459" s="1" t="str">
        <f aca="false">IF(AND(L1459&lt;&gt;"",M1459=""),"Needs decision","")</f>
        <v/>
      </c>
    </row>
    <row r="1460" customFormat="false" ht="15" hidden="false" customHeight="false" outlineLevel="0" collapsed="false">
      <c r="A1460" s="48" t="str">
        <f aca="false">COST!A1460</f>
        <v>QHH-0079</v>
      </c>
      <c r="B1460" s="48" t="str">
        <f aca="false">COST!B1460</f>
        <v>QHH</v>
      </c>
      <c r="C1460" s="48" t="str">
        <f aca="false">COST!D1460</f>
        <v>Nursing Student Clinical Rotations</v>
      </c>
      <c r="D1460" s="62" t="n">
        <f aca="false">COST!M1460</f>
        <v>45961</v>
      </c>
      <c r="E1460" s="48" t="str">
        <f aca="false">COST!P1460</f>
        <v>Registered Nurse</v>
      </c>
      <c r="F1460" s="63" t="n">
        <f aca="false">COST!R1460</f>
        <v>185</v>
      </c>
      <c r="G1460" s="48" t="str">
        <f aca="false">STACK!M1460</f>
        <v/>
      </c>
      <c r="H1460" s="1" t="str">
        <f aca="false">C1460&amp;"|"&amp;IF(ISNUMBER(D1460),TEXT(D1460,"yyyy-mm-dd"),"no date")&amp;"|"&amp;E1460&amp;"|"&amp;IF(ISNUMBER(F1460),TEXT(F1460,"0.00"),"blank")</f>
        <v>Nursing Student Clinical Rotations|2025-10-31|Registered Nurse|185.00</v>
      </c>
      <c r="I1460" s="1" t="n">
        <f aca="false">COUNTIF($H$5:$H$1624,H1460)</f>
        <v>1</v>
      </c>
      <c r="J1460" s="1" t="n">
        <f aca="false">COUNTIF($H$5:H1460,H1460)</f>
        <v>1</v>
      </c>
      <c r="K1460" s="1" t="n">
        <f aca="false">COUNTIFS($H$5:$H$1624,H1460,$B$5:$B$1624,"&lt;&gt;"&amp;B1460)</f>
        <v>0</v>
      </c>
      <c r="L1460" s="1" t="str">
        <f aca="false">IF(I1460&gt;1,IF(K1460&gt;0,"Cross-hospital match","Same-hospital match"),"")</f>
        <v/>
      </c>
      <c r="M1460" s="52"/>
      <c r="N1460" s="52"/>
      <c r="O1460" s="1" t="n">
        <f aca="false">IF(M1460="Exclude (duplicate)",0,1)</f>
        <v>1</v>
      </c>
      <c r="P1460" s="1" t="str">
        <f aca="false">IF(AND(L1460&lt;&gt;"",M1460=""),"Needs decision","")</f>
        <v/>
      </c>
    </row>
    <row r="1461" customFormat="false" ht="15" hidden="false" customHeight="false" outlineLevel="0" collapsed="false">
      <c r="A1461" s="48" t="str">
        <f aca="false">COST!A1461</f>
        <v>QHH-0080</v>
      </c>
      <c r="B1461" s="48" t="str">
        <f aca="false">COST!B1461</f>
        <v>QHH</v>
      </c>
      <c r="C1461" s="48" t="str">
        <f aca="false">COST!D1461</f>
        <v>Grief Support Group</v>
      </c>
      <c r="D1461" s="62" t="n">
        <f aca="false">COST!M1461</f>
        <v>45962</v>
      </c>
      <c r="E1461" s="48" t="str">
        <f aca="false">COST!P1461</f>
        <v>Chaplain</v>
      </c>
      <c r="F1461" s="63" t="n">
        <f aca="false">COST!R1461</f>
        <v>2</v>
      </c>
      <c r="G1461" s="48" t="str">
        <f aca="false">STACK!M1461</f>
        <v/>
      </c>
      <c r="H1461" s="1" t="str">
        <f aca="false">C1461&amp;"|"&amp;IF(ISNUMBER(D1461),TEXT(D1461,"yyyy-mm-dd"),"no date")&amp;"|"&amp;E1461&amp;"|"&amp;IF(ISNUMBER(F1461),TEXT(F1461,"0.00"),"blank")</f>
        <v>Grief Support Group|2025-11-01|Chaplain|2.00</v>
      </c>
      <c r="I1461" s="1" t="n">
        <f aca="false">COUNTIF($H$5:$H$1624,H1461)</f>
        <v>1</v>
      </c>
      <c r="J1461" s="1" t="n">
        <f aca="false">COUNTIF($H$5:H1461,H1461)</f>
        <v>1</v>
      </c>
      <c r="K1461" s="1" t="n">
        <f aca="false">COUNTIFS($H$5:$H$1624,H1461,$B$5:$B$1624,"&lt;&gt;"&amp;B1461)</f>
        <v>0</v>
      </c>
      <c r="L1461" s="1" t="str">
        <f aca="false">IF(I1461&gt;1,IF(K1461&gt;0,"Cross-hospital match","Same-hospital match"),"")</f>
        <v/>
      </c>
      <c r="M1461" s="52"/>
      <c r="N1461" s="52"/>
      <c r="O1461" s="1" t="n">
        <f aca="false">IF(M1461="Exclude (duplicate)",0,1)</f>
        <v>1</v>
      </c>
      <c r="P1461" s="1" t="str">
        <f aca="false">IF(AND(L1461&lt;&gt;"",M1461=""),"Needs decision","")</f>
        <v/>
      </c>
    </row>
    <row r="1462" customFormat="false" ht="15" hidden="false" customHeight="false" outlineLevel="0" collapsed="false">
      <c r="A1462" s="48" t="str">
        <f aca="false">COST!A1462</f>
        <v>QHH-0081</v>
      </c>
      <c r="B1462" s="48" t="str">
        <f aca="false">COST!B1462</f>
        <v>QHH</v>
      </c>
      <c r="C1462" s="48" t="str">
        <f aca="false">COST!D1462</f>
        <v>Grief Support Group</v>
      </c>
      <c r="D1462" s="62" t="n">
        <f aca="false">COST!M1462</f>
        <v>45962</v>
      </c>
      <c r="E1462" s="48" t="str">
        <f aca="false">COST!P1462</f>
        <v>Social Worker</v>
      </c>
      <c r="F1462" s="63" t="n">
        <f aca="false">COST!R1462</f>
        <v>1.5</v>
      </c>
      <c r="G1462" s="48" t="str">
        <f aca="false">STACK!M1462</f>
        <v/>
      </c>
      <c r="H1462" s="1" t="str">
        <f aca="false">C1462&amp;"|"&amp;IF(ISNUMBER(D1462),TEXT(D1462,"yyyy-mm-dd"),"no date")&amp;"|"&amp;E1462&amp;"|"&amp;IF(ISNUMBER(F1462),TEXT(F1462,"0.00"),"blank")</f>
        <v>Grief Support Group|2025-11-01|Social Worker|1.50</v>
      </c>
      <c r="I1462" s="1" t="n">
        <f aca="false">COUNTIF($H$5:$H$1624,H1462)</f>
        <v>1</v>
      </c>
      <c r="J1462" s="1" t="n">
        <f aca="false">COUNTIF($H$5:H1462,H1462)</f>
        <v>1</v>
      </c>
      <c r="K1462" s="1" t="n">
        <f aca="false">COUNTIFS($H$5:$H$1624,H1462,$B$5:$B$1624,"&lt;&gt;"&amp;B1462)</f>
        <v>0</v>
      </c>
      <c r="L1462" s="1" t="str">
        <f aca="false">IF(I1462&gt;1,IF(K1462&gt;0,"Cross-hospital match","Same-hospital match"),"")</f>
        <v/>
      </c>
      <c r="M1462" s="52"/>
      <c r="N1462" s="52"/>
      <c r="O1462" s="1" t="n">
        <f aca="false">IF(M1462="Exclude (duplicate)",0,1)</f>
        <v>1</v>
      </c>
      <c r="P1462" s="1" t="str">
        <f aca="false">IF(AND(L1462&lt;&gt;"",M1462=""),"Needs decision","")</f>
        <v/>
      </c>
    </row>
    <row r="1463" customFormat="false" ht="15" hidden="false" customHeight="false" outlineLevel="0" collapsed="false">
      <c r="A1463" s="48" t="str">
        <f aca="false">COST!A1463</f>
        <v>QHH-0082</v>
      </c>
      <c r="B1463" s="48" t="str">
        <f aca="false">COST!B1463</f>
        <v>QHH</v>
      </c>
      <c r="C1463" s="48" t="str">
        <f aca="false">COST!D1463</f>
        <v>Youth Health Careers Pathway</v>
      </c>
      <c r="D1463" s="62" t="n">
        <f aca="false">COST!M1463</f>
        <v>45966</v>
      </c>
      <c r="E1463" s="48" t="str">
        <f aca="false">COST!P1463</f>
        <v>Clinical Nurse Educator</v>
      </c>
      <c r="F1463" s="63" t="n">
        <f aca="false">COST!R1463</f>
        <v>3.25</v>
      </c>
      <c r="G1463" s="48" t="str">
        <f aca="false">STACK!M1463</f>
        <v/>
      </c>
      <c r="H1463" s="1" t="str">
        <f aca="false">C1463&amp;"|"&amp;IF(ISNUMBER(D1463),TEXT(D1463,"yyyy-mm-dd"),"no date")&amp;"|"&amp;E1463&amp;"|"&amp;IF(ISNUMBER(F1463),TEXT(F1463,"0.00"),"blank")</f>
        <v>Youth Health Careers Pathway|2025-11-05|Clinical Nurse Educator|3.25</v>
      </c>
      <c r="I1463" s="1" t="n">
        <f aca="false">COUNTIF($H$5:$H$1624,H1463)</f>
        <v>1</v>
      </c>
      <c r="J1463" s="1" t="n">
        <f aca="false">COUNTIF($H$5:H1463,H1463)</f>
        <v>1</v>
      </c>
      <c r="K1463" s="1" t="n">
        <f aca="false">COUNTIFS($H$5:$H$1624,H1463,$B$5:$B$1624,"&lt;&gt;"&amp;B1463)</f>
        <v>0</v>
      </c>
      <c r="L1463" s="1" t="str">
        <f aca="false">IF(I1463&gt;1,IF(K1463&gt;0,"Cross-hospital match","Same-hospital match"),"")</f>
        <v/>
      </c>
      <c r="M1463" s="52"/>
      <c r="N1463" s="52"/>
      <c r="O1463" s="1" t="n">
        <f aca="false">IF(M1463="Exclude (duplicate)",0,1)</f>
        <v>1</v>
      </c>
      <c r="P1463" s="1" t="str">
        <f aca="false">IF(AND(L1463&lt;&gt;"",M1463=""),"Needs decision","")</f>
        <v/>
      </c>
    </row>
    <row r="1464" customFormat="false" ht="15" hidden="false" customHeight="false" outlineLevel="0" collapsed="false">
      <c r="A1464" s="48" t="str">
        <f aca="false">COST!A1464</f>
        <v>QHH-0083</v>
      </c>
      <c r="B1464" s="48" t="str">
        <f aca="false">COST!B1464</f>
        <v>QHH</v>
      </c>
      <c r="C1464" s="48" t="str">
        <f aca="false">COST!D1464</f>
        <v>Youth Health Careers Pathway</v>
      </c>
      <c r="D1464" s="62" t="n">
        <f aca="false">COST!M1464</f>
        <v>45966</v>
      </c>
      <c r="E1464" s="48" t="str">
        <f aca="false">COST!P1464</f>
        <v>Program Coordinator</v>
      </c>
      <c r="F1464" s="63" t="n">
        <f aca="false">COST!R1464</f>
        <v>6.75</v>
      </c>
      <c r="G1464" s="48" t="str">
        <f aca="false">STACK!M1464</f>
        <v/>
      </c>
      <c r="H1464" s="1" t="str">
        <f aca="false">C1464&amp;"|"&amp;IF(ISNUMBER(D1464),TEXT(D1464,"yyyy-mm-dd"),"no date")&amp;"|"&amp;E1464&amp;"|"&amp;IF(ISNUMBER(F1464),TEXT(F1464,"0.00"),"blank")</f>
        <v>Youth Health Careers Pathway|2025-11-05|Program Coordinator|6.75</v>
      </c>
      <c r="I1464" s="1" t="n">
        <f aca="false">COUNTIF($H$5:$H$1624,H1464)</f>
        <v>1</v>
      </c>
      <c r="J1464" s="1" t="n">
        <f aca="false">COUNTIF($H$5:H1464,H1464)</f>
        <v>1</v>
      </c>
      <c r="K1464" s="1" t="n">
        <f aca="false">COUNTIFS($H$5:$H$1624,H1464,$B$5:$B$1624,"&lt;&gt;"&amp;B1464)</f>
        <v>0</v>
      </c>
      <c r="L1464" s="1" t="str">
        <f aca="false">IF(I1464&gt;1,IF(K1464&gt;0,"Cross-hospital match","Same-hospital match"),"")</f>
        <v/>
      </c>
      <c r="M1464" s="52"/>
      <c r="N1464" s="52"/>
      <c r="O1464" s="1" t="n">
        <f aca="false">IF(M1464="Exclude (duplicate)",0,1)</f>
        <v>1</v>
      </c>
      <c r="P1464" s="1" t="str">
        <f aca="false">IF(AND(L1464&lt;&gt;"",M1464=""),"Needs decision","")</f>
        <v/>
      </c>
    </row>
    <row r="1465" customFormat="false" ht="15" hidden="false" customHeight="false" outlineLevel="0" collapsed="false">
      <c r="A1465" s="48" t="str">
        <f aca="false">COST!A1465</f>
        <v>QHH-0084</v>
      </c>
      <c r="B1465" s="48" t="str">
        <f aca="false">COST!B1465</f>
        <v>QHH</v>
      </c>
      <c r="C1465" s="48" t="str">
        <f aca="false">COST!D1465</f>
        <v>Childbirth and Newborn Care Classes</v>
      </c>
      <c r="D1465" s="62" t="n">
        <f aca="false">COST!M1465</f>
        <v>45971</v>
      </c>
      <c r="E1465" s="48" t="str">
        <f aca="false">COST!P1465</f>
        <v>Clinical Nurse Educator</v>
      </c>
      <c r="F1465" s="63" t="n">
        <f aca="false">COST!R1465</f>
        <v>3.25</v>
      </c>
      <c r="G1465" s="48" t="str">
        <f aca="false">STACK!M1465</f>
        <v/>
      </c>
      <c r="H1465" s="1" t="str">
        <f aca="false">C1465&amp;"|"&amp;IF(ISNUMBER(D1465),TEXT(D1465,"yyyy-mm-dd"),"no date")&amp;"|"&amp;E1465&amp;"|"&amp;IF(ISNUMBER(F1465),TEXT(F1465,"0.00"),"blank")</f>
        <v>Childbirth and Newborn Care Classes|2025-11-10|Clinical Nurse Educator|3.25</v>
      </c>
      <c r="I1465" s="1" t="n">
        <f aca="false">COUNTIF($H$5:$H$1624,H1465)</f>
        <v>1</v>
      </c>
      <c r="J1465" s="1" t="n">
        <f aca="false">COUNTIF($H$5:H1465,H1465)</f>
        <v>1</v>
      </c>
      <c r="K1465" s="1" t="n">
        <f aca="false">COUNTIFS($H$5:$H$1624,H1465,$B$5:$B$1624,"&lt;&gt;"&amp;B1465)</f>
        <v>0</v>
      </c>
      <c r="L1465" s="1" t="str">
        <f aca="false">IF(I1465&gt;1,IF(K1465&gt;0,"Cross-hospital match","Same-hospital match"),"")</f>
        <v/>
      </c>
      <c r="M1465" s="52"/>
      <c r="N1465" s="52"/>
      <c r="O1465" s="1" t="n">
        <f aca="false">IF(M1465="Exclude (duplicate)",0,1)</f>
        <v>1</v>
      </c>
      <c r="P1465" s="1" t="str">
        <f aca="false">IF(AND(L1465&lt;&gt;"",M1465=""),"Needs decision","")</f>
        <v/>
      </c>
    </row>
    <row r="1466" customFormat="false" ht="15" hidden="false" customHeight="false" outlineLevel="0" collapsed="false">
      <c r="A1466" s="48" t="str">
        <f aca="false">COST!A1466</f>
        <v>QHH-0085</v>
      </c>
      <c r="B1466" s="48" t="str">
        <f aca="false">COST!B1466</f>
        <v>QHH</v>
      </c>
      <c r="C1466" s="48" t="str">
        <f aca="false">COST!D1466</f>
        <v>Community Blood Pressure Checks</v>
      </c>
      <c r="D1466" s="62" t="n">
        <f aca="false">COST!M1466</f>
        <v>45973</v>
      </c>
      <c r="E1466" s="48" t="str">
        <f aca="false">COST!P1466</f>
        <v>Registered Nurse</v>
      </c>
      <c r="F1466" s="63" t="n">
        <f aca="false">COST!R1466</f>
        <v>3.75</v>
      </c>
      <c r="G1466" s="48" t="str">
        <f aca="false">STACK!M1466</f>
        <v/>
      </c>
      <c r="H1466" s="1" t="str">
        <f aca="false">C1466&amp;"|"&amp;IF(ISNUMBER(D1466),TEXT(D1466,"yyyy-mm-dd"),"no date")&amp;"|"&amp;E1466&amp;"|"&amp;IF(ISNUMBER(F1466),TEXT(F1466,"0.00"),"blank")</f>
        <v>Community Blood Pressure Checks|2025-11-12|Registered Nurse|3.75</v>
      </c>
      <c r="I1466" s="1" t="n">
        <f aca="false">COUNTIF($H$5:$H$1624,H1466)</f>
        <v>1</v>
      </c>
      <c r="J1466" s="1" t="n">
        <f aca="false">COUNTIF($H$5:H1466,H1466)</f>
        <v>1</v>
      </c>
      <c r="K1466" s="1" t="n">
        <f aca="false">COUNTIFS($H$5:$H$1624,H1466,$B$5:$B$1624,"&lt;&gt;"&amp;B1466)</f>
        <v>0</v>
      </c>
      <c r="L1466" s="1" t="str">
        <f aca="false">IF(I1466&gt;1,IF(K1466&gt;0,"Cross-hospital match","Same-hospital match"),"")</f>
        <v/>
      </c>
      <c r="M1466" s="52"/>
      <c r="N1466" s="52"/>
      <c r="O1466" s="1" t="n">
        <f aca="false">IF(M1466="Exclude (duplicate)",0,1)</f>
        <v>1</v>
      </c>
      <c r="P1466" s="1" t="str">
        <f aca="false">IF(AND(L1466&lt;&gt;"",M1466=""),"Needs decision","")</f>
        <v/>
      </c>
    </row>
    <row r="1467" customFormat="false" ht="15" hidden="false" customHeight="false" outlineLevel="0" collapsed="false">
      <c r="A1467" s="48" t="str">
        <f aca="false">COST!A1467</f>
        <v>QHH-0086</v>
      </c>
      <c r="B1467" s="48" t="str">
        <f aca="false">COST!B1467</f>
        <v>QHH</v>
      </c>
      <c r="C1467" s="48" t="str">
        <f aca="false">COST!D1467</f>
        <v>Community Blood Pressure Checks</v>
      </c>
      <c r="D1467" s="62" t="n">
        <f aca="false">COST!M1467</f>
        <v>45980</v>
      </c>
      <c r="E1467" s="48" t="str">
        <f aca="false">COST!P1467</f>
        <v>Registered Nurse</v>
      </c>
      <c r="F1467" s="63" t="n">
        <f aca="false">COST!R1467</f>
        <v>4.5</v>
      </c>
      <c r="G1467" s="48" t="str">
        <f aca="false">STACK!M1467</f>
        <v/>
      </c>
      <c r="H1467" s="1" t="str">
        <f aca="false">C1467&amp;"|"&amp;IF(ISNUMBER(D1467),TEXT(D1467,"yyyy-mm-dd"),"no date")&amp;"|"&amp;E1467&amp;"|"&amp;IF(ISNUMBER(F1467),TEXT(F1467,"0.00"),"blank")</f>
        <v>Community Blood Pressure Checks|2025-11-19|Registered Nurse|4.50</v>
      </c>
      <c r="I1467" s="1" t="n">
        <f aca="false">COUNTIF($H$5:$H$1624,H1467)</f>
        <v>1</v>
      </c>
      <c r="J1467" s="1" t="n">
        <f aca="false">COUNTIF($H$5:H1467,H1467)</f>
        <v>1</v>
      </c>
      <c r="K1467" s="1" t="n">
        <f aca="false">COUNTIFS($H$5:$H$1624,H1467,$B$5:$B$1624,"&lt;&gt;"&amp;B1467)</f>
        <v>0</v>
      </c>
      <c r="L1467" s="1" t="str">
        <f aca="false">IF(I1467&gt;1,IF(K1467&gt;0,"Cross-hospital match","Same-hospital match"),"")</f>
        <v/>
      </c>
      <c r="M1467" s="52"/>
      <c r="N1467" s="52"/>
      <c r="O1467" s="1" t="n">
        <f aca="false">IF(M1467="Exclude (duplicate)",0,1)</f>
        <v>1</v>
      </c>
      <c r="P1467" s="1" t="str">
        <f aca="false">IF(AND(L1467&lt;&gt;"",M1467=""),"Needs decision","")</f>
        <v/>
      </c>
    </row>
    <row r="1468" customFormat="false" ht="15" hidden="false" customHeight="false" outlineLevel="0" collapsed="false">
      <c r="A1468" s="48" t="str">
        <f aca="false">COST!A1468</f>
        <v>QHH-0087</v>
      </c>
      <c r="B1468" s="48" t="str">
        <f aca="false">COST!B1468</f>
        <v>QHH</v>
      </c>
      <c r="C1468" s="48" t="str">
        <f aca="false">COST!D1468</f>
        <v>Diabetes Prevention Classes</v>
      </c>
      <c r="D1468" s="62" t="n">
        <f aca="false">COST!M1468</f>
        <v>45983</v>
      </c>
      <c r="E1468" s="48" t="str">
        <f aca="false">COST!P1468</f>
        <v>Health Educator</v>
      </c>
      <c r="F1468" s="63" t="n">
        <f aca="false">COST!R1468</f>
        <v>2.25</v>
      </c>
      <c r="G1468" s="48" t="str">
        <f aca="false">STACK!M1468</f>
        <v/>
      </c>
      <c r="H1468" s="1" t="str">
        <f aca="false">C1468&amp;"|"&amp;IF(ISNUMBER(D1468),TEXT(D1468,"yyyy-mm-dd"),"no date")&amp;"|"&amp;E1468&amp;"|"&amp;IF(ISNUMBER(F1468),TEXT(F1468,"0.00"),"blank")</f>
        <v>Diabetes Prevention Classes|2025-11-22|Health Educator|2.25</v>
      </c>
      <c r="I1468" s="1" t="n">
        <f aca="false">COUNTIF($H$5:$H$1624,H1468)</f>
        <v>1</v>
      </c>
      <c r="J1468" s="1" t="n">
        <f aca="false">COUNTIF($H$5:H1468,H1468)</f>
        <v>1</v>
      </c>
      <c r="K1468" s="1" t="n">
        <f aca="false">COUNTIFS($H$5:$H$1624,H1468,$B$5:$B$1624,"&lt;&gt;"&amp;B1468)</f>
        <v>0</v>
      </c>
      <c r="L1468" s="1" t="str">
        <f aca="false">IF(I1468&gt;1,IF(K1468&gt;0,"Cross-hospital match","Same-hospital match"),"")</f>
        <v/>
      </c>
      <c r="M1468" s="52"/>
      <c r="N1468" s="52"/>
      <c r="O1468" s="1" t="n">
        <f aca="false">IF(M1468="Exclude (duplicate)",0,1)</f>
        <v>1</v>
      </c>
      <c r="P1468" s="1" t="str">
        <f aca="false">IF(AND(L1468&lt;&gt;"",M1468=""),"Needs decision","")</f>
        <v/>
      </c>
    </row>
    <row r="1469" customFormat="false" ht="15" hidden="false" customHeight="false" outlineLevel="0" collapsed="false">
      <c r="A1469" s="48" t="str">
        <f aca="false">COST!A1469</f>
        <v>QHH-0088</v>
      </c>
      <c r="B1469" s="48" t="str">
        <f aca="false">COST!B1469</f>
        <v>QHH</v>
      </c>
      <c r="C1469" s="48" t="str">
        <f aca="false">COST!D1469</f>
        <v>Diabetes Prevention Classes</v>
      </c>
      <c r="D1469" s="62" t="n">
        <f aca="false">COST!M1469</f>
        <v>45983</v>
      </c>
      <c r="E1469" s="48" t="str">
        <f aca="false">COST!P1469</f>
        <v>Registered Dietitian</v>
      </c>
      <c r="F1469" s="63" t="n">
        <f aca="false">COST!R1469</f>
        <v>1.5</v>
      </c>
      <c r="G1469" s="48" t="str">
        <f aca="false">STACK!M1469</f>
        <v/>
      </c>
      <c r="H1469" s="1" t="str">
        <f aca="false">C1469&amp;"|"&amp;IF(ISNUMBER(D1469),TEXT(D1469,"yyyy-mm-dd"),"no date")&amp;"|"&amp;E1469&amp;"|"&amp;IF(ISNUMBER(F1469),TEXT(F1469,"0.00"),"blank")</f>
        <v>Diabetes Prevention Classes|2025-11-22|Registered Dietitian|1.50</v>
      </c>
      <c r="I1469" s="1" t="n">
        <f aca="false">COUNTIF($H$5:$H$1624,H1469)</f>
        <v>1</v>
      </c>
      <c r="J1469" s="1" t="n">
        <f aca="false">COUNTIF($H$5:H1469,H1469)</f>
        <v>1</v>
      </c>
      <c r="K1469" s="1" t="n">
        <f aca="false">COUNTIFS($H$5:$H$1624,H1469,$B$5:$B$1624,"&lt;&gt;"&amp;B1469)</f>
        <v>0</v>
      </c>
      <c r="L1469" s="1" t="str">
        <f aca="false">IF(I1469&gt;1,IF(K1469&gt;0,"Cross-hospital match","Same-hospital match"),"")</f>
        <v/>
      </c>
      <c r="M1469" s="52"/>
      <c r="N1469" s="52"/>
      <c r="O1469" s="1" t="n">
        <f aca="false">IF(M1469="Exclude (duplicate)",0,1)</f>
        <v>1</v>
      </c>
      <c r="P1469" s="1" t="str">
        <f aca="false">IF(AND(L1469&lt;&gt;"",M1469=""),"Needs decision","")</f>
        <v/>
      </c>
    </row>
    <row r="1470" customFormat="false" ht="15" hidden="false" customHeight="false" outlineLevel="0" collapsed="false">
      <c r="A1470" s="48" t="str">
        <f aca="false">COST!A1470</f>
        <v>QHH-0089</v>
      </c>
      <c r="B1470" s="48" t="str">
        <f aca="false">COST!B1470</f>
        <v>QHH</v>
      </c>
      <c r="C1470" s="48" t="str">
        <f aca="false">COST!D1470</f>
        <v>Grief Support Group</v>
      </c>
      <c r="D1470" s="62" t="n">
        <f aca="false">COST!M1470</f>
        <v>45983</v>
      </c>
      <c r="E1470" s="48" t="str">
        <f aca="false">COST!P1470</f>
        <v>Chaplain</v>
      </c>
      <c r="F1470" s="63" t="n">
        <f aca="false">COST!R1470</f>
        <v>2</v>
      </c>
      <c r="G1470" s="48" t="str">
        <f aca="false">STACK!M1470</f>
        <v/>
      </c>
      <c r="H1470" s="1" t="str">
        <f aca="false">C1470&amp;"|"&amp;IF(ISNUMBER(D1470),TEXT(D1470,"yyyy-mm-dd"),"no date")&amp;"|"&amp;E1470&amp;"|"&amp;IF(ISNUMBER(F1470),TEXT(F1470,"0.00"),"blank")</f>
        <v>Grief Support Group|2025-11-22|Chaplain|2.00</v>
      </c>
      <c r="I1470" s="1" t="n">
        <f aca="false">COUNTIF($H$5:$H$1624,H1470)</f>
        <v>1</v>
      </c>
      <c r="J1470" s="1" t="n">
        <f aca="false">COUNTIF($H$5:H1470,H1470)</f>
        <v>1</v>
      </c>
      <c r="K1470" s="1" t="n">
        <f aca="false">COUNTIFS($H$5:$H$1624,H1470,$B$5:$B$1624,"&lt;&gt;"&amp;B1470)</f>
        <v>0</v>
      </c>
      <c r="L1470" s="1" t="str">
        <f aca="false">IF(I1470&gt;1,IF(K1470&gt;0,"Cross-hospital match","Same-hospital match"),"")</f>
        <v/>
      </c>
      <c r="M1470" s="52"/>
      <c r="N1470" s="52"/>
      <c r="O1470" s="1" t="n">
        <f aca="false">IF(M1470="Exclude (duplicate)",0,1)</f>
        <v>1</v>
      </c>
      <c r="P1470" s="1" t="str">
        <f aca="false">IF(AND(L1470&lt;&gt;"",M1470=""),"Needs decision","")</f>
        <v/>
      </c>
    </row>
    <row r="1471" customFormat="false" ht="15" hidden="false" customHeight="false" outlineLevel="0" collapsed="false">
      <c r="A1471" s="48" t="str">
        <f aca="false">COST!A1471</f>
        <v>QHH-0090</v>
      </c>
      <c r="B1471" s="48" t="str">
        <f aca="false">COST!B1471</f>
        <v>QHH</v>
      </c>
      <c r="C1471" s="48" t="str">
        <f aca="false">COST!D1471</f>
        <v>Grief Support Group</v>
      </c>
      <c r="D1471" s="62" t="n">
        <f aca="false">COST!M1471</f>
        <v>45983</v>
      </c>
      <c r="E1471" s="48" t="str">
        <f aca="false">COST!P1471</f>
        <v>Social Worker</v>
      </c>
      <c r="F1471" s="63" t="n">
        <f aca="false">COST!R1471</f>
        <v>1.75</v>
      </c>
      <c r="G1471" s="48" t="str">
        <f aca="false">STACK!M1471</f>
        <v/>
      </c>
      <c r="H1471" s="1" t="str">
        <f aca="false">C1471&amp;"|"&amp;IF(ISNUMBER(D1471),TEXT(D1471,"yyyy-mm-dd"),"no date")&amp;"|"&amp;E1471&amp;"|"&amp;IF(ISNUMBER(F1471),TEXT(F1471,"0.00"),"blank")</f>
        <v>Grief Support Group|2025-11-22|Social Worker|1.75</v>
      </c>
      <c r="I1471" s="1" t="n">
        <f aca="false">COUNTIF($H$5:$H$1624,H1471)</f>
        <v>1</v>
      </c>
      <c r="J1471" s="1" t="n">
        <f aca="false">COUNTIF($H$5:H1471,H1471)</f>
        <v>1</v>
      </c>
      <c r="K1471" s="1" t="n">
        <f aca="false">COUNTIFS($H$5:$H$1624,H1471,$B$5:$B$1624,"&lt;&gt;"&amp;B1471)</f>
        <v>0</v>
      </c>
      <c r="L1471" s="1" t="str">
        <f aca="false">IF(I1471&gt;1,IF(K1471&gt;0,"Cross-hospital match","Same-hospital match"),"")</f>
        <v/>
      </c>
      <c r="M1471" s="52"/>
      <c r="N1471" s="52"/>
      <c r="O1471" s="1" t="n">
        <f aca="false">IF(M1471="Exclude (duplicate)",0,1)</f>
        <v>1</v>
      </c>
      <c r="P1471" s="1" t="str">
        <f aca="false">IF(AND(L1471&lt;&gt;"",M1471=""),"Needs decision","")</f>
        <v/>
      </c>
    </row>
    <row r="1472" customFormat="false" ht="15" hidden="false" customHeight="false" outlineLevel="0" collapsed="false">
      <c r="A1472" s="48" t="str">
        <f aca="false">COST!A1472</f>
        <v>QHH-0091</v>
      </c>
      <c r="B1472" s="48" t="str">
        <f aca="false">COST!B1472</f>
        <v>QHH</v>
      </c>
      <c r="C1472" s="48" t="str">
        <f aca="false">COST!D1472</f>
        <v>Grief Support Group</v>
      </c>
      <c r="D1472" s="62" t="n">
        <f aca="false">COST!M1472</f>
        <v>45985</v>
      </c>
      <c r="E1472" s="48" t="str">
        <f aca="false">COST!P1472</f>
        <v>Chaplain</v>
      </c>
      <c r="F1472" s="63" t="n">
        <f aca="false">COST!R1472</f>
        <v>2.5</v>
      </c>
      <c r="G1472" s="48" t="str">
        <f aca="false">STACK!M1472</f>
        <v/>
      </c>
      <c r="H1472" s="1" t="str">
        <f aca="false">C1472&amp;"|"&amp;IF(ISNUMBER(D1472),TEXT(D1472,"yyyy-mm-dd"),"no date")&amp;"|"&amp;E1472&amp;"|"&amp;IF(ISNUMBER(F1472),TEXT(F1472,"0.00"),"blank")</f>
        <v>Grief Support Group|2025-11-24|Chaplain|2.50</v>
      </c>
      <c r="I1472" s="1" t="n">
        <f aca="false">COUNTIF($H$5:$H$1624,H1472)</f>
        <v>1</v>
      </c>
      <c r="J1472" s="1" t="n">
        <f aca="false">COUNTIF($H$5:H1472,H1472)</f>
        <v>1</v>
      </c>
      <c r="K1472" s="1" t="n">
        <f aca="false">COUNTIFS($H$5:$H$1624,H1472,$B$5:$B$1624,"&lt;&gt;"&amp;B1472)</f>
        <v>0</v>
      </c>
      <c r="L1472" s="1" t="str">
        <f aca="false">IF(I1472&gt;1,IF(K1472&gt;0,"Cross-hospital match","Same-hospital match"),"")</f>
        <v/>
      </c>
      <c r="M1472" s="52"/>
      <c r="N1472" s="52"/>
      <c r="O1472" s="1" t="n">
        <f aca="false">IF(M1472="Exclude (duplicate)",0,1)</f>
        <v>1</v>
      </c>
      <c r="P1472" s="1" t="str">
        <f aca="false">IF(AND(L1472&lt;&gt;"",M1472=""),"Needs decision","")</f>
        <v/>
      </c>
    </row>
    <row r="1473" customFormat="false" ht="15" hidden="false" customHeight="false" outlineLevel="0" collapsed="false">
      <c r="A1473" s="48" t="str">
        <f aca="false">COST!A1473</f>
        <v>QHH-0092</v>
      </c>
      <c r="B1473" s="48" t="str">
        <f aca="false">COST!B1473</f>
        <v>QHH</v>
      </c>
      <c r="C1473" s="48" t="str">
        <f aca="false">COST!D1473</f>
        <v>Grief Support Group</v>
      </c>
      <c r="D1473" s="62" t="n">
        <f aca="false">COST!M1473</f>
        <v>45985</v>
      </c>
      <c r="E1473" s="48" t="str">
        <f aca="false">COST!P1473</f>
        <v>Social Worker</v>
      </c>
      <c r="F1473" s="63" t="n">
        <f aca="false">COST!R1473</f>
        <v>2</v>
      </c>
      <c r="G1473" s="48" t="str">
        <f aca="false">STACK!M1473</f>
        <v/>
      </c>
      <c r="H1473" s="1" t="str">
        <f aca="false">C1473&amp;"|"&amp;IF(ISNUMBER(D1473),TEXT(D1473,"yyyy-mm-dd"),"no date")&amp;"|"&amp;E1473&amp;"|"&amp;IF(ISNUMBER(F1473),TEXT(F1473,"0.00"),"blank")</f>
        <v>Grief Support Group|2025-11-24|Social Worker|2.00</v>
      </c>
      <c r="I1473" s="1" t="n">
        <f aca="false">COUNTIF($H$5:$H$1624,H1473)</f>
        <v>1</v>
      </c>
      <c r="J1473" s="1" t="n">
        <f aca="false">COUNTIF($H$5:H1473,H1473)</f>
        <v>1</v>
      </c>
      <c r="K1473" s="1" t="n">
        <f aca="false">COUNTIFS($H$5:$H$1624,H1473,$B$5:$B$1624,"&lt;&gt;"&amp;B1473)</f>
        <v>0</v>
      </c>
      <c r="L1473" s="1" t="str">
        <f aca="false">IF(I1473&gt;1,IF(K1473&gt;0,"Cross-hospital match","Same-hospital match"),"")</f>
        <v/>
      </c>
      <c r="M1473" s="52"/>
      <c r="N1473" s="52"/>
      <c r="O1473" s="1" t="n">
        <f aca="false">IF(M1473="Exclude (duplicate)",0,1)</f>
        <v>1</v>
      </c>
      <c r="P1473" s="1" t="str">
        <f aca="false">IF(AND(L1473&lt;&gt;"",M1473=""),"Needs decision","")</f>
        <v/>
      </c>
    </row>
    <row r="1474" customFormat="false" ht="15" hidden="false" customHeight="false" outlineLevel="0" collapsed="false">
      <c r="A1474" s="48" t="str">
        <f aca="false">COST!A1474</f>
        <v>QHH-0093</v>
      </c>
      <c r="B1474" s="48" t="str">
        <f aca="false">COST!B1474</f>
        <v>QHH</v>
      </c>
      <c r="C1474" s="48" t="str">
        <f aca="false">COST!D1474</f>
        <v>Diabetes Prevention Classes</v>
      </c>
      <c r="D1474" s="62" t="n">
        <f aca="false">COST!M1474</f>
        <v>45986</v>
      </c>
      <c r="E1474" s="48" t="str">
        <f aca="false">COST!P1474</f>
        <v>Health Educator</v>
      </c>
      <c r="F1474" s="63" t="n">
        <f aca="false">COST!R1474</f>
        <v>2.25</v>
      </c>
      <c r="G1474" s="48" t="str">
        <f aca="false">STACK!M1474</f>
        <v/>
      </c>
      <c r="H1474" s="1" t="str">
        <f aca="false">C1474&amp;"|"&amp;IF(ISNUMBER(D1474),TEXT(D1474,"yyyy-mm-dd"),"no date")&amp;"|"&amp;E1474&amp;"|"&amp;IF(ISNUMBER(F1474),TEXT(F1474,"0.00"),"blank")</f>
        <v>Diabetes Prevention Classes|2025-11-25|Health Educator|2.25</v>
      </c>
      <c r="I1474" s="1" t="n">
        <f aca="false">COUNTIF($H$5:$H$1624,H1474)</f>
        <v>1</v>
      </c>
      <c r="J1474" s="1" t="n">
        <f aca="false">COUNTIF($H$5:H1474,H1474)</f>
        <v>1</v>
      </c>
      <c r="K1474" s="1" t="n">
        <f aca="false">COUNTIFS($H$5:$H$1624,H1474,$B$5:$B$1624,"&lt;&gt;"&amp;B1474)</f>
        <v>0</v>
      </c>
      <c r="L1474" s="1" t="str">
        <f aca="false">IF(I1474&gt;1,IF(K1474&gt;0,"Cross-hospital match","Same-hospital match"),"")</f>
        <v/>
      </c>
      <c r="M1474" s="52"/>
      <c r="N1474" s="52"/>
      <c r="O1474" s="1" t="n">
        <f aca="false">IF(M1474="Exclude (duplicate)",0,1)</f>
        <v>1</v>
      </c>
      <c r="P1474" s="1" t="str">
        <f aca="false">IF(AND(L1474&lt;&gt;"",M1474=""),"Needs decision","")</f>
        <v/>
      </c>
    </row>
    <row r="1475" customFormat="false" ht="15" hidden="false" customHeight="false" outlineLevel="0" collapsed="false">
      <c r="A1475" s="48" t="str">
        <f aca="false">COST!A1475</f>
        <v>QHH-0094</v>
      </c>
      <c r="B1475" s="48" t="str">
        <f aca="false">COST!B1475</f>
        <v>QHH</v>
      </c>
      <c r="C1475" s="48" t="str">
        <f aca="false">COST!D1475</f>
        <v>Diabetes Prevention Classes</v>
      </c>
      <c r="D1475" s="62" t="n">
        <f aca="false">COST!M1475</f>
        <v>45986</v>
      </c>
      <c r="E1475" s="48" t="str">
        <f aca="false">COST!P1475</f>
        <v>Registered Dietitian</v>
      </c>
      <c r="F1475" s="63" t="n">
        <f aca="false">COST!R1475</f>
        <v>2</v>
      </c>
      <c r="G1475" s="48" t="str">
        <f aca="false">STACK!M1475</f>
        <v/>
      </c>
      <c r="H1475" s="1" t="str">
        <f aca="false">C1475&amp;"|"&amp;IF(ISNUMBER(D1475),TEXT(D1475,"yyyy-mm-dd"),"no date")&amp;"|"&amp;E1475&amp;"|"&amp;IF(ISNUMBER(F1475),TEXT(F1475,"0.00"),"blank")</f>
        <v>Diabetes Prevention Classes|2025-11-25|Registered Dietitian|2.00</v>
      </c>
      <c r="I1475" s="1" t="n">
        <f aca="false">COUNTIF($H$5:$H$1624,H1475)</f>
        <v>1</v>
      </c>
      <c r="J1475" s="1" t="n">
        <f aca="false">COUNTIF($H$5:H1475,H1475)</f>
        <v>1</v>
      </c>
      <c r="K1475" s="1" t="n">
        <f aca="false">COUNTIFS($H$5:$H$1624,H1475,$B$5:$B$1624,"&lt;&gt;"&amp;B1475)</f>
        <v>0</v>
      </c>
      <c r="L1475" s="1" t="str">
        <f aca="false">IF(I1475&gt;1,IF(K1475&gt;0,"Cross-hospital match","Same-hospital match"),"")</f>
        <v/>
      </c>
      <c r="M1475" s="52"/>
      <c r="N1475" s="52"/>
      <c r="O1475" s="1" t="n">
        <f aca="false">IF(M1475="Exclude (duplicate)",0,1)</f>
        <v>1</v>
      </c>
      <c r="P1475" s="1" t="str">
        <f aca="false">IF(AND(L1475&lt;&gt;"",M1475=""),"Needs decision","")</f>
        <v/>
      </c>
    </row>
    <row r="1476" customFormat="false" ht="15" hidden="false" customHeight="false" outlineLevel="0" collapsed="false">
      <c r="A1476" s="48" t="str">
        <f aca="false">COST!A1476</f>
        <v>QHH-0095</v>
      </c>
      <c r="B1476" s="48" t="str">
        <f aca="false">COST!B1476</f>
        <v>QHH</v>
      </c>
      <c r="C1476" s="48" t="str">
        <f aca="false">COST!D1476</f>
        <v>Medication Assistance Program</v>
      </c>
      <c r="D1476" s="62" t="n">
        <f aca="false">COST!M1476</f>
        <v>45991</v>
      </c>
      <c r="E1476" s="48" t="str">
        <f aca="false">COST!P1476</f>
        <v>Patient Navigator</v>
      </c>
      <c r="F1476" s="63" t="n">
        <f aca="false">COST!R1476</f>
        <v>71.25</v>
      </c>
      <c r="G1476" s="48" t="str">
        <f aca="false">STACK!M1476</f>
        <v/>
      </c>
      <c r="H1476" s="1" t="str">
        <f aca="false">C1476&amp;"|"&amp;IF(ISNUMBER(D1476),TEXT(D1476,"yyyy-mm-dd"),"no date")&amp;"|"&amp;E1476&amp;"|"&amp;IF(ISNUMBER(F1476),TEXT(F1476,"0.00"),"blank")</f>
        <v>Medication Assistance Program|2025-11-30|Patient Navigator|71.25</v>
      </c>
      <c r="I1476" s="1" t="n">
        <f aca="false">COUNTIF($H$5:$H$1624,H1476)</f>
        <v>1</v>
      </c>
      <c r="J1476" s="1" t="n">
        <f aca="false">COUNTIF($H$5:H1476,H1476)</f>
        <v>1</v>
      </c>
      <c r="K1476" s="1" t="n">
        <f aca="false">COUNTIFS($H$5:$H$1624,H1476,$B$5:$B$1624,"&lt;&gt;"&amp;B1476)</f>
        <v>0</v>
      </c>
      <c r="L1476" s="1" t="str">
        <f aca="false">IF(I1476&gt;1,IF(K1476&gt;0,"Cross-hospital match","Same-hospital match"),"")</f>
        <v/>
      </c>
      <c r="M1476" s="52"/>
      <c r="N1476" s="52"/>
      <c r="O1476" s="1" t="n">
        <f aca="false">IF(M1476="Exclude (duplicate)",0,1)</f>
        <v>1</v>
      </c>
      <c r="P1476" s="1" t="str">
        <f aca="false">IF(AND(L1476&lt;&gt;"",M1476=""),"Needs decision","")</f>
        <v/>
      </c>
    </row>
    <row r="1477" customFormat="false" ht="15" hidden="false" customHeight="false" outlineLevel="0" collapsed="false">
      <c r="A1477" s="48" t="str">
        <f aca="false">COST!A1477</f>
        <v>QHH-0096</v>
      </c>
      <c r="B1477" s="48" t="str">
        <f aca="false">COST!B1477</f>
        <v>QHH</v>
      </c>
      <c r="C1477" s="48" t="str">
        <f aca="false">COST!D1477</f>
        <v>Medication Assistance Program</v>
      </c>
      <c r="D1477" s="62" t="n">
        <f aca="false">COST!M1477</f>
        <v>45991</v>
      </c>
      <c r="E1477" s="48" t="str">
        <f aca="false">COST!P1477</f>
        <v>Pharmacist</v>
      </c>
      <c r="F1477" s="63" t="n">
        <f aca="false">COST!R1477</f>
        <v>21</v>
      </c>
      <c r="G1477" s="48" t="str">
        <f aca="false">STACK!M1477</f>
        <v/>
      </c>
      <c r="H1477" s="1" t="str">
        <f aca="false">C1477&amp;"|"&amp;IF(ISNUMBER(D1477),TEXT(D1477,"yyyy-mm-dd"),"no date")&amp;"|"&amp;E1477&amp;"|"&amp;IF(ISNUMBER(F1477),TEXT(F1477,"0.00"),"blank")</f>
        <v>Medication Assistance Program|2025-11-30|Pharmacist|21.00</v>
      </c>
      <c r="I1477" s="1" t="n">
        <f aca="false">COUNTIF($H$5:$H$1624,H1477)</f>
        <v>1</v>
      </c>
      <c r="J1477" s="1" t="n">
        <f aca="false">COUNTIF($H$5:H1477,H1477)</f>
        <v>1</v>
      </c>
      <c r="K1477" s="1" t="n">
        <f aca="false">COUNTIFS($H$5:$H$1624,H1477,$B$5:$B$1624,"&lt;&gt;"&amp;B1477)</f>
        <v>0</v>
      </c>
      <c r="L1477" s="1" t="str">
        <f aca="false">IF(I1477&gt;1,IF(K1477&gt;0,"Cross-hospital match","Same-hospital match"),"")</f>
        <v/>
      </c>
      <c r="M1477" s="52"/>
      <c r="N1477" s="52"/>
      <c r="O1477" s="1" t="n">
        <f aca="false">IF(M1477="Exclude (duplicate)",0,1)</f>
        <v>1</v>
      </c>
      <c r="P1477" s="1" t="str">
        <f aca="false">IF(AND(L1477&lt;&gt;"",M1477=""),"Needs decision","")</f>
        <v/>
      </c>
    </row>
    <row r="1478" customFormat="false" ht="15" hidden="false" customHeight="false" outlineLevel="0" collapsed="false">
      <c r="A1478" s="48" t="str">
        <f aca="false">COST!A1478</f>
        <v>QHH-0097</v>
      </c>
      <c r="B1478" s="48" t="str">
        <f aca="false">COST!B1478</f>
        <v>QHH</v>
      </c>
      <c r="C1478" s="48" t="str">
        <f aca="false">COST!D1478</f>
        <v>Community Benefit Program Administration</v>
      </c>
      <c r="D1478" s="62" t="n">
        <f aca="false">COST!M1478</f>
        <v>45991</v>
      </c>
      <c r="E1478" s="48" t="str">
        <f aca="false">COST!P1478</f>
        <v>Administrative Assistant</v>
      </c>
      <c r="F1478" s="63" t="n">
        <f aca="false">COST!R1478</f>
        <v>29.75</v>
      </c>
      <c r="G1478" s="48" t="str">
        <f aca="false">STACK!M1478</f>
        <v/>
      </c>
      <c r="H1478" s="1" t="str">
        <f aca="false">C1478&amp;"|"&amp;IF(ISNUMBER(D1478),TEXT(D1478,"yyyy-mm-dd"),"no date")&amp;"|"&amp;E1478&amp;"|"&amp;IF(ISNUMBER(F1478),TEXT(F1478,"0.00"),"blank")</f>
        <v>Community Benefit Program Administration|2025-11-30|Administrative Assistant|29.75</v>
      </c>
      <c r="I1478" s="1" t="n">
        <f aca="false">COUNTIF($H$5:$H$1624,H1478)</f>
        <v>1</v>
      </c>
      <c r="J1478" s="1" t="n">
        <f aca="false">COUNTIF($H$5:H1478,H1478)</f>
        <v>1</v>
      </c>
      <c r="K1478" s="1" t="n">
        <f aca="false">COUNTIFS($H$5:$H$1624,H1478,$B$5:$B$1624,"&lt;&gt;"&amp;B1478)</f>
        <v>0</v>
      </c>
      <c r="L1478" s="1" t="str">
        <f aca="false">IF(I1478&gt;1,IF(K1478&gt;0,"Cross-hospital match","Same-hospital match"),"")</f>
        <v/>
      </c>
      <c r="M1478" s="52"/>
      <c r="N1478" s="52"/>
      <c r="O1478" s="1" t="n">
        <f aca="false">IF(M1478="Exclude (duplicate)",0,1)</f>
        <v>1</v>
      </c>
      <c r="P1478" s="1" t="str">
        <f aca="false">IF(AND(L1478&lt;&gt;"",M1478=""),"Needs decision","")</f>
        <v/>
      </c>
    </row>
    <row r="1479" customFormat="false" ht="15" hidden="false" customHeight="false" outlineLevel="0" collapsed="false">
      <c r="A1479" s="48" t="str">
        <f aca="false">COST!A1479</f>
        <v>QHH-0098</v>
      </c>
      <c r="B1479" s="48" t="str">
        <f aca="false">COST!B1479</f>
        <v>QHH</v>
      </c>
      <c r="C1479" s="48" t="str">
        <f aca="false">COST!D1479</f>
        <v>Community Benefit Program Administration</v>
      </c>
      <c r="D1479" s="62" t="n">
        <f aca="false">COST!M1479</f>
        <v>45991</v>
      </c>
      <c r="E1479" s="48" t="str">
        <f aca="false">COST!P1479</f>
        <v>Community Benefit Manager</v>
      </c>
      <c r="F1479" s="63" t="n">
        <f aca="false">COST!R1479</f>
        <v>50</v>
      </c>
      <c r="G1479" s="48" t="str">
        <f aca="false">STACK!M1479</f>
        <v/>
      </c>
      <c r="H1479" s="1" t="str">
        <f aca="false">C1479&amp;"|"&amp;IF(ISNUMBER(D1479),TEXT(D1479,"yyyy-mm-dd"),"no date")&amp;"|"&amp;E1479&amp;"|"&amp;IF(ISNUMBER(F1479),TEXT(F1479,"0.00"),"blank")</f>
        <v>Community Benefit Program Administration|2025-11-30|Community Benefit Manager|50.00</v>
      </c>
      <c r="I1479" s="1" t="n">
        <f aca="false">COUNTIF($H$5:$H$1624,H1479)</f>
        <v>1</v>
      </c>
      <c r="J1479" s="1" t="n">
        <f aca="false">COUNTIF($H$5:H1479,H1479)</f>
        <v>1</v>
      </c>
      <c r="K1479" s="1" t="n">
        <f aca="false">COUNTIFS($H$5:$H$1624,H1479,$B$5:$B$1624,"&lt;&gt;"&amp;B1479)</f>
        <v>0</v>
      </c>
      <c r="L1479" s="1" t="str">
        <f aca="false">IF(I1479&gt;1,IF(K1479&gt;0,"Cross-hospital match","Same-hospital match"),"")</f>
        <v/>
      </c>
      <c r="M1479" s="52"/>
      <c r="N1479" s="52"/>
      <c r="O1479" s="1" t="n">
        <f aca="false">IF(M1479="Exclude (duplicate)",0,1)</f>
        <v>1</v>
      </c>
      <c r="P1479" s="1" t="str">
        <f aca="false">IF(AND(L1479&lt;&gt;"",M1479=""),"Needs decision","")</f>
        <v/>
      </c>
    </row>
    <row r="1480" customFormat="false" ht="15" hidden="false" customHeight="false" outlineLevel="0" collapsed="false">
      <c r="A1480" s="48" t="str">
        <f aca="false">COST!A1480</f>
        <v>QHH-0099</v>
      </c>
      <c r="B1480" s="48" t="str">
        <f aca="false">COST!B1480</f>
        <v>QHH</v>
      </c>
      <c r="C1480" s="48" t="str">
        <f aca="false">COST!D1480</f>
        <v>Community Paramedic Home Visits</v>
      </c>
      <c r="D1480" s="62" t="n">
        <f aca="false">COST!M1480</f>
        <v>45991</v>
      </c>
      <c r="E1480" s="48" t="str">
        <f aca="false">COST!P1480</f>
        <v>Paramedic</v>
      </c>
      <c r="F1480" s="63" t="n">
        <f aca="false">COST!R1480</f>
        <v>69</v>
      </c>
      <c r="G1480" s="48" t="str">
        <f aca="false">STACK!M1480</f>
        <v/>
      </c>
      <c r="H1480" s="1" t="str">
        <f aca="false">C1480&amp;"|"&amp;IF(ISNUMBER(D1480),TEXT(D1480,"yyyy-mm-dd"),"no date")&amp;"|"&amp;E1480&amp;"|"&amp;IF(ISNUMBER(F1480),TEXT(F1480,"0.00"),"blank")</f>
        <v>Community Paramedic Home Visits|2025-11-30|Paramedic|69.00</v>
      </c>
      <c r="I1480" s="1" t="n">
        <f aca="false">COUNTIF($H$5:$H$1624,H1480)</f>
        <v>1</v>
      </c>
      <c r="J1480" s="1" t="n">
        <f aca="false">COUNTIF($H$5:H1480,H1480)</f>
        <v>1</v>
      </c>
      <c r="K1480" s="1" t="n">
        <f aca="false">COUNTIFS($H$5:$H$1624,H1480,$B$5:$B$1624,"&lt;&gt;"&amp;B1480)</f>
        <v>0</v>
      </c>
      <c r="L1480" s="1" t="str">
        <f aca="false">IF(I1480&gt;1,IF(K1480&gt;0,"Cross-hospital match","Same-hospital match"),"")</f>
        <v/>
      </c>
      <c r="M1480" s="52"/>
      <c r="N1480" s="52"/>
      <c r="O1480" s="1" t="n">
        <f aca="false">IF(M1480="Exclude (duplicate)",0,1)</f>
        <v>1</v>
      </c>
      <c r="P1480" s="1" t="str">
        <f aca="false">IF(AND(L1480&lt;&gt;"",M1480=""),"Needs decision","")</f>
        <v/>
      </c>
    </row>
    <row r="1481" customFormat="false" ht="15" hidden="false" customHeight="false" outlineLevel="0" collapsed="false">
      <c r="A1481" s="48" t="str">
        <f aca="false">COST!A1481</f>
        <v>QHH-0100</v>
      </c>
      <c r="B1481" s="48" t="str">
        <f aca="false">COST!B1481</f>
        <v>QHH</v>
      </c>
      <c r="C1481" s="48" t="str">
        <f aca="false">COST!D1481</f>
        <v>Nursing Student Clinical Rotations</v>
      </c>
      <c r="D1481" s="62" t="n">
        <f aca="false">COST!M1481</f>
        <v>45991</v>
      </c>
      <c r="E1481" s="48" t="str">
        <f aca="false">COST!P1481</f>
        <v>Clinical Nurse Educator</v>
      </c>
      <c r="F1481" s="63" t="n">
        <f aca="false">COST!R1481</f>
        <v>91.5</v>
      </c>
      <c r="G1481" s="48" t="str">
        <f aca="false">STACK!M1481</f>
        <v/>
      </c>
      <c r="H1481" s="1" t="str">
        <f aca="false">C1481&amp;"|"&amp;IF(ISNUMBER(D1481),TEXT(D1481,"yyyy-mm-dd"),"no date")&amp;"|"&amp;E1481&amp;"|"&amp;IF(ISNUMBER(F1481),TEXT(F1481,"0.00"),"blank")</f>
        <v>Nursing Student Clinical Rotations|2025-11-30|Clinical Nurse Educator|91.50</v>
      </c>
      <c r="I1481" s="1" t="n">
        <f aca="false">COUNTIF($H$5:$H$1624,H1481)</f>
        <v>1</v>
      </c>
      <c r="J1481" s="1" t="n">
        <f aca="false">COUNTIF($H$5:H1481,H1481)</f>
        <v>1</v>
      </c>
      <c r="K1481" s="1" t="n">
        <f aca="false">COUNTIFS($H$5:$H$1624,H1481,$B$5:$B$1624,"&lt;&gt;"&amp;B1481)</f>
        <v>0</v>
      </c>
      <c r="L1481" s="1" t="str">
        <f aca="false">IF(I1481&gt;1,IF(K1481&gt;0,"Cross-hospital match","Same-hospital match"),"")</f>
        <v/>
      </c>
      <c r="M1481" s="52"/>
      <c r="N1481" s="52"/>
      <c r="O1481" s="1" t="n">
        <f aca="false">IF(M1481="Exclude (duplicate)",0,1)</f>
        <v>1</v>
      </c>
      <c r="P1481" s="1" t="str">
        <f aca="false">IF(AND(L1481&lt;&gt;"",M1481=""),"Needs decision","")</f>
        <v/>
      </c>
    </row>
    <row r="1482" customFormat="false" ht="15" hidden="false" customHeight="false" outlineLevel="0" collapsed="false">
      <c r="A1482" s="48" t="str">
        <f aca="false">COST!A1482</f>
        <v>QHH-0101</v>
      </c>
      <c r="B1482" s="48" t="str">
        <f aca="false">COST!B1482</f>
        <v>QHH</v>
      </c>
      <c r="C1482" s="48" t="str">
        <f aca="false">COST!D1482</f>
        <v>Nursing Student Clinical Rotations</v>
      </c>
      <c r="D1482" s="62" t="n">
        <f aca="false">COST!M1482</f>
        <v>45991</v>
      </c>
      <c r="E1482" s="48" t="str">
        <f aca="false">COST!P1482</f>
        <v>Registered Nurse</v>
      </c>
      <c r="F1482" s="63" t="n">
        <f aca="false">COST!R1482</f>
        <v>162.5</v>
      </c>
      <c r="G1482" s="48" t="str">
        <f aca="false">STACK!M1482</f>
        <v/>
      </c>
      <c r="H1482" s="1" t="str">
        <f aca="false">C1482&amp;"|"&amp;IF(ISNUMBER(D1482),TEXT(D1482,"yyyy-mm-dd"),"no date")&amp;"|"&amp;E1482&amp;"|"&amp;IF(ISNUMBER(F1482),TEXT(F1482,"0.00"),"blank")</f>
        <v>Nursing Student Clinical Rotations|2025-11-30|Registered Nurse|162.50</v>
      </c>
      <c r="I1482" s="1" t="n">
        <f aca="false">COUNTIF($H$5:$H$1624,H1482)</f>
        <v>1</v>
      </c>
      <c r="J1482" s="1" t="n">
        <f aca="false">COUNTIF($H$5:H1482,H1482)</f>
        <v>1</v>
      </c>
      <c r="K1482" s="1" t="n">
        <f aca="false">COUNTIFS($H$5:$H$1624,H1482,$B$5:$B$1624,"&lt;&gt;"&amp;B1482)</f>
        <v>0</v>
      </c>
      <c r="L1482" s="1" t="str">
        <f aca="false">IF(I1482&gt;1,IF(K1482&gt;0,"Cross-hospital match","Same-hospital match"),"")</f>
        <v/>
      </c>
      <c r="M1482" s="52"/>
      <c r="N1482" s="52"/>
      <c r="O1482" s="1" t="n">
        <f aca="false">IF(M1482="Exclude (duplicate)",0,1)</f>
        <v>1</v>
      </c>
      <c r="P1482" s="1" t="str">
        <f aca="false">IF(AND(L1482&lt;&gt;"",M1482=""),"Needs decision","")</f>
        <v/>
      </c>
    </row>
    <row r="1483" customFormat="false" ht="15" hidden="false" customHeight="false" outlineLevel="0" collapsed="false">
      <c r="A1483" s="48" t="str">
        <f aca="false">COST!A1483</f>
        <v>QHH-0102</v>
      </c>
      <c r="B1483" s="48" t="str">
        <f aca="false">COST!B1483</f>
        <v>QHH</v>
      </c>
      <c r="C1483" s="48" t="str">
        <f aca="false">COST!D1483</f>
        <v>Regional Health Coalition</v>
      </c>
      <c r="D1483" s="62" t="n">
        <f aca="false">COST!M1483</f>
        <v>45994</v>
      </c>
      <c r="E1483" s="48" t="str">
        <f aca="false">COST!P1483</f>
        <v>Community Benefit Manager</v>
      </c>
      <c r="F1483" s="63" t="n">
        <f aca="false">COST!R1483</f>
        <v>2.75</v>
      </c>
      <c r="G1483" s="48" t="str">
        <f aca="false">STACK!M1483</f>
        <v/>
      </c>
      <c r="H1483" s="1" t="str">
        <f aca="false">C1483&amp;"|"&amp;IF(ISNUMBER(D1483),TEXT(D1483,"yyyy-mm-dd"),"no date")&amp;"|"&amp;E1483&amp;"|"&amp;IF(ISNUMBER(F1483),TEXT(F1483,"0.00"),"blank")</f>
        <v>Regional Health Coalition|2025-12-03|Community Benefit Manager|2.75</v>
      </c>
      <c r="I1483" s="1" t="n">
        <f aca="false">COUNTIF($H$5:$H$1624,H1483)</f>
        <v>1</v>
      </c>
      <c r="J1483" s="1" t="n">
        <f aca="false">COUNTIF($H$5:H1483,H1483)</f>
        <v>1</v>
      </c>
      <c r="K1483" s="1" t="n">
        <f aca="false">COUNTIFS($H$5:$H$1624,H1483,$B$5:$B$1624,"&lt;&gt;"&amp;B1483)</f>
        <v>0</v>
      </c>
      <c r="L1483" s="1" t="str">
        <f aca="false">IF(I1483&gt;1,IF(K1483&gt;0,"Cross-hospital match","Same-hospital match"),"")</f>
        <v/>
      </c>
      <c r="M1483" s="52"/>
      <c r="N1483" s="52"/>
      <c r="O1483" s="1" t="n">
        <f aca="false">IF(M1483="Exclude (duplicate)",0,1)</f>
        <v>1</v>
      </c>
      <c r="P1483" s="1" t="str">
        <f aca="false">IF(AND(L1483&lt;&gt;"",M1483=""),"Needs decision","")</f>
        <v/>
      </c>
    </row>
    <row r="1484" customFormat="false" ht="15" hidden="false" customHeight="false" outlineLevel="0" collapsed="false">
      <c r="A1484" s="48" t="str">
        <f aca="false">COST!A1484</f>
        <v>QHH-0103</v>
      </c>
      <c r="B1484" s="48" t="str">
        <f aca="false">COST!B1484</f>
        <v>QHH</v>
      </c>
      <c r="C1484" s="48" t="str">
        <f aca="false">COST!D1484</f>
        <v>Regional Health Coalition</v>
      </c>
      <c r="D1484" s="62" t="n">
        <f aca="false">COST!M1484</f>
        <v>45994</v>
      </c>
      <c r="E1484" s="48" t="str">
        <f aca="false">COST!P1484</f>
        <v>Director</v>
      </c>
      <c r="F1484" s="63" t="n">
        <f aca="false">COST!R1484</f>
        <v>2.75</v>
      </c>
      <c r="G1484" s="48" t="str">
        <f aca="false">STACK!M1484</f>
        <v/>
      </c>
      <c r="H1484" s="1" t="str">
        <f aca="false">C1484&amp;"|"&amp;IF(ISNUMBER(D1484),TEXT(D1484,"yyyy-mm-dd"),"no date")&amp;"|"&amp;E1484&amp;"|"&amp;IF(ISNUMBER(F1484),TEXT(F1484,"0.00"),"blank")</f>
        <v>Regional Health Coalition|2025-12-03|Director|2.75</v>
      </c>
      <c r="I1484" s="1" t="n">
        <f aca="false">COUNTIF($H$5:$H$1624,H1484)</f>
        <v>1</v>
      </c>
      <c r="J1484" s="1" t="n">
        <f aca="false">COUNTIF($H$5:H1484,H1484)</f>
        <v>1</v>
      </c>
      <c r="K1484" s="1" t="n">
        <f aca="false">COUNTIFS($H$5:$H$1624,H1484,$B$5:$B$1624,"&lt;&gt;"&amp;B1484)</f>
        <v>0</v>
      </c>
      <c r="L1484" s="1" t="str">
        <f aca="false">IF(I1484&gt;1,IF(K1484&gt;0,"Cross-hospital match","Same-hospital match"),"")</f>
        <v/>
      </c>
      <c r="M1484" s="52"/>
      <c r="N1484" s="52"/>
      <c r="O1484" s="1" t="n">
        <f aca="false">IF(M1484="Exclude (duplicate)",0,1)</f>
        <v>1</v>
      </c>
      <c r="P1484" s="1" t="str">
        <f aca="false">IF(AND(L1484&lt;&gt;"",M1484=""),"Needs decision","")</f>
        <v/>
      </c>
    </row>
    <row r="1485" customFormat="false" ht="15" hidden="false" customHeight="false" outlineLevel="0" collapsed="false">
      <c r="A1485" s="48" t="str">
        <f aca="false">COST!A1485</f>
        <v>QHH-0104</v>
      </c>
      <c r="B1485" s="48" t="str">
        <f aca="false">COST!B1485</f>
        <v>QHH</v>
      </c>
      <c r="C1485" s="48" t="str">
        <f aca="false">COST!D1485</f>
        <v>Youth Health Careers Pathway</v>
      </c>
      <c r="D1485" s="62" t="n">
        <f aca="false">COST!M1485</f>
        <v>45999</v>
      </c>
      <c r="E1485" s="48" t="str">
        <f aca="false">COST!P1485</f>
        <v>Clinical Nurse Educator</v>
      </c>
      <c r="F1485" s="63" t="n">
        <f aca="false">COST!R1485</f>
        <v>4.5</v>
      </c>
      <c r="G1485" s="48" t="str">
        <f aca="false">STACK!M1485</f>
        <v/>
      </c>
      <c r="H1485" s="1" t="str">
        <f aca="false">C1485&amp;"|"&amp;IF(ISNUMBER(D1485),TEXT(D1485,"yyyy-mm-dd"),"no date")&amp;"|"&amp;E1485&amp;"|"&amp;IF(ISNUMBER(F1485),TEXT(F1485,"0.00"),"blank")</f>
        <v>Youth Health Careers Pathway|2025-12-08|Clinical Nurse Educator|4.50</v>
      </c>
      <c r="I1485" s="1" t="n">
        <f aca="false">COUNTIF($H$5:$H$1624,H1485)</f>
        <v>1</v>
      </c>
      <c r="J1485" s="1" t="n">
        <f aca="false">COUNTIF($H$5:H1485,H1485)</f>
        <v>1</v>
      </c>
      <c r="K1485" s="1" t="n">
        <f aca="false">COUNTIFS($H$5:$H$1624,H1485,$B$5:$B$1624,"&lt;&gt;"&amp;B1485)</f>
        <v>0</v>
      </c>
      <c r="L1485" s="1" t="str">
        <f aca="false">IF(I1485&gt;1,IF(K1485&gt;0,"Cross-hospital match","Same-hospital match"),"")</f>
        <v/>
      </c>
      <c r="M1485" s="52"/>
      <c r="N1485" s="52"/>
      <c r="O1485" s="1" t="n">
        <f aca="false">IF(M1485="Exclude (duplicate)",0,1)</f>
        <v>1</v>
      </c>
      <c r="P1485" s="1" t="str">
        <f aca="false">IF(AND(L1485&lt;&gt;"",M1485=""),"Needs decision","")</f>
        <v/>
      </c>
    </row>
    <row r="1486" customFormat="false" ht="15" hidden="false" customHeight="false" outlineLevel="0" collapsed="false">
      <c r="A1486" s="48" t="str">
        <f aca="false">COST!A1486</f>
        <v>QHH-0105</v>
      </c>
      <c r="B1486" s="48" t="str">
        <f aca="false">COST!B1486</f>
        <v>QHH</v>
      </c>
      <c r="C1486" s="48" t="str">
        <f aca="false">COST!D1486</f>
        <v>Youth Health Careers Pathway</v>
      </c>
      <c r="D1486" s="62" t="n">
        <f aca="false">COST!M1486</f>
        <v>45999</v>
      </c>
      <c r="E1486" s="48" t="str">
        <f aca="false">COST!P1486</f>
        <v>Program Coordinator</v>
      </c>
      <c r="F1486" s="63" t="n">
        <f aca="false">COST!R1486</f>
        <v>6.25</v>
      </c>
      <c r="G1486" s="48" t="str">
        <f aca="false">STACK!M1486</f>
        <v/>
      </c>
      <c r="H1486" s="1" t="str">
        <f aca="false">C1486&amp;"|"&amp;IF(ISNUMBER(D1486),TEXT(D1486,"yyyy-mm-dd"),"no date")&amp;"|"&amp;E1486&amp;"|"&amp;IF(ISNUMBER(F1486),TEXT(F1486,"0.00"),"blank")</f>
        <v>Youth Health Careers Pathway|2025-12-08|Program Coordinator|6.25</v>
      </c>
      <c r="I1486" s="1" t="n">
        <f aca="false">COUNTIF($H$5:$H$1624,H1486)</f>
        <v>1</v>
      </c>
      <c r="J1486" s="1" t="n">
        <f aca="false">COUNTIF($H$5:H1486,H1486)</f>
        <v>1</v>
      </c>
      <c r="K1486" s="1" t="n">
        <f aca="false">COUNTIFS($H$5:$H$1624,H1486,$B$5:$B$1624,"&lt;&gt;"&amp;B1486)</f>
        <v>0</v>
      </c>
      <c r="L1486" s="1" t="str">
        <f aca="false">IF(I1486&gt;1,IF(K1486&gt;0,"Cross-hospital match","Same-hospital match"),"")</f>
        <v/>
      </c>
      <c r="M1486" s="52"/>
      <c r="N1486" s="52"/>
      <c r="O1486" s="1" t="n">
        <f aca="false">IF(M1486="Exclude (duplicate)",0,1)</f>
        <v>1</v>
      </c>
      <c r="P1486" s="1" t="str">
        <f aca="false">IF(AND(L1486&lt;&gt;"",M1486=""),"Needs decision","")</f>
        <v/>
      </c>
    </row>
    <row r="1487" customFormat="false" ht="15" hidden="false" customHeight="false" outlineLevel="0" collapsed="false">
      <c r="A1487" s="48" t="str">
        <f aca="false">COST!A1487</f>
        <v>QHH-0106</v>
      </c>
      <c r="B1487" s="48" t="str">
        <f aca="false">COST!B1487</f>
        <v>QHH</v>
      </c>
      <c r="C1487" s="48" t="str">
        <f aca="false">COST!D1487</f>
        <v>Grief Support Group</v>
      </c>
      <c r="D1487" s="62" t="n">
        <f aca="false">COST!M1487</f>
        <v>46002</v>
      </c>
      <c r="E1487" s="48" t="str">
        <f aca="false">COST!P1487</f>
        <v>Chaplain</v>
      </c>
      <c r="F1487" s="63" t="n">
        <f aca="false">COST!R1487</f>
        <v>2.5</v>
      </c>
      <c r="G1487" s="48" t="str">
        <f aca="false">STACK!M1487</f>
        <v/>
      </c>
      <c r="H1487" s="1" t="str">
        <f aca="false">C1487&amp;"|"&amp;IF(ISNUMBER(D1487),TEXT(D1487,"yyyy-mm-dd"),"no date")&amp;"|"&amp;E1487&amp;"|"&amp;IF(ISNUMBER(F1487),TEXT(F1487,"0.00"),"blank")</f>
        <v>Grief Support Group|2025-12-11|Chaplain|2.50</v>
      </c>
      <c r="I1487" s="1" t="n">
        <f aca="false">COUNTIF($H$5:$H$1624,H1487)</f>
        <v>1</v>
      </c>
      <c r="J1487" s="1" t="n">
        <f aca="false">COUNTIF($H$5:H1487,H1487)</f>
        <v>1</v>
      </c>
      <c r="K1487" s="1" t="n">
        <f aca="false">COUNTIFS($H$5:$H$1624,H1487,$B$5:$B$1624,"&lt;&gt;"&amp;B1487)</f>
        <v>0</v>
      </c>
      <c r="L1487" s="1" t="str">
        <f aca="false">IF(I1487&gt;1,IF(K1487&gt;0,"Cross-hospital match","Same-hospital match"),"")</f>
        <v/>
      </c>
      <c r="M1487" s="52"/>
      <c r="N1487" s="52"/>
      <c r="O1487" s="1" t="n">
        <f aca="false">IF(M1487="Exclude (duplicate)",0,1)</f>
        <v>1</v>
      </c>
      <c r="P1487" s="1" t="str">
        <f aca="false">IF(AND(L1487&lt;&gt;"",M1487=""),"Needs decision","")</f>
        <v/>
      </c>
    </row>
    <row r="1488" customFormat="false" ht="15" hidden="false" customHeight="false" outlineLevel="0" collapsed="false">
      <c r="A1488" s="48" t="str">
        <f aca="false">COST!A1488</f>
        <v>QHH-0107</v>
      </c>
      <c r="B1488" s="48" t="str">
        <f aca="false">COST!B1488</f>
        <v>QHH</v>
      </c>
      <c r="C1488" s="48" t="str">
        <f aca="false">COST!D1488</f>
        <v>Grief Support Group</v>
      </c>
      <c r="D1488" s="62" t="n">
        <f aca="false">COST!M1488</f>
        <v>46002</v>
      </c>
      <c r="E1488" s="48" t="str">
        <f aca="false">COST!P1488</f>
        <v>Social Worker</v>
      </c>
      <c r="F1488" s="63" t="n">
        <f aca="false">COST!R1488</f>
        <v>1.75</v>
      </c>
      <c r="G1488" s="48" t="str">
        <f aca="false">STACK!M1488</f>
        <v/>
      </c>
      <c r="H1488" s="1" t="str">
        <f aca="false">C1488&amp;"|"&amp;IF(ISNUMBER(D1488),TEXT(D1488,"yyyy-mm-dd"),"no date")&amp;"|"&amp;E1488&amp;"|"&amp;IF(ISNUMBER(F1488),TEXT(F1488,"0.00"),"blank")</f>
        <v>Grief Support Group|2025-12-11|Social Worker|1.75</v>
      </c>
      <c r="I1488" s="1" t="n">
        <f aca="false">COUNTIF($H$5:$H$1624,H1488)</f>
        <v>1</v>
      </c>
      <c r="J1488" s="1" t="n">
        <f aca="false">COUNTIF($H$5:H1488,H1488)</f>
        <v>1</v>
      </c>
      <c r="K1488" s="1" t="n">
        <f aca="false">COUNTIFS($H$5:$H$1624,H1488,$B$5:$B$1624,"&lt;&gt;"&amp;B1488)</f>
        <v>0</v>
      </c>
      <c r="L1488" s="1" t="str">
        <f aca="false">IF(I1488&gt;1,IF(K1488&gt;0,"Cross-hospital match","Same-hospital match"),"")</f>
        <v/>
      </c>
      <c r="M1488" s="52"/>
      <c r="N1488" s="52"/>
      <c r="O1488" s="1" t="n">
        <f aca="false">IF(M1488="Exclude (duplicate)",0,1)</f>
        <v>1</v>
      </c>
      <c r="P1488" s="1" t="str">
        <f aca="false">IF(AND(L1488&lt;&gt;"",M1488=""),"Needs decision","")</f>
        <v/>
      </c>
    </row>
    <row r="1489" customFormat="false" ht="15" hidden="false" customHeight="false" outlineLevel="0" collapsed="false">
      <c r="A1489" s="48" t="str">
        <f aca="false">COST!A1489</f>
        <v>QHH-0108</v>
      </c>
      <c r="B1489" s="48" t="str">
        <f aca="false">COST!B1489</f>
        <v>QHH</v>
      </c>
      <c r="C1489" s="48" t="str">
        <f aca="false">COST!D1489</f>
        <v>Free Sports Physicals</v>
      </c>
      <c r="D1489" s="62" t="n">
        <f aca="false">COST!M1489</f>
        <v>46002</v>
      </c>
      <c r="E1489" s="48" t="str">
        <f aca="false">COST!P1489</f>
        <v>Medical Assistant</v>
      </c>
      <c r="F1489" s="63" t="n">
        <f aca="false">COST!R1489</f>
        <v>4.5</v>
      </c>
      <c r="G1489" s="48" t="str">
        <f aca="false">STACK!M1489</f>
        <v/>
      </c>
      <c r="H1489" s="1" t="str">
        <f aca="false">C1489&amp;"|"&amp;IF(ISNUMBER(D1489),TEXT(D1489,"yyyy-mm-dd"),"no date")&amp;"|"&amp;E1489&amp;"|"&amp;IF(ISNUMBER(F1489),TEXT(F1489,"0.00"),"blank")</f>
        <v>Free Sports Physicals|2025-12-11|Medical Assistant|4.50</v>
      </c>
      <c r="I1489" s="1" t="n">
        <f aca="false">COUNTIF($H$5:$H$1624,H1489)</f>
        <v>1</v>
      </c>
      <c r="J1489" s="1" t="n">
        <f aca="false">COUNTIF($H$5:H1489,H1489)</f>
        <v>1</v>
      </c>
      <c r="K1489" s="1" t="n">
        <f aca="false">COUNTIFS($H$5:$H$1624,H1489,$B$5:$B$1624,"&lt;&gt;"&amp;B1489)</f>
        <v>0</v>
      </c>
      <c r="L1489" s="1" t="str">
        <f aca="false">IF(I1489&gt;1,IF(K1489&gt;0,"Cross-hospital match","Same-hospital match"),"")</f>
        <v/>
      </c>
      <c r="M1489" s="52"/>
      <c r="N1489" s="52"/>
      <c r="O1489" s="1" t="n">
        <f aca="false">IF(M1489="Exclude (duplicate)",0,1)</f>
        <v>1</v>
      </c>
      <c r="P1489" s="1" t="str">
        <f aca="false">IF(AND(L1489&lt;&gt;"",M1489=""),"Needs decision","")</f>
        <v/>
      </c>
    </row>
    <row r="1490" customFormat="false" ht="15" hidden="false" customHeight="false" outlineLevel="0" collapsed="false">
      <c r="A1490" s="48" t="str">
        <f aca="false">COST!A1490</f>
        <v>QHH-0109</v>
      </c>
      <c r="B1490" s="48" t="str">
        <f aca="false">COST!B1490</f>
        <v>QHH</v>
      </c>
      <c r="C1490" s="48" t="str">
        <f aca="false">COST!D1490</f>
        <v>Free Sports Physicals</v>
      </c>
      <c r="D1490" s="62" t="n">
        <f aca="false">COST!M1490</f>
        <v>46002</v>
      </c>
      <c r="E1490" s="48" t="str">
        <f aca="false">COST!P1490</f>
        <v>Nurse Practitioner</v>
      </c>
      <c r="F1490" s="63" t="n">
        <f aca="false">COST!R1490</f>
        <v>4.75</v>
      </c>
      <c r="G1490" s="48" t="str">
        <f aca="false">STACK!M1490</f>
        <v/>
      </c>
      <c r="H1490" s="1" t="str">
        <f aca="false">C1490&amp;"|"&amp;IF(ISNUMBER(D1490),TEXT(D1490,"yyyy-mm-dd"),"no date")&amp;"|"&amp;E1490&amp;"|"&amp;IF(ISNUMBER(F1490),TEXT(F1490,"0.00"),"blank")</f>
        <v>Free Sports Physicals|2025-12-11|Nurse Practitioner|4.75</v>
      </c>
      <c r="I1490" s="1" t="n">
        <f aca="false">COUNTIF($H$5:$H$1624,H1490)</f>
        <v>1</v>
      </c>
      <c r="J1490" s="1" t="n">
        <f aca="false">COUNTIF($H$5:H1490,H1490)</f>
        <v>1</v>
      </c>
      <c r="K1490" s="1" t="n">
        <f aca="false">COUNTIFS($H$5:$H$1624,H1490,$B$5:$B$1624,"&lt;&gt;"&amp;B1490)</f>
        <v>0</v>
      </c>
      <c r="L1490" s="1" t="str">
        <f aca="false">IF(I1490&gt;1,IF(K1490&gt;0,"Cross-hospital match","Same-hospital match"),"")</f>
        <v/>
      </c>
      <c r="M1490" s="52"/>
      <c r="N1490" s="52"/>
      <c r="O1490" s="1" t="n">
        <f aca="false">IF(M1490="Exclude (duplicate)",0,1)</f>
        <v>1</v>
      </c>
      <c r="P1490" s="1" t="str">
        <f aca="false">IF(AND(L1490&lt;&gt;"",M1490=""),"Needs decision","")</f>
        <v/>
      </c>
    </row>
    <row r="1491" customFormat="false" ht="15" hidden="false" customHeight="false" outlineLevel="0" collapsed="false">
      <c r="A1491" s="48" t="str">
        <f aca="false">COST!A1491</f>
        <v>QHH-0110</v>
      </c>
      <c r="B1491" s="48" t="str">
        <f aca="false">COST!B1491</f>
        <v>QHH</v>
      </c>
      <c r="C1491" s="48" t="str">
        <f aca="false">COST!D1491</f>
        <v>Free Sports Physicals</v>
      </c>
      <c r="D1491" s="62" t="n">
        <f aca="false">COST!M1491</f>
        <v>46002</v>
      </c>
      <c r="E1491" s="48" t="str">
        <f aca="false">COST!P1491</f>
        <v>Physician</v>
      </c>
      <c r="F1491" s="63" t="n">
        <f aca="false">COST!R1491</f>
        <v>4.25</v>
      </c>
      <c r="G1491" s="48" t="str">
        <f aca="false">STACK!M1491</f>
        <v/>
      </c>
      <c r="H1491" s="1" t="str">
        <f aca="false">C1491&amp;"|"&amp;IF(ISNUMBER(D1491),TEXT(D1491,"yyyy-mm-dd"),"no date")&amp;"|"&amp;E1491&amp;"|"&amp;IF(ISNUMBER(F1491),TEXT(F1491,"0.00"),"blank")</f>
        <v>Free Sports Physicals|2025-12-11|Physician|4.25</v>
      </c>
      <c r="I1491" s="1" t="n">
        <f aca="false">COUNTIF($H$5:$H$1624,H1491)</f>
        <v>1</v>
      </c>
      <c r="J1491" s="1" t="n">
        <f aca="false">COUNTIF($H$5:H1491,H1491)</f>
        <v>1</v>
      </c>
      <c r="K1491" s="1" t="n">
        <f aca="false">COUNTIFS($H$5:$H$1624,H1491,$B$5:$B$1624,"&lt;&gt;"&amp;B1491)</f>
        <v>0</v>
      </c>
      <c r="L1491" s="1" t="str">
        <f aca="false">IF(I1491&gt;1,IF(K1491&gt;0,"Cross-hospital match","Same-hospital match"),"")</f>
        <v/>
      </c>
      <c r="M1491" s="52"/>
      <c r="N1491" s="52"/>
      <c r="O1491" s="1" t="n">
        <f aca="false">IF(M1491="Exclude (duplicate)",0,1)</f>
        <v>1</v>
      </c>
      <c r="P1491" s="1" t="str">
        <f aca="false">IF(AND(L1491&lt;&gt;"",M1491=""),"Needs decision","")</f>
        <v/>
      </c>
    </row>
    <row r="1492" customFormat="false" ht="15" hidden="false" customHeight="false" outlineLevel="0" collapsed="false">
      <c r="A1492" s="48" t="str">
        <f aca="false">COST!A1492</f>
        <v>QHH-0111</v>
      </c>
      <c r="B1492" s="48" t="str">
        <f aca="false">COST!B1492</f>
        <v>QHH</v>
      </c>
      <c r="C1492" s="48" t="str">
        <f aca="false">COST!D1492</f>
        <v>Grief Support Group</v>
      </c>
      <c r="D1492" s="62" t="n">
        <f aca="false">COST!M1492</f>
        <v>46007</v>
      </c>
      <c r="E1492" s="48" t="str">
        <f aca="false">COST!P1492</f>
        <v>Chaplain</v>
      </c>
      <c r="F1492" s="63" t="n">
        <f aca="false">COST!R1492</f>
        <v>2</v>
      </c>
      <c r="G1492" s="48" t="str">
        <f aca="false">STACK!M1492</f>
        <v/>
      </c>
      <c r="H1492" s="1" t="str">
        <f aca="false">C1492&amp;"|"&amp;IF(ISNUMBER(D1492),TEXT(D1492,"yyyy-mm-dd"),"no date")&amp;"|"&amp;E1492&amp;"|"&amp;IF(ISNUMBER(F1492),TEXT(F1492,"0.00"),"blank")</f>
        <v>Grief Support Group|2025-12-16|Chaplain|2.00</v>
      </c>
      <c r="I1492" s="1" t="n">
        <f aca="false">COUNTIF($H$5:$H$1624,H1492)</f>
        <v>1</v>
      </c>
      <c r="J1492" s="1" t="n">
        <f aca="false">COUNTIF($H$5:H1492,H1492)</f>
        <v>1</v>
      </c>
      <c r="K1492" s="1" t="n">
        <f aca="false">COUNTIFS($H$5:$H$1624,H1492,$B$5:$B$1624,"&lt;&gt;"&amp;B1492)</f>
        <v>0</v>
      </c>
      <c r="L1492" s="1" t="str">
        <f aca="false">IF(I1492&gt;1,IF(K1492&gt;0,"Cross-hospital match","Same-hospital match"),"")</f>
        <v/>
      </c>
      <c r="M1492" s="52"/>
      <c r="N1492" s="52"/>
      <c r="O1492" s="1" t="n">
        <f aca="false">IF(M1492="Exclude (duplicate)",0,1)</f>
        <v>1</v>
      </c>
      <c r="P1492" s="1" t="str">
        <f aca="false">IF(AND(L1492&lt;&gt;"",M1492=""),"Needs decision","")</f>
        <v/>
      </c>
    </row>
    <row r="1493" customFormat="false" ht="15" hidden="false" customHeight="false" outlineLevel="0" collapsed="false">
      <c r="A1493" s="48" t="str">
        <f aca="false">COST!A1493</f>
        <v>QHH-0112</v>
      </c>
      <c r="B1493" s="48" t="str">
        <f aca="false">COST!B1493</f>
        <v>QHH</v>
      </c>
      <c r="C1493" s="48" t="str">
        <f aca="false">COST!D1493</f>
        <v>Grief Support Group</v>
      </c>
      <c r="D1493" s="62" t="n">
        <f aca="false">COST!M1493</f>
        <v>46007</v>
      </c>
      <c r="E1493" s="48" t="str">
        <f aca="false">COST!P1493</f>
        <v>Social Worker</v>
      </c>
      <c r="F1493" s="63" t="n">
        <f aca="false">COST!R1493</f>
        <v>1.75</v>
      </c>
      <c r="G1493" s="48" t="str">
        <f aca="false">STACK!M1493</f>
        <v/>
      </c>
      <c r="H1493" s="1" t="str">
        <f aca="false">C1493&amp;"|"&amp;IF(ISNUMBER(D1493),TEXT(D1493,"yyyy-mm-dd"),"no date")&amp;"|"&amp;E1493&amp;"|"&amp;IF(ISNUMBER(F1493),TEXT(F1493,"0.00"),"blank")</f>
        <v>Grief Support Group|2025-12-16|Social Worker|1.75</v>
      </c>
      <c r="I1493" s="1" t="n">
        <f aca="false">COUNTIF($H$5:$H$1624,H1493)</f>
        <v>1</v>
      </c>
      <c r="J1493" s="1" t="n">
        <f aca="false">COUNTIF($H$5:H1493,H1493)</f>
        <v>1</v>
      </c>
      <c r="K1493" s="1" t="n">
        <f aca="false">COUNTIFS($H$5:$H$1624,H1493,$B$5:$B$1624,"&lt;&gt;"&amp;B1493)</f>
        <v>0</v>
      </c>
      <c r="L1493" s="1" t="str">
        <f aca="false">IF(I1493&gt;1,IF(K1493&gt;0,"Cross-hospital match","Same-hospital match"),"")</f>
        <v/>
      </c>
      <c r="M1493" s="52"/>
      <c r="N1493" s="52"/>
      <c r="O1493" s="1" t="n">
        <f aca="false">IF(M1493="Exclude (duplicate)",0,1)</f>
        <v>1</v>
      </c>
      <c r="P1493" s="1" t="str">
        <f aca="false">IF(AND(L1493&lt;&gt;"",M1493=""),"Needs decision","")</f>
        <v/>
      </c>
    </row>
    <row r="1494" customFormat="false" ht="15" hidden="false" customHeight="false" outlineLevel="0" collapsed="false">
      <c r="A1494" s="48" t="str">
        <f aca="false">COST!A1494</f>
        <v>QHH-0113</v>
      </c>
      <c r="B1494" s="48" t="str">
        <f aca="false">COST!B1494</f>
        <v>QHH</v>
      </c>
      <c r="C1494" s="48" t="str">
        <f aca="false">COST!D1494</f>
        <v>Grief Support Group</v>
      </c>
      <c r="D1494" s="62" t="n">
        <f aca="false">COST!M1494</f>
        <v>46011</v>
      </c>
      <c r="E1494" s="48" t="str">
        <f aca="false">COST!P1494</f>
        <v>Chaplain</v>
      </c>
      <c r="F1494" s="63" t="n">
        <f aca="false">COST!R1494</f>
        <v>2</v>
      </c>
      <c r="G1494" s="48" t="str">
        <f aca="false">STACK!M1494</f>
        <v/>
      </c>
      <c r="H1494" s="1" t="str">
        <f aca="false">C1494&amp;"|"&amp;IF(ISNUMBER(D1494),TEXT(D1494,"yyyy-mm-dd"),"no date")&amp;"|"&amp;E1494&amp;"|"&amp;IF(ISNUMBER(F1494),TEXT(F1494,"0.00"),"blank")</f>
        <v>Grief Support Group|2025-12-20|Chaplain|2.00</v>
      </c>
      <c r="I1494" s="1" t="n">
        <f aca="false">COUNTIF($H$5:$H$1624,H1494)</f>
        <v>1</v>
      </c>
      <c r="J1494" s="1" t="n">
        <f aca="false">COUNTIF($H$5:H1494,H1494)</f>
        <v>1</v>
      </c>
      <c r="K1494" s="1" t="n">
        <f aca="false">COUNTIFS($H$5:$H$1624,H1494,$B$5:$B$1624,"&lt;&gt;"&amp;B1494)</f>
        <v>0</v>
      </c>
      <c r="L1494" s="1" t="str">
        <f aca="false">IF(I1494&gt;1,IF(K1494&gt;0,"Cross-hospital match","Same-hospital match"),"")</f>
        <v/>
      </c>
      <c r="M1494" s="52"/>
      <c r="N1494" s="52"/>
      <c r="O1494" s="1" t="n">
        <f aca="false">IF(M1494="Exclude (duplicate)",0,1)</f>
        <v>1</v>
      </c>
      <c r="P1494" s="1" t="str">
        <f aca="false">IF(AND(L1494&lt;&gt;"",M1494=""),"Needs decision","")</f>
        <v/>
      </c>
    </row>
    <row r="1495" customFormat="false" ht="15" hidden="false" customHeight="false" outlineLevel="0" collapsed="false">
      <c r="A1495" s="48" t="str">
        <f aca="false">COST!A1495</f>
        <v>QHH-0114</v>
      </c>
      <c r="B1495" s="48" t="str">
        <f aca="false">COST!B1495</f>
        <v>QHH</v>
      </c>
      <c r="C1495" s="48" t="str">
        <f aca="false">COST!D1495</f>
        <v>Grief Support Group</v>
      </c>
      <c r="D1495" s="62" t="n">
        <f aca="false">COST!M1495</f>
        <v>46011</v>
      </c>
      <c r="E1495" s="48" t="str">
        <f aca="false">COST!P1495</f>
        <v>Social Worker</v>
      </c>
      <c r="F1495" s="63" t="n">
        <f aca="false">COST!R1495</f>
        <v>1.75</v>
      </c>
      <c r="G1495" s="48" t="str">
        <f aca="false">STACK!M1495</f>
        <v/>
      </c>
      <c r="H1495" s="1" t="str">
        <f aca="false">C1495&amp;"|"&amp;IF(ISNUMBER(D1495),TEXT(D1495,"yyyy-mm-dd"),"no date")&amp;"|"&amp;E1495&amp;"|"&amp;IF(ISNUMBER(F1495),TEXT(F1495,"0.00"),"blank")</f>
        <v>Grief Support Group|2025-12-20|Social Worker|1.75</v>
      </c>
      <c r="I1495" s="1" t="n">
        <f aca="false">COUNTIF($H$5:$H$1624,H1495)</f>
        <v>1</v>
      </c>
      <c r="J1495" s="1" t="n">
        <f aca="false">COUNTIF($H$5:H1495,H1495)</f>
        <v>1</v>
      </c>
      <c r="K1495" s="1" t="n">
        <f aca="false">COUNTIFS($H$5:$H$1624,H1495,$B$5:$B$1624,"&lt;&gt;"&amp;B1495)</f>
        <v>0</v>
      </c>
      <c r="L1495" s="1" t="str">
        <f aca="false">IF(I1495&gt;1,IF(K1495&gt;0,"Cross-hospital match","Same-hospital match"),"")</f>
        <v/>
      </c>
      <c r="M1495" s="52"/>
      <c r="N1495" s="52"/>
      <c r="O1495" s="1" t="n">
        <f aca="false">IF(M1495="Exclude (duplicate)",0,1)</f>
        <v>1</v>
      </c>
      <c r="P1495" s="1" t="str">
        <f aca="false">IF(AND(L1495&lt;&gt;"",M1495=""),"Needs decision","")</f>
        <v/>
      </c>
    </row>
    <row r="1496" customFormat="false" ht="15" hidden="false" customHeight="false" outlineLevel="0" collapsed="false">
      <c r="A1496" s="48" t="str">
        <f aca="false">COST!A1496</f>
        <v>QHH-0115</v>
      </c>
      <c r="B1496" s="48" t="str">
        <f aca="false">COST!B1496</f>
        <v>QHH</v>
      </c>
      <c r="C1496" s="48" t="str">
        <f aca="false">COST!D1496</f>
        <v>Regional Food Bank Contribution</v>
      </c>
      <c r="D1496" s="62" t="n">
        <f aca="false">COST!M1496</f>
        <v>46014</v>
      </c>
      <c r="E1496" s="48" t="str">
        <f aca="false">COST!P1496</f>
        <v>No staff time</v>
      </c>
      <c r="F1496" s="63" t="n">
        <f aca="false">COST!R1496</f>
        <v>0</v>
      </c>
      <c r="G1496" s="48" t="str">
        <f aca="false">STACK!M1496</f>
        <v/>
      </c>
      <c r="H1496" s="1" t="str">
        <f aca="false">C1496&amp;"|"&amp;IF(ISNUMBER(D1496),TEXT(D1496,"yyyy-mm-dd"),"no date")&amp;"|"&amp;E1496&amp;"|"&amp;IF(ISNUMBER(F1496),TEXT(F1496,"0.00"),"blank")</f>
        <v>Regional Food Bank Contribution|2025-12-23|No staff time|0.00</v>
      </c>
      <c r="I1496" s="1" t="n">
        <f aca="false">COUNTIF($H$5:$H$1624,H1496)</f>
        <v>1</v>
      </c>
      <c r="J1496" s="1" t="n">
        <f aca="false">COUNTIF($H$5:H1496,H1496)</f>
        <v>1</v>
      </c>
      <c r="K1496" s="1" t="n">
        <f aca="false">COUNTIFS($H$5:$H$1624,H1496,$B$5:$B$1624,"&lt;&gt;"&amp;B1496)</f>
        <v>0</v>
      </c>
      <c r="L1496" s="1" t="str">
        <f aca="false">IF(I1496&gt;1,IF(K1496&gt;0,"Cross-hospital match","Same-hospital match"),"")</f>
        <v/>
      </c>
      <c r="M1496" s="52"/>
      <c r="N1496" s="52"/>
      <c r="O1496" s="1" t="n">
        <f aca="false">IF(M1496="Exclude (duplicate)",0,1)</f>
        <v>1</v>
      </c>
      <c r="P1496" s="1" t="str">
        <f aca="false">IF(AND(L1496&lt;&gt;"",M1496=""),"Needs decision","")</f>
        <v/>
      </c>
    </row>
    <row r="1497" customFormat="false" ht="15" hidden="false" customHeight="false" outlineLevel="0" collapsed="false">
      <c r="A1497" s="48" t="str">
        <f aca="false">COST!A1497</f>
        <v>QHH-0116</v>
      </c>
      <c r="B1497" s="48" t="str">
        <f aca="false">COST!B1497</f>
        <v>QHH</v>
      </c>
      <c r="C1497" s="48" t="str">
        <f aca="false">COST!D1497</f>
        <v>Youth Health Careers Pathway</v>
      </c>
      <c r="D1497" s="62" t="n">
        <f aca="false">COST!M1497</f>
        <v>46017</v>
      </c>
      <c r="E1497" s="48" t="str">
        <f aca="false">COST!P1497</f>
        <v>Clinical Nurse Educator</v>
      </c>
      <c r="F1497" s="63" t="n">
        <f aca="false">COST!R1497</f>
        <v>5</v>
      </c>
      <c r="G1497" s="48" t="str">
        <f aca="false">STACK!M1497</f>
        <v/>
      </c>
      <c r="H1497" s="1" t="str">
        <f aca="false">C1497&amp;"|"&amp;IF(ISNUMBER(D1497),TEXT(D1497,"yyyy-mm-dd"),"no date")&amp;"|"&amp;E1497&amp;"|"&amp;IF(ISNUMBER(F1497),TEXT(F1497,"0.00"),"blank")</f>
        <v>Youth Health Careers Pathway|2025-12-26|Clinical Nurse Educator|5.00</v>
      </c>
      <c r="I1497" s="1" t="n">
        <f aca="false">COUNTIF($H$5:$H$1624,H1497)</f>
        <v>1</v>
      </c>
      <c r="J1497" s="1" t="n">
        <f aca="false">COUNTIF($H$5:H1497,H1497)</f>
        <v>1</v>
      </c>
      <c r="K1497" s="1" t="n">
        <f aca="false">COUNTIFS($H$5:$H$1624,H1497,$B$5:$B$1624,"&lt;&gt;"&amp;B1497)</f>
        <v>0</v>
      </c>
      <c r="L1497" s="1" t="str">
        <f aca="false">IF(I1497&gt;1,IF(K1497&gt;0,"Cross-hospital match","Same-hospital match"),"")</f>
        <v/>
      </c>
      <c r="M1497" s="52"/>
      <c r="N1497" s="52"/>
      <c r="O1497" s="1" t="n">
        <f aca="false">IF(M1497="Exclude (duplicate)",0,1)</f>
        <v>1</v>
      </c>
      <c r="P1497" s="1" t="str">
        <f aca="false">IF(AND(L1497&lt;&gt;"",M1497=""),"Needs decision","")</f>
        <v/>
      </c>
    </row>
    <row r="1498" customFormat="false" ht="15" hidden="false" customHeight="false" outlineLevel="0" collapsed="false">
      <c r="A1498" s="48" t="str">
        <f aca="false">COST!A1498</f>
        <v>QHH-0117</v>
      </c>
      <c r="B1498" s="48" t="str">
        <f aca="false">COST!B1498</f>
        <v>QHH</v>
      </c>
      <c r="C1498" s="48" t="str">
        <f aca="false">COST!D1498</f>
        <v>Youth Health Careers Pathway</v>
      </c>
      <c r="D1498" s="62" t="n">
        <f aca="false">COST!M1498</f>
        <v>46017</v>
      </c>
      <c r="E1498" s="48" t="str">
        <f aca="false">COST!P1498</f>
        <v>Program Coordinator</v>
      </c>
      <c r="F1498" s="63" t="n">
        <f aca="false">COST!R1498</f>
        <v>6.5</v>
      </c>
      <c r="G1498" s="48" t="str">
        <f aca="false">STACK!M1498</f>
        <v/>
      </c>
      <c r="H1498" s="1" t="str">
        <f aca="false">C1498&amp;"|"&amp;IF(ISNUMBER(D1498),TEXT(D1498,"yyyy-mm-dd"),"no date")&amp;"|"&amp;E1498&amp;"|"&amp;IF(ISNUMBER(F1498),TEXT(F1498,"0.00"),"blank")</f>
        <v>Youth Health Careers Pathway|2025-12-26|Program Coordinator|6.50</v>
      </c>
      <c r="I1498" s="1" t="n">
        <f aca="false">COUNTIF($H$5:$H$1624,H1498)</f>
        <v>1</v>
      </c>
      <c r="J1498" s="1" t="n">
        <f aca="false">COUNTIF($H$5:H1498,H1498)</f>
        <v>1</v>
      </c>
      <c r="K1498" s="1" t="n">
        <f aca="false">COUNTIFS($H$5:$H$1624,H1498,$B$5:$B$1624,"&lt;&gt;"&amp;B1498)</f>
        <v>0</v>
      </c>
      <c r="L1498" s="1" t="str">
        <f aca="false">IF(I1498&gt;1,IF(K1498&gt;0,"Cross-hospital match","Same-hospital match"),"")</f>
        <v/>
      </c>
      <c r="M1498" s="52"/>
      <c r="N1498" s="52"/>
      <c r="O1498" s="1" t="n">
        <f aca="false">IF(M1498="Exclude (duplicate)",0,1)</f>
        <v>1</v>
      </c>
      <c r="P1498" s="1" t="str">
        <f aca="false">IF(AND(L1498&lt;&gt;"",M1498=""),"Needs decision","")</f>
        <v/>
      </c>
    </row>
    <row r="1499" customFormat="false" ht="15" hidden="false" customHeight="false" outlineLevel="0" collapsed="false">
      <c r="A1499" s="48" t="str">
        <f aca="false">COST!A1499</f>
        <v>QHH-0118</v>
      </c>
      <c r="B1499" s="48" t="str">
        <f aca="false">COST!B1499</f>
        <v>QHH</v>
      </c>
      <c r="C1499" s="48" t="str">
        <f aca="false">COST!D1499</f>
        <v>Diabetes Prevention Classes</v>
      </c>
      <c r="D1499" s="62" t="n">
        <f aca="false">COST!M1499</f>
        <v>46018</v>
      </c>
      <c r="E1499" s="48" t="str">
        <f aca="false">COST!P1499</f>
        <v>Health Educator</v>
      </c>
      <c r="F1499" s="63" t="n">
        <f aca="false">COST!R1499</f>
        <v>3</v>
      </c>
      <c r="G1499" s="48" t="str">
        <f aca="false">STACK!M1499</f>
        <v/>
      </c>
      <c r="H1499" s="1" t="str">
        <f aca="false">C1499&amp;"|"&amp;IF(ISNUMBER(D1499),TEXT(D1499,"yyyy-mm-dd"),"no date")&amp;"|"&amp;E1499&amp;"|"&amp;IF(ISNUMBER(F1499),TEXT(F1499,"0.00"),"blank")</f>
        <v>Diabetes Prevention Classes|2025-12-27|Health Educator|3.00</v>
      </c>
      <c r="I1499" s="1" t="n">
        <f aca="false">COUNTIF($H$5:$H$1624,H1499)</f>
        <v>1</v>
      </c>
      <c r="J1499" s="1" t="n">
        <f aca="false">COUNTIF($H$5:H1499,H1499)</f>
        <v>1</v>
      </c>
      <c r="K1499" s="1" t="n">
        <f aca="false">COUNTIFS($H$5:$H$1624,H1499,$B$5:$B$1624,"&lt;&gt;"&amp;B1499)</f>
        <v>0</v>
      </c>
      <c r="L1499" s="1" t="str">
        <f aca="false">IF(I1499&gt;1,IF(K1499&gt;0,"Cross-hospital match","Same-hospital match"),"")</f>
        <v/>
      </c>
      <c r="M1499" s="52"/>
      <c r="N1499" s="52"/>
      <c r="O1499" s="1" t="n">
        <f aca="false">IF(M1499="Exclude (duplicate)",0,1)</f>
        <v>1</v>
      </c>
      <c r="P1499" s="1" t="str">
        <f aca="false">IF(AND(L1499&lt;&gt;"",M1499=""),"Needs decision","")</f>
        <v/>
      </c>
    </row>
    <row r="1500" customFormat="false" ht="15" hidden="false" customHeight="false" outlineLevel="0" collapsed="false">
      <c r="A1500" s="48" t="str">
        <f aca="false">COST!A1500</f>
        <v>QHH-0119</v>
      </c>
      <c r="B1500" s="48" t="str">
        <f aca="false">COST!B1500</f>
        <v>QHH</v>
      </c>
      <c r="C1500" s="48" t="str">
        <f aca="false">COST!D1500</f>
        <v>Diabetes Prevention Classes</v>
      </c>
      <c r="D1500" s="62" t="n">
        <f aca="false">COST!M1500</f>
        <v>46018</v>
      </c>
      <c r="E1500" s="48" t="str">
        <f aca="false">COST!P1500</f>
        <v>Registered Dietitian</v>
      </c>
      <c r="F1500" s="63" t="n">
        <f aca="false">COST!R1500</f>
        <v>2</v>
      </c>
      <c r="G1500" s="48" t="str">
        <f aca="false">STACK!M1500</f>
        <v/>
      </c>
      <c r="H1500" s="1" t="str">
        <f aca="false">C1500&amp;"|"&amp;IF(ISNUMBER(D1500),TEXT(D1500,"yyyy-mm-dd"),"no date")&amp;"|"&amp;E1500&amp;"|"&amp;IF(ISNUMBER(F1500),TEXT(F1500,"0.00"),"blank")</f>
        <v>Diabetes Prevention Classes|2025-12-27|Registered Dietitian|2.00</v>
      </c>
      <c r="I1500" s="1" t="n">
        <f aca="false">COUNTIF($H$5:$H$1624,H1500)</f>
        <v>1</v>
      </c>
      <c r="J1500" s="1" t="n">
        <f aca="false">COUNTIF($H$5:H1500,H1500)</f>
        <v>1</v>
      </c>
      <c r="K1500" s="1" t="n">
        <f aca="false">COUNTIFS($H$5:$H$1624,H1500,$B$5:$B$1624,"&lt;&gt;"&amp;B1500)</f>
        <v>0</v>
      </c>
      <c r="L1500" s="1" t="str">
        <f aca="false">IF(I1500&gt;1,IF(K1500&gt;0,"Cross-hospital match","Same-hospital match"),"")</f>
        <v/>
      </c>
      <c r="M1500" s="52"/>
      <c r="N1500" s="52"/>
      <c r="O1500" s="1" t="n">
        <f aca="false">IF(M1500="Exclude (duplicate)",0,1)</f>
        <v>1</v>
      </c>
      <c r="P1500" s="1" t="str">
        <f aca="false">IF(AND(L1500&lt;&gt;"",M1500=""),"Needs decision","")</f>
        <v/>
      </c>
    </row>
    <row r="1501" customFormat="false" ht="15" hidden="false" customHeight="false" outlineLevel="0" collapsed="false">
      <c r="A1501" s="48" t="str">
        <f aca="false">COST!A1501</f>
        <v>QHH-0120</v>
      </c>
      <c r="B1501" s="48" t="str">
        <f aca="false">COST!B1501</f>
        <v>QHH</v>
      </c>
      <c r="C1501" s="48" t="str">
        <f aca="false">COST!D1501</f>
        <v>Fall Prevention Classes for Older Adults</v>
      </c>
      <c r="D1501" s="62" t="n">
        <f aca="false">COST!M1501</f>
        <v>46018</v>
      </c>
      <c r="E1501" s="48" t="str">
        <f aca="false">COST!P1501</f>
        <v>Licensed Therapist</v>
      </c>
      <c r="F1501" s="63" t="n">
        <f aca="false">COST!R1501</f>
        <v>2</v>
      </c>
      <c r="G1501" s="48" t="str">
        <f aca="false">STACK!M1501</f>
        <v/>
      </c>
      <c r="H1501" s="1" t="str">
        <f aca="false">C1501&amp;"|"&amp;IF(ISNUMBER(D1501),TEXT(D1501,"yyyy-mm-dd"),"no date")&amp;"|"&amp;E1501&amp;"|"&amp;IF(ISNUMBER(F1501),TEXT(F1501,"0.00"),"blank")</f>
        <v>Fall Prevention Classes for Older Adults|2025-12-27|Licensed Therapist|2.00</v>
      </c>
      <c r="I1501" s="1" t="n">
        <f aca="false">COUNTIF($H$5:$H$1624,H1501)</f>
        <v>1</v>
      </c>
      <c r="J1501" s="1" t="n">
        <f aca="false">COUNTIF($H$5:H1501,H1501)</f>
        <v>1</v>
      </c>
      <c r="K1501" s="1" t="n">
        <f aca="false">COUNTIFS($H$5:$H$1624,H1501,$B$5:$B$1624,"&lt;&gt;"&amp;B1501)</f>
        <v>0</v>
      </c>
      <c r="L1501" s="1" t="str">
        <f aca="false">IF(I1501&gt;1,IF(K1501&gt;0,"Cross-hospital match","Same-hospital match"),"")</f>
        <v/>
      </c>
      <c r="M1501" s="52"/>
      <c r="N1501" s="52"/>
      <c r="O1501" s="1" t="n">
        <f aca="false">IF(M1501="Exclude (duplicate)",0,1)</f>
        <v>1</v>
      </c>
      <c r="P1501" s="1" t="str">
        <f aca="false">IF(AND(L1501&lt;&gt;"",M1501=""),"Needs decision","")</f>
        <v/>
      </c>
    </row>
    <row r="1502" customFormat="false" ht="15" hidden="false" customHeight="false" outlineLevel="0" collapsed="false">
      <c r="A1502" s="48" t="str">
        <f aca="false">COST!A1502</f>
        <v>QHH-0121</v>
      </c>
      <c r="B1502" s="48" t="str">
        <f aca="false">COST!B1502</f>
        <v>QHH</v>
      </c>
      <c r="C1502" s="48" t="str">
        <f aca="false">COST!D1502</f>
        <v>Community Blood Pressure Checks</v>
      </c>
      <c r="D1502" s="62" t="n">
        <f aca="false">COST!M1502</f>
        <v>46021</v>
      </c>
      <c r="E1502" s="48" t="str">
        <f aca="false">COST!P1502</f>
        <v>Registered Nurse</v>
      </c>
      <c r="F1502" s="63" t="n">
        <f aca="false">COST!R1502</f>
        <v>3.25</v>
      </c>
      <c r="G1502" s="48" t="str">
        <f aca="false">STACK!M1502</f>
        <v/>
      </c>
      <c r="H1502" s="1" t="str">
        <f aca="false">C1502&amp;"|"&amp;IF(ISNUMBER(D1502),TEXT(D1502,"yyyy-mm-dd"),"no date")&amp;"|"&amp;E1502&amp;"|"&amp;IF(ISNUMBER(F1502),TEXT(F1502,"0.00"),"blank")</f>
        <v>Community Blood Pressure Checks|2025-12-30|Registered Nurse|3.25</v>
      </c>
      <c r="I1502" s="1" t="n">
        <f aca="false">COUNTIF($H$5:$H$1624,H1502)</f>
        <v>1</v>
      </c>
      <c r="J1502" s="1" t="n">
        <f aca="false">COUNTIF($H$5:H1502,H1502)</f>
        <v>1</v>
      </c>
      <c r="K1502" s="1" t="n">
        <f aca="false">COUNTIFS($H$5:$H$1624,H1502,$B$5:$B$1624,"&lt;&gt;"&amp;B1502)</f>
        <v>0</v>
      </c>
      <c r="L1502" s="1" t="str">
        <f aca="false">IF(I1502&gt;1,IF(K1502&gt;0,"Cross-hospital match","Same-hospital match"),"")</f>
        <v/>
      </c>
      <c r="M1502" s="52"/>
      <c r="N1502" s="52"/>
      <c r="O1502" s="1" t="n">
        <f aca="false">IF(M1502="Exclude (duplicate)",0,1)</f>
        <v>1</v>
      </c>
      <c r="P1502" s="1" t="str">
        <f aca="false">IF(AND(L1502&lt;&gt;"",M1502=""),"Needs decision","")</f>
        <v/>
      </c>
    </row>
    <row r="1503" customFormat="false" ht="15" hidden="false" customHeight="false" outlineLevel="0" collapsed="false">
      <c r="A1503" s="48" t="str">
        <f aca="false">COST!A1503</f>
        <v>QHH-0122</v>
      </c>
      <c r="B1503" s="48" t="str">
        <f aca="false">COST!B1503</f>
        <v>QHH</v>
      </c>
      <c r="C1503" s="48" t="str">
        <f aca="false">COST!D1503</f>
        <v>Medication Assistance Program</v>
      </c>
      <c r="D1503" s="62" t="n">
        <f aca="false">COST!M1503</f>
        <v>46022</v>
      </c>
      <c r="E1503" s="48" t="str">
        <f aca="false">COST!P1503</f>
        <v>Patient Navigator</v>
      </c>
      <c r="F1503" s="63" t="n">
        <f aca="false">COST!R1503</f>
        <v>72.25</v>
      </c>
      <c r="G1503" s="48" t="str">
        <f aca="false">STACK!M1503</f>
        <v/>
      </c>
      <c r="H1503" s="1" t="str">
        <f aca="false">C1503&amp;"|"&amp;IF(ISNUMBER(D1503),TEXT(D1503,"yyyy-mm-dd"),"no date")&amp;"|"&amp;E1503&amp;"|"&amp;IF(ISNUMBER(F1503),TEXT(F1503,"0.00"),"blank")</f>
        <v>Medication Assistance Program|2025-12-31|Patient Navigator|72.25</v>
      </c>
      <c r="I1503" s="1" t="n">
        <f aca="false">COUNTIF($H$5:$H$1624,H1503)</f>
        <v>1</v>
      </c>
      <c r="J1503" s="1" t="n">
        <f aca="false">COUNTIF($H$5:H1503,H1503)</f>
        <v>1</v>
      </c>
      <c r="K1503" s="1" t="n">
        <f aca="false">COUNTIFS($H$5:$H$1624,H1503,$B$5:$B$1624,"&lt;&gt;"&amp;B1503)</f>
        <v>0</v>
      </c>
      <c r="L1503" s="1" t="str">
        <f aca="false">IF(I1503&gt;1,IF(K1503&gt;0,"Cross-hospital match","Same-hospital match"),"")</f>
        <v/>
      </c>
      <c r="M1503" s="52"/>
      <c r="N1503" s="52"/>
      <c r="O1503" s="1" t="n">
        <f aca="false">IF(M1503="Exclude (duplicate)",0,1)</f>
        <v>1</v>
      </c>
      <c r="P1503" s="1" t="str">
        <f aca="false">IF(AND(L1503&lt;&gt;"",M1503=""),"Needs decision","")</f>
        <v/>
      </c>
    </row>
    <row r="1504" customFormat="false" ht="15" hidden="false" customHeight="false" outlineLevel="0" collapsed="false">
      <c r="A1504" s="48" t="str">
        <f aca="false">COST!A1504</f>
        <v>QHH-0123</v>
      </c>
      <c r="B1504" s="48" t="str">
        <f aca="false">COST!B1504</f>
        <v>QHH</v>
      </c>
      <c r="C1504" s="48" t="str">
        <f aca="false">COST!D1504</f>
        <v>Medication Assistance Program</v>
      </c>
      <c r="D1504" s="62" t="n">
        <f aca="false">COST!M1504</f>
        <v>46022</v>
      </c>
      <c r="E1504" s="48" t="str">
        <f aca="false">COST!P1504</f>
        <v>Pharmacist</v>
      </c>
      <c r="F1504" s="63" t="n">
        <f aca="false">COST!R1504</f>
        <v>19.75</v>
      </c>
      <c r="G1504" s="48" t="str">
        <f aca="false">STACK!M1504</f>
        <v/>
      </c>
      <c r="H1504" s="1" t="str">
        <f aca="false">C1504&amp;"|"&amp;IF(ISNUMBER(D1504),TEXT(D1504,"yyyy-mm-dd"),"no date")&amp;"|"&amp;E1504&amp;"|"&amp;IF(ISNUMBER(F1504),TEXT(F1504,"0.00"),"blank")</f>
        <v>Medication Assistance Program|2025-12-31|Pharmacist|19.75</v>
      </c>
      <c r="I1504" s="1" t="n">
        <f aca="false">COUNTIF($H$5:$H$1624,H1504)</f>
        <v>1</v>
      </c>
      <c r="J1504" s="1" t="n">
        <f aca="false">COUNTIF($H$5:H1504,H1504)</f>
        <v>1</v>
      </c>
      <c r="K1504" s="1" t="n">
        <f aca="false">COUNTIFS($H$5:$H$1624,H1504,$B$5:$B$1624,"&lt;&gt;"&amp;B1504)</f>
        <v>0</v>
      </c>
      <c r="L1504" s="1" t="str">
        <f aca="false">IF(I1504&gt;1,IF(K1504&gt;0,"Cross-hospital match","Same-hospital match"),"")</f>
        <v/>
      </c>
      <c r="M1504" s="52"/>
      <c r="N1504" s="52"/>
      <c r="O1504" s="1" t="n">
        <f aca="false">IF(M1504="Exclude (duplicate)",0,1)</f>
        <v>1</v>
      </c>
      <c r="P1504" s="1" t="str">
        <f aca="false">IF(AND(L1504&lt;&gt;"",M1504=""),"Needs decision","")</f>
        <v/>
      </c>
    </row>
    <row r="1505" customFormat="false" ht="15" hidden="false" customHeight="false" outlineLevel="0" collapsed="false">
      <c r="A1505" s="48" t="str">
        <f aca="false">COST!A1505</f>
        <v>QHH-0124</v>
      </c>
      <c r="B1505" s="48" t="str">
        <f aca="false">COST!B1505</f>
        <v>QHH</v>
      </c>
      <c r="C1505" s="48" t="str">
        <f aca="false">COST!D1505</f>
        <v>Community Benefit Program Administration</v>
      </c>
      <c r="D1505" s="62" t="n">
        <f aca="false">COST!M1505</f>
        <v>46022</v>
      </c>
      <c r="E1505" s="48" t="str">
        <f aca="false">COST!P1505</f>
        <v>Administrative Assistant</v>
      </c>
      <c r="F1505" s="63" t="n">
        <f aca="false">COST!R1505</f>
        <v>49.75</v>
      </c>
      <c r="G1505" s="48" t="str">
        <f aca="false">STACK!M1505</f>
        <v/>
      </c>
      <c r="H1505" s="1" t="str">
        <f aca="false">C1505&amp;"|"&amp;IF(ISNUMBER(D1505),TEXT(D1505,"yyyy-mm-dd"),"no date")&amp;"|"&amp;E1505&amp;"|"&amp;IF(ISNUMBER(F1505),TEXT(F1505,"0.00"),"blank")</f>
        <v>Community Benefit Program Administration|2025-12-31|Administrative Assistant|49.75</v>
      </c>
      <c r="I1505" s="1" t="n">
        <f aca="false">COUNTIF($H$5:$H$1624,H1505)</f>
        <v>1</v>
      </c>
      <c r="J1505" s="1" t="n">
        <f aca="false">COUNTIF($H$5:H1505,H1505)</f>
        <v>1</v>
      </c>
      <c r="K1505" s="1" t="n">
        <f aca="false">COUNTIFS($H$5:$H$1624,H1505,$B$5:$B$1624,"&lt;&gt;"&amp;B1505)</f>
        <v>0</v>
      </c>
      <c r="L1505" s="1" t="str">
        <f aca="false">IF(I1505&gt;1,IF(K1505&gt;0,"Cross-hospital match","Same-hospital match"),"")</f>
        <v/>
      </c>
      <c r="M1505" s="52"/>
      <c r="N1505" s="52"/>
      <c r="O1505" s="1" t="n">
        <f aca="false">IF(M1505="Exclude (duplicate)",0,1)</f>
        <v>1</v>
      </c>
      <c r="P1505" s="1" t="str">
        <f aca="false">IF(AND(L1505&lt;&gt;"",M1505=""),"Needs decision","")</f>
        <v/>
      </c>
    </row>
    <row r="1506" customFormat="false" ht="15" hidden="false" customHeight="false" outlineLevel="0" collapsed="false">
      <c r="A1506" s="48" t="str">
        <f aca="false">COST!A1506</f>
        <v>QHH-0125</v>
      </c>
      <c r="B1506" s="48" t="str">
        <f aca="false">COST!B1506</f>
        <v>QHH</v>
      </c>
      <c r="C1506" s="48" t="str">
        <f aca="false">COST!D1506</f>
        <v>Community Benefit Program Administration</v>
      </c>
      <c r="D1506" s="62" t="n">
        <f aca="false">COST!M1506</f>
        <v>46022</v>
      </c>
      <c r="E1506" s="48" t="str">
        <f aca="false">COST!P1506</f>
        <v>Community Benefit Manager</v>
      </c>
      <c r="F1506" s="63" t="n">
        <f aca="false">COST!R1506</f>
        <v>48.75</v>
      </c>
      <c r="G1506" s="48" t="str">
        <f aca="false">STACK!M1506</f>
        <v/>
      </c>
      <c r="H1506" s="1" t="str">
        <f aca="false">C1506&amp;"|"&amp;IF(ISNUMBER(D1506),TEXT(D1506,"yyyy-mm-dd"),"no date")&amp;"|"&amp;E1506&amp;"|"&amp;IF(ISNUMBER(F1506),TEXT(F1506,"0.00"),"blank")</f>
        <v>Community Benefit Program Administration|2025-12-31|Community Benefit Manager|48.75</v>
      </c>
      <c r="I1506" s="1" t="n">
        <f aca="false">COUNTIF($H$5:$H$1624,H1506)</f>
        <v>1</v>
      </c>
      <c r="J1506" s="1" t="n">
        <f aca="false">COUNTIF($H$5:H1506,H1506)</f>
        <v>1</v>
      </c>
      <c r="K1506" s="1" t="n">
        <f aca="false">COUNTIFS($H$5:$H$1624,H1506,$B$5:$B$1624,"&lt;&gt;"&amp;B1506)</f>
        <v>0</v>
      </c>
      <c r="L1506" s="1" t="str">
        <f aca="false">IF(I1506&gt;1,IF(K1506&gt;0,"Cross-hospital match","Same-hospital match"),"")</f>
        <v/>
      </c>
      <c r="M1506" s="52"/>
      <c r="N1506" s="52"/>
      <c r="O1506" s="1" t="n">
        <f aca="false">IF(M1506="Exclude (duplicate)",0,1)</f>
        <v>1</v>
      </c>
      <c r="P1506" s="1" t="str">
        <f aca="false">IF(AND(L1506&lt;&gt;"",M1506=""),"Needs decision","")</f>
        <v/>
      </c>
    </row>
    <row r="1507" customFormat="false" ht="15" hidden="false" customHeight="false" outlineLevel="0" collapsed="false">
      <c r="A1507" s="48" t="str">
        <f aca="false">COST!A1507</f>
        <v>QHH-0126</v>
      </c>
      <c r="B1507" s="48" t="str">
        <f aca="false">COST!B1507</f>
        <v>QHH</v>
      </c>
      <c r="C1507" s="48" t="str">
        <f aca="false">COST!D1507</f>
        <v>Community Paramedic Home Visits</v>
      </c>
      <c r="D1507" s="62" t="n">
        <f aca="false">COST!M1507</f>
        <v>46022</v>
      </c>
      <c r="E1507" s="48" t="str">
        <f aca="false">COST!P1507</f>
        <v>Paramedic</v>
      </c>
      <c r="F1507" s="63" t="n">
        <f aca="false">COST!R1507</f>
        <v>63.75</v>
      </c>
      <c r="G1507" s="48" t="str">
        <f aca="false">STACK!M1507</f>
        <v/>
      </c>
      <c r="H1507" s="1" t="str">
        <f aca="false">C1507&amp;"|"&amp;IF(ISNUMBER(D1507),TEXT(D1507,"yyyy-mm-dd"),"no date")&amp;"|"&amp;E1507&amp;"|"&amp;IF(ISNUMBER(F1507),TEXT(F1507,"0.00"),"blank")</f>
        <v>Community Paramedic Home Visits|2025-12-31|Paramedic|63.75</v>
      </c>
      <c r="I1507" s="1" t="n">
        <f aca="false">COUNTIF($H$5:$H$1624,H1507)</f>
        <v>1</v>
      </c>
      <c r="J1507" s="1" t="n">
        <f aca="false">COUNTIF($H$5:H1507,H1507)</f>
        <v>1</v>
      </c>
      <c r="K1507" s="1" t="n">
        <f aca="false">COUNTIFS($H$5:$H$1624,H1507,$B$5:$B$1624,"&lt;&gt;"&amp;B1507)</f>
        <v>0</v>
      </c>
      <c r="L1507" s="1" t="str">
        <f aca="false">IF(I1507&gt;1,IF(K1507&gt;0,"Cross-hospital match","Same-hospital match"),"")</f>
        <v/>
      </c>
      <c r="M1507" s="52"/>
      <c r="N1507" s="52"/>
      <c r="O1507" s="1" t="n">
        <f aca="false">IF(M1507="Exclude (duplicate)",0,1)</f>
        <v>1</v>
      </c>
      <c r="P1507" s="1" t="str">
        <f aca="false">IF(AND(L1507&lt;&gt;"",M1507=""),"Needs decision","")</f>
        <v/>
      </c>
    </row>
    <row r="1508" customFormat="false" ht="15" hidden="false" customHeight="false" outlineLevel="0" collapsed="false">
      <c r="A1508" s="48" t="str">
        <f aca="false">COST!A1508</f>
        <v>QHH-0127</v>
      </c>
      <c r="B1508" s="48" t="str">
        <f aca="false">COST!B1508</f>
        <v>QHH</v>
      </c>
      <c r="C1508" s="48" t="str">
        <f aca="false">COST!D1508</f>
        <v>Nursing Student Clinical Rotations</v>
      </c>
      <c r="D1508" s="62" t="n">
        <f aca="false">COST!M1508</f>
        <v>46022</v>
      </c>
      <c r="E1508" s="48" t="str">
        <f aca="false">COST!P1508</f>
        <v>Clinical Nurse Educator</v>
      </c>
      <c r="F1508" s="63" t="n">
        <f aca="false">COST!R1508</f>
        <v>50.25</v>
      </c>
      <c r="G1508" s="48" t="str">
        <f aca="false">STACK!M1508</f>
        <v/>
      </c>
      <c r="H1508" s="1" t="str">
        <f aca="false">C1508&amp;"|"&amp;IF(ISNUMBER(D1508),TEXT(D1508,"yyyy-mm-dd"),"no date")&amp;"|"&amp;E1508&amp;"|"&amp;IF(ISNUMBER(F1508),TEXT(F1508,"0.00"),"blank")</f>
        <v>Nursing Student Clinical Rotations|2025-12-31|Clinical Nurse Educator|50.25</v>
      </c>
      <c r="I1508" s="1" t="n">
        <f aca="false">COUNTIF($H$5:$H$1624,H1508)</f>
        <v>1</v>
      </c>
      <c r="J1508" s="1" t="n">
        <f aca="false">COUNTIF($H$5:H1508,H1508)</f>
        <v>1</v>
      </c>
      <c r="K1508" s="1" t="n">
        <f aca="false">COUNTIFS($H$5:$H$1624,H1508,$B$5:$B$1624,"&lt;&gt;"&amp;B1508)</f>
        <v>0</v>
      </c>
      <c r="L1508" s="1" t="str">
        <f aca="false">IF(I1508&gt;1,IF(K1508&gt;0,"Cross-hospital match","Same-hospital match"),"")</f>
        <v/>
      </c>
      <c r="M1508" s="52"/>
      <c r="N1508" s="52"/>
      <c r="O1508" s="1" t="n">
        <f aca="false">IF(M1508="Exclude (duplicate)",0,1)</f>
        <v>1</v>
      </c>
      <c r="P1508" s="1" t="str">
        <f aca="false">IF(AND(L1508&lt;&gt;"",M1508=""),"Needs decision","")</f>
        <v/>
      </c>
    </row>
    <row r="1509" customFormat="false" ht="15" hidden="false" customHeight="false" outlineLevel="0" collapsed="false">
      <c r="A1509" s="48" t="str">
        <f aca="false">COST!A1509</f>
        <v>QHH-0128</v>
      </c>
      <c r="B1509" s="48" t="str">
        <f aca="false">COST!B1509</f>
        <v>QHH</v>
      </c>
      <c r="C1509" s="48" t="str">
        <f aca="false">COST!D1509</f>
        <v>Nursing Student Clinical Rotations</v>
      </c>
      <c r="D1509" s="62" t="n">
        <f aca="false">COST!M1509</f>
        <v>46022</v>
      </c>
      <c r="E1509" s="48" t="str">
        <f aca="false">COST!P1509</f>
        <v>Registered Nurse</v>
      </c>
      <c r="F1509" s="63" t="n">
        <f aca="false">COST!R1509</f>
        <v>58.75</v>
      </c>
      <c r="G1509" s="48" t="str">
        <f aca="false">STACK!M1509</f>
        <v/>
      </c>
      <c r="H1509" s="1" t="str">
        <f aca="false">C1509&amp;"|"&amp;IF(ISNUMBER(D1509),TEXT(D1509,"yyyy-mm-dd"),"no date")&amp;"|"&amp;E1509&amp;"|"&amp;IF(ISNUMBER(F1509),TEXT(F1509,"0.00"),"blank")</f>
        <v>Nursing Student Clinical Rotations|2025-12-31|Registered Nurse|58.75</v>
      </c>
      <c r="I1509" s="1" t="n">
        <f aca="false">COUNTIF($H$5:$H$1624,H1509)</f>
        <v>1</v>
      </c>
      <c r="J1509" s="1" t="n">
        <f aca="false">COUNTIF($H$5:H1509,H1509)</f>
        <v>1</v>
      </c>
      <c r="K1509" s="1" t="n">
        <f aca="false">COUNTIFS($H$5:$H$1624,H1509,$B$5:$B$1624,"&lt;&gt;"&amp;B1509)</f>
        <v>0</v>
      </c>
      <c r="L1509" s="1" t="str">
        <f aca="false">IF(I1509&gt;1,IF(K1509&gt;0,"Cross-hospital match","Same-hospital match"),"")</f>
        <v/>
      </c>
      <c r="M1509" s="52"/>
      <c r="N1509" s="52"/>
      <c r="O1509" s="1" t="n">
        <f aca="false">IF(M1509="Exclude (duplicate)",0,1)</f>
        <v>1</v>
      </c>
      <c r="P1509" s="1" t="str">
        <f aca="false">IF(AND(L1509&lt;&gt;"",M1509=""),"Needs decision","")</f>
        <v/>
      </c>
    </row>
    <row r="1510" customFormat="false" ht="15" hidden="false" customHeight="false" outlineLevel="0" collapsed="false">
      <c r="A1510" s="48" t="str">
        <f aca="false">COST!A1510</f>
        <v>QHH-0129</v>
      </c>
      <c r="B1510" s="48" t="str">
        <f aca="false">COST!B1510</f>
        <v>QHH</v>
      </c>
      <c r="C1510" s="48" t="str">
        <f aca="false">COST!D1510</f>
        <v>Car Seat Safety Checks</v>
      </c>
      <c r="D1510" s="62" t="n">
        <f aca="false">COST!M1510</f>
        <v>46025</v>
      </c>
      <c r="E1510" s="48" t="str">
        <f aca="false">COST!P1510</f>
        <v>Paramedic</v>
      </c>
      <c r="F1510" s="63" t="n">
        <f aca="false">COST!R1510</f>
        <v>3</v>
      </c>
      <c r="G1510" s="48" t="str">
        <f aca="false">STACK!M1510</f>
        <v/>
      </c>
      <c r="H1510" s="1" t="str">
        <f aca="false">C1510&amp;"|"&amp;IF(ISNUMBER(D1510),TEXT(D1510,"yyyy-mm-dd"),"no date")&amp;"|"&amp;E1510&amp;"|"&amp;IF(ISNUMBER(F1510),TEXT(F1510,"0.00"),"blank")</f>
        <v>Car Seat Safety Checks|2026-01-03|Paramedic|3.00</v>
      </c>
      <c r="I1510" s="1" t="n">
        <f aca="false">COUNTIF($H$5:$H$1624,H1510)</f>
        <v>1</v>
      </c>
      <c r="J1510" s="1" t="n">
        <f aca="false">COUNTIF($H$5:H1510,H1510)</f>
        <v>1</v>
      </c>
      <c r="K1510" s="1" t="n">
        <f aca="false">COUNTIFS($H$5:$H$1624,H1510,$B$5:$B$1624,"&lt;&gt;"&amp;B1510)</f>
        <v>0</v>
      </c>
      <c r="L1510" s="1" t="str">
        <f aca="false">IF(I1510&gt;1,IF(K1510&gt;0,"Cross-hospital match","Same-hospital match"),"")</f>
        <v/>
      </c>
      <c r="M1510" s="52"/>
      <c r="N1510" s="52"/>
      <c r="O1510" s="1" t="n">
        <f aca="false">IF(M1510="Exclude (duplicate)",0,1)</f>
        <v>1</v>
      </c>
      <c r="P1510" s="1" t="str">
        <f aca="false">IF(AND(L1510&lt;&gt;"",M1510=""),"Needs decision","")</f>
        <v/>
      </c>
    </row>
    <row r="1511" customFormat="false" ht="15" hidden="false" customHeight="false" outlineLevel="0" collapsed="false">
      <c r="A1511" s="48" t="str">
        <f aca="false">COST!A1511</f>
        <v>QHH-0130</v>
      </c>
      <c r="B1511" s="48" t="str">
        <f aca="false">COST!B1511</f>
        <v>QHH</v>
      </c>
      <c r="C1511" s="48" t="str">
        <f aca="false">COST!D1511</f>
        <v>Car Seat Safety Checks</v>
      </c>
      <c r="D1511" s="62" t="n">
        <f aca="false">COST!M1511</f>
        <v>46025</v>
      </c>
      <c r="E1511" s="48" t="str">
        <f aca="false">COST!P1511</f>
        <v>Registered Nurse</v>
      </c>
      <c r="F1511" s="63" t="n">
        <f aca="false">COST!R1511</f>
        <v>4</v>
      </c>
      <c r="G1511" s="48" t="str">
        <f aca="false">STACK!M1511</f>
        <v/>
      </c>
      <c r="H1511" s="1" t="str">
        <f aca="false">C1511&amp;"|"&amp;IF(ISNUMBER(D1511),TEXT(D1511,"yyyy-mm-dd"),"no date")&amp;"|"&amp;E1511&amp;"|"&amp;IF(ISNUMBER(F1511),TEXT(F1511,"0.00"),"blank")</f>
        <v>Car Seat Safety Checks|2026-01-03|Registered Nurse|4.00</v>
      </c>
      <c r="I1511" s="1" t="n">
        <f aca="false">COUNTIF($H$5:$H$1624,H1511)</f>
        <v>1</v>
      </c>
      <c r="J1511" s="1" t="n">
        <f aca="false">COUNTIF($H$5:H1511,H1511)</f>
        <v>1</v>
      </c>
      <c r="K1511" s="1" t="n">
        <f aca="false">COUNTIFS($H$5:$H$1624,H1511,$B$5:$B$1624,"&lt;&gt;"&amp;B1511)</f>
        <v>0</v>
      </c>
      <c r="L1511" s="1" t="str">
        <f aca="false">IF(I1511&gt;1,IF(K1511&gt;0,"Cross-hospital match","Same-hospital match"),"")</f>
        <v/>
      </c>
      <c r="M1511" s="52"/>
      <c r="N1511" s="52"/>
      <c r="O1511" s="1" t="n">
        <f aca="false">IF(M1511="Exclude (duplicate)",0,1)</f>
        <v>1</v>
      </c>
      <c r="P1511" s="1" t="str">
        <f aca="false">IF(AND(L1511&lt;&gt;"",M1511=""),"Needs decision","")</f>
        <v/>
      </c>
    </row>
    <row r="1512" customFormat="false" ht="15" hidden="false" customHeight="false" outlineLevel="0" collapsed="false">
      <c r="A1512" s="48" t="str">
        <f aca="false">COST!A1512</f>
        <v>QHH-0131</v>
      </c>
      <c r="B1512" s="48" t="str">
        <f aca="false">COST!B1512</f>
        <v>QHH</v>
      </c>
      <c r="C1512" s="48" t="str">
        <f aca="false">COST!D1512</f>
        <v>Fall Prevention Classes for Older Adults</v>
      </c>
      <c r="D1512" s="62" t="n">
        <f aca="false">COST!M1512</f>
        <v>46032</v>
      </c>
      <c r="E1512" s="48" t="str">
        <f aca="false">COST!P1512</f>
        <v>Licensed Therapist</v>
      </c>
      <c r="F1512" s="63" t="n">
        <f aca="false">COST!R1512</f>
        <v>2.25</v>
      </c>
      <c r="G1512" s="48" t="str">
        <f aca="false">STACK!M1512</f>
        <v/>
      </c>
      <c r="H1512" s="1" t="str">
        <f aca="false">C1512&amp;"|"&amp;IF(ISNUMBER(D1512),TEXT(D1512,"yyyy-mm-dd"),"no date")&amp;"|"&amp;E1512&amp;"|"&amp;IF(ISNUMBER(F1512),TEXT(F1512,"0.00"),"blank")</f>
        <v>Fall Prevention Classes for Older Adults|2026-01-10|Licensed Therapist|2.25</v>
      </c>
      <c r="I1512" s="1" t="n">
        <f aca="false">COUNTIF($H$5:$H$1624,H1512)</f>
        <v>1</v>
      </c>
      <c r="J1512" s="1" t="n">
        <f aca="false">COUNTIF($H$5:H1512,H1512)</f>
        <v>1</v>
      </c>
      <c r="K1512" s="1" t="n">
        <f aca="false">COUNTIFS($H$5:$H$1624,H1512,$B$5:$B$1624,"&lt;&gt;"&amp;B1512)</f>
        <v>0</v>
      </c>
      <c r="L1512" s="1" t="str">
        <f aca="false">IF(I1512&gt;1,IF(K1512&gt;0,"Cross-hospital match","Same-hospital match"),"")</f>
        <v/>
      </c>
      <c r="M1512" s="52"/>
      <c r="N1512" s="52"/>
      <c r="O1512" s="1" t="n">
        <f aca="false">IF(M1512="Exclude (duplicate)",0,1)</f>
        <v>1</v>
      </c>
      <c r="P1512" s="1" t="str">
        <f aca="false">IF(AND(L1512&lt;&gt;"",M1512=""),"Needs decision","")</f>
        <v/>
      </c>
    </row>
    <row r="1513" customFormat="false" ht="15" hidden="false" customHeight="false" outlineLevel="0" collapsed="false">
      <c r="A1513" s="48" t="str">
        <f aca="false">COST!A1513</f>
        <v>QHH-0132</v>
      </c>
      <c r="B1513" s="48" t="str">
        <f aca="false">COST!B1513</f>
        <v>QHH</v>
      </c>
      <c r="C1513" s="48" t="str">
        <f aca="false">COST!D1513</f>
        <v>Grief Support Group</v>
      </c>
      <c r="D1513" s="62" t="n">
        <f aca="false">COST!M1513</f>
        <v>46038</v>
      </c>
      <c r="E1513" s="48" t="str">
        <f aca="false">COST!P1513</f>
        <v>Chaplain</v>
      </c>
      <c r="F1513" s="63" t="str">
        <f aca="false">COST!R1513</f>
        <v/>
      </c>
      <c r="G1513" s="48" t="str">
        <f aca="false">STACK!M1513</f>
        <v/>
      </c>
      <c r="H1513" s="1" t="str">
        <f aca="false">C1513&amp;"|"&amp;IF(ISNUMBER(D1513),TEXT(D1513,"yyyy-mm-dd"),"no date")&amp;"|"&amp;E1513&amp;"|"&amp;IF(ISNUMBER(F1513),TEXT(F1513,"0.00"),"blank")</f>
        <v>Grief Support Group|2026-01-16|Chaplain|blank</v>
      </c>
      <c r="I1513" s="1" t="n">
        <f aca="false">COUNTIF($H$5:$H$1624,H1513)</f>
        <v>1</v>
      </c>
      <c r="J1513" s="1" t="n">
        <f aca="false">COUNTIF($H$5:H1513,H1513)</f>
        <v>1</v>
      </c>
      <c r="K1513" s="1" t="n">
        <f aca="false">COUNTIFS($H$5:$H$1624,H1513,$B$5:$B$1624,"&lt;&gt;"&amp;B1513)</f>
        <v>0</v>
      </c>
      <c r="L1513" s="1" t="str">
        <f aca="false">IF(I1513&gt;1,IF(K1513&gt;0,"Cross-hospital match","Same-hospital match"),"")</f>
        <v/>
      </c>
      <c r="M1513" s="52"/>
      <c r="N1513" s="52"/>
      <c r="O1513" s="1" t="n">
        <f aca="false">IF(M1513="Exclude (duplicate)",0,1)</f>
        <v>1</v>
      </c>
      <c r="P1513" s="1" t="str">
        <f aca="false">IF(AND(L1513&lt;&gt;"",M1513=""),"Needs decision","")</f>
        <v/>
      </c>
    </row>
    <row r="1514" customFormat="false" ht="15" hidden="false" customHeight="false" outlineLevel="0" collapsed="false">
      <c r="A1514" s="48" t="str">
        <f aca="false">COST!A1514</f>
        <v>QHH-0133</v>
      </c>
      <c r="B1514" s="48" t="str">
        <f aca="false">COST!B1514</f>
        <v>QHH</v>
      </c>
      <c r="C1514" s="48" t="str">
        <f aca="false">COST!D1514</f>
        <v>Grief Support Group</v>
      </c>
      <c r="D1514" s="62" t="n">
        <f aca="false">COST!M1514</f>
        <v>46038</v>
      </c>
      <c r="E1514" s="48" t="str">
        <f aca="false">COST!P1514</f>
        <v>Social Worker</v>
      </c>
      <c r="F1514" s="63" t="n">
        <f aca="false">COST!R1514</f>
        <v>1.75</v>
      </c>
      <c r="G1514" s="48" t="str">
        <f aca="false">STACK!M1514</f>
        <v/>
      </c>
      <c r="H1514" s="1" t="str">
        <f aca="false">C1514&amp;"|"&amp;IF(ISNUMBER(D1514),TEXT(D1514,"yyyy-mm-dd"),"no date")&amp;"|"&amp;E1514&amp;"|"&amp;IF(ISNUMBER(F1514),TEXT(F1514,"0.00"),"blank")</f>
        <v>Grief Support Group|2026-01-16|Social Worker|1.75</v>
      </c>
      <c r="I1514" s="1" t="n">
        <f aca="false">COUNTIF($H$5:$H$1624,H1514)</f>
        <v>1</v>
      </c>
      <c r="J1514" s="1" t="n">
        <f aca="false">COUNTIF($H$5:H1514,H1514)</f>
        <v>1</v>
      </c>
      <c r="K1514" s="1" t="n">
        <f aca="false">COUNTIFS($H$5:$H$1624,H1514,$B$5:$B$1624,"&lt;&gt;"&amp;B1514)</f>
        <v>0</v>
      </c>
      <c r="L1514" s="1" t="str">
        <f aca="false">IF(I1514&gt;1,IF(K1514&gt;0,"Cross-hospital match","Same-hospital match"),"")</f>
        <v/>
      </c>
      <c r="M1514" s="52"/>
      <c r="N1514" s="52"/>
      <c r="O1514" s="1" t="n">
        <f aca="false">IF(M1514="Exclude (duplicate)",0,1)</f>
        <v>1</v>
      </c>
      <c r="P1514" s="1" t="str">
        <f aca="false">IF(AND(L1514&lt;&gt;"",M1514=""),"Needs decision","")</f>
        <v/>
      </c>
    </row>
    <row r="1515" customFormat="false" ht="15" hidden="false" customHeight="false" outlineLevel="0" collapsed="false">
      <c r="A1515" s="48" t="str">
        <f aca="false">COST!A1515</f>
        <v>QHH-0134</v>
      </c>
      <c r="B1515" s="48" t="str">
        <f aca="false">COST!B1515</f>
        <v>QHH</v>
      </c>
      <c r="C1515" s="48" t="str">
        <f aca="false">COST!D1515</f>
        <v>Grief Support Group</v>
      </c>
      <c r="D1515" s="62" t="n">
        <f aca="false">COST!M1515</f>
        <v>46039</v>
      </c>
      <c r="E1515" s="48" t="str">
        <f aca="false">COST!P1515</f>
        <v>Chaplain</v>
      </c>
      <c r="F1515" s="63" t="n">
        <f aca="false">COST!R1515</f>
        <v>2.5</v>
      </c>
      <c r="G1515" s="48" t="str">
        <f aca="false">STACK!M1515</f>
        <v/>
      </c>
      <c r="H1515" s="1" t="str">
        <f aca="false">C1515&amp;"|"&amp;IF(ISNUMBER(D1515),TEXT(D1515,"yyyy-mm-dd"),"no date")&amp;"|"&amp;E1515&amp;"|"&amp;IF(ISNUMBER(F1515),TEXT(F1515,"0.00"),"blank")</f>
        <v>Grief Support Group|2026-01-17|Chaplain|2.50</v>
      </c>
      <c r="I1515" s="1" t="n">
        <f aca="false">COUNTIF($H$5:$H$1624,H1515)</f>
        <v>1</v>
      </c>
      <c r="J1515" s="1" t="n">
        <f aca="false">COUNTIF($H$5:H1515,H1515)</f>
        <v>1</v>
      </c>
      <c r="K1515" s="1" t="n">
        <f aca="false">COUNTIFS($H$5:$H$1624,H1515,$B$5:$B$1624,"&lt;&gt;"&amp;B1515)</f>
        <v>0</v>
      </c>
      <c r="L1515" s="1" t="str">
        <f aca="false">IF(I1515&gt;1,IF(K1515&gt;0,"Cross-hospital match","Same-hospital match"),"")</f>
        <v/>
      </c>
      <c r="M1515" s="52"/>
      <c r="N1515" s="52"/>
      <c r="O1515" s="1" t="n">
        <f aca="false">IF(M1515="Exclude (duplicate)",0,1)</f>
        <v>1</v>
      </c>
      <c r="P1515" s="1" t="str">
        <f aca="false">IF(AND(L1515&lt;&gt;"",M1515=""),"Needs decision","")</f>
        <v/>
      </c>
    </row>
    <row r="1516" customFormat="false" ht="15" hidden="false" customHeight="false" outlineLevel="0" collapsed="false">
      <c r="A1516" s="48" t="str">
        <f aca="false">COST!A1516</f>
        <v>QHH-0135</v>
      </c>
      <c r="B1516" s="48" t="str">
        <f aca="false">COST!B1516</f>
        <v>QHH</v>
      </c>
      <c r="C1516" s="48" t="str">
        <f aca="false">COST!D1516</f>
        <v>Grief Support Group</v>
      </c>
      <c r="D1516" s="62" t="n">
        <f aca="false">COST!M1516</f>
        <v>46039</v>
      </c>
      <c r="E1516" s="48" t="str">
        <f aca="false">COST!P1516</f>
        <v>Social Worker</v>
      </c>
      <c r="F1516" s="63" t="n">
        <f aca="false">COST!R1516</f>
        <v>1.75</v>
      </c>
      <c r="G1516" s="48" t="str">
        <f aca="false">STACK!M1516</f>
        <v/>
      </c>
      <c r="H1516" s="1" t="str">
        <f aca="false">C1516&amp;"|"&amp;IF(ISNUMBER(D1516),TEXT(D1516,"yyyy-mm-dd"),"no date")&amp;"|"&amp;E1516&amp;"|"&amp;IF(ISNUMBER(F1516),TEXT(F1516,"0.00"),"blank")</f>
        <v>Grief Support Group|2026-01-17|Social Worker|1.75</v>
      </c>
      <c r="I1516" s="1" t="n">
        <f aca="false">COUNTIF($H$5:$H$1624,H1516)</f>
        <v>1</v>
      </c>
      <c r="J1516" s="1" t="n">
        <f aca="false">COUNTIF($H$5:H1516,H1516)</f>
        <v>1</v>
      </c>
      <c r="K1516" s="1" t="n">
        <f aca="false">COUNTIFS($H$5:$H$1624,H1516,$B$5:$B$1624,"&lt;&gt;"&amp;B1516)</f>
        <v>0</v>
      </c>
      <c r="L1516" s="1" t="str">
        <f aca="false">IF(I1516&gt;1,IF(K1516&gt;0,"Cross-hospital match","Same-hospital match"),"")</f>
        <v/>
      </c>
      <c r="M1516" s="52"/>
      <c r="N1516" s="52"/>
      <c r="O1516" s="1" t="n">
        <f aca="false">IF(M1516="Exclude (duplicate)",0,1)</f>
        <v>1</v>
      </c>
      <c r="P1516" s="1" t="str">
        <f aca="false">IF(AND(L1516&lt;&gt;"",M1516=""),"Needs decision","")</f>
        <v/>
      </c>
    </row>
    <row r="1517" customFormat="false" ht="15" hidden="false" customHeight="false" outlineLevel="0" collapsed="false">
      <c r="A1517" s="48" t="str">
        <f aca="false">COST!A1517</f>
        <v>QHH-0136</v>
      </c>
      <c r="B1517" s="48" t="str">
        <f aca="false">COST!B1517</f>
        <v>QHH</v>
      </c>
      <c r="C1517" s="48" t="str">
        <f aca="false">COST!D1517</f>
        <v>Community Blood Pressure Checks</v>
      </c>
      <c r="D1517" s="62" t="n">
        <f aca="false">COST!M1517</f>
        <v>46046</v>
      </c>
      <c r="E1517" s="48" t="str">
        <f aca="false">COST!P1517</f>
        <v>Registered Nurse</v>
      </c>
      <c r="F1517" s="63" t="n">
        <f aca="false">COST!R1517</f>
        <v>3.5</v>
      </c>
      <c r="G1517" s="48" t="str">
        <f aca="false">STACK!M1517</f>
        <v/>
      </c>
      <c r="H1517" s="1" t="str">
        <f aca="false">C1517&amp;"|"&amp;IF(ISNUMBER(D1517),TEXT(D1517,"yyyy-mm-dd"),"no date")&amp;"|"&amp;E1517&amp;"|"&amp;IF(ISNUMBER(F1517),TEXT(F1517,"0.00"),"blank")</f>
        <v>Community Blood Pressure Checks|2026-01-24|Registered Nurse|3.50</v>
      </c>
      <c r="I1517" s="1" t="n">
        <f aca="false">COUNTIF($H$5:$H$1624,H1517)</f>
        <v>1</v>
      </c>
      <c r="J1517" s="1" t="n">
        <f aca="false">COUNTIF($H$5:H1517,H1517)</f>
        <v>1</v>
      </c>
      <c r="K1517" s="1" t="n">
        <f aca="false">COUNTIFS($H$5:$H$1624,H1517,$B$5:$B$1624,"&lt;&gt;"&amp;B1517)</f>
        <v>0</v>
      </c>
      <c r="L1517" s="1" t="str">
        <f aca="false">IF(I1517&gt;1,IF(K1517&gt;0,"Cross-hospital match","Same-hospital match"),"")</f>
        <v/>
      </c>
      <c r="M1517" s="52"/>
      <c r="N1517" s="52"/>
      <c r="O1517" s="1" t="n">
        <f aca="false">IF(M1517="Exclude (duplicate)",0,1)</f>
        <v>1</v>
      </c>
      <c r="P1517" s="1" t="str">
        <f aca="false">IF(AND(L1517&lt;&gt;"",M1517=""),"Needs decision","")</f>
        <v/>
      </c>
    </row>
    <row r="1518" customFormat="false" ht="15" hidden="false" customHeight="false" outlineLevel="0" collapsed="false">
      <c r="A1518" s="48" t="str">
        <f aca="false">COST!A1518</f>
        <v>QHH-0137</v>
      </c>
      <c r="B1518" s="48" t="str">
        <f aca="false">COST!B1518</f>
        <v>QHH</v>
      </c>
      <c r="C1518" s="48" t="str">
        <f aca="false">COST!D1518</f>
        <v>Diabetes Prevention Classes</v>
      </c>
      <c r="D1518" s="62" t="n">
        <f aca="false">COST!M1518</f>
        <v>46050</v>
      </c>
      <c r="E1518" s="48" t="str">
        <f aca="false">COST!P1518</f>
        <v>Health Educator</v>
      </c>
      <c r="F1518" s="63" t="n">
        <f aca="false">COST!R1518</f>
        <v>2.25</v>
      </c>
      <c r="G1518" s="48" t="str">
        <f aca="false">STACK!M1518</f>
        <v/>
      </c>
      <c r="H1518" s="1" t="str">
        <f aca="false">C1518&amp;"|"&amp;IF(ISNUMBER(D1518),TEXT(D1518,"yyyy-mm-dd"),"no date")&amp;"|"&amp;E1518&amp;"|"&amp;IF(ISNUMBER(F1518),TEXT(F1518,"0.00"),"blank")</f>
        <v>Diabetes Prevention Classes|2026-01-28|Health Educator|2.25</v>
      </c>
      <c r="I1518" s="1" t="n">
        <f aca="false">COUNTIF($H$5:$H$1624,H1518)</f>
        <v>1</v>
      </c>
      <c r="J1518" s="1" t="n">
        <f aca="false">COUNTIF($H$5:H1518,H1518)</f>
        <v>1</v>
      </c>
      <c r="K1518" s="1" t="n">
        <f aca="false">COUNTIFS($H$5:$H$1624,H1518,$B$5:$B$1624,"&lt;&gt;"&amp;B1518)</f>
        <v>0</v>
      </c>
      <c r="L1518" s="1" t="str">
        <f aca="false">IF(I1518&gt;1,IF(K1518&gt;0,"Cross-hospital match","Same-hospital match"),"")</f>
        <v/>
      </c>
      <c r="M1518" s="52"/>
      <c r="N1518" s="52"/>
      <c r="O1518" s="1" t="n">
        <f aca="false">IF(M1518="Exclude (duplicate)",0,1)</f>
        <v>1</v>
      </c>
      <c r="P1518" s="1" t="str">
        <f aca="false">IF(AND(L1518&lt;&gt;"",M1518=""),"Needs decision","")</f>
        <v/>
      </c>
    </row>
    <row r="1519" customFormat="false" ht="15" hidden="false" customHeight="false" outlineLevel="0" collapsed="false">
      <c r="A1519" s="48" t="str">
        <f aca="false">COST!A1519</f>
        <v>QHH-0138</v>
      </c>
      <c r="B1519" s="48" t="str">
        <f aca="false">COST!B1519</f>
        <v>QHH</v>
      </c>
      <c r="C1519" s="48" t="str">
        <f aca="false">COST!D1519</f>
        <v>Diabetes Prevention Classes</v>
      </c>
      <c r="D1519" s="62" t="n">
        <f aca="false">COST!M1519</f>
        <v>46050</v>
      </c>
      <c r="E1519" s="48" t="str">
        <f aca="false">COST!P1519</f>
        <v>Registered Dietitian</v>
      </c>
      <c r="F1519" s="63" t="n">
        <f aca="false">COST!R1519</f>
        <v>1.75</v>
      </c>
      <c r="G1519" s="48" t="str">
        <f aca="false">STACK!M1519</f>
        <v/>
      </c>
      <c r="H1519" s="1" t="str">
        <f aca="false">C1519&amp;"|"&amp;IF(ISNUMBER(D1519),TEXT(D1519,"yyyy-mm-dd"),"no date")&amp;"|"&amp;E1519&amp;"|"&amp;IF(ISNUMBER(F1519),TEXT(F1519,"0.00"),"blank")</f>
        <v>Diabetes Prevention Classes|2026-01-28|Registered Dietitian|1.75</v>
      </c>
      <c r="I1519" s="1" t="n">
        <f aca="false">COUNTIF($H$5:$H$1624,H1519)</f>
        <v>1</v>
      </c>
      <c r="J1519" s="1" t="n">
        <f aca="false">COUNTIF($H$5:H1519,H1519)</f>
        <v>1</v>
      </c>
      <c r="K1519" s="1" t="n">
        <f aca="false">COUNTIFS($H$5:$H$1624,H1519,$B$5:$B$1624,"&lt;&gt;"&amp;B1519)</f>
        <v>0</v>
      </c>
      <c r="L1519" s="1" t="str">
        <f aca="false">IF(I1519&gt;1,IF(K1519&gt;0,"Cross-hospital match","Same-hospital match"),"")</f>
        <v/>
      </c>
      <c r="M1519" s="52"/>
      <c r="N1519" s="52"/>
      <c r="O1519" s="1" t="n">
        <f aca="false">IF(M1519="Exclude (duplicate)",0,1)</f>
        <v>1</v>
      </c>
      <c r="P1519" s="1" t="str">
        <f aca="false">IF(AND(L1519&lt;&gt;"",M1519=""),"Needs decision","")</f>
        <v/>
      </c>
    </row>
    <row r="1520" customFormat="false" ht="15" hidden="false" customHeight="false" outlineLevel="0" collapsed="false">
      <c r="A1520" s="48" t="str">
        <f aca="false">COST!A1520</f>
        <v>QHH-0139</v>
      </c>
      <c r="B1520" s="48" t="str">
        <f aca="false">COST!B1520</f>
        <v>QHH</v>
      </c>
      <c r="C1520" s="48" t="str">
        <f aca="false">COST!D1520</f>
        <v>Regional Health Coalition</v>
      </c>
      <c r="D1520" s="62" t="n">
        <f aca="false">COST!M1520</f>
        <v>46050</v>
      </c>
      <c r="E1520" s="48" t="str">
        <f aca="false">COST!P1520</f>
        <v>Community Benefit Manager</v>
      </c>
      <c r="F1520" s="63" t="n">
        <f aca="false">COST!R1520</f>
        <v>2.5</v>
      </c>
      <c r="G1520" s="48" t="str">
        <f aca="false">STACK!M1520</f>
        <v/>
      </c>
      <c r="H1520" s="1" t="str">
        <f aca="false">C1520&amp;"|"&amp;IF(ISNUMBER(D1520),TEXT(D1520,"yyyy-mm-dd"),"no date")&amp;"|"&amp;E1520&amp;"|"&amp;IF(ISNUMBER(F1520),TEXT(F1520,"0.00"),"blank")</f>
        <v>Regional Health Coalition|2026-01-28|Community Benefit Manager|2.50</v>
      </c>
      <c r="I1520" s="1" t="n">
        <f aca="false">COUNTIF($H$5:$H$1624,H1520)</f>
        <v>1</v>
      </c>
      <c r="J1520" s="1" t="n">
        <f aca="false">COUNTIF($H$5:H1520,H1520)</f>
        <v>1</v>
      </c>
      <c r="K1520" s="1" t="n">
        <f aca="false">COUNTIFS($H$5:$H$1624,H1520,$B$5:$B$1624,"&lt;&gt;"&amp;B1520)</f>
        <v>0</v>
      </c>
      <c r="L1520" s="1" t="str">
        <f aca="false">IF(I1520&gt;1,IF(K1520&gt;0,"Cross-hospital match","Same-hospital match"),"")</f>
        <v/>
      </c>
      <c r="M1520" s="52"/>
      <c r="N1520" s="52"/>
      <c r="O1520" s="1" t="n">
        <f aca="false">IF(M1520="Exclude (duplicate)",0,1)</f>
        <v>1</v>
      </c>
      <c r="P1520" s="1" t="str">
        <f aca="false">IF(AND(L1520&lt;&gt;"",M1520=""),"Needs decision","")</f>
        <v/>
      </c>
    </row>
    <row r="1521" customFormat="false" ht="15" hidden="false" customHeight="false" outlineLevel="0" collapsed="false">
      <c r="A1521" s="48" t="str">
        <f aca="false">COST!A1521</f>
        <v>QHH-0140</v>
      </c>
      <c r="B1521" s="48" t="str">
        <f aca="false">COST!B1521</f>
        <v>QHH</v>
      </c>
      <c r="C1521" s="48" t="str">
        <f aca="false">COST!D1521</f>
        <v>Regional Health Coalition</v>
      </c>
      <c r="D1521" s="62" t="n">
        <f aca="false">COST!M1521</f>
        <v>46050</v>
      </c>
      <c r="E1521" s="48" t="str">
        <f aca="false">COST!P1521</f>
        <v>Director</v>
      </c>
      <c r="F1521" s="63" t="n">
        <f aca="false">COST!R1521</f>
        <v>2.25</v>
      </c>
      <c r="G1521" s="48" t="str">
        <f aca="false">STACK!M1521</f>
        <v/>
      </c>
      <c r="H1521" s="1" t="str">
        <f aca="false">C1521&amp;"|"&amp;IF(ISNUMBER(D1521),TEXT(D1521,"yyyy-mm-dd"),"no date")&amp;"|"&amp;E1521&amp;"|"&amp;IF(ISNUMBER(F1521),TEXT(F1521,"0.00"),"blank")</f>
        <v>Regional Health Coalition|2026-01-28|Director|2.25</v>
      </c>
      <c r="I1521" s="1" t="n">
        <f aca="false">COUNTIF($H$5:$H$1624,H1521)</f>
        <v>1</v>
      </c>
      <c r="J1521" s="1" t="n">
        <f aca="false">COUNTIF($H$5:H1521,H1521)</f>
        <v>1</v>
      </c>
      <c r="K1521" s="1" t="n">
        <f aca="false">COUNTIFS($H$5:$H$1624,H1521,$B$5:$B$1624,"&lt;&gt;"&amp;B1521)</f>
        <v>0</v>
      </c>
      <c r="L1521" s="1" t="str">
        <f aca="false">IF(I1521&gt;1,IF(K1521&gt;0,"Cross-hospital match","Same-hospital match"),"")</f>
        <v/>
      </c>
      <c r="M1521" s="52"/>
      <c r="N1521" s="52"/>
      <c r="O1521" s="1" t="n">
        <f aca="false">IF(M1521="Exclude (duplicate)",0,1)</f>
        <v>1</v>
      </c>
      <c r="P1521" s="1" t="str">
        <f aca="false">IF(AND(L1521&lt;&gt;"",M1521=""),"Needs decision","")</f>
        <v/>
      </c>
    </row>
    <row r="1522" customFormat="false" ht="15" hidden="false" customHeight="false" outlineLevel="0" collapsed="false">
      <c r="A1522" s="48" t="str">
        <f aca="false">COST!A1522</f>
        <v>QHH-0141</v>
      </c>
      <c r="B1522" s="48" t="str">
        <f aca="false">COST!B1522</f>
        <v>QHH</v>
      </c>
      <c r="C1522" s="48" t="str">
        <f aca="false">COST!D1522</f>
        <v>Tobacco Cessation Classes</v>
      </c>
      <c r="D1522" s="62" t="n">
        <f aca="false">COST!M1522</f>
        <v>46051</v>
      </c>
      <c r="E1522" s="48" t="str">
        <f aca="false">COST!P1522</f>
        <v>Licensed Therapist</v>
      </c>
      <c r="F1522" s="63" t="n">
        <f aca="false">COST!R1522</f>
        <v>2</v>
      </c>
      <c r="G1522" s="48" t="str">
        <f aca="false">STACK!M1522</f>
        <v/>
      </c>
      <c r="H1522" s="1" t="str">
        <f aca="false">C1522&amp;"|"&amp;IF(ISNUMBER(D1522),TEXT(D1522,"yyyy-mm-dd"),"no date")&amp;"|"&amp;E1522&amp;"|"&amp;IF(ISNUMBER(F1522),TEXT(F1522,"0.00"),"blank")</f>
        <v>Tobacco Cessation Classes|2026-01-29|Licensed Therapist|2.00</v>
      </c>
      <c r="I1522" s="1" t="n">
        <f aca="false">COUNTIF($H$5:$H$1624,H1522)</f>
        <v>1</v>
      </c>
      <c r="J1522" s="1" t="n">
        <f aca="false">COUNTIF($H$5:H1522,H1522)</f>
        <v>1</v>
      </c>
      <c r="K1522" s="1" t="n">
        <f aca="false">COUNTIFS($H$5:$H$1624,H1522,$B$5:$B$1624,"&lt;&gt;"&amp;B1522)</f>
        <v>0</v>
      </c>
      <c r="L1522" s="1" t="str">
        <f aca="false">IF(I1522&gt;1,IF(K1522&gt;0,"Cross-hospital match","Same-hospital match"),"")</f>
        <v/>
      </c>
      <c r="M1522" s="52"/>
      <c r="N1522" s="52"/>
      <c r="O1522" s="1" t="n">
        <f aca="false">IF(M1522="Exclude (duplicate)",0,1)</f>
        <v>1</v>
      </c>
      <c r="P1522" s="1" t="str">
        <f aca="false">IF(AND(L1522&lt;&gt;"",M1522=""),"Needs decision","")</f>
        <v/>
      </c>
    </row>
    <row r="1523" customFormat="false" ht="15" hidden="false" customHeight="false" outlineLevel="0" collapsed="false">
      <c r="A1523" s="48" t="str">
        <f aca="false">COST!A1523</f>
        <v>QHH-0142</v>
      </c>
      <c r="B1523" s="48" t="str">
        <f aca="false">COST!B1523</f>
        <v>QHH</v>
      </c>
      <c r="C1523" s="48" t="str">
        <f aca="false">COST!D1523</f>
        <v>Medication Assistance Program</v>
      </c>
      <c r="D1523" s="62" t="n">
        <f aca="false">COST!M1523</f>
        <v>46053</v>
      </c>
      <c r="E1523" s="48" t="str">
        <f aca="false">COST!P1523</f>
        <v>Patient Navigator</v>
      </c>
      <c r="F1523" s="63" t="n">
        <f aca="false">COST!R1523</f>
        <v>73.75</v>
      </c>
      <c r="G1523" s="48" t="str">
        <f aca="false">STACK!M1523</f>
        <v/>
      </c>
      <c r="H1523" s="1" t="str">
        <f aca="false">C1523&amp;"|"&amp;IF(ISNUMBER(D1523),TEXT(D1523,"yyyy-mm-dd"),"no date")&amp;"|"&amp;E1523&amp;"|"&amp;IF(ISNUMBER(F1523),TEXT(F1523,"0.00"),"blank")</f>
        <v>Medication Assistance Program|2026-01-31|Patient Navigator|73.75</v>
      </c>
      <c r="I1523" s="1" t="n">
        <f aca="false">COUNTIF($H$5:$H$1624,H1523)</f>
        <v>1</v>
      </c>
      <c r="J1523" s="1" t="n">
        <f aca="false">COUNTIF($H$5:H1523,H1523)</f>
        <v>1</v>
      </c>
      <c r="K1523" s="1" t="n">
        <f aca="false">COUNTIFS($H$5:$H$1624,H1523,$B$5:$B$1624,"&lt;&gt;"&amp;B1523)</f>
        <v>0</v>
      </c>
      <c r="L1523" s="1" t="str">
        <f aca="false">IF(I1523&gt;1,IF(K1523&gt;0,"Cross-hospital match","Same-hospital match"),"")</f>
        <v/>
      </c>
      <c r="M1523" s="52"/>
      <c r="N1523" s="52"/>
      <c r="O1523" s="1" t="n">
        <f aca="false">IF(M1523="Exclude (duplicate)",0,1)</f>
        <v>1</v>
      </c>
      <c r="P1523" s="1" t="str">
        <f aca="false">IF(AND(L1523&lt;&gt;"",M1523=""),"Needs decision","")</f>
        <v/>
      </c>
    </row>
    <row r="1524" customFormat="false" ht="15" hidden="false" customHeight="false" outlineLevel="0" collapsed="false">
      <c r="A1524" s="48" t="str">
        <f aca="false">COST!A1524</f>
        <v>QHH-0143</v>
      </c>
      <c r="B1524" s="48" t="str">
        <f aca="false">COST!B1524</f>
        <v>QHH</v>
      </c>
      <c r="C1524" s="48" t="str">
        <f aca="false">COST!D1524</f>
        <v>Medication Assistance Program</v>
      </c>
      <c r="D1524" s="62" t="n">
        <f aca="false">COST!M1524</f>
        <v>46053</v>
      </c>
      <c r="E1524" s="48" t="str">
        <f aca="false">COST!P1524</f>
        <v>Pharmacist</v>
      </c>
      <c r="F1524" s="63" t="n">
        <f aca="false">COST!R1524</f>
        <v>15.5</v>
      </c>
      <c r="G1524" s="48" t="str">
        <f aca="false">STACK!M1524</f>
        <v/>
      </c>
      <c r="H1524" s="1" t="str">
        <f aca="false">C1524&amp;"|"&amp;IF(ISNUMBER(D1524),TEXT(D1524,"yyyy-mm-dd"),"no date")&amp;"|"&amp;E1524&amp;"|"&amp;IF(ISNUMBER(F1524),TEXT(F1524,"0.00"),"blank")</f>
        <v>Medication Assistance Program|2026-01-31|Pharmacist|15.50</v>
      </c>
      <c r="I1524" s="1" t="n">
        <f aca="false">COUNTIF($H$5:$H$1624,H1524)</f>
        <v>1</v>
      </c>
      <c r="J1524" s="1" t="n">
        <f aca="false">COUNTIF($H$5:H1524,H1524)</f>
        <v>1</v>
      </c>
      <c r="K1524" s="1" t="n">
        <f aca="false">COUNTIFS($H$5:$H$1624,H1524,$B$5:$B$1624,"&lt;&gt;"&amp;B1524)</f>
        <v>0</v>
      </c>
      <c r="L1524" s="1" t="str">
        <f aca="false">IF(I1524&gt;1,IF(K1524&gt;0,"Cross-hospital match","Same-hospital match"),"")</f>
        <v/>
      </c>
      <c r="M1524" s="52"/>
      <c r="N1524" s="52"/>
      <c r="O1524" s="1" t="n">
        <f aca="false">IF(M1524="Exclude (duplicate)",0,1)</f>
        <v>1</v>
      </c>
      <c r="P1524" s="1" t="str">
        <f aca="false">IF(AND(L1524&lt;&gt;"",M1524=""),"Needs decision","")</f>
        <v/>
      </c>
    </row>
    <row r="1525" customFormat="false" ht="15" hidden="false" customHeight="false" outlineLevel="0" collapsed="false">
      <c r="A1525" s="48" t="str">
        <f aca="false">COST!A1525</f>
        <v>QHH-0144</v>
      </c>
      <c r="B1525" s="48" t="str">
        <f aca="false">COST!B1525</f>
        <v>QHH</v>
      </c>
      <c r="C1525" s="48" t="str">
        <f aca="false">COST!D1525</f>
        <v>Community Benefit Program Administration</v>
      </c>
      <c r="D1525" s="62" t="n">
        <f aca="false">COST!M1525</f>
        <v>46053</v>
      </c>
      <c r="E1525" s="48" t="str">
        <f aca="false">COST!P1525</f>
        <v>Administrative Assistant</v>
      </c>
      <c r="F1525" s="63" t="n">
        <f aca="false">COST!R1525</f>
        <v>46.75</v>
      </c>
      <c r="G1525" s="48" t="str">
        <f aca="false">STACK!M1525</f>
        <v/>
      </c>
      <c r="H1525" s="1" t="str">
        <f aca="false">C1525&amp;"|"&amp;IF(ISNUMBER(D1525),TEXT(D1525,"yyyy-mm-dd"),"no date")&amp;"|"&amp;E1525&amp;"|"&amp;IF(ISNUMBER(F1525),TEXT(F1525,"0.00"),"blank")</f>
        <v>Community Benefit Program Administration|2026-01-31|Administrative Assistant|46.75</v>
      </c>
      <c r="I1525" s="1" t="n">
        <f aca="false">COUNTIF($H$5:$H$1624,H1525)</f>
        <v>1</v>
      </c>
      <c r="J1525" s="1" t="n">
        <f aca="false">COUNTIF($H$5:H1525,H1525)</f>
        <v>1</v>
      </c>
      <c r="K1525" s="1" t="n">
        <f aca="false">COUNTIFS($H$5:$H$1624,H1525,$B$5:$B$1624,"&lt;&gt;"&amp;B1525)</f>
        <v>0</v>
      </c>
      <c r="L1525" s="1" t="str">
        <f aca="false">IF(I1525&gt;1,IF(K1525&gt;0,"Cross-hospital match","Same-hospital match"),"")</f>
        <v/>
      </c>
      <c r="M1525" s="52"/>
      <c r="N1525" s="52"/>
      <c r="O1525" s="1" t="n">
        <f aca="false">IF(M1525="Exclude (duplicate)",0,1)</f>
        <v>1</v>
      </c>
      <c r="P1525" s="1" t="str">
        <f aca="false">IF(AND(L1525&lt;&gt;"",M1525=""),"Needs decision","")</f>
        <v/>
      </c>
    </row>
    <row r="1526" customFormat="false" ht="15" hidden="false" customHeight="false" outlineLevel="0" collapsed="false">
      <c r="A1526" s="48" t="str">
        <f aca="false">COST!A1526</f>
        <v>QHH-0145</v>
      </c>
      <c r="B1526" s="48" t="str">
        <f aca="false">COST!B1526</f>
        <v>QHH</v>
      </c>
      <c r="C1526" s="48" t="str">
        <f aca="false">COST!D1526</f>
        <v>Community Benefit Program Administration</v>
      </c>
      <c r="D1526" s="62" t="n">
        <f aca="false">COST!M1526</f>
        <v>46053</v>
      </c>
      <c r="E1526" s="48" t="str">
        <f aca="false">COST!P1526</f>
        <v>Community Benefit Manager</v>
      </c>
      <c r="F1526" s="63" t="n">
        <f aca="false">COST!R1526</f>
        <v>64.25</v>
      </c>
      <c r="G1526" s="48" t="str">
        <f aca="false">STACK!M1526</f>
        <v/>
      </c>
      <c r="H1526" s="1" t="str">
        <f aca="false">C1526&amp;"|"&amp;IF(ISNUMBER(D1526),TEXT(D1526,"yyyy-mm-dd"),"no date")&amp;"|"&amp;E1526&amp;"|"&amp;IF(ISNUMBER(F1526),TEXT(F1526,"0.00"),"blank")</f>
        <v>Community Benefit Program Administration|2026-01-31|Community Benefit Manager|64.25</v>
      </c>
      <c r="I1526" s="1" t="n">
        <f aca="false">COUNTIF($H$5:$H$1624,H1526)</f>
        <v>1</v>
      </c>
      <c r="J1526" s="1" t="n">
        <f aca="false">COUNTIF($H$5:H1526,H1526)</f>
        <v>1</v>
      </c>
      <c r="K1526" s="1" t="n">
        <f aca="false">COUNTIFS($H$5:$H$1624,H1526,$B$5:$B$1624,"&lt;&gt;"&amp;B1526)</f>
        <v>0</v>
      </c>
      <c r="L1526" s="1" t="str">
        <f aca="false">IF(I1526&gt;1,IF(K1526&gt;0,"Cross-hospital match","Same-hospital match"),"")</f>
        <v/>
      </c>
      <c r="M1526" s="52"/>
      <c r="N1526" s="52"/>
      <c r="O1526" s="1" t="n">
        <f aca="false">IF(M1526="Exclude (duplicate)",0,1)</f>
        <v>1</v>
      </c>
      <c r="P1526" s="1" t="str">
        <f aca="false">IF(AND(L1526&lt;&gt;"",M1526=""),"Needs decision","")</f>
        <v/>
      </c>
    </row>
    <row r="1527" customFormat="false" ht="15" hidden="false" customHeight="false" outlineLevel="0" collapsed="false">
      <c r="A1527" s="48" t="str">
        <f aca="false">COST!A1527</f>
        <v>QHH-0146</v>
      </c>
      <c r="B1527" s="48" t="str">
        <f aca="false">COST!B1527</f>
        <v>QHH</v>
      </c>
      <c r="C1527" s="48" t="str">
        <f aca="false">COST!D1527</f>
        <v>Community Paramedic Home Visits</v>
      </c>
      <c r="D1527" s="62" t="n">
        <f aca="false">COST!M1527</f>
        <v>46053</v>
      </c>
      <c r="E1527" s="48" t="str">
        <f aca="false">COST!P1527</f>
        <v>Paramedic</v>
      </c>
      <c r="F1527" s="63" t="n">
        <f aca="false">COST!R1527</f>
        <v>71.5</v>
      </c>
      <c r="G1527" s="48" t="str">
        <f aca="false">STACK!M1527</f>
        <v/>
      </c>
      <c r="H1527" s="1" t="str">
        <f aca="false">C1527&amp;"|"&amp;IF(ISNUMBER(D1527),TEXT(D1527,"yyyy-mm-dd"),"no date")&amp;"|"&amp;E1527&amp;"|"&amp;IF(ISNUMBER(F1527),TEXT(F1527,"0.00"),"blank")</f>
        <v>Community Paramedic Home Visits|2026-01-31|Paramedic|71.50</v>
      </c>
      <c r="I1527" s="1" t="n">
        <f aca="false">COUNTIF($H$5:$H$1624,H1527)</f>
        <v>1</v>
      </c>
      <c r="J1527" s="1" t="n">
        <f aca="false">COUNTIF($H$5:H1527,H1527)</f>
        <v>1</v>
      </c>
      <c r="K1527" s="1" t="n">
        <f aca="false">COUNTIFS($H$5:$H$1624,H1527,$B$5:$B$1624,"&lt;&gt;"&amp;B1527)</f>
        <v>0</v>
      </c>
      <c r="L1527" s="1" t="str">
        <f aca="false">IF(I1527&gt;1,IF(K1527&gt;0,"Cross-hospital match","Same-hospital match"),"")</f>
        <v/>
      </c>
      <c r="M1527" s="52"/>
      <c r="N1527" s="52"/>
      <c r="O1527" s="1" t="n">
        <f aca="false">IF(M1527="Exclude (duplicate)",0,1)</f>
        <v>1</v>
      </c>
      <c r="P1527" s="1" t="str">
        <f aca="false">IF(AND(L1527&lt;&gt;"",M1527=""),"Needs decision","")</f>
        <v/>
      </c>
    </row>
    <row r="1528" customFormat="false" ht="15" hidden="false" customHeight="false" outlineLevel="0" collapsed="false">
      <c r="A1528" s="48" t="str">
        <f aca="false">COST!A1528</f>
        <v>QHH-0147</v>
      </c>
      <c r="B1528" s="48" t="str">
        <f aca="false">COST!B1528</f>
        <v>QHH</v>
      </c>
      <c r="C1528" s="48" t="str">
        <f aca="false">COST!D1528</f>
        <v>Nursing Student Clinical Rotations</v>
      </c>
      <c r="D1528" s="62" t="n">
        <f aca="false">COST!M1528</f>
        <v>46053</v>
      </c>
      <c r="E1528" s="48" t="str">
        <f aca="false">COST!P1528</f>
        <v>Clinical Nurse Educator</v>
      </c>
      <c r="F1528" s="63" t="n">
        <f aca="false">COST!R1528</f>
        <v>101.25</v>
      </c>
      <c r="G1528" s="48" t="str">
        <f aca="false">STACK!M1528</f>
        <v/>
      </c>
      <c r="H1528" s="1" t="str">
        <f aca="false">C1528&amp;"|"&amp;IF(ISNUMBER(D1528),TEXT(D1528,"yyyy-mm-dd"),"no date")&amp;"|"&amp;E1528&amp;"|"&amp;IF(ISNUMBER(F1528),TEXT(F1528,"0.00"),"blank")</f>
        <v>Nursing Student Clinical Rotations|2026-01-31|Clinical Nurse Educator|101.25</v>
      </c>
      <c r="I1528" s="1" t="n">
        <f aca="false">COUNTIF($H$5:$H$1624,H1528)</f>
        <v>1</v>
      </c>
      <c r="J1528" s="1" t="n">
        <f aca="false">COUNTIF($H$5:H1528,H1528)</f>
        <v>1</v>
      </c>
      <c r="K1528" s="1" t="n">
        <f aca="false">COUNTIFS($H$5:$H$1624,H1528,$B$5:$B$1624,"&lt;&gt;"&amp;B1528)</f>
        <v>0</v>
      </c>
      <c r="L1528" s="1" t="str">
        <f aca="false">IF(I1528&gt;1,IF(K1528&gt;0,"Cross-hospital match","Same-hospital match"),"")</f>
        <v/>
      </c>
      <c r="M1528" s="52"/>
      <c r="N1528" s="52"/>
      <c r="O1528" s="1" t="n">
        <f aca="false">IF(M1528="Exclude (duplicate)",0,1)</f>
        <v>1</v>
      </c>
      <c r="P1528" s="1" t="str">
        <f aca="false">IF(AND(L1528&lt;&gt;"",M1528=""),"Needs decision","")</f>
        <v/>
      </c>
    </row>
    <row r="1529" customFormat="false" ht="15" hidden="false" customHeight="false" outlineLevel="0" collapsed="false">
      <c r="A1529" s="48" t="str">
        <f aca="false">COST!A1529</f>
        <v>QHH-0148</v>
      </c>
      <c r="B1529" s="48" t="str">
        <f aca="false">COST!B1529</f>
        <v>QHH</v>
      </c>
      <c r="C1529" s="48" t="str">
        <f aca="false">COST!D1529</f>
        <v>Nursing Student Clinical Rotations</v>
      </c>
      <c r="D1529" s="62" t="n">
        <f aca="false">COST!M1529</f>
        <v>46053</v>
      </c>
      <c r="E1529" s="48" t="str">
        <f aca="false">COST!P1529</f>
        <v>Registered Nurse</v>
      </c>
      <c r="F1529" s="63" t="n">
        <f aca="false">COST!R1529</f>
        <v>156.75</v>
      </c>
      <c r="G1529" s="48" t="str">
        <f aca="false">STACK!M1529</f>
        <v/>
      </c>
      <c r="H1529" s="1" t="str">
        <f aca="false">C1529&amp;"|"&amp;IF(ISNUMBER(D1529),TEXT(D1529,"yyyy-mm-dd"),"no date")&amp;"|"&amp;E1529&amp;"|"&amp;IF(ISNUMBER(F1529),TEXT(F1529,"0.00"),"blank")</f>
        <v>Nursing Student Clinical Rotations|2026-01-31|Registered Nurse|156.75</v>
      </c>
      <c r="I1529" s="1" t="n">
        <f aca="false">COUNTIF($H$5:$H$1624,H1529)</f>
        <v>1</v>
      </c>
      <c r="J1529" s="1" t="n">
        <f aca="false">COUNTIF($H$5:H1529,H1529)</f>
        <v>1</v>
      </c>
      <c r="K1529" s="1" t="n">
        <f aca="false">COUNTIFS($H$5:$H$1624,H1529,$B$5:$B$1624,"&lt;&gt;"&amp;B1529)</f>
        <v>0</v>
      </c>
      <c r="L1529" s="1" t="str">
        <f aca="false">IF(I1529&gt;1,IF(K1529&gt;0,"Cross-hospital match","Same-hospital match"),"")</f>
        <v/>
      </c>
      <c r="M1529" s="52"/>
      <c r="N1529" s="52"/>
      <c r="O1529" s="1" t="n">
        <f aca="false">IF(M1529="Exclude (duplicate)",0,1)</f>
        <v>1</v>
      </c>
      <c r="P1529" s="1" t="str">
        <f aca="false">IF(AND(L1529&lt;&gt;"",M1529=""),"Needs decision","")</f>
        <v/>
      </c>
    </row>
    <row r="1530" customFormat="false" ht="15" hidden="false" customHeight="false" outlineLevel="0" collapsed="false">
      <c r="A1530" s="48" t="str">
        <f aca="false">COST!A1530</f>
        <v>QHH-0149</v>
      </c>
      <c r="B1530" s="48" t="str">
        <f aca="false">COST!B1530</f>
        <v>QHH</v>
      </c>
      <c r="C1530" s="48" t="str">
        <f aca="false">COST!D1530</f>
        <v>Regional Health Coalition</v>
      </c>
      <c r="D1530" s="62" t="n">
        <f aca="false">COST!M1530</f>
        <v>46053</v>
      </c>
      <c r="E1530" s="48" t="str">
        <f aca="false">COST!P1530</f>
        <v>Community Benefit Manager</v>
      </c>
      <c r="F1530" s="63" t="n">
        <f aca="false">COST!R1530</f>
        <v>2.5</v>
      </c>
      <c r="G1530" s="48" t="str">
        <f aca="false">STACK!M1530</f>
        <v/>
      </c>
      <c r="H1530" s="1" t="str">
        <f aca="false">C1530&amp;"|"&amp;IF(ISNUMBER(D1530),TEXT(D1530,"yyyy-mm-dd"),"no date")&amp;"|"&amp;E1530&amp;"|"&amp;IF(ISNUMBER(F1530),TEXT(F1530,"0.00"),"blank")</f>
        <v>Regional Health Coalition|2026-01-31|Community Benefit Manager|2.50</v>
      </c>
      <c r="I1530" s="1" t="n">
        <f aca="false">COUNTIF($H$5:$H$1624,H1530)</f>
        <v>1</v>
      </c>
      <c r="J1530" s="1" t="n">
        <f aca="false">COUNTIF($H$5:H1530,H1530)</f>
        <v>1</v>
      </c>
      <c r="K1530" s="1" t="n">
        <f aca="false">COUNTIFS($H$5:$H$1624,H1530,$B$5:$B$1624,"&lt;&gt;"&amp;B1530)</f>
        <v>0</v>
      </c>
      <c r="L1530" s="1" t="str">
        <f aca="false">IF(I1530&gt;1,IF(K1530&gt;0,"Cross-hospital match","Same-hospital match"),"")</f>
        <v/>
      </c>
      <c r="M1530" s="52"/>
      <c r="N1530" s="52"/>
      <c r="O1530" s="1" t="n">
        <f aca="false">IF(M1530="Exclude (duplicate)",0,1)</f>
        <v>1</v>
      </c>
      <c r="P1530" s="1" t="str">
        <f aca="false">IF(AND(L1530&lt;&gt;"",M1530=""),"Needs decision","")</f>
        <v/>
      </c>
    </row>
    <row r="1531" customFormat="false" ht="15" hidden="false" customHeight="false" outlineLevel="0" collapsed="false">
      <c r="A1531" s="48" t="str">
        <f aca="false">COST!A1531</f>
        <v>QHH-0150</v>
      </c>
      <c r="B1531" s="48" t="str">
        <f aca="false">COST!B1531</f>
        <v>QHH</v>
      </c>
      <c r="C1531" s="48" t="str">
        <f aca="false">COST!D1531</f>
        <v>Regional Health Coalition</v>
      </c>
      <c r="D1531" s="62" t="n">
        <f aca="false">COST!M1531</f>
        <v>46053</v>
      </c>
      <c r="E1531" s="48" t="str">
        <f aca="false">COST!P1531</f>
        <v>Director</v>
      </c>
      <c r="F1531" s="63" t="n">
        <f aca="false">COST!R1531</f>
        <v>2.25</v>
      </c>
      <c r="G1531" s="48" t="str">
        <f aca="false">STACK!M1531</f>
        <v/>
      </c>
      <c r="H1531" s="1" t="str">
        <f aca="false">C1531&amp;"|"&amp;IF(ISNUMBER(D1531),TEXT(D1531,"yyyy-mm-dd"),"no date")&amp;"|"&amp;E1531&amp;"|"&amp;IF(ISNUMBER(F1531),TEXT(F1531,"0.00"),"blank")</f>
        <v>Regional Health Coalition|2026-01-31|Director|2.25</v>
      </c>
      <c r="I1531" s="1" t="n">
        <f aca="false">COUNTIF($H$5:$H$1624,H1531)</f>
        <v>1</v>
      </c>
      <c r="J1531" s="1" t="n">
        <f aca="false">COUNTIF($H$5:H1531,H1531)</f>
        <v>1</v>
      </c>
      <c r="K1531" s="1" t="n">
        <f aca="false">COUNTIFS($H$5:$H$1624,H1531,$B$5:$B$1624,"&lt;&gt;"&amp;B1531)</f>
        <v>0</v>
      </c>
      <c r="L1531" s="1" t="str">
        <f aca="false">IF(I1531&gt;1,IF(K1531&gt;0,"Cross-hospital match","Same-hospital match"),"")</f>
        <v/>
      </c>
      <c r="M1531" s="52"/>
      <c r="N1531" s="52"/>
      <c r="O1531" s="1" t="n">
        <f aca="false">IF(M1531="Exclude (duplicate)",0,1)</f>
        <v>1</v>
      </c>
      <c r="P1531" s="1" t="str">
        <f aca="false">IF(AND(L1531&lt;&gt;"",M1531=""),"Needs decision","")</f>
        <v/>
      </c>
    </row>
    <row r="1532" customFormat="false" ht="15" hidden="false" customHeight="false" outlineLevel="0" collapsed="false">
      <c r="A1532" s="48" t="str">
        <f aca="false">COST!A1532</f>
        <v>QHH-0151</v>
      </c>
      <c r="B1532" s="48" t="str">
        <f aca="false">COST!B1532</f>
        <v>QHH</v>
      </c>
      <c r="C1532" s="48" t="str">
        <f aca="false">COST!D1532</f>
        <v>Community Blood Pressure Checks</v>
      </c>
      <c r="D1532" s="62" t="n">
        <f aca="false">COST!M1532</f>
        <v>46058</v>
      </c>
      <c r="E1532" s="48" t="str">
        <f aca="false">COST!P1532</f>
        <v>Registered Nurse</v>
      </c>
      <c r="F1532" s="63" t="n">
        <f aca="false">COST!R1532</f>
        <v>3.5</v>
      </c>
      <c r="G1532" s="48" t="str">
        <f aca="false">STACK!M1532</f>
        <v/>
      </c>
      <c r="H1532" s="1" t="str">
        <f aca="false">C1532&amp;"|"&amp;IF(ISNUMBER(D1532),TEXT(D1532,"yyyy-mm-dd"),"no date")&amp;"|"&amp;E1532&amp;"|"&amp;IF(ISNUMBER(F1532),TEXT(F1532,"0.00"),"blank")</f>
        <v>Community Blood Pressure Checks|2026-02-05|Registered Nurse|3.50</v>
      </c>
      <c r="I1532" s="1" t="n">
        <f aca="false">COUNTIF($H$5:$H$1624,H1532)</f>
        <v>1</v>
      </c>
      <c r="J1532" s="1" t="n">
        <f aca="false">COUNTIF($H$5:H1532,H1532)</f>
        <v>1</v>
      </c>
      <c r="K1532" s="1" t="n">
        <f aca="false">COUNTIFS($H$5:$H$1624,H1532,$B$5:$B$1624,"&lt;&gt;"&amp;B1532)</f>
        <v>0</v>
      </c>
      <c r="L1532" s="1" t="str">
        <f aca="false">IF(I1532&gt;1,IF(K1532&gt;0,"Cross-hospital match","Same-hospital match"),"")</f>
        <v/>
      </c>
      <c r="M1532" s="52"/>
      <c r="N1532" s="52"/>
      <c r="O1532" s="1" t="n">
        <f aca="false">IF(M1532="Exclude (duplicate)",0,1)</f>
        <v>1</v>
      </c>
      <c r="P1532" s="1" t="str">
        <f aca="false">IF(AND(L1532&lt;&gt;"",M1532=""),"Needs decision","")</f>
        <v/>
      </c>
    </row>
    <row r="1533" customFormat="false" ht="15" hidden="false" customHeight="false" outlineLevel="0" collapsed="false">
      <c r="A1533" s="48" t="str">
        <f aca="false">COST!A1533</f>
        <v>QHH-0152</v>
      </c>
      <c r="B1533" s="48" t="str">
        <f aca="false">COST!B1533</f>
        <v>QHH</v>
      </c>
      <c r="C1533" s="48" t="str">
        <f aca="false">COST!D1533</f>
        <v>Fall Prevention Classes for Older Adults</v>
      </c>
      <c r="D1533" s="62" t="n">
        <f aca="false">COST!M1533</f>
        <v>46065</v>
      </c>
      <c r="E1533" s="48" t="str">
        <f aca="false">COST!P1533</f>
        <v>Licensed Therapist</v>
      </c>
      <c r="F1533" s="63" t="n">
        <f aca="false">COST!R1533</f>
        <v>2</v>
      </c>
      <c r="G1533" s="48" t="str">
        <f aca="false">STACK!M1533</f>
        <v/>
      </c>
      <c r="H1533" s="1" t="str">
        <f aca="false">C1533&amp;"|"&amp;IF(ISNUMBER(D1533),TEXT(D1533,"yyyy-mm-dd"),"no date")&amp;"|"&amp;E1533&amp;"|"&amp;IF(ISNUMBER(F1533),TEXT(F1533,"0.00"),"blank")</f>
        <v>Fall Prevention Classes for Older Adults|2026-02-12|Licensed Therapist|2.00</v>
      </c>
      <c r="I1533" s="1" t="n">
        <f aca="false">COUNTIF($H$5:$H$1624,H1533)</f>
        <v>1</v>
      </c>
      <c r="J1533" s="1" t="n">
        <f aca="false">COUNTIF($H$5:H1533,H1533)</f>
        <v>1</v>
      </c>
      <c r="K1533" s="1" t="n">
        <f aca="false">COUNTIFS($H$5:$H$1624,H1533,$B$5:$B$1624,"&lt;&gt;"&amp;B1533)</f>
        <v>0</v>
      </c>
      <c r="L1533" s="1" t="str">
        <f aca="false">IF(I1533&gt;1,IF(K1533&gt;0,"Cross-hospital match","Same-hospital match"),"")</f>
        <v/>
      </c>
      <c r="M1533" s="52"/>
      <c r="N1533" s="52"/>
      <c r="O1533" s="1" t="n">
        <f aca="false">IF(M1533="Exclude (duplicate)",0,1)</f>
        <v>1</v>
      </c>
      <c r="P1533" s="1" t="str">
        <f aca="false">IF(AND(L1533&lt;&gt;"",M1533=""),"Needs decision","")</f>
        <v/>
      </c>
    </row>
    <row r="1534" customFormat="false" ht="15" hidden="false" customHeight="false" outlineLevel="0" collapsed="false">
      <c r="A1534" s="48" t="str">
        <f aca="false">COST!A1534</f>
        <v>QHH-0153</v>
      </c>
      <c r="B1534" s="48" t="str">
        <f aca="false">COST!B1534</f>
        <v>QHH</v>
      </c>
      <c r="C1534" s="48" t="str">
        <f aca="false">COST!D1534</f>
        <v>Regional Health Coalition</v>
      </c>
      <c r="D1534" s="62" t="n">
        <f aca="false">COST!M1534</f>
        <v>46074</v>
      </c>
      <c r="E1534" s="48" t="str">
        <f aca="false">COST!P1534</f>
        <v>Community Benefit Manager</v>
      </c>
      <c r="F1534" s="63" t="n">
        <f aca="false">COST!R1534</f>
        <v>2.75</v>
      </c>
      <c r="G1534" s="48" t="str">
        <f aca="false">STACK!M1534</f>
        <v/>
      </c>
      <c r="H1534" s="1" t="str">
        <f aca="false">C1534&amp;"|"&amp;IF(ISNUMBER(D1534),TEXT(D1534,"yyyy-mm-dd"),"no date")&amp;"|"&amp;E1534&amp;"|"&amp;IF(ISNUMBER(F1534),TEXT(F1534,"0.00"),"blank")</f>
        <v>Regional Health Coalition|2026-02-21|Community Benefit Manager|2.75</v>
      </c>
      <c r="I1534" s="1" t="n">
        <f aca="false">COUNTIF($H$5:$H$1624,H1534)</f>
        <v>1</v>
      </c>
      <c r="J1534" s="1" t="n">
        <f aca="false">COUNTIF($H$5:H1534,H1534)</f>
        <v>1</v>
      </c>
      <c r="K1534" s="1" t="n">
        <f aca="false">COUNTIFS($H$5:$H$1624,H1534,$B$5:$B$1624,"&lt;&gt;"&amp;B1534)</f>
        <v>0</v>
      </c>
      <c r="L1534" s="1" t="str">
        <f aca="false">IF(I1534&gt;1,IF(K1534&gt;0,"Cross-hospital match","Same-hospital match"),"")</f>
        <v/>
      </c>
      <c r="M1534" s="52"/>
      <c r="N1534" s="52"/>
      <c r="O1534" s="1" t="n">
        <f aca="false">IF(M1534="Exclude (duplicate)",0,1)</f>
        <v>1</v>
      </c>
      <c r="P1534" s="1" t="str">
        <f aca="false">IF(AND(L1534&lt;&gt;"",M1534=""),"Needs decision","")</f>
        <v/>
      </c>
    </row>
    <row r="1535" customFormat="false" ht="15" hidden="false" customHeight="false" outlineLevel="0" collapsed="false">
      <c r="A1535" s="48" t="str">
        <f aca="false">COST!A1535</f>
        <v>QHH-0154</v>
      </c>
      <c r="B1535" s="48" t="str">
        <f aca="false">COST!B1535</f>
        <v>QHH</v>
      </c>
      <c r="C1535" s="48" t="str">
        <f aca="false">COST!D1535</f>
        <v>Regional Health Coalition</v>
      </c>
      <c r="D1535" s="62" t="n">
        <f aca="false">COST!M1535</f>
        <v>46074</v>
      </c>
      <c r="E1535" s="48" t="str">
        <f aca="false">COST!P1535</f>
        <v>Director</v>
      </c>
      <c r="F1535" s="63" t="n">
        <f aca="false">COST!R1535</f>
        <v>2.5</v>
      </c>
      <c r="G1535" s="48" t="str">
        <f aca="false">STACK!M1535</f>
        <v/>
      </c>
      <c r="H1535" s="1" t="str">
        <f aca="false">C1535&amp;"|"&amp;IF(ISNUMBER(D1535),TEXT(D1535,"yyyy-mm-dd"),"no date")&amp;"|"&amp;E1535&amp;"|"&amp;IF(ISNUMBER(F1535),TEXT(F1535,"0.00"),"blank")</f>
        <v>Regional Health Coalition|2026-02-21|Director|2.50</v>
      </c>
      <c r="I1535" s="1" t="n">
        <f aca="false">COUNTIF($H$5:$H$1624,H1535)</f>
        <v>1</v>
      </c>
      <c r="J1535" s="1" t="n">
        <f aca="false">COUNTIF($H$5:H1535,H1535)</f>
        <v>1</v>
      </c>
      <c r="K1535" s="1" t="n">
        <f aca="false">COUNTIFS($H$5:$H$1624,H1535,$B$5:$B$1624,"&lt;&gt;"&amp;B1535)</f>
        <v>0</v>
      </c>
      <c r="L1535" s="1" t="str">
        <f aca="false">IF(I1535&gt;1,IF(K1535&gt;0,"Cross-hospital match","Same-hospital match"),"")</f>
        <v/>
      </c>
      <c r="M1535" s="52"/>
      <c r="N1535" s="52"/>
      <c r="O1535" s="1" t="n">
        <f aca="false">IF(M1535="Exclude (duplicate)",0,1)</f>
        <v>1</v>
      </c>
      <c r="P1535" s="1" t="str">
        <f aca="false">IF(AND(L1535&lt;&gt;"",M1535=""),"Needs decision","")</f>
        <v/>
      </c>
    </row>
    <row r="1536" customFormat="false" ht="15" hidden="false" customHeight="false" outlineLevel="0" collapsed="false">
      <c r="A1536" s="48" t="str">
        <f aca="false">COST!A1536</f>
        <v>QHH-0155</v>
      </c>
      <c r="B1536" s="48" t="str">
        <f aca="false">COST!B1536</f>
        <v>QHH</v>
      </c>
      <c r="C1536" s="48" t="str">
        <f aca="false">COST!D1536</f>
        <v>Car Seat Safety Checks</v>
      </c>
      <c r="D1536" s="62" t="n">
        <f aca="false">COST!M1536</f>
        <v>46077</v>
      </c>
      <c r="E1536" s="48" t="str">
        <f aca="false">COST!P1536</f>
        <v>Paramedic</v>
      </c>
      <c r="F1536" s="63" t="n">
        <f aca="false">COST!R1536</f>
        <v>4</v>
      </c>
      <c r="G1536" s="48" t="str">
        <f aca="false">STACK!M1536</f>
        <v/>
      </c>
      <c r="H1536" s="1" t="str">
        <f aca="false">C1536&amp;"|"&amp;IF(ISNUMBER(D1536),TEXT(D1536,"yyyy-mm-dd"),"no date")&amp;"|"&amp;E1536&amp;"|"&amp;IF(ISNUMBER(F1536),TEXT(F1536,"0.00"),"blank")</f>
        <v>Car Seat Safety Checks|2026-02-24|Paramedic|4.00</v>
      </c>
      <c r="I1536" s="1" t="n">
        <f aca="false">COUNTIF($H$5:$H$1624,H1536)</f>
        <v>1</v>
      </c>
      <c r="J1536" s="1" t="n">
        <f aca="false">COUNTIF($H$5:H1536,H1536)</f>
        <v>1</v>
      </c>
      <c r="K1536" s="1" t="n">
        <f aca="false">COUNTIFS($H$5:$H$1624,H1536,$B$5:$B$1624,"&lt;&gt;"&amp;B1536)</f>
        <v>0</v>
      </c>
      <c r="L1536" s="1" t="str">
        <f aca="false">IF(I1536&gt;1,IF(K1536&gt;0,"Cross-hospital match","Same-hospital match"),"")</f>
        <v/>
      </c>
      <c r="M1536" s="52"/>
      <c r="N1536" s="52"/>
      <c r="O1536" s="1" t="n">
        <f aca="false">IF(M1536="Exclude (duplicate)",0,1)</f>
        <v>1</v>
      </c>
      <c r="P1536" s="1" t="str">
        <f aca="false">IF(AND(L1536&lt;&gt;"",M1536=""),"Needs decision","")</f>
        <v/>
      </c>
    </row>
    <row r="1537" customFormat="false" ht="15" hidden="false" customHeight="false" outlineLevel="0" collapsed="false">
      <c r="A1537" s="48" t="str">
        <f aca="false">COST!A1537</f>
        <v>QHH-0156</v>
      </c>
      <c r="B1537" s="48" t="str">
        <f aca="false">COST!B1537</f>
        <v>QHH</v>
      </c>
      <c r="C1537" s="48" t="str">
        <f aca="false">COST!D1537</f>
        <v>Car Seat Safety Checks</v>
      </c>
      <c r="D1537" s="62" t="n">
        <f aca="false">COST!M1537</f>
        <v>46077</v>
      </c>
      <c r="E1537" s="48" t="str">
        <f aca="false">COST!P1537</f>
        <v>Registered Nurse</v>
      </c>
      <c r="F1537" s="63" t="n">
        <f aca="false">COST!R1537</f>
        <v>4</v>
      </c>
      <c r="G1537" s="48" t="str">
        <f aca="false">STACK!M1537</f>
        <v/>
      </c>
      <c r="H1537" s="1" t="str">
        <f aca="false">C1537&amp;"|"&amp;IF(ISNUMBER(D1537),TEXT(D1537,"yyyy-mm-dd"),"no date")&amp;"|"&amp;E1537&amp;"|"&amp;IF(ISNUMBER(F1537),TEXT(F1537,"0.00"),"blank")</f>
        <v>Car Seat Safety Checks|2026-02-24|Registered Nurse|4.00</v>
      </c>
      <c r="I1537" s="1" t="n">
        <f aca="false">COUNTIF($H$5:$H$1624,H1537)</f>
        <v>1</v>
      </c>
      <c r="J1537" s="1" t="n">
        <f aca="false">COUNTIF($H$5:H1537,H1537)</f>
        <v>1</v>
      </c>
      <c r="K1537" s="1" t="n">
        <f aca="false">COUNTIFS($H$5:$H$1624,H1537,$B$5:$B$1624,"&lt;&gt;"&amp;B1537)</f>
        <v>0</v>
      </c>
      <c r="L1537" s="1" t="str">
        <f aca="false">IF(I1537&gt;1,IF(K1537&gt;0,"Cross-hospital match","Same-hospital match"),"")</f>
        <v/>
      </c>
      <c r="M1537" s="52"/>
      <c r="N1537" s="52"/>
      <c r="O1537" s="1" t="n">
        <f aca="false">IF(M1537="Exclude (duplicate)",0,1)</f>
        <v>1</v>
      </c>
      <c r="P1537" s="1" t="str">
        <f aca="false">IF(AND(L1537&lt;&gt;"",M1537=""),"Needs decision","")</f>
        <v/>
      </c>
    </row>
    <row r="1538" customFormat="false" ht="15" hidden="false" customHeight="false" outlineLevel="0" collapsed="false">
      <c r="A1538" s="48" t="str">
        <f aca="false">COST!A1538</f>
        <v>QHH-0157</v>
      </c>
      <c r="B1538" s="48" t="str">
        <f aca="false">COST!B1538</f>
        <v>QHH</v>
      </c>
      <c r="C1538" s="48" t="str">
        <f aca="false">COST!D1538</f>
        <v>Childbirth and Newborn Care Classes</v>
      </c>
      <c r="D1538" s="62" t="n">
        <f aca="false">COST!M1538</f>
        <v>46081</v>
      </c>
      <c r="E1538" s="48" t="str">
        <f aca="false">COST!P1538</f>
        <v>Clinical Nurse Educator</v>
      </c>
      <c r="F1538" s="63" t="n">
        <f aca="false">COST!R1538</f>
        <v>3.25</v>
      </c>
      <c r="G1538" s="48" t="str">
        <f aca="false">STACK!M1538</f>
        <v/>
      </c>
      <c r="H1538" s="1" t="str">
        <f aca="false">C1538&amp;"|"&amp;IF(ISNUMBER(D1538),TEXT(D1538,"yyyy-mm-dd"),"no date")&amp;"|"&amp;E1538&amp;"|"&amp;IF(ISNUMBER(F1538),TEXT(F1538,"0.00"),"blank")</f>
        <v>Childbirth and Newborn Care Classes|2026-02-28|Clinical Nurse Educator|3.25</v>
      </c>
      <c r="I1538" s="1" t="n">
        <f aca="false">COUNTIF($H$5:$H$1624,H1538)</f>
        <v>1</v>
      </c>
      <c r="J1538" s="1" t="n">
        <f aca="false">COUNTIF($H$5:H1538,H1538)</f>
        <v>1</v>
      </c>
      <c r="K1538" s="1" t="n">
        <f aca="false">COUNTIFS($H$5:$H$1624,H1538,$B$5:$B$1624,"&lt;&gt;"&amp;B1538)</f>
        <v>0</v>
      </c>
      <c r="L1538" s="1" t="str">
        <f aca="false">IF(I1538&gt;1,IF(K1538&gt;0,"Cross-hospital match","Same-hospital match"),"")</f>
        <v/>
      </c>
      <c r="M1538" s="52"/>
      <c r="N1538" s="52"/>
      <c r="O1538" s="1" t="n">
        <f aca="false">IF(M1538="Exclude (duplicate)",0,1)</f>
        <v>1</v>
      </c>
      <c r="P1538" s="1" t="str">
        <f aca="false">IF(AND(L1538&lt;&gt;"",M1538=""),"Needs decision","")</f>
        <v/>
      </c>
    </row>
    <row r="1539" customFormat="false" ht="15" hidden="false" customHeight="false" outlineLevel="0" collapsed="false">
      <c r="A1539" s="48" t="str">
        <f aca="false">COST!A1539</f>
        <v>QHH-0158</v>
      </c>
      <c r="B1539" s="48" t="str">
        <f aca="false">COST!B1539</f>
        <v>QHH</v>
      </c>
      <c r="C1539" s="48" t="str">
        <f aca="false">COST!D1539</f>
        <v>Car Seat Safety Checks</v>
      </c>
      <c r="D1539" s="62" t="n">
        <f aca="false">COST!M1539</f>
        <v>46081</v>
      </c>
      <c r="E1539" s="48" t="str">
        <f aca="false">COST!P1539</f>
        <v>Paramedic</v>
      </c>
      <c r="F1539" s="63" t="n">
        <f aca="false">COST!R1539</f>
        <v>3.25</v>
      </c>
      <c r="G1539" s="48" t="str">
        <f aca="false">STACK!M1539</f>
        <v/>
      </c>
      <c r="H1539" s="1" t="str">
        <f aca="false">C1539&amp;"|"&amp;IF(ISNUMBER(D1539),TEXT(D1539,"yyyy-mm-dd"),"no date")&amp;"|"&amp;E1539&amp;"|"&amp;IF(ISNUMBER(F1539),TEXT(F1539,"0.00"),"blank")</f>
        <v>Car Seat Safety Checks|2026-02-28|Paramedic|3.25</v>
      </c>
      <c r="I1539" s="1" t="n">
        <f aca="false">COUNTIF($H$5:$H$1624,H1539)</f>
        <v>1</v>
      </c>
      <c r="J1539" s="1" t="n">
        <f aca="false">COUNTIF($H$5:H1539,H1539)</f>
        <v>1</v>
      </c>
      <c r="K1539" s="1" t="n">
        <f aca="false">COUNTIFS($H$5:$H$1624,H1539,$B$5:$B$1624,"&lt;&gt;"&amp;B1539)</f>
        <v>0</v>
      </c>
      <c r="L1539" s="1" t="str">
        <f aca="false">IF(I1539&gt;1,IF(K1539&gt;0,"Cross-hospital match","Same-hospital match"),"")</f>
        <v/>
      </c>
      <c r="M1539" s="52"/>
      <c r="N1539" s="52"/>
      <c r="O1539" s="1" t="n">
        <f aca="false">IF(M1539="Exclude (duplicate)",0,1)</f>
        <v>1</v>
      </c>
      <c r="P1539" s="1" t="str">
        <f aca="false">IF(AND(L1539&lt;&gt;"",M1539=""),"Needs decision","")</f>
        <v/>
      </c>
    </row>
    <row r="1540" customFormat="false" ht="15" hidden="false" customHeight="false" outlineLevel="0" collapsed="false">
      <c r="A1540" s="48" t="str">
        <f aca="false">COST!A1540</f>
        <v>QHH-0159</v>
      </c>
      <c r="B1540" s="48" t="str">
        <f aca="false">COST!B1540</f>
        <v>QHH</v>
      </c>
      <c r="C1540" s="48" t="str">
        <f aca="false">COST!D1540</f>
        <v>Car Seat Safety Checks</v>
      </c>
      <c r="D1540" s="62" t="n">
        <f aca="false">COST!M1540</f>
        <v>46081</v>
      </c>
      <c r="E1540" s="48" t="str">
        <f aca="false">COST!P1540</f>
        <v>Registered Nurse</v>
      </c>
      <c r="F1540" s="63" t="n">
        <f aca="false">COST!R1540</f>
        <v>3.25</v>
      </c>
      <c r="G1540" s="48" t="str">
        <f aca="false">STACK!M1540</f>
        <v/>
      </c>
      <c r="H1540" s="1" t="str">
        <f aca="false">C1540&amp;"|"&amp;IF(ISNUMBER(D1540),TEXT(D1540,"yyyy-mm-dd"),"no date")&amp;"|"&amp;E1540&amp;"|"&amp;IF(ISNUMBER(F1540),TEXT(F1540,"0.00"),"blank")</f>
        <v>Car Seat Safety Checks|2026-02-28|Registered Nurse|3.25</v>
      </c>
      <c r="I1540" s="1" t="n">
        <f aca="false">COUNTIF($H$5:$H$1624,H1540)</f>
        <v>1</v>
      </c>
      <c r="J1540" s="1" t="n">
        <f aca="false">COUNTIF($H$5:H1540,H1540)</f>
        <v>1</v>
      </c>
      <c r="K1540" s="1" t="n">
        <f aca="false">COUNTIFS($H$5:$H$1624,H1540,$B$5:$B$1624,"&lt;&gt;"&amp;B1540)</f>
        <v>0</v>
      </c>
      <c r="L1540" s="1" t="str">
        <f aca="false">IF(I1540&gt;1,IF(K1540&gt;0,"Cross-hospital match","Same-hospital match"),"")</f>
        <v/>
      </c>
      <c r="M1540" s="52"/>
      <c r="N1540" s="52"/>
      <c r="O1540" s="1" t="n">
        <f aca="false">IF(M1540="Exclude (duplicate)",0,1)</f>
        <v>1</v>
      </c>
      <c r="P1540" s="1" t="str">
        <f aca="false">IF(AND(L1540&lt;&gt;"",M1540=""),"Needs decision","")</f>
        <v/>
      </c>
    </row>
    <row r="1541" customFormat="false" ht="15" hidden="false" customHeight="false" outlineLevel="0" collapsed="false">
      <c r="A1541" s="48" t="str">
        <f aca="false">COST!A1541</f>
        <v>QHH-0160</v>
      </c>
      <c r="B1541" s="48" t="str">
        <f aca="false">COST!B1541</f>
        <v>QHH</v>
      </c>
      <c r="C1541" s="48" t="str">
        <f aca="false">COST!D1541</f>
        <v>Medication Assistance Program</v>
      </c>
      <c r="D1541" s="62" t="n">
        <f aca="false">COST!M1541</f>
        <v>46081</v>
      </c>
      <c r="E1541" s="48" t="str">
        <f aca="false">COST!P1541</f>
        <v>Patient Navigator</v>
      </c>
      <c r="F1541" s="63" t="n">
        <f aca="false">COST!R1541</f>
        <v>73.75</v>
      </c>
      <c r="G1541" s="48" t="str">
        <f aca="false">STACK!M1541</f>
        <v/>
      </c>
      <c r="H1541" s="1" t="str">
        <f aca="false">C1541&amp;"|"&amp;IF(ISNUMBER(D1541),TEXT(D1541,"yyyy-mm-dd"),"no date")&amp;"|"&amp;E1541&amp;"|"&amp;IF(ISNUMBER(F1541),TEXT(F1541,"0.00"),"blank")</f>
        <v>Medication Assistance Program|2026-02-28|Patient Navigator|73.75</v>
      </c>
      <c r="I1541" s="1" t="n">
        <f aca="false">COUNTIF($H$5:$H$1624,H1541)</f>
        <v>1</v>
      </c>
      <c r="J1541" s="1" t="n">
        <f aca="false">COUNTIF($H$5:H1541,H1541)</f>
        <v>1</v>
      </c>
      <c r="K1541" s="1" t="n">
        <f aca="false">COUNTIFS($H$5:$H$1624,H1541,$B$5:$B$1624,"&lt;&gt;"&amp;B1541)</f>
        <v>0</v>
      </c>
      <c r="L1541" s="1" t="str">
        <f aca="false">IF(I1541&gt;1,IF(K1541&gt;0,"Cross-hospital match","Same-hospital match"),"")</f>
        <v/>
      </c>
      <c r="M1541" s="52"/>
      <c r="N1541" s="52"/>
      <c r="O1541" s="1" t="n">
        <f aca="false">IF(M1541="Exclude (duplicate)",0,1)</f>
        <v>1</v>
      </c>
      <c r="P1541" s="1" t="str">
        <f aca="false">IF(AND(L1541&lt;&gt;"",M1541=""),"Needs decision","")</f>
        <v/>
      </c>
    </row>
    <row r="1542" customFormat="false" ht="15" hidden="false" customHeight="false" outlineLevel="0" collapsed="false">
      <c r="A1542" s="48" t="str">
        <f aca="false">COST!A1542</f>
        <v>QHH-0161</v>
      </c>
      <c r="B1542" s="48" t="str">
        <f aca="false">COST!B1542</f>
        <v>QHH</v>
      </c>
      <c r="C1542" s="48" t="str">
        <f aca="false">COST!D1542</f>
        <v>Medication Assistance Program</v>
      </c>
      <c r="D1542" s="62" t="n">
        <f aca="false">COST!M1542</f>
        <v>46081</v>
      </c>
      <c r="E1542" s="48" t="str">
        <f aca="false">COST!P1542</f>
        <v>Pharmacist</v>
      </c>
      <c r="F1542" s="63" t="n">
        <f aca="false">COST!R1542</f>
        <v>20.25</v>
      </c>
      <c r="G1542" s="48" t="str">
        <f aca="false">STACK!M1542</f>
        <v/>
      </c>
      <c r="H1542" s="1" t="str">
        <f aca="false">C1542&amp;"|"&amp;IF(ISNUMBER(D1542),TEXT(D1542,"yyyy-mm-dd"),"no date")&amp;"|"&amp;E1542&amp;"|"&amp;IF(ISNUMBER(F1542),TEXT(F1542,"0.00"),"blank")</f>
        <v>Medication Assistance Program|2026-02-28|Pharmacist|20.25</v>
      </c>
      <c r="I1542" s="1" t="n">
        <f aca="false">COUNTIF($H$5:$H$1624,H1542)</f>
        <v>1</v>
      </c>
      <c r="J1542" s="1" t="n">
        <f aca="false">COUNTIF($H$5:H1542,H1542)</f>
        <v>1</v>
      </c>
      <c r="K1542" s="1" t="n">
        <f aca="false">COUNTIFS($H$5:$H$1624,H1542,$B$5:$B$1624,"&lt;&gt;"&amp;B1542)</f>
        <v>0</v>
      </c>
      <c r="L1542" s="1" t="str">
        <f aca="false">IF(I1542&gt;1,IF(K1542&gt;0,"Cross-hospital match","Same-hospital match"),"")</f>
        <v/>
      </c>
      <c r="M1542" s="52"/>
      <c r="N1542" s="52"/>
      <c r="O1542" s="1" t="n">
        <f aca="false">IF(M1542="Exclude (duplicate)",0,1)</f>
        <v>1</v>
      </c>
      <c r="P1542" s="1" t="str">
        <f aca="false">IF(AND(L1542&lt;&gt;"",M1542=""),"Needs decision","")</f>
        <v/>
      </c>
    </row>
    <row r="1543" customFormat="false" ht="15" hidden="false" customHeight="false" outlineLevel="0" collapsed="false">
      <c r="A1543" s="48" t="str">
        <f aca="false">COST!A1543</f>
        <v>QHH-0162</v>
      </c>
      <c r="B1543" s="48" t="str">
        <f aca="false">COST!B1543</f>
        <v>QHH</v>
      </c>
      <c r="C1543" s="48" t="str">
        <f aca="false">COST!D1543</f>
        <v>Community Benefit Program Administration</v>
      </c>
      <c r="D1543" s="62" t="n">
        <f aca="false">COST!M1543</f>
        <v>46081</v>
      </c>
      <c r="E1543" s="48" t="str">
        <f aca="false">COST!P1543</f>
        <v>Administrative Assistant</v>
      </c>
      <c r="F1543" s="63" t="n">
        <f aca="false">COST!R1543</f>
        <v>41.25</v>
      </c>
      <c r="G1543" s="48" t="str">
        <f aca="false">STACK!M1543</f>
        <v/>
      </c>
      <c r="H1543" s="1" t="str">
        <f aca="false">C1543&amp;"|"&amp;IF(ISNUMBER(D1543),TEXT(D1543,"yyyy-mm-dd"),"no date")&amp;"|"&amp;E1543&amp;"|"&amp;IF(ISNUMBER(F1543),TEXT(F1543,"0.00"),"blank")</f>
        <v>Community Benefit Program Administration|2026-02-28|Administrative Assistant|41.25</v>
      </c>
      <c r="I1543" s="1" t="n">
        <f aca="false">COUNTIF($H$5:$H$1624,H1543)</f>
        <v>1</v>
      </c>
      <c r="J1543" s="1" t="n">
        <f aca="false">COUNTIF($H$5:H1543,H1543)</f>
        <v>1</v>
      </c>
      <c r="K1543" s="1" t="n">
        <f aca="false">COUNTIFS($H$5:$H$1624,H1543,$B$5:$B$1624,"&lt;&gt;"&amp;B1543)</f>
        <v>0</v>
      </c>
      <c r="L1543" s="1" t="str">
        <f aca="false">IF(I1543&gt;1,IF(K1543&gt;0,"Cross-hospital match","Same-hospital match"),"")</f>
        <v/>
      </c>
      <c r="M1543" s="52"/>
      <c r="N1543" s="52"/>
      <c r="O1543" s="1" t="n">
        <f aca="false">IF(M1543="Exclude (duplicate)",0,1)</f>
        <v>1</v>
      </c>
      <c r="P1543" s="1" t="str">
        <f aca="false">IF(AND(L1543&lt;&gt;"",M1543=""),"Needs decision","")</f>
        <v/>
      </c>
    </row>
    <row r="1544" customFormat="false" ht="15" hidden="false" customHeight="false" outlineLevel="0" collapsed="false">
      <c r="A1544" s="48" t="str">
        <f aca="false">COST!A1544</f>
        <v>QHH-0163</v>
      </c>
      <c r="B1544" s="48" t="str">
        <f aca="false">COST!B1544</f>
        <v>QHH</v>
      </c>
      <c r="C1544" s="48" t="str">
        <f aca="false">COST!D1544</f>
        <v>Community Benefit Program Administration</v>
      </c>
      <c r="D1544" s="62" t="n">
        <f aca="false">COST!M1544</f>
        <v>46081</v>
      </c>
      <c r="E1544" s="48" t="str">
        <f aca="false">COST!P1544</f>
        <v>Community Benefit Manager</v>
      </c>
      <c r="F1544" s="63" t="n">
        <f aca="false">COST!R1544</f>
        <v>66</v>
      </c>
      <c r="G1544" s="48" t="str">
        <f aca="false">STACK!M1544</f>
        <v/>
      </c>
      <c r="H1544" s="1" t="str">
        <f aca="false">C1544&amp;"|"&amp;IF(ISNUMBER(D1544),TEXT(D1544,"yyyy-mm-dd"),"no date")&amp;"|"&amp;E1544&amp;"|"&amp;IF(ISNUMBER(F1544),TEXT(F1544,"0.00"),"blank")</f>
        <v>Community Benefit Program Administration|2026-02-28|Community Benefit Manager|66.00</v>
      </c>
      <c r="I1544" s="1" t="n">
        <f aca="false">COUNTIF($H$5:$H$1624,H1544)</f>
        <v>1</v>
      </c>
      <c r="J1544" s="1" t="n">
        <f aca="false">COUNTIF($H$5:H1544,H1544)</f>
        <v>1</v>
      </c>
      <c r="K1544" s="1" t="n">
        <f aca="false">COUNTIFS($H$5:$H$1624,H1544,$B$5:$B$1624,"&lt;&gt;"&amp;B1544)</f>
        <v>0</v>
      </c>
      <c r="L1544" s="1" t="str">
        <f aca="false">IF(I1544&gt;1,IF(K1544&gt;0,"Cross-hospital match","Same-hospital match"),"")</f>
        <v/>
      </c>
      <c r="M1544" s="52"/>
      <c r="N1544" s="52"/>
      <c r="O1544" s="1" t="n">
        <f aca="false">IF(M1544="Exclude (duplicate)",0,1)</f>
        <v>1</v>
      </c>
      <c r="P1544" s="1" t="str">
        <f aca="false">IF(AND(L1544&lt;&gt;"",M1544=""),"Needs decision","")</f>
        <v/>
      </c>
    </row>
    <row r="1545" customFormat="false" ht="15" hidden="false" customHeight="false" outlineLevel="0" collapsed="false">
      <c r="A1545" s="48" t="str">
        <f aca="false">COST!A1545</f>
        <v>QHH-0164</v>
      </c>
      <c r="B1545" s="48" t="str">
        <f aca="false">COST!B1545</f>
        <v>QHH</v>
      </c>
      <c r="C1545" s="48" t="str">
        <f aca="false">COST!D1545</f>
        <v>Community Paramedic Home Visits</v>
      </c>
      <c r="D1545" s="62" t="n">
        <f aca="false">COST!M1545</f>
        <v>46081</v>
      </c>
      <c r="E1545" s="48" t="str">
        <f aca="false">COST!P1545</f>
        <v>Paramedic</v>
      </c>
      <c r="F1545" s="63" t="n">
        <f aca="false">COST!R1545</f>
        <v>68.75</v>
      </c>
      <c r="G1545" s="48" t="str">
        <f aca="false">STACK!M1545</f>
        <v/>
      </c>
      <c r="H1545" s="1" t="str">
        <f aca="false">C1545&amp;"|"&amp;IF(ISNUMBER(D1545),TEXT(D1545,"yyyy-mm-dd"),"no date")&amp;"|"&amp;E1545&amp;"|"&amp;IF(ISNUMBER(F1545),TEXT(F1545,"0.00"),"blank")</f>
        <v>Community Paramedic Home Visits|2026-02-28|Paramedic|68.75</v>
      </c>
      <c r="I1545" s="1" t="n">
        <f aca="false">COUNTIF($H$5:$H$1624,H1545)</f>
        <v>1</v>
      </c>
      <c r="J1545" s="1" t="n">
        <f aca="false">COUNTIF($H$5:H1545,H1545)</f>
        <v>1</v>
      </c>
      <c r="K1545" s="1" t="n">
        <f aca="false">COUNTIFS($H$5:$H$1624,H1545,$B$5:$B$1624,"&lt;&gt;"&amp;B1545)</f>
        <v>0</v>
      </c>
      <c r="L1545" s="1" t="str">
        <f aca="false">IF(I1545&gt;1,IF(K1545&gt;0,"Cross-hospital match","Same-hospital match"),"")</f>
        <v/>
      </c>
      <c r="M1545" s="52"/>
      <c r="N1545" s="52"/>
      <c r="O1545" s="1" t="n">
        <f aca="false">IF(M1545="Exclude (duplicate)",0,1)</f>
        <v>1</v>
      </c>
      <c r="P1545" s="1" t="str">
        <f aca="false">IF(AND(L1545&lt;&gt;"",M1545=""),"Needs decision","")</f>
        <v/>
      </c>
    </row>
    <row r="1546" customFormat="false" ht="15" hidden="false" customHeight="false" outlineLevel="0" collapsed="false">
      <c r="A1546" s="48" t="str">
        <f aca="false">COST!A1546</f>
        <v>QHH-0165</v>
      </c>
      <c r="B1546" s="48" t="str">
        <f aca="false">COST!B1546</f>
        <v>QHH</v>
      </c>
      <c r="C1546" s="48" t="str">
        <f aca="false">COST!D1546</f>
        <v>Nursing Student Clinical Rotations</v>
      </c>
      <c r="D1546" s="62" t="n">
        <f aca="false">COST!M1546</f>
        <v>46081</v>
      </c>
      <c r="E1546" s="48" t="str">
        <f aca="false">COST!P1546</f>
        <v>Clinical Nurse Educator</v>
      </c>
      <c r="F1546" s="63" t="n">
        <f aca="false">COST!R1546</f>
        <v>121.75</v>
      </c>
      <c r="G1546" s="48" t="str">
        <f aca="false">STACK!M1546</f>
        <v/>
      </c>
      <c r="H1546" s="1" t="str">
        <f aca="false">C1546&amp;"|"&amp;IF(ISNUMBER(D1546),TEXT(D1546,"yyyy-mm-dd"),"no date")&amp;"|"&amp;E1546&amp;"|"&amp;IF(ISNUMBER(F1546),TEXT(F1546,"0.00"),"blank")</f>
        <v>Nursing Student Clinical Rotations|2026-02-28|Clinical Nurse Educator|121.75</v>
      </c>
      <c r="I1546" s="1" t="n">
        <f aca="false">COUNTIF($H$5:$H$1624,H1546)</f>
        <v>1</v>
      </c>
      <c r="J1546" s="1" t="n">
        <f aca="false">COUNTIF($H$5:H1546,H1546)</f>
        <v>1</v>
      </c>
      <c r="K1546" s="1" t="n">
        <f aca="false">COUNTIFS($H$5:$H$1624,H1546,$B$5:$B$1624,"&lt;&gt;"&amp;B1546)</f>
        <v>0</v>
      </c>
      <c r="L1546" s="1" t="str">
        <f aca="false">IF(I1546&gt;1,IF(K1546&gt;0,"Cross-hospital match","Same-hospital match"),"")</f>
        <v/>
      </c>
      <c r="M1546" s="52"/>
      <c r="N1546" s="52"/>
      <c r="O1546" s="1" t="n">
        <f aca="false">IF(M1546="Exclude (duplicate)",0,1)</f>
        <v>1</v>
      </c>
      <c r="P1546" s="1" t="str">
        <f aca="false">IF(AND(L1546&lt;&gt;"",M1546=""),"Needs decision","")</f>
        <v/>
      </c>
    </row>
    <row r="1547" customFormat="false" ht="15" hidden="false" customHeight="false" outlineLevel="0" collapsed="false">
      <c r="A1547" s="48" t="str">
        <f aca="false">COST!A1547</f>
        <v>QHH-0166</v>
      </c>
      <c r="B1547" s="48" t="str">
        <f aca="false">COST!B1547</f>
        <v>QHH</v>
      </c>
      <c r="C1547" s="48" t="str">
        <f aca="false">COST!D1547</f>
        <v>Nursing Student Clinical Rotations</v>
      </c>
      <c r="D1547" s="62" t="n">
        <f aca="false">COST!M1547</f>
        <v>46081</v>
      </c>
      <c r="E1547" s="48" t="str">
        <f aca="false">COST!P1547</f>
        <v>Registered Nurse</v>
      </c>
      <c r="F1547" s="63" t="n">
        <f aca="false">COST!R1547</f>
        <v>171.25</v>
      </c>
      <c r="G1547" s="48" t="str">
        <f aca="false">STACK!M1547</f>
        <v/>
      </c>
      <c r="H1547" s="1" t="str">
        <f aca="false">C1547&amp;"|"&amp;IF(ISNUMBER(D1547),TEXT(D1547,"yyyy-mm-dd"),"no date")&amp;"|"&amp;E1547&amp;"|"&amp;IF(ISNUMBER(F1547),TEXT(F1547,"0.00"),"blank")</f>
        <v>Nursing Student Clinical Rotations|2026-02-28|Registered Nurse|171.25</v>
      </c>
      <c r="I1547" s="1" t="n">
        <f aca="false">COUNTIF($H$5:$H$1624,H1547)</f>
        <v>1</v>
      </c>
      <c r="J1547" s="1" t="n">
        <f aca="false">COUNTIF($H$5:H1547,H1547)</f>
        <v>1</v>
      </c>
      <c r="K1547" s="1" t="n">
        <f aca="false">COUNTIFS($H$5:$H$1624,H1547,$B$5:$B$1624,"&lt;&gt;"&amp;B1547)</f>
        <v>0</v>
      </c>
      <c r="L1547" s="1" t="str">
        <f aca="false">IF(I1547&gt;1,IF(K1547&gt;0,"Cross-hospital match","Same-hospital match"),"")</f>
        <v/>
      </c>
      <c r="M1547" s="52"/>
      <c r="N1547" s="52"/>
      <c r="O1547" s="1" t="n">
        <f aca="false">IF(M1547="Exclude (duplicate)",0,1)</f>
        <v>1</v>
      </c>
      <c r="P1547" s="1" t="str">
        <f aca="false">IF(AND(L1547&lt;&gt;"",M1547=""),"Needs decision","")</f>
        <v/>
      </c>
    </row>
    <row r="1548" customFormat="false" ht="15" hidden="false" customHeight="false" outlineLevel="0" collapsed="false">
      <c r="A1548" s="48" t="str">
        <f aca="false">COST!A1548</f>
        <v>QHH-0167</v>
      </c>
      <c r="B1548" s="48" t="str">
        <f aca="false">COST!B1548</f>
        <v>QHH</v>
      </c>
      <c r="C1548" s="48" t="str">
        <f aca="false">COST!D1548</f>
        <v>Diabetes Prevention Classes</v>
      </c>
      <c r="D1548" s="62" t="n">
        <f aca="false">COST!M1548</f>
        <v>46095</v>
      </c>
      <c r="E1548" s="48" t="str">
        <f aca="false">COST!P1548</f>
        <v>Health Educator</v>
      </c>
      <c r="F1548" s="63" t="n">
        <f aca="false">COST!R1548</f>
        <v>2</v>
      </c>
      <c r="G1548" s="48" t="str">
        <f aca="false">STACK!M1548</f>
        <v/>
      </c>
      <c r="H1548" s="1" t="str">
        <f aca="false">C1548&amp;"|"&amp;IF(ISNUMBER(D1548),TEXT(D1548,"yyyy-mm-dd"),"no date")&amp;"|"&amp;E1548&amp;"|"&amp;IF(ISNUMBER(F1548),TEXT(F1548,"0.00"),"blank")</f>
        <v>Diabetes Prevention Classes|2026-03-14|Health Educator|2.00</v>
      </c>
      <c r="I1548" s="1" t="n">
        <f aca="false">COUNTIF($H$5:$H$1624,H1548)</f>
        <v>1</v>
      </c>
      <c r="J1548" s="1" t="n">
        <f aca="false">COUNTIF($H$5:H1548,H1548)</f>
        <v>1</v>
      </c>
      <c r="K1548" s="1" t="n">
        <f aca="false">COUNTIFS($H$5:$H$1624,H1548,$B$5:$B$1624,"&lt;&gt;"&amp;B1548)</f>
        <v>0</v>
      </c>
      <c r="L1548" s="1" t="str">
        <f aca="false">IF(I1548&gt;1,IF(K1548&gt;0,"Cross-hospital match","Same-hospital match"),"")</f>
        <v/>
      </c>
      <c r="M1548" s="52"/>
      <c r="N1548" s="52"/>
      <c r="O1548" s="1" t="n">
        <f aca="false">IF(M1548="Exclude (duplicate)",0,1)</f>
        <v>1</v>
      </c>
      <c r="P1548" s="1" t="str">
        <f aca="false">IF(AND(L1548&lt;&gt;"",M1548=""),"Needs decision","")</f>
        <v/>
      </c>
    </row>
    <row r="1549" customFormat="false" ht="15" hidden="false" customHeight="false" outlineLevel="0" collapsed="false">
      <c r="A1549" s="48" t="str">
        <f aca="false">COST!A1549</f>
        <v>QHH-0168</v>
      </c>
      <c r="B1549" s="48" t="str">
        <f aca="false">COST!B1549</f>
        <v>QHH</v>
      </c>
      <c r="C1549" s="48" t="str">
        <f aca="false">COST!D1549</f>
        <v>Diabetes Prevention Classes</v>
      </c>
      <c r="D1549" s="62" t="n">
        <f aca="false">COST!M1549</f>
        <v>46095</v>
      </c>
      <c r="E1549" s="48" t="str">
        <f aca="false">COST!P1549</f>
        <v>Registered Dietitian</v>
      </c>
      <c r="F1549" s="63" t="n">
        <f aca="false">COST!R1549</f>
        <v>1.75</v>
      </c>
      <c r="G1549" s="48" t="str">
        <f aca="false">STACK!M1549</f>
        <v/>
      </c>
      <c r="H1549" s="1" t="str">
        <f aca="false">C1549&amp;"|"&amp;IF(ISNUMBER(D1549),TEXT(D1549,"yyyy-mm-dd"),"no date")&amp;"|"&amp;E1549&amp;"|"&amp;IF(ISNUMBER(F1549),TEXT(F1549,"0.00"),"blank")</f>
        <v>Diabetes Prevention Classes|2026-03-14|Registered Dietitian|1.75</v>
      </c>
      <c r="I1549" s="1" t="n">
        <f aca="false">COUNTIF($H$5:$H$1624,H1549)</f>
        <v>1</v>
      </c>
      <c r="J1549" s="1" t="n">
        <f aca="false">COUNTIF($H$5:H1549,H1549)</f>
        <v>1</v>
      </c>
      <c r="K1549" s="1" t="n">
        <f aca="false">COUNTIFS($H$5:$H$1624,H1549,$B$5:$B$1624,"&lt;&gt;"&amp;B1549)</f>
        <v>0</v>
      </c>
      <c r="L1549" s="1" t="str">
        <f aca="false">IF(I1549&gt;1,IF(K1549&gt;0,"Cross-hospital match","Same-hospital match"),"")</f>
        <v/>
      </c>
      <c r="M1549" s="52"/>
      <c r="N1549" s="52"/>
      <c r="O1549" s="1" t="n">
        <f aca="false">IF(M1549="Exclude (duplicate)",0,1)</f>
        <v>1</v>
      </c>
      <c r="P1549" s="1" t="str">
        <f aca="false">IF(AND(L1549&lt;&gt;"",M1549=""),"Needs decision","")</f>
        <v/>
      </c>
    </row>
    <row r="1550" customFormat="false" ht="15" hidden="false" customHeight="false" outlineLevel="0" collapsed="false">
      <c r="A1550" s="48" t="str">
        <f aca="false">COST!A1550</f>
        <v>QHH-0169</v>
      </c>
      <c r="B1550" s="48" t="str">
        <f aca="false">COST!B1550</f>
        <v>QHH</v>
      </c>
      <c r="C1550" s="48" t="str">
        <f aca="false">COST!D1550</f>
        <v>Youth Health Careers Pathway</v>
      </c>
      <c r="D1550" s="62" t="n">
        <f aca="false">COST!M1550</f>
        <v>46098</v>
      </c>
      <c r="E1550" s="48" t="str">
        <f aca="false">COST!P1550</f>
        <v>Clinical Nurse Educator</v>
      </c>
      <c r="F1550" s="63" t="n">
        <f aca="false">COST!R1550</f>
        <v>4.75</v>
      </c>
      <c r="G1550" s="48" t="str">
        <f aca="false">STACK!M1550</f>
        <v/>
      </c>
      <c r="H1550" s="1" t="str">
        <f aca="false">C1550&amp;"|"&amp;IF(ISNUMBER(D1550),TEXT(D1550,"yyyy-mm-dd"),"no date")&amp;"|"&amp;E1550&amp;"|"&amp;IF(ISNUMBER(F1550),TEXT(F1550,"0.00"),"blank")</f>
        <v>Youth Health Careers Pathway|2026-03-17|Clinical Nurse Educator|4.75</v>
      </c>
      <c r="I1550" s="1" t="n">
        <f aca="false">COUNTIF($H$5:$H$1624,H1550)</f>
        <v>1</v>
      </c>
      <c r="J1550" s="1" t="n">
        <f aca="false">COUNTIF($H$5:H1550,H1550)</f>
        <v>1</v>
      </c>
      <c r="K1550" s="1" t="n">
        <f aca="false">COUNTIFS($H$5:$H$1624,H1550,$B$5:$B$1624,"&lt;&gt;"&amp;B1550)</f>
        <v>0</v>
      </c>
      <c r="L1550" s="1" t="str">
        <f aca="false">IF(I1550&gt;1,IF(K1550&gt;0,"Cross-hospital match","Same-hospital match"),"")</f>
        <v/>
      </c>
      <c r="M1550" s="52"/>
      <c r="N1550" s="52"/>
      <c r="O1550" s="1" t="n">
        <f aca="false">IF(M1550="Exclude (duplicate)",0,1)</f>
        <v>1</v>
      </c>
      <c r="P1550" s="1" t="str">
        <f aca="false">IF(AND(L1550&lt;&gt;"",M1550=""),"Needs decision","")</f>
        <v/>
      </c>
    </row>
    <row r="1551" customFormat="false" ht="15" hidden="false" customHeight="false" outlineLevel="0" collapsed="false">
      <c r="A1551" s="48" t="str">
        <f aca="false">COST!A1551</f>
        <v>QHH-0170</v>
      </c>
      <c r="B1551" s="48" t="str">
        <f aca="false">COST!B1551</f>
        <v>QHH</v>
      </c>
      <c r="C1551" s="48" t="str">
        <f aca="false">COST!D1551</f>
        <v>Youth Health Careers Pathway</v>
      </c>
      <c r="D1551" s="62" t="n">
        <f aca="false">COST!M1551</f>
        <v>46098</v>
      </c>
      <c r="E1551" s="48" t="str">
        <f aca="false">COST!P1551</f>
        <v>Program Coordinator</v>
      </c>
      <c r="F1551" s="63" t="n">
        <f aca="false">COST!R1551</f>
        <v>7.75</v>
      </c>
      <c r="G1551" s="48" t="str">
        <f aca="false">STACK!M1551</f>
        <v/>
      </c>
      <c r="H1551" s="1" t="str">
        <f aca="false">C1551&amp;"|"&amp;IF(ISNUMBER(D1551),TEXT(D1551,"yyyy-mm-dd"),"no date")&amp;"|"&amp;E1551&amp;"|"&amp;IF(ISNUMBER(F1551),TEXT(F1551,"0.00"),"blank")</f>
        <v>Youth Health Careers Pathway|2026-03-17|Program Coordinator|7.75</v>
      </c>
      <c r="I1551" s="1" t="n">
        <f aca="false">COUNTIF($H$5:$H$1624,H1551)</f>
        <v>1</v>
      </c>
      <c r="J1551" s="1" t="n">
        <f aca="false">COUNTIF($H$5:H1551,H1551)</f>
        <v>1</v>
      </c>
      <c r="K1551" s="1" t="n">
        <f aca="false">COUNTIFS($H$5:$H$1624,H1551,$B$5:$B$1624,"&lt;&gt;"&amp;B1551)</f>
        <v>0</v>
      </c>
      <c r="L1551" s="1" t="str">
        <f aca="false">IF(I1551&gt;1,IF(K1551&gt;0,"Cross-hospital match","Same-hospital match"),"")</f>
        <v/>
      </c>
      <c r="M1551" s="52"/>
      <c r="N1551" s="52"/>
      <c r="O1551" s="1" t="n">
        <f aca="false">IF(M1551="Exclude (duplicate)",0,1)</f>
        <v>1</v>
      </c>
      <c r="P1551" s="1" t="str">
        <f aca="false">IF(AND(L1551&lt;&gt;"",M1551=""),"Needs decision","")</f>
        <v/>
      </c>
    </row>
    <row r="1552" customFormat="false" ht="15" hidden="false" customHeight="false" outlineLevel="0" collapsed="false">
      <c r="A1552" s="48" t="str">
        <f aca="false">COST!A1552</f>
        <v>QHH-0171</v>
      </c>
      <c r="B1552" s="48" t="str">
        <f aca="false">COST!B1552</f>
        <v>QHH</v>
      </c>
      <c r="C1552" s="48" t="str">
        <f aca="false">COST!D1552</f>
        <v>Grief Support Group</v>
      </c>
      <c r="D1552" s="62" t="n">
        <f aca="false">COST!M1552</f>
        <v>46102</v>
      </c>
      <c r="E1552" s="48" t="str">
        <f aca="false">COST!P1552</f>
        <v>Chaplain</v>
      </c>
      <c r="F1552" s="63" t="n">
        <f aca="false">COST!R1552</f>
        <v>2</v>
      </c>
      <c r="G1552" s="48" t="str">
        <f aca="false">STACK!M1552</f>
        <v/>
      </c>
      <c r="H1552" s="1" t="str">
        <f aca="false">C1552&amp;"|"&amp;IF(ISNUMBER(D1552),TEXT(D1552,"yyyy-mm-dd"),"no date")&amp;"|"&amp;E1552&amp;"|"&amp;IF(ISNUMBER(F1552),TEXT(F1552,"0.00"),"blank")</f>
        <v>Grief Support Group|2026-03-21|Chaplain|2.00</v>
      </c>
      <c r="I1552" s="1" t="n">
        <f aca="false">COUNTIF($H$5:$H$1624,H1552)</f>
        <v>1</v>
      </c>
      <c r="J1552" s="1" t="n">
        <f aca="false">COUNTIF($H$5:H1552,H1552)</f>
        <v>1</v>
      </c>
      <c r="K1552" s="1" t="n">
        <f aca="false">COUNTIFS($H$5:$H$1624,H1552,$B$5:$B$1624,"&lt;&gt;"&amp;B1552)</f>
        <v>0</v>
      </c>
      <c r="L1552" s="1" t="str">
        <f aca="false">IF(I1552&gt;1,IF(K1552&gt;0,"Cross-hospital match","Same-hospital match"),"")</f>
        <v/>
      </c>
      <c r="M1552" s="52"/>
      <c r="N1552" s="52"/>
      <c r="O1552" s="1" t="n">
        <f aca="false">IF(M1552="Exclude (duplicate)",0,1)</f>
        <v>1</v>
      </c>
      <c r="P1552" s="1" t="str">
        <f aca="false">IF(AND(L1552&lt;&gt;"",M1552=""),"Needs decision","")</f>
        <v/>
      </c>
    </row>
    <row r="1553" customFormat="false" ht="15" hidden="false" customHeight="false" outlineLevel="0" collapsed="false">
      <c r="A1553" s="48" t="str">
        <f aca="false">COST!A1553</f>
        <v>QHH-0172</v>
      </c>
      <c r="B1553" s="48" t="str">
        <f aca="false">COST!B1553</f>
        <v>QHH</v>
      </c>
      <c r="C1553" s="48" t="str">
        <f aca="false">COST!D1553</f>
        <v>Grief Support Group</v>
      </c>
      <c r="D1553" s="62" t="n">
        <f aca="false">COST!M1553</f>
        <v>46102</v>
      </c>
      <c r="E1553" s="48" t="str">
        <f aca="false">COST!P1553</f>
        <v>Social Worker</v>
      </c>
      <c r="F1553" s="63" t="n">
        <f aca="false">COST!R1553</f>
        <v>1.75</v>
      </c>
      <c r="G1553" s="48" t="str">
        <f aca="false">STACK!M1553</f>
        <v/>
      </c>
      <c r="H1553" s="1" t="str">
        <f aca="false">C1553&amp;"|"&amp;IF(ISNUMBER(D1553),TEXT(D1553,"yyyy-mm-dd"),"no date")&amp;"|"&amp;E1553&amp;"|"&amp;IF(ISNUMBER(F1553),TEXT(F1553,"0.00"),"blank")</f>
        <v>Grief Support Group|2026-03-21|Social Worker|1.75</v>
      </c>
      <c r="I1553" s="1" t="n">
        <f aca="false">COUNTIF($H$5:$H$1624,H1553)</f>
        <v>1</v>
      </c>
      <c r="J1553" s="1" t="n">
        <f aca="false">COUNTIF($H$5:H1553,H1553)</f>
        <v>1</v>
      </c>
      <c r="K1553" s="1" t="n">
        <f aca="false">COUNTIFS($H$5:$H$1624,H1553,$B$5:$B$1624,"&lt;&gt;"&amp;B1553)</f>
        <v>0</v>
      </c>
      <c r="L1553" s="1" t="str">
        <f aca="false">IF(I1553&gt;1,IF(K1553&gt;0,"Cross-hospital match","Same-hospital match"),"")</f>
        <v/>
      </c>
      <c r="M1553" s="52"/>
      <c r="N1553" s="52"/>
      <c r="O1553" s="1" t="n">
        <f aca="false">IF(M1553="Exclude (duplicate)",0,1)</f>
        <v>1</v>
      </c>
      <c r="P1553" s="1" t="str">
        <f aca="false">IF(AND(L1553&lt;&gt;"",M1553=""),"Needs decision","")</f>
        <v/>
      </c>
    </row>
    <row r="1554" customFormat="false" ht="15" hidden="false" customHeight="false" outlineLevel="0" collapsed="false">
      <c r="A1554" s="48" t="str">
        <f aca="false">COST!A1554</f>
        <v>QHH-0173</v>
      </c>
      <c r="B1554" s="48" t="str">
        <f aca="false">COST!B1554</f>
        <v>QHH</v>
      </c>
      <c r="C1554" s="48" t="str">
        <f aca="false">COST!D1554</f>
        <v>Youth Health Careers Pathway</v>
      </c>
      <c r="D1554" s="62" t="n">
        <f aca="false">COST!M1554</f>
        <v>46108</v>
      </c>
      <c r="E1554" s="48" t="str">
        <f aca="false">COST!P1554</f>
        <v>Clinical Nurse Educator</v>
      </c>
      <c r="F1554" s="63" t="n">
        <f aca="false">COST!R1554</f>
        <v>3.5</v>
      </c>
      <c r="G1554" s="48" t="str">
        <f aca="false">STACK!M1554</f>
        <v/>
      </c>
      <c r="H1554" s="1" t="str">
        <f aca="false">C1554&amp;"|"&amp;IF(ISNUMBER(D1554),TEXT(D1554,"yyyy-mm-dd"),"no date")&amp;"|"&amp;E1554&amp;"|"&amp;IF(ISNUMBER(F1554),TEXT(F1554,"0.00"),"blank")</f>
        <v>Youth Health Careers Pathway|2026-03-27|Clinical Nurse Educator|3.50</v>
      </c>
      <c r="I1554" s="1" t="n">
        <f aca="false">COUNTIF($H$5:$H$1624,H1554)</f>
        <v>1</v>
      </c>
      <c r="J1554" s="1" t="n">
        <f aca="false">COUNTIF($H$5:H1554,H1554)</f>
        <v>1</v>
      </c>
      <c r="K1554" s="1" t="n">
        <f aca="false">COUNTIFS($H$5:$H$1624,H1554,$B$5:$B$1624,"&lt;&gt;"&amp;B1554)</f>
        <v>0</v>
      </c>
      <c r="L1554" s="1" t="str">
        <f aca="false">IF(I1554&gt;1,IF(K1554&gt;0,"Cross-hospital match","Same-hospital match"),"")</f>
        <v/>
      </c>
      <c r="M1554" s="52"/>
      <c r="N1554" s="52"/>
      <c r="O1554" s="1" t="n">
        <f aca="false">IF(M1554="Exclude (duplicate)",0,1)</f>
        <v>1</v>
      </c>
      <c r="P1554" s="1" t="str">
        <f aca="false">IF(AND(L1554&lt;&gt;"",M1554=""),"Needs decision","")</f>
        <v/>
      </c>
    </row>
    <row r="1555" customFormat="false" ht="15" hidden="false" customHeight="false" outlineLevel="0" collapsed="false">
      <c r="A1555" s="48" t="str">
        <f aca="false">COST!A1555</f>
        <v>QHH-0174</v>
      </c>
      <c r="B1555" s="48" t="str">
        <f aca="false">COST!B1555</f>
        <v>QHH</v>
      </c>
      <c r="C1555" s="48" t="str">
        <f aca="false">COST!D1555</f>
        <v>Youth Health Careers Pathway</v>
      </c>
      <c r="D1555" s="62" t="n">
        <f aca="false">COST!M1555</f>
        <v>46108</v>
      </c>
      <c r="E1555" s="48" t="str">
        <f aca="false">COST!P1555</f>
        <v>Program Coordinator</v>
      </c>
      <c r="F1555" s="63" t="n">
        <f aca="false">COST!R1555</f>
        <v>6.75</v>
      </c>
      <c r="G1555" s="48" t="str">
        <f aca="false">STACK!M1555</f>
        <v/>
      </c>
      <c r="H1555" s="1" t="str">
        <f aca="false">C1555&amp;"|"&amp;IF(ISNUMBER(D1555),TEXT(D1555,"yyyy-mm-dd"),"no date")&amp;"|"&amp;E1555&amp;"|"&amp;IF(ISNUMBER(F1555),TEXT(F1555,"0.00"),"blank")</f>
        <v>Youth Health Careers Pathway|2026-03-27|Program Coordinator|6.75</v>
      </c>
      <c r="I1555" s="1" t="n">
        <f aca="false">COUNTIF($H$5:$H$1624,H1555)</f>
        <v>1</v>
      </c>
      <c r="J1555" s="1" t="n">
        <f aca="false">COUNTIF($H$5:H1555,H1555)</f>
        <v>1</v>
      </c>
      <c r="K1555" s="1" t="n">
        <f aca="false">COUNTIFS($H$5:$H$1624,H1555,$B$5:$B$1624,"&lt;&gt;"&amp;B1555)</f>
        <v>0</v>
      </c>
      <c r="L1555" s="1" t="str">
        <f aca="false">IF(I1555&gt;1,IF(K1555&gt;0,"Cross-hospital match","Same-hospital match"),"")</f>
        <v/>
      </c>
      <c r="M1555" s="52"/>
      <c r="N1555" s="52"/>
      <c r="O1555" s="1" t="n">
        <f aca="false">IF(M1555="Exclude (duplicate)",0,1)</f>
        <v>1</v>
      </c>
      <c r="P1555" s="1" t="str">
        <f aca="false">IF(AND(L1555&lt;&gt;"",M1555=""),"Needs decision","")</f>
        <v/>
      </c>
    </row>
    <row r="1556" customFormat="false" ht="15" hidden="false" customHeight="false" outlineLevel="0" collapsed="false">
      <c r="A1556" s="48" t="str">
        <f aca="false">COST!A1556</f>
        <v>QHH-0175</v>
      </c>
      <c r="B1556" s="48" t="str">
        <f aca="false">COST!B1556</f>
        <v>QHH</v>
      </c>
      <c r="C1556" s="48" t="str">
        <f aca="false">COST!D1556</f>
        <v>Diabetes Prevention Classes</v>
      </c>
      <c r="D1556" s="62" t="n">
        <f aca="false">COST!M1556</f>
        <v>46109</v>
      </c>
      <c r="E1556" s="48" t="str">
        <f aca="false">COST!P1556</f>
        <v>Health Educator</v>
      </c>
      <c r="F1556" s="63" t="n">
        <f aca="false">COST!R1556</f>
        <v>2.25</v>
      </c>
      <c r="G1556" s="48" t="str">
        <f aca="false">STACK!M1556</f>
        <v/>
      </c>
      <c r="H1556" s="1" t="str">
        <f aca="false">C1556&amp;"|"&amp;IF(ISNUMBER(D1556),TEXT(D1556,"yyyy-mm-dd"),"no date")&amp;"|"&amp;E1556&amp;"|"&amp;IF(ISNUMBER(F1556),TEXT(F1556,"0.00"),"blank")</f>
        <v>Diabetes Prevention Classes|2026-03-28|Health Educator|2.25</v>
      </c>
      <c r="I1556" s="1" t="n">
        <f aca="false">COUNTIF($H$5:$H$1624,H1556)</f>
        <v>1</v>
      </c>
      <c r="J1556" s="1" t="n">
        <f aca="false">COUNTIF($H$5:H1556,H1556)</f>
        <v>1</v>
      </c>
      <c r="K1556" s="1" t="n">
        <f aca="false">COUNTIFS($H$5:$H$1624,H1556,$B$5:$B$1624,"&lt;&gt;"&amp;B1556)</f>
        <v>0</v>
      </c>
      <c r="L1556" s="1" t="str">
        <f aca="false">IF(I1556&gt;1,IF(K1556&gt;0,"Cross-hospital match","Same-hospital match"),"")</f>
        <v/>
      </c>
      <c r="M1556" s="52"/>
      <c r="N1556" s="52"/>
      <c r="O1556" s="1" t="n">
        <f aca="false">IF(M1556="Exclude (duplicate)",0,1)</f>
        <v>1</v>
      </c>
      <c r="P1556" s="1" t="str">
        <f aca="false">IF(AND(L1556&lt;&gt;"",M1556=""),"Needs decision","")</f>
        <v/>
      </c>
    </row>
    <row r="1557" customFormat="false" ht="15" hidden="false" customHeight="false" outlineLevel="0" collapsed="false">
      <c r="A1557" s="48" t="str">
        <f aca="false">COST!A1557</f>
        <v>QHH-0176</v>
      </c>
      <c r="B1557" s="48" t="str">
        <f aca="false">COST!B1557</f>
        <v>QHH</v>
      </c>
      <c r="C1557" s="48" t="str">
        <f aca="false">COST!D1557</f>
        <v>Diabetes Prevention Classes</v>
      </c>
      <c r="D1557" s="62" t="n">
        <f aca="false">COST!M1557</f>
        <v>46109</v>
      </c>
      <c r="E1557" s="48" t="str">
        <f aca="false">COST!P1557</f>
        <v>Registered Dietitian</v>
      </c>
      <c r="F1557" s="63" t="n">
        <f aca="false">COST!R1557</f>
        <v>1.75</v>
      </c>
      <c r="G1557" s="48" t="str">
        <f aca="false">STACK!M1557</f>
        <v/>
      </c>
      <c r="H1557" s="1" t="str">
        <f aca="false">C1557&amp;"|"&amp;IF(ISNUMBER(D1557),TEXT(D1557,"yyyy-mm-dd"),"no date")&amp;"|"&amp;E1557&amp;"|"&amp;IF(ISNUMBER(F1557),TEXT(F1557,"0.00"),"blank")</f>
        <v>Diabetes Prevention Classes|2026-03-28|Registered Dietitian|1.75</v>
      </c>
      <c r="I1557" s="1" t="n">
        <f aca="false">COUNTIF($H$5:$H$1624,H1557)</f>
        <v>1</v>
      </c>
      <c r="J1557" s="1" t="n">
        <f aca="false">COUNTIF($H$5:H1557,H1557)</f>
        <v>1</v>
      </c>
      <c r="K1557" s="1" t="n">
        <f aca="false">COUNTIFS($H$5:$H$1624,H1557,$B$5:$B$1624,"&lt;&gt;"&amp;B1557)</f>
        <v>0</v>
      </c>
      <c r="L1557" s="1" t="str">
        <f aca="false">IF(I1557&gt;1,IF(K1557&gt;0,"Cross-hospital match","Same-hospital match"),"")</f>
        <v/>
      </c>
      <c r="M1557" s="52"/>
      <c r="N1557" s="52"/>
      <c r="O1557" s="1" t="n">
        <f aca="false">IF(M1557="Exclude (duplicate)",0,1)</f>
        <v>1</v>
      </c>
      <c r="P1557" s="1" t="str">
        <f aca="false">IF(AND(L1557&lt;&gt;"",M1557=""),"Needs decision","")</f>
        <v/>
      </c>
    </row>
    <row r="1558" customFormat="false" ht="15" hidden="false" customHeight="false" outlineLevel="0" collapsed="false">
      <c r="A1558" s="48" t="str">
        <f aca="false">COST!A1558</f>
        <v>QHH-0177</v>
      </c>
      <c r="B1558" s="48" t="str">
        <f aca="false">COST!B1558</f>
        <v>QHH</v>
      </c>
      <c r="C1558" s="48" t="str">
        <f aca="false">COST!D1558</f>
        <v>Free Sports Physicals</v>
      </c>
      <c r="D1558" s="62" t="n">
        <f aca="false">COST!M1558</f>
        <v>46111</v>
      </c>
      <c r="E1558" s="48" t="str">
        <f aca="false">COST!P1558</f>
        <v>Medical Assistant</v>
      </c>
      <c r="F1558" s="63" t="n">
        <f aca="false">COST!R1558</f>
        <v>4.75</v>
      </c>
      <c r="G1558" s="48" t="str">
        <f aca="false">STACK!M1558</f>
        <v/>
      </c>
      <c r="H1558" s="1" t="str">
        <f aca="false">C1558&amp;"|"&amp;IF(ISNUMBER(D1558),TEXT(D1558,"yyyy-mm-dd"),"no date")&amp;"|"&amp;E1558&amp;"|"&amp;IF(ISNUMBER(F1558),TEXT(F1558,"0.00"),"blank")</f>
        <v>Free Sports Physicals|2026-03-30|Medical Assistant|4.75</v>
      </c>
      <c r="I1558" s="1" t="n">
        <f aca="false">COUNTIF($H$5:$H$1624,H1558)</f>
        <v>1</v>
      </c>
      <c r="J1558" s="1" t="n">
        <f aca="false">COUNTIF($H$5:H1558,H1558)</f>
        <v>1</v>
      </c>
      <c r="K1558" s="1" t="n">
        <f aca="false">COUNTIFS($H$5:$H$1624,H1558,$B$5:$B$1624,"&lt;&gt;"&amp;B1558)</f>
        <v>0</v>
      </c>
      <c r="L1558" s="1" t="str">
        <f aca="false">IF(I1558&gt;1,IF(K1558&gt;0,"Cross-hospital match","Same-hospital match"),"")</f>
        <v/>
      </c>
      <c r="M1558" s="52"/>
      <c r="N1558" s="52"/>
      <c r="O1558" s="1" t="n">
        <f aca="false">IF(M1558="Exclude (duplicate)",0,1)</f>
        <v>1</v>
      </c>
      <c r="P1558" s="1" t="str">
        <f aca="false">IF(AND(L1558&lt;&gt;"",M1558=""),"Needs decision","")</f>
        <v/>
      </c>
    </row>
    <row r="1559" customFormat="false" ht="15" hidden="false" customHeight="false" outlineLevel="0" collapsed="false">
      <c r="A1559" s="48" t="str">
        <f aca="false">COST!A1559</f>
        <v>QHH-0178</v>
      </c>
      <c r="B1559" s="48" t="str">
        <f aca="false">COST!B1559</f>
        <v>QHH</v>
      </c>
      <c r="C1559" s="48" t="str">
        <f aca="false">COST!D1559</f>
        <v>Free Sports Physicals</v>
      </c>
      <c r="D1559" s="62" t="n">
        <f aca="false">COST!M1559</f>
        <v>46111</v>
      </c>
      <c r="E1559" s="48" t="str">
        <f aca="false">COST!P1559</f>
        <v>Nurse Practitioner</v>
      </c>
      <c r="F1559" s="63" t="n">
        <f aca="false">COST!R1559</f>
        <v>4.75</v>
      </c>
      <c r="G1559" s="48" t="str">
        <f aca="false">STACK!M1559</f>
        <v/>
      </c>
      <c r="H1559" s="1" t="str">
        <f aca="false">C1559&amp;"|"&amp;IF(ISNUMBER(D1559),TEXT(D1559,"yyyy-mm-dd"),"no date")&amp;"|"&amp;E1559&amp;"|"&amp;IF(ISNUMBER(F1559),TEXT(F1559,"0.00"),"blank")</f>
        <v>Free Sports Physicals|2026-03-30|Nurse Practitioner|4.75</v>
      </c>
      <c r="I1559" s="1" t="n">
        <f aca="false">COUNTIF($H$5:$H$1624,H1559)</f>
        <v>1</v>
      </c>
      <c r="J1559" s="1" t="n">
        <f aca="false">COUNTIF($H$5:H1559,H1559)</f>
        <v>1</v>
      </c>
      <c r="K1559" s="1" t="n">
        <f aca="false">COUNTIFS($H$5:$H$1624,H1559,$B$5:$B$1624,"&lt;&gt;"&amp;B1559)</f>
        <v>0</v>
      </c>
      <c r="L1559" s="1" t="str">
        <f aca="false">IF(I1559&gt;1,IF(K1559&gt;0,"Cross-hospital match","Same-hospital match"),"")</f>
        <v/>
      </c>
      <c r="M1559" s="52"/>
      <c r="N1559" s="52"/>
      <c r="O1559" s="1" t="n">
        <f aca="false">IF(M1559="Exclude (duplicate)",0,1)</f>
        <v>1</v>
      </c>
      <c r="P1559" s="1" t="str">
        <f aca="false">IF(AND(L1559&lt;&gt;"",M1559=""),"Needs decision","")</f>
        <v/>
      </c>
    </row>
    <row r="1560" customFormat="false" ht="15" hidden="false" customHeight="false" outlineLevel="0" collapsed="false">
      <c r="A1560" s="48" t="str">
        <f aca="false">COST!A1560</f>
        <v>QHH-0179</v>
      </c>
      <c r="B1560" s="48" t="str">
        <f aca="false">COST!B1560</f>
        <v>QHH</v>
      </c>
      <c r="C1560" s="48" t="str">
        <f aca="false">COST!D1560</f>
        <v>Free Sports Physicals</v>
      </c>
      <c r="D1560" s="62" t="n">
        <f aca="false">COST!M1560</f>
        <v>46111</v>
      </c>
      <c r="E1560" s="48" t="str">
        <f aca="false">COST!P1560</f>
        <v>Physician</v>
      </c>
      <c r="F1560" s="63" t="n">
        <f aca="false">COST!R1560</f>
        <v>5</v>
      </c>
      <c r="G1560" s="48" t="str">
        <f aca="false">STACK!M1560</f>
        <v/>
      </c>
      <c r="H1560" s="1" t="str">
        <f aca="false">C1560&amp;"|"&amp;IF(ISNUMBER(D1560),TEXT(D1560,"yyyy-mm-dd"),"no date")&amp;"|"&amp;E1560&amp;"|"&amp;IF(ISNUMBER(F1560),TEXT(F1560,"0.00"),"blank")</f>
        <v>Free Sports Physicals|2026-03-30|Physician|5.00</v>
      </c>
      <c r="I1560" s="1" t="n">
        <f aca="false">COUNTIF($H$5:$H$1624,H1560)</f>
        <v>1</v>
      </c>
      <c r="J1560" s="1" t="n">
        <f aca="false">COUNTIF($H$5:H1560,H1560)</f>
        <v>1</v>
      </c>
      <c r="K1560" s="1" t="n">
        <f aca="false">COUNTIFS($H$5:$H$1624,H1560,$B$5:$B$1624,"&lt;&gt;"&amp;B1560)</f>
        <v>0</v>
      </c>
      <c r="L1560" s="1" t="str">
        <f aca="false">IF(I1560&gt;1,IF(K1560&gt;0,"Cross-hospital match","Same-hospital match"),"")</f>
        <v/>
      </c>
      <c r="M1560" s="52"/>
      <c r="N1560" s="52"/>
      <c r="O1560" s="1" t="n">
        <f aca="false">IF(M1560="Exclude (duplicate)",0,1)</f>
        <v>1</v>
      </c>
      <c r="P1560" s="1" t="str">
        <f aca="false">IF(AND(L1560&lt;&gt;"",M1560=""),"Needs decision","")</f>
        <v/>
      </c>
    </row>
    <row r="1561" customFormat="false" ht="15" hidden="false" customHeight="false" outlineLevel="0" collapsed="false">
      <c r="A1561" s="48" t="str">
        <f aca="false">COST!A1561</f>
        <v>QHH-0180</v>
      </c>
      <c r="B1561" s="48" t="str">
        <f aca="false">COST!B1561</f>
        <v>QHH</v>
      </c>
      <c r="C1561" s="48" t="str">
        <f aca="false">COST!D1561</f>
        <v>Community Garden and Green Space Project</v>
      </c>
      <c r="D1561" s="62" t="n">
        <f aca="false">COST!M1561</f>
        <v>46111</v>
      </c>
      <c r="E1561" s="48" t="str">
        <f aca="false">COST!P1561</f>
        <v>Program Coordinator</v>
      </c>
      <c r="F1561" s="63" t="n">
        <f aca="false">COST!R1561</f>
        <v>7.5</v>
      </c>
      <c r="G1561" s="48" t="str">
        <f aca="false">STACK!M1561</f>
        <v/>
      </c>
      <c r="H1561" s="1" t="str">
        <f aca="false">C1561&amp;"|"&amp;IF(ISNUMBER(D1561),TEXT(D1561,"yyyy-mm-dd"),"no date")&amp;"|"&amp;E1561&amp;"|"&amp;IF(ISNUMBER(F1561),TEXT(F1561,"0.00"),"blank")</f>
        <v>Community Garden and Green Space Project|2026-03-30|Program Coordinator|7.50</v>
      </c>
      <c r="I1561" s="1" t="n">
        <f aca="false">COUNTIF($H$5:$H$1624,H1561)</f>
        <v>1</v>
      </c>
      <c r="J1561" s="1" t="n">
        <f aca="false">COUNTIF($H$5:H1561,H1561)</f>
        <v>1</v>
      </c>
      <c r="K1561" s="1" t="n">
        <f aca="false">COUNTIFS($H$5:$H$1624,H1561,$B$5:$B$1624,"&lt;&gt;"&amp;B1561)</f>
        <v>0</v>
      </c>
      <c r="L1561" s="1" t="str">
        <f aca="false">IF(I1561&gt;1,IF(K1561&gt;0,"Cross-hospital match","Same-hospital match"),"")</f>
        <v/>
      </c>
      <c r="M1561" s="52"/>
      <c r="N1561" s="52"/>
      <c r="O1561" s="1" t="n">
        <f aca="false">IF(M1561="Exclude (duplicate)",0,1)</f>
        <v>1</v>
      </c>
      <c r="P1561" s="1" t="str">
        <f aca="false">IF(AND(L1561&lt;&gt;"",M1561=""),"Needs decision","")</f>
        <v/>
      </c>
    </row>
    <row r="1562" customFormat="false" ht="15" hidden="false" customHeight="false" outlineLevel="0" collapsed="false">
      <c r="A1562" s="48" t="str">
        <f aca="false">COST!A1562</f>
        <v>QHH-0181</v>
      </c>
      <c r="B1562" s="48" t="str">
        <f aca="false">COST!B1562</f>
        <v>QHH</v>
      </c>
      <c r="C1562" s="48" t="str">
        <f aca="false">COST!D1562</f>
        <v>Medication Assistance Program</v>
      </c>
      <c r="D1562" s="62" t="n">
        <f aca="false">COST!M1562</f>
        <v>46112</v>
      </c>
      <c r="E1562" s="48" t="str">
        <f aca="false">COST!P1562</f>
        <v>Patient Navigator</v>
      </c>
      <c r="F1562" s="63" t="n">
        <f aca="false">COST!R1562</f>
        <v>53.5</v>
      </c>
      <c r="G1562" s="48" t="str">
        <f aca="false">STACK!M1562</f>
        <v/>
      </c>
      <c r="H1562" s="1" t="str">
        <f aca="false">C1562&amp;"|"&amp;IF(ISNUMBER(D1562),TEXT(D1562,"yyyy-mm-dd"),"no date")&amp;"|"&amp;E1562&amp;"|"&amp;IF(ISNUMBER(F1562),TEXT(F1562,"0.00"),"blank")</f>
        <v>Medication Assistance Program|2026-03-31|Patient Navigator|53.50</v>
      </c>
      <c r="I1562" s="1" t="n">
        <f aca="false">COUNTIF($H$5:$H$1624,H1562)</f>
        <v>1</v>
      </c>
      <c r="J1562" s="1" t="n">
        <f aca="false">COUNTIF($H$5:H1562,H1562)</f>
        <v>1</v>
      </c>
      <c r="K1562" s="1" t="n">
        <f aca="false">COUNTIFS($H$5:$H$1624,H1562,$B$5:$B$1624,"&lt;&gt;"&amp;B1562)</f>
        <v>0</v>
      </c>
      <c r="L1562" s="1" t="str">
        <f aca="false">IF(I1562&gt;1,IF(K1562&gt;0,"Cross-hospital match","Same-hospital match"),"")</f>
        <v/>
      </c>
      <c r="M1562" s="52"/>
      <c r="N1562" s="52"/>
      <c r="O1562" s="1" t="n">
        <f aca="false">IF(M1562="Exclude (duplicate)",0,1)</f>
        <v>1</v>
      </c>
      <c r="P1562" s="1" t="str">
        <f aca="false">IF(AND(L1562&lt;&gt;"",M1562=""),"Needs decision","")</f>
        <v/>
      </c>
    </row>
    <row r="1563" customFormat="false" ht="15" hidden="false" customHeight="false" outlineLevel="0" collapsed="false">
      <c r="A1563" s="48" t="str">
        <f aca="false">COST!A1563</f>
        <v>QHH-0182</v>
      </c>
      <c r="B1563" s="48" t="str">
        <f aca="false">COST!B1563</f>
        <v>QHH</v>
      </c>
      <c r="C1563" s="48" t="str">
        <f aca="false">COST!D1563</f>
        <v>Medication Assistance Program</v>
      </c>
      <c r="D1563" s="62" t="n">
        <f aca="false">COST!M1563</f>
        <v>46112</v>
      </c>
      <c r="E1563" s="48" t="str">
        <f aca="false">COST!P1563</f>
        <v>Pharmacist</v>
      </c>
      <c r="F1563" s="63" t="n">
        <f aca="false">COST!R1563</f>
        <v>20.5</v>
      </c>
      <c r="G1563" s="48" t="str">
        <f aca="false">STACK!M1563</f>
        <v/>
      </c>
      <c r="H1563" s="1" t="str">
        <f aca="false">C1563&amp;"|"&amp;IF(ISNUMBER(D1563),TEXT(D1563,"yyyy-mm-dd"),"no date")&amp;"|"&amp;E1563&amp;"|"&amp;IF(ISNUMBER(F1563),TEXT(F1563,"0.00"),"blank")</f>
        <v>Medication Assistance Program|2026-03-31|Pharmacist|20.50</v>
      </c>
      <c r="I1563" s="1" t="n">
        <f aca="false">COUNTIF($H$5:$H$1624,H1563)</f>
        <v>1</v>
      </c>
      <c r="J1563" s="1" t="n">
        <f aca="false">COUNTIF($H$5:H1563,H1563)</f>
        <v>1</v>
      </c>
      <c r="K1563" s="1" t="n">
        <f aca="false">COUNTIFS($H$5:$H$1624,H1563,$B$5:$B$1624,"&lt;&gt;"&amp;B1563)</f>
        <v>0</v>
      </c>
      <c r="L1563" s="1" t="str">
        <f aca="false">IF(I1563&gt;1,IF(K1563&gt;0,"Cross-hospital match","Same-hospital match"),"")</f>
        <v/>
      </c>
      <c r="M1563" s="52"/>
      <c r="N1563" s="52"/>
      <c r="O1563" s="1" t="n">
        <f aca="false">IF(M1563="Exclude (duplicate)",0,1)</f>
        <v>1</v>
      </c>
      <c r="P1563" s="1" t="str">
        <f aca="false">IF(AND(L1563&lt;&gt;"",M1563=""),"Needs decision","")</f>
        <v/>
      </c>
    </row>
    <row r="1564" customFormat="false" ht="15" hidden="false" customHeight="false" outlineLevel="0" collapsed="false">
      <c r="A1564" s="48" t="str">
        <f aca="false">COST!A1564</f>
        <v>QHH-0183</v>
      </c>
      <c r="B1564" s="48" t="str">
        <f aca="false">COST!B1564</f>
        <v>QHH</v>
      </c>
      <c r="C1564" s="48" t="str">
        <f aca="false">COST!D1564</f>
        <v>Community Benefit Program Administration</v>
      </c>
      <c r="D1564" s="62" t="n">
        <f aca="false">COST!M1564</f>
        <v>46112</v>
      </c>
      <c r="E1564" s="48" t="str">
        <f aca="false">COST!P1564</f>
        <v>Administrative Assistant</v>
      </c>
      <c r="F1564" s="63" t="n">
        <f aca="false">COST!R1564</f>
        <v>35</v>
      </c>
      <c r="G1564" s="48" t="str">
        <f aca="false">STACK!M1564</f>
        <v/>
      </c>
      <c r="H1564" s="1" t="str">
        <f aca="false">C1564&amp;"|"&amp;IF(ISNUMBER(D1564),TEXT(D1564,"yyyy-mm-dd"),"no date")&amp;"|"&amp;E1564&amp;"|"&amp;IF(ISNUMBER(F1564),TEXT(F1564,"0.00"),"blank")</f>
        <v>Community Benefit Program Administration|2026-03-31|Administrative Assistant|35.00</v>
      </c>
      <c r="I1564" s="1" t="n">
        <f aca="false">COUNTIF($H$5:$H$1624,H1564)</f>
        <v>1</v>
      </c>
      <c r="J1564" s="1" t="n">
        <f aca="false">COUNTIF($H$5:H1564,H1564)</f>
        <v>1</v>
      </c>
      <c r="K1564" s="1" t="n">
        <f aca="false">COUNTIFS($H$5:$H$1624,H1564,$B$5:$B$1624,"&lt;&gt;"&amp;B1564)</f>
        <v>0</v>
      </c>
      <c r="L1564" s="1" t="str">
        <f aca="false">IF(I1564&gt;1,IF(K1564&gt;0,"Cross-hospital match","Same-hospital match"),"")</f>
        <v/>
      </c>
      <c r="M1564" s="52"/>
      <c r="N1564" s="52"/>
      <c r="O1564" s="1" t="n">
        <f aca="false">IF(M1564="Exclude (duplicate)",0,1)</f>
        <v>1</v>
      </c>
      <c r="P1564" s="1" t="str">
        <f aca="false">IF(AND(L1564&lt;&gt;"",M1564=""),"Needs decision","")</f>
        <v/>
      </c>
    </row>
    <row r="1565" customFormat="false" ht="15" hidden="false" customHeight="false" outlineLevel="0" collapsed="false">
      <c r="A1565" s="48" t="str">
        <f aca="false">COST!A1565</f>
        <v>QHH-0184</v>
      </c>
      <c r="B1565" s="48" t="str">
        <f aca="false">COST!B1565</f>
        <v>QHH</v>
      </c>
      <c r="C1565" s="48" t="str">
        <f aca="false">COST!D1565</f>
        <v>Community Benefit Program Administration</v>
      </c>
      <c r="D1565" s="62" t="n">
        <f aca="false">COST!M1565</f>
        <v>46112</v>
      </c>
      <c r="E1565" s="48" t="str">
        <f aca="false">COST!P1565</f>
        <v>Community Benefit Manager</v>
      </c>
      <c r="F1565" s="63" t="n">
        <f aca="false">COST!R1565</f>
        <v>64.5</v>
      </c>
      <c r="G1565" s="48" t="str">
        <f aca="false">STACK!M1565</f>
        <v/>
      </c>
      <c r="H1565" s="1" t="str">
        <f aca="false">C1565&amp;"|"&amp;IF(ISNUMBER(D1565),TEXT(D1565,"yyyy-mm-dd"),"no date")&amp;"|"&amp;E1565&amp;"|"&amp;IF(ISNUMBER(F1565),TEXT(F1565,"0.00"),"blank")</f>
        <v>Community Benefit Program Administration|2026-03-31|Community Benefit Manager|64.50</v>
      </c>
      <c r="I1565" s="1" t="n">
        <f aca="false">COUNTIF($H$5:$H$1624,H1565)</f>
        <v>1</v>
      </c>
      <c r="J1565" s="1" t="n">
        <f aca="false">COUNTIF($H$5:H1565,H1565)</f>
        <v>1</v>
      </c>
      <c r="K1565" s="1" t="n">
        <f aca="false">COUNTIFS($H$5:$H$1624,H1565,$B$5:$B$1624,"&lt;&gt;"&amp;B1565)</f>
        <v>0</v>
      </c>
      <c r="L1565" s="1" t="str">
        <f aca="false">IF(I1565&gt;1,IF(K1565&gt;0,"Cross-hospital match","Same-hospital match"),"")</f>
        <v/>
      </c>
      <c r="M1565" s="52"/>
      <c r="N1565" s="52"/>
      <c r="O1565" s="1" t="n">
        <f aca="false">IF(M1565="Exclude (duplicate)",0,1)</f>
        <v>1</v>
      </c>
      <c r="P1565" s="1" t="str">
        <f aca="false">IF(AND(L1565&lt;&gt;"",M1565=""),"Needs decision","")</f>
        <v/>
      </c>
    </row>
    <row r="1566" customFormat="false" ht="15" hidden="false" customHeight="false" outlineLevel="0" collapsed="false">
      <c r="A1566" s="48" t="str">
        <f aca="false">COST!A1566</f>
        <v>QHH-0185</v>
      </c>
      <c r="B1566" s="48" t="str">
        <f aca="false">COST!B1566</f>
        <v>QHH</v>
      </c>
      <c r="C1566" s="48" t="str">
        <f aca="false">COST!D1566</f>
        <v>Community Paramedic Home Visits</v>
      </c>
      <c r="D1566" s="62" t="n">
        <f aca="false">COST!M1566</f>
        <v>46112</v>
      </c>
      <c r="E1566" s="48" t="str">
        <f aca="false">COST!P1566</f>
        <v>Paramedic</v>
      </c>
      <c r="F1566" s="63" t="n">
        <f aca="false">COST!R1566</f>
        <v>91.25</v>
      </c>
      <c r="G1566" s="48" t="str">
        <f aca="false">STACK!M1566</f>
        <v/>
      </c>
      <c r="H1566" s="1" t="str">
        <f aca="false">C1566&amp;"|"&amp;IF(ISNUMBER(D1566),TEXT(D1566,"yyyy-mm-dd"),"no date")&amp;"|"&amp;E1566&amp;"|"&amp;IF(ISNUMBER(F1566),TEXT(F1566,"0.00"),"blank")</f>
        <v>Community Paramedic Home Visits|2026-03-31|Paramedic|91.25</v>
      </c>
      <c r="I1566" s="1" t="n">
        <f aca="false">COUNTIF($H$5:$H$1624,H1566)</f>
        <v>1</v>
      </c>
      <c r="J1566" s="1" t="n">
        <f aca="false">COUNTIF($H$5:H1566,H1566)</f>
        <v>1</v>
      </c>
      <c r="K1566" s="1" t="n">
        <f aca="false">COUNTIFS($H$5:$H$1624,H1566,$B$5:$B$1624,"&lt;&gt;"&amp;B1566)</f>
        <v>0</v>
      </c>
      <c r="L1566" s="1" t="str">
        <f aca="false">IF(I1566&gt;1,IF(K1566&gt;0,"Cross-hospital match","Same-hospital match"),"")</f>
        <v/>
      </c>
      <c r="M1566" s="52"/>
      <c r="N1566" s="52"/>
      <c r="O1566" s="1" t="n">
        <f aca="false">IF(M1566="Exclude (duplicate)",0,1)</f>
        <v>1</v>
      </c>
      <c r="P1566" s="1" t="str">
        <f aca="false">IF(AND(L1566&lt;&gt;"",M1566=""),"Needs decision","")</f>
        <v/>
      </c>
    </row>
    <row r="1567" customFormat="false" ht="15" hidden="false" customHeight="false" outlineLevel="0" collapsed="false">
      <c r="A1567" s="48" t="str">
        <f aca="false">COST!A1567</f>
        <v>QHH-0186</v>
      </c>
      <c r="B1567" s="48" t="str">
        <f aca="false">COST!B1567</f>
        <v>QHH</v>
      </c>
      <c r="C1567" s="48" t="str">
        <f aca="false">COST!D1567</f>
        <v>Nursing Student Clinical Rotations</v>
      </c>
      <c r="D1567" s="62" t="n">
        <f aca="false">COST!M1567</f>
        <v>46112</v>
      </c>
      <c r="E1567" s="48" t="str">
        <f aca="false">COST!P1567</f>
        <v>Clinical Nurse Educator</v>
      </c>
      <c r="F1567" s="63" t="n">
        <f aca="false">COST!R1567</f>
        <v>108</v>
      </c>
      <c r="G1567" s="48" t="str">
        <f aca="false">STACK!M1567</f>
        <v/>
      </c>
      <c r="H1567" s="1" t="str">
        <f aca="false">C1567&amp;"|"&amp;IF(ISNUMBER(D1567),TEXT(D1567,"yyyy-mm-dd"),"no date")&amp;"|"&amp;E1567&amp;"|"&amp;IF(ISNUMBER(F1567),TEXT(F1567,"0.00"),"blank")</f>
        <v>Nursing Student Clinical Rotations|2026-03-31|Clinical Nurse Educator|108.00</v>
      </c>
      <c r="I1567" s="1" t="n">
        <f aca="false">COUNTIF($H$5:$H$1624,H1567)</f>
        <v>1</v>
      </c>
      <c r="J1567" s="1" t="n">
        <f aca="false">COUNTIF($H$5:H1567,H1567)</f>
        <v>1</v>
      </c>
      <c r="K1567" s="1" t="n">
        <f aca="false">COUNTIFS($H$5:$H$1624,H1567,$B$5:$B$1624,"&lt;&gt;"&amp;B1567)</f>
        <v>0</v>
      </c>
      <c r="L1567" s="1" t="str">
        <f aca="false">IF(I1567&gt;1,IF(K1567&gt;0,"Cross-hospital match","Same-hospital match"),"")</f>
        <v/>
      </c>
      <c r="M1567" s="52"/>
      <c r="N1567" s="52"/>
      <c r="O1567" s="1" t="n">
        <f aca="false">IF(M1567="Exclude (duplicate)",0,1)</f>
        <v>1</v>
      </c>
      <c r="P1567" s="1" t="str">
        <f aca="false">IF(AND(L1567&lt;&gt;"",M1567=""),"Needs decision","")</f>
        <v/>
      </c>
    </row>
    <row r="1568" customFormat="false" ht="15" hidden="false" customHeight="false" outlineLevel="0" collapsed="false">
      <c r="A1568" s="48" t="str">
        <f aca="false">COST!A1568</f>
        <v>QHH-0187</v>
      </c>
      <c r="B1568" s="48" t="str">
        <f aca="false">COST!B1568</f>
        <v>QHH</v>
      </c>
      <c r="C1568" s="48" t="str">
        <f aca="false">COST!D1568</f>
        <v>Nursing Student Clinical Rotations</v>
      </c>
      <c r="D1568" s="62" t="n">
        <f aca="false">COST!M1568</f>
        <v>46112</v>
      </c>
      <c r="E1568" s="48" t="str">
        <f aca="false">COST!P1568</f>
        <v>Registered Nurse</v>
      </c>
      <c r="F1568" s="63" t="n">
        <f aca="false">COST!R1568</f>
        <v>144.25</v>
      </c>
      <c r="G1568" s="48" t="str">
        <f aca="false">STACK!M1568</f>
        <v/>
      </c>
      <c r="H1568" s="1" t="str">
        <f aca="false">C1568&amp;"|"&amp;IF(ISNUMBER(D1568),TEXT(D1568,"yyyy-mm-dd"),"no date")&amp;"|"&amp;E1568&amp;"|"&amp;IF(ISNUMBER(F1568),TEXT(F1568,"0.00"),"blank")</f>
        <v>Nursing Student Clinical Rotations|2026-03-31|Registered Nurse|144.25</v>
      </c>
      <c r="I1568" s="1" t="n">
        <f aca="false">COUNTIF($H$5:$H$1624,H1568)</f>
        <v>1</v>
      </c>
      <c r="J1568" s="1" t="n">
        <f aca="false">COUNTIF($H$5:H1568,H1568)</f>
        <v>1</v>
      </c>
      <c r="K1568" s="1" t="n">
        <f aca="false">COUNTIFS($H$5:$H$1624,H1568,$B$5:$B$1624,"&lt;&gt;"&amp;B1568)</f>
        <v>0</v>
      </c>
      <c r="L1568" s="1" t="str">
        <f aca="false">IF(I1568&gt;1,IF(K1568&gt;0,"Cross-hospital match","Same-hospital match"),"")</f>
        <v/>
      </c>
      <c r="M1568" s="52"/>
      <c r="N1568" s="52"/>
      <c r="O1568" s="1" t="n">
        <f aca="false">IF(M1568="Exclude (duplicate)",0,1)</f>
        <v>1</v>
      </c>
      <c r="P1568" s="1" t="str">
        <f aca="false">IF(AND(L1568&lt;&gt;"",M1568=""),"Needs decision","")</f>
        <v/>
      </c>
    </row>
    <row r="1569" customFormat="false" ht="15" hidden="false" customHeight="false" outlineLevel="0" collapsed="false">
      <c r="A1569" s="48" t="str">
        <f aca="false">COST!A1569</f>
        <v>QHH-0188</v>
      </c>
      <c r="B1569" s="48" t="str">
        <f aca="false">COST!B1569</f>
        <v>QHH</v>
      </c>
      <c r="C1569" s="48" t="str">
        <f aca="false">COST!D1569</f>
        <v>In-Kind Medical Supply Donations</v>
      </c>
      <c r="D1569" s="62" t="n">
        <f aca="false">COST!M1569</f>
        <v>46117</v>
      </c>
      <c r="E1569" s="48" t="str">
        <f aca="false">COST!P1569</f>
        <v>No staff time</v>
      </c>
      <c r="F1569" s="63" t="n">
        <f aca="false">COST!R1569</f>
        <v>0</v>
      </c>
      <c r="G1569" s="48" t="str">
        <f aca="false">STACK!M1569</f>
        <v/>
      </c>
      <c r="H1569" s="1" t="str">
        <f aca="false">C1569&amp;"|"&amp;IF(ISNUMBER(D1569),TEXT(D1569,"yyyy-mm-dd"),"no date")&amp;"|"&amp;E1569&amp;"|"&amp;IF(ISNUMBER(F1569),TEXT(F1569,"0.00"),"blank")</f>
        <v>In-Kind Medical Supply Donations|2026-04-05|No staff time|0.00</v>
      </c>
      <c r="I1569" s="1" t="n">
        <f aca="false">COUNTIF($H$5:$H$1624,H1569)</f>
        <v>1</v>
      </c>
      <c r="J1569" s="1" t="n">
        <f aca="false">COUNTIF($H$5:H1569,H1569)</f>
        <v>1</v>
      </c>
      <c r="K1569" s="1" t="n">
        <f aca="false">COUNTIFS($H$5:$H$1624,H1569,$B$5:$B$1624,"&lt;&gt;"&amp;B1569)</f>
        <v>0</v>
      </c>
      <c r="L1569" s="1" t="str">
        <f aca="false">IF(I1569&gt;1,IF(K1569&gt;0,"Cross-hospital match","Same-hospital match"),"")</f>
        <v/>
      </c>
      <c r="M1569" s="52"/>
      <c r="N1569" s="52"/>
      <c r="O1569" s="1" t="n">
        <f aca="false">IF(M1569="Exclude (duplicate)",0,1)</f>
        <v>1</v>
      </c>
      <c r="P1569" s="1" t="str">
        <f aca="false">IF(AND(L1569&lt;&gt;"",M1569=""),"Needs decision","")</f>
        <v/>
      </c>
    </row>
    <row r="1570" customFormat="false" ht="15" hidden="false" customHeight="false" outlineLevel="0" collapsed="false">
      <c r="A1570" s="48" t="str">
        <f aca="false">COST!A1570</f>
        <v>QHH-0189</v>
      </c>
      <c r="B1570" s="48" t="str">
        <f aca="false">COST!B1570</f>
        <v>QHH</v>
      </c>
      <c r="C1570" s="48" t="str">
        <f aca="false">COST!D1570</f>
        <v>Diabetes Prevention Classes</v>
      </c>
      <c r="D1570" s="62" t="n">
        <f aca="false">COST!M1570</f>
        <v>46118</v>
      </c>
      <c r="E1570" s="48" t="str">
        <f aca="false">COST!P1570</f>
        <v>Health Educator</v>
      </c>
      <c r="F1570" s="63" t="n">
        <f aca="false">COST!R1570</f>
        <v>2.25</v>
      </c>
      <c r="G1570" s="48" t="str">
        <f aca="false">STACK!M1570</f>
        <v/>
      </c>
      <c r="H1570" s="1" t="str">
        <f aca="false">C1570&amp;"|"&amp;IF(ISNUMBER(D1570),TEXT(D1570,"yyyy-mm-dd"),"no date")&amp;"|"&amp;E1570&amp;"|"&amp;IF(ISNUMBER(F1570),TEXT(F1570,"0.00"),"blank")</f>
        <v>Diabetes Prevention Classes|2026-04-06|Health Educator|2.25</v>
      </c>
      <c r="I1570" s="1" t="n">
        <f aca="false">COUNTIF($H$5:$H$1624,H1570)</f>
        <v>1</v>
      </c>
      <c r="J1570" s="1" t="n">
        <f aca="false">COUNTIF($H$5:H1570,H1570)</f>
        <v>1</v>
      </c>
      <c r="K1570" s="1" t="n">
        <f aca="false">COUNTIFS($H$5:$H$1624,H1570,$B$5:$B$1624,"&lt;&gt;"&amp;B1570)</f>
        <v>0</v>
      </c>
      <c r="L1570" s="1" t="str">
        <f aca="false">IF(I1570&gt;1,IF(K1570&gt;0,"Cross-hospital match","Same-hospital match"),"")</f>
        <v/>
      </c>
      <c r="M1570" s="52"/>
      <c r="N1570" s="52"/>
      <c r="O1570" s="1" t="n">
        <f aca="false">IF(M1570="Exclude (duplicate)",0,1)</f>
        <v>1</v>
      </c>
      <c r="P1570" s="1" t="str">
        <f aca="false">IF(AND(L1570&lt;&gt;"",M1570=""),"Needs decision","")</f>
        <v/>
      </c>
    </row>
    <row r="1571" customFormat="false" ht="15" hidden="false" customHeight="false" outlineLevel="0" collapsed="false">
      <c r="A1571" s="48" t="str">
        <f aca="false">COST!A1571</f>
        <v>QHH-0190</v>
      </c>
      <c r="B1571" s="48" t="str">
        <f aca="false">COST!B1571</f>
        <v>QHH</v>
      </c>
      <c r="C1571" s="48" t="str">
        <f aca="false">COST!D1571</f>
        <v>Diabetes Prevention Classes</v>
      </c>
      <c r="D1571" s="62" t="n">
        <f aca="false">COST!M1571</f>
        <v>46118</v>
      </c>
      <c r="E1571" s="48" t="str">
        <f aca="false">COST!P1571</f>
        <v>Registered Dietitian</v>
      </c>
      <c r="F1571" s="63" t="n">
        <f aca="false">COST!R1571</f>
        <v>2</v>
      </c>
      <c r="G1571" s="48" t="str">
        <f aca="false">STACK!M1571</f>
        <v/>
      </c>
      <c r="H1571" s="1" t="str">
        <f aca="false">C1571&amp;"|"&amp;IF(ISNUMBER(D1571),TEXT(D1571,"yyyy-mm-dd"),"no date")&amp;"|"&amp;E1571&amp;"|"&amp;IF(ISNUMBER(F1571),TEXT(F1571,"0.00"),"blank")</f>
        <v>Diabetes Prevention Classes|2026-04-06|Registered Dietitian|2.00</v>
      </c>
      <c r="I1571" s="1" t="n">
        <f aca="false">COUNTIF($H$5:$H$1624,H1571)</f>
        <v>1</v>
      </c>
      <c r="J1571" s="1" t="n">
        <f aca="false">COUNTIF($H$5:H1571,H1571)</f>
        <v>1</v>
      </c>
      <c r="K1571" s="1" t="n">
        <f aca="false">COUNTIFS($H$5:$H$1624,H1571,$B$5:$B$1624,"&lt;&gt;"&amp;B1571)</f>
        <v>0</v>
      </c>
      <c r="L1571" s="1" t="str">
        <f aca="false">IF(I1571&gt;1,IF(K1571&gt;0,"Cross-hospital match","Same-hospital match"),"")</f>
        <v/>
      </c>
      <c r="M1571" s="52"/>
      <c r="N1571" s="52"/>
      <c r="O1571" s="1" t="n">
        <f aca="false">IF(M1571="Exclude (duplicate)",0,1)</f>
        <v>1</v>
      </c>
      <c r="P1571" s="1" t="str">
        <f aca="false">IF(AND(L1571&lt;&gt;"",M1571=""),"Needs decision","")</f>
        <v/>
      </c>
    </row>
    <row r="1572" customFormat="false" ht="15" hidden="false" customHeight="false" outlineLevel="0" collapsed="false">
      <c r="A1572" s="48" t="str">
        <f aca="false">COST!A1572</f>
        <v>QHH-0191</v>
      </c>
      <c r="B1572" s="48" t="str">
        <f aca="false">COST!B1572</f>
        <v>QHH</v>
      </c>
      <c r="C1572" s="48" t="str">
        <f aca="false">COST!D1572</f>
        <v>Tobacco Cessation Classes</v>
      </c>
      <c r="D1572" s="62" t="n">
        <f aca="false">COST!M1572</f>
        <v>46119</v>
      </c>
      <c r="E1572" s="48" t="str">
        <f aca="false">COST!P1572</f>
        <v>Licensed Therapist</v>
      </c>
      <c r="F1572" s="63" t="n">
        <f aca="false">COST!R1572</f>
        <v>2</v>
      </c>
      <c r="G1572" s="48" t="str">
        <f aca="false">STACK!M1572</f>
        <v/>
      </c>
      <c r="H1572" s="1" t="str">
        <f aca="false">C1572&amp;"|"&amp;IF(ISNUMBER(D1572),TEXT(D1572,"yyyy-mm-dd"),"no date")&amp;"|"&amp;E1572&amp;"|"&amp;IF(ISNUMBER(F1572),TEXT(F1572,"0.00"),"blank")</f>
        <v>Tobacco Cessation Classes|2026-04-07|Licensed Therapist|2.00</v>
      </c>
      <c r="I1572" s="1" t="n">
        <f aca="false">COUNTIF($H$5:$H$1624,H1572)</f>
        <v>1</v>
      </c>
      <c r="J1572" s="1" t="n">
        <f aca="false">COUNTIF($H$5:H1572,H1572)</f>
        <v>1</v>
      </c>
      <c r="K1572" s="1" t="n">
        <f aca="false">COUNTIFS($H$5:$H$1624,H1572,$B$5:$B$1624,"&lt;&gt;"&amp;B1572)</f>
        <v>0</v>
      </c>
      <c r="L1572" s="1" t="str">
        <f aca="false">IF(I1572&gt;1,IF(K1572&gt;0,"Cross-hospital match","Same-hospital match"),"")</f>
        <v/>
      </c>
      <c r="M1572" s="52"/>
      <c r="N1572" s="52"/>
      <c r="O1572" s="1" t="n">
        <f aca="false">IF(M1572="Exclude (duplicate)",0,1)</f>
        <v>1</v>
      </c>
      <c r="P1572" s="1" t="str">
        <f aca="false">IF(AND(L1572&lt;&gt;"",M1572=""),"Needs decision","")</f>
        <v/>
      </c>
    </row>
    <row r="1573" customFormat="false" ht="15" hidden="false" customHeight="false" outlineLevel="0" collapsed="false">
      <c r="A1573" s="48" t="str">
        <f aca="false">COST!A1573</f>
        <v>QHH-0192</v>
      </c>
      <c r="B1573" s="48" t="str">
        <f aca="false">COST!B1573</f>
        <v>QHH</v>
      </c>
      <c r="C1573" s="48" t="str">
        <f aca="false">COST!D1573</f>
        <v>Tobacco Cessation Classes</v>
      </c>
      <c r="D1573" s="62" t="n">
        <f aca="false">COST!M1573</f>
        <v>46123</v>
      </c>
      <c r="E1573" s="48" t="str">
        <f aca="false">COST!P1573</f>
        <v>Licensed Therapist</v>
      </c>
      <c r="F1573" s="63" t="n">
        <f aca="false">COST!R1573</f>
        <v>2</v>
      </c>
      <c r="G1573" s="48" t="str">
        <f aca="false">STACK!M1573</f>
        <v/>
      </c>
      <c r="H1573" s="1" t="str">
        <f aca="false">C1573&amp;"|"&amp;IF(ISNUMBER(D1573),TEXT(D1573,"yyyy-mm-dd"),"no date")&amp;"|"&amp;E1573&amp;"|"&amp;IF(ISNUMBER(F1573),TEXT(F1573,"0.00"),"blank")</f>
        <v>Tobacco Cessation Classes|2026-04-11|Licensed Therapist|2.00</v>
      </c>
      <c r="I1573" s="1" t="n">
        <f aca="false">COUNTIF($H$5:$H$1624,H1573)</f>
        <v>1</v>
      </c>
      <c r="J1573" s="1" t="n">
        <f aca="false">COUNTIF($H$5:H1573,H1573)</f>
        <v>1</v>
      </c>
      <c r="K1573" s="1" t="n">
        <f aca="false">COUNTIFS($H$5:$H$1624,H1573,$B$5:$B$1624,"&lt;&gt;"&amp;B1573)</f>
        <v>0</v>
      </c>
      <c r="L1573" s="1" t="str">
        <f aca="false">IF(I1573&gt;1,IF(K1573&gt;0,"Cross-hospital match","Same-hospital match"),"")</f>
        <v/>
      </c>
      <c r="M1573" s="52"/>
      <c r="N1573" s="52"/>
      <c r="O1573" s="1" t="n">
        <f aca="false">IF(M1573="Exclude (duplicate)",0,1)</f>
        <v>1</v>
      </c>
      <c r="P1573" s="1" t="str">
        <f aca="false">IF(AND(L1573&lt;&gt;"",M1573=""),"Needs decision","")</f>
        <v/>
      </c>
    </row>
    <row r="1574" customFormat="false" ht="15" hidden="false" customHeight="false" outlineLevel="0" collapsed="false">
      <c r="A1574" s="48" t="str">
        <f aca="false">COST!A1574</f>
        <v>QHH-0193</v>
      </c>
      <c r="B1574" s="48" t="str">
        <f aca="false">COST!B1574</f>
        <v>QHH</v>
      </c>
      <c r="C1574" s="48" t="str">
        <f aca="false">COST!D1574</f>
        <v>Employee Wellness Fair</v>
      </c>
      <c r="D1574" s="62" t="n">
        <f aca="false">COST!M1574</f>
        <v>46129</v>
      </c>
      <c r="E1574" s="48" t="str">
        <f aca="false">COST!P1574</f>
        <v>Health Educator</v>
      </c>
      <c r="F1574" s="63" t="n">
        <f aca="false">COST!R1574</f>
        <v>6</v>
      </c>
      <c r="G1574" s="48" t="str">
        <f aca="false">STACK!M1574</f>
        <v/>
      </c>
      <c r="H1574" s="1" t="str">
        <f aca="false">C1574&amp;"|"&amp;IF(ISNUMBER(D1574),TEXT(D1574,"yyyy-mm-dd"),"no date")&amp;"|"&amp;E1574&amp;"|"&amp;IF(ISNUMBER(F1574),TEXT(F1574,"0.00"),"blank")</f>
        <v>Employee Wellness Fair|2026-04-17|Health Educator|6.00</v>
      </c>
      <c r="I1574" s="1" t="n">
        <f aca="false">COUNTIF($H$5:$H$1624,H1574)</f>
        <v>1</v>
      </c>
      <c r="J1574" s="1" t="n">
        <f aca="false">COUNTIF($H$5:H1574,H1574)</f>
        <v>1</v>
      </c>
      <c r="K1574" s="1" t="n">
        <f aca="false">COUNTIFS($H$5:$H$1624,H1574,$B$5:$B$1624,"&lt;&gt;"&amp;B1574)</f>
        <v>0</v>
      </c>
      <c r="L1574" s="1" t="str">
        <f aca="false">IF(I1574&gt;1,IF(K1574&gt;0,"Cross-hospital match","Same-hospital match"),"")</f>
        <v/>
      </c>
      <c r="M1574" s="52"/>
      <c r="N1574" s="52"/>
      <c r="O1574" s="1" t="n">
        <f aca="false">IF(M1574="Exclude (duplicate)",0,1)</f>
        <v>1</v>
      </c>
      <c r="P1574" s="1" t="str">
        <f aca="false">IF(AND(L1574&lt;&gt;"",M1574=""),"Needs decision","")</f>
        <v/>
      </c>
    </row>
    <row r="1575" customFormat="false" ht="15" hidden="false" customHeight="false" outlineLevel="0" collapsed="false">
      <c r="A1575" s="48" t="str">
        <f aca="false">COST!A1575</f>
        <v>QHH-0194</v>
      </c>
      <c r="B1575" s="48" t="str">
        <f aca="false">COST!B1575</f>
        <v>QHH</v>
      </c>
      <c r="C1575" s="48" t="str">
        <f aca="false">COST!D1575</f>
        <v>Employee Wellness Fair</v>
      </c>
      <c r="D1575" s="62" t="n">
        <f aca="false">COST!M1575</f>
        <v>46129</v>
      </c>
      <c r="E1575" s="48" t="str">
        <f aca="false">COST!P1575</f>
        <v>Registered Nurse</v>
      </c>
      <c r="F1575" s="63" t="n">
        <f aca="false">COST!R1575</f>
        <v>6</v>
      </c>
      <c r="G1575" s="48" t="str">
        <f aca="false">STACK!M1575</f>
        <v/>
      </c>
      <c r="H1575" s="1" t="str">
        <f aca="false">C1575&amp;"|"&amp;IF(ISNUMBER(D1575),TEXT(D1575,"yyyy-mm-dd"),"no date")&amp;"|"&amp;E1575&amp;"|"&amp;IF(ISNUMBER(F1575),TEXT(F1575,"0.00"),"blank")</f>
        <v>Employee Wellness Fair|2026-04-17|Registered Nurse|6.00</v>
      </c>
      <c r="I1575" s="1" t="n">
        <f aca="false">COUNTIF($H$5:$H$1624,H1575)</f>
        <v>1</v>
      </c>
      <c r="J1575" s="1" t="n">
        <f aca="false">COUNTIF($H$5:H1575,H1575)</f>
        <v>1</v>
      </c>
      <c r="K1575" s="1" t="n">
        <f aca="false">COUNTIFS($H$5:$H$1624,H1575,$B$5:$B$1624,"&lt;&gt;"&amp;B1575)</f>
        <v>0</v>
      </c>
      <c r="L1575" s="1" t="str">
        <f aca="false">IF(I1575&gt;1,IF(K1575&gt;0,"Cross-hospital match","Same-hospital match"),"")</f>
        <v/>
      </c>
      <c r="M1575" s="52"/>
      <c r="N1575" s="52"/>
      <c r="O1575" s="1" t="n">
        <f aca="false">IF(M1575="Exclude (duplicate)",0,1)</f>
        <v>1</v>
      </c>
      <c r="P1575" s="1" t="str">
        <f aca="false">IF(AND(L1575&lt;&gt;"",M1575=""),"Needs decision","")</f>
        <v/>
      </c>
    </row>
    <row r="1576" customFormat="false" ht="15" hidden="false" customHeight="false" outlineLevel="0" collapsed="false">
      <c r="A1576" s="48" t="str">
        <f aca="false">COST!A1576</f>
        <v>QHH-0195</v>
      </c>
      <c r="B1576" s="48" t="str">
        <f aca="false">COST!B1576</f>
        <v>QHH</v>
      </c>
      <c r="C1576" s="48" t="str">
        <f aca="false">COST!D1576</f>
        <v>Fall Prevention Classes for Older Adults</v>
      </c>
      <c r="D1576" s="62" t="n">
        <f aca="false">COST!M1576</f>
        <v>46136</v>
      </c>
      <c r="E1576" s="48" t="str">
        <f aca="false">COST!P1576</f>
        <v>Licensed Therapist</v>
      </c>
      <c r="F1576" s="63" t="n">
        <f aca="false">COST!R1576</f>
        <v>2</v>
      </c>
      <c r="G1576" s="48" t="str">
        <f aca="false">STACK!M1576</f>
        <v/>
      </c>
      <c r="H1576" s="1" t="str">
        <f aca="false">C1576&amp;"|"&amp;IF(ISNUMBER(D1576),TEXT(D1576,"yyyy-mm-dd"),"no date")&amp;"|"&amp;E1576&amp;"|"&amp;IF(ISNUMBER(F1576),TEXT(F1576,"0.00"),"blank")</f>
        <v>Fall Prevention Classes for Older Adults|2026-04-24|Licensed Therapist|2.00</v>
      </c>
      <c r="I1576" s="1" t="n">
        <f aca="false">COUNTIF($H$5:$H$1624,H1576)</f>
        <v>1</v>
      </c>
      <c r="J1576" s="1" t="n">
        <f aca="false">COUNTIF($H$5:H1576,H1576)</f>
        <v>1</v>
      </c>
      <c r="K1576" s="1" t="n">
        <f aca="false">COUNTIFS($H$5:$H$1624,H1576,$B$5:$B$1624,"&lt;&gt;"&amp;B1576)</f>
        <v>0</v>
      </c>
      <c r="L1576" s="1" t="str">
        <f aca="false">IF(I1576&gt;1,IF(K1576&gt;0,"Cross-hospital match","Same-hospital match"),"")</f>
        <v/>
      </c>
      <c r="M1576" s="52"/>
      <c r="N1576" s="52"/>
      <c r="O1576" s="1" t="n">
        <f aca="false">IF(M1576="Exclude (duplicate)",0,1)</f>
        <v>1</v>
      </c>
      <c r="P1576" s="1" t="str">
        <f aca="false">IF(AND(L1576&lt;&gt;"",M1576=""),"Needs decision","")</f>
        <v/>
      </c>
    </row>
    <row r="1577" customFormat="false" ht="15" hidden="false" customHeight="false" outlineLevel="0" collapsed="false">
      <c r="A1577" s="48" t="str">
        <f aca="false">COST!A1577</f>
        <v>QHH-0196</v>
      </c>
      <c r="B1577" s="48" t="str">
        <f aca="false">COST!B1577</f>
        <v>QHH</v>
      </c>
      <c r="C1577" s="48" t="str">
        <f aca="false">COST!D1577</f>
        <v>Childbirth and Newborn Care Classes</v>
      </c>
      <c r="D1577" s="62" t="n">
        <f aca="false">COST!M1577</f>
        <v>46137</v>
      </c>
      <c r="E1577" s="48" t="str">
        <f aca="false">COST!P1577</f>
        <v>Clinical Nurse Educator</v>
      </c>
      <c r="F1577" s="63" t="n">
        <f aca="false">COST!R1577</f>
        <v>3.5</v>
      </c>
      <c r="G1577" s="48" t="str">
        <f aca="false">STACK!M1577</f>
        <v/>
      </c>
      <c r="H1577" s="1" t="str">
        <f aca="false">C1577&amp;"|"&amp;IF(ISNUMBER(D1577),TEXT(D1577,"yyyy-mm-dd"),"no date")&amp;"|"&amp;E1577&amp;"|"&amp;IF(ISNUMBER(F1577),TEXT(F1577,"0.00"),"blank")</f>
        <v>Childbirth and Newborn Care Classes|2026-04-25|Clinical Nurse Educator|3.50</v>
      </c>
      <c r="I1577" s="1" t="n">
        <f aca="false">COUNTIF($H$5:$H$1624,H1577)</f>
        <v>1</v>
      </c>
      <c r="J1577" s="1" t="n">
        <f aca="false">COUNTIF($H$5:H1577,H1577)</f>
        <v>1</v>
      </c>
      <c r="K1577" s="1" t="n">
        <f aca="false">COUNTIFS($H$5:$H$1624,H1577,$B$5:$B$1624,"&lt;&gt;"&amp;B1577)</f>
        <v>0</v>
      </c>
      <c r="L1577" s="1" t="str">
        <f aca="false">IF(I1577&gt;1,IF(K1577&gt;0,"Cross-hospital match","Same-hospital match"),"")</f>
        <v/>
      </c>
      <c r="M1577" s="52"/>
      <c r="N1577" s="52"/>
      <c r="O1577" s="1" t="n">
        <f aca="false">IF(M1577="Exclude (duplicate)",0,1)</f>
        <v>1</v>
      </c>
      <c r="P1577" s="1" t="str">
        <f aca="false">IF(AND(L1577&lt;&gt;"",M1577=""),"Needs decision","")</f>
        <v/>
      </c>
    </row>
    <row r="1578" customFormat="false" ht="15" hidden="false" customHeight="false" outlineLevel="0" collapsed="false">
      <c r="A1578" s="48" t="str">
        <f aca="false">COST!A1578</f>
        <v>QHH-0197</v>
      </c>
      <c r="B1578" s="48" t="str">
        <f aca="false">COST!B1578</f>
        <v>QHH</v>
      </c>
      <c r="C1578" s="48" t="str">
        <f aca="false">COST!D1578</f>
        <v>Grief Support Group</v>
      </c>
      <c r="D1578" s="62" t="n">
        <f aca="false">COST!M1578</f>
        <v>46139</v>
      </c>
      <c r="E1578" s="48" t="str">
        <f aca="false">COST!P1578</f>
        <v>Chaplain</v>
      </c>
      <c r="F1578" s="63" t="n">
        <f aca="false">COST!R1578</f>
        <v>2</v>
      </c>
      <c r="G1578" s="48" t="str">
        <f aca="false">STACK!M1578</f>
        <v/>
      </c>
      <c r="H1578" s="1" t="str">
        <f aca="false">C1578&amp;"|"&amp;IF(ISNUMBER(D1578),TEXT(D1578,"yyyy-mm-dd"),"no date")&amp;"|"&amp;E1578&amp;"|"&amp;IF(ISNUMBER(F1578),TEXT(F1578,"0.00"),"blank")</f>
        <v>Grief Support Group|2026-04-27|Chaplain|2.00</v>
      </c>
      <c r="I1578" s="1" t="n">
        <f aca="false">COUNTIF($H$5:$H$1624,H1578)</f>
        <v>1</v>
      </c>
      <c r="J1578" s="1" t="n">
        <f aca="false">COUNTIF($H$5:H1578,H1578)</f>
        <v>1</v>
      </c>
      <c r="K1578" s="1" t="n">
        <f aca="false">COUNTIFS($H$5:$H$1624,H1578,$B$5:$B$1624,"&lt;&gt;"&amp;B1578)</f>
        <v>0</v>
      </c>
      <c r="L1578" s="1" t="str">
        <f aca="false">IF(I1578&gt;1,IF(K1578&gt;0,"Cross-hospital match","Same-hospital match"),"")</f>
        <v/>
      </c>
      <c r="M1578" s="52"/>
      <c r="N1578" s="52"/>
      <c r="O1578" s="1" t="n">
        <f aca="false">IF(M1578="Exclude (duplicate)",0,1)</f>
        <v>1</v>
      </c>
      <c r="P1578" s="1" t="str">
        <f aca="false">IF(AND(L1578&lt;&gt;"",M1578=""),"Needs decision","")</f>
        <v/>
      </c>
    </row>
    <row r="1579" customFormat="false" ht="15" hidden="false" customHeight="false" outlineLevel="0" collapsed="false">
      <c r="A1579" s="48" t="str">
        <f aca="false">COST!A1579</f>
        <v>QHH-0198</v>
      </c>
      <c r="B1579" s="48" t="str">
        <f aca="false">COST!B1579</f>
        <v>QHH</v>
      </c>
      <c r="C1579" s="48" t="str">
        <f aca="false">COST!D1579</f>
        <v>Grief Support Group</v>
      </c>
      <c r="D1579" s="62" t="n">
        <f aca="false">COST!M1579</f>
        <v>46139</v>
      </c>
      <c r="E1579" s="48" t="str">
        <f aca="false">COST!P1579</f>
        <v>Social Worker</v>
      </c>
      <c r="F1579" s="63" t="n">
        <f aca="false">COST!R1579</f>
        <v>1.5</v>
      </c>
      <c r="G1579" s="48" t="str">
        <f aca="false">STACK!M1579</f>
        <v/>
      </c>
      <c r="H1579" s="1" t="str">
        <f aca="false">C1579&amp;"|"&amp;IF(ISNUMBER(D1579),TEXT(D1579,"yyyy-mm-dd"),"no date")&amp;"|"&amp;E1579&amp;"|"&amp;IF(ISNUMBER(F1579),TEXT(F1579,"0.00"),"blank")</f>
        <v>Grief Support Group|2026-04-27|Social Worker|1.50</v>
      </c>
      <c r="I1579" s="1" t="n">
        <f aca="false">COUNTIF($H$5:$H$1624,H1579)</f>
        <v>1</v>
      </c>
      <c r="J1579" s="1" t="n">
        <f aca="false">COUNTIF($H$5:H1579,H1579)</f>
        <v>1</v>
      </c>
      <c r="K1579" s="1" t="n">
        <f aca="false">COUNTIFS($H$5:$H$1624,H1579,$B$5:$B$1624,"&lt;&gt;"&amp;B1579)</f>
        <v>0</v>
      </c>
      <c r="L1579" s="1" t="str">
        <f aca="false">IF(I1579&gt;1,IF(K1579&gt;0,"Cross-hospital match","Same-hospital match"),"")</f>
        <v/>
      </c>
      <c r="M1579" s="52"/>
      <c r="N1579" s="52"/>
      <c r="O1579" s="1" t="n">
        <f aca="false">IF(M1579="Exclude (duplicate)",0,1)</f>
        <v>1</v>
      </c>
      <c r="P1579" s="1" t="str">
        <f aca="false">IF(AND(L1579&lt;&gt;"",M1579=""),"Needs decision","")</f>
        <v/>
      </c>
    </row>
    <row r="1580" customFormat="false" ht="15" hidden="false" customHeight="false" outlineLevel="0" collapsed="false">
      <c r="A1580" s="48" t="str">
        <f aca="false">COST!A1580</f>
        <v>QHH-0199</v>
      </c>
      <c r="B1580" s="48" t="str">
        <f aca="false">COST!B1580</f>
        <v>QHH</v>
      </c>
      <c r="C1580" s="48" t="str">
        <f aca="false">COST!D1580</f>
        <v>Fall Prevention Classes for Older Adults</v>
      </c>
      <c r="D1580" s="62" t="n">
        <f aca="false">COST!M1580</f>
        <v>46140</v>
      </c>
      <c r="E1580" s="48" t="str">
        <f aca="false">COST!P1580</f>
        <v>Licensed Therapist</v>
      </c>
      <c r="F1580" s="63" t="n">
        <f aca="false">COST!R1580</f>
        <v>2</v>
      </c>
      <c r="G1580" s="48" t="str">
        <f aca="false">STACK!M1580</f>
        <v/>
      </c>
      <c r="H1580" s="1" t="str">
        <f aca="false">C1580&amp;"|"&amp;IF(ISNUMBER(D1580),TEXT(D1580,"yyyy-mm-dd"),"no date")&amp;"|"&amp;E1580&amp;"|"&amp;IF(ISNUMBER(F1580),TEXT(F1580,"0.00"),"blank")</f>
        <v>Fall Prevention Classes for Older Adults|2026-04-28|Licensed Therapist|2.00</v>
      </c>
      <c r="I1580" s="1" t="n">
        <f aca="false">COUNTIF($H$5:$H$1624,H1580)</f>
        <v>1</v>
      </c>
      <c r="J1580" s="1" t="n">
        <f aca="false">COUNTIF($H$5:H1580,H1580)</f>
        <v>1</v>
      </c>
      <c r="K1580" s="1" t="n">
        <f aca="false">COUNTIFS($H$5:$H$1624,H1580,$B$5:$B$1624,"&lt;&gt;"&amp;B1580)</f>
        <v>0</v>
      </c>
      <c r="L1580" s="1" t="str">
        <f aca="false">IF(I1580&gt;1,IF(K1580&gt;0,"Cross-hospital match","Same-hospital match"),"")</f>
        <v/>
      </c>
      <c r="M1580" s="52"/>
      <c r="N1580" s="52"/>
      <c r="O1580" s="1" t="n">
        <f aca="false">IF(M1580="Exclude (duplicate)",0,1)</f>
        <v>1</v>
      </c>
      <c r="P1580" s="1" t="str">
        <f aca="false">IF(AND(L1580&lt;&gt;"",M1580=""),"Needs decision","")</f>
        <v/>
      </c>
    </row>
    <row r="1581" customFormat="false" ht="15" hidden="false" customHeight="false" outlineLevel="0" collapsed="false">
      <c r="A1581" s="48" t="str">
        <f aca="false">COST!A1581</f>
        <v>QHH-0200</v>
      </c>
      <c r="B1581" s="48" t="str">
        <f aca="false">COST!B1581</f>
        <v>QHH</v>
      </c>
      <c r="C1581" s="48" t="str">
        <f aca="false">COST!D1581</f>
        <v>Youth Health Careers Pathway</v>
      </c>
      <c r="D1581" s="62" t="n">
        <f aca="false">COST!M1581</f>
        <v>46141</v>
      </c>
      <c r="E1581" s="48" t="str">
        <f aca="false">COST!P1581</f>
        <v>Clinical Nurse Educator</v>
      </c>
      <c r="F1581" s="63" t="n">
        <f aca="false">COST!R1581</f>
        <v>3.25</v>
      </c>
      <c r="G1581" s="48" t="str">
        <f aca="false">STACK!M1581</f>
        <v/>
      </c>
      <c r="H1581" s="1" t="str">
        <f aca="false">C1581&amp;"|"&amp;IF(ISNUMBER(D1581),TEXT(D1581,"yyyy-mm-dd"),"no date")&amp;"|"&amp;E1581&amp;"|"&amp;IF(ISNUMBER(F1581),TEXT(F1581,"0.00"),"blank")</f>
        <v>Youth Health Careers Pathway|2026-04-29|Clinical Nurse Educator|3.25</v>
      </c>
      <c r="I1581" s="1" t="n">
        <f aca="false">COUNTIF($H$5:$H$1624,H1581)</f>
        <v>1</v>
      </c>
      <c r="J1581" s="1" t="n">
        <f aca="false">COUNTIF($H$5:H1581,H1581)</f>
        <v>1</v>
      </c>
      <c r="K1581" s="1" t="n">
        <f aca="false">COUNTIFS($H$5:$H$1624,H1581,$B$5:$B$1624,"&lt;&gt;"&amp;B1581)</f>
        <v>0</v>
      </c>
      <c r="L1581" s="1" t="str">
        <f aca="false">IF(I1581&gt;1,IF(K1581&gt;0,"Cross-hospital match","Same-hospital match"),"")</f>
        <v/>
      </c>
      <c r="M1581" s="52"/>
      <c r="N1581" s="52"/>
      <c r="O1581" s="1" t="n">
        <f aca="false">IF(M1581="Exclude (duplicate)",0,1)</f>
        <v>1</v>
      </c>
      <c r="P1581" s="1" t="str">
        <f aca="false">IF(AND(L1581&lt;&gt;"",M1581=""),"Needs decision","")</f>
        <v/>
      </c>
    </row>
    <row r="1582" customFormat="false" ht="15" hidden="false" customHeight="false" outlineLevel="0" collapsed="false">
      <c r="A1582" s="48" t="str">
        <f aca="false">COST!A1582</f>
        <v>QHH-0201</v>
      </c>
      <c r="B1582" s="48" t="str">
        <f aca="false">COST!B1582</f>
        <v>QHH</v>
      </c>
      <c r="C1582" s="48" t="str">
        <f aca="false">COST!D1582</f>
        <v>Youth Health Careers Pathway</v>
      </c>
      <c r="D1582" s="62" t="n">
        <f aca="false">COST!M1582</f>
        <v>46141</v>
      </c>
      <c r="E1582" s="48" t="str">
        <f aca="false">COST!P1582</f>
        <v>Program Coordinator</v>
      </c>
      <c r="F1582" s="63" t="n">
        <f aca="false">COST!R1582</f>
        <v>7.25</v>
      </c>
      <c r="G1582" s="48" t="str">
        <f aca="false">STACK!M1582</f>
        <v/>
      </c>
      <c r="H1582" s="1" t="str">
        <f aca="false">C1582&amp;"|"&amp;IF(ISNUMBER(D1582),TEXT(D1582,"yyyy-mm-dd"),"no date")&amp;"|"&amp;E1582&amp;"|"&amp;IF(ISNUMBER(F1582),TEXT(F1582,"0.00"),"blank")</f>
        <v>Youth Health Careers Pathway|2026-04-29|Program Coordinator|7.25</v>
      </c>
      <c r="I1582" s="1" t="n">
        <f aca="false">COUNTIF($H$5:$H$1624,H1582)</f>
        <v>1</v>
      </c>
      <c r="J1582" s="1" t="n">
        <f aca="false">COUNTIF($H$5:H1582,H1582)</f>
        <v>1</v>
      </c>
      <c r="K1582" s="1" t="n">
        <f aca="false">COUNTIFS($H$5:$H$1624,H1582,$B$5:$B$1624,"&lt;&gt;"&amp;B1582)</f>
        <v>0</v>
      </c>
      <c r="L1582" s="1" t="str">
        <f aca="false">IF(I1582&gt;1,IF(K1582&gt;0,"Cross-hospital match","Same-hospital match"),"")</f>
        <v/>
      </c>
      <c r="M1582" s="52"/>
      <c r="N1582" s="52"/>
      <c r="O1582" s="1" t="n">
        <f aca="false">IF(M1582="Exclude (duplicate)",0,1)</f>
        <v>1</v>
      </c>
      <c r="P1582" s="1" t="str">
        <f aca="false">IF(AND(L1582&lt;&gt;"",M1582=""),"Needs decision","")</f>
        <v/>
      </c>
    </row>
    <row r="1583" customFormat="false" ht="15" hidden="false" customHeight="false" outlineLevel="0" collapsed="false">
      <c r="A1583" s="48" t="str">
        <f aca="false">COST!A1583</f>
        <v>QHH-0202</v>
      </c>
      <c r="B1583" s="48" t="str">
        <f aca="false">COST!B1583</f>
        <v>QHH</v>
      </c>
      <c r="C1583" s="48" t="str">
        <f aca="false">COST!D1583</f>
        <v>Community Garden and Green Space Project</v>
      </c>
      <c r="D1583" s="62" t="n">
        <f aca="false">COST!M1583</f>
        <v>46141</v>
      </c>
      <c r="E1583" s="48" t="str">
        <f aca="false">COST!P1583</f>
        <v>Program Coordinator</v>
      </c>
      <c r="F1583" s="63" t="n">
        <f aca="false">COST!R1583</f>
        <v>6.75</v>
      </c>
      <c r="G1583" s="48" t="str">
        <f aca="false">STACK!M1583</f>
        <v/>
      </c>
      <c r="H1583" s="1" t="str">
        <f aca="false">C1583&amp;"|"&amp;IF(ISNUMBER(D1583),TEXT(D1583,"yyyy-mm-dd"),"no date")&amp;"|"&amp;E1583&amp;"|"&amp;IF(ISNUMBER(F1583),TEXT(F1583,"0.00"),"blank")</f>
        <v>Community Garden and Green Space Project|2026-04-29|Program Coordinator|6.75</v>
      </c>
      <c r="I1583" s="1" t="n">
        <f aca="false">COUNTIF($H$5:$H$1624,H1583)</f>
        <v>1</v>
      </c>
      <c r="J1583" s="1" t="n">
        <f aca="false">COUNTIF($H$5:H1583,H1583)</f>
        <v>1</v>
      </c>
      <c r="K1583" s="1" t="n">
        <f aca="false">COUNTIFS($H$5:$H$1624,H1583,$B$5:$B$1624,"&lt;&gt;"&amp;B1583)</f>
        <v>0</v>
      </c>
      <c r="L1583" s="1" t="str">
        <f aca="false">IF(I1583&gt;1,IF(K1583&gt;0,"Cross-hospital match","Same-hospital match"),"")</f>
        <v/>
      </c>
      <c r="M1583" s="52"/>
      <c r="N1583" s="52"/>
      <c r="O1583" s="1" t="n">
        <f aca="false">IF(M1583="Exclude (duplicate)",0,1)</f>
        <v>1</v>
      </c>
      <c r="P1583" s="1" t="str">
        <f aca="false">IF(AND(L1583&lt;&gt;"",M1583=""),"Needs decision","")</f>
        <v/>
      </c>
    </row>
    <row r="1584" customFormat="false" ht="15" hidden="false" customHeight="false" outlineLevel="0" collapsed="false">
      <c r="A1584" s="48" t="str">
        <f aca="false">COST!A1584</f>
        <v>QHH-0203</v>
      </c>
      <c r="B1584" s="48" t="str">
        <f aca="false">COST!B1584</f>
        <v>QHH</v>
      </c>
      <c r="C1584" s="48" t="str">
        <f aca="false">COST!D1584</f>
        <v>Medication Assistance Program</v>
      </c>
      <c r="D1584" s="62" t="n">
        <f aca="false">COST!M1584</f>
        <v>46142</v>
      </c>
      <c r="E1584" s="48" t="str">
        <f aca="false">COST!P1584</f>
        <v>Patient Navigator</v>
      </c>
      <c r="F1584" s="63" t="n">
        <f aca="false">COST!R1584</f>
        <v>58</v>
      </c>
      <c r="G1584" s="48" t="str">
        <f aca="false">STACK!M1584</f>
        <v/>
      </c>
      <c r="H1584" s="1" t="str">
        <f aca="false">C1584&amp;"|"&amp;IF(ISNUMBER(D1584),TEXT(D1584,"yyyy-mm-dd"),"no date")&amp;"|"&amp;E1584&amp;"|"&amp;IF(ISNUMBER(F1584),TEXT(F1584,"0.00"),"blank")</f>
        <v>Medication Assistance Program|2026-04-30|Patient Navigator|58.00</v>
      </c>
      <c r="I1584" s="1" t="n">
        <f aca="false">COUNTIF($H$5:$H$1624,H1584)</f>
        <v>1</v>
      </c>
      <c r="J1584" s="1" t="n">
        <f aca="false">COUNTIF($H$5:H1584,H1584)</f>
        <v>1</v>
      </c>
      <c r="K1584" s="1" t="n">
        <f aca="false">COUNTIFS($H$5:$H$1624,H1584,$B$5:$B$1624,"&lt;&gt;"&amp;B1584)</f>
        <v>0</v>
      </c>
      <c r="L1584" s="1" t="str">
        <f aca="false">IF(I1584&gt;1,IF(K1584&gt;0,"Cross-hospital match","Same-hospital match"),"")</f>
        <v/>
      </c>
      <c r="M1584" s="52"/>
      <c r="N1584" s="52"/>
      <c r="O1584" s="1" t="n">
        <f aca="false">IF(M1584="Exclude (duplicate)",0,1)</f>
        <v>1</v>
      </c>
      <c r="P1584" s="1" t="str">
        <f aca="false">IF(AND(L1584&lt;&gt;"",M1584=""),"Needs decision","")</f>
        <v/>
      </c>
    </row>
    <row r="1585" customFormat="false" ht="15" hidden="false" customHeight="false" outlineLevel="0" collapsed="false">
      <c r="A1585" s="48" t="str">
        <f aca="false">COST!A1585</f>
        <v>QHH-0204</v>
      </c>
      <c r="B1585" s="48" t="str">
        <f aca="false">COST!B1585</f>
        <v>QHH</v>
      </c>
      <c r="C1585" s="48" t="str">
        <f aca="false">COST!D1585</f>
        <v>Medication Assistance Program</v>
      </c>
      <c r="D1585" s="62" t="n">
        <f aca="false">COST!M1585</f>
        <v>46142</v>
      </c>
      <c r="E1585" s="48" t="str">
        <f aca="false">COST!P1585</f>
        <v>Pharmacist</v>
      </c>
      <c r="F1585" s="63" t="n">
        <f aca="false">COST!R1585</f>
        <v>16.75</v>
      </c>
      <c r="G1585" s="48" t="str">
        <f aca="false">STACK!M1585</f>
        <v/>
      </c>
      <c r="H1585" s="1" t="str">
        <f aca="false">C1585&amp;"|"&amp;IF(ISNUMBER(D1585),TEXT(D1585,"yyyy-mm-dd"),"no date")&amp;"|"&amp;E1585&amp;"|"&amp;IF(ISNUMBER(F1585),TEXT(F1585,"0.00"),"blank")</f>
        <v>Medication Assistance Program|2026-04-30|Pharmacist|16.75</v>
      </c>
      <c r="I1585" s="1" t="n">
        <f aca="false">COUNTIF($H$5:$H$1624,H1585)</f>
        <v>1</v>
      </c>
      <c r="J1585" s="1" t="n">
        <f aca="false">COUNTIF($H$5:H1585,H1585)</f>
        <v>1</v>
      </c>
      <c r="K1585" s="1" t="n">
        <f aca="false">COUNTIFS($H$5:$H$1624,H1585,$B$5:$B$1624,"&lt;&gt;"&amp;B1585)</f>
        <v>0</v>
      </c>
      <c r="L1585" s="1" t="str">
        <f aca="false">IF(I1585&gt;1,IF(K1585&gt;0,"Cross-hospital match","Same-hospital match"),"")</f>
        <v/>
      </c>
      <c r="M1585" s="52"/>
      <c r="N1585" s="52"/>
      <c r="O1585" s="1" t="n">
        <f aca="false">IF(M1585="Exclude (duplicate)",0,1)</f>
        <v>1</v>
      </c>
      <c r="P1585" s="1" t="str">
        <f aca="false">IF(AND(L1585&lt;&gt;"",M1585=""),"Needs decision","")</f>
        <v/>
      </c>
    </row>
    <row r="1586" customFormat="false" ht="15" hidden="false" customHeight="false" outlineLevel="0" collapsed="false">
      <c r="A1586" s="48" t="str">
        <f aca="false">COST!A1586</f>
        <v>QHH-0205</v>
      </c>
      <c r="B1586" s="48" t="str">
        <f aca="false">COST!B1586</f>
        <v>QHH</v>
      </c>
      <c r="C1586" s="48" t="str">
        <f aca="false">COST!D1586</f>
        <v>Community Benefit Program Administration</v>
      </c>
      <c r="D1586" s="62" t="n">
        <f aca="false">COST!M1586</f>
        <v>46142</v>
      </c>
      <c r="E1586" s="48" t="str">
        <f aca="false">COST!P1586</f>
        <v>Administrative Assistant</v>
      </c>
      <c r="F1586" s="63" t="n">
        <f aca="false">COST!R1586</f>
        <v>46.75</v>
      </c>
      <c r="G1586" s="48" t="str">
        <f aca="false">STACK!M1586</f>
        <v/>
      </c>
      <c r="H1586" s="1" t="str">
        <f aca="false">C1586&amp;"|"&amp;IF(ISNUMBER(D1586),TEXT(D1586,"yyyy-mm-dd"),"no date")&amp;"|"&amp;E1586&amp;"|"&amp;IF(ISNUMBER(F1586),TEXT(F1586,"0.00"),"blank")</f>
        <v>Community Benefit Program Administration|2026-04-30|Administrative Assistant|46.75</v>
      </c>
      <c r="I1586" s="1" t="n">
        <f aca="false">COUNTIF($H$5:$H$1624,H1586)</f>
        <v>1</v>
      </c>
      <c r="J1586" s="1" t="n">
        <f aca="false">COUNTIF($H$5:H1586,H1586)</f>
        <v>1</v>
      </c>
      <c r="K1586" s="1" t="n">
        <f aca="false">COUNTIFS($H$5:$H$1624,H1586,$B$5:$B$1624,"&lt;&gt;"&amp;B1586)</f>
        <v>0</v>
      </c>
      <c r="L1586" s="1" t="str">
        <f aca="false">IF(I1586&gt;1,IF(K1586&gt;0,"Cross-hospital match","Same-hospital match"),"")</f>
        <v/>
      </c>
      <c r="M1586" s="52"/>
      <c r="N1586" s="52"/>
      <c r="O1586" s="1" t="n">
        <f aca="false">IF(M1586="Exclude (duplicate)",0,1)</f>
        <v>1</v>
      </c>
      <c r="P1586" s="1" t="str">
        <f aca="false">IF(AND(L1586&lt;&gt;"",M1586=""),"Needs decision","")</f>
        <v/>
      </c>
    </row>
    <row r="1587" customFormat="false" ht="15" hidden="false" customHeight="false" outlineLevel="0" collapsed="false">
      <c r="A1587" s="48" t="str">
        <f aca="false">COST!A1587</f>
        <v>QHH-0206</v>
      </c>
      <c r="B1587" s="48" t="str">
        <f aca="false">COST!B1587</f>
        <v>QHH</v>
      </c>
      <c r="C1587" s="48" t="str">
        <f aca="false">COST!D1587</f>
        <v>Community Benefit Program Administration</v>
      </c>
      <c r="D1587" s="62" t="n">
        <f aca="false">COST!M1587</f>
        <v>46142</v>
      </c>
      <c r="E1587" s="48" t="str">
        <f aca="false">COST!P1587</f>
        <v>Community Benefit Manager</v>
      </c>
      <c r="F1587" s="63" t="n">
        <f aca="false">COST!R1587</f>
        <v>67.5</v>
      </c>
      <c r="G1587" s="48" t="str">
        <f aca="false">STACK!M1587</f>
        <v/>
      </c>
      <c r="H1587" s="1" t="str">
        <f aca="false">C1587&amp;"|"&amp;IF(ISNUMBER(D1587),TEXT(D1587,"yyyy-mm-dd"),"no date")&amp;"|"&amp;E1587&amp;"|"&amp;IF(ISNUMBER(F1587),TEXT(F1587,"0.00"),"blank")</f>
        <v>Community Benefit Program Administration|2026-04-30|Community Benefit Manager|67.50</v>
      </c>
      <c r="I1587" s="1" t="n">
        <f aca="false">COUNTIF($H$5:$H$1624,H1587)</f>
        <v>1</v>
      </c>
      <c r="J1587" s="1" t="n">
        <f aca="false">COUNTIF($H$5:H1587,H1587)</f>
        <v>1</v>
      </c>
      <c r="K1587" s="1" t="n">
        <f aca="false">COUNTIFS($H$5:$H$1624,H1587,$B$5:$B$1624,"&lt;&gt;"&amp;B1587)</f>
        <v>0</v>
      </c>
      <c r="L1587" s="1" t="str">
        <f aca="false">IF(I1587&gt;1,IF(K1587&gt;0,"Cross-hospital match","Same-hospital match"),"")</f>
        <v/>
      </c>
      <c r="M1587" s="52"/>
      <c r="N1587" s="52"/>
      <c r="O1587" s="1" t="n">
        <f aca="false">IF(M1587="Exclude (duplicate)",0,1)</f>
        <v>1</v>
      </c>
      <c r="P1587" s="1" t="str">
        <f aca="false">IF(AND(L1587&lt;&gt;"",M1587=""),"Needs decision","")</f>
        <v/>
      </c>
    </row>
    <row r="1588" customFormat="false" ht="15" hidden="false" customHeight="false" outlineLevel="0" collapsed="false">
      <c r="A1588" s="48" t="str">
        <f aca="false">COST!A1588</f>
        <v>QHH-0207</v>
      </c>
      <c r="B1588" s="48" t="str">
        <f aca="false">COST!B1588</f>
        <v>QHH</v>
      </c>
      <c r="C1588" s="48" t="str">
        <f aca="false">COST!D1588</f>
        <v>Community Paramedic Home Visits</v>
      </c>
      <c r="D1588" s="62" t="n">
        <f aca="false">COST!M1588</f>
        <v>46142</v>
      </c>
      <c r="E1588" s="48" t="str">
        <f aca="false">COST!P1588</f>
        <v>Paramedic</v>
      </c>
      <c r="F1588" s="63" t="n">
        <f aca="false">COST!R1588</f>
        <v>83.75</v>
      </c>
      <c r="G1588" s="48" t="str">
        <f aca="false">STACK!M1588</f>
        <v/>
      </c>
      <c r="H1588" s="1" t="str">
        <f aca="false">C1588&amp;"|"&amp;IF(ISNUMBER(D1588),TEXT(D1588,"yyyy-mm-dd"),"no date")&amp;"|"&amp;E1588&amp;"|"&amp;IF(ISNUMBER(F1588),TEXT(F1588,"0.00"),"blank")</f>
        <v>Community Paramedic Home Visits|2026-04-30|Paramedic|83.75</v>
      </c>
      <c r="I1588" s="1" t="n">
        <f aca="false">COUNTIF($H$5:$H$1624,H1588)</f>
        <v>1</v>
      </c>
      <c r="J1588" s="1" t="n">
        <f aca="false">COUNTIF($H$5:H1588,H1588)</f>
        <v>1</v>
      </c>
      <c r="K1588" s="1" t="n">
        <f aca="false">COUNTIFS($H$5:$H$1624,H1588,$B$5:$B$1624,"&lt;&gt;"&amp;B1588)</f>
        <v>0</v>
      </c>
      <c r="L1588" s="1" t="str">
        <f aca="false">IF(I1588&gt;1,IF(K1588&gt;0,"Cross-hospital match","Same-hospital match"),"")</f>
        <v/>
      </c>
      <c r="M1588" s="52"/>
      <c r="N1588" s="52"/>
      <c r="O1588" s="1" t="n">
        <f aca="false">IF(M1588="Exclude (duplicate)",0,1)</f>
        <v>1</v>
      </c>
      <c r="P1588" s="1" t="str">
        <f aca="false">IF(AND(L1588&lt;&gt;"",M1588=""),"Needs decision","")</f>
        <v/>
      </c>
    </row>
    <row r="1589" customFormat="false" ht="15" hidden="false" customHeight="false" outlineLevel="0" collapsed="false">
      <c r="A1589" s="48" t="str">
        <f aca="false">COST!A1589</f>
        <v>QHH-0208</v>
      </c>
      <c r="B1589" s="48" t="str">
        <f aca="false">COST!B1589</f>
        <v>QHH</v>
      </c>
      <c r="C1589" s="48" t="str">
        <f aca="false">COST!D1589</f>
        <v>Nursing Student Clinical Rotations</v>
      </c>
      <c r="D1589" s="62" t="n">
        <f aca="false">COST!M1589</f>
        <v>46142</v>
      </c>
      <c r="E1589" s="48" t="str">
        <f aca="false">COST!P1589</f>
        <v>Clinical Nurse Educator</v>
      </c>
      <c r="F1589" s="63" t="n">
        <f aca="false">COST!R1589</f>
        <v>85</v>
      </c>
      <c r="G1589" s="48" t="str">
        <f aca="false">STACK!M1589</f>
        <v/>
      </c>
      <c r="H1589" s="1" t="str">
        <f aca="false">C1589&amp;"|"&amp;IF(ISNUMBER(D1589),TEXT(D1589,"yyyy-mm-dd"),"no date")&amp;"|"&amp;E1589&amp;"|"&amp;IF(ISNUMBER(F1589),TEXT(F1589,"0.00"),"blank")</f>
        <v>Nursing Student Clinical Rotations|2026-04-30|Clinical Nurse Educator|85.00</v>
      </c>
      <c r="I1589" s="1" t="n">
        <f aca="false">COUNTIF($H$5:$H$1624,H1589)</f>
        <v>1</v>
      </c>
      <c r="J1589" s="1" t="n">
        <f aca="false">COUNTIF($H$5:H1589,H1589)</f>
        <v>1</v>
      </c>
      <c r="K1589" s="1" t="n">
        <f aca="false">COUNTIFS($H$5:$H$1624,H1589,$B$5:$B$1624,"&lt;&gt;"&amp;B1589)</f>
        <v>0</v>
      </c>
      <c r="L1589" s="1" t="str">
        <f aca="false">IF(I1589&gt;1,IF(K1589&gt;0,"Cross-hospital match","Same-hospital match"),"")</f>
        <v/>
      </c>
      <c r="M1589" s="52"/>
      <c r="N1589" s="52"/>
      <c r="O1589" s="1" t="n">
        <f aca="false">IF(M1589="Exclude (duplicate)",0,1)</f>
        <v>1</v>
      </c>
      <c r="P1589" s="1" t="str">
        <f aca="false">IF(AND(L1589&lt;&gt;"",M1589=""),"Needs decision","")</f>
        <v/>
      </c>
    </row>
    <row r="1590" customFormat="false" ht="15" hidden="false" customHeight="false" outlineLevel="0" collapsed="false">
      <c r="A1590" s="48" t="str">
        <f aca="false">COST!A1590</f>
        <v>QHH-0209</v>
      </c>
      <c r="B1590" s="48" t="str">
        <f aca="false">COST!B1590</f>
        <v>QHH</v>
      </c>
      <c r="C1590" s="48" t="str">
        <f aca="false">COST!D1590</f>
        <v>Nursing Student Clinical Rotations</v>
      </c>
      <c r="D1590" s="62" t="n">
        <f aca="false">COST!M1590</f>
        <v>46142</v>
      </c>
      <c r="E1590" s="48" t="str">
        <f aca="false">COST!P1590</f>
        <v>Registered Nurse</v>
      </c>
      <c r="F1590" s="63" t="n">
        <f aca="false">COST!R1590</f>
        <v>217</v>
      </c>
      <c r="G1590" s="48" t="str">
        <f aca="false">STACK!M1590</f>
        <v/>
      </c>
      <c r="H1590" s="1" t="str">
        <f aca="false">C1590&amp;"|"&amp;IF(ISNUMBER(D1590),TEXT(D1590,"yyyy-mm-dd"),"no date")&amp;"|"&amp;E1590&amp;"|"&amp;IF(ISNUMBER(F1590),TEXT(F1590,"0.00"),"blank")</f>
        <v>Nursing Student Clinical Rotations|2026-04-30|Registered Nurse|217.00</v>
      </c>
      <c r="I1590" s="1" t="n">
        <f aca="false">COUNTIF($H$5:$H$1624,H1590)</f>
        <v>1</v>
      </c>
      <c r="J1590" s="1" t="n">
        <f aca="false">COUNTIF($H$5:H1590,H1590)</f>
        <v>1</v>
      </c>
      <c r="K1590" s="1" t="n">
        <f aca="false">COUNTIFS($H$5:$H$1624,H1590,$B$5:$B$1624,"&lt;&gt;"&amp;B1590)</f>
        <v>0</v>
      </c>
      <c r="L1590" s="1" t="str">
        <f aca="false">IF(I1590&gt;1,IF(K1590&gt;0,"Cross-hospital match","Same-hospital match"),"")</f>
        <v/>
      </c>
      <c r="M1590" s="52"/>
      <c r="N1590" s="52"/>
      <c r="O1590" s="1" t="n">
        <f aca="false">IF(M1590="Exclude (duplicate)",0,1)</f>
        <v>1</v>
      </c>
      <c r="P1590" s="1" t="str">
        <f aca="false">IF(AND(L1590&lt;&gt;"",M1590=""),"Needs decision","")</f>
        <v/>
      </c>
    </row>
    <row r="1591" customFormat="false" ht="15" hidden="false" customHeight="false" outlineLevel="0" collapsed="false">
      <c r="A1591" s="48" t="str">
        <f aca="false">COST!A1591</f>
        <v>QHH-0210</v>
      </c>
      <c r="B1591" s="48" t="str">
        <f aca="false">COST!B1591</f>
        <v>QHH</v>
      </c>
      <c r="C1591" s="48" t="str">
        <f aca="false">COST!D1591</f>
        <v>Tobacco Cessation Classes</v>
      </c>
      <c r="D1591" s="62" t="n">
        <f aca="false">COST!M1591</f>
        <v>46155</v>
      </c>
      <c r="E1591" s="48" t="str">
        <f aca="false">COST!P1591</f>
        <v>Licensed Therapist</v>
      </c>
      <c r="F1591" s="63" t="n">
        <f aca="false">COST!R1591</f>
        <v>2</v>
      </c>
      <c r="G1591" s="48" t="str">
        <f aca="false">STACK!M1591</f>
        <v/>
      </c>
      <c r="H1591" s="1" t="str">
        <f aca="false">C1591&amp;"|"&amp;IF(ISNUMBER(D1591),TEXT(D1591,"yyyy-mm-dd"),"no date")&amp;"|"&amp;E1591&amp;"|"&amp;IF(ISNUMBER(F1591),TEXT(F1591,"0.00"),"blank")</f>
        <v>Tobacco Cessation Classes|2026-05-13|Licensed Therapist|2.00</v>
      </c>
      <c r="I1591" s="1" t="n">
        <f aca="false">COUNTIF($H$5:$H$1624,H1591)</f>
        <v>1</v>
      </c>
      <c r="J1591" s="1" t="n">
        <f aca="false">COUNTIF($H$5:H1591,H1591)</f>
        <v>1</v>
      </c>
      <c r="K1591" s="1" t="n">
        <f aca="false">COUNTIFS($H$5:$H$1624,H1591,$B$5:$B$1624,"&lt;&gt;"&amp;B1591)</f>
        <v>0</v>
      </c>
      <c r="L1591" s="1" t="str">
        <f aca="false">IF(I1591&gt;1,IF(K1591&gt;0,"Cross-hospital match","Same-hospital match"),"")</f>
        <v/>
      </c>
      <c r="M1591" s="52"/>
      <c r="N1591" s="52"/>
      <c r="O1591" s="1" t="n">
        <f aca="false">IF(M1591="Exclude (duplicate)",0,1)</f>
        <v>1</v>
      </c>
      <c r="P1591" s="1" t="str">
        <f aca="false">IF(AND(L1591&lt;&gt;"",M1591=""),"Needs decision","")</f>
        <v/>
      </c>
    </row>
    <row r="1592" customFormat="false" ht="15" hidden="false" customHeight="false" outlineLevel="0" collapsed="false">
      <c r="A1592" s="48" t="str">
        <f aca="false">COST!A1592</f>
        <v>QHH-0211</v>
      </c>
      <c r="B1592" s="48" t="str">
        <f aca="false">COST!B1592</f>
        <v>QHH</v>
      </c>
      <c r="C1592" s="48" t="str">
        <f aca="false">COST!D1592</f>
        <v>Diabetes Prevention Classes</v>
      </c>
      <c r="D1592" s="62" t="n">
        <f aca="false">COST!M1592</f>
        <v>46156</v>
      </c>
      <c r="E1592" s="48" t="str">
        <f aca="false">COST!P1592</f>
        <v>Health Educator</v>
      </c>
      <c r="F1592" s="63" t="n">
        <f aca="false">COST!R1592</f>
        <v>2.5</v>
      </c>
      <c r="G1592" s="48" t="str">
        <f aca="false">STACK!M1592</f>
        <v/>
      </c>
      <c r="H1592" s="1" t="str">
        <f aca="false">C1592&amp;"|"&amp;IF(ISNUMBER(D1592),TEXT(D1592,"yyyy-mm-dd"),"no date")&amp;"|"&amp;E1592&amp;"|"&amp;IF(ISNUMBER(F1592),TEXT(F1592,"0.00"),"blank")</f>
        <v>Diabetes Prevention Classes|2026-05-14|Health Educator|2.50</v>
      </c>
      <c r="I1592" s="1" t="n">
        <f aca="false">COUNTIF($H$5:$H$1624,H1592)</f>
        <v>1</v>
      </c>
      <c r="J1592" s="1" t="n">
        <f aca="false">COUNTIF($H$5:H1592,H1592)</f>
        <v>1</v>
      </c>
      <c r="K1592" s="1" t="n">
        <f aca="false">COUNTIFS($H$5:$H$1624,H1592,$B$5:$B$1624,"&lt;&gt;"&amp;B1592)</f>
        <v>0</v>
      </c>
      <c r="L1592" s="1" t="str">
        <f aca="false">IF(I1592&gt;1,IF(K1592&gt;0,"Cross-hospital match","Same-hospital match"),"")</f>
        <v/>
      </c>
      <c r="M1592" s="52"/>
      <c r="N1592" s="52"/>
      <c r="O1592" s="1" t="n">
        <f aca="false">IF(M1592="Exclude (duplicate)",0,1)</f>
        <v>1</v>
      </c>
      <c r="P1592" s="1" t="str">
        <f aca="false">IF(AND(L1592&lt;&gt;"",M1592=""),"Needs decision","")</f>
        <v/>
      </c>
    </row>
    <row r="1593" customFormat="false" ht="15" hidden="false" customHeight="false" outlineLevel="0" collapsed="false">
      <c r="A1593" s="48" t="str">
        <f aca="false">COST!A1593</f>
        <v>QHH-0212</v>
      </c>
      <c r="B1593" s="48" t="str">
        <f aca="false">COST!B1593</f>
        <v>QHH</v>
      </c>
      <c r="C1593" s="48" t="str">
        <f aca="false">COST!D1593</f>
        <v>Diabetes Prevention Classes</v>
      </c>
      <c r="D1593" s="62" t="n">
        <f aca="false">COST!M1593</f>
        <v>46156</v>
      </c>
      <c r="E1593" s="48" t="str">
        <f aca="false">COST!P1593</f>
        <v>Registered Dietitian</v>
      </c>
      <c r="F1593" s="63" t="n">
        <f aca="false">COST!R1593</f>
        <v>1.5</v>
      </c>
      <c r="G1593" s="48" t="str">
        <f aca="false">STACK!M1593</f>
        <v/>
      </c>
      <c r="H1593" s="1" t="str">
        <f aca="false">C1593&amp;"|"&amp;IF(ISNUMBER(D1593),TEXT(D1593,"yyyy-mm-dd"),"no date")&amp;"|"&amp;E1593&amp;"|"&amp;IF(ISNUMBER(F1593),TEXT(F1593,"0.00"),"blank")</f>
        <v>Diabetes Prevention Classes|2026-05-14|Registered Dietitian|1.50</v>
      </c>
      <c r="I1593" s="1" t="n">
        <f aca="false">COUNTIF($H$5:$H$1624,H1593)</f>
        <v>1</v>
      </c>
      <c r="J1593" s="1" t="n">
        <f aca="false">COUNTIF($H$5:H1593,H1593)</f>
        <v>1</v>
      </c>
      <c r="K1593" s="1" t="n">
        <f aca="false">COUNTIFS($H$5:$H$1624,H1593,$B$5:$B$1624,"&lt;&gt;"&amp;B1593)</f>
        <v>0</v>
      </c>
      <c r="L1593" s="1" t="str">
        <f aca="false">IF(I1593&gt;1,IF(K1593&gt;0,"Cross-hospital match","Same-hospital match"),"")</f>
        <v/>
      </c>
      <c r="M1593" s="52"/>
      <c r="N1593" s="52"/>
      <c r="O1593" s="1" t="n">
        <f aca="false">IF(M1593="Exclude (duplicate)",0,1)</f>
        <v>1</v>
      </c>
      <c r="P1593" s="1" t="str">
        <f aca="false">IF(AND(L1593&lt;&gt;"",M1593=""),"Needs decision","")</f>
        <v/>
      </c>
    </row>
    <row r="1594" customFormat="false" ht="15" hidden="false" customHeight="false" outlineLevel="0" collapsed="false">
      <c r="A1594" s="48" t="str">
        <f aca="false">COST!A1594</f>
        <v>QHH-0213</v>
      </c>
      <c r="B1594" s="48" t="str">
        <f aca="false">COST!B1594</f>
        <v>QHH</v>
      </c>
      <c r="C1594" s="48" t="str">
        <f aca="false">COST!D1594</f>
        <v>Childbirth and Newborn Care Classes</v>
      </c>
      <c r="D1594" s="62" t="n">
        <f aca="false">COST!M1594</f>
        <v>46157</v>
      </c>
      <c r="E1594" s="48" t="str">
        <f aca="false">COST!P1594</f>
        <v>Clinical Nurse Educator</v>
      </c>
      <c r="F1594" s="63" t="n">
        <f aca="false">COST!R1594</f>
        <v>3.25</v>
      </c>
      <c r="G1594" s="48" t="str">
        <f aca="false">STACK!M1594</f>
        <v/>
      </c>
      <c r="H1594" s="1" t="str">
        <f aca="false">C1594&amp;"|"&amp;IF(ISNUMBER(D1594),TEXT(D1594,"yyyy-mm-dd"),"no date")&amp;"|"&amp;E1594&amp;"|"&amp;IF(ISNUMBER(F1594),TEXT(F1594,"0.00"),"blank")</f>
        <v>Childbirth and Newborn Care Classes|2026-05-15|Clinical Nurse Educator|3.25</v>
      </c>
      <c r="I1594" s="1" t="n">
        <f aca="false">COUNTIF($H$5:$H$1624,H1594)</f>
        <v>1</v>
      </c>
      <c r="J1594" s="1" t="n">
        <f aca="false">COUNTIF($H$5:H1594,H1594)</f>
        <v>1</v>
      </c>
      <c r="K1594" s="1" t="n">
        <f aca="false">COUNTIFS($H$5:$H$1624,H1594,$B$5:$B$1624,"&lt;&gt;"&amp;B1594)</f>
        <v>0</v>
      </c>
      <c r="L1594" s="1" t="str">
        <f aca="false">IF(I1594&gt;1,IF(K1594&gt;0,"Cross-hospital match","Same-hospital match"),"")</f>
        <v/>
      </c>
      <c r="M1594" s="52"/>
      <c r="N1594" s="52"/>
      <c r="O1594" s="1" t="n">
        <f aca="false">IF(M1594="Exclude (duplicate)",0,1)</f>
        <v>1</v>
      </c>
      <c r="P1594" s="1" t="str">
        <f aca="false">IF(AND(L1594&lt;&gt;"",M1594=""),"Needs decision","")</f>
        <v/>
      </c>
    </row>
    <row r="1595" customFormat="false" ht="15" hidden="false" customHeight="false" outlineLevel="0" collapsed="false">
      <c r="A1595" s="48" t="str">
        <f aca="false">COST!A1595</f>
        <v>QHH-0214</v>
      </c>
      <c r="B1595" s="48" t="str">
        <f aca="false">COST!B1595</f>
        <v>QHH</v>
      </c>
      <c r="C1595" s="48" t="str">
        <f aca="false">COST!D1595</f>
        <v>Grief Support Group</v>
      </c>
      <c r="D1595" s="62" t="n">
        <f aca="false">COST!M1595</f>
        <v>46158</v>
      </c>
      <c r="E1595" s="48" t="str">
        <f aca="false">COST!P1595</f>
        <v>Chaplain</v>
      </c>
      <c r="F1595" s="63" t="n">
        <f aca="false">COST!R1595</f>
        <v>2.25</v>
      </c>
      <c r="G1595" s="48" t="str">
        <f aca="false">STACK!M1595</f>
        <v/>
      </c>
      <c r="H1595" s="1" t="str">
        <f aca="false">C1595&amp;"|"&amp;IF(ISNUMBER(D1595),TEXT(D1595,"yyyy-mm-dd"),"no date")&amp;"|"&amp;E1595&amp;"|"&amp;IF(ISNUMBER(F1595),TEXT(F1595,"0.00"),"blank")</f>
        <v>Grief Support Group|2026-05-16|Chaplain|2.25</v>
      </c>
      <c r="I1595" s="1" t="n">
        <f aca="false">COUNTIF($H$5:$H$1624,H1595)</f>
        <v>1</v>
      </c>
      <c r="J1595" s="1" t="n">
        <f aca="false">COUNTIF($H$5:H1595,H1595)</f>
        <v>1</v>
      </c>
      <c r="K1595" s="1" t="n">
        <f aca="false">COUNTIFS($H$5:$H$1624,H1595,$B$5:$B$1624,"&lt;&gt;"&amp;B1595)</f>
        <v>0</v>
      </c>
      <c r="L1595" s="1" t="str">
        <f aca="false">IF(I1595&gt;1,IF(K1595&gt;0,"Cross-hospital match","Same-hospital match"),"")</f>
        <v/>
      </c>
      <c r="M1595" s="52"/>
      <c r="N1595" s="52"/>
      <c r="O1595" s="1" t="n">
        <f aca="false">IF(M1595="Exclude (duplicate)",0,1)</f>
        <v>1</v>
      </c>
      <c r="P1595" s="1" t="str">
        <f aca="false">IF(AND(L1595&lt;&gt;"",M1595=""),"Needs decision","")</f>
        <v/>
      </c>
    </row>
    <row r="1596" customFormat="false" ht="15" hidden="false" customHeight="false" outlineLevel="0" collapsed="false">
      <c r="A1596" s="48" t="str">
        <f aca="false">COST!A1596</f>
        <v>QHH-0215</v>
      </c>
      <c r="B1596" s="48" t="str">
        <f aca="false">COST!B1596</f>
        <v>QHH</v>
      </c>
      <c r="C1596" s="48" t="str">
        <f aca="false">COST!D1596</f>
        <v>Grief Support Group</v>
      </c>
      <c r="D1596" s="62" t="n">
        <f aca="false">COST!M1596</f>
        <v>46158</v>
      </c>
      <c r="E1596" s="48" t="str">
        <f aca="false">COST!P1596</f>
        <v>Social Worker</v>
      </c>
      <c r="F1596" s="63" t="n">
        <f aca="false">COST!R1596</f>
        <v>1.75</v>
      </c>
      <c r="G1596" s="48" t="str">
        <f aca="false">STACK!M1596</f>
        <v/>
      </c>
      <c r="H1596" s="1" t="str">
        <f aca="false">C1596&amp;"|"&amp;IF(ISNUMBER(D1596),TEXT(D1596,"yyyy-mm-dd"),"no date")&amp;"|"&amp;E1596&amp;"|"&amp;IF(ISNUMBER(F1596),TEXT(F1596,"0.00"),"blank")</f>
        <v>Grief Support Group|2026-05-16|Social Worker|1.75</v>
      </c>
      <c r="I1596" s="1" t="n">
        <f aca="false">COUNTIF($H$5:$H$1624,H1596)</f>
        <v>1</v>
      </c>
      <c r="J1596" s="1" t="n">
        <f aca="false">COUNTIF($H$5:H1596,H1596)</f>
        <v>1</v>
      </c>
      <c r="K1596" s="1" t="n">
        <f aca="false">COUNTIFS($H$5:$H$1624,H1596,$B$5:$B$1624,"&lt;&gt;"&amp;B1596)</f>
        <v>0</v>
      </c>
      <c r="L1596" s="1" t="str">
        <f aca="false">IF(I1596&gt;1,IF(K1596&gt;0,"Cross-hospital match","Same-hospital match"),"")</f>
        <v/>
      </c>
      <c r="M1596" s="52"/>
      <c r="N1596" s="52"/>
      <c r="O1596" s="1" t="n">
        <f aca="false">IF(M1596="Exclude (duplicate)",0,1)</f>
        <v>1</v>
      </c>
      <c r="P1596" s="1" t="str">
        <f aca="false">IF(AND(L1596&lt;&gt;"",M1596=""),"Needs decision","")</f>
        <v/>
      </c>
    </row>
    <row r="1597" customFormat="false" ht="15" hidden="false" customHeight="false" outlineLevel="0" collapsed="false">
      <c r="A1597" s="48" t="str">
        <f aca="false">COST!A1597</f>
        <v>QHH-0216</v>
      </c>
      <c r="B1597" s="48" t="str">
        <f aca="false">COST!B1597</f>
        <v>QHH</v>
      </c>
      <c r="C1597" s="48" t="str">
        <f aca="false">COST!D1597</f>
        <v>Tobacco Cessation Classes</v>
      </c>
      <c r="D1597" s="62" t="n">
        <f aca="false">COST!M1597</f>
        <v>46172</v>
      </c>
      <c r="E1597" s="48" t="str">
        <f aca="false">COST!P1597</f>
        <v>Licensed Therapist</v>
      </c>
      <c r="F1597" s="63" t="n">
        <f aca="false">COST!R1597</f>
        <v>2</v>
      </c>
      <c r="G1597" s="48" t="str">
        <f aca="false">STACK!M1597</f>
        <v/>
      </c>
      <c r="H1597" s="1" t="str">
        <f aca="false">C1597&amp;"|"&amp;IF(ISNUMBER(D1597),TEXT(D1597,"yyyy-mm-dd"),"no date")&amp;"|"&amp;E1597&amp;"|"&amp;IF(ISNUMBER(F1597),TEXT(F1597,"0.00"),"blank")</f>
        <v>Tobacco Cessation Classes|2026-05-30|Licensed Therapist|2.00</v>
      </c>
      <c r="I1597" s="1" t="n">
        <f aca="false">COUNTIF($H$5:$H$1624,H1597)</f>
        <v>1</v>
      </c>
      <c r="J1597" s="1" t="n">
        <f aca="false">COUNTIF($H$5:H1597,H1597)</f>
        <v>1</v>
      </c>
      <c r="K1597" s="1" t="n">
        <f aca="false">COUNTIFS($H$5:$H$1624,H1597,$B$5:$B$1624,"&lt;&gt;"&amp;B1597)</f>
        <v>0</v>
      </c>
      <c r="L1597" s="1" t="str">
        <f aca="false">IF(I1597&gt;1,IF(K1597&gt;0,"Cross-hospital match","Same-hospital match"),"")</f>
        <v/>
      </c>
      <c r="M1597" s="52"/>
      <c r="N1597" s="52"/>
      <c r="O1597" s="1" t="n">
        <f aca="false">IF(M1597="Exclude (duplicate)",0,1)</f>
        <v>1</v>
      </c>
      <c r="P1597" s="1" t="str">
        <f aca="false">IF(AND(L1597&lt;&gt;"",M1597=""),"Needs decision","")</f>
        <v/>
      </c>
    </row>
    <row r="1598" customFormat="false" ht="15" hidden="false" customHeight="false" outlineLevel="0" collapsed="false">
      <c r="A1598" s="48" t="str">
        <f aca="false">COST!A1598</f>
        <v>QHH-0217</v>
      </c>
      <c r="B1598" s="48" t="str">
        <f aca="false">COST!B1598</f>
        <v>QHH</v>
      </c>
      <c r="C1598" s="48" t="str">
        <f aca="false">COST!D1598</f>
        <v>Medication Assistance Program</v>
      </c>
      <c r="D1598" s="62" t="n">
        <f aca="false">COST!M1598</f>
        <v>46173</v>
      </c>
      <c r="E1598" s="48" t="str">
        <f aca="false">COST!P1598</f>
        <v>Patient Navigator</v>
      </c>
      <c r="F1598" s="63" t="n">
        <f aca="false">COST!R1598</f>
        <v>68</v>
      </c>
      <c r="G1598" s="48" t="str">
        <f aca="false">STACK!M1598</f>
        <v/>
      </c>
      <c r="H1598" s="1" t="str">
        <f aca="false">C1598&amp;"|"&amp;IF(ISNUMBER(D1598),TEXT(D1598,"yyyy-mm-dd"),"no date")&amp;"|"&amp;E1598&amp;"|"&amp;IF(ISNUMBER(F1598),TEXT(F1598,"0.00"),"blank")</f>
        <v>Medication Assistance Program|2026-05-31|Patient Navigator|68.00</v>
      </c>
      <c r="I1598" s="1" t="n">
        <f aca="false">COUNTIF($H$5:$H$1624,H1598)</f>
        <v>1</v>
      </c>
      <c r="J1598" s="1" t="n">
        <f aca="false">COUNTIF($H$5:H1598,H1598)</f>
        <v>1</v>
      </c>
      <c r="K1598" s="1" t="n">
        <f aca="false">COUNTIFS($H$5:$H$1624,H1598,$B$5:$B$1624,"&lt;&gt;"&amp;B1598)</f>
        <v>0</v>
      </c>
      <c r="L1598" s="1" t="str">
        <f aca="false">IF(I1598&gt;1,IF(K1598&gt;0,"Cross-hospital match","Same-hospital match"),"")</f>
        <v/>
      </c>
      <c r="M1598" s="52"/>
      <c r="N1598" s="52"/>
      <c r="O1598" s="1" t="n">
        <f aca="false">IF(M1598="Exclude (duplicate)",0,1)</f>
        <v>1</v>
      </c>
      <c r="P1598" s="1" t="str">
        <f aca="false">IF(AND(L1598&lt;&gt;"",M1598=""),"Needs decision","")</f>
        <v/>
      </c>
    </row>
    <row r="1599" customFormat="false" ht="15" hidden="false" customHeight="false" outlineLevel="0" collapsed="false">
      <c r="A1599" s="48" t="str">
        <f aca="false">COST!A1599</f>
        <v>QHH-0218</v>
      </c>
      <c r="B1599" s="48" t="str">
        <f aca="false">COST!B1599</f>
        <v>QHH</v>
      </c>
      <c r="C1599" s="48" t="str">
        <f aca="false">COST!D1599</f>
        <v>Medication Assistance Program</v>
      </c>
      <c r="D1599" s="62" t="n">
        <f aca="false">COST!M1599</f>
        <v>46173</v>
      </c>
      <c r="E1599" s="48" t="str">
        <f aca="false">COST!P1599</f>
        <v>Pharmacist</v>
      </c>
      <c r="F1599" s="63" t="n">
        <f aca="false">COST!R1599</f>
        <v>19</v>
      </c>
      <c r="G1599" s="48" t="str">
        <f aca="false">STACK!M1599</f>
        <v/>
      </c>
      <c r="H1599" s="1" t="str">
        <f aca="false">C1599&amp;"|"&amp;IF(ISNUMBER(D1599),TEXT(D1599,"yyyy-mm-dd"),"no date")&amp;"|"&amp;E1599&amp;"|"&amp;IF(ISNUMBER(F1599),TEXT(F1599,"0.00"),"blank")</f>
        <v>Medication Assistance Program|2026-05-31|Pharmacist|19.00</v>
      </c>
      <c r="I1599" s="1" t="n">
        <f aca="false">COUNTIF($H$5:$H$1624,H1599)</f>
        <v>1</v>
      </c>
      <c r="J1599" s="1" t="n">
        <f aca="false">COUNTIF($H$5:H1599,H1599)</f>
        <v>1</v>
      </c>
      <c r="K1599" s="1" t="n">
        <f aca="false">COUNTIFS($H$5:$H$1624,H1599,$B$5:$B$1624,"&lt;&gt;"&amp;B1599)</f>
        <v>0</v>
      </c>
      <c r="L1599" s="1" t="str">
        <f aca="false">IF(I1599&gt;1,IF(K1599&gt;0,"Cross-hospital match","Same-hospital match"),"")</f>
        <v/>
      </c>
      <c r="M1599" s="52"/>
      <c r="N1599" s="52"/>
      <c r="O1599" s="1" t="n">
        <f aca="false">IF(M1599="Exclude (duplicate)",0,1)</f>
        <v>1</v>
      </c>
      <c r="P1599" s="1" t="str">
        <f aca="false">IF(AND(L1599&lt;&gt;"",M1599=""),"Needs decision","")</f>
        <v/>
      </c>
    </row>
    <row r="1600" customFormat="false" ht="15" hidden="false" customHeight="false" outlineLevel="0" collapsed="false">
      <c r="A1600" s="48" t="str">
        <f aca="false">COST!A1600</f>
        <v>QHH-0219</v>
      </c>
      <c r="B1600" s="48" t="str">
        <f aca="false">COST!B1600</f>
        <v>QHH</v>
      </c>
      <c r="C1600" s="48" t="str">
        <f aca="false">COST!D1600</f>
        <v>Community Benefit Program Administration</v>
      </c>
      <c r="D1600" s="62" t="n">
        <f aca="false">COST!M1600</f>
        <v>46173</v>
      </c>
      <c r="E1600" s="48" t="str">
        <f aca="false">COST!P1600</f>
        <v>Administrative Assistant</v>
      </c>
      <c r="F1600" s="63" t="n">
        <f aca="false">COST!R1600</f>
        <v>33</v>
      </c>
      <c r="G1600" s="48" t="str">
        <f aca="false">STACK!M1600</f>
        <v/>
      </c>
      <c r="H1600" s="1" t="str">
        <f aca="false">C1600&amp;"|"&amp;IF(ISNUMBER(D1600),TEXT(D1600,"yyyy-mm-dd"),"no date")&amp;"|"&amp;E1600&amp;"|"&amp;IF(ISNUMBER(F1600),TEXT(F1600,"0.00"),"blank")</f>
        <v>Community Benefit Program Administration|2026-05-31|Administrative Assistant|33.00</v>
      </c>
      <c r="I1600" s="1" t="n">
        <f aca="false">COUNTIF($H$5:$H$1624,H1600)</f>
        <v>1</v>
      </c>
      <c r="J1600" s="1" t="n">
        <f aca="false">COUNTIF($H$5:H1600,H1600)</f>
        <v>1</v>
      </c>
      <c r="K1600" s="1" t="n">
        <f aca="false">COUNTIFS($H$5:$H$1624,H1600,$B$5:$B$1624,"&lt;&gt;"&amp;B1600)</f>
        <v>0</v>
      </c>
      <c r="L1600" s="1" t="str">
        <f aca="false">IF(I1600&gt;1,IF(K1600&gt;0,"Cross-hospital match","Same-hospital match"),"")</f>
        <v/>
      </c>
      <c r="M1600" s="52"/>
      <c r="N1600" s="52"/>
      <c r="O1600" s="1" t="n">
        <f aca="false">IF(M1600="Exclude (duplicate)",0,1)</f>
        <v>1</v>
      </c>
      <c r="P1600" s="1" t="str">
        <f aca="false">IF(AND(L1600&lt;&gt;"",M1600=""),"Needs decision","")</f>
        <v/>
      </c>
    </row>
    <row r="1601" customFormat="false" ht="15" hidden="false" customHeight="false" outlineLevel="0" collapsed="false">
      <c r="A1601" s="48" t="str">
        <f aca="false">COST!A1601</f>
        <v>QHH-0220</v>
      </c>
      <c r="B1601" s="48" t="str">
        <f aca="false">COST!B1601</f>
        <v>QHH</v>
      </c>
      <c r="C1601" s="48" t="str">
        <f aca="false">COST!D1601</f>
        <v>Community Benefit Program Administration</v>
      </c>
      <c r="D1601" s="62" t="n">
        <f aca="false">COST!M1601</f>
        <v>46173</v>
      </c>
      <c r="E1601" s="48" t="str">
        <f aca="false">COST!P1601</f>
        <v>Community Benefit Manager</v>
      </c>
      <c r="F1601" s="63" t="n">
        <f aca="false">COST!R1601</f>
        <v>53.75</v>
      </c>
      <c r="G1601" s="48" t="str">
        <f aca="false">STACK!M1601</f>
        <v/>
      </c>
      <c r="H1601" s="1" t="str">
        <f aca="false">C1601&amp;"|"&amp;IF(ISNUMBER(D1601),TEXT(D1601,"yyyy-mm-dd"),"no date")&amp;"|"&amp;E1601&amp;"|"&amp;IF(ISNUMBER(F1601),TEXT(F1601,"0.00"),"blank")</f>
        <v>Community Benefit Program Administration|2026-05-31|Community Benefit Manager|53.75</v>
      </c>
      <c r="I1601" s="1" t="n">
        <f aca="false">COUNTIF($H$5:$H$1624,H1601)</f>
        <v>1</v>
      </c>
      <c r="J1601" s="1" t="n">
        <f aca="false">COUNTIF($H$5:H1601,H1601)</f>
        <v>1</v>
      </c>
      <c r="K1601" s="1" t="n">
        <f aca="false">COUNTIFS($H$5:$H$1624,H1601,$B$5:$B$1624,"&lt;&gt;"&amp;B1601)</f>
        <v>0</v>
      </c>
      <c r="L1601" s="1" t="str">
        <f aca="false">IF(I1601&gt;1,IF(K1601&gt;0,"Cross-hospital match","Same-hospital match"),"")</f>
        <v/>
      </c>
      <c r="M1601" s="52"/>
      <c r="N1601" s="52"/>
      <c r="O1601" s="1" t="n">
        <f aca="false">IF(M1601="Exclude (duplicate)",0,1)</f>
        <v>1</v>
      </c>
      <c r="P1601" s="1" t="str">
        <f aca="false">IF(AND(L1601&lt;&gt;"",M1601=""),"Needs decision","")</f>
        <v/>
      </c>
    </row>
    <row r="1602" customFormat="false" ht="15" hidden="false" customHeight="false" outlineLevel="0" collapsed="false">
      <c r="A1602" s="48" t="str">
        <f aca="false">COST!A1602</f>
        <v>QHH-0221</v>
      </c>
      <c r="B1602" s="48" t="str">
        <f aca="false">COST!B1602</f>
        <v>QHH</v>
      </c>
      <c r="C1602" s="48" t="str">
        <f aca="false">COST!D1602</f>
        <v>Community Paramedic Home Visits</v>
      </c>
      <c r="D1602" s="62" t="n">
        <f aca="false">COST!M1602</f>
        <v>46173</v>
      </c>
      <c r="E1602" s="48" t="str">
        <f aca="false">COST!P1602</f>
        <v>Paramedic</v>
      </c>
      <c r="F1602" s="63" t="n">
        <f aca="false">COST!R1602</f>
        <v>68.5</v>
      </c>
      <c r="G1602" s="48" t="str">
        <f aca="false">STACK!M1602</f>
        <v/>
      </c>
      <c r="H1602" s="1" t="str">
        <f aca="false">C1602&amp;"|"&amp;IF(ISNUMBER(D1602),TEXT(D1602,"yyyy-mm-dd"),"no date")&amp;"|"&amp;E1602&amp;"|"&amp;IF(ISNUMBER(F1602),TEXT(F1602,"0.00"),"blank")</f>
        <v>Community Paramedic Home Visits|2026-05-31|Paramedic|68.50</v>
      </c>
      <c r="I1602" s="1" t="n">
        <f aca="false">COUNTIF($H$5:$H$1624,H1602)</f>
        <v>1</v>
      </c>
      <c r="J1602" s="1" t="n">
        <f aca="false">COUNTIF($H$5:H1602,H1602)</f>
        <v>1</v>
      </c>
      <c r="K1602" s="1" t="n">
        <f aca="false">COUNTIFS($H$5:$H$1624,H1602,$B$5:$B$1624,"&lt;&gt;"&amp;B1602)</f>
        <v>0</v>
      </c>
      <c r="L1602" s="1" t="str">
        <f aca="false">IF(I1602&gt;1,IF(K1602&gt;0,"Cross-hospital match","Same-hospital match"),"")</f>
        <v/>
      </c>
      <c r="M1602" s="52"/>
      <c r="N1602" s="52"/>
      <c r="O1602" s="1" t="n">
        <f aca="false">IF(M1602="Exclude (duplicate)",0,1)</f>
        <v>1</v>
      </c>
      <c r="P1602" s="1" t="str">
        <f aca="false">IF(AND(L1602&lt;&gt;"",M1602=""),"Needs decision","")</f>
        <v/>
      </c>
    </row>
    <row r="1603" customFormat="false" ht="15" hidden="false" customHeight="false" outlineLevel="0" collapsed="false">
      <c r="A1603" s="48" t="str">
        <f aca="false">COST!A1603</f>
        <v>QHH-0222</v>
      </c>
      <c r="B1603" s="48" t="str">
        <f aca="false">COST!B1603</f>
        <v>QHH</v>
      </c>
      <c r="C1603" s="48" t="str">
        <f aca="false">COST!D1603</f>
        <v>Nursing Student Clinical Rotations</v>
      </c>
      <c r="D1603" s="62" t="n">
        <f aca="false">COST!M1603</f>
        <v>46173</v>
      </c>
      <c r="E1603" s="48" t="str">
        <f aca="false">COST!P1603</f>
        <v>Clinical Nurse Educator</v>
      </c>
      <c r="F1603" s="63" t="n">
        <f aca="false">COST!R1603</f>
        <v>122.25</v>
      </c>
      <c r="G1603" s="48" t="str">
        <f aca="false">STACK!M1603</f>
        <v/>
      </c>
      <c r="H1603" s="1" t="str">
        <f aca="false">C1603&amp;"|"&amp;IF(ISNUMBER(D1603),TEXT(D1603,"yyyy-mm-dd"),"no date")&amp;"|"&amp;E1603&amp;"|"&amp;IF(ISNUMBER(F1603),TEXT(F1603,"0.00"),"blank")</f>
        <v>Nursing Student Clinical Rotations|2026-05-31|Clinical Nurse Educator|122.25</v>
      </c>
      <c r="I1603" s="1" t="n">
        <f aca="false">COUNTIF($H$5:$H$1624,H1603)</f>
        <v>1</v>
      </c>
      <c r="J1603" s="1" t="n">
        <f aca="false">COUNTIF($H$5:H1603,H1603)</f>
        <v>1</v>
      </c>
      <c r="K1603" s="1" t="n">
        <f aca="false">COUNTIFS($H$5:$H$1624,H1603,$B$5:$B$1624,"&lt;&gt;"&amp;B1603)</f>
        <v>0</v>
      </c>
      <c r="L1603" s="1" t="str">
        <f aca="false">IF(I1603&gt;1,IF(K1603&gt;0,"Cross-hospital match","Same-hospital match"),"")</f>
        <v/>
      </c>
      <c r="M1603" s="52"/>
      <c r="N1603" s="52"/>
      <c r="O1603" s="1" t="n">
        <f aca="false">IF(M1603="Exclude (duplicate)",0,1)</f>
        <v>1</v>
      </c>
      <c r="P1603" s="1" t="str">
        <f aca="false">IF(AND(L1603&lt;&gt;"",M1603=""),"Needs decision","")</f>
        <v/>
      </c>
    </row>
    <row r="1604" customFormat="false" ht="15" hidden="false" customHeight="false" outlineLevel="0" collapsed="false">
      <c r="A1604" s="48" t="str">
        <f aca="false">COST!A1604</f>
        <v>QHH-0223</v>
      </c>
      <c r="B1604" s="48" t="str">
        <f aca="false">COST!B1604</f>
        <v>QHH</v>
      </c>
      <c r="C1604" s="48" t="str">
        <f aca="false">COST!D1604</f>
        <v>Nursing Student Clinical Rotations</v>
      </c>
      <c r="D1604" s="62" t="n">
        <f aca="false">COST!M1604</f>
        <v>46173</v>
      </c>
      <c r="E1604" s="48" t="str">
        <f aca="false">COST!P1604</f>
        <v>Registered Nurse</v>
      </c>
      <c r="F1604" s="63" t="n">
        <f aca="false">COST!R1604</f>
        <v>220.5</v>
      </c>
      <c r="G1604" s="48" t="str">
        <f aca="false">STACK!M1604</f>
        <v/>
      </c>
      <c r="H1604" s="1" t="str">
        <f aca="false">C1604&amp;"|"&amp;IF(ISNUMBER(D1604),TEXT(D1604,"yyyy-mm-dd"),"no date")&amp;"|"&amp;E1604&amp;"|"&amp;IF(ISNUMBER(F1604),TEXT(F1604,"0.00"),"blank")</f>
        <v>Nursing Student Clinical Rotations|2026-05-31|Registered Nurse|220.50</v>
      </c>
      <c r="I1604" s="1" t="n">
        <f aca="false">COUNTIF($H$5:$H$1624,H1604)</f>
        <v>1</v>
      </c>
      <c r="J1604" s="1" t="n">
        <f aca="false">COUNTIF($H$5:H1604,H1604)</f>
        <v>1</v>
      </c>
      <c r="K1604" s="1" t="n">
        <f aca="false">COUNTIFS($H$5:$H$1624,H1604,$B$5:$B$1624,"&lt;&gt;"&amp;B1604)</f>
        <v>0</v>
      </c>
      <c r="L1604" s="1" t="str">
        <f aca="false">IF(I1604&gt;1,IF(K1604&gt;0,"Cross-hospital match","Same-hospital match"),"")</f>
        <v/>
      </c>
      <c r="M1604" s="52"/>
      <c r="N1604" s="52"/>
      <c r="O1604" s="1" t="n">
        <f aca="false">IF(M1604="Exclude (duplicate)",0,1)</f>
        <v>1</v>
      </c>
      <c r="P1604" s="1" t="str">
        <f aca="false">IF(AND(L1604&lt;&gt;"",M1604=""),"Needs decision","")</f>
        <v/>
      </c>
    </row>
    <row r="1605" customFormat="false" ht="15" hidden="false" customHeight="false" outlineLevel="0" collapsed="false">
      <c r="A1605" s="48" t="str">
        <f aca="false">COST!A1605</f>
        <v>QHH-0224</v>
      </c>
      <c r="B1605" s="48" t="str">
        <f aca="false">COST!B1605</f>
        <v>QHH</v>
      </c>
      <c r="C1605" s="48" t="str">
        <f aca="false">COST!D1605</f>
        <v>Childbirth and Newborn Care Classes</v>
      </c>
      <c r="D1605" s="62" t="n">
        <f aca="false">COST!M1605</f>
        <v>46176</v>
      </c>
      <c r="E1605" s="48" t="str">
        <f aca="false">COST!P1605</f>
        <v>Clinical Nurse Educator</v>
      </c>
      <c r="F1605" s="63" t="n">
        <f aca="false">COST!R1605</f>
        <v>3.25</v>
      </c>
      <c r="G1605" s="48" t="str">
        <f aca="false">STACK!M1605</f>
        <v/>
      </c>
      <c r="H1605" s="1" t="str">
        <f aca="false">C1605&amp;"|"&amp;IF(ISNUMBER(D1605),TEXT(D1605,"yyyy-mm-dd"),"no date")&amp;"|"&amp;E1605&amp;"|"&amp;IF(ISNUMBER(F1605),TEXT(F1605,"0.00"),"blank")</f>
        <v>Childbirth and Newborn Care Classes|2026-06-03|Clinical Nurse Educator|3.25</v>
      </c>
      <c r="I1605" s="1" t="n">
        <f aca="false">COUNTIF($H$5:$H$1624,H1605)</f>
        <v>1</v>
      </c>
      <c r="J1605" s="1" t="n">
        <f aca="false">COUNTIF($H$5:H1605,H1605)</f>
        <v>1</v>
      </c>
      <c r="K1605" s="1" t="n">
        <f aca="false">COUNTIFS($H$5:$H$1624,H1605,$B$5:$B$1624,"&lt;&gt;"&amp;B1605)</f>
        <v>0</v>
      </c>
      <c r="L1605" s="1" t="str">
        <f aca="false">IF(I1605&gt;1,IF(K1605&gt;0,"Cross-hospital match","Same-hospital match"),"")</f>
        <v/>
      </c>
      <c r="M1605" s="52"/>
      <c r="N1605" s="52"/>
      <c r="O1605" s="1" t="n">
        <f aca="false">IF(M1605="Exclude (duplicate)",0,1)</f>
        <v>1</v>
      </c>
      <c r="P1605" s="1" t="str">
        <f aca="false">IF(AND(L1605&lt;&gt;"",M1605=""),"Needs decision","")</f>
        <v/>
      </c>
    </row>
    <row r="1606" customFormat="false" ht="15" hidden="false" customHeight="false" outlineLevel="0" collapsed="false">
      <c r="A1606" s="48" t="str">
        <f aca="false">COST!A1606</f>
        <v>QHH-0225</v>
      </c>
      <c r="B1606" s="48" t="str">
        <f aca="false">COST!B1606</f>
        <v>QHH</v>
      </c>
      <c r="C1606" s="48" t="str">
        <f aca="false">COST!D1606</f>
        <v>Health Careers Summer Camp</v>
      </c>
      <c r="D1606" s="62" t="n">
        <f aca="false">COST!M1606</f>
        <v>46182</v>
      </c>
      <c r="E1606" s="48" t="str">
        <f aca="false">COST!P1606</f>
        <v>Clinical Nurse Educator</v>
      </c>
      <c r="F1606" s="63" t="n">
        <f aca="false">COST!R1606</f>
        <v>7.25</v>
      </c>
      <c r="G1606" s="48" t="str">
        <f aca="false">STACK!M1606</f>
        <v/>
      </c>
      <c r="H1606" s="1" t="str">
        <f aca="false">C1606&amp;"|"&amp;IF(ISNUMBER(D1606),TEXT(D1606,"yyyy-mm-dd"),"no date")&amp;"|"&amp;E1606&amp;"|"&amp;IF(ISNUMBER(F1606),TEXT(F1606,"0.00"),"blank")</f>
        <v>Health Careers Summer Camp|2026-06-09|Clinical Nurse Educator|7.25</v>
      </c>
      <c r="I1606" s="1" t="n">
        <f aca="false">COUNTIF($H$5:$H$1624,H1606)</f>
        <v>1</v>
      </c>
      <c r="J1606" s="1" t="n">
        <f aca="false">COUNTIF($H$5:H1606,H1606)</f>
        <v>1</v>
      </c>
      <c r="K1606" s="1" t="n">
        <f aca="false">COUNTIFS($H$5:$H$1624,H1606,$B$5:$B$1624,"&lt;&gt;"&amp;B1606)</f>
        <v>0</v>
      </c>
      <c r="L1606" s="1" t="str">
        <f aca="false">IF(I1606&gt;1,IF(K1606&gt;0,"Cross-hospital match","Same-hospital match"),"")</f>
        <v/>
      </c>
      <c r="M1606" s="52"/>
      <c r="N1606" s="52"/>
      <c r="O1606" s="1" t="n">
        <f aca="false">IF(M1606="Exclude (duplicate)",0,1)</f>
        <v>1</v>
      </c>
      <c r="P1606" s="1" t="str">
        <f aca="false">IF(AND(L1606&lt;&gt;"",M1606=""),"Needs decision","")</f>
        <v/>
      </c>
    </row>
    <row r="1607" customFormat="false" ht="15" hidden="false" customHeight="false" outlineLevel="0" collapsed="false">
      <c r="A1607" s="48" t="str">
        <f aca="false">COST!A1607</f>
        <v>QHH-0226</v>
      </c>
      <c r="B1607" s="48" t="str">
        <f aca="false">COST!B1607</f>
        <v>QHH</v>
      </c>
      <c r="C1607" s="48" t="str">
        <f aca="false">COST!D1607</f>
        <v>Health Careers Summer Camp</v>
      </c>
      <c r="D1607" s="62" t="n">
        <f aca="false">COST!M1607</f>
        <v>46182</v>
      </c>
      <c r="E1607" s="48" t="str">
        <f aca="false">COST!P1607</f>
        <v>Program Coordinator</v>
      </c>
      <c r="F1607" s="63" t="n">
        <f aca="false">COST!R1607</f>
        <v>7.5</v>
      </c>
      <c r="G1607" s="48" t="str">
        <f aca="false">STACK!M1607</f>
        <v/>
      </c>
      <c r="H1607" s="1" t="str">
        <f aca="false">C1607&amp;"|"&amp;IF(ISNUMBER(D1607),TEXT(D1607,"yyyy-mm-dd"),"no date")&amp;"|"&amp;E1607&amp;"|"&amp;IF(ISNUMBER(F1607),TEXT(F1607,"0.00"),"blank")</f>
        <v>Health Careers Summer Camp|2026-06-09|Program Coordinator|7.50</v>
      </c>
      <c r="I1607" s="1" t="n">
        <f aca="false">COUNTIF($H$5:$H$1624,H1607)</f>
        <v>1</v>
      </c>
      <c r="J1607" s="1" t="n">
        <f aca="false">COUNTIF($H$5:H1607,H1607)</f>
        <v>1</v>
      </c>
      <c r="K1607" s="1" t="n">
        <f aca="false">COUNTIFS($H$5:$H$1624,H1607,$B$5:$B$1624,"&lt;&gt;"&amp;B1607)</f>
        <v>0</v>
      </c>
      <c r="L1607" s="1" t="str">
        <f aca="false">IF(I1607&gt;1,IF(K1607&gt;0,"Cross-hospital match","Same-hospital match"),"")</f>
        <v/>
      </c>
      <c r="M1607" s="52"/>
      <c r="N1607" s="52"/>
      <c r="O1607" s="1" t="n">
        <f aca="false">IF(M1607="Exclude (duplicate)",0,1)</f>
        <v>1</v>
      </c>
      <c r="P1607" s="1" t="str">
        <f aca="false">IF(AND(L1607&lt;&gt;"",M1607=""),"Needs decision","")</f>
        <v/>
      </c>
    </row>
    <row r="1608" customFormat="false" ht="15" hidden="false" customHeight="false" outlineLevel="0" collapsed="false">
      <c r="A1608" s="48" t="str">
        <f aca="false">COST!A1608</f>
        <v>QHH-0227</v>
      </c>
      <c r="B1608" s="48" t="str">
        <f aca="false">COST!B1608</f>
        <v>QHH</v>
      </c>
      <c r="C1608" s="48" t="str">
        <f aca="false">COST!D1608</f>
        <v>Health Careers Summer Camp</v>
      </c>
      <c r="D1608" s="62" t="n">
        <f aca="false">COST!M1608</f>
        <v>46183</v>
      </c>
      <c r="E1608" s="48" t="str">
        <f aca="false">COST!P1608</f>
        <v>Clinical Nurse Educator</v>
      </c>
      <c r="F1608" s="63" t="n">
        <f aca="false">COST!R1608</f>
        <v>7</v>
      </c>
      <c r="G1608" s="48" t="str">
        <f aca="false">STACK!M1608</f>
        <v/>
      </c>
      <c r="H1608" s="1" t="str">
        <f aca="false">C1608&amp;"|"&amp;IF(ISNUMBER(D1608),TEXT(D1608,"yyyy-mm-dd"),"no date")&amp;"|"&amp;E1608&amp;"|"&amp;IF(ISNUMBER(F1608),TEXT(F1608,"0.00"),"blank")</f>
        <v>Health Careers Summer Camp|2026-06-10|Clinical Nurse Educator|7.00</v>
      </c>
      <c r="I1608" s="1" t="n">
        <f aca="false">COUNTIF($H$5:$H$1624,H1608)</f>
        <v>1</v>
      </c>
      <c r="J1608" s="1" t="n">
        <f aca="false">COUNTIF($H$5:H1608,H1608)</f>
        <v>1</v>
      </c>
      <c r="K1608" s="1" t="n">
        <f aca="false">COUNTIFS($H$5:$H$1624,H1608,$B$5:$B$1624,"&lt;&gt;"&amp;B1608)</f>
        <v>0</v>
      </c>
      <c r="L1608" s="1" t="str">
        <f aca="false">IF(I1608&gt;1,IF(K1608&gt;0,"Cross-hospital match","Same-hospital match"),"")</f>
        <v/>
      </c>
      <c r="M1608" s="52"/>
      <c r="N1608" s="52"/>
      <c r="O1608" s="1" t="n">
        <f aca="false">IF(M1608="Exclude (duplicate)",0,1)</f>
        <v>1</v>
      </c>
      <c r="P1608" s="1" t="str">
        <f aca="false">IF(AND(L1608&lt;&gt;"",M1608=""),"Needs decision","")</f>
        <v/>
      </c>
    </row>
    <row r="1609" customFormat="false" ht="15" hidden="false" customHeight="false" outlineLevel="0" collapsed="false">
      <c r="A1609" s="48" t="str">
        <f aca="false">COST!A1609</f>
        <v>QHH-0228</v>
      </c>
      <c r="B1609" s="48" t="str">
        <f aca="false">COST!B1609</f>
        <v>QHH</v>
      </c>
      <c r="C1609" s="48" t="str">
        <f aca="false">COST!D1609</f>
        <v>Health Careers Summer Camp</v>
      </c>
      <c r="D1609" s="62" t="n">
        <f aca="false">COST!M1609</f>
        <v>46183</v>
      </c>
      <c r="E1609" s="48" t="str">
        <f aca="false">COST!P1609</f>
        <v>Program Coordinator</v>
      </c>
      <c r="F1609" s="63" t="n">
        <f aca="false">COST!R1609</f>
        <v>7.75</v>
      </c>
      <c r="G1609" s="48" t="str">
        <f aca="false">STACK!M1609</f>
        <v/>
      </c>
      <c r="H1609" s="1" t="str">
        <f aca="false">C1609&amp;"|"&amp;IF(ISNUMBER(D1609),TEXT(D1609,"yyyy-mm-dd"),"no date")&amp;"|"&amp;E1609&amp;"|"&amp;IF(ISNUMBER(F1609),TEXT(F1609,"0.00"),"blank")</f>
        <v>Health Careers Summer Camp|2026-06-10|Program Coordinator|7.75</v>
      </c>
      <c r="I1609" s="1" t="n">
        <f aca="false">COUNTIF($H$5:$H$1624,H1609)</f>
        <v>1</v>
      </c>
      <c r="J1609" s="1" t="n">
        <f aca="false">COUNTIF($H$5:H1609,H1609)</f>
        <v>1</v>
      </c>
      <c r="K1609" s="1" t="n">
        <f aca="false">COUNTIFS($H$5:$H$1624,H1609,$B$5:$B$1624,"&lt;&gt;"&amp;B1609)</f>
        <v>0</v>
      </c>
      <c r="L1609" s="1" t="str">
        <f aca="false">IF(I1609&gt;1,IF(K1609&gt;0,"Cross-hospital match","Same-hospital match"),"")</f>
        <v/>
      </c>
      <c r="M1609" s="52"/>
      <c r="N1609" s="52"/>
      <c r="O1609" s="1" t="n">
        <f aca="false">IF(M1609="Exclude (duplicate)",0,1)</f>
        <v>1</v>
      </c>
      <c r="P1609" s="1" t="str">
        <f aca="false">IF(AND(L1609&lt;&gt;"",M1609=""),"Needs decision","")</f>
        <v/>
      </c>
    </row>
    <row r="1610" customFormat="false" ht="15" hidden="false" customHeight="false" outlineLevel="0" collapsed="false">
      <c r="A1610" s="48" t="str">
        <f aca="false">COST!A1610</f>
        <v>QHH-0229</v>
      </c>
      <c r="B1610" s="48" t="str">
        <f aca="false">COST!B1610</f>
        <v>QHH</v>
      </c>
      <c r="C1610" s="48" t="str">
        <f aca="false">COST!D1610</f>
        <v>Diabetes Prevention Classes</v>
      </c>
      <c r="D1610" s="62" t="n">
        <f aca="false">COST!M1610</f>
        <v>46185</v>
      </c>
      <c r="E1610" s="48" t="str">
        <f aca="false">COST!P1610</f>
        <v>Health Educator</v>
      </c>
      <c r="F1610" s="63" t="n">
        <f aca="false">COST!R1610</f>
        <v>2.25</v>
      </c>
      <c r="G1610" s="48" t="str">
        <f aca="false">STACK!M1610</f>
        <v/>
      </c>
      <c r="H1610" s="1" t="str">
        <f aca="false">C1610&amp;"|"&amp;IF(ISNUMBER(D1610),TEXT(D1610,"yyyy-mm-dd"),"no date")&amp;"|"&amp;E1610&amp;"|"&amp;IF(ISNUMBER(F1610),TEXT(F1610,"0.00"),"blank")</f>
        <v>Diabetes Prevention Classes|2026-06-12|Health Educator|2.25</v>
      </c>
      <c r="I1610" s="1" t="n">
        <f aca="false">COUNTIF($H$5:$H$1624,H1610)</f>
        <v>1</v>
      </c>
      <c r="J1610" s="1" t="n">
        <f aca="false">COUNTIF($H$5:H1610,H1610)</f>
        <v>1</v>
      </c>
      <c r="K1610" s="1" t="n">
        <f aca="false">COUNTIFS($H$5:$H$1624,H1610,$B$5:$B$1624,"&lt;&gt;"&amp;B1610)</f>
        <v>0</v>
      </c>
      <c r="L1610" s="1" t="str">
        <f aca="false">IF(I1610&gt;1,IF(K1610&gt;0,"Cross-hospital match","Same-hospital match"),"")</f>
        <v/>
      </c>
      <c r="M1610" s="52"/>
      <c r="N1610" s="52"/>
      <c r="O1610" s="1" t="n">
        <f aca="false">IF(M1610="Exclude (duplicate)",0,1)</f>
        <v>1</v>
      </c>
      <c r="P1610" s="1" t="str">
        <f aca="false">IF(AND(L1610&lt;&gt;"",M1610=""),"Needs decision","")</f>
        <v/>
      </c>
    </row>
    <row r="1611" customFormat="false" ht="15" hidden="false" customHeight="false" outlineLevel="0" collapsed="false">
      <c r="A1611" s="48" t="str">
        <f aca="false">COST!A1611</f>
        <v>QHH-0230</v>
      </c>
      <c r="B1611" s="48" t="str">
        <f aca="false">COST!B1611</f>
        <v>QHH</v>
      </c>
      <c r="C1611" s="48" t="str">
        <f aca="false">COST!D1611</f>
        <v>Diabetes Prevention Classes</v>
      </c>
      <c r="D1611" s="62" t="n">
        <f aca="false">COST!M1611</f>
        <v>46185</v>
      </c>
      <c r="E1611" s="48" t="str">
        <f aca="false">COST!P1611</f>
        <v>Registered Dietitian</v>
      </c>
      <c r="F1611" s="63" t="n">
        <f aca="false">COST!R1611</f>
        <v>1.75</v>
      </c>
      <c r="G1611" s="48" t="str">
        <f aca="false">STACK!M1611</f>
        <v/>
      </c>
      <c r="H1611" s="1" t="str">
        <f aca="false">C1611&amp;"|"&amp;IF(ISNUMBER(D1611),TEXT(D1611,"yyyy-mm-dd"),"no date")&amp;"|"&amp;E1611&amp;"|"&amp;IF(ISNUMBER(F1611),TEXT(F1611,"0.00"),"blank")</f>
        <v>Diabetes Prevention Classes|2026-06-12|Registered Dietitian|1.75</v>
      </c>
      <c r="I1611" s="1" t="n">
        <f aca="false">COUNTIF($H$5:$H$1624,H1611)</f>
        <v>1</v>
      </c>
      <c r="J1611" s="1" t="n">
        <f aca="false">COUNTIF($H$5:H1611,H1611)</f>
        <v>1</v>
      </c>
      <c r="K1611" s="1" t="n">
        <f aca="false">COUNTIFS($H$5:$H$1624,H1611,$B$5:$B$1624,"&lt;&gt;"&amp;B1611)</f>
        <v>0</v>
      </c>
      <c r="L1611" s="1" t="str">
        <f aca="false">IF(I1611&gt;1,IF(K1611&gt;0,"Cross-hospital match","Same-hospital match"),"")</f>
        <v/>
      </c>
      <c r="M1611" s="52"/>
      <c r="N1611" s="52"/>
      <c r="O1611" s="1" t="n">
        <f aca="false">IF(M1611="Exclude (duplicate)",0,1)</f>
        <v>1</v>
      </c>
      <c r="P1611" s="1" t="str">
        <f aca="false">IF(AND(L1611&lt;&gt;"",M1611=""),"Needs decision","")</f>
        <v/>
      </c>
    </row>
    <row r="1612" customFormat="false" ht="15" hidden="false" customHeight="false" outlineLevel="0" collapsed="false">
      <c r="A1612" s="48" t="str">
        <f aca="false">COST!A1612</f>
        <v>QHH-0231</v>
      </c>
      <c r="B1612" s="48" t="str">
        <f aca="false">COST!B1612</f>
        <v>QHH</v>
      </c>
      <c r="C1612" s="48" t="str">
        <f aca="false">COST!D1612</f>
        <v>Childbirth and Newborn Care Classes</v>
      </c>
      <c r="D1612" s="62" t="n">
        <f aca="false">COST!M1612</f>
        <v>46186</v>
      </c>
      <c r="E1612" s="48" t="str">
        <f aca="false">COST!P1612</f>
        <v>Clinical Nurse Educator</v>
      </c>
      <c r="F1612" s="63" t="n">
        <f aca="false">COST!R1612</f>
        <v>3.5</v>
      </c>
      <c r="G1612" s="48" t="str">
        <f aca="false">STACK!M1612</f>
        <v/>
      </c>
      <c r="H1612" s="1" t="str">
        <f aca="false">C1612&amp;"|"&amp;IF(ISNUMBER(D1612),TEXT(D1612,"yyyy-mm-dd"),"no date")&amp;"|"&amp;E1612&amp;"|"&amp;IF(ISNUMBER(F1612),TEXT(F1612,"0.00"),"blank")</f>
        <v>Childbirth and Newborn Care Classes|2026-06-13|Clinical Nurse Educator|3.50</v>
      </c>
      <c r="I1612" s="1" t="n">
        <f aca="false">COUNTIF($H$5:$H$1624,H1612)</f>
        <v>1</v>
      </c>
      <c r="J1612" s="1" t="n">
        <f aca="false">COUNTIF($H$5:H1612,H1612)</f>
        <v>1</v>
      </c>
      <c r="K1612" s="1" t="n">
        <f aca="false">COUNTIFS($H$5:$H$1624,H1612,$B$5:$B$1624,"&lt;&gt;"&amp;B1612)</f>
        <v>0</v>
      </c>
      <c r="L1612" s="1" t="str">
        <f aca="false">IF(I1612&gt;1,IF(K1612&gt;0,"Cross-hospital match","Same-hospital match"),"")</f>
        <v/>
      </c>
      <c r="M1612" s="52"/>
      <c r="N1612" s="52"/>
      <c r="O1612" s="1" t="n">
        <f aca="false">IF(M1612="Exclude (duplicate)",0,1)</f>
        <v>1</v>
      </c>
      <c r="P1612" s="1" t="str">
        <f aca="false">IF(AND(L1612&lt;&gt;"",M1612=""),"Needs decision","")</f>
        <v/>
      </c>
    </row>
    <row r="1613" customFormat="false" ht="15" hidden="false" customHeight="false" outlineLevel="0" collapsed="false">
      <c r="A1613" s="48" t="str">
        <f aca="false">COST!A1613</f>
        <v>QHH-0232</v>
      </c>
      <c r="B1613" s="48" t="str">
        <f aca="false">COST!B1613</f>
        <v>QHH</v>
      </c>
      <c r="C1613" s="48" t="str">
        <f aca="false">COST!D1613</f>
        <v>Health Careers Summer Camp</v>
      </c>
      <c r="D1613" s="62" t="n">
        <f aca="false">COST!M1613</f>
        <v>46188</v>
      </c>
      <c r="E1613" s="48" t="str">
        <f aca="false">COST!P1613</f>
        <v>Clinical Nurse Educator</v>
      </c>
      <c r="F1613" s="63" t="n">
        <f aca="false">COST!R1613</f>
        <v>7.25</v>
      </c>
      <c r="G1613" s="48" t="str">
        <f aca="false">STACK!M1613</f>
        <v/>
      </c>
      <c r="H1613" s="1" t="str">
        <f aca="false">C1613&amp;"|"&amp;IF(ISNUMBER(D1613),TEXT(D1613,"yyyy-mm-dd"),"no date")&amp;"|"&amp;E1613&amp;"|"&amp;IF(ISNUMBER(F1613),TEXT(F1613,"0.00"),"blank")</f>
        <v>Health Careers Summer Camp|2026-06-15|Clinical Nurse Educator|7.25</v>
      </c>
      <c r="I1613" s="1" t="n">
        <f aca="false">COUNTIF($H$5:$H$1624,H1613)</f>
        <v>1</v>
      </c>
      <c r="J1613" s="1" t="n">
        <f aca="false">COUNTIF($H$5:H1613,H1613)</f>
        <v>1</v>
      </c>
      <c r="K1613" s="1" t="n">
        <f aca="false">COUNTIFS($H$5:$H$1624,H1613,$B$5:$B$1624,"&lt;&gt;"&amp;B1613)</f>
        <v>0</v>
      </c>
      <c r="L1613" s="1" t="str">
        <f aca="false">IF(I1613&gt;1,IF(K1613&gt;0,"Cross-hospital match","Same-hospital match"),"")</f>
        <v/>
      </c>
      <c r="M1613" s="52"/>
      <c r="N1613" s="52"/>
      <c r="O1613" s="1" t="n">
        <f aca="false">IF(M1613="Exclude (duplicate)",0,1)</f>
        <v>1</v>
      </c>
      <c r="P1613" s="1" t="str">
        <f aca="false">IF(AND(L1613&lt;&gt;"",M1613=""),"Needs decision","")</f>
        <v/>
      </c>
    </row>
    <row r="1614" customFormat="false" ht="15" hidden="false" customHeight="false" outlineLevel="0" collapsed="false">
      <c r="A1614" s="48" t="str">
        <f aca="false">COST!A1614</f>
        <v>QHH-0233</v>
      </c>
      <c r="B1614" s="48" t="str">
        <f aca="false">COST!B1614</f>
        <v>QHH</v>
      </c>
      <c r="C1614" s="48" t="str">
        <f aca="false">COST!D1614</f>
        <v>Health Careers Summer Camp</v>
      </c>
      <c r="D1614" s="62" t="n">
        <f aca="false">COST!M1614</f>
        <v>46188</v>
      </c>
      <c r="E1614" s="48" t="str">
        <f aca="false">COST!P1614</f>
        <v>Clinical Nurse Educator</v>
      </c>
      <c r="F1614" s="63" t="n">
        <f aca="false">COST!R1614</f>
        <v>7.75</v>
      </c>
      <c r="G1614" s="48" t="str">
        <f aca="false">STACK!M1614</f>
        <v/>
      </c>
      <c r="H1614" s="1" t="str">
        <f aca="false">C1614&amp;"|"&amp;IF(ISNUMBER(D1614),TEXT(D1614,"yyyy-mm-dd"),"no date")&amp;"|"&amp;E1614&amp;"|"&amp;IF(ISNUMBER(F1614),TEXT(F1614,"0.00"),"blank")</f>
        <v>Health Careers Summer Camp|2026-06-15|Clinical Nurse Educator|7.75</v>
      </c>
      <c r="I1614" s="1" t="n">
        <f aca="false">COUNTIF($H$5:$H$1624,H1614)</f>
        <v>1</v>
      </c>
      <c r="J1614" s="1" t="n">
        <f aca="false">COUNTIF($H$5:H1614,H1614)</f>
        <v>1</v>
      </c>
      <c r="K1614" s="1" t="n">
        <f aca="false">COUNTIFS($H$5:$H$1624,H1614,$B$5:$B$1624,"&lt;&gt;"&amp;B1614)</f>
        <v>0</v>
      </c>
      <c r="L1614" s="1" t="str">
        <f aca="false">IF(I1614&gt;1,IF(K1614&gt;0,"Cross-hospital match","Same-hospital match"),"")</f>
        <v/>
      </c>
      <c r="M1614" s="52"/>
      <c r="N1614" s="52"/>
      <c r="O1614" s="1" t="n">
        <f aca="false">IF(M1614="Exclude (duplicate)",0,1)</f>
        <v>1</v>
      </c>
      <c r="P1614" s="1" t="str">
        <f aca="false">IF(AND(L1614&lt;&gt;"",M1614=""),"Needs decision","")</f>
        <v/>
      </c>
    </row>
    <row r="1615" customFormat="false" ht="15" hidden="false" customHeight="false" outlineLevel="0" collapsed="false">
      <c r="A1615" s="48" t="str">
        <f aca="false">COST!A1615</f>
        <v>QHH-0234</v>
      </c>
      <c r="B1615" s="48" t="str">
        <f aca="false">COST!B1615</f>
        <v>QHH</v>
      </c>
      <c r="C1615" s="48" t="str">
        <f aca="false">COST!D1615</f>
        <v>Health Careers Summer Camp</v>
      </c>
      <c r="D1615" s="62" t="n">
        <f aca="false">COST!M1615</f>
        <v>46188</v>
      </c>
      <c r="E1615" s="48" t="str">
        <f aca="false">COST!P1615</f>
        <v>Program Coordinator</v>
      </c>
      <c r="F1615" s="63" t="n">
        <f aca="false">COST!R1615</f>
        <v>7.5</v>
      </c>
      <c r="G1615" s="48" t="str">
        <f aca="false">STACK!M1615</f>
        <v/>
      </c>
      <c r="H1615" s="1" t="str">
        <f aca="false">C1615&amp;"|"&amp;IF(ISNUMBER(D1615),TEXT(D1615,"yyyy-mm-dd"),"no date")&amp;"|"&amp;E1615&amp;"|"&amp;IF(ISNUMBER(F1615),TEXT(F1615,"0.00"),"blank")</f>
        <v>Health Careers Summer Camp|2026-06-15|Program Coordinator|7.50</v>
      </c>
      <c r="I1615" s="1" t="n">
        <f aca="false">COUNTIF($H$5:$H$1624,H1615)</f>
        <v>1</v>
      </c>
      <c r="J1615" s="1" t="n">
        <f aca="false">COUNTIF($H$5:H1615,H1615)</f>
        <v>1</v>
      </c>
      <c r="K1615" s="1" t="n">
        <f aca="false">COUNTIFS($H$5:$H$1624,H1615,$B$5:$B$1624,"&lt;&gt;"&amp;B1615)</f>
        <v>0</v>
      </c>
      <c r="L1615" s="1" t="str">
        <f aca="false">IF(I1615&gt;1,IF(K1615&gt;0,"Cross-hospital match","Same-hospital match"),"")</f>
        <v/>
      </c>
      <c r="M1615" s="52"/>
      <c r="N1615" s="52"/>
      <c r="O1615" s="1" t="n">
        <f aca="false">IF(M1615="Exclude (duplicate)",0,1)</f>
        <v>1</v>
      </c>
      <c r="P1615" s="1" t="str">
        <f aca="false">IF(AND(L1615&lt;&gt;"",M1615=""),"Needs decision","")</f>
        <v/>
      </c>
    </row>
    <row r="1616" customFormat="false" ht="15" hidden="false" customHeight="false" outlineLevel="0" collapsed="false">
      <c r="A1616" s="48" t="str">
        <f aca="false">COST!A1616</f>
        <v>QHH-0235</v>
      </c>
      <c r="B1616" s="48" t="str">
        <f aca="false">COST!B1616</f>
        <v>QHH</v>
      </c>
      <c r="C1616" s="48" t="str">
        <f aca="false">COST!D1616</f>
        <v>Health Careers Summer Camp</v>
      </c>
      <c r="D1616" s="62" t="n">
        <f aca="false">COST!M1616</f>
        <v>46188</v>
      </c>
      <c r="E1616" s="48" t="str">
        <f aca="false">COST!P1616</f>
        <v>Program Coordinator</v>
      </c>
      <c r="F1616" s="63" t="n">
        <f aca="false">COST!R1616</f>
        <v>8</v>
      </c>
      <c r="G1616" s="48" t="str">
        <f aca="false">STACK!M1616</f>
        <v/>
      </c>
      <c r="H1616" s="1" t="str">
        <f aca="false">C1616&amp;"|"&amp;IF(ISNUMBER(D1616),TEXT(D1616,"yyyy-mm-dd"),"no date")&amp;"|"&amp;E1616&amp;"|"&amp;IF(ISNUMBER(F1616),TEXT(F1616,"0.00"),"blank")</f>
        <v>Health Careers Summer Camp|2026-06-15|Program Coordinator|8.00</v>
      </c>
      <c r="I1616" s="1" t="n">
        <f aca="false">COUNTIF($H$5:$H$1624,H1616)</f>
        <v>1</v>
      </c>
      <c r="J1616" s="1" t="n">
        <f aca="false">COUNTIF($H$5:H1616,H1616)</f>
        <v>1</v>
      </c>
      <c r="K1616" s="1" t="n">
        <f aca="false">COUNTIFS($H$5:$H$1624,H1616,$B$5:$B$1624,"&lt;&gt;"&amp;B1616)</f>
        <v>0</v>
      </c>
      <c r="L1616" s="1" t="str">
        <f aca="false">IF(I1616&gt;1,IF(K1616&gt;0,"Cross-hospital match","Same-hospital match"),"")</f>
        <v/>
      </c>
      <c r="M1616" s="52"/>
      <c r="N1616" s="52"/>
      <c r="O1616" s="1" t="n">
        <f aca="false">IF(M1616="Exclude (duplicate)",0,1)</f>
        <v>1</v>
      </c>
      <c r="P1616" s="1" t="str">
        <f aca="false">IF(AND(L1616&lt;&gt;"",M1616=""),"Needs decision","")</f>
        <v/>
      </c>
    </row>
    <row r="1617" customFormat="false" ht="15" hidden="false" customHeight="false" outlineLevel="0" collapsed="false">
      <c r="A1617" s="48" t="str">
        <f aca="false">COST!A1617</f>
        <v>QHH-0236</v>
      </c>
      <c r="B1617" s="48" t="str">
        <f aca="false">COST!B1617</f>
        <v>QHH</v>
      </c>
      <c r="C1617" s="48" t="str">
        <f aca="false">COST!D1617</f>
        <v>Tobacco Cessation Classes</v>
      </c>
      <c r="D1617" s="62" t="n">
        <f aca="false">COST!M1617</f>
        <v>46193</v>
      </c>
      <c r="E1617" s="48" t="str">
        <f aca="false">COST!P1617</f>
        <v>Licensed Therapist</v>
      </c>
      <c r="F1617" s="63" t="n">
        <f aca="false">COST!R1617</f>
        <v>2</v>
      </c>
      <c r="G1617" s="48" t="str">
        <f aca="false">STACK!M1617</f>
        <v/>
      </c>
      <c r="H1617" s="1" t="str">
        <f aca="false">C1617&amp;"|"&amp;IF(ISNUMBER(D1617),TEXT(D1617,"yyyy-mm-dd"),"no date")&amp;"|"&amp;E1617&amp;"|"&amp;IF(ISNUMBER(F1617),TEXT(F1617,"0.00"),"blank")</f>
        <v>Tobacco Cessation Classes|2026-06-20|Licensed Therapist|2.00</v>
      </c>
      <c r="I1617" s="1" t="n">
        <f aca="false">COUNTIF($H$5:$H$1624,H1617)</f>
        <v>1</v>
      </c>
      <c r="J1617" s="1" t="n">
        <f aca="false">COUNTIF($H$5:H1617,H1617)</f>
        <v>1</v>
      </c>
      <c r="K1617" s="1" t="n">
        <f aca="false">COUNTIFS($H$5:$H$1624,H1617,$B$5:$B$1624,"&lt;&gt;"&amp;B1617)</f>
        <v>0</v>
      </c>
      <c r="L1617" s="1" t="str">
        <f aca="false">IF(I1617&gt;1,IF(K1617&gt;0,"Cross-hospital match","Same-hospital match"),"")</f>
        <v/>
      </c>
      <c r="M1617" s="52"/>
      <c r="N1617" s="52"/>
      <c r="O1617" s="1" t="n">
        <f aca="false">IF(M1617="Exclude (duplicate)",0,1)</f>
        <v>1</v>
      </c>
      <c r="P1617" s="1" t="str">
        <f aca="false">IF(AND(L1617&lt;&gt;"",M1617=""),"Needs decision","")</f>
        <v/>
      </c>
    </row>
    <row r="1618" customFormat="false" ht="15" hidden="false" customHeight="false" outlineLevel="0" collapsed="false">
      <c r="A1618" s="48" t="str">
        <f aca="false">COST!A1618</f>
        <v>QHH-0237</v>
      </c>
      <c r="B1618" s="48" t="str">
        <f aca="false">COST!B1618</f>
        <v>QHH</v>
      </c>
      <c r="C1618" s="48" t="str">
        <f aca="false">COST!D1618</f>
        <v>Medication Assistance Program</v>
      </c>
      <c r="D1618" s="62" t="n">
        <f aca="false">COST!M1618</f>
        <v>46203</v>
      </c>
      <c r="E1618" s="48" t="str">
        <f aca="false">COST!P1618</f>
        <v>Patient Navigator</v>
      </c>
      <c r="F1618" s="63" t="n">
        <f aca="false">COST!R1618</f>
        <v>74</v>
      </c>
      <c r="G1618" s="48" t="str">
        <f aca="false">STACK!M1618</f>
        <v/>
      </c>
      <c r="H1618" s="1" t="str">
        <f aca="false">C1618&amp;"|"&amp;IF(ISNUMBER(D1618),TEXT(D1618,"yyyy-mm-dd"),"no date")&amp;"|"&amp;E1618&amp;"|"&amp;IF(ISNUMBER(F1618),TEXT(F1618,"0.00"),"blank")</f>
        <v>Medication Assistance Program|2026-06-30|Patient Navigator|74.00</v>
      </c>
      <c r="I1618" s="1" t="n">
        <f aca="false">COUNTIF($H$5:$H$1624,H1618)</f>
        <v>1</v>
      </c>
      <c r="J1618" s="1" t="n">
        <f aca="false">COUNTIF($H$5:H1618,H1618)</f>
        <v>1</v>
      </c>
      <c r="K1618" s="1" t="n">
        <f aca="false">COUNTIFS($H$5:$H$1624,H1618,$B$5:$B$1624,"&lt;&gt;"&amp;B1618)</f>
        <v>0</v>
      </c>
      <c r="L1618" s="1" t="str">
        <f aca="false">IF(I1618&gt;1,IF(K1618&gt;0,"Cross-hospital match","Same-hospital match"),"")</f>
        <v/>
      </c>
      <c r="M1618" s="52"/>
      <c r="N1618" s="52"/>
      <c r="O1618" s="1" t="n">
        <f aca="false">IF(M1618="Exclude (duplicate)",0,1)</f>
        <v>1</v>
      </c>
      <c r="P1618" s="1" t="str">
        <f aca="false">IF(AND(L1618&lt;&gt;"",M1618=""),"Needs decision","")</f>
        <v/>
      </c>
    </row>
    <row r="1619" customFormat="false" ht="15" hidden="false" customHeight="false" outlineLevel="0" collapsed="false">
      <c r="A1619" s="48" t="str">
        <f aca="false">COST!A1619</f>
        <v>QHH-0238</v>
      </c>
      <c r="B1619" s="48" t="str">
        <f aca="false">COST!B1619</f>
        <v>QHH</v>
      </c>
      <c r="C1619" s="48" t="str">
        <f aca="false">COST!D1619</f>
        <v>Medication Assistance Program</v>
      </c>
      <c r="D1619" s="62" t="n">
        <f aca="false">COST!M1619</f>
        <v>46203</v>
      </c>
      <c r="E1619" s="48" t="str">
        <f aca="false">COST!P1619</f>
        <v>Pharmacist</v>
      </c>
      <c r="F1619" s="63" t="n">
        <f aca="false">COST!R1619</f>
        <v>16.75</v>
      </c>
      <c r="G1619" s="48" t="str">
        <f aca="false">STACK!M1619</f>
        <v/>
      </c>
      <c r="H1619" s="1" t="str">
        <f aca="false">C1619&amp;"|"&amp;IF(ISNUMBER(D1619),TEXT(D1619,"yyyy-mm-dd"),"no date")&amp;"|"&amp;E1619&amp;"|"&amp;IF(ISNUMBER(F1619),TEXT(F1619,"0.00"),"blank")</f>
        <v>Medication Assistance Program|2026-06-30|Pharmacist|16.75</v>
      </c>
      <c r="I1619" s="1" t="n">
        <f aca="false">COUNTIF($H$5:$H$1624,H1619)</f>
        <v>1</v>
      </c>
      <c r="J1619" s="1" t="n">
        <f aca="false">COUNTIF($H$5:H1619,H1619)</f>
        <v>1</v>
      </c>
      <c r="K1619" s="1" t="n">
        <f aca="false">COUNTIFS($H$5:$H$1624,H1619,$B$5:$B$1624,"&lt;&gt;"&amp;B1619)</f>
        <v>0</v>
      </c>
      <c r="L1619" s="1" t="str">
        <f aca="false">IF(I1619&gt;1,IF(K1619&gt;0,"Cross-hospital match","Same-hospital match"),"")</f>
        <v/>
      </c>
      <c r="M1619" s="52"/>
      <c r="N1619" s="52"/>
      <c r="O1619" s="1" t="n">
        <f aca="false">IF(M1619="Exclude (duplicate)",0,1)</f>
        <v>1</v>
      </c>
      <c r="P1619" s="1" t="str">
        <f aca="false">IF(AND(L1619&lt;&gt;"",M1619=""),"Needs decision","")</f>
        <v/>
      </c>
    </row>
    <row r="1620" customFormat="false" ht="15" hidden="false" customHeight="false" outlineLevel="0" collapsed="false">
      <c r="A1620" s="48" t="str">
        <f aca="false">COST!A1620</f>
        <v>QHH-0239</v>
      </c>
      <c r="B1620" s="48" t="str">
        <f aca="false">COST!B1620</f>
        <v>QHH</v>
      </c>
      <c r="C1620" s="48" t="str">
        <f aca="false">COST!D1620</f>
        <v>Community Benefit Program Administration</v>
      </c>
      <c r="D1620" s="62" t="n">
        <f aca="false">COST!M1620</f>
        <v>46203</v>
      </c>
      <c r="E1620" s="48" t="str">
        <f aca="false">COST!P1620</f>
        <v>Administrative Assistant</v>
      </c>
      <c r="F1620" s="63" t="n">
        <f aca="false">COST!R1620</f>
        <v>28</v>
      </c>
      <c r="G1620" s="48" t="str">
        <f aca="false">STACK!M1620</f>
        <v/>
      </c>
      <c r="H1620" s="1" t="str">
        <f aca="false">C1620&amp;"|"&amp;IF(ISNUMBER(D1620),TEXT(D1620,"yyyy-mm-dd"),"no date")&amp;"|"&amp;E1620&amp;"|"&amp;IF(ISNUMBER(F1620),TEXT(F1620,"0.00"),"blank")</f>
        <v>Community Benefit Program Administration|2026-06-30|Administrative Assistant|28.00</v>
      </c>
      <c r="I1620" s="1" t="n">
        <f aca="false">COUNTIF($H$5:$H$1624,H1620)</f>
        <v>1</v>
      </c>
      <c r="J1620" s="1" t="n">
        <f aca="false">COUNTIF($H$5:H1620,H1620)</f>
        <v>1</v>
      </c>
      <c r="K1620" s="1" t="n">
        <f aca="false">COUNTIFS($H$5:$H$1624,H1620,$B$5:$B$1624,"&lt;&gt;"&amp;B1620)</f>
        <v>0</v>
      </c>
      <c r="L1620" s="1" t="str">
        <f aca="false">IF(I1620&gt;1,IF(K1620&gt;0,"Cross-hospital match","Same-hospital match"),"")</f>
        <v/>
      </c>
      <c r="M1620" s="52"/>
      <c r="N1620" s="52"/>
      <c r="O1620" s="1" t="n">
        <f aca="false">IF(M1620="Exclude (duplicate)",0,1)</f>
        <v>1</v>
      </c>
      <c r="P1620" s="1" t="str">
        <f aca="false">IF(AND(L1620&lt;&gt;"",M1620=""),"Needs decision","")</f>
        <v/>
      </c>
    </row>
    <row r="1621" customFormat="false" ht="15" hidden="false" customHeight="false" outlineLevel="0" collapsed="false">
      <c r="A1621" s="48" t="str">
        <f aca="false">COST!A1621</f>
        <v>QHH-0240</v>
      </c>
      <c r="B1621" s="48" t="str">
        <f aca="false">COST!B1621</f>
        <v>QHH</v>
      </c>
      <c r="C1621" s="48" t="str">
        <f aca="false">COST!D1621</f>
        <v>Community Benefit Program Administration</v>
      </c>
      <c r="D1621" s="62" t="n">
        <f aca="false">COST!M1621</f>
        <v>46203</v>
      </c>
      <c r="E1621" s="48" t="str">
        <f aca="false">COST!P1621</f>
        <v>Community Benefit Manager</v>
      </c>
      <c r="F1621" s="63" t="n">
        <f aca="false">COST!R1621</f>
        <v>59.25</v>
      </c>
      <c r="G1621" s="48" t="str">
        <f aca="false">STACK!M1621</f>
        <v/>
      </c>
      <c r="H1621" s="1" t="str">
        <f aca="false">C1621&amp;"|"&amp;IF(ISNUMBER(D1621),TEXT(D1621,"yyyy-mm-dd"),"no date")&amp;"|"&amp;E1621&amp;"|"&amp;IF(ISNUMBER(F1621),TEXT(F1621,"0.00"),"blank")</f>
        <v>Community Benefit Program Administration|2026-06-30|Community Benefit Manager|59.25</v>
      </c>
      <c r="I1621" s="1" t="n">
        <f aca="false">COUNTIF($H$5:$H$1624,H1621)</f>
        <v>1</v>
      </c>
      <c r="J1621" s="1" t="n">
        <f aca="false">COUNTIF($H$5:H1621,H1621)</f>
        <v>1</v>
      </c>
      <c r="K1621" s="1" t="n">
        <f aca="false">COUNTIFS($H$5:$H$1624,H1621,$B$5:$B$1624,"&lt;&gt;"&amp;B1621)</f>
        <v>0</v>
      </c>
      <c r="L1621" s="1" t="str">
        <f aca="false">IF(I1621&gt;1,IF(K1621&gt;0,"Cross-hospital match","Same-hospital match"),"")</f>
        <v/>
      </c>
      <c r="M1621" s="52"/>
      <c r="N1621" s="52"/>
      <c r="O1621" s="1" t="n">
        <f aca="false">IF(M1621="Exclude (duplicate)",0,1)</f>
        <v>1</v>
      </c>
      <c r="P1621" s="1" t="str">
        <f aca="false">IF(AND(L1621&lt;&gt;"",M1621=""),"Needs decision","")</f>
        <v/>
      </c>
    </row>
    <row r="1622" customFormat="false" ht="15" hidden="false" customHeight="false" outlineLevel="0" collapsed="false">
      <c r="A1622" s="48" t="str">
        <f aca="false">COST!A1622</f>
        <v>QHH-0241</v>
      </c>
      <c r="B1622" s="48" t="str">
        <f aca="false">COST!B1622</f>
        <v>QHH</v>
      </c>
      <c r="C1622" s="48" t="str">
        <f aca="false">COST!D1622</f>
        <v>Community Paramedic Home Visits</v>
      </c>
      <c r="D1622" s="62" t="n">
        <f aca="false">COST!M1622</f>
        <v>46203</v>
      </c>
      <c r="E1622" s="48" t="str">
        <f aca="false">COST!P1622</f>
        <v>Paramedic</v>
      </c>
      <c r="F1622" s="63" t="n">
        <f aca="false">COST!R1622</f>
        <v>76.25</v>
      </c>
      <c r="G1622" s="48" t="str">
        <f aca="false">STACK!M1622</f>
        <v/>
      </c>
      <c r="H1622" s="1" t="str">
        <f aca="false">C1622&amp;"|"&amp;IF(ISNUMBER(D1622),TEXT(D1622,"yyyy-mm-dd"),"no date")&amp;"|"&amp;E1622&amp;"|"&amp;IF(ISNUMBER(F1622),TEXT(F1622,"0.00"),"blank")</f>
        <v>Community Paramedic Home Visits|2026-06-30|Paramedic|76.25</v>
      </c>
      <c r="I1622" s="1" t="n">
        <f aca="false">COUNTIF($H$5:$H$1624,H1622)</f>
        <v>1</v>
      </c>
      <c r="J1622" s="1" t="n">
        <f aca="false">COUNTIF($H$5:H1622,H1622)</f>
        <v>1</v>
      </c>
      <c r="K1622" s="1" t="n">
        <f aca="false">COUNTIFS($H$5:$H$1624,H1622,$B$5:$B$1624,"&lt;&gt;"&amp;B1622)</f>
        <v>0</v>
      </c>
      <c r="L1622" s="1" t="str">
        <f aca="false">IF(I1622&gt;1,IF(K1622&gt;0,"Cross-hospital match","Same-hospital match"),"")</f>
        <v/>
      </c>
      <c r="M1622" s="52"/>
      <c r="N1622" s="52"/>
      <c r="O1622" s="1" t="n">
        <f aca="false">IF(M1622="Exclude (duplicate)",0,1)</f>
        <v>1</v>
      </c>
      <c r="P1622" s="1" t="str">
        <f aca="false">IF(AND(L1622&lt;&gt;"",M1622=""),"Needs decision","")</f>
        <v/>
      </c>
    </row>
    <row r="1623" customFormat="false" ht="15" hidden="false" customHeight="false" outlineLevel="0" collapsed="false">
      <c r="A1623" s="48" t="str">
        <f aca="false">COST!A1623</f>
        <v>QHH-0242</v>
      </c>
      <c r="B1623" s="48" t="str">
        <f aca="false">COST!B1623</f>
        <v>QHH</v>
      </c>
      <c r="C1623" s="48" t="str">
        <f aca="false">COST!D1623</f>
        <v>Nursing Student Clinical Rotations</v>
      </c>
      <c r="D1623" s="62" t="n">
        <f aca="false">COST!M1623</f>
        <v>46203</v>
      </c>
      <c r="E1623" s="48" t="str">
        <f aca="false">COST!P1623</f>
        <v>Clinical Nurse Educator</v>
      </c>
      <c r="F1623" s="63" t="n">
        <f aca="false">COST!R1623</f>
        <v>37.75</v>
      </c>
      <c r="G1623" s="48" t="str">
        <f aca="false">STACK!M1623</f>
        <v/>
      </c>
      <c r="H1623" s="1" t="str">
        <f aca="false">C1623&amp;"|"&amp;IF(ISNUMBER(D1623),TEXT(D1623,"yyyy-mm-dd"),"no date")&amp;"|"&amp;E1623&amp;"|"&amp;IF(ISNUMBER(F1623),TEXT(F1623,"0.00"),"blank")</f>
        <v>Nursing Student Clinical Rotations|2026-06-30|Clinical Nurse Educator|37.75</v>
      </c>
      <c r="I1623" s="1" t="n">
        <f aca="false">COUNTIF($H$5:$H$1624,H1623)</f>
        <v>1</v>
      </c>
      <c r="J1623" s="1" t="n">
        <f aca="false">COUNTIF($H$5:H1623,H1623)</f>
        <v>1</v>
      </c>
      <c r="K1623" s="1" t="n">
        <f aca="false">COUNTIFS($H$5:$H$1624,H1623,$B$5:$B$1624,"&lt;&gt;"&amp;B1623)</f>
        <v>0</v>
      </c>
      <c r="L1623" s="1" t="str">
        <f aca="false">IF(I1623&gt;1,IF(K1623&gt;0,"Cross-hospital match","Same-hospital match"),"")</f>
        <v/>
      </c>
      <c r="M1623" s="52"/>
      <c r="N1623" s="52"/>
      <c r="O1623" s="1" t="n">
        <f aca="false">IF(M1623="Exclude (duplicate)",0,1)</f>
        <v>1</v>
      </c>
      <c r="P1623" s="1" t="str">
        <f aca="false">IF(AND(L1623&lt;&gt;"",M1623=""),"Needs decision","")</f>
        <v/>
      </c>
    </row>
    <row r="1624" customFormat="false" ht="15" hidden="false" customHeight="false" outlineLevel="0" collapsed="false">
      <c r="A1624" s="48" t="str">
        <f aca="false">COST!A1624</f>
        <v>QHH-0243</v>
      </c>
      <c r="B1624" s="48" t="str">
        <f aca="false">COST!B1624</f>
        <v>QHH</v>
      </c>
      <c r="C1624" s="48" t="str">
        <f aca="false">COST!D1624</f>
        <v>Nursing Student Clinical Rotations</v>
      </c>
      <c r="D1624" s="62" t="n">
        <f aca="false">COST!M1624</f>
        <v>46203</v>
      </c>
      <c r="E1624" s="48" t="str">
        <f aca="false">COST!P1624</f>
        <v>Registered Nurse</v>
      </c>
      <c r="F1624" s="63" t="n">
        <f aca="false">COST!R1624</f>
        <v>79</v>
      </c>
      <c r="G1624" s="48" t="str">
        <f aca="false">STACK!M1624</f>
        <v/>
      </c>
      <c r="H1624" s="1" t="str">
        <f aca="false">C1624&amp;"|"&amp;IF(ISNUMBER(D1624),TEXT(D1624,"yyyy-mm-dd"),"no date")&amp;"|"&amp;E1624&amp;"|"&amp;IF(ISNUMBER(F1624),TEXT(F1624,"0.00"),"blank")</f>
        <v>Nursing Student Clinical Rotations|2026-06-30|Registered Nurse|79.00</v>
      </c>
      <c r="I1624" s="1" t="n">
        <f aca="false">COUNTIF($H$5:$H$1624,H1624)</f>
        <v>1</v>
      </c>
      <c r="J1624" s="1" t="n">
        <f aca="false">COUNTIF($H$5:H1624,H1624)</f>
        <v>1</v>
      </c>
      <c r="K1624" s="1" t="n">
        <f aca="false">COUNTIFS($H$5:$H$1624,H1624,$B$5:$B$1624,"&lt;&gt;"&amp;B1624)</f>
        <v>0</v>
      </c>
      <c r="L1624" s="1" t="str">
        <f aca="false">IF(I1624&gt;1,IF(K1624&gt;0,"Cross-hospital match","Same-hospital match"),"")</f>
        <v/>
      </c>
      <c r="M1624" s="52"/>
      <c r="N1624" s="52"/>
      <c r="O1624" s="1" t="n">
        <f aca="false">IF(M1624="Exclude (duplicate)",0,1)</f>
        <v>1</v>
      </c>
      <c r="P1624" s="1" t="str">
        <f aca="false">IF(AND(L1624&lt;&gt;"",M1624=""),"Needs decision","")</f>
        <v/>
      </c>
    </row>
  </sheetData>
  <conditionalFormatting sqref="A5:P1624">
    <cfRule type="expression" priority="2" aboveAverage="0" equalAverage="0" bottom="0" percent="0" rank="0" text="" dxfId="15">
      <formula>$M5="Exclude (duplicate)"</formula>
    </cfRule>
  </conditionalFormatting>
  <conditionalFormatting sqref="L5:L1624">
    <cfRule type="expression" priority="3" aboveAverage="0" equalAverage="0" bottom="0" percent="0" rank="0" text="" dxfId="14">
      <formula>L5&lt;&gt;""</formula>
    </cfRule>
  </conditionalFormatting>
  <conditionalFormatting sqref="P5:P1624">
    <cfRule type="expression" priority="4" aboveAverage="0" equalAverage="0" bottom="0" percent="0" rank="0" text="" dxfId="2">
      <formula>P5&lt;&gt;""</formula>
    </cfRule>
  </conditionalFormatting>
  <dataValidations count="1">
    <dataValidation allowBlank="true" error="Choose Keep, Exclude (duplicate), or Keep (not a duplicate)." errorStyle="stop" errorTitle="Reviewer decision" operator="between" showDropDown="false" showErrorMessage="true" showInputMessage="false" sqref="M5:M1624" type="list">
      <formula1>"Keep,Exclude (duplicate),Keep (not a duplicate)"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2026-10-12T07:36:03Z</dcterms:created>
  <dc:creator>Brad Leake</dc:creator>
  <dc:description/>
  <dc:language>en-US</dc:language>
  <cp:lastModifiedBy>Brad Leake</cp:lastModifiedBy>
  <dcterms:modified xsi:type="dcterms:W3CDTF">2026-10-12T03:36:49Z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